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pivotTables/pivotTable1.xml" ContentType="application/vnd.openxmlformats-officedocument.spreadsheetml.pivotTable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/>
  <bookViews>
    <workbookView showHorizontalScroll="0" xWindow="0" yWindow="60" windowWidth="9240" windowHeight="11580" tabRatio="949" activeTab="6"/>
  </bookViews>
  <sheets>
    <sheet name="1 PISO TECHO" sheetId="1" r:id="rId1"/>
    <sheet name="1 P-T +" sheetId="7" r:id="rId2"/>
    <sheet name="2 MEDIA ALTURA" sheetId="2" r:id="rId3"/>
    <sheet name="2 M-A +" sheetId="8" r:id="rId4"/>
    <sheet name="Cant." sheetId="40" state="hidden" r:id="rId5"/>
    <sheet name="FORMULAS" sheetId="9" state="hidden" r:id="rId6"/>
    <sheet name="3 ALUMINIOS" sheetId="3" r:id="rId7"/>
    <sheet name="4 SUPERFICIES" sheetId="4" r:id="rId8"/>
    <sheet name="4 SUP +" sheetId="52" r:id="rId9"/>
    <sheet name="5 ALMACEN " sheetId="5" r:id="rId10"/>
    <sheet name="6 SILLAS-MES-SCAN-" sheetId="6" r:id="rId11"/>
    <sheet name="Almacen" sheetId="41" state="hidden" r:id="rId12"/>
    <sheet name="Superf." sheetId="38" state="hidden" r:id="rId13"/>
    <sheet name="PRODUCCION" sheetId="43" r:id="rId14"/>
    <sheet name="INSTALACION" sheetId="48" r:id="rId15"/>
    <sheet name="VIDRIOS" sheetId="50" r:id="rId16"/>
    <sheet name="CUADRO VIDRIOS" sheetId="44" state="hidden" r:id="rId17"/>
    <sheet name="ALUMINIOS" sheetId="45" r:id="rId18"/>
    <sheet name="PORTA" sheetId="33" state="hidden" r:id="rId19"/>
    <sheet name="M . A ." sheetId="35" state="hidden" r:id="rId20"/>
    <sheet name="P.T.Nueva" sheetId="36" state="hidden" r:id="rId21"/>
    <sheet name="P.T.Vieja" sheetId="37" state="hidden" r:id="rId22"/>
    <sheet name="Paños" sheetId="39" state="hidden" r:id="rId23"/>
  </sheets>
  <definedNames>
    <definedName name="_xlnm._FilterDatabase" localSheetId="2" hidden="1">'2 MEDIA ALTURA'!$A$37:$F$49</definedName>
    <definedName name="_xlnm._FilterDatabase" localSheetId="9" hidden="1">'5 ALMACEN '!$A$4:$AB$42</definedName>
    <definedName name="_xlnm._FilterDatabase" localSheetId="10" hidden="1">'6 SILLAS-MES-SCAN-'!$A$5:$I$5</definedName>
    <definedName name="_xlnm._FilterDatabase" localSheetId="17" hidden="1">ALUMINIOS!$M$1:$M$43</definedName>
    <definedName name="_xlnm._FilterDatabase" localSheetId="16" hidden="1">'CUADRO VIDRIOS'!$G$1:$G$546</definedName>
    <definedName name="_xlnm._FilterDatabase" localSheetId="14" hidden="1">INSTALACION!$L$1:$L$473</definedName>
    <definedName name="_xlnm._FilterDatabase" localSheetId="19" hidden="1">'M . A .'!$A$1:$L$378</definedName>
    <definedName name="_xlnm._FilterDatabase" localSheetId="20" hidden="1">P.T.Nueva!$A$43:$J$838</definedName>
    <definedName name="_xlnm._FilterDatabase" localSheetId="21" hidden="1">P.T.Vieja!$A$21:$I$324</definedName>
    <definedName name="_xlnm._FilterDatabase" localSheetId="22" hidden="1">Paños!$A$1:$M$387</definedName>
    <definedName name="_xlnm._FilterDatabase" localSheetId="13" hidden="1">PRODUCCION!$L$1:$L$316</definedName>
    <definedName name="ACABADOS">FORMULAS!$B$17:$B$25</definedName>
    <definedName name="ANCHOS">FORMULAS!$HH$195:$HH$422</definedName>
    <definedName name="_xlnm.Print_Area" localSheetId="1">'1 P-T +'!$A$3:$N$47</definedName>
    <definedName name="_xlnm.Print_Area" localSheetId="9">'5 ALMACEN '!$A$1:$AB$42</definedName>
    <definedName name="_xlnm.Print_Area" localSheetId="10">'6 SILLAS-MES-SCAN-'!$A$1:$J$63</definedName>
    <definedName name="_xlnm.Print_Area" localSheetId="17">ALUMINIOS!$A$1:$K$43</definedName>
    <definedName name="_xlnm.Print_Area" localSheetId="16">'CUADRO VIDRIOS'!$B$4:$E$43</definedName>
    <definedName name="_xlnm.Print_Area" localSheetId="14">INSTALACION!$A$1:$I$506</definedName>
    <definedName name="_xlnm.Print_Area" localSheetId="13">PRODUCCION!$A$1:$I$309</definedName>
    <definedName name="CANTOS">'4 SUP +'!$AG$15:$AG$18</definedName>
    <definedName name="GABINETES">FORMULAS!$C$18:$C$27</definedName>
    <definedName name="LARGOS">FORMULAS!$HF$202:$HF$664</definedName>
    <definedName name="PYV">FORMULAS!$B$17:$B$25</definedName>
    <definedName name="SIGLASV">FORMULAS!$F$17:$F$20</definedName>
    <definedName name="_xlnm.Print_Titles" localSheetId="14">INSTALACION!$1:$15</definedName>
    <definedName name="_xlnm.Print_Titles" localSheetId="13">PRODUCCION!$1:$15</definedName>
    <definedName name="_xlnm.Print_Titles" localSheetId="15">VIDRIOS!$1:$13</definedName>
    <definedName name="VIDRIOS">'2 M-A +'!$C$42:$F$43</definedName>
    <definedName name="VPT">FORMULAS!$B$24:$B$25</definedName>
    <definedName name="Z_0083E5B0_44AE_40B5_9617_6484D451C028_.wvu.Cols" localSheetId="6" hidden="1">'3 ALUMINIOS'!#REF!,'3 ALUMINIOS'!#REF!,'3 ALUMINIOS'!#REF!,'3 ALUMINIOS'!$O:$P</definedName>
    <definedName name="Z_0083E5B0_44AE_40B5_9617_6484D451C028_.wvu.Cols" localSheetId="7" hidden="1">'4 SUPERFICIES'!#REF!</definedName>
    <definedName name="Z_0083E5B0_44AE_40B5_9617_6484D451C028_.wvu.PrintArea" localSheetId="9" hidden="1">'5 ALMACEN '!$A$1:$AB$44</definedName>
    <definedName name="Z_15A61C62_840D_11DA_A6CD_BDC37E227F7F_.wvu.PrintArea" localSheetId="9" hidden="1">'5 ALMACEN '!$A$1:$AB$44</definedName>
    <definedName name="Z_781ED8A8_51CE_4197_9E83_B42C8B1C8CEA_.wvu.Cols" localSheetId="6" hidden="1">'3 ALUMINIOS'!#REF!,'3 ALUMINIOS'!#REF!,'3 ALUMINIOS'!#REF!,'3 ALUMINIOS'!$O:$P</definedName>
    <definedName name="Z_781ED8A8_51CE_4197_9E83_B42C8B1C8CEA_.wvu.Cols" localSheetId="7" hidden="1">'4 SUPERFICIES'!#REF!,'4 SUPERFICIES'!#REF!</definedName>
    <definedName name="Z_781ED8A8_51CE_4197_9E83_B42C8B1C8CEA_.wvu.PrintArea" localSheetId="9" hidden="1">'5 ALMACEN '!$A$1:$AB$44</definedName>
    <definedName name="Z_CF822260_65C0_11DB_9743_000854DFF85C_.wvu.PrintArea" localSheetId="9" hidden="1">'5 ALMACEN '!$A$1:$AB$44</definedName>
  </definedNames>
  <calcPr calcId="145621"/>
  <customWorkbookViews>
    <customWorkbookView name="Maderas - Vista personalizada" guid="{CF822260-65C0-11DB-9743-000854DFF85C}" mergeInterval="0" personalView="1" maximized="1" windowWidth="796" windowHeight="385" tabRatio="799" activeSheetId="6"/>
    <customWorkbookView name="User - Vista personalizada" guid="{15A61C62-840D-11DA-A6CD-BDC37E227F7F}" mergeInterval="0" personalView="1" maximized="1" windowWidth="796" windowHeight="438" tabRatio="799" activeSheetId="21"/>
    <customWorkbookView name="usuario1 - Vista personalizada" guid="{0083E5B0-44AE-40B5-9617-6484D451C028}" mergeInterval="0" personalView="1" maximized="1" windowWidth="796" windowHeight="435" tabRatio="799" activeSheetId="1"/>
    <customWorkbookView name="Usuario - Vista personalizada" guid="{781ED8A8-51CE-4197-9E83-B42C8B1C8CEA}" mergeInterval="0" personalView="1" maximized="1" windowWidth="796" windowHeight="401" tabRatio="799" activeSheetId="5"/>
  </customWorkbookViews>
  <pivotCaches>
    <pivotCache cacheId="1" r:id="rId24"/>
  </pivotCaches>
  <fileRecoveryPr autoRecover="0"/>
</workbook>
</file>

<file path=xl/calcChain.xml><?xml version="1.0" encoding="utf-8"?>
<calcChain xmlns="http://schemas.openxmlformats.org/spreadsheetml/2006/main">
  <c r="I31" i="5" l="1"/>
  <c r="D306" i="43"/>
  <c r="D305" i="43"/>
  <c r="D304" i="43"/>
  <c r="D303" i="43"/>
  <c r="D302" i="43"/>
  <c r="D301" i="43" s="1"/>
  <c r="U7" i="5"/>
  <c r="U8" i="5"/>
  <c r="D254" i="48" s="1"/>
  <c r="K254" i="48" s="1"/>
  <c r="U10" i="5"/>
  <c r="D255" i="48" s="1"/>
  <c r="K255" i="48" s="1"/>
  <c r="U12" i="5"/>
  <c r="B6" i="41" s="1"/>
  <c r="U13" i="5"/>
  <c r="D249" i="48" s="1"/>
  <c r="U23" i="5"/>
  <c r="D300" i="43"/>
  <c r="L300" i="43" s="1"/>
  <c r="D299" i="43"/>
  <c r="L299" i="43"/>
  <c r="D298" i="43"/>
  <c r="L298" i="43" s="1"/>
  <c r="D297" i="43"/>
  <c r="L297" i="43"/>
  <c r="D296" i="43"/>
  <c r="L296" i="43" s="1"/>
  <c r="D247" i="48"/>
  <c r="L247" i="48"/>
  <c r="D246" i="48"/>
  <c r="L246" i="48" s="1"/>
  <c r="A246" i="48"/>
  <c r="C448" i="48"/>
  <c r="C447" i="48"/>
  <c r="C446" i="48"/>
  <c r="C445" i="48"/>
  <c r="C444" i="48"/>
  <c r="C443" i="48"/>
  <c r="C442" i="48"/>
  <c r="C441" i="48"/>
  <c r="C440" i="48"/>
  <c r="C439" i="48"/>
  <c r="C438" i="48"/>
  <c r="C437" i="48"/>
  <c r="C436" i="48"/>
  <c r="D448" i="48"/>
  <c r="D447" i="48"/>
  <c r="L447" i="48"/>
  <c r="D446" i="48"/>
  <c r="L446" i="48" s="1"/>
  <c r="D445" i="48"/>
  <c r="L445" i="48"/>
  <c r="D444" i="48"/>
  <c r="L444" i="48" s="1"/>
  <c r="D443" i="48"/>
  <c r="L443" i="48"/>
  <c r="D442" i="48"/>
  <c r="L442" i="48" s="1"/>
  <c r="D441" i="48"/>
  <c r="L441" i="48" s="1"/>
  <c r="D440" i="48"/>
  <c r="L440" i="48" s="1"/>
  <c r="D439" i="48"/>
  <c r="L439" i="48"/>
  <c r="D438" i="48"/>
  <c r="L438" i="48" s="1"/>
  <c r="D437" i="48"/>
  <c r="L437" i="48" s="1"/>
  <c r="D436" i="48"/>
  <c r="L436" i="48" s="1"/>
  <c r="A448" i="48"/>
  <c r="A447" i="48"/>
  <c r="A446" i="48"/>
  <c r="A445" i="48"/>
  <c r="A444" i="48"/>
  <c r="A443" i="48"/>
  <c r="A442" i="48"/>
  <c r="A441" i="48"/>
  <c r="A440" i="48"/>
  <c r="A439" i="48"/>
  <c r="A438" i="48"/>
  <c r="A437" i="48"/>
  <c r="A436" i="48"/>
  <c r="D377" i="48"/>
  <c r="L377" i="48" s="1"/>
  <c r="D376" i="48"/>
  <c r="L376" i="48" s="1"/>
  <c r="D375" i="48"/>
  <c r="L375" i="48" s="1"/>
  <c r="A377" i="48"/>
  <c r="A376" i="48"/>
  <c r="A375" i="48"/>
  <c r="D337" i="48"/>
  <c r="D311" i="48"/>
  <c r="L311" i="48" s="1"/>
  <c r="D310" i="48"/>
  <c r="L310" i="48" s="1"/>
  <c r="D309" i="48"/>
  <c r="L309" i="48" s="1"/>
  <c r="D308" i="48"/>
  <c r="L308" i="48" s="1"/>
  <c r="U30" i="5"/>
  <c r="AF56" i="52"/>
  <c r="L338" i="48"/>
  <c r="A339" i="48"/>
  <c r="A338" i="48"/>
  <c r="D336" i="48"/>
  <c r="D335" i="48"/>
  <c r="D334" i="48"/>
  <c r="D333" i="48"/>
  <c r="AI13" i="52"/>
  <c r="AI11" i="52"/>
  <c r="AG13" i="52"/>
  <c r="AG11" i="52"/>
  <c r="AT56" i="52"/>
  <c r="K47" i="5"/>
  <c r="K46" i="5"/>
  <c r="K45" i="5"/>
  <c r="K48" i="5"/>
  <c r="K49" i="5"/>
  <c r="I46" i="5"/>
  <c r="I48" i="5"/>
  <c r="I47" i="5"/>
  <c r="I49" i="5"/>
  <c r="I45" i="5"/>
  <c r="AG14" i="52"/>
  <c r="AK252" i="9"/>
  <c r="BT241" i="9"/>
  <c r="M22" i="38"/>
  <c r="AL252" i="9"/>
  <c r="BT242" i="9" s="1"/>
  <c r="M23" i="38"/>
  <c r="AM252" i="9"/>
  <c r="BT243" i="9" s="1"/>
  <c r="M24" i="38"/>
  <c r="AN252" i="9"/>
  <c r="BT244" i="9" s="1"/>
  <c r="M25" i="38"/>
  <c r="S25" i="38" s="1"/>
  <c r="AO252" i="9"/>
  <c r="BT245" i="9" s="1"/>
  <c r="M26" i="38"/>
  <c r="AS252" i="9"/>
  <c r="BT246" i="9"/>
  <c r="M27" i="38"/>
  <c r="AT340" i="9"/>
  <c r="BT335" i="9" s="1"/>
  <c r="AG38" i="40" s="1"/>
  <c r="P28" i="38" s="1"/>
  <c r="AT252" i="9"/>
  <c r="BT247" i="9" s="1"/>
  <c r="M28" i="38"/>
  <c r="AU252" i="9"/>
  <c r="BT248" i="9" s="1"/>
  <c r="M29" i="38"/>
  <c r="AV252" i="9"/>
  <c r="BT249" i="9" s="1"/>
  <c r="M30" i="38"/>
  <c r="U30" i="38" s="1"/>
  <c r="AW252" i="9"/>
  <c r="BT250" i="9" s="1"/>
  <c r="M31" i="38"/>
  <c r="BA252" i="9"/>
  <c r="BT251" i="9"/>
  <c r="M32" i="38"/>
  <c r="BB252" i="9"/>
  <c r="BT252" i="9"/>
  <c r="CG252" i="9"/>
  <c r="M33" i="38"/>
  <c r="BC252" i="9"/>
  <c r="BT253" i="9"/>
  <c r="CH252" i="9"/>
  <c r="M34" i="38"/>
  <c r="BD252" i="9"/>
  <c r="CI252" i="9"/>
  <c r="M35" i="38"/>
  <c r="W35" i="38" s="1"/>
  <c r="BE252" i="9"/>
  <c r="CF252" i="9"/>
  <c r="M36" i="38"/>
  <c r="BF252" i="9"/>
  <c r="BT256" i="9" s="1"/>
  <c r="BG252" i="9"/>
  <c r="BT257" i="9" s="1"/>
  <c r="BH252" i="9"/>
  <c r="CJ252" i="9"/>
  <c r="BI252" i="9"/>
  <c r="BT259" i="9" s="1"/>
  <c r="BJ252" i="9"/>
  <c r="BT260" i="9" s="1"/>
  <c r="BK252" i="9"/>
  <c r="BT261" i="9" s="1"/>
  <c r="AP252" i="9"/>
  <c r="AQ252" i="9"/>
  <c r="AX252" i="9"/>
  <c r="AY252" i="9"/>
  <c r="BL252" i="9"/>
  <c r="BM252" i="9"/>
  <c r="BT262" i="9" s="1"/>
  <c r="CK252" i="9"/>
  <c r="CL252" i="9"/>
  <c r="BV252" i="9"/>
  <c r="BT263" i="9"/>
  <c r="M44" i="38"/>
  <c r="BW252" i="9"/>
  <c r="BX252" i="9"/>
  <c r="DF252" i="9"/>
  <c r="M45" i="38"/>
  <c r="BY252" i="9"/>
  <c r="BT265" i="9" s="1"/>
  <c r="M46" i="38"/>
  <c r="BZ252" i="9"/>
  <c r="BT266" i="9" s="1"/>
  <c r="CA252" i="9"/>
  <c r="BT267" i="9"/>
  <c r="CB252" i="9"/>
  <c r="BT268" i="9" s="1"/>
  <c r="DD252" i="9"/>
  <c r="CC252" i="9"/>
  <c r="BT269" i="9" s="1"/>
  <c r="CD252" i="9"/>
  <c r="DB252" i="9"/>
  <c r="CN252" i="9"/>
  <c r="BT270" i="9" s="1"/>
  <c r="CO252" i="9"/>
  <c r="CQ252" i="9"/>
  <c r="BT271" i="9" s="1"/>
  <c r="CR252" i="9"/>
  <c r="CT252" i="9"/>
  <c r="BT272" i="9" s="1"/>
  <c r="M53" i="38"/>
  <c r="CV252" i="9"/>
  <c r="BT273" i="9"/>
  <c r="DL252" i="9"/>
  <c r="CZ252" i="9"/>
  <c r="BT275" i="9" s="1"/>
  <c r="DH252" i="9"/>
  <c r="BT276" i="9" s="1"/>
  <c r="AG65" i="40"/>
  <c r="P55" i="38" s="1"/>
  <c r="Q55" i="38" s="1"/>
  <c r="AK339" i="9"/>
  <c r="BT290" i="9" s="1"/>
  <c r="AF32" i="40" s="1"/>
  <c r="AK251" i="9"/>
  <c r="BT202" i="9"/>
  <c r="AL339" i="9"/>
  <c r="BT291" i="9"/>
  <c r="AL251" i="9"/>
  <c r="BT203" i="9" s="1"/>
  <c r="AM339" i="9"/>
  <c r="BT292" i="9" s="1"/>
  <c r="AM251" i="9"/>
  <c r="BT204" i="9" s="1"/>
  <c r="AN339" i="9"/>
  <c r="BT293" i="9" s="1"/>
  <c r="AN251" i="9"/>
  <c r="BT205" i="9" s="1"/>
  <c r="AO339" i="9"/>
  <c r="BT294" i="9" s="1"/>
  <c r="AO251" i="9"/>
  <c r="BT206" i="9" s="1"/>
  <c r="AS339" i="9"/>
  <c r="BT295" i="9" s="1"/>
  <c r="AS251" i="9"/>
  <c r="BT207" i="9" s="1"/>
  <c r="AT339" i="9"/>
  <c r="BT296" i="9"/>
  <c r="AT251" i="9"/>
  <c r="BT208" i="9" s="1"/>
  <c r="AF38" i="40" s="1"/>
  <c r="N28" i="38" s="1"/>
  <c r="AU339" i="9"/>
  <c r="BT297" i="9"/>
  <c r="AU251" i="9"/>
  <c r="BT209" i="9" s="1"/>
  <c r="AV339" i="9"/>
  <c r="BT298" i="9" s="1"/>
  <c r="AV251" i="9"/>
  <c r="BT210" i="9" s="1"/>
  <c r="AW339" i="9"/>
  <c r="BT299" i="9"/>
  <c r="AW251" i="9"/>
  <c r="BT211" i="9" s="1"/>
  <c r="BA339" i="9"/>
  <c r="BT300" i="9" s="1"/>
  <c r="BA251" i="9"/>
  <c r="BT212" i="9" s="1"/>
  <c r="BB339" i="9"/>
  <c r="CG339" i="9"/>
  <c r="BB251" i="9"/>
  <c r="CG251" i="9"/>
  <c r="BC339" i="9"/>
  <c r="CH339" i="9"/>
  <c r="BC251" i="9"/>
  <c r="CH251" i="9"/>
  <c r="BD339" i="9"/>
  <c r="CI339" i="9"/>
  <c r="BT303" i="9" s="1"/>
  <c r="BD251" i="9"/>
  <c r="CI251" i="9"/>
  <c r="BE339" i="9"/>
  <c r="CF339" i="9"/>
  <c r="BE251" i="9"/>
  <c r="BT216" i="9" s="1"/>
  <c r="CF251" i="9"/>
  <c r="BF339" i="9"/>
  <c r="BT305" i="9"/>
  <c r="BF251" i="9"/>
  <c r="BT217" i="9"/>
  <c r="BG339" i="9"/>
  <c r="BT306" i="9" s="1"/>
  <c r="BG251" i="9"/>
  <c r="BT218" i="9" s="1"/>
  <c r="BH339" i="9"/>
  <c r="CJ339" i="9"/>
  <c r="BH251" i="9"/>
  <c r="BT219" i="9"/>
  <c r="CJ251" i="9"/>
  <c r="BI339" i="9"/>
  <c r="BT308" i="9" s="1"/>
  <c r="BI251" i="9"/>
  <c r="BT220" i="9"/>
  <c r="BJ339" i="9"/>
  <c r="BT309" i="9" s="1"/>
  <c r="BJ251" i="9"/>
  <c r="BT221" i="9" s="1"/>
  <c r="AF51" i="40" s="1"/>
  <c r="N41" i="38" s="1"/>
  <c r="BK339" i="9"/>
  <c r="BT310" i="9"/>
  <c r="BK251" i="9"/>
  <c r="BT222" i="9" s="1"/>
  <c r="AP339" i="9"/>
  <c r="AQ339" i="9"/>
  <c r="AX339" i="9"/>
  <c r="AY339" i="9"/>
  <c r="BL339" i="9"/>
  <c r="BM339" i="9"/>
  <c r="CK339" i="9"/>
  <c r="CL339" i="9"/>
  <c r="AP251" i="9"/>
  <c r="AQ251" i="9"/>
  <c r="AX251" i="9"/>
  <c r="AY251" i="9"/>
  <c r="BL251" i="9"/>
  <c r="BM251" i="9"/>
  <c r="CK251" i="9"/>
  <c r="CL251" i="9"/>
  <c r="BV339" i="9"/>
  <c r="BT312" i="9" s="1"/>
  <c r="BV251" i="9"/>
  <c r="BT224" i="9" s="1"/>
  <c r="BW339" i="9"/>
  <c r="BX339" i="9"/>
  <c r="DF339" i="9"/>
  <c r="BW251" i="9"/>
  <c r="BX251" i="9"/>
  <c r="DF251" i="9"/>
  <c r="BY339" i="9"/>
  <c r="BT314" i="9" s="1"/>
  <c r="BY251" i="9"/>
  <c r="BT226" i="9"/>
  <c r="BZ339" i="9"/>
  <c r="BT315" i="9" s="1"/>
  <c r="BZ251" i="9"/>
  <c r="BT227" i="9" s="1"/>
  <c r="CA339" i="9"/>
  <c r="BT316" i="9" s="1"/>
  <c r="CA251" i="9"/>
  <c r="BT228" i="9" s="1"/>
  <c r="CB339" i="9"/>
  <c r="DD339" i="9"/>
  <c r="CB251" i="9"/>
  <c r="BT229" i="9"/>
  <c r="DD251" i="9"/>
  <c r="CC339" i="9"/>
  <c r="BT318" i="9" s="1"/>
  <c r="CD339" i="9"/>
  <c r="DB339" i="9"/>
  <c r="CC251" i="9"/>
  <c r="CD251" i="9"/>
  <c r="DB251" i="9"/>
  <c r="CN339" i="9"/>
  <c r="CO339" i="9"/>
  <c r="BT319" i="9" s="1"/>
  <c r="CN251" i="9"/>
  <c r="CO251" i="9"/>
  <c r="CQ339" i="9"/>
  <c r="BT320" i="9"/>
  <c r="CR339" i="9"/>
  <c r="CQ251" i="9"/>
  <c r="BT232" i="9" s="1"/>
  <c r="CR251" i="9"/>
  <c r="CT339" i="9"/>
  <c r="BT321" i="9" s="1"/>
  <c r="CT251" i="9"/>
  <c r="BT233" i="9" s="1"/>
  <c r="AF63" i="40" s="1"/>
  <c r="N53" i="38" s="1"/>
  <c r="O53" i="38" s="1"/>
  <c r="CV339" i="9"/>
  <c r="BT322" i="9" s="1"/>
  <c r="DL339" i="9"/>
  <c r="CV251" i="9"/>
  <c r="BT234" i="9" s="1"/>
  <c r="DL251" i="9"/>
  <c r="CZ339" i="9"/>
  <c r="BT324" i="9" s="1"/>
  <c r="CZ251" i="9"/>
  <c r="BT236" i="9" s="1"/>
  <c r="DH339" i="9"/>
  <c r="BT325" i="9" s="1"/>
  <c r="DH251" i="9"/>
  <c r="BT237" i="9" s="1"/>
  <c r="AF65" i="40"/>
  <c r="N55" i="38" s="1"/>
  <c r="O55" i="38" s="1"/>
  <c r="AG12" i="52"/>
  <c r="AS338" i="9" s="1"/>
  <c r="BQ295" i="9" s="1"/>
  <c r="Z37" i="40" s="1"/>
  <c r="E27" i="38" s="1"/>
  <c r="AK250" i="9"/>
  <c r="BQ202" i="9" s="1"/>
  <c r="AL250" i="9"/>
  <c r="BQ203" i="9" s="1"/>
  <c r="AM250" i="9"/>
  <c r="BQ204" i="9" s="1"/>
  <c r="AN250" i="9"/>
  <c r="BQ205" i="9" s="1"/>
  <c r="AO250" i="9"/>
  <c r="BQ206" i="9" s="1"/>
  <c r="AS250" i="9"/>
  <c r="BQ207" i="9" s="1"/>
  <c r="AT250" i="9"/>
  <c r="BQ208" i="9" s="1"/>
  <c r="AU250" i="9"/>
  <c r="BQ209" i="9" s="1"/>
  <c r="AV250" i="9"/>
  <c r="BQ210" i="9" s="1"/>
  <c r="AW338" i="9"/>
  <c r="BQ299" i="9" s="1"/>
  <c r="Z41" i="40" s="1"/>
  <c r="E31" i="38" s="1"/>
  <c r="F31" i="38" s="1"/>
  <c r="AW250" i="9"/>
  <c r="BQ211" i="9" s="1"/>
  <c r="BA250" i="9"/>
  <c r="BQ212" i="9" s="1"/>
  <c r="BB338" i="9"/>
  <c r="BB250" i="9"/>
  <c r="CG250" i="9"/>
  <c r="BQ213" i="9" s="1"/>
  <c r="CH338" i="9"/>
  <c r="BC250" i="9"/>
  <c r="CH250" i="9"/>
  <c r="BQ214" i="9" s="1"/>
  <c r="BD250" i="9"/>
  <c r="BQ215" i="9" s="1"/>
  <c r="CI250" i="9"/>
  <c r="CF338" i="9"/>
  <c r="BE250" i="9"/>
  <c r="CF250" i="9"/>
  <c r="BF338" i="9"/>
  <c r="BQ305" i="9" s="1"/>
  <c r="BF250" i="9"/>
  <c r="BQ217" i="9" s="1"/>
  <c r="BG250" i="9"/>
  <c r="BQ218" i="9" s="1"/>
  <c r="BH250" i="9"/>
  <c r="BQ219" i="9" s="1"/>
  <c r="CJ250" i="9"/>
  <c r="BI250" i="9"/>
  <c r="BQ220" i="9" s="1"/>
  <c r="BJ338" i="9"/>
  <c r="BQ309" i="9" s="1"/>
  <c r="BJ250" i="9"/>
  <c r="BQ221" i="9" s="1"/>
  <c r="BK338" i="9"/>
  <c r="BQ310" i="9" s="1"/>
  <c r="BK250" i="9"/>
  <c r="BQ222" i="9" s="1"/>
  <c r="AP338" i="9"/>
  <c r="AQ338" i="9"/>
  <c r="AX338" i="9"/>
  <c r="CK338" i="9"/>
  <c r="AP250" i="9"/>
  <c r="AQ250" i="9"/>
  <c r="AX250" i="9"/>
  <c r="AY250" i="9"/>
  <c r="BL250" i="9"/>
  <c r="BM250" i="9"/>
  <c r="CK250" i="9"/>
  <c r="CL250" i="9"/>
  <c r="BV250" i="9"/>
  <c r="BQ224" i="9"/>
  <c r="BW338" i="9"/>
  <c r="BX338" i="9"/>
  <c r="BW250" i="9"/>
  <c r="BX250" i="9"/>
  <c r="DF250" i="9"/>
  <c r="BY250" i="9"/>
  <c r="BQ226" i="9" s="1"/>
  <c r="BZ250" i="9"/>
  <c r="BQ227" i="9"/>
  <c r="CA250" i="9"/>
  <c r="BQ228" i="9" s="1"/>
  <c r="DD338" i="9"/>
  <c r="CB250" i="9"/>
  <c r="DD250" i="9"/>
  <c r="CC338" i="9"/>
  <c r="CD338" i="9"/>
  <c r="DB338" i="9"/>
  <c r="CC250" i="9"/>
  <c r="BQ230" i="9" s="1"/>
  <c r="CD250" i="9"/>
  <c r="DB250" i="9"/>
  <c r="CN338" i="9"/>
  <c r="CO338" i="9"/>
  <c r="CN250" i="9"/>
  <c r="BQ231" i="9" s="1"/>
  <c r="CO250" i="9"/>
  <c r="CQ338" i="9"/>
  <c r="BQ320" i="9" s="1"/>
  <c r="Z62" i="40" s="1"/>
  <c r="E52" i="38" s="1"/>
  <c r="F52" i="38" s="1"/>
  <c r="CR338" i="9"/>
  <c r="CQ250" i="9"/>
  <c r="BQ232" i="9" s="1"/>
  <c r="CR250" i="9"/>
  <c r="CT338" i="9"/>
  <c r="BQ321" i="9" s="1"/>
  <c r="CT250" i="9"/>
  <c r="BQ233" i="9" s="1"/>
  <c r="CV338" i="9"/>
  <c r="DL338" i="9"/>
  <c r="CV250" i="9"/>
  <c r="DL250" i="9"/>
  <c r="BQ234" i="9" s="1"/>
  <c r="CZ338" i="9"/>
  <c r="BQ324" i="9" s="1"/>
  <c r="CZ250" i="9"/>
  <c r="BQ236" i="9" s="1"/>
  <c r="DH338" i="9"/>
  <c r="BQ325" i="9" s="1"/>
  <c r="DH250" i="9"/>
  <c r="BQ237" i="9" s="1"/>
  <c r="Z65" i="40"/>
  <c r="E55" i="38" s="1"/>
  <c r="F55" i="38" s="1"/>
  <c r="AK290" i="9"/>
  <c r="AK249" i="9"/>
  <c r="BQ241" i="9"/>
  <c r="AL290" i="9"/>
  <c r="AL249" i="9"/>
  <c r="BQ242" i="9"/>
  <c r="AM290" i="9"/>
  <c r="AM249" i="9"/>
  <c r="BQ243" i="9" s="1"/>
  <c r="AN290" i="9"/>
  <c r="AN249" i="9"/>
  <c r="BQ244" i="9" s="1"/>
  <c r="AB11" i="52"/>
  <c r="AO290" i="9"/>
  <c r="AO249" i="9"/>
  <c r="BQ245" i="9" s="1"/>
  <c r="AS290" i="9"/>
  <c r="AS249" i="9"/>
  <c r="BQ246" i="9" s="1"/>
  <c r="AT290" i="9"/>
  <c r="AT249" i="9"/>
  <c r="BQ247" i="9"/>
  <c r="AU290" i="9"/>
  <c r="AU249" i="9"/>
  <c r="BQ248" i="9" s="1"/>
  <c r="AV290" i="9"/>
  <c r="AV249" i="9"/>
  <c r="BQ249" i="9" s="1"/>
  <c r="AW290" i="9"/>
  <c r="AW337" i="9"/>
  <c r="BQ338" i="9" s="1"/>
  <c r="AW249" i="9"/>
  <c r="BQ250" i="9" s="1"/>
  <c r="BA290" i="9"/>
  <c r="BA337" i="9"/>
  <c r="BQ339" i="9" s="1"/>
  <c r="BA249" i="9"/>
  <c r="BQ251" i="9" s="1"/>
  <c r="BB290" i="9"/>
  <c r="CG290" i="9"/>
  <c r="CG337" i="9"/>
  <c r="BB249" i="9"/>
  <c r="CG249" i="9"/>
  <c r="BC290" i="9"/>
  <c r="CH290" i="9"/>
  <c r="BC249" i="9"/>
  <c r="CH249" i="9"/>
  <c r="BD290" i="9"/>
  <c r="CI290" i="9"/>
  <c r="BD249" i="9"/>
  <c r="BQ254" i="9" s="1"/>
  <c r="CI249" i="9"/>
  <c r="BE290" i="9"/>
  <c r="BE337" i="9"/>
  <c r="CF290" i="9"/>
  <c r="CF337" i="9"/>
  <c r="BE249" i="9"/>
  <c r="CF249" i="9"/>
  <c r="BQ255" i="9" s="1"/>
  <c r="BF290" i="9"/>
  <c r="BF337" i="9"/>
  <c r="BQ344" i="9" s="1"/>
  <c r="BF249" i="9"/>
  <c r="BQ256" i="9" s="1"/>
  <c r="BG290" i="9"/>
  <c r="BG249" i="9"/>
  <c r="BQ257" i="9" s="1"/>
  <c r="BH290" i="9"/>
  <c r="CJ290" i="9"/>
  <c r="BH249" i="9"/>
  <c r="CJ249" i="9"/>
  <c r="BQ258" i="9"/>
  <c r="BI290" i="9"/>
  <c r="BI249" i="9"/>
  <c r="BQ259" i="9" s="1"/>
  <c r="BJ290" i="9"/>
  <c r="BJ249" i="9"/>
  <c r="BQ260" i="9" s="1"/>
  <c r="BK290" i="9"/>
  <c r="BK249" i="9"/>
  <c r="BQ261" i="9"/>
  <c r="AP290" i="9"/>
  <c r="AQ290" i="9"/>
  <c r="AX290" i="9"/>
  <c r="AX337" i="9"/>
  <c r="AY290" i="9"/>
  <c r="BL290" i="9"/>
  <c r="BM290" i="9"/>
  <c r="CK290" i="9"/>
  <c r="CL290" i="9"/>
  <c r="AP249" i="9"/>
  <c r="AQ249" i="9"/>
  <c r="AX249" i="9"/>
  <c r="AY249" i="9"/>
  <c r="BL249" i="9"/>
  <c r="BM249" i="9"/>
  <c r="CK249" i="9"/>
  <c r="CL249" i="9"/>
  <c r="BV290" i="9"/>
  <c r="BV249" i="9"/>
  <c r="BQ263" i="9"/>
  <c r="BW290" i="9"/>
  <c r="BW337" i="9"/>
  <c r="BX290" i="9"/>
  <c r="DF290" i="9"/>
  <c r="BW249" i="9"/>
  <c r="BX249" i="9"/>
  <c r="DF249" i="9"/>
  <c r="BY290" i="9"/>
  <c r="BY249" i="9"/>
  <c r="BQ265" i="9" s="1"/>
  <c r="BZ290" i="9"/>
  <c r="BZ249" i="9"/>
  <c r="BQ266" i="9" s="1"/>
  <c r="CA290" i="9"/>
  <c r="CA337" i="9"/>
  <c r="BQ355" i="9" s="1"/>
  <c r="CA249" i="9"/>
  <c r="BQ267" i="9" s="1"/>
  <c r="CB290" i="9"/>
  <c r="DD290" i="9"/>
  <c r="CB249" i="9"/>
  <c r="BQ268" i="9"/>
  <c r="DD249" i="9"/>
  <c r="CC290" i="9"/>
  <c r="CD290" i="9"/>
  <c r="CD337" i="9"/>
  <c r="DB290" i="9"/>
  <c r="CC249" i="9"/>
  <c r="CD249" i="9"/>
  <c r="DB249" i="9"/>
  <c r="CN290" i="9"/>
  <c r="CN337" i="9"/>
  <c r="CO290" i="9"/>
  <c r="CN249" i="9"/>
  <c r="BQ270" i="9"/>
  <c r="CO249" i="9"/>
  <c r="CQ290" i="9"/>
  <c r="CR290" i="9"/>
  <c r="CR337" i="9"/>
  <c r="CQ249" i="9"/>
  <c r="CR249" i="9"/>
  <c r="CT290" i="9"/>
  <c r="CT337" i="9"/>
  <c r="BQ360" i="9" s="1"/>
  <c r="CT249" i="9"/>
  <c r="BQ272" i="9" s="1"/>
  <c r="CV290" i="9"/>
  <c r="DL290" i="9"/>
  <c r="DL337" i="9"/>
  <c r="CV249" i="9"/>
  <c r="DL249" i="9"/>
  <c r="BQ273" i="9" s="1"/>
  <c r="CZ290" i="9"/>
  <c r="CZ249" i="9"/>
  <c r="BQ275" i="9" s="1"/>
  <c r="DH290" i="9"/>
  <c r="DH249" i="9"/>
  <c r="BQ276" i="9" s="1"/>
  <c r="Y65" i="40"/>
  <c r="C55" i="38" s="1"/>
  <c r="D55" i="38" s="1"/>
  <c r="AI14" i="52"/>
  <c r="Z23" i="40" s="1"/>
  <c r="D10" i="38" s="1"/>
  <c r="A96" i="43" s="1"/>
  <c r="Z16" i="40"/>
  <c r="D4" i="38" s="1"/>
  <c r="A91" i="43" s="1"/>
  <c r="B29" i="7"/>
  <c r="C29" i="7"/>
  <c r="C40" i="2" s="1"/>
  <c r="C38" i="8" s="1"/>
  <c r="A219" i="9"/>
  <c r="K27" i="41"/>
  <c r="A220" i="9"/>
  <c r="K28" i="41"/>
  <c r="A221" i="9"/>
  <c r="K29" i="41" s="1"/>
  <c r="D293" i="43" s="1"/>
  <c r="A222" i="9"/>
  <c r="K30" i="41"/>
  <c r="Z46" i="5"/>
  <c r="A118" i="43"/>
  <c r="Z45" i="5"/>
  <c r="A117" i="43"/>
  <c r="W53" i="5"/>
  <c r="F9" i="43"/>
  <c r="B35" i="7"/>
  <c r="B46" i="2" s="1"/>
  <c r="BT23" i="2" s="1"/>
  <c r="C35" i="7"/>
  <c r="C46" i="2" s="1"/>
  <c r="C44" i="8" s="1"/>
  <c r="C22" i="9" s="1"/>
  <c r="U32" i="5"/>
  <c r="D123" i="43"/>
  <c r="D116" i="43"/>
  <c r="D128" i="43" s="1"/>
  <c r="W54" i="5"/>
  <c r="W52" i="5"/>
  <c r="Z48" i="5"/>
  <c r="A120" i="43" s="1"/>
  <c r="Z47" i="5"/>
  <c r="A119" i="43" s="1"/>
  <c r="B14" i="4"/>
  <c r="B13" i="4"/>
  <c r="B12" i="4"/>
  <c r="W45" i="5"/>
  <c r="W46" i="5"/>
  <c r="W47" i="5"/>
  <c r="W48" i="5"/>
  <c r="W55" i="5"/>
  <c r="Z53" i="5"/>
  <c r="Z54" i="5"/>
  <c r="Z55" i="5"/>
  <c r="Z52" i="5"/>
  <c r="B32" i="7"/>
  <c r="B31" i="7"/>
  <c r="I9" i="7" s="1"/>
  <c r="B30" i="7"/>
  <c r="L8" i="7" s="1"/>
  <c r="C31" i="7"/>
  <c r="A230" i="9"/>
  <c r="C30" i="7"/>
  <c r="C41" i="2"/>
  <c r="B36" i="7"/>
  <c r="C34" i="7"/>
  <c r="C45" i="2" s="1"/>
  <c r="C43" i="8" s="1"/>
  <c r="AN88" i="9"/>
  <c r="AA88" i="9" s="1"/>
  <c r="AM88" i="9"/>
  <c r="Z88" i="9" s="1"/>
  <c r="AL88" i="9"/>
  <c r="Y88" i="9" s="1"/>
  <c r="AK88" i="9"/>
  <c r="X88" i="9" s="1"/>
  <c r="AJ88" i="9"/>
  <c r="W88" i="9" s="1"/>
  <c r="AI88" i="9"/>
  <c r="V88" i="9" s="1"/>
  <c r="AH88" i="9"/>
  <c r="U88" i="9" s="1"/>
  <c r="AG88" i="9"/>
  <c r="T88" i="9" s="1"/>
  <c r="AF88" i="9"/>
  <c r="S88" i="9" s="1"/>
  <c r="AE88" i="9"/>
  <c r="R88" i="9" s="1"/>
  <c r="AD88" i="9"/>
  <c r="Q88" i="9" s="1"/>
  <c r="AC88" i="9"/>
  <c r="P88" i="9" s="1"/>
  <c r="AN86" i="9"/>
  <c r="AA86" i="9" s="1"/>
  <c r="AM86" i="9"/>
  <c r="Z86" i="9" s="1"/>
  <c r="AL86" i="9"/>
  <c r="Y86" i="9" s="1"/>
  <c r="AK86" i="9"/>
  <c r="AJ86" i="9"/>
  <c r="W86" i="9" s="1"/>
  <c r="AI86" i="9"/>
  <c r="V86" i="9" s="1"/>
  <c r="AH86" i="9"/>
  <c r="U86" i="9" s="1"/>
  <c r="AG86" i="9"/>
  <c r="T86" i="9" s="1"/>
  <c r="AF86" i="9"/>
  <c r="S86" i="9" s="1"/>
  <c r="AE86" i="9"/>
  <c r="R86" i="9" s="1"/>
  <c r="AD86" i="9"/>
  <c r="Q86" i="9" s="1"/>
  <c r="AC86" i="9"/>
  <c r="AN84" i="9"/>
  <c r="AA84" i="9" s="1"/>
  <c r="AM84" i="9"/>
  <c r="Z84" i="9" s="1"/>
  <c r="AL84" i="9"/>
  <c r="Y84" i="9" s="1"/>
  <c r="AK84" i="9"/>
  <c r="X84" i="9" s="1"/>
  <c r="AJ84" i="9"/>
  <c r="W84" i="9" s="1"/>
  <c r="AI84" i="9"/>
  <c r="V84" i="9" s="1"/>
  <c r="AH84" i="9"/>
  <c r="U84" i="9" s="1"/>
  <c r="AG84" i="9"/>
  <c r="T84" i="9" s="1"/>
  <c r="AF84" i="9"/>
  <c r="S84" i="9" s="1"/>
  <c r="AE84" i="9"/>
  <c r="AD84" i="9"/>
  <c r="Q84" i="9" s="1"/>
  <c r="AC84" i="9"/>
  <c r="P84" i="9" s="1"/>
  <c r="AN82" i="9"/>
  <c r="AA82" i="9" s="1"/>
  <c r="AM82" i="9"/>
  <c r="Z82" i="9" s="1"/>
  <c r="AL82" i="9"/>
  <c r="Y82" i="9" s="1"/>
  <c r="AK82" i="9"/>
  <c r="X82" i="9" s="1"/>
  <c r="AJ82" i="9"/>
  <c r="W82" i="9" s="1"/>
  <c r="AI82" i="9"/>
  <c r="V82" i="9" s="1"/>
  <c r="AH82" i="9"/>
  <c r="U82" i="9" s="1"/>
  <c r="AG82" i="9"/>
  <c r="T82" i="9" s="1"/>
  <c r="AF82" i="9"/>
  <c r="S82" i="9" s="1"/>
  <c r="AE82" i="9"/>
  <c r="R82" i="9" s="1"/>
  <c r="AD82" i="9"/>
  <c r="Q82" i="9" s="1"/>
  <c r="AC82" i="9"/>
  <c r="P82" i="9" s="1"/>
  <c r="N82" i="9"/>
  <c r="M82" i="9"/>
  <c r="L82" i="9"/>
  <c r="K82" i="9"/>
  <c r="J82" i="9"/>
  <c r="I82" i="9"/>
  <c r="H82" i="9"/>
  <c r="G82" i="9"/>
  <c r="F82" i="9"/>
  <c r="E82" i="9"/>
  <c r="D82" i="9"/>
  <c r="C82" i="9"/>
  <c r="N81" i="9"/>
  <c r="M81" i="9"/>
  <c r="L81" i="9"/>
  <c r="K81" i="9"/>
  <c r="J81" i="9"/>
  <c r="I81" i="9"/>
  <c r="H81" i="9"/>
  <c r="G81" i="9"/>
  <c r="F81" i="9"/>
  <c r="E81" i="9"/>
  <c r="D81" i="9"/>
  <c r="C81" i="9"/>
  <c r="AN80" i="9"/>
  <c r="AA80" i="9" s="1"/>
  <c r="AM80" i="9"/>
  <c r="Z80" i="9" s="1"/>
  <c r="AL80" i="9"/>
  <c r="Y80" i="9" s="1"/>
  <c r="AK80" i="9"/>
  <c r="X80" i="9" s="1"/>
  <c r="AJ80" i="9"/>
  <c r="W80" i="9" s="1"/>
  <c r="AI80" i="9"/>
  <c r="V80" i="9" s="1"/>
  <c r="AH80" i="9"/>
  <c r="U80" i="9" s="1"/>
  <c r="AG80" i="9"/>
  <c r="T80" i="9" s="1"/>
  <c r="AF80" i="9"/>
  <c r="S80" i="9" s="1"/>
  <c r="AE80" i="9"/>
  <c r="R80" i="9" s="1"/>
  <c r="AD80" i="9"/>
  <c r="Q80" i="9" s="1"/>
  <c r="AC80" i="9"/>
  <c r="P80" i="9" s="1"/>
  <c r="N80" i="9"/>
  <c r="M80" i="9"/>
  <c r="L80" i="9"/>
  <c r="K80" i="9"/>
  <c r="J80" i="9"/>
  <c r="I80" i="9"/>
  <c r="H80" i="9"/>
  <c r="G80" i="9"/>
  <c r="F80" i="9"/>
  <c r="E80" i="9"/>
  <c r="D80" i="9"/>
  <c r="C80" i="9"/>
  <c r="N79" i="9"/>
  <c r="M79" i="9"/>
  <c r="L79" i="9"/>
  <c r="K79" i="9"/>
  <c r="J79" i="9"/>
  <c r="I79" i="9"/>
  <c r="H79" i="9"/>
  <c r="G79" i="9"/>
  <c r="F79" i="9"/>
  <c r="E79" i="9"/>
  <c r="D79" i="9"/>
  <c r="C79" i="9"/>
  <c r="AN78" i="9"/>
  <c r="AA78" i="9" s="1"/>
  <c r="AM78" i="9"/>
  <c r="Z78" i="9" s="1"/>
  <c r="AL78" i="9"/>
  <c r="Y78" i="9" s="1"/>
  <c r="AK78" i="9"/>
  <c r="X78" i="9" s="1"/>
  <c r="AJ78" i="9"/>
  <c r="W78" i="9" s="1"/>
  <c r="AI78" i="9"/>
  <c r="V78" i="9" s="1"/>
  <c r="AH78" i="9"/>
  <c r="U78" i="9" s="1"/>
  <c r="AG78" i="9"/>
  <c r="T78" i="9" s="1"/>
  <c r="AF78" i="9"/>
  <c r="S78" i="9" s="1"/>
  <c r="AE78" i="9"/>
  <c r="R78" i="9" s="1"/>
  <c r="AD78" i="9"/>
  <c r="Q78" i="9" s="1"/>
  <c r="AC78" i="9"/>
  <c r="P78" i="9" s="1"/>
  <c r="N78" i="9"/>
  <c r="M78" i="9"/>
  <c r="L78" i="9"/>
  <c r="K78" i="9"/>
  <c r="J78" i="9"/>
  <c r="I78" i="9"/>
  <c r="H78" i="9"/>
  <c r="G78" i="9"/>
  <c r="F78" i="9"/>
  <c r="E78" i="9"/>
  <c r="D78" i="9"/>
  <c r="C78" i="9"/>
  <c r="AN76" i="9"/>
  <c r="AM76" i="9"/>
  <c r="AL76" i="9"/>
  <c r="AK76" i="9"/>
  <c r="AJ76" i="9"/>
  <c r="AI76" i="9"/>
  <c r="AH76" i="9"/>
  <c r="AG76" i="9"/>
  <c r="AF76" i="9"/>
  <c r="AE76" i="9"/>
  <c r="AD76" i="9"/>
  <c r="AC76" i="9"/>
  <c r="CP63" i="9"/>
  <c r="CO63" i="9"/>
  <c r="CN63" i="9"/>
  <c r="CM63" i="9"/>
  <c r="CL63" i="9"/>
  <c r="CK63" i="9"/>
  <c r="CJ63" i="9"/>
  <c r="CI63" i="9"/>
  <c r="CH63" i="9"/>
  <c r="CG63" i="9"/>
  <c r="CF63" i="9"/>
  <c r="CE63" i="9"/>
  <c r="CP62" i="9"/>
  <c r="CO62" i="9"/>
  <c r="CN62" i="9"/>
  <c r="CM62" i="9"/>
  <c r="CL62" i="9"/>
  <c r="CK62" i="9"/>
  <c r="CJ62" i="9"/>
  <c r="CI62" i="9"/>
  <c r="CH62" i="9"/>
  <c r="CG62" i="9"/>
  <c r="CF62" i="9"/>
  <c r="CE62" i="9"/>
  <c r="CP64" i="9"/>
  <c r="CP68" i="9" s="1"/>
  <c r="CO64" i="9"/>
  <c r="CO68" i="9" s="1"/>
  <c r="CN64" i="9"/>
  <c r="CN68" i="9" s="1"/>
  <c r="CM64" i="9"/>
  <c r="CM68" i="9" s="1"/>
  <c r="CL64" i="9"/>
  <c r="CL68" i="9" s="1"/>
  <c r="CK64" i="9"/>
  <c r="CK68" i="9" s="1"/>
  <c r="CJ64" i="9"/>
  <c r="CJ68" i="9" s="1"/>
  <c r="CI64" i="9"/>
  <c r="CI68" i="9" s="1"/>
  <c r="CH64" i="9"/>
  <c r="CH68" i="9" s="1"/>
  <c r="CG64" i="9"/>
  <c r="CG68" i="9" s="1"/>
  <c r="CF64" i="9"/>
  <c r="CF68" i="9" s="1"/>
  <c r="CE64" i="9"/>
  <c r="CE68" i="9" s="1"/>
  <c r="B6" i="43"/>
  <c r="DB64" i="9"/>
  <c r="DA64" i="9"/>
  <c r="DA68" i="9" s="1"/>
  <c r="CZ64" i="9"/>
  <c r="CZ68" i="9" s="1"/>
  <c r="CY64" i="9"/>
  <c r="CY68" i="9" s="1"/>
  <c r="CX64" i="9"/>
  <c r="CX68" i="9" s="1"/>
  <c r="CW64" i="9"/>
  <c r="CW68" i="9" s="1"/>
  <c r="CV64" i="9"/>
  <c r="CV68" i="9" s="1"/>
  <c r="CU64" i="9"/>
  <c r="CU68" i="9" s="1"/>
  <c r="CT64" i="9"/>
  <c r="CT68" i="9" s="1"/>
  <c r="CS64" i="9"/>
  <c r="CS68" i="9" s="1"/>
  <c r="CR64" i="9"/>
  <c r="CR68" i="9" s="1"/>
  <c r="CQ64" i="9"/>
  <c r="CQ68" i="9" s="1"/>
  <c r="CD64" i="9"/>
  <c r="CD68" i="9" s="1"/>
  <c r="CC64" i="9"/>
  <c r="CC68" i="9" s="1"/>
  <c r="CB64" i="9"/>
  <c r="CB68" i="9" s="1"/>
  <c r="CA64" i="9"/>
  <c r="BZ64" i="9"/>
  <c r="BZ68" i="9" s="1"/>
  <c r="BY64" i="9"/>
  <c r="BY68" i="9" s="1"/>
  <c r="BX64" i="9"/>
  <c r="BX68" i="9" s="1"/>
  <c r="BW64" i="9"/>
  <c r="BW68" i="9" s="1"/>
  <c r="BV64" i="9"/>
  <c r="BV68" i="9" s="1"/>
  <c r="BU64" i="9"/>
  <c r="BU68" i="9" s="1"/>
  <c r="BT64" i="9"/>
  <c r="BT68" i="9" s="1"/>
  <c r="BS64" i="9"/>
  <c r="BS68" i="9" s="1"/>
  <c r="BR64" i="9"/>
  <c r="BR68" i="9" s="1"/>
  <c r="BQ64" i="9"/>
  <c r="BQ68" i="9" s="1"/>
  <c r="BP64" i="9"/>
  <c r="BP68" i="9" s="1"/>
  <c r="BO64" i="9"/>
  <c r="BO68" i="9" s="1"/>
  <c r="BN64" i="9"/>
  <c r="BN68" i="9" s="1"/>
  <c r="BM64" i="9"/>
  <c r="BM68" i="9" s="1"/>
  <c r="BL64" i="9"/>
  <c r="BL68" i="9" s="1"/>
  <c r="BK64" i="9"/>
  <c r="BK68" i="9" s="1"/>
  <c r="BJ64" i="9"/>
  <c r="BJ68" i="9" s="1"/>
  <c r="BI64" i="9"/>
  <c r="BI68" i="9" s="1"/>
  <c r="BH64" i="9"/>
  <c r="BH68" i="9" s="1"/>
  <c r="BG64" i="9"/>
  <c r="S7" i="9"/>
  <c r="S8" i="9"/>
  <c r="S9" i="9"/>
  <c r="R7" i="9"/>
  <c r="R8" i="9"/>
  <c r="R9" i="9"/>
  <c r="AA7" i="9"/>
  <c r="AA8" i="9"/>
  <c r="AA9" i="9"/>
  <c r="AA10" i="9" s="1"/>
  <c r="BR67" i="9" s="1"/>
  <c r="P7" i="9"/>
  <c r="P8" i="9"/>
  <c r="P9" i="9"/>
  <c r="AK142" i="9"/>
  <c r="AK132" i="9"/>
  <c r="X132" i="9" s="1"/>
  <c r="AK134" i="9"/>
  <c r="X134" i="9" s="1"/>
  <c r="AK136" i="9"/>
  <c r="X136" i="9" s="1"/>
  <c r="AK138" i="9"/>
  <c r="X138" i="9" s="1"/>
  <c r="AK140" i="9"/>
  <c r="X140" i="9" s="1"/>
  <c r="F8" i="9"/>
  <c r="F7" i="9"/>
  <c r="F9" i="9"/>
  <c r="F10" i="9"/>
  <c r="F11" i="9"/>
  <c r="E8" i="9"/>
  <c r="E7" i="9"/>
  <c r="E9" i="9"/>
  <c r="E10" i="9"/>
  <c r="E11" i="9"/>
  <c r="N7" i="9"/>
  <c r="N8" i="9"/>
  <c r="N9" i="9"/>
  <c r="N10" i="9"/>
  <c r="N11" i="9"/>
  <c r="C7" i="9"/>
  <c r="C8" i="9"/>
  <c r="C9" i="9"/>
  <c r="C10" i="9"/>
  <c r="C11" i="9"/>
  <c r="AN132" i="9"/>
  <c r="AN134" i="9"/>
  <c r="AA134" i="9" s="1"/>
  <c r="AN136" i="9"/>
  <c r="AA136" i="9" s="1"/>
  <c r="AN138" i="9"/>
  <c r="AA138" i="9" s="1"/>
  <c r="AN140" i="9"/>
  <c r="AA140" i="9"/>
  <c r="AN142" i="9"/>
  <c r="AA142" i="9" s="1"/>
  <c r="AM132" i="9"/>
  <c r="AM134" i="9"/>
  <c r="Z134" i="9" s="1"/>
  <c r="AM136" i="9"/>
  <c r="AM138" i="9"/>
  <c r="AM140" i="9"/>
  <c r="Z140" i="9" s="1"/>
  <c r="AM142" i="9"/>
  <c r="AL132" i="9"/>
  <c r="Y132" i="9" s="1"/>
  <c r="AL134" i="9"/>
  <c r="Y134" i="9" s="1"/>
  <c r="AL136" i="9"/>
  <c r="Y136" i="9" s="1"/>
  <c r="AL138" i="9"/>
  <c r="Y138" i="9" s="1"/>
  <c r="AL140" i="9"/>
  <c r="Y140" i="9"/>
  <c r="AL142" i="9"/>
  <c r="Y131" i="9" s="1"/>
  <c r="CZ67" i="9" s="1"/>
  <c r="AJ132" i="9"/>
  <c r="AJ134" i="9"/>
  <c r="W134" i="9" s="1"/>
  <c r="AJ136" i="9"/>
  <c r="W136" i="9" s="1"/>
  <c r="AJ138" i="9"/>
  <c r="AJ140" i="9"/>
  <c r="W140" i="9" s="1"/>
  <c r="AJ142" i="9"/>
  <c r="W142" i="9" s="1"/>
  <c r="W138" i="9"/>
  <c r="AI132" i="9"/>
  <c r="AI134" i="9"/>
  <c r="AI136" i="9"/>
  <c r="AI138" i="9"/>
  <c r="V138" i="9"/>
  <c r="AI140" i="9"/>
  <c r="V140" i="9"/>
  <c r="AI142" i="9"/>
  <c r="V142" i="9" s="1"/>
  <c r="AH132" i="9"/>
  <c r="AH134" i="9"/>
  <c r="U134" i="9" s="1"/>
  <c r="AH136" i="9"/>
  <c r="U136" i="9" s="1"/>
  <c r="AH138" i="9"/>
  <c r="AH140" i="9"/>
  <c r="U140" i="9" s="1"/>
  <c r="AH142" i="9"/>
  <c r="U142" i="9" s="1"/>
  <c r="AG132" i="9"/>
  <c r="AG134" i="9"/>
  <c r="AG136" i="9"/>
  <c r="T136" i="9"/>
  <c r="AG138" i="9"/>
  <c r="T138" i="9" s="1"/>
  <c r="AG140" i="9"/>
  <c r="T140" i="9" s="1"/>
  <c r="AG142" i="9"/>
  <c r="AF132" i="9"/>
  <c r="S132" i="9"/>
  <c r="AF134" i="9"/>
  <c r="S134" i="9" s="1"/>
  <c r="AF136" i="9"/>
  <c r="S136" i="9" s="1"/>
  <c r="AF138" i="9"/>
  <c r="AF140" i="9"/>
  <c r="S140" i="9" s="1"/>
  <c r="AF142" i="9"/>
  <c r="AE132" i="9"/>
  <c r="AE134" i="9"/>
  <c r="AE136" i="9"/>
  <c r="R136" i="9" s="1"/>
  <c r="AE138" i="9"/>
  <c r="R138" i="9" s="1"/>
  <c r="AE140" i="9"/>
  <c r="R140" i="9" s="1"/>
  <c r="AE142" i="9"/>
  <c r="AD132" i="9"/>
  <c r="AD134" i="9"/>
  <c r="Q134" i="9"/>
  <c r="AD136" i="9"/>
  <c r="Q136" i="9" s="1"/>
  <c r="AD138" i="9"/>
  <c r="AD140" i="9"/>
  <c r="Q140" i="9" s="1"/>
  <c r="AD142" i="9"/>
  <c r="AC132" i="9"/>
  <c r="AC134" i="9"/>
  <c r="AC136" i="9"/>
  <c r="P136" i="9" s="1"/>
  <c r="AC138" i="9"/>
  <c r="P138" i="9" s="1"/>
  <c r="AC140" i="9"/>
  <c r="P140" i="9" s="1"/>
  <c r="AC142" i="9"/>
  <c r="M7" i="9"/>
  <c r="M8" i="9"/>
  <c r="M9" i="9"/>
  <c r="BQ66" i="9" s="1"/>
  <c r="M10" i="9"/>
  <c r="M11" i="9"/>
  <c r="L7" i="9"/>
  <c r="L8" i="9"/>
  <c r="L9" i="9"/>
  <c r="L10" i="9"/>
  <c r="L11" i="9"/>
  <c r="K7" i="9"/>
  <c r="BO66" i="9" s="1"/>
  <c r="K8" i="9"/>
  <c r="K9" i="9"/>
  <c r="K10" i="9"/>
  <c r="K11" i="9"/>
  <c r="J7" i="9"/>
  <c r="J8" i="9"/>
  <c r="J9" i="9"/>
  <c r="J10" i="9"/>
  <c r="BN66" i="9" s="1"/>
  <c r="J11" i="9"/>
  <c r="I7" i="9"/>
  <c r="I8" i="9"/>
  <c r="I9" i="9"/>
  <c r="I10" i="9"/>
  <c r="I11" i="9"/>
  <c r="H7" i="9"/>
  <c r="H8" i="9"/>
  <c r="H9" i="9"/>
  <c r="H10" i="9"/>
  <c r="H11" i="9"/>
  <c r="Z7" i="9"/>
  <c r="Z8" i="9"/>
  <c r="Z9" i="9"/>
  <c r="X7" i="9"/>
  <c r="X8" i="9"/>
  <c r="X9" i="9"/>
  <c r="V7" i="9"/>
  <c r="V10" i="9" s="1"/>
  <c r="BM67" i="9" s="1"/>
  <c r="V8" i="9"/>
  <c r="V9" i="9"/>
  <c r="Y7" i="9"/>
  <c r="Y8" i="9"/>
  <c r="Y9" i="9"/>
  <c r="C40" i="9"/>
  <c r="C41" i="9"/>
  <c r="C42" i="9"/>
  <c r="C43" i="9"/>
  <c r="C44" i="9"/>
  <c r="BS63" i="9"/>
  <c r="BS65" i="9" s="1"/>
  <c r="CD63" i="9"/>
  <c r="CD65" i="9" s="1"/>
  <c r="CC63" i="9"/>
  <c r="CC65" i="9" s="1"/>
  <c r="CB63" i="9"/>
  <c r="CB65" i="9" s="1"/>
  <c r="CA63" i="9"/>
  <c r="CA65" i="9" s="1"/>
  <c r="BZ63" i="9"/>
  <c r="BZ65" i="9" s="1"/>
  <c r="BY63" i="9"/>
  <c r="BY65" i="9" s="1"/>
  <c r="BX63" i="9"/>
  <c r="BX65" i="9" s="1"/>
  <c r="BW63" i="9"/>
  <c r="BW65" i="9" s="1"/>
  <c r="BV63" i="9"/>
  <c r="BV65" i="9" s="1"/>
  <c r="BU63" i="9"/>
  <c r="BU65" i="9" s="1"/>
  <c r="BT63" i="9"/>
  <c r="BT65" i="9" s="1"/>
  <c r="BR63" i="9"/>
  <c r="BR65" i="9" s="1"/>
  <c r="BQ63" i="9"/>
  <c r="BQ65" i="9" s="1"/>
  <c r="BP63" i="9"/>
  <c r="BP65" i="9" s="1"/>
  <c r="BO63" i="9"/>
  <c r="BO65" i="9" s="1"/>
  <c r="BN63" i="9"/>
  <c r="BN65" i="9" s="1"/>
  <c r="BM63" i="9"/>
  <c r="BM65" i="9" s="1"/>
  <c r="BL63" i="9"/>
  <c r="BL65" i="9" s="1"/>
  <c r="BK63" i="9"/>
  <c r="BK65" i="9" s="1"/>
  <c r="BJ63" i="9"/>
  <c r="BI63" i="9"/>
  <c r="BI65" i="9" s="1"/>
  <c r="BH63" i="9"/>
  <c r="BH65" i="9" s="1"/>
  <c r="BG63" i="9"/>
  <c r="BG65" i="9" s="1"/>
  <c r="C32" i="7"/>
  <c r="C43" i="2" s="1"/>
  <c r="C41" i="8" s="1"/>
  <c r="AC7" i="9"/>
  <c r="AD7" i="9"/>
  <c r="AH7" i="9"/>
  <c r="AG7" i="9"/>
  <c r="AJ7" i="9"/>
  <c r="AI7" i="9"/>
  <c r="AC40" i="9"/>
  <c r="AL7" i="9"/>
  <c r="AK7" i="9"/>
  <c r="AE7" i="9"/>
  <c r="AF7" i="9"/>
  <c r="AN7" i="9"/>
  <c r="AM7" i="9"/>
  <c r="AC8" i="9"/>
  <c r="AD8" i="9"/>
  <c r="AH8" i="9"/>
  <c r="AG8" i="9"/>
  <c r="AJ8" i="9"/>
  <c r="AI8" i="9"/>
  <c r="AO8" i="9" s="1"/>
  <c r="AC41" i="9"/>
  <c r="AL8" i="9"/>
  <c r="AK8" i="9"/>
  <c r="AE8" i="9"/>
  <c r="AF8" i="9"/>
  <c r="AN8" i="9"/>
  <c r="AM8" i="9"/>
  <c r="AC9" i="9"/>
  <c r="AD9" i="9"/>
  <c r="AH9" i="9"/>
  <c r="AG9" i="9"/>
  <c r="AJ9" i="9"/>
  <c r="AI9" i="9"/>
  <c r="AC42" i="9"/>
  <c r="AL9" i="9"/>
  <c r="AK9" i="9"/>
  <c r="AE9" i="9"/>
  <c r="AF9" i="9"/>
  <c r="AN9" i="9"/>
  <c r="AM9" i="9"/>
  <c r="AC10" i="9"/>
  <c r="AD10" i="9"/>
  <c r="AH10" i="9"/>
  <c r="AG10" i="9"/>
  <c r="AJ10" i="9"/>
  <c r="AI10" i="9"/>
  <c r="AC43" i="9"/>
  <c r="AL10" i="9"/>
  <c r="AK10" i="9"/>
  <c r="AE10" i="9"/>
  <c r="AF10" i="9"/>
  <c r="AN10" i="9"/>
  <c r="AM10" i="9"/>
  <c r="AP14" i="9"/>
  <c r="AP21" i="9" s="1"/>
  <c r="AQ14" i="9"/>
  <c r="AQ21" i="9" s="1"/>
  <c r="AR14" i="9"/>
  <c r="AR21" i="9" s="1"/>
  <c r="AS14" i="9"/>
  <c r="AT14" i="9"/>
  <c r="AT21" i="9" s="1"/>
  <c r="AU14" i="9"/>
  <c r="AU21" i="9" s="1"/>
  <c r="AV14" i="9"/>
  <c r="AV21" i="9" s="1"/>
  <c r="AW14" i="9"/>
  <c r="AW21" i="9" s="1"/>
  <c r="AX14" i="9"/>
  <c r="AX21" i="9" s="1"/>
  <c r="AY14" i="9"/>
  <c r="AY21" i="9" s="1"/>
  <c r="AZ14" i="9"/>
  <c r="AZ21" i="9" s="1"/>
  <c r="BA14" i="9"/>
  <c r="BA21" i="9" s="1"/>
  <c r="AP47" i="9"/>
  <c r="AP54" i="9" s="1"/>
  <c r="AQ47" i="9"/>
  <c r="AR47" i="9"/>
  <c r="AR54" i="9" s="1"/>
  <c r="AS47" i="9"/>
  <c r="AS54" i="9" s="1"/>
  <c r="AT47" i="9"/>
  <c r="AT54" i="9" s="1"/>
  <c r="AU47" i="9"/>
  <c r="AU54" i="9" s="1"/>
  <c r="AV47" i="9"/>
  <c r="AV54" i="9" s="1"/>
  <c r="AW47" i="9"/>
  <c r="AW54" i="9" s="1"/>
  <c r="AX47" i="9"/>
  <c r="AX54" i="9" s="1"/>
  <c r="AY47" i="9"/>
  <c r="AY54" i="9" s="1"/>
  <c r="AZ47" i="9"/>
  <c r="AZ54" i="9" s="1"/>
  <c r="BA47" i="9"/>
  <c r="BA54" i="9" s="1"/>
  <c r="AP15" i="9"/>
  <c r="AP22" i="9" s="1"/>
  <c r="AQ15" i="9"/>
  <c r="AR15" i="9"/>
  <c r="AR22" i="9" s="1"/>
  <c r="AS15" i="9"/>
  <c r="AS22" i="9" s="1"/>
  <c r="AT15" i="9"/>
  <c r="AT22" i="9" s="1"/>
  <c r="AU15" i="9"/>
  <c r="AU22" i="9" s="1"/>
  <c r="AV15" i="9"/>
  <c r="AV22" i="9" s="1"/>
  <c r="AW15" i="9"/>
  <c r="AW22" i="9" s="1"/>
  <c r="AX15" i="9"/>
  <c r="AX22" i="9" s="1"/>
  <c r="AY15" i="9"/>
  <c r="AY22" i="9" s="1"/>
  <c r="AZ15" i="9"/>
  <c r="AZ22" i="9" s="1"/>
  <c r="BA15" i="9"/>
  <c r="BA22" i="9" s="1"/>
  <c r="AP48" i="9"/>
  <c r="AP55" i="9" s="1"/>
  <c r="AQ48" i="9"/>
  <c r="AQ55" i="9" s="1"/>
  <c r="AR48" i="9"/>
  <c r="AR55" i="9" s="1"/>
  <c r="AS48" i="9"/>
  <c r="AS55" i="9" s="1"/>
  <c r="AT48" i="9"/>
  <c r="AT55" i="9" s="1"/>
  <c r="AU48" i="9"/>
  <c r="AV48" i="9"/>
  <c r="AV55" i="9" s="1"/>
  <c r="AW48" i="9"/>
  <c r="AW55" i="9" s="1"/>
  <c r="AX48" i="9"/>
  <c r="AX55" i="9" s="1"/>
  <c r="AY48" i="9"/>
  <c r="AY55" i="9" s="1"/>
  <c r="AZ48" i="9"/>
  <c r="AZ55" i="9" s="1"/>
  <c r="BA48" i="9"/>
  <c r="BA55" i="9" s="1"/>
  <c r="AP16" i="9"/>
  <c r="AP23" i="9" s="1"/>
  <c r="AQ16" i="9"/>
  <c r="AQ23" i="9" s="1"/>
  <c r="AR16" i="9"/>
  <c r="AR23" i="9" s="1"/>
  <c r="AS16" i="9"/>
  <c r="AS23" i="9" s="1"/>
  <c r="AT16" i="9"/>
  <c r="AT23" i="9" s="1"/>
  <c r="AU16" i="9"/>
  <c r="AV16" i="9"/>
  <c r="AV23" i="9" s="1"/>
  <c r="AW16" i="9"/>
  <c r="AW23" i="9" s="1"/>
  <c r="AX16" i="9"/>
  <c r="AX23" i="9" s="1"/>
  <c r="AY16" i="9"/>
  <c r="AY23" i="9" s="1"/>
  <c r="AZ16" i="9"/>
  <c r="AZ23" i="9"/>
  <c r="BA16" i="9"/>
  <c r="BA23" i="9" s="1"/>
  <c r="AP49" i="9"/>
  <c r="AP56" i="9" s="1"/>
  <c r="AQ49" i="9"/>
  <c r="AR49" i="9"/>
  <c r="AR56" i="9" s="1"/>
  <c r="AS49" i="9"/>
  <c r="AS56" i="9" s="1"/>
  <c r="AT49" i="9"/>
  <c r="AT56" i="9" s="1"/>
  <c r="AU49" i="9"/>
  <c r="AU56" i="9" s="1"/>
  <c r="AV49" i="9"/>
  <c r="AV56" i="9" s="1"/>
  <c r="AW49" i="9"/>
  <c r="AW56" i="9" s="1"/>
  <c r="AX49" i="9"/>
  <c r="AX56" i="9" s="1"/>
  <c r="AY49" i="9"/>
  <c r="AY56" i="9" s="1"/>
  <c r="AZ49" i="9"/>
  <c r="AZ56" i="9" s="1"/>
  <c r="BA49" i="9"/>
  <c r="BA56" i="9" s="1"/>
  <c r="AP17" i="9"/>
  <c r="AQ17" i="9"/>
  <c r="AQ24" i="9"/>
  <c r="AR17" i="9"/>
  <c r="AR24" i="9"/>
  <c r="AS17" i="9"/>
  <c r="AS24" i="9" s="1"/>
  <c r="AT17" i="9"/>
  <c r="AT24" i="9" s="1"/>
  <c r="AU17" i="9"/>
  <c r="AU24" i="9" s="1"/>
  <c r="AV17" i="9"/>
  <c r="AV24" i="9"/>
  <c r="AW17" i="9"/>
  <c r="AW24" i="9" s="1"/>
  <c r="AX17" i="9"/>
  <c r="AX24" i="9" s="1"/>
  <c r="AY17" i="9"/>
  <c r="AY24" i="9" s="1"/>
  <c r="AZ17" i="9"/>
  <c r="AZ24" i="9" s="1"/>
  <c r="BA17" i="9"/>
  <c r="BA24" i="9" s="1"/>
  <c r="AP50" i="9"/>
  <c r="AP57" i="9" s="1"/>
  <c r="AQ50" i="9"/>
  <c r="AQ57" i="9" s="1"/>
  <c r="AR50" i="9"/>
  <c r="AS50" i="9"/>
  <c r="AS57" i="9" s="1"/>
  <c r="AT50" i="9"/>
  <c r="AT57" i="9" s="1"/>
  <c r="AU50" i="9"/>
  <c r="AU57" i="9" s="1"/>
  <c r="AV50" i="9"/>
  <c r="AV57" i="9" s="1"/>
  <c r="AW50" i="9"/>
  <c r="AW57" i="9" s="1"/>
  <c r="AX50" i="9"/>
  <c r="AX57" i="9" s="1"/>
  <c r="AY50" i="9"/>
  <c r="AY57" i="9" s="1"/>
  <c r="AZ50" i="9"/>
  <c r="AZ57" i="9" s="1"/>
  <c r="BA50" i="9"/>
  <c r="BA57" i="9" s="1"/>
  <c r="AP18" i="9"/>
  <c r="AQ18" i="9"/>
  <c r="AQ25" i="9" s="1"/>
  <c r="AR18" i="9"/>
  <c r="AR25" i="9" s="1"/>
  <c r="AS18" i="9"/>
  <c r="AS25" i="9" s="1"/>
  <c r="AT18" i="9"/>
  <c r="AT25" i="9" s="1"/>
  <c r="AU18" i="9"/>
  <c r="AU25" i="9" s="1"/>
  <c r="AV18" i="9"/>
  <c r="AV25" i="9" s="1"/>
  <c r="AW18" i="9"/>
  <c r="AW25" i="9" s="1"/>
  <c r="AX18" i="9"/>
  <c r="AX25" i="9" s="1"/>
  <c r="AY18" i="9"/>
  <c r="AY25" i="9"/>
  <c r="AZ18" i="9"/>
  <c r="AZ25" i="9"/>
  <c r="BA18" i="9"/>
  <c r="BA25" i="9" s="1"/>
  <c r="AP51" i="9"/>
  <c r="AP58" i="9" s="1"/>
  <c r="AQ51" i="9"/>
  <c r="AR51" i="9"/>
  <c r="AR58" i="9" s="1"/>
  <c r="AS51" i="9"/>
  <c r="AS58" i="9" s="1"/>
  <c r="AT51" i="9"/>
  <c r="AT58" i="9" s="1"/>
  <c r="AU51" i="9"/>
  <c r="AU58" i="9" s="1"/>
  <c r="AV51" i="9"/>
  <c r="AV58" i="9" s="1"/>
  <c r="AW51" i="9"/>
  <c r="AW58" i="9" s="1"/>
  <c r="AX51" i="9"/>
  <c r="AX58" i="9" s="1"/>
  <c r="AY51" i="9"/>
  <c r="AY58" i="9" s="1"/>
  <c r="AZ51" i="9"/>
  <c r="AZ58" i="9" s="1"/>
  <c r="BA51" i="9"/>
  <c r="BA58" i="9" s="1"/>
  <c r="AP19" i="9"/>
  <c r="AQ19" i="9"/>
  <c r="AQ26" i="9"/>
  <c r="AR19" i="9"/>
  <c r="AR26" i="9" s="1"/>
  <c r="AS19" i="9"/>
  <c r="AS26" i="9" s="1"/>
  <c r="AT19" i="9"/>
  <c r="AT26" i="9" s="1"/>
  <c r="AU19" i="9"/>
  <c r="AU26" i="9" s="1"/>
  <c r="AV19" i="9"/>
  <c r="AV26" i="9" s="1"/>
  <c r="AW19" i="9"/>
  <c r="AW26" i="9" s="1"/>
  <c r="AX19" i="9"/>
  <c r="AX26" i="9" s="1"/>
  <c r="AY19" i="9"/>
  <c r="AY26" i="9" s="1"/>
  <c r="AZ19" i="9"/>
  <c r="AZ26" i="9" s="1"/>
  <c r="BA19" i="9"/>
  <c r="BA26" i="9" s="1"/>
  <c r="AP52" i="9"/>
  <c r="AP59" i="9" s="1"/>
  <c r="AQ52" i="9"/>
  <c r="AQ59" i="9" s="1"/>
  <c r="AR52" i="9"/>
  <c r="AS52" i="9"/>
  <c r="AS59" i="9" s="1"/>
  <c r="AT52" i="9"/>
  <c r="AT59" i="9" s="1"/>
  <c r="AU52" i="9"/>
  <c r="AU59" i="9" s="1"/>
  <c r="AV52" i="9"/>
  <c r="AV59" i="9" s="1"/>
  <c r="AW52" i="9"/>
  <c r="AW59" i="9" s="1"/>
  <c r="AX52" i="9"/>
  <c r="AX59" i="9" s="1"/>
  <c r="AY52" i="9"/>
  <c r="AY59" i="9" s="1"/>
  <c r="AZ52" i="9"/>
  <c r="AZ59" i="9" s="1"/>
  <c r="BA52" i="9"/>
  <c r="BA59" i="9" s="1"/>
  <c r="AP7" i="9"/>
  <c r="AP28" i="9" s="1"/>
  <c r="AQ7" i="9"/>
  <c r="AQ28" i="9" s="1"/>
  <c r="AR7" i="9"/>
  <c r="AR28" i="9"/>
  <c r="AS7" i="9"/>
  <c r="AT7" i="9"/>
  <c r="AT28" i="9" s="1"/>
  <c r="AU7" i="9"/>
  <c r="AU28" i="9" s="1"/>
  <c r="AV7" i="9"/>
  <c r="AV28" i="9" s="1"/>
  <c r="AW7" i="9"/>
  <c r="AW28" i="9" s="1"/>
  <c r="AX7" i="9"/>
  <c r="AX28" i="9" s="1"/>
  <c r="AY7" i="9"/>
  <c r="AY28" i="9"/>
  <c r="AZ7" i="9"/>
  <c r="AZ28" i="9" s="1"/>
  <c r="BA7" i="9"/>
  <c r="BA28" i="9" s="1"/>
  <c r="AP40" i="9"/>
  <c r="AP61" i="9" s="1"/>
  <c r="AQ40" i="9"/>
  <c r="AQ61" i="9" s="1"/>
  <c r="AR40" i="9"/>
  <c r="AR61" i="9" s="1"/>
  <c r="AS40" i="9"/>
  <c r="AS61" i="9" s="1"/>
  <c r="AT40" i="9"/>
  <c r="AT61" i="9" s="1"/>
  <c r="AU40" i="9"/>
  <c r="AU61" i="9" s="1"/>
  <c r="AV40" i="9"/>
  <c r="AV61" i="9" s="1"/>
  <c r="AW40" i="9"/>
  <c r="AW61" i="9" s="1"/>
  <c r="AX40" i="9"/>
  <c r="AX61" i="9" s="1"/>
  <c r="AY40" i="9"/>
  <c r="AY61" i="9" s="1"/>
  <c r="AZ40" i="9"/>
  <c r="AZ61" i="9" s="1"/>
  <c r="BA40" i="9"/>
  <c r="BA61" i="9" s="1"/>
  <c r="AP8" i="9"/>
  <c r="AP29" i="9" s="1"/>
  <c r="AQ8" i="9"/>
  <c r="AQ29" i="9" s="1"/>
  <c r="AR8" i="9"/>
  <c r="AR29" i="9" s="1"/>
  <c r="AS8" i="9"/>
  <c r="AS29" i="9" s="1"/>
  <c r="AT8" i="9"/>
  <c r="AT29" i="9" s="1"/>
  <c r="AU8" i="9"/>
  <c r="AU29" i="9"/>
  <c r="AV8" i="9"/>
  <c r="AV29" i="9" s="1"/>
  <c r="AW8" i="9"/>
  <c r="AW29" i="9" s="1"/>
  <c r="AX8" i="9"/>
  <c r="AX29" i="9" s="1"/>
  <c r="AY8" i="9"/>
  <c r="AY29" i="9" s="1"/>
  <c r="AZ8" i="9"/>
  <c r="AZ29" i="9" s="1"/>
  <c r="BA8" i="9"/>
  <c r="AP41" i="9"/>
  <c r="AP62" i="9" s="1"/>
  <c r="AQ41" i="9"/>
  <c r="AQ62" i="9" s="1"/>
  <c r="AR41" i="9"/>
  <c r="AR62" i="9" s="1"/>
  <c r="AS41" i="9"/>
  <c r="AS62" i="9" s="1"/>
  <c r="AT41" i="9"/>
  <c r="AU41" i="9"/>
  <c r="AU62" i="9" s="1"/>
  <c r="AV41" i="9"/>
  <c r="AV62" i="9" s="1"/>
  <c r="AW41" i="9"/>
  <c r="AW62" i="9" s="1"/>
  <c r="AX41" i="9"/>
  <c r="AX62" i="9" s="1"/>
  <c r="AY41" i="9"/>
  <c r="AY62" i="9" s="1"/>
  <c r="AZ41" i="9"/>
  <c r="AZ62" i="9" s="1"/>
  <c r="BA41" i="9"/>
  <c r="BA62" i="9" s="1"/>
  <c r="AP9" i="9"/>
  <c r="AP30" i="9" s="1"/>
  <c r="AQ9" i="9"/>
  <c r="AR9" i="9"/>
  <c r="AR30" i="9" s="1"/>
  <c r="AS9" i="9"/>
  <c r="AS30" i="9" s="1"/>
  <c r="AT9" i="9"/>
  <c r="AT30" i="9" s="1"/>
  <c r="AU9" i="9"/>
  <c r="AU30" i="9" s="1"/>
  <c r="AV9" i="9"/>
  <c r="AV30" i="9" s="1"/>
  <c r="AW9" i="9"/>
  <c r="AW30" i="9" s="1"/>
  <c r="AX9" i="9"/>
  <c r="AX30" i="9"/>
  <c r="AY9" i="9"/>
  <c r="AY30" i="9" s="1"/>
  <c r="AZ9" i="9"/>
  <c r="AZ30" i="9" s="1"/>
  <c r="BA9" i="9"/>
  <c r="BA30" i="9" s="1"/>
  <c r="AP42" i="9"/>
  <c r="AP63" i="9" s="1"/>
  <c r="AQ42" i="9"/>
  <c r="AQ63" i="9" s="1"/>
  <c r="AR42" i="9"/>
  <c r="AR63" i="9" s="1"/>
  <c r="AS42" i="9"/>
  <c r="AS63" i="9" s="1"/>
  <c r="AT42" i="9"/>
  <c r="AT63" i="9" s="1"/>
  <c r="AU42" i="9"/>
  <c r="AV42" i="9"/>
  <c r="AV63" i="9" s="1"/>
  <c r="AW42" i="9"/>
  <c r="AW63" i="9" s="1"/>
  <c r="AX42" i="9"/>
  <c r="AX63" i="9" s="1"/>
  <c r="AY42" i="9"/>
  <c r="AY63" i="9" s="1"/>
  <c r="AZ42" i="9"/>
  <c r="AZ63" i="9" s="1"/>
  <c r="BA42" i="9"/>
  <c r="BA63" i="9" s="1"/>
  <c r="AP10" i="9"/>
  <c r="AQ10" i="9"/>
  <c r="AQ31" i="9"/>
  <c r="AR10" i="9"/>
  <c r="AR31" i="9" s="1"/>
  <c r="AS10" i="9"/>
  <c r="AS31" i="9" s="1"/>
  <c r="AT10" i="9"/>
  <c r="AT31" i="9" s="1"/>
  <c r="AU10" i="9"/>
  <c r="AU31" i="9" s="1"/>
  <c r="AV10" i="9"/>
  <c r="AV31" i="9" s="1"/>
  <c r="AW10" i="9"/>
  <c r="AW31" i="9" s="1"/>
  <c r="AX10" i="9"/>
  <c r="AX31" i="9" s="1"/>
  <c r="AY10" i="9"/>
  <c r="AY31" i="9" s="1"/>
  <c r="AZ10" i="9"/>
  <c r="AZ31" i="9"/>
  <c r="BA10" i="9"/>
  <c r="BA31" i="9" s="1"/>
  <c r="AP43" i="9"/>
  <c r="AP64" i="9" s="1"/>
  <c r="AQ43" i="9"/>
  <c r="AQ64" i="9" s="1"/>
  <c r="AR43" i="9"/>
  <c r="AR64" i="9" s="1"/>
  <c r="AS43" i="9"/>
  <c r="AS64" i="9" s="1"/>
  <c r="AT43" i="9"/>
  <c r="AU43" i="9"/>
  <c r="AU64" i="9" s="1"/>
  <c r="AV43" i="9"/>
  <c r="AV64" i="9" s="1"/>
  <c r="AW43" i="9"/>
  <c r="AW64" i="9" s="1"/>
  <c r="AX43" i="9"/>
  <c r="AX64" i="9" s="1"/>
  <c r="AY43" i="9"/>
  <c r="AY64" i="9" s="1"/>
  <c r="AZ43" i="9"/>
  <c r="AZ64" i="9" s="1"/>
  <c r="BA43" i="9"/>
  <c r="BA64" i="9" s="1"/>
  <c r="AP11" i="9"/>
  <c r="AP32" i="9" s="1"/>
  <c r="AQ11" i="9"/>
  <c r="AQ32" i="9" s="1"/>
  <c r="AR11" i="9"/>
  <c r="AR32" i="9" s="1"/>
  <c r="AS11" i="9"/>
  <c r="AS32" i="9" s="1"/>
  <c r="AT11" i="9"/>
  <c r="AT32" i="9"/>
  <c r="AU11" i="9"/>
  <c r="AU32" i="9"/>
  <c r="AV11" i="9"/>
  <c r="AV32" i="9" s="1"/>
  <c r="AW11" i="9"/>
  <c r="AW32" i="9" s="1"/>
  <c r="AX11" i="9"/>
  <c r="AX32" i="9" s="1"/>
  <c r="AY11" i="9"/>
  <c r="AY32" i="9"/>
  <c r="AZ11" i="9"/>
  <c r="BA11" i="9"/>
  <c r="BA32" i="9" s="1"/>
  <c r="AP44" i="9"/>
  <c r="AP65" i="9" s="1"/>
  <c r="AQ44" i="9"/>
  <c r="AQ65" i="9" s="1"/>
  <c r="AR44" i="9"/>
  <c r="AR65" i="9" s="1"/>
  <c r="AS44" i="9"/>
  <c r="AT44" i="9"/>
  <c r="AT65" i="9" s="1"/>
  <c r="AU44" i="9"/>
  <c r="AU65" i="9" s="1"/>
  <c r="AV44" i="9"/>
  <c r="AV65" i="9" s="1"/>
  <c r="AW44" i="9"/>
  <c r="AW65" i="9" s="1"/>
  <c r="AX44" i="9"/>
  <c r="AX65" i="9" s="1"/>
  <c r="AY44" i="9"/>
  <c r="AY65" i="9" s="1"/>
  <c r="AZ44" i="9"/>
  <c r="AZ65" i="9" s="1"/>
  <c r="BA44" i="9"/>
  <c r="BA65" i="9" s="1"/>
  <c r="AP12" i="9"/>
  <c r="AP33" i="9" s="1"/>
  <c r="AQ12" i="9"/>
  <c r="AQ33" i="9" s="1"/>
  <c r="AR12" i="9"/>
  <c r="AR33" i="9"/>
  <c r="AS12" i="9"/>
  <c r="AT12" i="9"/>
  <c r="AT33" i="9" s="1"/>
  <c r="AU12" i="9"/>
  <c r="AU33" i="9" s="1"/>
  <c r="AV12" i="9"/>
  <c r="AV33" i="9" s="1"/>
  <c r="AW12" i="9"/>
  <c r="AW33" i="9"/>
  <c r="AX12" i="9"/>
  <c r="AX33" i="9" s="1"/>
  <c r="AY12" i="9"/>
  <c r="AY33" i="9" s="1"/>
  <c r="AZ12" i="9"/>
  <c r="AZ33" i="9"/>
  <c r="BA12" i="9"/>
  <c r="BA33" i="9" s="1"/>
  <c r="AP45" i="9"/>
  <c r="AP66" i="9" s="1"/>
  <c r="AQ45" i="9"/>
  <c r="AQ66" i="9" s="1"/>
  <c r="AR45" i="9"/>
  <c r="AR66" i="9" s="1"/>
  <c r="AS45" i="9"/>
  <c r="AS66" i="9" s="1"/>
  <c r="AT45" i="9"/>
  <c r="AT66" i="9" s="1"/>
  <c r="AU45" i="9"/>
  <c r="AU66" i="9" s="1"/>
  <c r="AV45" i="9"/>
  <c r="AV66" i="9" s="1"/>
  <c r="AW45" i="9"/>
  <c r="AX45" i="9"/>
  <c r="AX66" i="9" s="1"/>
  <c r="AY45" i="9"/>
  <c r="AY66" i="9" s="1"/>
  <c r="AZ45" i="9"/>
  <c r="AZ66" i="9" s="1"/>
  <c r="BA45" i="9"/>
  <c r="BA66" i="9" s="1"/>
  <c r="B37" i="7"/>
  <c r="B48" i="2" s="1"/>
  <c r="C36" i="7"/>
  <c r="C47" i="2" s="1"/>
  <c r="B34" i="7"/>
  <c r="C33" i="7"/>
  <c r="B495" i="44" s="1"/>
  <c r="B33" i="7"/>
  <c r="B44" i="2" s="1"/>
  <c r="J28" i="7"/>
  <c r="J39" i="2" s="1"/>
  <c r="J37" i="8" s="1"/>
  <c r="J23" i="3" s="1"/>
  <c r="L1" i="8"/>
  <c r="J3" i="2" s="1"/>
  <c r="L3" i="7" s="1"/>
  <c r="L1" i="1" s="1"/>
  <c r="B36" i="1"/>
  <c r="B49" i="2" s="1"/>
  <c r="B47" i="8" s="1"/>
  <c r="C37" i="7"/>
  <c r="C48" i="2" s="1"/>
  <c r="C46" i="8" s="1"/>
  <c r="B7" i="48"/>
  <c r="B9" i="48"/>
  <c r="B11" i="48"/>
  <c r="DB68" i="9"/>
  <c r="H167" i="39"/>
  <c r="H183" i="39" s="1"/>
  <c r="H184" i="39" s="1"/>
  <c r="CP7" i="9"/>
  <c r="CQ7" i="9"/>
  <c r="CU7" i="9"/>
  <c r="CR7" i="9"/>
  <c r="CS7" i="9"/>
  <c r="DA7" i="9"/>
  <c r="CZ7" i="9"/>
  <c r="CP40" i="9"/>
  <c r="CY7" i="9"/>
  <c r="CX7" i="9"/>
  <c r="CT7" i="9"/>
  <c r="DB7" i="9" s="1"/>
  <c r="CW7" i="9"/>
  <c r="CV7" i="9"/>
  <c r="H172" i="39"/>
  <c r="H192" i="39" s="1"/>
  <c r="H193" i="39" s="1"/>
  <c r="CP8" i="9"/>
  <c r="CQ8" i="9"/>
  <c r="CU8" i="9"/>
  <c r="CR8" i="9"/>
  <c r="CS8" i="9"/>
  <c r="DA8" i="9"/>
  <c r="CZ8" i="9"/>
  <c r="CP41" i="9"/>
  <c r="CY8" i="9"/>
  <c r="CX8" i="9"/>
  <c r="CT8" i="9"/>
  <c r="CW8" i="9"/>
  <c r="CV8" i="9"/>
  <c r="H173" i="39"/>
  <c r="H198" i="39"/>
  <c r="H199" i="39" s="1"/>
  <c r="CP9" i="9"/>
  <c r="CQ9" i="9"/>
  <c r="CU9" i="9"/>
  <c r="CR9" i="9"/>
  <c r="CS9" i="9"/>
  <c r="DA9" i="9"/>
  <c r="DB9" i="9" s="1"/>
  <c r="CZ9" i="9"/>
  <c r="CP42" i="9"/>
  <c r="CY9" i="9"/>
  <c r="CX9" i="9"/>
  <c r="CT9" i="9"/>
  <c r="CW9" i="9"/>
  <c r="CV9" i="9"/>
  <c r="H174" i="39"/>
  <c r="H201" i="39" s="1"/>
  <c r="H202" i="39" s="1"/>
  <c r="CP14" i="9"/>
  <c r="CQ14" i="9"/>
  <c r="CR14" i="9"/>
  <c r="CS14" i="9"/>
  <c r="CT14" i="9"/>
  <c r="CU14" i="9"/>
  <c r="CV14" i="9"/>
  <c r="CW14" i="9"/>
  <c r="CX14" i="9"/>
  <c r="CY14" i="9"/>
  <c r="CZ14" i="9"/>
  <c r="DA14" i="9"/>
  <c r="CP47" i="9"/>
  <c r="CQ47" i="9"/>
  <c r="CR47" i="9"/>
  <c r="CS47" i="9"/>
  <c r="CT47" i="9"/>
  <c r="CU47" i="9"/>
  <c r="CV47" i="9"/>
  <c r="CW47" i="9"/>
  <c r="CX47" i="9"/>
  <c r="CY47" i="9"/>
  <c r="CZ47" i="9"/>
  <c r="DA47" i="9"/>
  <c r="CP17" i="9"/>
  <c r="CQ17" i="9"/>
  <c r="CR17" i="9"/>
  <c r="CS17" i="9"/>
  <c r="CT17" i="9"/>
  <c r="CU17" i="9"/>
  <c r="CV17" i="9"/>
  <c r="CW17" i="9"/>
  <c r="CX17" i="9"/>
  <c r="CY17" i="9"/>
  <c r="CZ17" i="9"/>
  <c r="DA17" i="9"/>
  <c r="CP50" i="9"/>
  <c r="CQ50" i="9"/>
  <c r="CR50" i="9"/>
  <c r="CS50" i="9"/>
  <c r="CT50" i="9"/>
  <c r="CU50" i="9"/>
  <c r="CV50" i="9"/>
  <c r="CW50" i="9"/>
  <c r="CX50" i="9"/>
  <c r="CY50" i="9"/>
  <c r="CZ50" i="9"/>
  <c r="DA50" i="9"/>
  <c r="CP16" i="9"/>
  <c r="CQ16" i="9"/>
  <c r="CR16" i="9"/>
  <c r="CS16" i="9"/>
  <c r="CT16" i="9"/>
  <c r="CU16" i="9"/>
  <c r="CV16" i="9"/>
  <c r="CW16" i="9"/>
  <c r="DB16" i="9" s="1"/>
  <c r="CX16" i="9"/>
  <c r="CY16" i="9"/>
  <c r="CZ16" i="9"/>
  <c r="DA16" i="9"/>
  <c r="CP49" i="9"/>
  <c r="CQ49" i="9"/>
  <c r="CR49" i="9"/>
  <c r="CS49" i="9"/>
  <c r="CT49" i="9"/>
  <c r="CU49" i="9"/>
  <c r="CV49" i="9"/>
  <c r="CW49" i="9"/>
  <c r="CX49" i="9"/>
  <c r="CY49" i="9"/>
  <c r="CZ49" i="9"/>
  <c r="DA49" i="9"/>
  <c r="CP15" i="9"/>
  <c r="CQ15" i="9"/>
  <c r="CR15" i="9"/>
  <c r="CS15" i="9"/>
  <c r="CT15" i="9"/>
  <c r="CU15" i="9"/>
  <c r="CV15" i="9"/>
  <c r="CW15" i="9"/>
  <c r="DB15" i="9" s="1"/>
  <c r="CX15" i="9"/>
  <c r="CY15" i="9"/>
  <c r="CZ15" i="9"/>
  <c r="DA15" i="9"/>
  <c r="CP48" i="9"/>
  <c r="CQ48" i="9"/>
  <c r="CR48" i="9"/>
  <c r="CS48" i="9"/>
  <c r="CT48" i="9"/>
  <c r="CU48" i="9"/>
  <c r="CV48" i="9"/>
  <c r="CW48" i="9"/>
  <c r="CX48" i="9"/>
  <c r="CY48" i="9"/>
  <c r="CZ48" i="9"/>
  <c r="DA48" i="9"/>
  <c r="CP18" i="9"/>
  <c r="CQ18" i="9"/>
  <c r="CR18" i="9"/>
  <c r="CS18" i="9"/>
  <c r="CT18" i="9"/>
  <c r="CU18" i="9"/>
  <c r="CV18" i="9"/>
  <c r="CW18" i="9"/>
  <c r="DB18" i="9" s="1"/>
  <c r="CX18" i="9"/>
  <c r="CY18" i="9"/>
  <c r="CZ18" i="9"/>
  <c r="DA18" i="9"/>
  <c r="CP51" i="9"/>
  <c r="CQ51" i="9"/>
  <c r="CR51" i="9"/>
  <c r="CS51" i="9"/>
  <c r="CT51" i="9"/>
  <c r="CU51" i="9"/>
  <c r="CV51" i="9"/>
  <c r="CW51" i="9"/>
  <c r="CX51" i="9"/>
  <c r="CY51" i="9"/>
  <c r="CZ51" i="9"/>
  <c r="DA51" i="9"/>
  <c r="CP19" i="9"/>
  <c r="CQ19" i="9"/>
  <c r="CR19" i="9"/>
  <c r="CS19" i="9"/>
  <c r="CT19" i="9"/>
  <c r="CU19" i="9"/>
  <c r="CV19" i="9"/>
  <c r="CW19" i="9"/>
  <c r="CX19" i="9"/>
  <c r="CY19" i="9"/>
  <c r="CZ19" i="9"/>
  <c r="DA19" i="9"/>
  <c r="CP52" i="9"/>
  <c r="CQ52" i="9"/>
  <c r="CR52" i="9"/>
  <c r="CS52" i="9"/>
  <c r="CT52" i="9"/>
  <c r="CU52" i="9"/>
  <c r="CV52" i="9"/>
  <c r="CW52" i="9"/>
  <c r="CX52" i="9"/>
  <c r="CY52" i="9"/>
  <c r="CZ52" i="9"/>
  <c r="DA52" i="9"/>
  <c r="H175" i="39"/>
  <c r="H204" i="39"/>
  <c r="H205" i="39" s="1"/>
  <c r="B176" i="39"/>
  <c r="E176" i="39"/>
  <c r="D176" i="39"/>
  <c r="C207" i="39" s="1"/>
  <c r="C208" i="39" s="1"/>
  <c r="C176" i="39"/>
  <c r="F176" i="39"/>
  <c r="F207" i="39" s="1"/>
  <c r="F208" i="39" s="1"/>
  <c r="G176" i="39"/>
  <c r="G207" i="39" s="1"/>
  <c r="G208" i="39" s="1"/>
  <c r="H176" i="39"/>
  <c r="H207" i="39" s="1"/>
  <c r="H208" i="39" s="1"/>
  <c r="H113" i="39"/>
  <c r="H129" i="39" s="1"/>
  <c r="H130" i="39" s="1"/>
  <c r="CC7" i="9"/>
  <c r="CD7" i="9"/>
  <c r="CH7" i="9"/>
  <c r="CE7" i="9"/>
  <c r="CF7" i="9"/>
  <c r="CN7" i="9"/>
  <c r="CM7" i="9"/>
  <c r="CO7" i="9" s="1"/>
  <c r="CC40" i="9"/>
  <c r="CL7" i="9"/>
  <c r="CK7" i="9"/>
  <c r="CG7" i="9"/>
  <c r="CJ7" i="9"/>
  <c r="CI7" i="9"/>
  <c r="H118" i="39"/>
  <c r="H138" i="39" s="1"/>
  <c r="H139" i="39" s="1"/>
  <c r="CC8" i="9"/>
  <c r="CD8" i="9"/>
  <c r="CH8" i="9"/>
  <c r="CE8" i="9"/>
  <c r="CF8" i="9"/>
  <c r="CN8" i="9"/>
  <c r="CM8" i="9"/>
  <c r="CC41" i="9"/>
  <c r="CL8" i="9"/>
  <c r="CK8" i="9"/>
  <c r="CG8" i="9"/>
  <c r="CJ8" i="9"/>
  <c r="CI8" i="9"/>
  <c r="H119" i="39"/>
  <c r="H144" i="39" s="1"/>
  <c r="H145" i="39" s="1"/>
  <c r="CC9" i="9"/>
  <c r="CD9" i="9"/>
  <c r="CH9" i="9"/>
  <c r="CE9" i="9"/>
  <c r="CF9" i="9"/>
  <c r="CN9" i="9"/>
  <c r="CM9" i="9"/>
  <c r="CC42" i="9"/>
  <c r="CL9" i="9"/>
  <c r="CK9" i="9"/>
  <c r="CG9" i="9"/>
  <c r="CJ9" i="9"/>
  <c r="CI9" i="9"/>
  <c r="H120" i="39"/>
  <c r="H147" i="39" s="1"/>
  <c r="H148" i="39" s="1"/>
  <c r="CC14" i="9"/>
  <c r="CD14" i="9"/>
  <c r="CE14" i="9"/>
  <c r="CF14" i="9"/>
  <c r="CG14" i="9"/>
  <c r="CH14" i="9"/>
  <c r="CI14" i="9"/>
  <c r="CJ14" i="9"/>
  <c r="CK14" i="9"/>
  <c r="CL14" i="9"/>
  <c r="CM14" i="9"/>
  <c r="CN14" i="9"/>
  <c r="CC47" i="9"/>
  <c r="CD47" i="9"/>
  <c r="CE47" i="9"/>
  <c r="CF47" i="9"/>
  <c r="CG47" i="9"/>
  <c r="CH47" i="9"/>
  <c r="CI47" i="9"/>
  <c r="CJ47" i="9"/>
  <c r="CK47" i="9"/>
  <c r="CL47" i="9"/>
  <c r="CM47" i="9"/>
  <c r="CN47" i="9"/>
  <c r="CC17" i="9"/>
  <c r="CD17" i="9"/>
  <c r="CE17" i="9"/>
  <c r="CF17" i="9"/>
  <c r="CG17" i="9"/>
  <c r="CH17" i="9"/>
  <c r="CI17" i="9"/>
  <c r="CJ17" i="9"/>
  <c r="CK17" i="9"/>
  <c r="CL17" i="9"/>
  <c r="CM17" i="9"/>
  <c r="CN17" i="9"/>
  <c r="CC50" i="9"/>
  <c r="CD50" i="9"/>
  <c r="CE50" i="9"/>
  <c r="CF50" i="9"/>
  <c r="CG50" i="9"/>
  <c r="CH50" i="9"/>
  <c r="CI50" i="9"/>
  <c r="CJ50" i="9"/>
  <c r="CK50" i="9"/>
  <c r="CL50" i="9"/>
  <c r="CM50" i="9"/>
  <c r="CN50" i="9"/>
  <c r="CC16" i="9"/>
  <c r="CD16" i="9"/>
  <c r="CE16" i="9"/>
  <c r="CF16" i="9"/>
  <c r="CG16" i="9"/>
  <c r="CH16" i="9"/>
  <c r="CI16" i="9"/>
  <c r="CJ16" i="9"/>
  <c r="CK16" i="9"/>
  <c r="CL16" i="9"/>
  <c r="CM16" i="9"/>
  <c r="CN16" i="9"/>
  <c r="CC49" i="9"/>
  <c r="CD49" i="9"/>
  <c r="CE49" i="9"/>
  <c r="CF49" i="9"/>
  <c r="CG49" i="9"/>
  <c r="CH49" i="9"/>
  <c r="CI49" i="9"/>
  <c r="CJ49" i="9"/>
  <c r="CK49" i="9"/>
  <c r="CL49" i="9"/>
  <c r="CM49" i="9"/>
  <c r="CN49" i="9"/>
  <c r="CC15" i="9"/>
  <c r="CD15" i="9"/>
  <c r="CE15" i="9"/>
  <c r="CF15" i="9"/>
  <c r="CG15" i="9"/>
  <c r="CH15" i="9"/>
  <c r="CI15" i="9"/>
  <c r="CJ15" i="9"/>
  <c r="CK15" i="9"/>
  <c r="CL15" i="9"/>
  <c r="CM15" i="9"/>
  <c r="CN15" i="9"/>
  <c r="CC48" i="9"/>
  <c r="CD48" i="9"/>
  <c r="CE48" i="9"/>
  <c r="CF48" i="9"/>
  <c r="CG48" i="9"/>
  <c r="CH48" i="9"/>
  <c r="CI48" i="9"/>
  <c r="CJ48" i="9"/>
  <c r="CK48" i="9"/>
  <c r="CL48" i="9"/>
  <c r="CM48" i="9"/>
  <c r="CN48" i="9"/>
  <c r="CC18" i="9"/>
  <c r="CD18" i="9"/>
  <c r="CE18" i="9"/>
  <c r="CF18" i="9"/>
  <c r="CG18" i="9"/>
  <c r="CH18" i="9"/>
  <c r="CI18" i="9"/>
  <c r="CJ18" i="9"/>
  <c r="CK18" i="9"/>
  <c r="CL18" i="9"/>
  <c r="CM18" i="9"/>
  <c r="CN18" i="9"/>
  <c r="CC51" i="9"/>
  <c r="CD51" i="9"/>
  <c r="CE51" i="9"/>
  <c r="CF51" i="9"/>
  <c r="CG51" i="9"/>
  <c r="CH51" i="9"/>
  <c r="CI51" i="9"/>
  <c r="CJ51" i="9"/>
  <c r="CK51" i="9"/>
  <c r="CL51" i="9"/>
  <c r="CM51" i="9"/>
  <c r="CN51" i="9"/>
  <c r="CC19" i="9"/>
  <c r="CD19" i="9"/>
  <c r="CE19" i="9"/>
  <c r="CF19" i="9"/>
  <c r="CG19" i="9"/>
  <c r="CH19" i="9"/>
  <c r="CI19" i="9"/>
  <c r="CJ19" i="9"/>
  <c r="CK19" i="9"/>
  <c r="CL19" i="9"/>
  <c r="CM19" i="9"/>
  <c r="CN19" i="9"/>
  <c r="CC52" i="9"/>
  <c r="CD52" i="9"/>
  <c r="CE52" i="9"/>
  <c r="CF52" i="9"/>
  <c r="CG52" i="9"/>
  <c r="CH52" i="9"/>
  <c r="CI52" i="9"/>
  <c r="CJ52" i="9"/>
  <c r="CK52" i="9"/>
  <c r="CL52" i="9"/>
  <c r="CM52" i="9"/>
  <c r="CN52" i="9"/>
  <c r="H121" i="39"/>
  <c r="H150" i="39" s="1"/>
  <c r="H151" i="39" s="1"/>
  <c r="B122" i="39"/>
  <c r="E122" i="39"/>
  <c r="D122" i="39"/>
  <c r="A152" i="39" s="1"/>
  <c r="C122" i="39"/>
  <c r="F122" i="39"/>
  <c r="F153" i="39" s="1"/>
  <c r="F154" i="39" s="1"/>
  <c r="G122" i="39"/>
  <c r="G153" i="39" s="1"/>
  <c r="G154" i="39" s="1"/>
  <c r="H122" i="39"/>
  <c r="H153" i="39" s="1"/>
  <c r="H154" i="39" s="1"/>
  <c r="H59" i="39"/>
  <c r="H75" i="39"/>
  <c r="H76" i="39"/>
  <c r="B60" i="39"/>
  <c r="B77" i="39" s="1"/>
  <c r="B78" i="39" s="1"/>
  <c r="C60" i="39"/>
  <c r="C77" i="39" s="1"/>
  <c r="C78" i="39" s="1"/>
  <c r="D60" i="39"/>
  <c r="D77" i="39" s="1"/>
  <c r="D78" i="39" s="1"/>
  <c r="E60" i="39"/>
  <c r="E77" i="39"/>
  <c r="E78" i="39" s="1"/>
  <c r="F60" i="39"/>
  <c r="F77" i="39" s="1"/>
  <c r="F78" i="39" s="1"/>
  <c r="G60" i="39"/>
  <c r="G77" i="39"/>
  <c r="G78" i="39" s="1"/>
  <c r="H60" i="39"/>
  <c r="H77" i="39" s="1"/>
  <c r="H78" i="39" s="1"/>
  <c r="BP7" i="9"/>
  <c r="BQ7" i="9"/>
  <c r="BU7" i="9"/>
  <c r="BR7" i="9"/>
  <c r="BS7" i="9"/>
  <c r="CA7" i="9"/>
  <c r="BZ7" i="9"/>
  <c r="BP40" i="9"/>
  <c r="BY7" i="9"/>
  <c r="BX7" i="9"/>
  <c r="BT7" i="9"/>
  <c r="BW7" i="9"/>
  <c r="BV7" i="9"/>
  <c r="H64" i="39"/>
  <c r="H84" i="39"/>
  <c r="H85" i="39" s="1"/>
  <c r="BP8" i="9"/>
  <c r="BQ8" i="9"/>
  <c r="BU8" i="9"/>
  <c r="BR8" i="9"/>
  <c r="BS8" i="9"/>
  <c r="CA8" i="9"/>
  <c r="BZ8" i="9"/>
  <c r="BP41" i="9"/>
  <c r="BY8" i="9"/>
  <c r="BX8" i="9"/>
  <c r="BT8" i="9"/>
  <c r="BW8" i="9"/>
  <c r="BV8" i="9"/>
  <c r="H65" i="39"/>
  <c r="H90" i="39" s="1"/>
  <c r="H91" i="39" s="1"/>
  <c r="BP9" i="9"/>
  <c r="BQ9" i="9"/>
  <c r="BU9" i="9"/>
  <c r="BR9" i="9"/>
  <c r="BS9" i="9"/>
  <c r="CA9" i="9"/>
  <c r="BZ9" i="9"/>
  <c r="BP42" i="9"/>
  <c r="BY9" i="9"/>
  <c r="BX9" i="9"/>
  <c r="BT9" i="9"/>
  <c r="BW9" i="9"/>
  <c r="BV9" i="9"/>
  <c r="H66" i="39"/>
  <c r="H93" i="39" s="1"/>
  <c r="H94" i="39" s="1"/>
  <c r="BP14" i="9"/>
  <c r="BQ14" i="9"/>
  <c r="BR14" i="9"/>
  <c r="BS14" i="9"/>
  <c r="BT14" i="9"/>
  <c r="BU14" i="9"/>
  <c r="BV14" i="9"/>
  <c r="BW14" i="9"/>
  <c r="BX14" i="9"/>
  <c r="BY14" i="9"/>
  <c r="BZ14" i="9"/>
  <c r="CA14" i="9"/>
  <c r="BP47" i="9"/>
  <c r="BQ47" i="9"/>
  <c r="BR47" i="9"/>
  <c r="BS47" i="9"/>
  <c r="BT47" i="9"/>
  <c r="BU47" i="9"/>
  <c r="BV47" i="9"/>
  <c r="BW47" i="9"/>
  <c r="BX47" i="9"/>
  <c r="BY47" i="9"/>
  <c r="BZ47" i="9"/>
  <c r="CA47" i="9"/>
  <c r="BP17" i="9"/>
  <c r="BQ17" i="9"/>
  <c r="BR17" i="9"/>
  <c r="BS17" i="9"/>
  <c r="BT17" i="9"/>
  <c r="BU17" i="9"/>
  <c r="BV17" i="9"/>
  <c r="BW17" i="9"/>
  <c r="BX17" i="9"/>
  <c r="BY17" i="9"/>
  <c r="BZ17" i="9"/>
  <c r="CA17" i="9"/>
  <c r="BP50" i="9"/>
  <c r="BQ50" i="9"/>
  <c r="BR50" i="9"/>
  <c r="BS50" i="9"/>
  <c r="BT50" i="9"/>
  <c r="BU50" i="9"/>
  <c r="BV50" i="9"/>
  <c r="BW50" i="9"/>
  <c r="BX50" i="9"/>
  <c r="BY50" i="9"/>
  <c r="BZ50" i="9"/>
  <c r="CA50" i="9"/>
  <c r="BP16" i="9"/>
  <c r="BQ16" i="9"/>
  <c r="BR16" i="9"/>
  <c r="BS16" i="9"/>
  <c r="BT16" i="9"/>
  <c r="BU16" i="9"/>
  <c r="BV16" i="9"/>
  <c r="BW16" i="9"/>
  <c r="BX16" i="9"/>
  <c r="BY16" i="9"/>
  <c r="BZ16" i="9"/>
  <c r="CA16" i="9"/>
  <c r="BP49" i="9"/>
  <c r="BQ49" i="9"/>
  <c r="BR49" i="9"/>
  <c r="BS49" i="9"/>
  <c r="BT49" i="9"/>
  <c r="BU49" i="9"/>
  <c r="BV49" i="9"/>
  <c r="BW49" i="9"/>
  <c r="BX49" i="9"/>
  <c r="BY49" i="9"/>
  <c r="BZ49" i="9"/>
  <c r="CA49" i="9"/>
  <c r="BP15" i="9"/>
  <c r="BQ15" i="9"/>
  <c r="BR15" i="9"/>
  <c r="BS15" i="9"/>
  <c r="BT15" i="9"/>
  <c r="BU15" i="9"/>
  <c r="BV15" i="9"/>
  <c r="BW15" i="9"/>
  <c r="BX15" i="9"/>
  <c r="BY15" i="9"/>
  <c r="BZ15" i="9"/>
  <c r="CA15" i="9"/>
  <c r="BP48" i="9"/>
  <c r="BQ48" i="9"/>
  <c r="BR48" i="9"/>
  <c r="BS48" i="9"/>
  <c r="BT48" i="9"/>
  <c r="BU48" i="9"/>
  <c r="BV48" i="9"/>
  <c r="BW48" i="9"/>
  <c r="BX48" i="9"/>
  <c r="BY48" i="9"/>
  <c r="BZ48" i="9"/>
  <c r="CA48" i="9"/>
  <c r="BP18" i="9"/>
  <c r="BQ18" i="9"/>
  <c r="BR18" i="9"/>
  <c r="BS18" i="9"/>
  <c r="BT18" i="9"/>
  <c r="BU18" i="9"/>
  <c r="BV18" i="9"/>
  <c r="BW18" i="9"/>
  <c r="BX18" i="9"/>
  <c r="BY18" i="9"/>
  <c r="BZ18" i="9"/>
  <c r="CA18" i="9"/>
  <c r="BP51" i="9"/>
  <c r="BQ51" i="9"/>
  <c r="BR51" i="9"/>
  <c r="BS51" i="9"/>
  <c r="BT51" i="9"/>
  <c r="BU51" i="9"/>
  <c r="BV51" i="9"/>
  <c r="BW51" i="9"/>
  <c r="BX51" i="9"/>
  <c r="BY51" i="9"/>
  <c r="BZ51" i="9"/>
  <c r="CA51" i="9"/>
  <c r="BP19" i="9"/>
  <c r="BQ19" i="9"/>
  <c r="BR19" i="9"/>
  <c r="BS19" i="9"/>
  <c r="BT19" i="9"/>
  <c r="BU19" i="9"/>
  <c r="BV19" i="9"/>
  <c r="BW19" i="9"/>
  <c r="BX19" i="9"/>
  <c r="BY19" i="9"/>
  <c r="BZ19" i="9"/>
  <c r="CA19" i="9"/>
  <c r="BP52" i="9"/>
  <c r="BQ52" i="9"/>
  <c r="BR52" i="9"/>
  <c r="BS52" i="9"/>
  <c r="BT52" i="9"/>
  <c r="BU52" i="9"/>
  <c r="BV52" i="9"/>
  <c r="BW52" i="9"/>
  <c r="BX52" i="9"/>
  <c r="BY52" i="9"/>
  <c r="BZ52" i="9"/>
  <c r="CA52" i="9"/>
  <c r="H67" i="39"/>
  <c r="H96" i="39" s="1"/>
  <c r="H97" i="39" s="1"/>
  <c r="B68" i="39"/>
  <c r="E68" i="39"/>
  <c r="D68" i="39"/>
  <c r="C68" i="39"/>
  <c r="F68" i="39"/>
  <c r="F99" i="39"/>
  <c r="F100" i="39" s="1"/>
  <c r="G68" i="39"/>
  <c r="G99" i="39" s="1"/>
  <c r="G100" i="39"/>
  <c r="H68" i="39"/>
  <c r="H99" i="39" s="1"/>
  <c r="H100" i="39" s="1"/>
  <c r="H5" i="39"/>
  <c r="H21" i="39" s="1"/>
  <c r="H22" i="39" s="1"/>
  <c r="B6" i="39"/>
  <c r="B23" i="39"/>
  <c r="B24" i="39"/>
  <c r="C6" i="39"/>
  <c r="C23" i="39" s="1"/>
  <c r="C24" i="39" s="1"/>
  <c r="D6" i="39"/>
  <c r="D23" i="39" s="1"/>
  <c r="D24" i="39" s="1"/>
  <c r="E6" i="39"/>
  <c r="E23" i="39" s="1"/>
  <c r="E24" i="39" s="1"/>
  <c r="F6" i="39"/>
  <c r="F23" i="39" s="1"/>
  <c r="F24" i="39" s="1"/>
  <c r="G6" i="39"/>
  <c r="G23" i="39" s="1"/>
  <c r="G24" i="39" s="1"/>
  <c r="H6" i="39"/>
  <c r="H23" i="39" s="1"/>
  <c r="H24" i="39" s="1"/>
  <c r="BC7" i="9"/>
  <c r="BD7" i="9"/>
  <c r="BH7" i="9"/>
  <c r="BE7" i="9"/>
  <c r="BF7" i="9"/>
  <c r="BN7" i="9"/>
  <c r="BM7" i="9"/>
  <c r="BC40" i="9"/>
  <c r="BL7" i="9"/>
  <c r="BK7" i="9"/>
  <c r="BG7" i="9"/>
  <c r="BJ7" i="9"/>
  <c r="BI7" i="9"/>
  <c r="H10" i="39"/>
  <c r="H30" i="39" s="1"/>
  <c r="H31" i="39" s="1"/>
  <c r="BC8" i="9"/>
  <c r="BD8" i="9"/>
  <c r="BH8" i="9"/>
  <c r="BE8" i="9"/>
  <c r="BF8" i="9"/>
  <c r="BN8" i="9"/>
  <c r="BM8" i="9"/>
  <c r="BC41" i="9"/>
  <c r="BL8" i="9"/>
  <c r="BK8" i="9"/>
  <c r="BG8" i="9"/>
  <c r="BJ8" i="9"/>
  <c r="BI8" i="9"/>
  <c r="H11" i="39"/>
  <c r="H36" i="39" s="1"/>
  <c r="H37" i="39" s="1"/>
  <c r="BC9" i="9"/>
  <c r="BD9" i="9"/>
  <c r="BO9" i="9" s="1"/>
  <c r="BH9" i="9"/>
  <c r="BE9" i="9"/>
  <c r="BF9" i="9"/>
  <c r="BN9" i="9"/>
  <c r="BM9" i="9"/>
  <c r="BC42" i="9"/>
  <c r="BL9" i="9"/>
  <c r="BK9" i="9"/>
  <c r="BG9" i="9"/>
  <c r="BJ9" i="9"/>
  <c r="BI9" i="9"/>
  <c r="H12" i="39"/>
  <c r="H39" i="39" s="1"/>
  <c r="H40" i="39" s="1"/>
  <c r="BC14" i="9"/>
  <c r="BD14" i="9"/>
  <c r="BE14" i="9"/>
  <c r="BF14" i="9"/>
  <c r="BO14" i="9" s="1"/>
  <c r="BG14" i="9"/>
  <c r="BH14" i="9"/>
  <c r="BI14" i="9"/>
  <c r="BJ14" i="9"/>
  <c r="BK14" i="9"/>
  <c r="BL14" i="9"/>
  <c r="BM14" i="9"/>
  <c r="BN14" i="9"/>
  <c r="BC47" i="9"/>
  <c r="BD47" i="9"/>
  <c r="BE47" i="9"/>
  <c r="BF47" i="9"/>
  <c r="BG47" i="9"/>
  <c r="BH47" i="9"/>
  <c r="BI47" i="9"/>
  <c r="BJ47" i="9"/>
  <c r="BK47" i="9"/>
  <c r="BL47" i="9"/>
  <c r="BM47" i="9"/>
  <c r="BN47" i="9"/>
  <c r="BC17" i="9"/>
  <c r="BD17" i="9"/>
  <c r="BE17" i="9"/>
  <c r="BF17" i="9"/>
  <c r="BG17" i="9"/>
  <c r="BH17" i="9"/>
  <c r="BI17" i="9"/>
  <c r="BJ17" i="9"/>
  <c r="BK17" i="9"/>
  <c r="BL17" i="9"/>
  <c r="BM17" i="9"/>
  <c r="BN17" i="9"/>
  <c r="BC50" i="9"/>
  <c r="BD50" i="9"/>
  <c r="BE50" i="9"/>
  <c r="BF50" i="9"/>
  <c r="BG50" i="9"/>
  <c r="BH50" i="9"/>
  <c r="BI50" i="9"/>
  <c r="BJ50" i="9"/>
  <c r="BK50" i="9"/>
  <c r="BL50" i="9"/>
  <c r="BM50" i="9"/>
  <c r="BN50" i="9"/>
  <c r="BC16" i="9"/>
  <c r="BD16" i="9"/>
  <c r="BE16" i="9"/>
  <c r="BF16" i="9"/>
  <c r="BO16" i="9" s="1"/>
  <c r="BG16" i="9"/>
  <c r="BH16" i="9"/>
  <c r="BI16" i="9"/>
  <c r="BJ16" i="9"/>
  <c r="BK16" i="9"/>
  <c r="BL16" i="9"/>
  <c r="BM16" i="9"/>
  <c r="BN16" i="9"/>
  <c r="BC49" i="9"/>
  <c r="BD49" i="9"/>
  <c r="BE49" i="9"/>
  <c r="BF49" i="9"/>
  <c r="BG49" i="9"/>
  <c r="BH49" i="9"/>
  <c r="BI49" i="9"/>
  <c r="BJ49" i="9"/>
  <c r="BK49" i="9"/>
  <c r="BL49" i="9"/>
  <c r="BM49" i="9"/>
  <c r="BN49" i="9"/>
  <c r="BC15" i="9"/>
  <c r="BD15" i="9"/>
  <c r="BE15" i="9"/>
  <c r="BF15" i="9"/>
  <c r="BG15" i="9"/>
  <c r="BH15" i="9"/>
  <c r="BI15" i="9"/>
  <c r="BJ15" i="9"/>
  <c r="BK15" i="9"/>
  <c r="BL15" i="9"/>
  <c r="BM15" i="9"/>
  <c r="BN15" i="9"/>
  <c r="BC48" i="9"/>
  <c r="BD48" i="9"/>
  <c r="BE48" i="9"/>
  <c r="BF48" i="9"/>
  <c r="BG48" i="9"/>
  <c r="BH48" i="9"/>
  <c r="BI48" i="9"/>
  <c r="BJ48" i="9"/>
  <c r="BK48" i="9"/>
  <c r="BL48" i="9"/>
  <c r="BM48" i="9"/>
  <c r="BN48" i="9"/>
  <c r="BC18" i="9"/>
  <c r="BD18" i="9"/>
  <c r="BE18" i="9"/>
  <c r="BF18" i="9"/>
  <c r="BG18" i="9"/>
  <c r="BH18" i="9"/>
  <c r="BI18" i="9"/>
  <c r="BJ18" i="9"/>
  <c r="BK18" i="9"/>
  <c r="BL18" i="9"/>
  <c r="BM18" i="9"/>
  <c r="BN18" i="9"/>
  <c r="BC51" i="9"/>
  <c r="BD51" i="9"/>
  <c r="BE51" i="9"/>
  <c r="BF51" i="9"/>
  <c r="BG51" i="9"/>
  <c r="BH51" i="9"/>
  <c r="BI51" i="9"/>
  <c r="BJ51" i="9"/>
  <c r="BK51" i="9"/>
  <c r="BL51" i="9"/>
  <c r="BM51" i="9"/>
  <c r="BN51" i="9"/>
  <c r="BC19" i="9"/>
  <c r="BD19" i="9"/>
  <c r="BE19" i="9"/>
  <c r="BF19" i="9"/>
  <c r="BG19" i="9"/>
  <c r="BH19" i="9"/>
  <c r="BI19" i="9"/>
  <c r="BJ19" i="9"/>
  <c r="BK19" i="9"/>
  <c r="BL19" i="9"/>
  <c r="BM19" i="9"/>
  <c r="BN19" i="9"/>
  <c r="BC52" i="9"/>
  <c r="BD52" i="9"/>
  <c r="BE52" i="9"/>
  <c r="BF52" i="9"/>
  <c r="BG52" i="9"/>
  <c r="BH52" i="9"/>
  <c r="BI52" i="9"/>
  <c r="BJ52" i="9"/>
  <c r="BK52" i="9"/>
  <c r="BL52" i="9"/>
  <c r="BM52" i="9"/>
  <c r="BN52" i="9"/>
  <c r="H13" i="39"/>
  <c r="H42" i="39" s="1"/>
  <c r="H43" i="39" s="1"/>
  <c r="B14" i="39"/>
  <c r="E14" i="39"/>
  <c r="E45" i="39"/>
  <c r="E46" i="39" s="1"/>
  <c r="D14" i="39"/>
  <c r="C14" i="39"/>
  <c r="F14" i="39"/>
  <c r="F45" i="39"/>
  <c r="F46" i="39"/>
  <c r="G14" i="39"/>
  <c r="G45" i="39" s="1"/>
  <c r="G46" i="39" s="1"/>
  <c r="H14" i="39"/>
  <c r="H45" i="39"/>
  <c r="H46" i="39"/>
  <c r="D242" i="9"/>
  <c r="AP89" i="40" s="1"/>
  <c r="C178" i="39" s="1"/>
  <c r="C213" i="39" s="1"/>
  <c r="C214" i="39" s="1"/>
  <c r="E242" i="9"/>
  <c r="AQ89" i="40" s="1"/>
  <c r="D178" i="39" s="1"/>
  <c r="D213" i="39" s="1"/>
  <c r="D214" i="39" s="1"/>
  <c r="F242" i="9"/>
  <c r="AR89" i="40" s="1"/>
  <c r="E178" i="39" s="1"/>
  <c r="E213" i="39" s="1"/>
  <c r="E214" i="39" s="1"/>
  <c r="G242" i="9"/>
  <c r="AS89" i="40" s="1"/>
  <c r="F178" i="39" s="1"/>
  <c r="F213" i="39" s="1"/>
  <c r="F214" i="39" s="1"/>
  <c r="L977" i="48"/>
  <c r="D977" i="48"/>
  <c r="B28" i="9"/>
  <c r="Q25" i="40" s="1"/>
  <c r="B2" i="37"/>
  <c r="B4" i="37"/>
  <c r="EG202" i="9"/>
  <c r="EI202" i="9"/>
  <c r="AB11" i="4"/>
  <c r="AB12" i="4"/>
  <c r="EG203" i="9"/>
  <c r="EI203" i="9"/>
  <c r="EG204" i="9"/>
  <c r="EI204" i="9"/>
  <c r="AB13" i="4"/>
  <c r="EQ204" i="9" s="1"/>
  <c r="EG205" i="9"/>
  <c r="EM205" i="9" s="1"/>
  <c r="EI205" i="9"/>
  <c r="EK205" i="9" s="1"/>
  <c r="AB14" i="4"/>
  <c r="EG206" i="9"/>
  <c r="EI206" i="9"/>
  <c r="EG207" i="9"/>
  <c r="EI207" i="9"/>
  <c r="EG208" i="9"/>
  <c r="EI208" i="9"/>
  <c r="EG209" i="9"/>
  <c r="EI209" i="9"/>
  <c r="EG210" i="9"/>
  <c r="EI210" i="9"/>
  <c r="EG211" i="9"/>
  <c r="EI211" i="9"/>
  <c r="EG212" i="9"/>
  <c r="EI212" i="9"/>
  <c r="EG213" i="9"/>
  <c r="EI213" i="9"/>
  <c r="EG214" i="9"/>
  <c r="EI214" i="9"/>
  <c r="EG215" i="9"/>
  <c r="EI215" i="9"/>
  <c r="EG216" i="9"/>
  <c r="EI216" i="9"/>
  <c r="EG217" i="9"/>
  <c r="EI217" i="9"/>
  <c r="EG218" i="9"/>
  <c r="EI218" i="9"/>
  <c r="EG219" i="9"/>
  <c r="EI219" i="9"/>
  <c r="EG220" i="9"/>
  <c r="EI220" i="9"/>
  <c r="EG221" i="9"/>
  <c r="EI221" i="9"/>
  <c r="EG222" i="9"/>
  <c r="EI222" i="9"/>
  <c r="EG223" i="9"/>
  <c r="EI223" i="9"/>
  <c r="EG224" i="9"/>
  <c r="EI224" i="9"/>
  <c r="EG225" i="9"/>
  <c r="EI225" i="9"/>
  <c r="EG226" i="9"/>
  <c r="EI226" i="9"/>
  <c r="EG227" i="9"/>
  <c r="EI227" i="9"/>
  <c r="EG228" i="9"/>
  <c r="EI228" i="9"/>
  <c r="EG229" i="9"/>
  <c r="EI229" i="9"/>
  <c r="EG230" i="9"/>
  <c r="EI230" i="9"/>
  <c r="EG231" i="9"/>
  <c r="EI231" i="9"/>
  <c r="EG232" i="9"/>
  <c r="EI232" i="9"/>
  <c r="EG233" i="9"/>
  <c r="EO233" i="9" s="1"/>
  <c r="EI233" i="9"/>
  <c r="EG234" i="9"/>
  <c r="EI234" i="9"/>
  <c r="EG235" i="9"/>
  <c r="EI235" i="9"/>
  <c r="EG236" i="9"/>
  <c r="EI236" i="9"/>
  <c r="EG237" i="9"/>
  <c r="EI237" i="9"/>
  <c r="EG238" i="9"/>
  <c r="EI238" i="9"/>
  <c r="EG239" i="9"/>
  <c r="EI239" i="9"/>
  <c r="EG240" i="9"/>
  <c r="EI240" i="9"/>
  <c r="EG241" i="9"/>
  <c r="EQ241" i="9" s="1"/>
  <c r="EI241" i="9"/>
  <c r="EG242" i="9"/>
  <c r="EI242" i="9"/>
  <c r="EG243" i="9"/>
  <c r="EI243" i="9"/>
  <c r="EG244" i="9"/>
  <c r="EI244" i="9"/>
  <c r="EG245" i="9"/>
  <c r="EI245" i="9"/>
  <c r="EG246" i="9"/>
  <c r="EI246" i="9"/>
  <c r="EG247" i="9"/>
  <c r="EI247" i="9"/>
  <c r="AG16" i="52"/>
  <c r="F5" i="52" s="1"/>
  <c r="EG292" i="9"/>
  <c r="EI292" i="9"/>
  <c r="EG293" i="9"/>
  <c r="EI293" i="9"/>
  <c r="AB12" i="52"/>
  <c r="EG294" i="9"/>
  <c r="EI294" i="9"/>
  <c r="AB13" i="52"/>
  <c r="EG295" i="9"/>
  <c r="EI295" i="9"/>
  <c r="EM295" i="9" s="1"/>
  <c r="AB14" i="52"/>
  <c r="EG296" i="9"/>
  <c r="EI296" i="9"/>
  <c r="AB15" i="52"/>
  <c r="EG297" i="9"/>
  <c r="EI297" i="9"/>
  <c r="AB16" i="52"/>
  <c r="EG298" i="9"/>
  <c r="EM298" i="9" s="1"/>
  <c r="EI298" i="9"/>
  <c r="AB17" i="52"/>
  <c r="EG299" i="9"/>
  <c r="EI299" i="9"/>
  <c r="AB18" i="52"/>
  <c r="EG300" i="9"/>
  <c r="EI300" i="9"/>
  <c r="AB19" i="52"/>
  <c r="EG301" i="9"/>
  <c r="EI301" i="9"/>
  <c r="AB20" i="52"/>
  <c r="EG302" i="9"/>
  <c r="EI302" i="9"/>
  <c r="AB21" i="52"/>
  <c r="EG303" i="9"/>
  <c r="EI303" i="9"/>
  <c r="EM303" i="9" s="1"/>
  <c r="AB22" i="52"/>
  <c r="EG304" i="9"/>
  <c r="EI304" i="9"/>
  <c r="AB23" i="52"/>
  <c r="EG305" i="9"/>
  <c r="EI305" i="9"/>
  <c r="AB24" i="52"/>
  <c r="EG306" i="9"/>
  <c r="EM306" i="9" s="1"/>
  <c r="EI306" i="9"/>
  <c r="AB25" i="52"/>
  <c r="EG307" i="9"/>
  <c r="EI307" i="9"/>
  <c r="AB26" i="52"/>
  <c r="EG308" i="9"/>
  <c r="EI308" i="9"/>
  <c r="AB27" i="52"/>
  <c r="EG309" i="9"/>
  <c r="EI309" i="9"/>
  <c r="AB28" i="52"/>
  <c r="EG310" i="9"/>
  <c r="EI310" i="9"/>
  <c r="AB29" i="52"/>
  <c r="EG311" i="9"/>
  <c r="EI311" i="9"/>
  <c r="AB30" i="52"/>
  <c r="EG312" i="9"/>
  <c r="EI312" i="9"/>
  <c r="AB31" i="52"/>
  <c r="EG313" i="9"/>
  <c r="EI313" i="9"/>
  <c r="AB32" i="52"/>
  <c r="EG314" i="9"/>
  <c r="EI314" i="9"/>
  <c r="AB33" i="52"/>
  <c r="EG315" i="9"/>
  <c r="EI315" i="9"/>
  <c r="AB34" i="52"/>
  <c r="EG316" i="9"/>
  <c r="EI316" i="9"/>
  <c r="AB35" i="52"/>
  <c r="EK316" i="9" s="1"/>
  <c r="EG317" i="9"/>
  <c r="EI317" i="9"/>
  <c r="AB36" i="52"/>
  <c r="EG318" i="9"/>
  <c r="EI318" i="9"/>
  <c r="AB37" i="52"/>
  <c r="EG319" i="9"/>
  <c r="EI319" i="9"/>
  <c r="EM319" i="9" s="1"/>
  <c r="AB38" i="52"/>
  <c r="EG320" i="9"/>
  <c r="EI320" i="9"/>
  <c r="AB39" i="52"/>
  <c r="EG321" i="9"/>
  <c r="EI321" i="9"/>
  <c r="AB40" i="52"/>
  <c r="EG322" i="9"/>
  <c r="EI322" i="9"/>
  <c r="AB41" i="52"/>
  <c r="EG323" i="9"/>
  <c r="EI323" i="9"/>
  <c r="AB42" i="52"/>
  <c r="EG324" i="9"/>
  <c r="EI324" i="9"/>
  <c r="AB43" i="52"/>
  <c r="EK324" i="9" s="1"/>
  <c r="EG325" i="9"/>
  <c r="EI325" i="9"/>
  <c r="AB44" i="52"/>
  <c r="EG326" i="9"/>
  <c r="EI326" i="9"/>
  <c r="AB45" i="52"/>
  <c r="EG327" i="9"/>
  <c r="EI327" i="9"/>
  <c r="EM327" i="9" s="1"/>
  <c r="AB46" i="52"/>
  <c r="EG328" i="9"/>
  <c r="EI328" i="9"/>
  <c r="AB47" i="52"/>
  <c r="EG329" i="9"/>
  <c r="EI329" i="9"/>
  <c r="AB48" i="52"/>
  <c r="EG330" i="9"/>
  <c r="EM330" i="9" s="1"/>
  <c r="EI330" i="9"/>
  <c r="AB49" i="52"/>
  <c r="EG331" i="9"/>
  <c r="EI331" i="9"/>
  <c r="AB50" i="52"/>
  <c r="EG332" i="9"/>
  <c r="EI332" i="9"/>
  <c r="AB51" i="52"/>
  <c r="EG333" i="9"/>
  <c r="EI333" i="9"/>
  <c r="AB52" i="52"/>
  <c r="EG334" i="9"/>
  <c r="EI334" i="9"/>
  <c r="AB53" i="52"/>
  <c r="EG335" i="9"/>
  <c r="EI335" i="9"/>
  <c r="EM335" i="9" s="1"/>
  <c r="AB54" i="52"/>
  <c r="EG336" i="9"/>
  <c r="EI336" i="9"/>
  <c r="AB55" i="52"/>
  <c r="EG337" i="9"/>
  <c r="EI337" i="9"/>
  <c r="AB56" i="52"/>
  <c r="D402" i="48"/>
  <c r="L402" i="48" s="1"/>
  <c r="CQ205" i="9"/>
  <c r="CR205" i="9"/>
  <c r="CQ202" i="9"/>
  <c r="CQ203" i="9"/>
  <c r="CR202" i="9"/>
  <c r="CR203" i="9"/>
  <c r="CN203" i="9"/>
  <c r="CO203" i="9"/>
  <c r="CQ204" i="9"/>
  <c r="CR204" i="9"/>
  <c r="CN204" i="9"/>
  <c r="CO204" i="9"/>
  <c r="CN205" i="9"/>
  <c r="CO205" i="9"/>
  <c r="CN202" i="9"/>
  <c r="CO202" i="9"/>
  <c r="AM204" i="9"/>
  <c r="AM205" i="9"/>
  <c r="AN204" i="9"/>
  <c r="AN205" i="9"/>
  <c r="AO204" i="9"/>
  <c r="AO205" i="9"/>
  <c r="AS204" i="9"/>
  <c r="AS205" i="9"/>
  <c r="AT204" i="9"/>
  <c r="AT205" i="9"/>
  <c r="AU204" i="9"/>
  <c r="AU205" i="9"/>
  <c r="AV204" i="9"/>
  <c r="AV205" i="9"/>
  <c r="AW204" i="9"/>
  <c r="AW205" i="9"/>
  <c r="BA204" i="9"/>
  <c r="BA205" i="9"/>
  <c r="BB204" i="9"/>
  <c r="CG204" i="9"/>
  <c r="BB205" i="9"/>
  <c r="CG205" i="9"/>
  <c r="BC204" i="9"/>
  <c r="CH204" i="9"/>
  <c r="BC205" i="9"/>
  <c r="CH205" i="9"/>
  <c r="BD204" i="9"/>
  <c r="CI204" i="9"/>
  <c r="BD205" i="9"/>
  <c r="CI205" i="9"/>
  <c r="BE204" i="9"/>
  <c r="CF204" i="9"/>
  <c r="BE205" i="9"/>
  <c r="CF205" i="9"/>
  <c r="BF204" i="9"/>
  <c r="BF205" i="9"/>
  <c r="BG204" i="9"/>
  <c r="BG205" i="9"/>
  <c r="BH204" i="9"/>
  <c r="CJ204" i="9"/>
  <c r="BH205" i="9"/>
  <c r="CJ205" i="9"/>
  <c r="BI204" i="9"/>
  <c r="BI205" i="9"/>
  <c r="BJ204" i="9"/>
  <c r="BJ205" i="9"/>
  <c r="BK204" i="9"/>
  <c r="BK205" i="9"/>
  <c r="AP204" i="9"/>
  <c r="AQ204" i="9"/>
  <c r="AX204" i="9"/>
  <c r="AY204" i="9"/>
  <c r="BL204" i="9"/>
  <c r="BM204" i="9"/>
  <c r="CK204" i="9"/>
  <c r="CL204" i="9"/>
  <c r="AP205" i="9"/>
  <c r="AQ205" i="9"/>
  <c r="AX205" i="9"/>
  <c r="AY205" i="9"/>
  <c r="BL205" i="9"/>
  <c r="BM205" i="9"/>
  <c r="CK205" i="9"/>
  <c r="CL205" i="9"/>
  <c r="BV204" i="9"/>
  <c r="BV205" i="9"/>
  <c r="BW204" i="9"/>
  <c r="BX204" i="9"/>
  <c r="DF204" i="9"/>
  <c r="BW205" i="9"/>
  <c r="BX205" i="9"/>
  <c r="DF205" i="9"/>
  <c r="BY204" i="9"/>
  <c r="BY205" i="9"/>
  <c r="BZ204" i="9"/>
  <c r="BZ205" i="9"/>
  <c r="CA204" i="9"/>
  <c r="CA205" i="9"/>
  <c r="CB204" i="9"/>
  <c r="DD204" i="9"/>
  <c r="CB205" i="9"/>
  <c r="DD205" i="9"/>
  <c r="CC204" i="9"/>
  <c r="CD204" i="9"/>
  <c r="DB204" i="9"/>
  <c r="CC205" i="9"/>
  <c r="CD205" i="9"/>
  <c r="DB205" i="9"/>
  <c r="CT204" i="9"/>
  <c r="CT205" i="9"/>
  <c r="CV204" i="9"/>
  <c r="DL204" i="9"/>
  <c r="CV205" i="9"/>
  <c r="DL205" i="9"/>
  <c r="CZ204" i="9"/>
  <c r="CZ205" i="9"/>
  <c r="DH204" i="9"/>
  <c r="DH205" i="9"/>
  <c r="AL204" i="9"/>
  <c r="AL205" i="9"/>
  <c r="AK205" i="9"/>
  <c r="AK204" i="9"/>
  <c r="AM202" i="9"/>
  <c r="AM203" i="9"/>
  <c r="AN202" i="9"/>
  <c r="AN203" i="9"/>
  <c r="AO202" i="9"/>
  <c r="AO203" i="9"/>
  <c r="AS202" i="9"/>
  <c r="AS203" i="9"/>
  <c r="AT202" i="9"/>
  <c r="AT203" i="9"/>
  <c r="AU202" i="9"/>
  <c r="AU203" i="9"/>
  <c r="AV202" i="9"/>
  <c r="AV203" i="9"/>
  <c r="AW202" i="9"/>
  <c r="AW203" i="9"/>
  <c r="BA202" i="9"/>
  <c r="BA203" i="9"/>
  <c r="BB202" i="9"/>
  <c r="BB203" i="9"/>
  <c r="CG202" i="9"/>
  <c r="CG203" i="9"/>
  <c r="BC202" i="9"/>
  <c r="BC203" i="9"/>
  <c r="CH202" i="9"/>
  <c r="CH203" i="9"/>
  <c r="BD202" i="9"/>
  <c r="BD203" i="9"/>
  <c r="CI202" i="9"/>
  <c r="CI203" i="9"/>
  <c r="BE202" i="9"/>
  <c r="BE203" i="9"/>
  <c r="CF202" i="9"/>
  <c r="CF203" i="9"/>
  <c r="BF202" i="9"/>
  <c r="BF203" i="9"/>
  <c r="BG202" i="9"/>
  <c r="BG203" i="9"/>
  <c r="BH202" i="9"/>
  <c r="BH203" i="9"/>
  <c r="CJ202" i="9"/>
  <c r="CJ203" i="9"/>
  <c r="BI202" i="9"/>
  <c r="BI203" i="9"/>
  <c r="BJ202" i="9"/>
  <c r="BJ203" i="9"/>
  <c r="BK202" i="9"/>
  <c r="BK203" i="9"/>
  <c r="AP202" i="9"/>
  <c r="AP203" i="9"/>
  <c r="AQ202" i="9"/>
  <c r="AQ203" i="9"/>
  <c r="AX202" i="9"/>
  <c r="AX203" i="9"/>
  <c r="AY202" i="9"/>
  <c r="AY203" i="9"/>
  <c r="BL202" i="9"/>
  <c r="BL203" i="9"/>
  <c r="BM202" i="9"/>
  <c r="BM203" i="9"/>
  <c r="CK202" i="9"/>
  <c r="CK203" i="9"/>
  <c r="CL202" i="9"/>
  <c r="CL203" i="9"/>
  <c r="BV202" i="9"/>
  <c r="BV203" i="9"/>
  <c r="BW202" i="9"/>
  <c r="BW203" i="9"/>
  <c r="BX202" i="9"/>
  <c r="BX203" i="9"/>
  <c r="DF202" i="9"/>
  <c r="DF203" i="9"/>
  <c r="BY202" i="9"/>
  <c r="BY203" i="9"/>
  <c r="BZ202" i="9"/>
  <c r="BZ203" i="9"/>
  <c r="CA202" i="9"/>
  <c r="CA203" i="9"/>
  <c r="CB202" i="9"/>
  <c r="CB203" i="9"/>
  <c r="DD202" i="9"/>
  <c r="DD203" i="9"/>
  <c r="CC202" i="9"/>
  <c r="CC203" i="9"/>
  <c r="CD202" i="9"/>
  <c r="CD203" i="9"/>
  <c r="DB202" i="9"/>
  <c r="DB203" i="9"/>
  <c r="CT202" i="9"/>
  <c r="CT203" i="9"/>
  <c r="CV202" i="9"/>
  <c r="CV203" i="9"/>
  <c r="DL202" i="9"/>
  <c r="DL203" i="9"/>
  <c r="CZ202" i="9"/>
  <c r="CZ203" i="9"/>
  <c r="DH202" i="9"/>
  <c r="DH203" i="9"/>
  <c r="AL203" i="9"/>
  <c r="AK203" i="9"/>
  <c r="AL202" i="9"/>
  <c r="AK202" i="9"/>
  <c r="D5" i="38"/>
  <c r="A92" i="43" s="1"/>
  <c r="G22" i="38"/>
  <c r="H22" i="38" s="1"/>
  <c r="G23" i="38"/>
  <c r="H23" i="38" s="1"/>
  <c r="G24" i="38"/>
  <c r="H24" i="38"/>
  <c r="G25" i="38"/>
  <c r="H25" i="38" s="1"/>
  <c r="G26" i="38"/>
  <c r="G27" i="38"/>
  <c r="G28" i="38"/>
  <c r="H28" i="38" s="1"/>
  <c r="G29" i="38"/>
  <c r="G30" i="38"/>
  <c r="H30" i="38" s="1"/>
  <c r="G31" i="38"/>
  <c r="G32" i="38"/>
  <c r="H32" i="38" s="1"/>
  <c r="G33" i="38"/>
  <c r="H33" i="38"/>
  <c r="G34" i="38"/>
  <c r="H34" i="38" s="1"/>
  <c r="G35" i="38"/>
  <c r="G36" i="38"/>
  <c r="G37" i="38"/>
  <c r="G38" i="38"/>
  <c r="G39" i="38"/>
  <c r="G40" i="38"/>
  <c r="H40" i="38" s="1"/>
  <c r="G41" i="38"/>
  <c r="G42" i="38"/>
  <c r="G43" i="38"/>
  <c r="G44" i="38"/>
  <c r="G45" i="38"/>
  <c r="G46" i="38"/>
  <c r="G47" i="38"/>
  <c r="H47" i="38" s="1"/>
  <c r="G48" i="38"/>
  <c r="H48" i="38"/>
  <c r="G49" i="38"/>
  <c r="H49" i="38" s="1"/>
  <c r="G50" i="38"/>
  <c r="H50" i="38" s="1"/>
  <c r="G51" i="38"/>
  <c r="H51" i="38"/>
  <c r="G52" i="38"/>
  <c r="H52" i="38"/>
  <c r="G53" i="38"/>
  <c r="H53" i="38"/>
  <c r="G54" i="38"/>
  <c r="H54" i="38" s="1"/>
  <c r="G55" i="38"/>
  <c r="H55" i="38" s="1"/>
  <c r="G56" i="38"/>
  <c r="H56" i="38" s="1"/>
  <c r="G57" i="38"/>
  <c r="H57" i="38"/>
  <c r="D6" i="38"/>
  <c r="A93" i="43" s="1"/>
  <c r="I22" i="38"/>
  <c r="J22" i="38" s="1"/>
  <c r="I23" i="38"/>
  <c r="J23" i="38" s="1"/>
  <c r="I24" i="38"/>
  <c r="J24" i="38" s="1"/>
  <c r="I25" i="38"/>
  <c r="J25" i="38" s="1"/>
  <c r="I26" i="38"/>
  <c r="J26" i="38" s="1"/>
  <c r="I27" i="38"/>
  <c r="I28" i="38"/>
  <c r="J28" i="38" s="1"/>
  <c r="I29" i="38"/>
  <c r="I30" i="38"/>
  <c r="I31" i="38"/>
  <c r="I32" i="38"/>
  <c r="J32" i="38"/>
  <c r="I33" i="38"/>
  <c r="J33" i="38" s="1"/>
  <c r="I34" i="38"/>
  <c r="J34" i="38" s="1"/>
  <c r="I35" i="38"/>
  <c r="I36" i="38"/>
  <c r="I37" i="38"/>
  <c r="I38" i="38"/>
  <c r="I39" i="38"/>
  <c r="I40" i="38"/>
  <c r="J40" i="38"/>
  <c r="I41" i="38"/>
  <c r="I42" i="38"/>
  <c r="I43" i="38"/>
  <c r="I44" i="38"/>
  <c r="I45" i="38"/>
  <c r="I46" i="38"/>
  <c r="I47" i="38"/>
  <c r="J47" i="38"/>
  <c r="I48" i="38"/>
  <c r="J48" i="38" s="1"/>
  <c r="I49" i="38"/>
  <c r="J49" i="38" s="1"/>
  <c r="I50" i="38"/>
  <c r="J50" i="38"/>
  <c r="I51" i="38"/>
  <c r="J51" i="38"/>
  <c r="I52" i="38"/>
  <c r="J52" i="38"/>
  <c r="I53" i="38"/>
  <c r="J53" i="38" s="1"/>
  <c r="I54" i="38"/>
  <c r="J54" i="38" s="1"/>
  <c r="I55" i="38"/>
  <c r="J55" i="38"/>
  <c r="I56" i="38"/>
  <c r="J56" i="38" s="1"/>
  <c r="I57" i="38"/>
  <c r="J57" i="38" s="1"/>
  <c r="D7" i="38"/>
  <c r="A94" i="43" s="1"/>
  <c r="K22" i="38"/>
  <c r="L22" i="38" s="1"/>
  <c r="K23" i="38"/>
  <c r="L23" i="38" s="1"/>
  <c r="K24" i="38"/>
  <c r="L24" i="38" s="1"/>
  <c r="K25" i="38"/>
  <c r="L25" i="38" s="1"/>
  <c r="K26" i="38"/>
  <c r="K27" i="38"/>
  <c r="K28" i="38"/>
  <c r="L28" i="38" s="1"/>
  <c r="K29" i="38"/>
  <c r="K30" i="38"/>
  <c r="K31" i="38"/>
  <c r="K32" i="38"/>
  <c r="L32" i="38" s="1"/>
  <c r="K33" i="38"/>
  <c r="L33" i="38" s="1"/>
  <c r="K34" i="38"/>
  <c r="L34" i="38" s="1"/>
  <c r="K35" i="38"/>
  <c r="K36" i="38"/>
  <c r="K37" i="38"/>
  <c r="K38" i="38"/>
  <c r="K39" i="38"/>
  <c r="K40" i="38"/>
  <c r="L40" i="38" s="1"/>
  <c r="K41" i="38"/>
  <c r="K42" i="38"/>
  <c r="K43" i="38"/>
  <c r="K44" i="38"/>
  <c r="K45" i="38"/>
  <c r="K46" i="38"/>
  <c r="K47" i="38"/>
  <c r="L47" i="38" s="1"/>
  <c r="K48" i="38"/>
  <c r="L48" i="38" s="1"/>
  <c r="K49" i="38"/>
  <c r="L49" i="38" s="1"/>
  <c r="K50" i="38"/>
  <c r="L50" i="38"/>
  <c r="K51" i="38"/>
  <c r="L51" i="38" s="1"/>
  <c r="K52" i="38"/>
  <c r="L52" i="38" s="1"/>
  <c r="K53" i="38"/>
  <c r="L53" i="38" s="1"/>
  <c r="K54" i="38"/>
  <c r="L54" i="38"/>
  <c r="K55" i="38"/>
  <c r="K56" i="38"/>
  <c r="L56" i="38" s="1"/>
  <c r="K57" i="38"/>
  <c r="L57" i="38" s="1"/>
  <c r="D11" i="38"/>
  <c r="A97" i="43"/>
  <c r="R22" i="38"/>
  <c r="S22" i="38" s="1"/>
  <c r="R23" i="38"/>
  <c r="S23" i="38" s="1"/>
  <c r="R24" i="38"/>
  <c r="S24" i="38" s="1"/>
  <c r="R25" i="38"/>
  <c r="R26" i="38"/>
  <c r="S26" i="38"/>
  <c r="R27" i="38"/>
  <c r="R28" i="38"/>
  <c r="R29" i="38"/>
  <c r="S29" i="38"/>
  <c r="R30" i="38"/>
  <c r="S30" i="38" s="1"/>
  <c r="R31" i="38"/>
  <c r="S31" i="38" s="1"/>
  <c r="R32" i="38"/>
  <c r="S32" i="38" s="1"/>
  <c r="R33" i="38"/>
  <c r="R34" i="38"/>
  <c r="S34" i="38"/>
  <c r="R35" i="38"/>
  <c r="R36" i="38"/>
  <c r="S36" i="38" s="1"/>
  <c r="R37" i="38"/>
  <c r="R38" i="38"/>
  <c r="R39" i="38"/>
  <c r="R40" i="38"/>
  <c r="R41" i="38"/>
  <c r="R42" i="38"/>
  <c r="R43" i="38"/>
  <c r="R44" i="38"/>
  <c r="S44" i="38" s="1"/>
  <c r="R45" i="38"/>
  <c r="S45" i="38" s="1"/>
  <c r="R46" i="38"/>
  <c r="R47" i="38"/>
  <c r="S47" i="38"/>
  <c r="R48" i="38"/>
  <c r="S48" i="38" s="1"/>
  <c r="R49" i="38"/>
  <c r="S49" i="38" s="1"/>
  <c r="R50" i="38"/>
  <c r="S50" i="38" s="1"/>
  <c r="R51" i="38"/>
  <c r="S51" i="38"/>
  <c r="R52" i="38"/>
  <c r="S52" i="38" s="1"/>
  <c r="R53" i="38"/>
  <c r="S53" i="38"/>
  <c r="R54" i="38"/>
  <c r="S54" i="38" s="1"/>
  <c r="R55" i="38"/>
  <c r="S55" i="38" s="1"/>
  <c r="R56" i="38"/>
  <c r="S56" i="38" s="1"/>
  <c r="R57" i="38"/>
  <c r="S57" i="38" s="1"/>
  <c r="D12" i="38"/>
  <c r="A98" i="43" s="1"/>
  <c r="T22" i="38"/>
  <c r="U22" i="38"/>
  <c r="T23" i="38"/>
  <c r="U23" i="38" s="1"/>
  <c r="T24" i="38"/>
  <c r="U24" i="38" s="1"/>
  <c r="T25" i="38"/>
  <c r="T26" i="38"/>
  <c r="U26" i="38" s="1"/>
  <c r="T27" i="38"/>
  <c r="T28" i="38"/>
  <c r="T29" i="38"/>
  <c r="U29" i="38"/>
  <c r="T30" i="38"/>
  <c r="T31" i="38"/>
  <c r="U31" i="38" s="1"/>
  <c r="T32" i="38"/>
  <c r="U32" i="38" s="1"/>
  <c r="T33" i="38"/>
  <c r="T34" i="38"/>
  <c r="U34" i="38" s="1"/>
  <c r="T35" i="38"/>
  <c r="T36" i="38"/>
  <c r="U36" i="38"/>
  <c r="T37" i="38"/>
  <c r="T38" i="38"/>
  <c r="U38" i="38" s="1"/>
  <c r="T39" i="38"/>
  <c r="T40" i="38"/>
  <c r="T41" i="38"/>
  <c r="T42" i="38"/>
  <c r="U42" i="38" s="1"/>
  <c r="T43" i="38"/>
  <c r="T44" i="38"/>
  <c r="U44" i="38" s="1"/>
  <c r="T45" i="38"/>
  <c r="U45" i="38" s="1"/>
  <c r="T46" i="38"/>
  <c r="U46" i="38" s="1"/>
  <c r="T47" i="38"/>
  <c r="U47" i="38" s="1"/>
  <c r="T48" i="38"/>
  <c r="U48" i="38" s="1"/>
  <c r="T49" i="38"/>
  <c r="U49" i="38" s="1"/>
  <c r="T50" i="38"/>
  <c r="U50" i="38" s="1"/>
  <c r="T51" i="38"/>
  <c r="U51" i="38"/>
  <c r="T52" i="38"/>
  <c r="U52" i="38" s="1"/>
  <c r="T53" i="38"/>
  <c r="U53" i="38" s="1"/>
  <c r="T54" i="38"/>
  <c r="U54" i="38" s="1"/>
  <c r="T55" i="38"/>
  <c r="U55" i="38"/>
  <c r="T56" i="38"/>
  <c r="U56" i="38" s="1"/>
  <c r="T57" i="38"/>
  <c r="U57" i="38" s="1"/>
  <c r="D13" i="38"/>
  <c r="A99" i="43" s="1"/>
  <c r="V22" i="38"/>
  <c r="W22" i="38"/>
  <c r="V23" i="38"/>
  <c r="W23" i="38" s="1"/>
  <c r="V24" i="38"/>
  <c r="V25" i="38"/>
  <c r="V26" i="38"/>
  <c r="W26" i="38"/>
  <c r="V27" i="38"/>
  <c r="W27" i="38" s="1"/>
  <c r="V28" i="38"/>
  <c r="V29" i="38"/>
  <c r="W29" i="38" s="1"/>
  <c r="V30" i="38"/>
  <c r="V31" i="38"/>
  <c r="W31" i="38" s="1"/>
  <c r="V32" i="38"/>
  <c r="W32" i="38" s="1"/>
  <c r="V33" i="38"/>
  <c r="V34" i="38"/>
  <c r="W34" i="38" s="1"/>
  <c r="V35" i="38"/>
  <c r="V36" i="38"/>
  <c r="W36" i="38" s="1"/>
  <c r="V37" i="38"/>
  <c r="V38" i="38"/>
  <c r="V39" i="38"/>
  <c r="V40" i="38"/>
  <c r="V41" i="38"/>
  <c r="V42" i="38"/>
  <c r="V43" i="38"/>
  <c r="V44" i="38"/>
  <c r="W44" i="38"/>
  <c r="V45" i="38"/>
  <c r="W45" i="38" s="1"/>
  <c r="V46" i="38"/>
  <c r="W46" i="38" s="1"/>
  <c r="V47" i="38"/>
  <c r="W47" i="38" s="1"/>
  <c r="V48" i="38"/>
  <c r="W48" i="38" s="1"/>
  <c r="V49" i="38"/>
  <c r="W49" i="38" s="1"/>
  <c r="V50" i="38"/>
  <c r="W50" i="38" s="1"/>
  <c r="V51" i="38"/>
  <c r="W51" i="38"/>
  <c r="V52" i="38"/>
  <c r="W52" i="38"/>
  <c r="V53" i="38"/>
  <c r="W53" i="38" s="1"/>
  <c r="V54" i="38"/>
  <c r="W54" i="38" s="1"/>
  <c r="V55" i="38"/>
  <c r="W55" i="38" s="1"/>
  <c r="V56" i="38"/>
  <c r="W56" i="38"/>
  <c r="V57" i="38"/>
  <c r="W57" i="38" s="1"/>
  <c r="L11" i="52"/>
  <c r="J11" i="52"/>
  <c r="H11" i="52"/>
  <c r="C18" i="5"/>
  <c r="R34" i="5"/>
  <c r="D227" i="9"/>
  <c r="A224" i="9"/>
  <c r="K23" i="41" s="1"/>
  <c r="D351" i="48" s="1"/>
  <c r="A225" i="9"/>
  <c r="K24" i="41"/>
  <c r="D352" i="48"/>
  <c r="A226" i="9"/>
  <c r="K25" i="41" s="1"/>
  <c r="D353" i="48" s="1"/>
  <c r="A227" i="9"/>
  <c r="K26" i="41"/>
  <c r="D354" i="48" s="1"/>
  <c r="U31" i="5"/>
  <c r="D261" i="48" s="1"/>
  <c r="D269" i="48"/>
  <c r="G227" i="9"/>
  <c r="F227" i="9"/>
  <c r="E227" i="9"/>
  <c r="A116" i="43"/>
  <c r="D115" i="43"/>
  <c r="L115" i="43" s="1"/>
  <c r="A115" i="43"/>
  <c r="D114" i="43"/>
  <c r="L114" i="43" s="1"/>
  <c r="A114" i="43"/>
  <c r="D113" i="43"/>
  <c r="L113" i="43" s="1"/>
  <c r="A113" i="43"/>
  <c r="L116" i="43"/>
  <c r="D131" i="43"/>
  <c r="K131" i="43" s="1"/>
  <c r="D129" i="43"/>
  <c r="K129" i="43"/>
  <c r="D28" i="43"/>
  <c r="D299" i="48"/>
  <c r="D298" i="48"/>
  <c r="A299" i="48"/>
  <c r="A298" i="48"/>
  <c r="D122" i="43"/>
  <c r="K122" i="43" s="1"/>
  <c r="K123" i="43"/>
  <c r="L123" i="43"/>
  <c r="AN130" i="9"/>
  <c r="AM130" i="9"/>
  <c r="AL130" i="9"/>
  <c r="AK130" i="9"/>
  <c r="AJ130" i="9"/>
  <c r="AI130" i="9"/>
  <c r="AH130" i="9"/>
  <c r="AG130" i="9"/>
  <c r="AF130" i="9"/>
  <c r="AE130" i="9"/>
  <c r="AD130" i="9"/>
  <c r="AC130" i="9"/>
  <c r="V177" i="9"/>
  <c r="V176" i="9"/>
  <c r="V178" i="9"/>
  <c r="V179" i="9"/>
  <c r="V180" i="9"/>
  <c r="V181" i="9"/>
  <c r="V182" i="9"/>
  <c r="V183" i="9"/>
  <c r="V184" i="9"/>
  <c r="V185" i="9"/>
  <c r="V186" i="9"/>
  <c r="V187" i="9"/>
  <c r="V188" i="9"/>
  <c r="V189" i="9"/>
  <c r="V190" i="9"/>
  <c r="V191" i="9"/>
  <c r="V192" i="9"/>
  <c r="V193" i="9"/>
  <c r="V194" i="9"/>
  <c r="V195" i="9"/>
  <c r="V196" i="9"/>
  <c r="V197" i="9"/>
  <c r="V198" i="9"/>
  <c r="V199" i="9"/>
  <c r="V200" i="9"/>
  <c r="V201" i="9"/>
  <c r="V202" i="9"/>
  <c r="V203" i="9"/>
  <c r="V204" i="9"/>
  <c r="V205" i="9"/>
  <c r="V206" i="9"/>
  <c r="N188" i="9"/>
  <c r="O188" i="9"/>
  <c r="P188" i="9"/>
  <c r="D291" i="43"/>
  <c r="D294" i="43"/>
  <c r="BE206" i="9"/>
  <c r="BF206" i="9"/>
  <c r="BE207" i="9"/>
  <c r="BF207" i="9"/>
  <c r="BE208" i="9"/>
  <c r="BF208" i="9"/>
  <c r="BE209" i="9"/>
  <c r="BF209" i="9"/>
  <c r="BE210" i="9"/>
  <c r="BF210" i="9"/>
  <c r="BE211" i="9"/>
  <c r="BF211" i="9"/>
  <c r="BE212" i="9"/>
  <c r="BF212" i="9"/>
  <c r="BE213" i="9"/>
  <c r="BF213" i="9"/>
  <c r="CR62" i="9"/>
  <c r="CR65" i="9" s="1"/>
  <c r="CS62" i="9"/>
  <c r="CS65" i="9" s="1"/>
  <c r="CT62" i="9"/>
  <c r="CT65" i="9" s="1"/>
  <c r="CU62" i="9"/>
  <c r="CU65" i="9" s="1"/>
  <c r="CV62" i="9"/>
  <c r="CV65" i="9" s="1"/>
  <c r="CW62" i="9"/>
  <c r="CW65" i="9" s="1"/>
  <c r="CX62" i="9"/>
  <c r="CX65" i="9" s="1"/>
  <c r="CY62" i="9"/>
  <c r="CY65" i="9" s="1"/>
  <c r="CZ62" i="9"/>
  <c r="CZ65" i="9" s="1"/>
  <c r="DA62" i="9"/>
  <c r="DA65" i="9" s="1"/>
  <c r="DB62" i="9"/>
  <c r="DB65" i="9" s="1"/>
  <c r="CQ62" i="9"/>
  <c r="CQ65" i="9" s="1"/>
  <c r="D334" i="39"/>
  <c r="D355" i="39" s="1"/>
  <c r="D356" i="39" s="1"/>
  <c r="U21" i="5"/>
  <c r="U27" i="5" s="1"/>
  <c r="D271" i="48" s="1"/>
  <c r="CV291" i="9"/>
  <c r="CV292" i="9"/>
  <c r="CV293" i="9"/>
  <c r="CV294" i="9"/>
  <c r="CV295" i="9"/>
  <c r="CV296" i="9"/>
  <c r="CV297" i="9"/>
  <c r="CV298" i="9"/>
  <c r="CV299" i="9"/>
  <c r="CV300" i="9"/>
  <c r="CV301" i="9"/>
  <c r="CV302" i="9"/>
  <c r="CV303" i="9"/>
  <c r="CV304" i="9"/>
  <c r="CV305" i="9"/>
  <c r="CV306" i="9"/>
  <c r="CV307" i="9"/>
  <c r="CV308" i="9"/>
  <c r="CV309" i="9"/>
  <c r="CV310" i="9"/>
  <c r="CV311" i="9"/>
  <c r="CV312" i="9"/>
  <c r="CV313" i="9"/>
  <c r="CV314" i="9"/>
  <c r="CV315" i="9"/>
  <c r="CV316" i="9"/>
  <c r="CV317" i="9"/>
  <c r="CV318" i="9"/>
  <c r="CV319" i="9"/>
  <c r="CV320" i="9"/>
  <c r="CV321" i="9"/>
  <c r="CV322" i="9"/>
  <c r="CV323" i="9"/>
  <c r="CV324" i="9"/>
  <c r="CV325" i="9"/>
  <c r="CV326" i="9"/>
  <c r="CV327" i="9"/>
  <c r="CV328" i="9"/>
  <c r="CV329" i="9"/>
  <c r="CV330" i="9"/>
  <c r="CV331" i="9"/>
  <c r="CV332" i="9"/>
  <c r="CV333" i="9"/>
  <c r="CV334" i="9"/>
  <c r="CV335" i="9"/>
  <c r="CV206" i="9"/>
  <c r="CV207" i="9"/>
  <c r="CV208" i="9"/>
  <c r="CV209" i="9"/>
  <c r="CV210" i="9"/>
  <c r="CV211" i="9"/>
  <c r="CV212" i="9"/>
  <c r="CV213" i="9"/>
  <c r="CV214" i="9"/>
  <c r="CV215" i="9"/>
  <c r="CV216" i="9"/>
  <c r="CV217" i="9"/>
  <c r="CV218" i="9"/>
  <c r="CV219" i="9"/>
  <c r="CV220" i="9"/>
  <c r="CV221" i="9"/>
  <c r="CV222" i="9"/>
  <c r="CV223" i="9"/>
  <c r="CV224" i="9"/>
  <c r="CV225" i="9"/>
  <c r="CV226" i="9"/>
  <c r="CV227" i="9"/>
  <c r="CV228" i="9"/>
  <c r="CV229" i="9"/>
  <c r="CV230" i="9"/>
  <c r="CV231" i="9"/>
  <c r="CV232" i="9"/>
  <c r="CV233" i="9"/>
  <c r="CV234" i="9"/>
  <c r="CV235" i="9"/>
  <c r="CV236" i="9"/>
  <c r="CV237" i="9"/>
  <c r="CV238" i="9"/>
  <c r="CV239" i="9"/>
  <c r="CV240" i="9"/>
  <c r="CV241" i="9"/>
  <c r="CV242" i="9"/>
  <c r="CV243" i="9"/>
  <c r="CV244" i="9"/>
  <c r="CV245" i="9"/>
  <c r="CV246" i="9"/>
  <c r="CV247" i="9"/>
  <c r="E2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D110" i="43"/>
  <c r="L110" i="43" s="1"/>
  <c r="D111" i="43"/>
  <c r="L111" i="43" s="1"/>
  <c r="D133" i="43"/>
  <c r="B221" i="39"/>
  <c r="E221" i="39"/>
  <c r="E237" i="39" s="1"/>
  <c r="E238" i="39" s="1"/>
  <c r="C221" i="39"/>
  <c r="D221" i="39"/>
  <c r="D237" i="39" s="1"/>
  <c r="D238" i="39" s="1"/>
  <c r="F221" i="39"/>
  <c r="F237" i="39" s="1"/>
  <c r="F238" i="39" s="1"/>
  <c r="G221" i="39"/>
  <c r="G237" i="39" s="1"/>
  <c r="G238" i="39" s="1"/>
  <c r="H221" i="39"/>
  <c r="H237" i="39" s="1"/>
  <c r="H238" i="39" s="1"/>
  <c r="B222" i="39"/>
  <c r="E222" i="39"/>
  <c r="E239" i="39" s="1"/>
  <c r="C222" i="39"/>
  <c r="D222" i="39"/>
  <c r="D239" i="39" s="1"/>
  <c r="D240" i="39" s="1"/>
  <c r="C223" i="39"/>
  <c r="D223" i="39"/>
  <c r="E240" i="39"/>
  <c r="F222" i="39"/>
  <c r="F239" i="39" s="1"/>
  <c r="F240" i="39" s="1"/>
  <c r="G222" i="39"/>
  <c r="G239" i="39" s="1"/>
  <c r="G240" i="39" s="1"/>
  <c r="H222" i="39"/>
  <c r="H239" i="39" s="1"/>
  <c r="H240" i="39" s="1"/>
  <c r="B223" i="39"/>
  <c r="E223" i="39"/>
  <c r="E241" i="39"/>
  <c r="E242" i="39"/>
  <c r="F223" i="39"/>
  <c r="F241" i="39"/>
  <c r="F242" i="39" s="1"/>
  <c r="G223" i="39"/>
  <c r="G241" i="39" s="1"/>
  <c r="G242" i="39" s="1"/>
  <c r="H223" i="39"/>
  <c r="H241" i="39" s="1"/>
  <c r="H242" i="39" s="1"/>
  <c r="B226" i="39"/>
  <c r="E226" i="39"/>
  <c r="E246" i="39" s="1"/>
  <c r="E247" i="39"/>
  <c r="C226" i="39"/>
  <c r="D226" i="39"/>
  <c r="D246" i="39" s="1"/>
  <c r="D247" i="39" s="1"/>
  <c r="F226" i="39"/>
  <c r="F246" i="39" s="1"/>
  <c r="F247" i="39" s="1"/>
  <c r="G226" i="39"/>
  <c r="G246" i="39" s="1"/>
  <c r="G247" i="39" s="1"/>
  <c r="H226" i="39"/>
  <c r="H246" i="39"/>
  <c r="H247" i="39" s="1"/>
  <c r="B227" i="39"/>
  <c r="E227" i="39"/>
  <c r="E252" i="39" s="1"/>
  <c r="E253" i="39" s="1"/>
  <c r="C227" i="39"/>
  <c r="D227" i="39"/>
  <c r="F227" i="39"/>
  <c r="F252" i="39" s="1"/>
  <c r="F253" i="39" s="1"/>
  <c r="G227" i="39"/>
  <c r="G252" i="39"/>
  <c r="G253" i="39" s="1"/>
  <c r="H227" i="39"/>
  <c r="H252" i="39" s="1"/>
  <c r="H253" i="39" s="1"/>
  <c r="B228" i="39"/>
  <c r="E228" i="39"/>
  <c r="C228" i="39"/>
  <c r="A256" i="39" s="1"/>
  <c r="D228" i="39"/>
  <c r="E255" i="39"/>
  <c r="E256" i="39" s="1"/>
  <c r="F228" i="39"/>
  <c r="F255" i="39" s="1"/>
  <c r="F256" i="39" s="1"/>
  <c r="G228" i="39"/>
  <c r="G255" i="39" s="1"/>
  <c r="G256" i="39" s="1"/>
  <c r="H228" i="39"/>
  <c r="H255" i="39" s="1"/>
  <c r="H256" i="39" s="1"/>
  <c r="B229" i="39"/>
  <c r="E229" i="39"/>
  <c r="E258" i="39" s="1"/>
  <c r="E259" i="39" s="1"/>
  <c r="C229" i="39"/>
  <c r="D229" i="39"/>
  <c r="D258" i="39" s="1"/>
  <c r="D259" i="39"/>
  <c r="F229" i="39"/>
  <c r="F258" i="39" s="1"/>
  <c r="F259" i="39" s="1"/>
  <c r="G229" i="39"/>
  <c r="G258" i="39" s="1"/>
  <c r="G259" i="39" s="1"/>
  <c r="H229" i="39"/>
  <c r="H258" i="39" s="1"/>
  <c r="H259" i="39" s="1"/>
  <c r="B230" i="39"/>
  <c r="E230" i="39"/>
  <c r="C230" i="39"/>
  <c r="D230" i="39"/>
  <c r="D261" i="39" s="1"/>
  <c r="D262" i="39" s="1"/>
  <c r="F230" i="39"/>
  <c r="F261" i="39" s="1"/>
  <c r="F262" i="39" s="1"/>
  <c r="G230" i="39"/>
  <c r="G261" i="39" s="1"/>
  <c r="G262" i="39"/>
  <c r="H230" i="39"/>
  <c r="H261" i="39" s="1"/>
  <c r="H262" i="39" s="1"/>
  <c r="C231" i="39"/>
  <c r="D231" i="39"/>
  <c r="D264" i="39" s="1"/>
  <c r="D265" i="39" s="1"/>
  <c r="E231" i="39"/>
  <c r="E264" i="39" s="1"/>
  <c r="E265" i="39" s="1"/>
  <c r="F231" i="39"/>
  <c r="F264" i="39" s="1"/>
  <c r="F265" i="39" s="1"/>
  <c r="C232" i="39"/>
  <c r="D232" i="39"/>
  <c r="D267" i="39"/>
  <c r="D268" i="39" s="1"/>
  <c r="E232" i="39"/>
  <c r="E267" i="39" s="1"/>
  <c r="E268" i="39" s="1"/>
  <c r="F232" i="39"/>
  <c r="F267" i="39" s="1"/>
  <c r="F268" i="39" s="1"/>
  <c r="B275" i="39"/>
  <c r="E275" i="39"/>
  <c r="E292" i="39"/>
  <c r="E293" i="39"/>
  <c r="C275" i="39"/>
  <c r="C292" i="39" s="1"/>
  <c r="C293" i="39" s="1"/>
  <c r="D275" i="39"/>
  <c r="D292" i="39" s="1"/>
  <c r="D293" i="39" s="1"/>
  <c r="F275" i="39"/>
  <c r="F292" i="39"/>
  <c r="F293" i="39" s="1"/>
  <c r="G275" i="39"/>
  <c r="G292" i="39" s="1"/>
  <c r="G293" i="39"/>
  <c r="H275" i="39"/>
  <c r="H292" i="39" s="1"/>
  <c r="H293" i="39" s="1"/>
  <c r="B276" i="39"/>
  <c r="E276" i="39"/>
  <c r="E294" i="39" s="1"/>
  <c r="E295" i="39" s="1"/>
  <c r="C276" i="39"/>
  <c r="A295" i="39" s="1"/>
  <c r="D276" i="39"/>
  <c r="C277" i="39"/>
  <c r="D277" i="39"/>
  <c r="D296" i="39" s="1"/>
  <c r="D297" i="39" s="1"/>
  <c r="D294" i="39"/>
  <c r="D295" i="39"/>
  <c r="F276" i="39"/>
  <c r="F294" i="39" s="1"/>
  <c r="F295" i="39" s="1"/>
  <c r="G276" i="39"/>
  <c r="G294" i="39" s="1"/>
  <c r="G295" i="39" s="1"/>
  <c r="H276" i="39"/>
  <c r="H294" i="39"/>
  <c r="H295" i="39" s="1"/>
  <c r="B277" i="39"/>
  <c r="E277" i="39"/>
  <c r="E296" i="39" s="1"/>
  <c r="E297" i="39" s="1"/>
  <c r="F277" i="39"/>
  <c r="F296" i="39" s="1"/>
  <c r="F297" i="39" s="1"/>
  <c r="G277" i="39"/>
  <c r="G296" i="39" s="1"/>
  <c r="G297" i="39" s="1"/>
  <c r="H277" i="39"/>
  <c r="H296" i="39"/>
  <c r="H297" i="39" s="1"/>
  <c r="B280" i="39"/>
  <c r="E280" i="39"/>
  <c r="E301" i="39"/>
  <c r="E302" i="39" s="1"/>
  <c r="C280" i="39"/>
  <c r="D280" i="39"/>
  <c r="D301" i="39" s="1"/>
  <c r="D302" i="39" s="1"/>
  <c r="F280" i="39"/>
  <c r="F301" i="39"/>
  <c r="F302" i="39" s="1"/>
  <c r="G280" i="39"/>
  <c r="G301" i="39" s="1"/>
  <c r="G302" i="39"/>
  <c r="H280" i="39"/>
  <c r="H301" i="39" s="1"/>
  <c r="H302" i="39" s="1"/>
  <c r="B282" i="39"/>
  <c r="E282" i="39"/>
  <c r="E307" i="39"/>
  <c r="E308" i="39" s="1"/>
  <c r="C282" i="39"/>
  <c r="D282" i="39"/>
  <c r="D307" i="39" s="1"/>
  <c r="D308" i="39" s="1"/>
  <c r="F282" i="39"/>
  <c r="F307" i="39" s="1"/>
  <c r="F308" i="39" s="1"/>
  <c r="G282" i="39"/>
  <c r="G307" i="39" s="1"/>
  <c r="G308" i="39" s="1"/>
  <c r="H282" i="39"/>
  <c r="H307" i="39"/>
  <c r="H308" i="39" s="1"/>
  <c r="B283" i="39"/>
  <c r="E283" i="39"/>
  <c r="E310" i="39" s="1"/>
  <c r="E311" i="39" s="1"/>
  <c r="C283" i="39"/>
  <c r="C310" i="39" s="1"/>
  <c r="C311" i="39" s="1"/>
  <c r="D283" i="39"/>
  <c r="D310" i="39" s="1"/>
  <c r="D311" i="39" s="1"/>
  <c r="F283" i="39"/>
  <c r="F310" i="39"/>
  <c r="F311" i="39" s="1"/>
  <c r="G283" i="39"/>
  <c r="G310" i="39"/>
  <c r="G311" i="39" s="1"/>
  <c r="H283" i="39"/>
  <c r="H310" i="39" s="1"/>
  <c r="H311" i="39" s="1"/>
  <c r="B284" i="39"/>
  <c r="E284" i="39"/>
  <c r="E313" i="39" s="1"/>
  <c r="E314" i="39" s="1"/>
  <c r="C284" i="39"/>
  <c r="D284" i="39"/>
  <c r="F284" i="39"/>
  <c r="F313" i="39" s="1"/>
  <c r="F314" i="39" s="1"/>
  <c r="G284" i="39"/>
  <c r="G313" i="39" s="1"/>
  <c r="G314" i="39" s="1"/>
  <c r="H284" i="39"/>
  <c r="H313" i="39" s="1"/>
  <c r="H314" i="39" s="1"/>
  <c r="B285" i="39"/>
  <c r="E285" i="39"/>
  <c r="E316" i="39" s="1"/>
  <c r="E317" i="39" s="1"/>
  <c r="C285" i="39"/>
  <c r="A315" i="39" s="1"/>
  <c r="D285" i="39"/>
  <c r="D316" i="39" s="1"/>
  <c r="D317" i="39" s="1"/>
  <c r="F285" i="39"/>
  <c r="F316" i="39" s="1"/>
  <c r="F317" i="39" s="1"/>
  <c r="G285" i="39"/>
  <c r="G316" i="39" s="1"/>
  <c r="G317" i="39" s="1"/>
  <c r="H285" i="39"/>
  <c r="H316" i="39"/>
  <c r="H317" i="39"/>
  <c r="C286" i="39"/>
  <c r="D286" i="39"/>
  <c r="D319" i="39"/>
  <c r="D320" i="39" s="1"/>
  <c r="E286" i="39"/>
  <c r="E319" i="39" s="1"/>
  <c r="E320" i="39" s="1"/>
  <c r="F286" i="39"/>
  <c r="F319" i="39" s="1"/>
  <c r="F320" i="39" s="1"/>
  <c r="C287" i="39"/>
  <c r="D287" i="39"/>
  <c r="D322" i="39" s="1"/>
  <c r="E287" i="39"/>
  <c r="E322" i="39" s="1"/>
  <c r="E323" i="39" s="1"/>
  <c r="F287" i="39"/>
  <c r="F322" i="39" s="1"/>
  <c r="F323" i="39" s="1"/>
  <c r="B329" i="39"/>
  <c r="E329" i="39"/>
  <c r="E346" i="39" s="1"/>
  <c r="E347" i="39" s="1"/>
  <c r="C329" i="39"/>
  <c r="C346" i="39" s="1"/>
  <c r="C347" i="39" s="1"/>
  <c r="D329" i="39"/>
  <c r="D346" i="39" s="1"/>
  <c r="D347" i="39" s="1"/>
  <c r="F329" i="39"/>
  <c r="F346" i="39"/>
  <c r="F347" i="39" s="1"/>
  <c r="G329" i="39"/>
  <c r="G346" i="39" s="1"/>
  <c r="G347" i="39"/>
  <c r="H329" i="39"/>
  <c r="H346" i="39" s="1"/>
  <c r="H347" i="39" s="1"/>
  <c r="B330" i="39"/>
  <c r="E330" i="39"/>
  <c r="E348" i="39"/>
  <c r="E349" i="39" s="1"/>
  <c r="C330" i="39"/>
  <c r="D330" i="39"/>
  <c r="C331" i="39"/>
  <c r="D331" i="39"/>
  <c r="D350" i="39" s="1"/>
  <c r="D351" i="39" s="1"/>
  <c r="F330" i="39"/>
  <c r="F348" i="39"/>
  <c r="F349" i="39" s="1"/>
  <c r="G330" i="39"/>
  <c r="G348" i="39" s="1"/>
  <c r="G349" i="39"/>
  <c r="H330" i="39"/>
  <c r="H348" i="39" s="1"/>
  <c r="H349" i="39" s="1"/>
  <c r="B331" i="39"/>
  <c r="E331" i="39"/>
  <c r="E350" i="39" s="1"/>
  <c r="E351" i="39" s="1"/>
  <c r="F331" i="39"/>
  <c r="F350" i="39"/>
  <c r="F351" i="39" s="1"/>
  <c r="G331" i="39"/>
  <c r="G350" i="39"/>
  <c r="G351" i="39" s="1"/>
  <c r="H331" i="39"/>
  <c r="H350" i="39" s="1"/>
  <c r="H351" i="39"/>
  <c r="B334" i="39"/>
  <c r="E334" i="39"/>
  <c r="C334" i="39"/>
  <c r="C355" i="39"/>
  <c r="C356" i="39" s="1"/>
  <c r="F334" i="39"/>
  <c r="F355" i="39" s="1"/>
  <c r="F356" i="39" s="1"/>
  <c r="G334" i="39"/>
  <c r="G355" i="39"/>
  <c r="G356" i="39" s="1"/>
  <c r="H334" i="39"/>
  <c r="H355" i="39" s="1"/>
  <c r="H356" i="39"/>
  <c r="B336" i="39"/>
  <c r="E336" i="39"/>
  <c r="E361" i="39" s="1"/>
  <c r="E362" i="39" s="1"/>
  <c r="C336" i="39"/>
  <c r="D336" i="39"/>
  <c r="D361" i="39" s="1"/>
  <c r="D362" i="39" s="1"/>
  <c r="F336" i="39"/>
  <c r="F361" i="39" s="1"/>
  <c r="F362" i="39" s="1"/>
  <c r="G336" i="39"/>
  <c r="G361" i="39" s="1"/>
  <c r="G362" i="39" s="1"/>
  <c r="H336" i="39"/>
  <c r="H361" i="39"/>
  <c r="H362" i="39" s="1"/>
  <c r="B337" i="39"/>
  <c r="E337" i="39"/>
  <c r="E364" i="39" s="1"/>
  <c r="E365" i="39" s="1"/>
  <c r="C337" i="39"/>
  <c r="C364" i="39" s="1"/>
  <c r="C365" i="39" s="1"/>
  <c r="D337" i="39"/>
  <c r="F337" i="39"/>
  <c r="F364" i="39"/>
  <c r="F365" i="39" s="1"/>
  <c r="G337" i="39"/>
  <c r="G364" i="39" s="1"/>
  <c r="G365" i="39"/>
  <c r="H337" i="39"/>
  <c r="H364" i="39" s="1"/>
  <c r="H365" i="39" s="1"/>
  <c r="B338" i="39"/>
  <c r="E338" i="39"/>
  <c r="E367" i="39" s="1"/>
  <c r="E368" i="39" s="1"/>
  <c r="C338" i="39"/>
  <c r="C367" i="39" s="1"/>
  <c r="C368" i="39" s="1"/>
  <c r="D338" i="39"/>
  <c r="F338" i="39"/>
  <c r="F367" i="39" s="1"/>
  <c r="F368" i="39" s="1"/>
  <c r="G338" i="39"/>
  <c r="G367" i="39"/>
  <c r="G368" i="39" s="1"/>
  <c r="H338" i="39"/>
  <c r="H367" i="39" s="1"/>
  <c r="H368" i="39"/>
  <c r="B339" i="39"/>
  <c r="E339" i="39"/>
  <c r="E370" i="39" s="1"/>
  <c r="E371" i="39" s="1"/>
  <c r="C339" i="39"/>
  <c r="D339" i="39"/>
  <c r="A369" i="39" s="1"/>
  <c r="B370" i="39" s="1"/>
  <c r="B371" i="39" s="1"/>
  <c r="F339" i="39"/>
  <c r="F370" i="39" s="1"/>
  <c r="F371" i="39" s="1"/>
  <c r="G339" i="39"/>
  <c r="G370" i="39" s="1"/>
  <c r="G371" i="39" s="1"/>
  <c r="H339" i="39"/>
  <c r="H370" i="39" s="1"/>
  <c r="H371" i="39" s="1"/>
  <c r="C340" i="39"/>
  <c r="D340" i="39"/>
  <c r="D373" i="39"/>
  <c r="E340" i="39"/>
  <c r="E373" i="39" s="1"/>
  <c r="E374" i="39" s="1"/>
  <c r="F340" i="39"/>
  <c r="F373" i="39"/>
  <c r="F374" i="39" s="1"/>
  <c r="C341" i="39"/>
  <c r="D341" i="39"/>
  <c r="D376" i="39" s="1"/>
  <c r="D377" i="39" s="1"/>
  <c r="E341" i="39"/>
  <c r="E376" i="39" s="1"/>
  <c r="E377" i="39" s="1"/>
  <c r="F341" i="39"/>
  <c r="F376" i="39" s="1"/>
  <c r="F377" i="39" s="1"/>
  <c r="L133" i="43"/>
  <c r="C4" i="33"/>
  <c r="C904" i="33" s="1"/>
  <c r="D142" i="43"/>
  <c r="L142" i="43" s="1"/>
  <c r="C5" i="33"/>
  <c r="C905" i="33" s="1"/>
  <c r="D143" i="43" s="1"/>
  <c r="L143" i="43" s="1"/>
  <c r="C6" i="33"/>
  <c r="C906" i="33" s="1"/>
  <c r="D144" i="43"/>
  <c r="L144" i="43" s="1"/>
  <c r="C7" i="33"/>
  <c r="C907" i="33" s="1"/>
  <c r="D145" i="43" s="1"/>
  <c r="L145" i="43" s="1"/>
  <c r="C8" i="33"/>
  <c r="C9" i="33"/>
  <c r="C909" i="33" s="1"/>
  <c r="D147" i="43" s="1"/>
  <c r="C10" i="33"/>
  <c r="C910" i="33" s="1"/>
  <c r="D148" i="43" s="1"/>
  <c r="C11" i="33"/>
  <c r="C911" i="33" s="1"/>
  <c r="C12" i="33"/>
  <c r="D173" i="33" s="1"/>
  <c r="C912" i="33"/>
  <c r="D150" i="43" s="1"/>
  <c r="C13" i="33"/>
  <c r="C913" i="33" s="1"/>
  <c r="D151" i="43" s="1"/>
  <c r="C14" i="33"/>
  <c r="C914" i="33" s="1"/>
  <c r="D152" i="43" s="1"/>
  <c r="C15" i="33"/>
  <c r="C915" i="33" s="1"/>
  <c r="D153" i="43" s="1"/>
  <c r="C16" i="33"/>
  <c r="C916" i="33"/>
  <c r="D154" i="43" s="1"/>
  <c r="C17" i="33"/>
  <c r="C18" i="33"/>
  <c r="C918" i="33" s="1"/>
  <c r="D156" i="43" s="1"/>
  <c r="C19" i="33"/>
  <c r="C919" i="33"/>
  <c r="D157" i="43" s="1"/>
  <c r="C20" i="33"/>
  <c r="C920" i="33"/>
  <c r="D158" i="43"/>
  <c r="C21" i="33"/>
  <c r="C921" i="33" s="1"/>
  <c r="D159" i="43" s="1"/>
  <c r="C22" i="33"/>
  <c r="C922" i="33" s="1"/>
  <c r="D160" i="43" s="1"/>
  <c r="C23" i="33"/>
  <c r="C923" i="33" s="1"/>
  <c r="D161" i="43" s="1"/>
  <c r="C24" i="33"/>
  <c r="C924" i="33"/>
  <c r="D162" i="43" s="1"/>
  <c r="C25" i="33"/>
  <c r="C925" i="33" s="1"/>
  <c r="D163" i="43" s="1"/>
  <c r="C26" i="33"/>
  <c r="C926" i="33" s="1"/>
  <c r="D164" i="43" s="1"/>
  <c r="C28" i="33"/>
  <c r="C928" i="33" s="1"/>
  <c r="D165" i="43" s="1"/>
  <c r="C29" i="33"/>
  <c r="C929" i="33"/>
  <c r="D166" i="43" s="1"/>
  <c r="C30" i="33"/>
  <c r="C930" i="33" s="1"/>
  <c r="D167" i="43"/>
  <c r="C31" i="33"/>
  <c r="C32" i="33"/>
  <c r="C932" i="33" s="1"/>
  <c r="D169" i="43" s="1"/>
  <c r="C33" i="33"/>
  <c r="C933" i="33"/>
  <c r="D170" i="43" s="1"/>
  <c r="C34" i="33"/>
  <c r="C934" i="33" s="1"/>
  <c r="D171" i="43"/>
  <c r="C35" i="33"/>
  <c r="C935" i="33" s="1"/>
  <c r="D172" i="43" s="1"/>
  <c r="C36" i="33"/>
  <c r="C936" i="33" s="1"/>
  <c r="D173" i="43" s="1"/>
  <c r="C37" i="33"/>
  <c r="C937" i="33"/>
  <c r="D174" i="43" s="1"/>
  <c r="C38" i="33"/>
  <c r="C938" i="33" s="1"/>
  <c r="D175" i="43"/>
  <c r="C39" i="33"/>
  <c r="C939" i="33" s="1"/>
  <c r="D176" i="43" s="1"/>
  <c r="C40" i="33"/>
  <c r="C940" i="33" s="1"/>
  <c r="D177" i="43" s="1"/>
  <c r="C41" i="33"/>
  <c r="C941" i="33" s="1"/>
  <c r="D178" i="43" s="1"/>
  <c r="C42" i="33"/>
  <c r="C942" i="33" s="1"/>
  <c r="D179" i="43" s="1"/>
  <c r="C43" i="33"/>
  <c r="C943" i="33"/>
  <c r="D180" i="43" s="1"/>
  <c r="C44" i="33"/>
  <c r="C944" i="33" s="1"/>
  <c r="D181" i="43" s="1"/>
  <c r="C45" i="33"/>
  <c r="C945" i="33" s="1"/>
  <c r="D182" i="43" s="1"/>
  <c r="C46" i="33"/>
  <c r="C946" i="33" s="1"/>
  <c r="D183" i="43"/>
  <c r="C47" i="33"/>
  <c r="C947" i="33" s="1"/>
  <c r="D184" i="43" s="1"/>
  <c r="C48" i="33"/>
  <c r="C948" i="33" s="1"/>
  <c r="D185" i="43" s="1"/>
  <c r="C49" i="33"/>
  <c r="C949" i="33" s="1"/>
  <c r="D186" i="43" s="1"/>
  <c r="C50" i="33"/>
  <c r="C950" i="33" s="1"/>
  <c r="D187" i="43" s="1"/>
  <c r="C51" i="33"/>
  <c r="C951" i="33" s="1"/>
  <c r="D188" i="43" s="1"/>
  <c r="C52" i="33"/>
  <c r="C952" i="33" s="1"/>
  <c r="D189" i="43" s="1"/>
  <c r="C53" i="33"/>
  <c r="C953" i="33"/>
  <c r="D190" i="43" s="1"/>
  <c r="C54" i="33"/>
  <c r="C954" i="33" s="1"/>
  <c r="D191" i="43" s="1"/>
  <c r="C73" i="33"/>
  <c r="C973" i="33" s="1"/>
  <c r="D192" i="43" s="1"/>
  <c r="C74" i="33"/>
  <c r="C974" i="33" s="1"/>
  <c r="D193" i="43" s="1"/>
  <c r="C75" i="33"/>
  <c r="C975" i="33"/>
  <c r="D194" i="43" s="1"/>
  <c r="C76" i="33"/>
  <c r="C976" i="33" s="1"/>
  <c r="D195" i="43" s="1"/>
  <c r="L195" i="43" s="1"/>
  <c r="C77" i="33"/>
  <c r="C977" i="33" s="1"/>
  <c r="D196" i="43" s="1"/>
  <c r="C78" i="33"/>
  <c r="C978" i="33" s="1"/>
  <c r="D197" i="43" s="1"/>
  <c r="C79" i="33"/>
  <c r="C979" i="33" s="1"/>
  <c r="D198" i="43" s="1"/>
  <c r="C80" i="33"/>
  <c r="C980" i="33" s="1"/>
  <c r="D199" i="43"/>
  <c r="C81" i="33"/>
  <c r="C82" i="33"/>
  <c r="C982" i="33" s="1"/>
  <c r="D201" i="43" s="1"/>
  <c r="C83" i="33"/>
  <c r="C983" i="33" s="1"/>
  <c r="D202" i="43" s="1"/>
  <c r="C84" i="33"/>
  <c r="C984" i="33" s="1"/>
  <c r="D203" i="43"/>
  <c r="C85" i="33"/>
  <c r="C985" i="33" s="1"/>
  <c r="D204" i="43" s="1"/>
  <c r="C86" i="33"/>
  <c r="C986" i="33" s="1"/>
  <c r="D205" i="43" s="1"/>
  <c r="C87" i="33"/>
  <c r="C842" i="33" s="1"/>
  <c r="D212" i="48" s="1"/>
  <c r="C987" i="33"/>
  <c r="D206" i="43" s="1"/>
  <c r="C88" i="33"/>
  <c r="C988" i="33" s="1"/>
  <c r="D207" i="43" s="1"/>
  <c r="C89" i="33"/>
  <c r="C989" i="33" s="1"/>
  <c r="D208" i="43" s="1"/>
  <c r="C90" i="33"/>
  <c r="C990" i="33" s="1"/>
  <c r="D209" i="43" s="1"/>
  <c r="C91" i="33"/>
  <c r="C991" i="33"/>
  <c r="D210" i="43"/>
  <c r="C92" i="33"/>
  <c r="C992" i="33" s="1"/>
  <c r="D211" i="43" s="1"/>
  <c r="C93" i="33"/>
  <c r="C993" i="33" s="1"/>
  <c r="D212" i="43" s="1"/>
  <c r="C94" i="33"/>
  <c r="C994" i="33" s="1"/>
  <c r="D213" i="43" s="1"/>
  <c r="C95" i="33"/>
  <c r="C995" i="33"/>
  <c r="D214" i="43" s="1"/>
  <c r="C96" i="33"/>
  <c r="C996" i="33" s="1"/>
  <c r="D215" i="43"/>
  <c r="C97" i="33"/>
  <c r="C997" i="33" s="1"/>
  <c r="D216" i="43" s="1"/>
  <c r="C98" i="33"/>
  <c r="C998" i="33" s="1"/>
  <c r="D217" i="43" s="1"/>
  <c r="C99" i="33"/>
  <c r="C999" i="33" s="1"/>
  <c r="D218" i="43" s="1"/>
  <c r="C100" i="33"/>
  <c r="C1000" i="33" s="1"/>
  <c r="D219" i="43"/>
  <c r="C101" i="33"/>
  <c r="C1001" i="33" s="1"/>
  <c r="D220" i="43" s="1"/>
  <c r="L220" i="43" s="1"/>
  <c r="C102" i="33"/>
  <c r="C1002" i="33" s="1"/>
  <c r="D221" i="43" s="1"/>
  <c r="C103" i="33"/>
  <c r="C1003" i="33" s="1"/>
  <c r="D222" i="43" s="1"/>
  <c r="C104" i="33"/>
  <c r="C1004" i="33" s="1"/>
  <c r="D223" i="43" s="1"/>
  <c r="C105" i="33"/>
  <c r="C1005" i="33" s="1"/>
  <c r="D224" i="43" s="1"/>
  <c r="L224" i="43" s="1"/>
  <c r="C106" i="33"/>
  <c r="C107" i="33"/>
  <c r="C1007" i="33"/>
  <c r="D226" i="43" s="1"/>
  <c r="L12" i="52"/>
  <c r="L13" i="52"/>
  <c r="L14" i="52"/>
  <c r="L15" i="52"/>
  <c r="L16" i="52"/>
  <c r="L17" i="52"/>
  <c r="L18" i="52"/>
  <c r="L19" i="52"/>
  <c r="L20" i="52"/>
  <c r="J12" i="52"/>
  <c r="J13" i="52"/>
  <c r="J14" i="52"/>
  <c r="J15" i="52"/>
  <c r="J16" i="52"/>
  <c r="J17" i="52"/>
  <c r="J18" i="52"/>
  <c r="J19" i="52"/>
  <c r="J20" i="52"/>
  <c r="H12" i="52"/>
  <c r="H13" i="52"/>
  <c r="H14" i="52"/>
  <c r="H15" i="52"/>
  <c r="H16" i="52"/>
  <c r="H17" i="52"/>
  <c r="H18" i="52"/>
  <c r="H19" i="52"/>
  <c r="H20" i="52"/>
  <c r="H21" i="52"/>
  <c r="H22" i="52"/>
  <c r="H23" i="52"/>
  <c r="AB25" i="4"/>
  <c r="H25" i="4"/>
  <c r="H11" i="4"/>
  <c r="J11" i="4"/>
  <c r="L11" i="4"/>
  <c r="H13" i="4"/>
  <c r="H12" i="4"/>
  <c r="H14" i="4"/>
  <c r="L56" i="52"/>
  <c r="J56" i="52"/>
  <c r="H56" i="52"/>
  <c r="L21" i="52"/>
  <c r="L22" i="52"/>
  <c r="L23" i="52"/>
  <c r="L24" i="52"/>
  <c r="L25" i="52"/>
  <c r="L26" i="52"/>
  <c r="L27" i="52"/>
  <c r="L28" i="52"/>
  <c r="L29" i="52"/>
  <c r="L30" i="52"/>
  <c r="L31" i="52"/>
  <c r="L32" i="52"/>
  <c r="L33" i="52"/>
  <c r="L34" i="52"/>
  <c r="L35" i="52"/>
  <c r="L36" i="52"/>
  <c r="L37" i="52"/>
  <c r="L38" i="52"/>
  <c r="L39" i="52"/>
  <c r="L40" i="52"/>
  <c r="L41" i="52"/>
  <c r="L42" i="52"/>
  <c r="L43" i="52"/>
  <c r="L44" i="52"/>
  <c r="L45" i="52"/>
  <c r="L46" i="52"/>
  <c r="L47" i="52"/>
  <c r="L48" i="52"/>
  <c r="L49" i="52"/>
  <c r="L50" i="52"/>
  <c r="L51" i="52"/>
  <c r="L52" i="52"/>
  <c r="L53" i="52"/>
  <c r="L54" i="52"/>
  <c r="L55" i="52"/>
  <c r="J21" i="52"/>
  <c r="J22" i="52"/>
  <c r="J23" i="52"/>
  <c r="J24" i="52"/>
  <c r="J25" i="52"/>
  <c r="J26" i="52"/>
  <c r="J27" i="52"/>
  <c r="J28" i="52"/>
  <c r="J29" i="52"/>
  <c r="J30" i="52"/>
  <c r="J31" i="52"/>
  <c r="J32" i="52"/>
  <c r="J33" i="52"/>
  <c r="J34" i="52"/>
  <c r="J35" i="52"/>
  <c r="J36" i="52"/>
  <c r="J37" i="52"/>
  <c r="J38" i="52"/>
  <c r="J39" i="52"/>
  <c r="J40" i="52"/>
  <c r="J41" i="52"/>
  <c r="J42" i="52"/>
  <c r="J43" i="52"/>
  <c r="J44" i="52"/>
  <c r="J45" i="52"/>
  <c r="J46" i="52"/>
  <c r="J47" i="52"/>
  <c r="J48" i="52"/>
  <c r="J49" i="52"/>
  <c r="J50" i="52"/>
  <c r="J51" i="52"/>
  <c r="J52" i="52"/>
  <c r="J53" i="52"/>
  <c r="J54" i="52"/>
  <c r="J55" i="52"/>
  <c r="H24" i="52"/>
  <c r="H25" i="52"/>
  <c r="H26" i="52"/>
  <c r="H27" i="52"/>
  <c r="H28" i="52"/>
  <c r="H29" i="52"/>
  <c r="H30" i="52"/>
  <c r="H31" i="52"/>
  <c r="H32" i="52"/>
  <c r="H33" i="52"/>
  <c r="H34" i="52"/>
  <c r="H35" i="52"/>
  <c r="H36" i="52"/>
  <c r="H37" i="52"/>
  <c r="H38" i="52"/>
  <c r="H39" i="52"/>
  <c r="H40" i="52"/>
  <c r="H41" i="52"/>
  <c r="H42" i="52"/>
  <c r="H43" i="52"/>
  <c r="H44" i="52"/>
  <c r="H45" i="52"/>
  <c r="H46" i="52"/>
  <c r="H47" i="52"/>
  <c r="H48" i="52"/>
  <c r="H49" i="52"/>
  <c r="H50" i="52"/>
  <c r="H51" i="52"/>
  <c r="H52" i="52"/>
  <c r="H53" i="52"/>
  <c r="H54" i="52"/>
  <c r="H55" i="52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4" i="4"/>
  <c r="H23" i="4"/>
  <c r="H22" i="4"/>
  <c r="H21" i="4"/>
  <c r="H20" i="4"/>
  <c r="H19" i="4"/>
  <c r="H18" i="4"/>
  <c r="H17" i="4"/>
  <c r="H16" i="4"/>
  <c r="H15" i="4"/>
  <c r="D223" i="9"/>
  <c r="E223" i="9"/>
  <c r="F223" i="9"/>
  <c r="G223" i="9"/>
  <c r="D219" i="9"/>
  <c r="D101" i="43"/>
  <c r="AG15" i="52"/>
  <c r="EK216" i="9"/>
  <c r="AG17" i="52"/>
  <c r="EO333" i="9" s="1"/>
  <c r="EO306" i="9"/>
  <c r="AG18" i="52"/>
  <c r="D107" i="43"/>
  <c r="D108" i="43"/>
  <c r="L108" i="43" s="1"/>
  <c r="D109" i="43"/>
  <c r="P14" i="1"/>
  <c r="Q14" i="1"/>
  <c r="R14" i="1"/>
  <c r="S14" i="1"/>
  <c r="T14" i="1"/>
  <c r="AB14" i="1" s="1"/>
  <c r="U14" i="1"/>
  <c r="V14" i="1"/>
  <c r="W14" i="1"/>
  <c r="X14" i="1"/>
  <c r="Y14" i="1"/>
  <c r="Z14" i="1"/>
  <c r="AA14" i="1"/>
  <c r="P15" i="1"/>
  <c r="Q15" i="1"/>
  <c r="R15" i="1"/>
  <c r="S15" i="1"/>
  <c r="T15" i="1"/>
  <c r="U15" i="1"/>
  <c r="V15" i="1"/>
  <c r="W15" i="1"/>
  <c r="X15" i="1"/>
  <c r="Y15" i="1"/>
  <c r="Z15" i="1"/>
  <c r="AA15" i="1"/>
  <c r="P16" i="1"/>
  <c r="Q16" i="1"/>
  <c r="R16" i="1"/>
  <c r="S16" i="1"/>
  <c r="T16" i="1"/>
  <c r="U16" i="1"/>
  <c r="V16" i="1"/>
  <c r="W16" i="1"/>
  <c r="X16" i="1"/>
  <c r="Y16" i="1"/>
  <c r="Z16" i="1"/>
  <c r="AA16" i="1"/>
  <c r="AC14" i="1"/>
  <c r="AE14" i="1"/>
  <c r="AG14" i="1"/>
  <c r="AI14" i="1"/>
  <c r="AK14" i="1"/>
  <c r="AM14" i="1"/>
  <c r="AO14" i="1"/>
  <c r="AQ14" i="1"/>
  <c r="AS14" i="1"/>
  <c r="AU14" i="1"/>
  <c r="AW14" i="1"/>
  <c r="AY14" i="1"/>
  <c r="AC15" i="1"/>
  <c r="AE15" i="1"/>
  <c r="AG15" i="1"/>
  <c r="AI15" i="1"/>
  <c r="AK15" i="1"/>
  <c r="AM15" i="1"/>
  <c r="AO15" i="1"/>
  <c r="AQ15" i="1"/>
  <c r="AS15" i="1"/>
  <c r="AU15" i="1"/>
  <c r="AW15" i="1"/>
  <c r="AY15" i="1"/>
  <c r="AC16" i="1"/>
  <c r="AE16" i="1"/>
  <c r="AG16" i="1"/>
  <c r="AI16" i="1"/>
  <c r="AK16" i="1"/>
  <c r="AM16" i="1"/>
  <c r="AO16" i="1"/>
  <c r="AQ16" i="1"/>
  <c r="AS16" i="1"/>
  <c r="AU16" i="1"/>
  <c r="AW16" i="1"/>
  <c r="AY16" i="1"/>
  <c r="AK73" i="41"/>
  <c r="AM73" i="41"/>
  <c r="AK77" i="41"/>
  <c r="AM77" i="41"/>
  <c r="AQ34" i="41"/>
  <c r="I16" i="9"/>
  <c r="J16" i="9"/>
  <c r="K16" i="9"/>
  <c r="L16" i="9"/>
  <c r="M16" i="9"/>
  <c r="N16" i="9"/>
  <c r="O16" i="9"/>
  <c r="P16" i="9"/>
  <c r="Q16" i="9"/>
  <c r="R16" i="9"/>
  <c r="S16" i="9"/>
  <c r="T16" i="9"/>
  <c r="I17" i="9"/>
  <c r="J17" i="9"/>
  <c r="K17" i="9"/>
  <c r="L17" i="9"/>
  <c r="M17" i="9"/>
  <c r="N17" i="9"/>
  <c r="O17" i="9"/>
  <c r="P17" i="9"/>
  <c r="Q17" i="9"/>
  <c r="R17" i="9"/>
  <c r="S17" i="9"/>
  <c r="T17" i="9"/>
  <c r="I18" i="9"/>
  <c r="J18" i="9"/>
  <c r="K18" i="9"/>
  <c r="L18" i="9"/>
  <c r="M18" i="9"/>
  <c r="N18" i="9"/>
  <c r="O18" i="9"/>
  <c r="P18" i="9"/>
  <c r="Q18" i="9"/>
  <c r="R18" i="9"/>
  <c r="S18" i="9"/>
  <c r="T18" i="9"/>
  <c r="I19" i="9"/>
  <c r="J19" i="9"/>
  <c r="K19" i="9"/>
  <c r="L19" i="9"/>
  <c r="M19" i="9"/>
  <c r="N19" i="9"/>
  <c r="O19" i="9"/>
  <c r="P19" i="9"/>
  <c r="Q19" i="9"/>
  <c r="R19" i="9"/>
  <c r="S19" i="9"/>
  <c r="T19" i="9"/>
  <c r="I20" i="9"/>
  <c r="J20" i="9"/>
  <c r="K20" i="9"/>
  <c r="L20" i="9"/>
  <c r="M20" i="9"/>
  <c r="N20" i="9"/>
  <c r="O20" i="9"/>
  <c r="P20" i="9"/>
  <c r="Q20" i="9"/>
  <c r="R20" i="9"/>
  <c r="S20" i="9"/>
  <c r="T20" i="9"/>
  <c r="I21" i="9"/>
  <c r="J21" i="9"/>
  <c r="K21" i="9"/>
  <c r="L21" i="9"/>
  <c r="M21" i="9"/>
  <c r="N21" i="9"/>
  <c r="O21" i="9"/>
  <c r="P21" i="9"/>
  <c r="Q21" i="9"/>
  <c r="R21" i="9"/>
  <c r="S21" i="9"/>
  <c r="T21" i="9"/>
  <c r="I22" i="9"/>
  <c r="J22" i="9"/>
  <c r="K22" i="9"/>
  <c r="L22" i="9"/>
  <c r="M22" i="9"/>
  <c r="N22" i="9"/>
  <c r="O22" i="9"/>
  <c r="P22" i="9"/>
  <c r="Q22" i="9"/>
  <c r="R22" i="9"/>
  <c r="S22" i="9"/>
  <c r="T22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 s="1"/>
  <c r="D64" i="43" s="1"/>
  <c r="K64" i="43" s="1"/>
  <c r="I24" i="9"/>
  <c r="J24" i="9"/>
  <c r="K24" i="9"/>
  <c r="L24" i="9"/>
  <c r="M24" i="9"/>
  <c r="N24" i="9"/>
  <c r="O24" i="9"/>
  <c r="P24" i="9"/>
  <c r="Q24" i="9"/>
  <c r="R24" i="9"/>
  <c r="S24" i="9"/>
  <c r="T24" i="9"/>
  <c r="I25" i="9"/>
  <c r="J25" i="9"/>
  <c r="K25" i="9"/>
  <c r="L25" i="9"/>
  <c r="M25" i="9"/>
  <c r="N25" i="9"/>
  <c r="O25" i="9"/>
  <c r="P25" i="9"/>
  <c r="Q25" i="9"/>
  <c r="R25" i="9"/>
  <c r="S25" i="9"/>
  <c r="T25" i="9"/>
  <c r="I26" i="9"/>
  <c r="J26" i="9"/>
  <c r="K26" i="9"/>
  <c r="L26" i="9"/>
  <c r="M26" i="9"/>
  <c r="N26" i="9"/>
  <c r="O26" i="9"/>
  <c r="P26" i="9"/>
  <c r="U26" i="9" s="1"/>
  <c r="Q26" i="9"/>
  <c r="R26" i="9"/>
  <c r="S26" i="9"/>
  <c r="T26" i="9"/>
  <c r="I27" i="9"/>
  <c r="J27" i="9"/>
  <c r="K27" i="9"/>
  <c r="L27" i="9"/>
  <c r="M27" i="9"/>
  <c r="N27" i="9"/>
  <c r="O27" i="9"/>
  <c r="P27" i="9"/>
  <c r="Q27" i="9"/>
  <c r="R27" i="9"/>
  <c r="S27" i="9"/>
  <c r="T27" i="9"/>
  <c r="V16" i="9"/>
  <c r="W16" i="9"/>
  <c r="X16" i="9"/>
  <c r="Y16" i="9"/>
  <c r="Z16" i="9"/>
  <c r="AA16" i="9"/>
  <c r="AB16" i="9"/>
  <c r="AC16" i="9"/>
  <c r="AD16" i="9"/>
  <c r="AE16" i="9"/>
  <c r="AF16" i="9"/>
  <c r="AG16" i="9"/>
  <c r="V17" i="9"/>
  <c r="W17" i="9"/>
  <c r="X17" i="9"/>
  <c r="Y17" i="9"/>
  <c r="Z17" i="9"/>
  <c r="AA17" i="9"/>
  <c r="AB17" i="9"/>
  <c r="AC17" i="9"/>
  <c r="AD17" i="9"/>
  <c r="AE17" i="9"/>
  <c r="AF17" i="9"/>
  <c r="AG17" i="9"/>
  <c r="V18" i="9"/>
  <c r="W18" i="9"/>
  <c r="X18" i="9"/>
  <c r="Y18" i="9"/>
  <c r="Z18" i="9"/>
  <c r="AA18" i="9"/>
  <c r="AB18" i="9"/>
  <c r="AC18" i="9"/>
  <c r="AH18" i="9" s="1"/>
  <c r="D71" i="43" s="1"/>
  <c r="AD18" i="9"/>
  <c r="AE18" i="9"/>
  <c r="AF18" i="9"/>
  <c r="AG18" i="9"/>
  <c r="V19" i="9"/>
  <c r="W19" i="9"/>
  <c r="X19" i="9"/>
  <c r="Y19" i="9"/>
  <c r="Z19" i="9"/>
  <c r="AA19" i="9"/>
  <c r="AB19" i="9"/>
  <c r="AC19" i="9"/>
  <c r="AD19" i="9"/>
  <c r="AE19" i="9"/>
  <c r="AF19" i="9"/>
  <c r="AG19" i="9"/>
  <c r="V20" i="9"/>
  <c r="W20" i="9"/>
  <c r="X20" i="9"/>
  <c r="Y20" i="9"/>
  <c r="Z20" i="9"/>
  <c r="AA20" i="9"/>
  <c r="AB20" i="9"/>
  <c r="AC20" i="9"/>
  <c r="AD20" i="9"/>
  <c r="AE20" i="9"/>
  <c r="AF20" i="9"/>
  <c r="AG20" i="9"/>
  <c r="V21" i="9"/>
  <c r="W21" i="9"/>
  <c r="X21" i="9"/>
  <c r="Y21" i="9"/>
  <c r="Z21" i="9"/>
  <c r="AA21" i="9"/>
  <c r="AB21" i="9"/>
  <c r="AC21" i="9"/>
  <c r="AD21" i="9"/>
  <c r="AE21" i="9"/>
  <c r="AF21" i="9"/>
  <c r="AG21" i="9"/>
  <c r="V22" i="9"/>
  <c r="W22" i="9"/>
  <c r="X22" i="9"/>
  <c r="Y22" i="9"/>
  <c r="Z22" i="9"/>
  <c r="AA22" i="9"/>
  <c r="AB22" i="9"/>
  <c r="AC22" i="9"/>
  <c r="AD22" i="9"/>
  <c r="AE22" i="9"/>
  <c r="AF22" i="9"/>
  <c r="AG22" i="9"/>
  <c r="V23" i="9"/>
  <c r="W23" i="9"/>
  <c r="X23" i="9"/>
  <c r="Y23" i="9"/>
  <c r="Z23" i="9"/>
  <c r="AA23" i="9"/>
  <c r="AB23" i="9"/>
  <c r="AC23" i="9"/>
  <c r="AD23" i="9"/>
  <c r="AE23" i="9"/>
  <c r="AF23" i="9"/>
  <c r="AG23" i="9"/>
  <c r="V24" i="9"/>
  <c r="W24" i="9"/>
  <c r="X24" i="9"/>
  <c r="Y24" i="9"/>
  <c r="Z24" i="9"/>
  <c r="AA24" i="9"/>
  <c r="AB24" i="9"/>
  <c r="AC24" i="9"/>
  <c r="AD24" i="9"/>
  <c r="AE24" i="9"/>
  <c r="AF24" i="9"/>
  <c r="AG24" i="9"/>
  <c r="V25" i="9"/>
  <c r="W25" i="9"/>
  <c r="X25" i="9"/>
  <c r="Y25" i="9"/>
  <c r="Z25" i="9"/>
  <c r="AA25" i="9"/>
  <c r="AB25" i="9"/>
  <c r="AC25" i="9"/>
  <c r="AD25" i="9"/>
  <c r="AE25" i="9"/>
  <c r="AF25" i="9"/>
  <c r="AG25" i="9"/>
  <c r="V26" i="9"/>
  <c r="W26" i="9"/>
  <c r="X26" i="9"/>
  <c r="Y26" i="9"/>
  <c r="Z26" i="9"/>
  <c r="AA26" i="9"/>
  <c r="AB26" i="9"/>
  <c r="AC26" i="9"/>
  <c r="AD26" i="9"/>
  <c r="AE26" i="9"/>
  <c r="AF26" i="9"/>
  <c r="AG26" i="9"/>
  <c r="V27" i="9"/>
  <c r="W27" i="9"/>
  <c r="X27" i="9"/>
  <c r="Y27" i="9"/>
  <c r="Z27" i="9"/>
  <c r="AA27" i="9"/>
  <c r="AB27" i="9"/>
  <c r="AC27" i="9"/>
  <c r="AD27" i="9"/>
  <c r="AE27" i="9"/>
  <c r="AF27" i="9"/>
  <c r="AG27" i="9"/>
  <c r="DA108" i="9"/>
  <c r="DA97" i="9"/>
  <c r="I10" i="35"/>
  <c r="C173" i="35"/>
  <c r="C180" i="35" s="1"/>
  <c r="I9" i="35"/>
  <c r="E173" i="35" s="1"/>
  <c r="E175" i="35" s="1"/>
  <c r="I8" i="35"/>
  <c r="G173" i="35" s="1"/>
  <c r="I7" i="35"/>
  <c r="I173" i="35" s="1"/>
  <c r="I6" i="35"/>
  <c r="K173" i="35" s="1"/>
  <c r="I19" i="35"/>
  <c r="C189" i="35" s="1"/>
  <c r="I18" i="35"/>
  <c r="E189" i="35" s="1"/>
  <c r="I17" i="35"/>
  <c r="G189" i="35" s="1"/>
  <c r="I16" i="35"/>
  <c r="I189" i="35"/>
  <c r="I192" i="35" s="1"/>
  <c r="I15" i="35"/>
  <c r="K189" i="35" s="1"/>
  <c r="D356" i="48"/>
  <c r="L356" i="48" s="1"/>
  <c r="D357" i="48"/>
  <c r="L357" i="48" s="1"/>
  <c r="D358" i="48"/>
  <c r="D359" i="48"/>
  <c r="D360" i="48"/>
  <c r="L360" i="48"/>
  <c r="D361" i="48"/>
  <c r="D362" i="48"/>
  <c r="L362" i="48" s="1"/>
  <c r="D363" i="48"/>
  <c r="L363" i="48" s="1"/>
  <c r="D364" i="48"/>
  <c r="D365" i="48"/>
  <c r="D366" i="48"/>
  <c r="D367" i="48"/>
  <c r="D368" i="48"/>
  <c r="L368" i="48" s="1"/>
  <c r="D369" i="48"/>
  <c r="L369" i="48" s="1"/>
  <c r="D370" i="48"/>
  <c r="L370" i="48" s="1"/>
  <c r="D371" i="48"/>
  <c r="L371" i="48" s="1"/>
  <c r="D372" i="48"/>
  <c r="L372" i="48" s="1"/>
  <c r="D373" i="48"/>
  <c r="D374" i="48"/>
  <c r="D341" i="48"/>
  <c r="D342" i="48"/>
  <c r="L342" i="48" s="1"/>
  <c r="K342" i="48"/>
  <c r="D343" i="48"/>
  <c r="K343" i="48" s="1"/>
  <c r="D344" i="48"/>
  <c r="D345" i="48"/>
  <c r="H36" i="41"/>
  <c r="H37" i="41"/>
  <c r="D327" i="48"/>
  <c r="D328" i="48"/>
  <c r="D329" i="48"/>
  <c r="K329" i="48" s="1"/>
  <c r="D330" i="48"/>
  <c r="D331" i="48"/>
  <c r="D313" i="48"/>
  <c r="D314" i="48"/>
  <c r="L314" i="48"/>
  <c r="D315" i="48"/>
  <c r="D316" i="48"/>
  <c r="D317" i="48"/>
  <c r="D318" i="48"/>
  <c r="L318" i="48" s="1"/>
  <c r="D319" i="48"/>
  <c r="D320" i="48"/>
  <c r="D321" i="48"/>
  <c r="D322" i="48"/>
  <c r="L322" i="48"/>
  <c r="D323" i="48"/>
  <c r="D324" i="48"/>
  <c r="D325" i="48"/>
  <c r="D304" i="48"/>
  <c r="K304" i="48" s="1"/>
  <c r="D305" i="48"/>
  <c r="D306" i="48"/>
  <c r="D307" i="48"/>
  <c r="B49" i="41"/>
  <c r="D300" i="48" s="1"/>
  <c r="B50" i="41"/>
  <c r="D301" i="48" s="1"/>
  <c r="B51" i="41"/>
  <c r="D302" i="48" s="1"/>
  <c r="K302" i="48" s="1"/>
  <c r="D285" i="48"/>
  <c r="B30" i="41"/>
  <c r="D286" i="48"/>
  <c r="B31" i="41"/>
  <c r="D287" i="48"/>
  <c r="B32" i="41"/>
  <c r="D288" i="48" s="1"/>
  <c r="L288" i="48" s="1"/>
  <c r="B33" i="41"/>
  <c r="D289" i="48" s="1"/>
  <c r="B34" i="41"/>
  <c r="D290" i="48" s="1"/>
  <c r="B36" i="41"/>
  <c r="D291" i="48"/>
  <c r="L291" i="48" s="1"/>
  <c r="B37" i="41"/>
  <c r="D292" i="48"/>
  <c r="B38" i="41"/>
  <c r="B39" i="41"/>
  <c r="D294" i="48" s="1"/>
  <c r="B40" i="41"/>
  <c r="D295" i="48" s="1"/>
  <c r="K295" i="48" s="1"/>
  <c r="B41" i="41"/>
  <c r="D296" i="48"/>
  <c r="L261" i="48"/>
  <c r="D263" i="48"/>
  <c r="K263" i="48"/>
  <c r="D264" i="48"/>
  <c r="D266" i="48"/>
  <c r="L266" i="48" s="1"/>
  <c r="G39" i="40"/>
  <c r="G29" i="35" s="1"/>
  <c r="K223" i="35" s="1"/>
  <c r="K224" i="35" s="1"/>
  <c r="F39" i="40"/>
  <c r="F29" i="35" s="1"/>
  <c r="I223" i="35" s="1"/>
  <c r="E39" i="40"/>
  <c r="E29" i="35"/>
  <c r="G223" i="35" s="1"/>
  <c r="G225" i="35" s="1"/>
  <c r="D39" i="40"/>
  <c r="D29" i="35" s="1"/>
  <c r="E223" i="35" s="1"/>
  <c r="E227" i="35" s="1"/>
  <c r="C39" i="40"/>
  <c r="C29" i="35" s="1"/>
  <c r="C223" i="35" s="1"/>
  <c r="D272" i="48"/>
  <c r="L272" i="48"/>
  <c r="D19" i="44"/>
  <c r="D21" i="44"/>
  <c r="F22" i="44"/>
  <c r="D23" i="44"/>
  <c r="E23" i="44"/>
  <c r="F24" i="44"/>
  <c r="D25" i="44"/>
  <c r="E25" i="44"/>
  <c r="F26" i="44"/>
  <c r="E27" i="44"/>
  <c r="D27" i="44"/>
  <c r="F28" i="44"/>
  <c r="D29" i="44"/>
  <c r="E29" i="44"/>
  <c r="F30" i="44"/>
  <c r="D33" i="44"/>
  <c r="D35" i="44"/>
  <c r="F36" i="44"/>
  <c r="D37" i="44"/>
  <c r="F38" i="44"/>
  <c r="D39" i="44"/>
  <c r="E39" i="44"/>
  <c r="F40" i="44"/>
  <c r="E41" i="44"/>
  <c r="D41" i="44"/>
  <c r="F42" i="44"/>
  <c r="D43" i="44"/>
  <c r="E43" i="44"/>
  <c r="F44" i="44"/>
  <c r="D47" i="44"/>
  <c r="D49" i="44"/>
  <c r="F50" i="44"/>
  <c r="D51" i="44"/>
  <c r="F52" i="44"/>
  <c r="D53" i="44"/>
  <c r="E53" i="44"/>
  <c r="F54" i="44"/>
  <c r="D55" i="44"/>
  <c r="E55" i="44"/>
  <c r="F56" i="44"/>
  <c r="D57" i="44"/>
  <c r="E57" i="44"/>
  <c r="F58" i="44"/>
  <c r="D61" i="44"/>
  <c r="D63" i="44"/>
  <c r="F64" i="44"/>
  <c r="D65" i="44"/>
  <c r="F66" i="44"/>
  <c r="D67" i="44"/>
  <c r="F68" i="44"/>
  <c r="D69" i="44"/>
  <c r="E69" i="44"/>
  <c r="F70" i="44"/>
  <c r="D71" i="44"/>
  <c r="E71" i="44"/>
  <c r="F72" i="44"/>
  <c r="D75" i="44"/>
  <c r="D77" i="44"/>
  <c r="F78" i="44"/>
  <c r="D79" i="44"/>
  <c r="F80" i="44"/>
  <c r="D81" i="44"/>
  <c r="F82" i="44"/>
  <c r="D83" i="44"/>
  <c r="E83" i="44"/>
  <c r="F84" i="44"/>
  <c r="D85" i="44"/>
  <c r="E85" i="44"/>
  <c r="F86" i="44"/>
  <c r="D89" i="44"/>
  <c r="D91" i="44"/>
  <c r="F92" i="44"/>
  <c r="D93" i="44"/>
  <c r="F94" i="44"/>
  <c r="D95" i="44"/>
  <c r="F96" i="44"/>
  <c r="D97" i="44"/>
  <c r="E97" i="44"/>
  <c r="F98" i="44"/>
  <c r="D99" i="44"/>
  <c r="E99" i="44"/>
  <c r="F100" i="44"/>
  <c r="D103" i="44"/>
  <c r="D105" i="44"/>
  <c r="F106" i="44"/>
  <c r="D107" i="44"/>
  <c r="F108" i="44"/>
  <c r="D109" i="44"/>
  <c r="F110" i="44"/>
  <c r="D111" i="44"/>
  <c r="E111" i="44"/>
  <c r="F112" i="44"/>
  <c r="D113" i="44"/>
  <c r="E113" i="44"/>
  <c r="F114" i="44"/>
  <c r="F120" i="44"/>
  <c r="F122" i="44"/>
  <c r="F124" i="44"/>
  <c r="D125" i="44"/>
  <c r="F126" i="44"/>
  <c r="D127" i="44"/>
  <c r="E127" i="44"/>
  <c r="F128" i="44"/>
  <c r="F134" i="44"/>
  <c r="F136" i="44"/>
  <c r="F138" i="44"/>
  <c r="D139" i="44"/>
  <c r="F140" i="44"/>
  <c r="D141" i="44"/>
  <c r="E141" i="44"/>
  <c r="F142" i="44"/>
  <c r="F148" i="44"/>
  <c r="F150" i="44"/>
  <c r="F152" i="44"/>
  <c r="D153" i="44"/>
  <c r="F154" i="44"/>
  <c r="D155" i="44"/>
  <c r="E155" i="44"/>
  <c r="F156" i="44"/>
  <c r="F162" i="44"/>
  <c r="F164" i="44"/>
  <c r="F166" i="44"/>
  <c r="D167" i="44"/>
  <c r="F168" i="44"/>
  <c r="D169" i="44"/>
  <c r="E169" i="44"/>
  <c r="F170" i="44"/>
  <c r="F176" i="44"/>
  <c r="F178" i="44"/>
  <c r="D179" i="44"/>
  <c r="F180" i="44"/>
  <c r="D181" i="44"/>
  <c r="F182" i="44"/>
  <c r="D183" i="44"/>
  <c r="E183" i="44"/>
  <c r="F184" i="44"/>
  <c r="F190" i="44"/>
  <c r="F192" i="44"/>
  <c r="D193" i="44"/>
  <c r="E193" i="44"/>
  <c r="F194" i="44"/>
  <c r="D195" i="44"/>
  <c r="E195" i="44"/>
  <c r="F196" i="44"/>
  <c r="D197" i="44"/>
  <c r="E197" i="44"/>
  <c r="F198" i="44"/>
  <c r="F204" i="44"/>
  <c r="F206" i="44"/>
  <c r="F208" i="44"/>
  <c r="F210" i="44"/>
  <c r="F212" i="44"/>
  <c r="F218" i="44"/>
  <c r="F220" i="44"/>
  <c r="F222" i="44"/>
  <c r="F224" i="44"/>
  <c r="F226" i="44"/>
  <c r="F232" i="44"/>
  <c r="F234" i="44"/>
  <c r="F236" i="44"/>
  <c r="F238" i="44"/>
  <c r="F240" i="44"/>
  <c r="F246" i="44"/>
  <c r="F248" i="44"/>
  <c r="F250" i="44"/>
  <c r="F252" i="44"/>
  <c r="F254" i="44"/>
  <c r="F260" i="44"/>
  <c r="F262" i="44"/>
  <c r="F264" i="44"/>
  <c r="F266" i="44"/>
  <c r="F268" i="44"/>
  <c r="F274" i="44"/>
  <c r="F276" i="44"/>
  <c r="F278" i="44"/>
  <c r="F280" i="44"/>
  <c r="F282" i="44"/>
  <c r="F288" i="44"/>
  <c r="F290" i="44"/>
  <c r="F292" i="44"/>
  <c r="F294" i="44"/>
  <c r="F296" i="44"/>
  <c r="F302" i="44"/>
  <c r="F304" i="44"/>
  <c r="F306" i="44"/>
  <c r="F308" i="44"/>
  <c r="F310" i="44"/>
  <c r="F316" i="44"/>
  <c r="F318" i="44"/>
  <c r="F320" i="44"/>
  <c r="F322" i="44"/>
  <c r="F324" i="44"/>
  <c r="F330" i="44"/>
  <c r="F332" i="44"/>
  <c r="F334" i="44"/>
  <c r="F336" i="44"/>
  <c r="F338" i="44"/>
  <c r="F344" i="44"/>
  <c r="F346" i="44"/>
  <c r="F348" i="44"/>
  <c r="F350" i="44"/>
  <c r="F352" i="44"/>
  <c r="B353" i="44"/>
  <c r="C353" i="44" s="1"/>
  <c r="D353" i="44"/>
  <c r="E353" i="44"/>
  <c r="F354" i="44"/>
  <c r="B355" i="44"/>
  <c r="C355" i="44" s="1"/>
  <c r="E355" i="44"/>
  <c r="D355" i="44"/>
  <c r="F356" i="44"/>
  <c r="B357" i="44"/>
  <c r="C357" i="44" s="1"/>
  <c r="D357" i="44"/>
  <c r="E357" i="44"/>
  <c r="F358" i="44"/>
  <c r="B359" i="44"/>
  <c r="C359" i="44" s="1"/>
  <c r="F359" i="44" s="1"/>
  <c r="D359" i="44"/>
  <c r="E359" i="44"/>
  <c r="F360" i="44"/>
  <c r="B361" i="44"/>
  <c r="C361" i="44" s="1"/>
  <c r="E361" i="44"/>
  <c r="F362" i="44"/>
  <c r="B363" i="44"/>
  <c r="C363" i="44" s="1"/>
  <c r="F363" i="44" s="1"/>
  <c r="D363" i="44"/>
  <c r="F364" i="44"/>
  <c r="B365" i="44"/>
  <c r="C365" i="44" s="1"/>
  <c r="D365" i="44"/>
  <c r="F366" i="44"/>
  <c r="B367" i="44"/>
  <c r="C367" i="44" s="1"/>
  <c r="D367" i="44"/>
  <c r="F368" i="44"/>
  <c r="B369" i="44"/>
  <c r="C369" i="44" s="1"/>
  <c r="D369" i="44"/>
  <c r="F370" i="44"/>
  <c r="B371" i="44"/>
  <c r="C371" i="44" s="1"/>
  <c r="F371" i="44" s="1"/>
  <c r="D371" i="44"/>
  <c r="F372" i="44"/>
  <c r="B373" i="44"/>
  <c r="C373" i="44"/>
  <c r="F373" i="44"/>
  <c r="D373" i="44"/>
  <c r="F374" i="44"/>
  <c r="B375" i="44"/>
  <c r="C375" i="44" s="1"/>
  <c r="D375" i="44"/>
  <c r="F376" i="44"/>
  <c r="D377" i="44"/>
  <c r="C377" i="44"/>
  <c r="F378" i="44"/>
  <c r="D379" i="44"/>
  <c r="C379" i="44"/>
  <c r="E379" i="44"/>
  <c r="F380" i="44"/>
  <c r="D381" i="44"/>
  <c r="C381" i="44" s="1"/>
  <c r="F381" i="44" s="1"/>
  <c r="E381" i="44"/>
  <c r="F382" i="44"/>
  <c r="D383" i="44"/>
  <c r="C383" i="44" s="1"/>
  <c r="F384" i="44"/>
  <c r="D385" i="44"/>
  <c r="C385" i="44"/>
  <c r="F385" i="44" s="1"/>
  <c r="F386" i="44"/>
  <c r="D387" i="44"/>
  <c r="C387" i="44"/>
  <c r="F388" i="44"/>
  <c r="D389" i="44"/>
  <c r="C389" i="44" s="1"/>
  <c r="F390" i="44"/>
  <c r="D391" i="44"/>
  <c r="C391" i="44"/>
  <c r="F392" i="44"/>
  <c r="D393" i="44"/>
  <c r="C393" i="44" s="1"/>
  <c r="F393" i="44" s="1"/>
  <c r="F394" i="44"/>
  <c r="D395" i="44"/>
  <c r="C395" i="44"/>
  <c r="F395" i="44" s="1"/>
  <c r="F396" i="44"/>
  <c r="D397" i="44"/>
  <c r="C397" i="44"/>
  <c r="F398" i="44"/>
  <c r="D399" i="44"/>
  <c r="C399" i="44" s="1"/>
  <c r="F400" i="44"/>
  <c r="D401" i="44"/>
  <c r="C401" i="44"/>
  <c r="F401" i="44" s="1"/>
  <c r="E401" i="44"/>
  <c r="F402" i="44"/>
  <c r="D403" i="44"/>
  <c r="C403" i="44" s="1"/>
  <c r="F404" i="44"/>
  <c r="D405" i="44"/>
  <c r="C405" i="44"/>
  <c r="F406" i="44"/>
  <c r="D407" i="44"/>
  <c r="C407" i="44" s="1"/>
  <c r="E407" i="44"/>
  <c r="F408" i="44"/>
  <c r="D409" i="44"/>
  <c r="C409" i="44" s="1"/>
  <c r="F410" i="44"/>
  <c r="D411" i="44"/>
  <c r="C411" i="44" s="1"/>
  <c r="F412" i="44"/>
  <c r="D413" i="44"/>
  <c r="C413" i="44" s="1"/>
  <c r="F414" i="44"/>
  <c r="D415" i="44"/>
  <c r="C415" i="44" s="1"/>
  <c r="F416" i="44"/>
  <c r="D417" i="44"/>
  <c r="C417" i="44"/>
  <c r="F418" i="44"/>
  <c r="D419" i="44"/>
  <c r="C419" i="44" s="1"/>
  <c r="F420" i="44"/>
  <c r="D421" i="44"/>
  <c r="C421" i="44" s="1"/>
  <c r="F422" i="44"/>
  <c r="D423" i="44"/>
  <c r="C423" i="44" s="1"/>
  <c r="G423" i="44" s="1"/>
  <c r="F424" i="44"/>
  <c r="D425" i="44"/>
  <c r="C425" i="44"/>
  <c r="F426" i="44"/>
  <c r="D427" i="44"/>
  <c r="C427" i="44" s="1"/>
  <c r="F428" i="44"/>
  <c r="D429" i="44"/>
  <c r="C429" i="44" s="1"/>
  <c r="F430" i="44"/>
  <c r="D431" i="44"/>
  <c r="C431" i="44" s="1"/>
  <c r="E431" i="44"/>
  <c r="F432" i="44"/>
  <c r="D433" i="44"/>
  <c r="C433" i="44" s="1"/>
  <c r="E433" i="44"/>
  <c r="F434" i="44"/>
  <c r="D435" i="44"/>
  <c r="C435" i="44" s="1"/>
  <c r="F436" i="44"/>
  <c r="D437" i="44"/>
  <c r="C437" i="44" s="1"/>
  <c r="F437" i="44" s="1"/>
  <c r="F438" i="44"/>
  <c r="D439" i="44"/>
  <c r="C439" i="44" s="1"/>
  <c r="F439" i="44" s="1"/>
  <c r="F440" i="44"/>
  <c r="D441" i="44"/>
  <c r="C441" i="44" s="1"/>
  <c r="F442" i="44"/>
  <c r="D443" i="44"/>
  <c r="C443" i="44" s="1"/>
  <c r="F444" i="44"/>
  <c r="D445" i="44"/>
  <c r="C445" i="44" s="1"/>
  <c r="F445" i="44" s="1"/>
  <c r="F446" i="44"/>
  <c r="D447" i="44"/>
  <c r="C447" i="44" s="1"/>
  <c r="F447" i="44" s="1"/>
  <c r="F448" i="44"/>
  <c r="F450" i="44"/>
  <c r="F452" i="44"/>
  <c r="F454" i="44"/>
  <c r="F456" i="44"/>
  <c r="F458" i="44"/>
  <c r="F460" i="44"/>
  <c r="F462" i="44"/>
  <c r="F464" i="44"/>
  <c r="F466" i="44"/>
  <c r="F468" i="44"/>
  <c r="F470" i="44"/>
  <c r="F472" i="44"/>
  <c r="F474" i="44"/>
  <c r="D475" i="44"/>
  <c r="C475" i="44" s="1"/>
  <c r="F476" i="44"/>
  <c r="D477" i="44"/>
  <c r="C477" i="44" s="1"/>
  <c r="G477" i="44" s="1"/>
  <c r="F478" i="44"/>
  <c r="D479" i="44"/>
  <c r="C479" i="44" s="1"/>
  <c r="F480" i="44"/>
  <c r="D481" i="44"/>
  <c r="C481" i="44" s="1"/>
  <c r="G481" i="44" s="1"/>
  <c r="F482" i="44"/>
  <c r="D483" i="44"/>
  <c r="C483" i="44" s="1"/>
  <c r="F483" i="44" s="1"/>
  <c r="F484" i="44"/>
  <c r="D485" i="44"/>
  <c r="C485" i="44" s="1"/>
  <c r="G485" i="44" s="1"/>
  <c r="F486" i="44"/>
  <c r="D487" i="44"/>
  <c r="C487" i="44" s="1"/>
  <c r="F487" i="44" s="1"/>
  <c r="F488" i="44"/>
  <c r="D489" i="44"/>
  <c r="C489" i="44" s="1"/>
  <c r="G489" i="44" s="1"/>
  <c r="F490" i="44"/>
  <c r="D491" i="44"/>
  <c r="C491" i="44" s="1"/>
  <c r="F491" i="44" s="1"/>
  <c r="F492" i="44"/>
  <c r="D493" i="44"/>
  <c r="C493" i="44" s="1"/>
  <c r="F494" i="44"/>
  <c r="D495" i="44"/>
  <c r="C495" i="44" s="1"/>
  <c r="F496" i="44"/>
  <c r="D497" i="44"/>
  <c r="C497" i="44" s="1"/>
  <c r="F498" i="44"/>
  <c r="D499" i="44"/>
  <c r="C499" i="44" s="1"/>
  <c r="F500" i="44"/>
  <c r="D501" i="44"/>
  <c r="C501" i="44" s="1"/>
  <c r="F502" i="44"/>
  <c r="D503" i="44"/>
  <c r="C503" i="44" s="1"/>
  <c r="F504" i="44"/>
  <c r="D505" i="44"/>
  <c r="C505" i="44" s="1"/>
  <c r="F506" i="44"/>
  <c r="D507" i="44"/>
  <c r="C507" i="44" s="1"/>
  <c r="F507" i="44" s="1"/>
  <c r="F508" i="44"/>
  <c r="D509" i="44"/>
  <c r="C509" i="44" s="1"/>
  <c r="F510" i="44"/>
  <c r="D511" i="44"/>
  <c r="C511" i="44" s="1"/>
  <c r="F512" i="44"/>
  <c r="D513" i="44"/>
  <c r="C513" i="44" s="1"/>
  <c r="F514" i="44"/>
  <c r="D515" i="44"/>
  <c r="C515" i="44" s="1"/>
  <c r="F515" i="44" s="1"/>
  <c r="F516" i="44"/>
  <c r="D517" i="44"/>
  <c r="C517" i="44" s="1"/>
  <c r="F518" i="44"/>
  <c r="D519" i="44"/>
  <c r="C519" i="44" s="1"/>
  <c r="F520" i="44"/>
  <c r="D521" i="44"/>
  <c r="C521" i="44" s="1"/>
  <c r="F521" i="44" s="1"/>
  <c r="F522" i="44"/>
  <c r="D523" i="44"/>
  <c r="C523" i="44" s="1"/>
  <c r="F524" i="44"/>
  <c r="D525" i="44"/>
  <c r="C525" i="44" s="1"/>
  <c r="F526" i="44"/>
  <c r="D527" i="44"/>
  <c r="C527" i="44" s="1"/>
  <c r="F528" i="44"/>
  <c r="D529" i="44"/>
  <c r="C529" i="44" s="1"/>
  <c r="F530" i="44"/>
  <c r="D531" i="44"/>
  <c r="C531" i="44" s="1"/>
  <c r="F532" i="44"/>
  <c r="D533" i="44"/>
  <c r="C533" i="44" s="1"/>
  <c r="F534" i="44"/>
  <c r="D535" i="44"/>
  <c r="C535" i="44" s="1"/>
  <c r="F536" i="44"/>
  <c r="D537" i="44"/>
  <c r="C537" i="44" s="1"/>
  <c r="F538" i="44"/>
  <c r="D539" i="44"/>
  <c r="C539" i="44" s="1"/>
  <c r="F540" i="44"/>
  <c r="D541" i="44"/>
  <c r="C541" i="44" s="1"/>
  <c r="F542" i="44"/>
  <c r="D543" i="44"/>
  <c r="C543" i="44" s="1"/>
  <c r="F544" i="44"/>
  <c r="D545" i="44"/>
  <c r="C545" i="44" s="1"/>
  <c r="F545" i="44" s="1"/>
  <c r="D275" i="48"/>
  <c r="K275" i="48"/>
  <c r="D277" i="48"/>
  <c r="U29" i="5"/>
  <c r="D278" i="48" s="1"/>
  <c r="D279" i="48"/>
  <c r="U26" i="5"/>
  <c r="D280" i="48"/>
  <c r="D281" i="48"/>
  <c r="L281" i="48" s="1"/>
  <c r="D167" i="48"/>
  <c r="D168" i="48"/>
  <c r="L168" i="48" s="1"/>
  <c r="D169" i="48"/>
  <c r="L169" i="48" s="1"/>
  <c r="D170" i="48"/>
  <c r="D171" i="48"/>
  <c r="L171" i="48" s="1"/>
  <c r="D172" i="48"/>
  <c r="L172" i="48" s="1"/>
  <c r="D173" i="48"/>
  <c r="L173" i="48" s="1"/>
  <c r="D174" i="48"/>
  <c r="L174" i="48" s="1"/>
  <c r="D175" i="48"/>
  <c r="D176" i="48"/>
  <c r="B11" i="4"/>
  <c r="D40" i="9"/>
  <c r="D41" i="9"/>
  <c r="D42" i="9"/>
  <c r="D43" i="9"/>
  <c r="D44" i="9"/>
  <c r="E40" i="9"/>
  <c r="E41" i="9"/>
  <c r="E42" i="9"/>
  <c r="E43" i="9"/>
  <c r="E44" i="9"/>
  <c r="F40" i="9"/>
  <c r="F41" i="9"/>
  <c r="F42" i="9"/>
  <c r="F43" i="9"/>
  <c r="F44" i="9"/>
  <c r="G40" i="9"/>
  <c r="G41" i="9"/>
  <c r="G42" i="9"/>
  <c r="G43" i="9"/>
  <c r="G44" i="9"/>
  <c r="H40" i="9"/>
  <c r="H41" i="9"/>
  <c r="H42" i="9"/>
  <c r="H43" i="9"/>
  <c r="H44" i="9"/>
  <c r="I40" i="9"/>
  <c r="I41" i="9"/>
  <c r="I42" i="9"/>
  <c r="I43" i="9"/>
  <c r="I44" i="9"/>
  <c r="J40" i="9"/>
  <c r="J41" i="9"/>
  <c r="J42" i="9"/>
  <c r="J43" i="9"/>
  <c r="J44" i="9"/>
  <c r="K40" i="9"/>
  <c r="K41" i="9"/>
  <c r="K42" i="9"/>
  <c r="K43" i="9"/>
  <c r="K44" i="9"/>
  <c r="L40" i="9"/>
  <c r="L41" i="9"/>
  <c r="L42" i="9"/>
  <c r="L43" i="9"/>
  <c r="L44" i="9"/>
  <c r="M40" i="9"/>
  <c r="M41" i="9"/>
  <c r="M42" i="9"/>
  <c r="M43" i="9"/>
  <c r="M44" i="9"/>
  <c r="N40" i="9"/>
  <c r="N41" i="9"/>
  <c r="N42" i="9"/>
  <c r="N43" i="9"/>
  <c r="N44" i="9"/>
  <c r="D7" i="9"/>
  <c r="D8" i="9"/>
  <c r="D9" i="9"/>
  <c r="D10" i="9"/>
  <c r="D11" i="9"/>
  <c r="G7" i="9"/>
  <c r="G8" i="9"/>
  <c r="G9" i="9"/>
  <c r="G10" i="9"/>
  <c r="G11" i="9"/>
  <c r="Q40" i="9"/>
  <c r="R40" i="9"/>
  <c r="S40" i="9"/>
  <c r="T40" i="9"/>
  <c r="U40" i="9"/>
  <c r="V40" i="9"/>
  <c r="W40" i="9"/>
  <c r="X40" i="9"/>
  <c r="Y40" i="9"/>
  <c r="Z40" i="9"/>
  <c r="AA40" i="9"/>
  <c r="P40" i="9"/>
  <c r="Q7" i="9"/>
  <c r="Q10" i="9" s="1"/>
  <c r="BH67" i="9" s="1"/>
  <c r="T7" i="9"/>
  <c r="U7" i="9"/>
  <c r="W7" i="9"/>
  <c r="CQ42" i="9"/>
  <c r="CR42" i="9"/>
  <c r="CS42" i="9"/>
  <c r="CT42" i="9"/>
  <c r="CU42" i="9"/>
  <c r="CV42" i="9"/>
  <c r="CW42" i="9"/>
  <c r="CX42" i="9"/>
  <c r="CY42" i="9"/>
  <c r="CZ42" i="9"/>
  <c r="DA42" i="9"/>
  <c r="S41" i="9"/>
  <c r="S42" i="9"/>
  <c r="W8" i="9"/>
  <c r="W10" i="9" s="1"/>
  <c r="BN67" i="9" s="1"/>
  <c r="W9" i="9"/>
  <c r="Q8" i="9"/>
  <c r="Q9" i="9"/>
  <c r="T8" i="9"/>
  <c r="T9" i="9"/>
  <c r="U8" i="9"/>
  <c r="U9" i="9"/>
  <c r="B14" i="52"/>
  <c r="B13" i="52"/>
  <c r="B12" i="52"/>
  <c r="B55" i="52"/>
  <c r="B54" i="52"/>
  <c r="B53" i="52"/>
  <c r="B52" i="52"/>
  <c r="B56" i="4"/>
  <c r="B55" i="4"/>
  <c r="B54" i="4"/>
  <c r="B53" i="4"/>
  <c r="AB56" i="4"/>
  <c r="AB55" i="4"/>
  <c r="AB54" i="4"/>
  <c r="EK245" i="9" s="1"/>
  <c r="AB53" i="4"/>
  <c r="EQ244" i="9" s="1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EQ229" i="9" s="1"/>
  <c r="AB37" i="4"/>
  <c r="EO228" i="9" s="1"/>
  <c r="AB36" i="4"/>
  <c r="AB35" i="4"/>
  <c r="AB34" i="4"/>
  <c r="AB33" i="4"/>
  <c r="AB32" i="4"/>
  <c r="AB31" i="4"/>
  <c r="AB30" i="4"/>
  <c r="AB29" i="4"/>
  <c r="AB28" i="4"/>
  <c r="AB27" i="4"/>
  <c r="AB26" i="4"/>
  <c r="AB24" i="4"/>
  <c r="AB23" i="4"/>
  <c r="AB22" i="4"/>
  <c r="EO213" i="9" s="1"/>
  <c r="EQ213" i="9"/>
  <c r="AB21" i="4"/>
  <c r="AB20" i="4"/>
  <c r="AB19" i="4"/>
  <c r="AB18" i="4"/>
  <c r="AB17" i="4"/>
  <c r="AB16" i="4"/>
  <c r="AB15" i="4"/>
  <c r="AI18" i="52"/>
  <c r="A106" i="43" s="1"/>
  <c r="AI17" i="52"/>
  <c r="A105" i="43" s="1"/>
  <c r="AI15" i="52"/>
  <c r="A103" i="43" s="1"/>
  <c r="C103" i="43"/>
  <c r="AI16" i="52"/>
  <c r="A104" i="43"/>
  <c r="C104" i="43"/>
  <c r="AI12" i="52"/>
  <c r="C25" i="9" s="1"/>
  <c r="AK291" i="9"/>
  <c r="AL291" i="9"/>
  <c r="AM291" i="9"/>
  <c r="AN291" i="9"/>
  <c r="AO291" i="9"/>
  <c r="AP291" i="9"/>
  <c r="AQ291" i="9"/>
  <c r="AS291" i="9"/>
  <c r="AT291" i="9"/>
  <c r="AU291" i="9"/>
  <c r="AV291" i="9"/>
  <c r="AW291" i="9"/>
  <c r="AX291" i="9"/>
  <c r="AY291" i="9"/>
  <c r="BA291" i="9"/>
  <c r="BB291" i="9"/>
  <c r="BC291" i="9"/>
  <c r="BD291" i="9"/>
  <c r="BE291" i="9"/>
  <c r="BF291" i="9"/>
  <c r="BG291" i="9"/>
  <c r="BH291" i="9"/>
  <c r="BI291" i="9"/>
  <c r="BJ291" i="9"/>
  <c r="BK291" i="9"/>
  <c r="BL291" i="9"/>
  <c r="BM291" i="9"/>
  <c r="AK292" i="9"/>
  <c r="AL292" i="9"/>
  <c r="AM292" i="9"/>
  <c r="AN292" i="9"/>
  <c r="AO292" i="9"/>
  <c r="AP292" i="9"/>
  <c r="AQ292" i="9"/>
  <c r="AS292" i="9"/>
  <c r="AT292" i="9"/>
  <c r="AU292" i="9"/>
  <c r="AV292" i="9"/>
  <c r="AW292" i="9"/>
  <c r="AX292" i="9"/>
  <c r="AY292" i="9"/>
  <c r="BA292" i="9"/>
  <c r="BB292" i="9"/>
  <c r="BC292" i="9"/>
  <c r="BD292" i="9"/>
  <c r="BE292" i="9"/>
  <c r="BF292" i="9"/>
  <c r="BG292" i="9"/>
  <c r="BH292" i="9"/>
  <c r="BI292" i="9"/>
  <c r="BJ292" i="9"/>
  <c r="BK292" i="9"/>
  <c r="BL292" i="9"/>
  <c r="BM292" i="9"/>
  <c r="AK293" i="9"/>
  <c r="AL293" i="9"/>
  <c r="AM293" i="9"/>
  <c r="AN293" i="9"/>
  <c r="AO293" i="9"/>
  <c r="AP293" i="9"/>
  <c r="AQ293" i="9"/>
  <c r="AS293" i="9"/>
  <c r="AT293" i="9"/>
  <c r="AU293" i="9"/>
  <c r="AV293" i="9"/>
  <c r="AW293" i="9"/>
  <c r="AX293" i="9"/>
  <c r="AY293" i="9"/>
  <c r="BA293" i="9"/>
  <c r="BB293" i="9"/>
  <c r="BC293" i="9"/>
  <c r="BD293" i="9"/>
  <c r="BE293" i="9"/>
  <c r="BF293" i="9"/>
  <c r="BG293" i="9"/>
  <c r="BH293" i="9"/>
  <c r="BI293" i="9"/>
  <c r="BJ293" i="9"/>
  <c r="BK293" i="9"/>
  <c r="BL293" i="9"/>
  <c r="BM293" i="9"/>
  <c r="AK294" i="9"/>
  <c r="AL294" i="9"/>
  <c r="AM294" i="9"/>
  <c r="AN294" i="9"/>
  <c r="AO294" i="9"/>
  <c r="AP294" i="9"/>
  <c r="AQ294" i="9"/>
  <c r="AS294" i="9"/>
  <c r="AT294" i="9"/>
  <c r="AU294" i="9"/>
  <c r="AV294" i="9"/>
  <c r="AW294" i="9"/>
  <c r="AX294" i="9"/>
  <c r="AY294" i="9"/>
  <c r="BA294" i="9"/>
  <c r="BB294" i="9"/>
  <c r="BC294" i="9"/>
  <c r="BD294" i="9"/>
  <c r="BE294" i="9"/>
  <c r="BF294" i="9"/>
  <c r="BG294" i="9"/>
  <c r="BH294" i="9"/>
  <c r="BI294" i="9"/>
  <c r="BJ294" i="9"/>
  <c r="BK294" i="9"/>
  <c r="BL294" i="9"/>
  <c r="BM294" i="9"/>
  <c r="AK295" i="9"/>
  <c r="AL295" i="9"/>
  <c r="AM295" i="9"/>
  <c r="AN295" i="9"/>
  <c r="AO295" i="9"/>
  <c r="AP295" i="9"/>
  <c r="AQ295" i="9"/>
  <c r="AS295" i="9"/>
  <c r="AT295" i="9"/>
  <c r="AU295" i="9"/>
  <c r="AV295" i="9"/>
  <c r="AW295" i="9"/>
  <c r="AX295" i="9"/>
  <c r="AY295" i="9"/>
  <c r="BA295" i="9"/>
  <c r="BB295" i="9"/>
  <c r="BC295" i="9"/>
  <c r="BD295" i="9"/>
  <c r="BE295" i="9"/>
  <c r="BF295" i="9"/>
  <c r="BG295" i="9"/>
  <c r="BH295" i="9"/>
  <c r="BI295" i="9"/>
  <c r="BJ295" i="9"/>
  <c r="BK295" i="9"/>
  <c r="BL295" i="9"/>
  <c r="BM295" i="9"/>
  <c r="AK296" i="9"/>
  <c r="AL296" i="9"/>
  <c r="AM296" i="9"/>
  <c r="AN296" i="9"/>
  <c r="AO296" i="9"/>
  <c r="AP296" i="9"/>
  <c r="AQ296" i="9"/>
  <c r="AS296" i="9"/>
  <c r="AT296" i="9"/>
  <c r="AU296" i="9"/>
  <c r="AV296" i="9"/>
  <c r="AW296" i="9"/>
  <c r="AX296" i="9"/>
  <c r="AY296" i="9"/>
  <c r="BA296" i="9"/>
  <c r="BB296" i="9"/>
  <c r="BC296" i="9"/>
  <c r="BD296" i="9"/>
  <c r="BE296" i="9"/>
  <c r="BF296" i="9"/>
  <c r="BG296" i="9"/>
  <c r="BH296" i="9"/>
  <c r="BI296" i="9"/>
  <c r="BJ296" i="9"/>
  <c r="BK296" i="9"/>
  <c r="BL296" i="9"/>
  <c r="BM296" i="9"/>
  <c r="AK297" i="9"/>
  <c r="AL297" i="9"/>
  <c r="AM297" i="9"/>
  <c r="AN297" i="9"/>
  <c r="AO297" i="9"/>
  <c r="AP297" i="9"/>
  <c r="AQ297" i="9"/>
  <c r="AS297" i="9"/>
  <c r="AT297" i="9"/>
  <c r="AU297" i="9"/>
  <c r="AV297" i="9"/>
  <c r="AW297" i="9"/>
  <c r="AX297" i="9"/>
  <c r="AY297" i="9"/>
  <c r="BA297" i="9"/>
  <c r="BB297" i="9"/>
  <c r="BC297" i="9"/>
  <c r="BD297" i="9"/>
  <c r="BE297" i="9"/>
  <c r="BF297" i="9"/>
  <c r="BG297" i="9"/>
  <c r="BH297" i="9"/>
  <c r="BI297" i="9"/>
  <c r="BJ297" i="9"/>
  <c r="BK297" i="9"/>
  <c r="BL297" i="9"/>
  <c r="BM297" i="9"/>
  <c r="AK298" i="9"/>
  <c r="AL298" i="9"/>
  <c r="AM298" i="9"/>
  <c r="AN298" i="9"/>
  <c r="AO298" i="9"/>
  <c r="AP298" i="9"/>
  <c r="AQ298" i="9"/>
  <c r="AS298" i="9"/>
  <c r="AT298" i="9"/>
  <c r="AU298" i="9"/>
  <c r="AV298" i="9"/>
  <c r="AW298" i="9"/>
  <c r="AX298" i="9"/>
  <c r="AY298" i="9"/>
  <c r="BA298" i="9"/>
  <c r="BB298" i="9"/>
  <c r="BC298" i="9"/>
  <c r="BD298" i="9"/>
  <c r="BE298" i="9"/>
  <c r="BF298" i="9"/>
  <c r="BG298" i="9"/>
  <c r="BH298" i="9"/>
  <c r="BI298" i="9"/>
  <c r="BJ298" i="9"/>
  <c r="BK298" i="9"/>
  <c r="BL298" i="9"/>
  <c r="BM298" i="9"/>
  <c r="AK299" i="9"/>
  <c r="AL299" i="9"/>
  <c r="AM299" i="9"/>
  <c r="AN299" i="9"/>
  <c r="AO299" i="9"/>
  <c r="AP299" i="9"/>
  <c r="AQ299" i="9"/>
  <c r="AS299" i="9"/>
  <c r="AT299" i="9"/>
  <c r="AU299" i="9"/>
  <c r="AV299" i="9"/>
  <c r="AW299" i="9"/>
  <c r="AX299" i="9"/>
  <c r="AY299" i="9"/>
  <c r="BA299" i="9"/>
  <c r="BB299" i="9"/>
  <c r="BC299" i="9"/>
  <c r="BD299" i="9"/>
  <c r="BE299" i="9"/>
  <c r="BF299" i="9"/>
  <c r="BG299" i="9"/>
  <c r="BH299" i="9"/>
  <c r="BI299" i="9"/>
  <c r="BJ299" i="9"/>
  <c r="BK299" i="9"/>
  <c r="BL299" i="9"/>
  <c r="BM299" i="9"/>
  <c r="AK300" i="9"/>
  <c r="AL300" i="9"/>
  <c r="AM300" i="9"/>
  <c r="AN300" i="9"/>
  <c r="AO300" i="9"/>
  <c r="AP300" i="9"/>
  <c r="AQ300" i="9"/>
  <c r="AS300" i="9"/>
  <c r="AT300" i="9"/>
  <c r="AU300" i="9"/>
  <c r="AV300" i="9"/>
  <c r="AW300" i="9"/>
  <c r="AX300" i="9"/>
  <c r="AY300" i="9"/>
  <c r="BA300" i="9"/>
  <c r="BB300" i="9"/>
  <c r="BC300" i="9"/>
  <c r="BD300" i="9"/>
  <c r="BE300" i="9"/>
  <c r="BF300" i="9"/>
  <c r="BG300" i="9"/>
  <c r="BH300" i="9"/>
  <c r="BI300" i="9"/>
  <c r="BJ300" i="9"/>
  <c r="BK300" i="9"/>
  <c r="BL300" i="9"/>
  <c r="BM300" i="9"/>
  <c r="AK301" i="9"/>
  <c r="AL301" i="9"/>
  <c r="AM301" i="9"/>
  <c r="AN301" i="9"/>
  <c r="AO301" i="9"/>
  <c r="AP301" i="9"/>
  <c r="AQ301" i="9"/>
  <c r="AS301" i="9"/>
  <c r="AT301" i="9"/>
  <c r="AU301" i="9"/>
  <c r="AV301" i="9"/>
  <c r="AW301" i="9"/>
  <c r="AX301" i="9"/>
  <c r="AY301" i="9"/>
  <c r="BA301" i="9"/>
  <c r="BB301" i="9"/>
  <c r="BC301" i="9"/>
  <c r="BD301" i="9"/>
  <c r="BE301" i="9"/>
  <c r="BF301" i="9"/>
  <c r="BG301" i="9"/>
  <c r="BH301" i="9"/>
  <c r="BI301" i="9"/>
  <c r="BJ301" i="9"/>
  <c r="BK301" i="9"/>
  <c r="BL301" i="9"/>
  <c r="BM301" i="9"/>
  <c r="AK302" i="9"/>
  <c r="AL302" i="9"/>
  <c r="AM302" i="9"/>
  <c r="AN302" i="9"/>
  <c r="AO302" i="9"/>
  <c r="AP302" i="9"/>
  <c r="AQ302" i="9"/>
  <c r="AS302" i="9"/>
  <c r="AT302" i="9"/>
  <c r="AU302" i="9"/>
  <c r="AV302" i="9"/>
  <c r="AW302" i="9"/>
  <c r="AX302" i="9"/>
  <c r="AY302" i="9"/>
  <c r="BA302" i="9"/>
  <c r="BB302" i="9"/>
  <c r="BC302" i="9"/>
  <c r="BD302" i="9"/>
  <c r="BE302" i="9"/>
  <c r="BF302" i="9"/>
  <c r="BG302" i="9"/>
  <c r="BH302" i="9"/>
  <c r="BI302" i="9"/>
  <c r="BJ302" i="9"/>
  <c r="BK302" i="9"/>
  <c r="BL302" i="9"/>
  <c r="BM302" i="9"/>
  <c r="AK303" i="9"/>
  <c r="AL303" i="9"/>
  <c r="AM303" i="9"/>
  <c r="AN303" i="9"/>
  <c r="AO303" i="9"/>
  <c r="AP303" i="9"/>
  <c r="AQ303" i="9"/>
  <c r="AS303" i="9"/>
  <c r="AT303" i="9"/>
  <c r="AU303" i="9"/>
  <c r="AV303" i="9"/>
  <c r="AW303" i="9"/>
  <c r="AX303" i="9"/>
  <c r="AY303" i="9"/>
  <c r="BA303" i="9"/>
  <c r="BB303" i="9"/>
  <c r="BC303" i="9"/>
  <c r="BD303" i="9"/>
  <c r="BE303" i="9"/>
  <c r="BF303" i="9"/>
  <c r="BG303" i="9"/>
  <c r="BH303" i="9"/>
  <c r="BI303" i="9"/>
  <c r="BJ303" i="9"/>
  <c r="BK303" i="9"/>
  <c r="BL303" i="9"/>
  <c r="BM303" i="9"/>
  <c r="AK304" i="9"/>
  <c r="AL304" i="9"/>
  <c r="AM304" i="9"/>
  <c r="AN304" i="9"/>
  <c r="AO304" i="9"/>
  <c r="AP304" i="9"/>
  <c r="AQ304" i="9"/>
  <c r="AS304" i="9"/>
  <c r="AT304" i="9"/>
  <c r="AU304" i="9"/>
  <c r="AV304" i="9"/>
  <c r="AW304" i="9"/>
  <c r="AX304" i="9"/>
  <c r="AY304" i="9"/>
  <c r="BA304" i="9"/>
  <c r="BB304" i="9"/>
  <c r="BC304" i="9"/>
  <c r="BD304" i="9"/>
  <c r="BE304" i="9"/>
  <c r="BF304" i="9"/>
  <c r="BG304" i="9"/>
  <c r="BH304" i="9"/>
  <c r="BI304" i="9"/>
  <c r="BJ304" i="9"/>
  <c r="BK304" i="9"/>
  <c r="BL304" i="9"/>
  <c r="BM304" i="9"/>
  <c r="AK305" i="9"/>
  <c r="AL305" i="9"/>
  <c r="AM305" i="9"/>
  <c r="AN305" i="9"/>
  <c r="AO305" i="9"/>
  <c r="AP305" i="9"/>
  <c r="AQ305" i="9"/>
  <c r="AS305" i="9"/>
  <c r="AT305" i="9"/>
  <c r="AU305" i="9"/>
  <c r="AV305" i="9"/>
  <c r="AW305" i="9"/>
  <c r="AX305" i="9"/>
  <c r="AY305" i="9"/>
  <c r="BA305" i="9"/>
  <c r="BB305" i="9"/>
  <c r="BC305" i="9"/>
  <c r="BD305" i="9"/>
  <c r="BE305" i="9"/>
  <c r="BF305" i="9"/>
  <c r="BG305" i="9"/>
  <c r="BH305" i="9"/>
  <c r="BI305" i="9"/>
  <c r="BJ305" i="9"/>
  <c r="BK305" i="9"/>
  <c r="BL305" i="9"/>
  <c r="BM305" i="9"/>
  <c r="AK306" i="9"/>
  <c r="AL306" i="9"/>
  <c r="AM306" i="9"/>
  <c r="AN306" i="9"/>
  <c r="AO306" i="9"/>
  <c r="AP306" i="9"/>
  <c r="AQ306" i="9"/>
  <c r="AS306" i="9"/>
  <c r="AT306" i="9"/>
  <c r="AU306" i="9"/>
  <c r="AV306" i="9"/>
  <c r="AW306" i="9"/>
  <c r="AX306" i="9"/>
  <c r="AY306" i="9"/>
  <c r="BA306" i="9"/>
  <c r="BB306" i="9"/>
  <c r="BC306" i="9"/>
  <c r="BD306" i="9"/>
  <c r="BE306" i="9"/>
  <c r="BF306" i="9"/>
  <c r="BG306" i="9"/>
  <c r="BH306" i="9"/>
  <c r="BI306" i="9"/>
  <c r="BJ306" i="9"/>
  <c r="BK306" i="9"/>
  <c r="BL306" i="9"/>
  <c r="BM306" i="9"/>
  <c r="AK307" i="9"/>
  <c r="AL307" i="9"/>
  <c r="AM307" i="9"/>
  <c r="AN307" i="9"/>
  <c r="AO307" i="9"/>
  <c r="AP307" i="9"/>
  <c r="AQ307" i="9"/>
  <c r="AS307" i="9"/>
  <c r="AT307" i="9"/>
  <c r="AU307" i="9"/>
  <c r="AV307" i="9"/>
  <c r="AW307" i="9"/>
  <c r="AX307" i="9"/>
  <c r="AY307" i="9"/>
  <c r="BA307" i="9"/>
  <c r="BB307" i="9"/>
  <c r="BC307" i="9"/>
  <c r="BD307" i="9"/>
  <c r="BE307" i="9"/>
  <c r="BF307" i="9"/>
  <c r="BG307" i="9"/>
  <c r="BH307" i="9"/>
  <c r="BI307" i="9"/>
  <c r="BJ307" i="9"/>
  <c r="BK307" i="9"/>
  <c r="BL307" i="9"/>
  <c r="BM307" i="9"/>
  <c r="AK308" i="9"/>
  <c r="AL308" i="9"/>
  <c r="AM308" i="9"/>
  <c r="AN308" i="9"/>
  <c r="AO308" i="9"/>
  <c r="AP308" i="9"/>
  <c r="AQ308" i="9"/>
  <c r="AS308" i="9"/>
  <c r="AT308" i="9"/>
  <c r="AU308" i="9"/>
  <c r="AV308" i="9"/>
  <c r="AW308" i="9"/>
  <c r="AX308" i="9"/>
  <c r="AY308" i="9"/>
  <c r="BA308" i="9"/>
  <c r="BB308" i="9"/>
  <c r="BC308" i="9"/>
  <c r="BD308" i="9"/>
  <c r="BE308" i="9"/>
  <c r="BF308" i="9"/>
  <c r="BG308" i="9"/>
  <c r="BH308" i="9"/>
  <c r="BI308" i="9"/>
  <c r="BJ308" i="9"/>
  <c r="BK308" i="9"/>
  <c r="BL308" i="9"/>
  <c r="BM308" i="9"/>
  <c r="AK309" i="9"/>
  <c r="AL309" i="9"/>
  <c r="AM309" i="9"/>
  <c r="AN309" i="9"/>
  <c r="AO309" i="9"/>
  <c r="AP309" i="9"/>
  <c r="AQ309" i="9"/>
  <c r="AS309" i="9"/>
  <c r="AT309" i="9"/>
  <c r="AU309" i="9"/>
  <c r="AV309" i="9"/>
  <c r="AW309" i="9"/>
  <c r="AX309" i="9"/>
  <c r="AY309" i="9"/>
  <c r="BA309" i="9"/>
  <c r="BB309" i="9"/>
  <c r="BC309" i="9"/>
  <c r="BD309" i="9"/>
  <c r="BE309" i="9"/>
  <c r="BF309" i="9"/>
  <c r="BG309" i="9"/>
  <c r="BH309" i="9"/>
  <c r="BI309" i="9"/>
  <c r="BJ309" i="9"/>
  <c r="BK309" i="9"/>
  <c r="BL309" i="9"/>
  <c r="BM309" i="9"/>
  <c r="AK310" i="9"/>
  <c r="AL310" i="9"/>
  <c r="AM310" i="9"/>
  <c r="AN310" i="9"/>
  <c r="AO310" i="9"/>
  <c r="AP310" i="9"/>
  <c r="AQ310" i="9"/>
  <c r="AS310" i="9"/>
  <c r="AT310" i="9"/>
  <c r="AU310" i="9"/>
  <c r="AV310" i="9"/>
  <c r="AW310" i="9"/>
  <c r="AX310" i="9"/>
  <c r="AY310" i="9"/>
  <c r="BA310" i="9"/>
  <c r="BB310" i="9"/>
  <c r="BC310" i="9"/>
  <c r="BD310" i="9"/>
  <c r="BE310" i="9"/>
  <c r="BF310" i="9"/>
  <c r="BG310" i="9"/>
  <c r="BH310" i="9"/>
  <c r="BI310" i="9"/>
  <c r="BJ310" i="9"/>
  <c r="BK310" i="9"/>
  <c r="BL310" i="9"/>
  <c r="BM310" i="9"/>
  <c r="AK311" i="9"/>
  <c r="AL311" i="9"/>
  <c r="AM311" i="9"/>
  <c r="AN311" i="9"/>
  <c r="AO311" i="9"/>
  <c r="AP311" i="9"/>
  <c r="AQ311" i="9"/>
  <c r="AS311" i="9"/>
  <c r="AT311" i="9"/>
  <c r="AU311" i="9"/>
  <c r="AV311" i="9"/>
  <c r="AW311" i="9"/>
  <c r="AX311" i="9"/>
  <c r="AY311" i="9"/>
  <c r="BA311" i="9"/>
  <c r="BB311" i="9"/>
  <c r="BC311" i="9"/>
  <c r="BD311" i="9"/>
  <c r="BE311" i="9"/>
  <c r="BF311" i="9"/>
  <c r="BG311" i="9"/>
  <c r="BH311" i="9"/>
  <c r="BI311" i="9"/>
  <c r="BJ311" i="9"/>
  <c r="BK311" i="9"/>
  <c r="BL311" i="9"/>
  <c r="BM311" i="9"/>
  <c r="AK312" i="9"/>
  <c r="AL312" i="9"/>
  <c r="AM312" i="9"/>
  <c r="AN312" i="9"/>
  <c r="AO312" i="9"/>
  <c r="AP312" i="9"/>
  <c r="AQ312" i="9"/>
  <c r="AS312" i="9"/>
  <c r="AT312" i="9"/>
  <c r="AU312" i="9"/>
  <c r="AV312" i="9"/>
  <c r="AW312" i="9"/>
  <c r="AX312" i="9"/>
  <c r="AY312" i="9"/>
  <c r="BA312" i="9"/>
  <c r="BB312" i="9"/>
  <c r="BC312" i="9"/>
  <c r="BD312" i="9"/>
  <c r="BE312" i="9"/>
  <c r="BF312" i="9"/>
  <c r="BG312" i="9"/>
  <c r="BH312" i="9"/>
  <c r="BI312" i="9"/>
  <c r="BJ312" i="9"/>
  <c r="BK312" i="9"/>
  <c r="BL312" i="9"/>
  <c r="BM312" i="9"/>
  <c r="AK313" i="9"/>
  <c r="AL313" i="9"/>
  <c r="AM313" i="9"/>
  <c r="AN313" i="9"/>
  <c r="AO313" i="9"/>
  <c r="AP313" i="9"/>
  <c r="AQ313" i="9"/>
  <c r="AS313" i="9"/>
  <c r="AT313" i="9"/>
  <c r="AU313" i="9"/>
  <c r="AV313" i="9"/>
  <c r="AW313" i="9"/>
  <c r="AX313" i="9"/>
  <c r="AY313" i="9"/>
  <c r="BA313" i="9"/>
  <c r="BB313" i="9"/>
  <c r="BC313" i="9"/>
  <c r="BD313" i="9"/>
  <c r="BE313" i="9"/>
  <c r="BF313" i="9"/>
  <c r="BG313" i="9"/>
  <c r="BH313" i="9"/>
  <c r="BI313" i="9"/>
  <c r="BJ313" i="9"/>
  <c r="BK313" i="9"/>
  <c r="BL313" i="9"/>
  <c r="BM313" i="9"/>
  <c r="AK314" i="9"/>
  <c r="AL314" i="9"/>
  <c r="AM314" i="9"/>
  <c r="AN314" i="9"/>
  <c r="AO314" i="9"/>
  <c r="AP314" i="9"/>
  <c r="AQ314" i="9"/>
  <c r="AS314" i="9"/>
  <c r="AT314" i="9"/>
  <c r="AU314" i="9"/>
  <c r="AV314" i="9"/>
  <c r="AW314" i="9"/>
  <c r="AX314" i="9"/>
  <c r="AY314" i="9"/>
  <c r="BA314" i="9"/>
  <c r="BB314" i="9"/>
  <c r="BC314" i="9"/>
  <c r="BD314" i="9"/>
  <c r="BE314" i="9"/>
  <c r="BF314" i="9"/>
  <c r="BG314" i="9"/>
  <c r="BH314" i="9"/>
  <c r="BI314" i="9"/>
  <c r="BJ314" i="9"/>
  <c r="BK314" i="9"/>
  <c r="BL314" i="9"/>
  <c r="BM314" i="9"/>
  <c r="AK315" i="9"/>
  <c r="AL315" i="9"/>
  <c r="AM315" i="9"/>
  <c r="AN315" i="9"/>
  <c r="AO315" i="9"/>
  <c r="AP315" i="9"/>
  <c r="AQ315" i="9"/>
  <c r="AS315" i="9"/>
  <c r="AT315" i="9"/>
  <c r="AU315" i="9"/>
  <c r="AV315" i="9"/>
  <c r="AW315" i="9"/>
  <c r="AX315" i="9"/>
  <c r="AY315" i="9"/>
  <c r="BA315" i="9"/>
  <c r="BB315" i="9"/>
  <c r="BC315" i="9"/>
  <c r="BD315" i="9"/>
  <c r="BE315" i="9"/>
  <c r="BF315" i="9"/>
  <c r="BG315" i="9"/>
  <c r="BH315" i="9"/>
  <c r="BI315" i="9"/>
  <c r="BJ315" i="9"/>
  <c r="BK315" i="9"/>
  <c r="BL315" i="9"/>
  <c r="BM315" i="9"/>
  <c r="AK316" i="9"/>
  <c r="AL316" i="9"/>
  <c r="AM316" i="9"/>
  <c r="AN316" i="9"/>
  <c r="AO316" i="9"/>
  <c r="AP316" i="9"/>
  <c r="AQ316" i="9"/>
  <c r="AS316" i="9"/>
  <c r="AT316" i="9"/>
  <c r="AU316" i="9"/>
  <c r="AV316" i="9"/>
  <c r="AW316" i="9"/>
  <c r="AX316" i="9"/>
  <c r="AY316" i="9"/>
  <c r="BA316" i="9"/>
  <c r="BB316" i="9"/>
  <c r="BC316" i="9"/>
  <c r="BD316" i="9"/>
  <c r="BE316" i="9"/>
  <c r="BF316" i="9"/>
  <c r="BG316" i="9"/>
  <c r="BH316" i="9"/>
  <c r="BI316" i="9"/>
  <c r="BJ316" i="9"/>
  <c r="BK316" i="9"/>
  <c r="BL316" i="9"/>
  <c r="BM316" i="9"/>
  <c r="AK317" i="9"/>
  <c r="AL317" i="9"/>
  <c r="AM317" i="9"/>
  <c r="AN317" i="9"/>
  <c r="AO317" i="9"/>
  <c r="AP317" i="9"/>
  <c r="AQ317" i="9"/>
  <c r="AS317" i="9"/>
  <c r="AT317" i="9"/>
  <c r="AU317" i="9"/>
  <c r="AV317" i="9"/>
  <c r="AW317" i="9"/>
  <c r="AX317" i="9"/>
  <c r="AY317" i="9"/>
  <c r="BA317" i="9"/>
  <c r="BB317" i="9"/>
  <c r="BC317" i="9"/>
  <c r="BD317" i="9"/>
  <c r="BE317" i="9"/>
  <c r="BF317" i="9"/>
  <c r="BG317" i="9"/>
  <c r="BH317" i="9"/>
  <c r="BI317" i="9"/>
  <c r="BJ317" i="9"/>
  <c r="BK317" i="9"/>
  <c r="BL317" i="9"/>
  <c r="BM317" i="9"/>
  <c r="AK318" i="9"/>
  <c r="AL318" i="9"/>
  <c r="AM318" i="9"/>
  <c r="AN318" i="9"/>
  <c r="AO318" i="9"/>
  <c r="AP318" i="9"/>
  <c r="AQ318" i="9"/>
  <c r="AS318" i="9"/>
  <c r="AT318" i="9"/>
  <c r="AU318" i="9"/>
  <c r="AV318" i="9"/>
  <c r="AW318" i="9"/>
  <c r="AX318" i="9"/>
  <c r="AY318" i="9"/>
  <c r="BA318" i="9"/>
  <c r="BB318" i="9"/>
  <c r="BC318" i="9"/>
  <c r="BD318" i="9"/>
  <c r="BE318" i="9"/>
  <c r="BF318" i="9"/>
  <c r="BG318" i="9"/>
  <c r="BH318" i="9"/>
  <c r="BI318" i="9"/>
  <c r="BJ318" i="9"/>
  <c r="BK318" i="9"/>
  <c r="BL318" i="9"/>
  <c r="BM318" i="9"/>
  <c r="AK319" i="9"/>
  <c r="AL319" i="9"/>
  <c r="AM319" i="9"/>
  <c r="AN319" i="9"/>
  <c r="AO319" i="9"/>
  <c r="AP319" i="9"/>
  <c r="AQ319" i="9"/>
  <c r="AS319" i="9"/>
  <c r="AT319" i="9"/>
  <c r="AU319" i="9"/>
  <c r="AV319" i="9"/>
  <c r="AW319" i="9"/>
  <c r="AX319" i="9"/>
  <c r="AY319" i="9"/>
  <c r="BA319" i="9"/>
  <c r="BB319" i="9"/>
  <c r="BC319" i="9"/>
  <c r="BD319" i="9"/>
  <c r="BE319" i="9"/>
  <c r="BF319" i="9"/>
  <c r="BG319" i="9"/>
  <c r="BH319" i="9"/>
  <c r="BI319" i="9"/>
  <c r="BJ319" i="9"/>
  <c r="BK319" i="9"/>
  <c r="BL319" i="9"/>
  <c r="BM319" i="9"/>
  <c r="AK320" i="9"/>
  <c r="AL320" i="9"/>
  <c r="AM320" i="9"/>
  <c r="AN320" i="9"/>
  <c r="AO320" i="9"/>
  <c r="AP320" i="9"/>
  <c r="AQ320" i="9"/>
  <c r="AS320" i="9"/>
  <c r="AT320" i="9"/>
  <c r="AU320" i="9"/>
  <c r="AV320" i="9"/>
  <c r="AW320" i="9"/>
  <c r="AX320" i="9"/>
  <c r="AY320" i="9"/>
  <c r="BA320" i="9"/>
  <c r="BB320" i="9"/>
  <c r="BC320" i="9"/>
  <c r="BD320" i="9"/>
  <c r="BE320" i="9"/>
  <c r="BF320" i="9"/>
  <c r="BG320" i="9"/>
  <c r="BH320" i="9"/>
  <c r="BI320" i="9"/>
  <c r="BJ320" i="9"/>
  <c r="BK320" i="9"/>
  <c r="BL320" i="9"/>
  <c r="BM320" i="9"/>
  <c r="AK321" i="9"/>
  <c r="AL321" i="9"/>
  <c r="AM321" i="9"/>
  <c r="AN321" i="9"/>
  <c r="AO321" i="9"/>
  <c r="AP321" i="9"/>
  <c r="AQ321" i="9"/>
  <c r="AS321" i="9"/>
  <c r="AT321" i="9"/>
  <c r="AU321" i="9"/>
  <c r="AV321" i="9"/>
  <c r="AW321" i="9"/>
  <c r="AX321" i="9"/>
  <c r="AY321" i="9"/>
  <c r="BA321" i="9"/>
  <c r="BB321" i="9"/>
  <c r="BC321" i="9"/>
  <c r="BD321" i="9"/>
  <c r="BE321" i="9"/>
  <c r="BF321" i="9"/>
  <c r="BG321" i="9"/>
  <c r="BH321" i="9"/>
  <c r="BI321" i="9"/>
  <c r="BJ321" i="9"/>
  <c r="BK321" i="9"/>
  <c r="BL321" i="9"/>
  <c r="BM321" i="9"/>
  <c r="AK322" i="9"/>
  <c r="AL322" i="9"/>
  <c r="AM322" i="9"/>
  <c r="AN322" i="9"/>
  <c r="AO322" i="9"/>
  <c r="AP322" i="9"/>
  <c r="AQ322" i="9"/>
  <c r="AS322" i="9"/>
  <c r="AT322" i="9"/>
  <c r="AU322" i="9"/>
  <c r="AV322" i="9"/>
  <c r="AW322" i="9"/>
  <c r="AX322" i="9"/>
  <c r="AY322" i="9"/>
  <c r="BA322" i="9"/>
  <c r="BB322" i="9"/>
  <c r="BC322" i="9"/>
  <c r="BD322" i="9"/>
  <c r="BE322" i="9"/>
  <c r="BF322" i="9"/>
  <c r="BG322" i="9"/>
  <c r="BH322" i="9"/>
  <c r="BI322" i="9"/>
  <c r="BJ322" i="9"/>
  <c r="BK322" i="9"/>
  <c r="BL322" i="9"/>
  <c r="BM322" i="9"/>
  <c r="AK323" i="9"/>
  <c r="AL323" i="9"/>
  <c r="AM323" i="9"/>
  <c r="AN323" i="9"/>
  <c r="AO323" i="9"/>
  <c r="AP323" i="9"/>
  <c r="AQ323" i="9"/>
  <c r="AS323" i="9"/>
  <c r="AT323" i="9"/>
  <c r="AU323" i="9"/>
  <c r="AV323" i="9"/>
  <c r="AW323" i="9"/>
  <c r="AX323" i="9"/>
  <c r="AY323" i="9"/>
  <c r="BA323" i="9"/>
  <c r="BB323" i="9"/>
  <c r="BC323" i="9"/>
  <c r="BD323" i="9"/>
  <c r="BE323" i="9"/>
  <c r="BF323" i="9"/>
  <c r="BG323" i="9"/>
  <c r="BH323" i="9"/>
  <c r="BI323" i="9"/>
  <c r="BJ323" i="9"/>
  <c r="BK323" i="9"/>
  <c r="BL323" i="9"/>
  <c r="BM323" i="9"/>
  <c r="AK324" i="9"/>
  <c r="AL324" i="9"/>
  <c r="AM324" i="9"/>
  <c r="AN324" i="9"/>
  <c r="AO324" i="9"/>
  <c r="AP324" i="9"/>
  <c r="AQ324" i="9"/>
  <c r="AS324" i="9"/>
  <c r="AT324" i="9"/>
  <c r="AU324" i="9"/>
  <c r="AV324" i="9"/>
  <c r="AW324" i="9"/>
  <c r="AX324" i="9"/>
  <c r="AY324" i="9"/>
  <c r="BA324" i="9"/>
  <c r="BB324" i="9"/>
  <c r="BC324" i="9"/>
  <c r="BD324" i="9"/>
  <c r="BE324" i="9"/>
  <c r="BF324" i="9"/>
  <c r="BG324" i="9"/>
  <c r="BH324" i="9"/>
  <c r="BI324" i="9"/>
  <c r="BJ324" i="9"/>
  <c r="BK324" i="9"/>
  <c r="BL324" i="9"/>
  <c r="BM324" i="9"/>
  <c r="AK325" i="9"/>
  <c r="AL325" i="9"/>
  <c r="AM325" i="9"/>
  <c r="AN325" i="9"/>
  <c r="AO325" i="9"/>
  <c r="AP325" i="9"/>
  <c r="AQ325" i="9"/>
  <c r="AS325" i="9"/>
  <c r="AT325" i="9"/>
  <c r="AU325" i="9"/>
  <c r="AV325" i="9"/>
  <c r="AW325" i="9"/>
  <c r="AX325" i="9"/>
  <c r="AY325" i="9"/>
  <c r="BA325" i="9"/>
  <c r="BB325" i="9"/>
  <c r="BC325" i="9"/>
  <c r="BD325" i="9"/>
  <c r="BE325" i="9"/>
  <c r="BF325" i="9"/>
  <c r="BG325" i="9"/>
  <c r="BH325" i="9"/>
  <c r="BI325" i="9"/>
  <c r="BJ325" i="9"/>
  <c r="BK325" i="9"/>
  <c r="BL325" i="9"/>
  <c r="BM325" i="9"/>
  <c r="AK326" i="9"/>
  <c r="AL326" i="9"/>
  <c r="AM326" i="9"/>
  <c r="AN326" i="9"/>
  <c r="AO326" i="9"/>
  <c r="AP326" i="9"/>
  <c r="AQ326" i="9"/>
  <c r="AS326" i="9"/>
  <c r="AT326" i="9"/>
  <c r="AU326" i="9"/>
  <c r="AV326" i="9"/>
  <c r="AW326" i="9"/>
  <c r="AX326" i="9"/>
  <c r="AY326" i="9"/>
  <c r="BA326" i="9"/>
  <c r="BB326" i="9"/>
  <c r="BC326" i="9"/>
  <c r="BD326" i="9"/>
  <c r="BE326" i="9"/>
  <c r="BF326" i="9"/>
  <c r="BG326" i="9"/>
  <c r="BH326" i="9"/>
  <c r="BI326" i="9"/>
  <c r="BJ326" i="9"/>
  <c r="BK326" i="9"/>
  <c r="BL326" i="9"/>
  <c r="BM326" i="9"/>
  <c r="AK327" i="9"/>
  <c r="AL327" i="9"/>
  <c r="AM327" i="9"/>
  <c r="AN327" i="9"/>
  <c r="AO327" i="9"/>
  <c r="AP327" i="9"/>
  <c r="AQ327" i="9"/>
  <c r="AS327" i="9"/>
  <c r="AT327" i="9"/>
  <c r="AU327" i="9"/>
  <c r="AV327" i="9"/>
  <c r="AW327" i="9"/>
  <c r="AX327" i="9"/>
  <c r="AY327" i="9"/>
  <c r="BA327" i="9"/>
  <c r="BB327" i="9"/>
  <c r="BC327" i="9"/>
  <c r="BD327" i="9"/>
  <c r="BE327" i="9"/>
  <c r="BF327" i="9"/>
  <c r="BG327" i="9"/>
  <c r="BH327" i="9"/>
  <c r="BI327" i="9"/>
  <c r="BJ327" i="9"/>
  <c r="BK327" i="9"/>
  <c r="BL327" i="9"/>
  <c r="BM327" i="9"/>
  <c r="AK328" i="9"/>
  <c r="AL328" i="9"/>
  <c r="AM328" i="9"/>
  <c r="AN328" i="9"/>
  <c r="AO328" i="9"/>
  <c r="AP328" i="9"/>
  <c r="AQ328" i="9"/>
  <c r="AS328" i="9"/>
  <c r="AT328" i="9"/>
  <c r="AU328" i="9"/>
  <c r="AV328" i="9"/>
  <c r="AW328" i="9"/>
  <c r="AX328" i="9"/>
  <c r="AY328" i="9"/>
  <c r="BA328" i="9"/>
  <c r="BB328" i="9"/>
  <c r="BC328" i="9"/>
  <c r="BD328" i="9"/>
  <c r="BE328" i="9"/>
  <c r="BF328" i="9"/>
  <c r="BG328" i="9"/>
  <c r="BH328" i="9"/>
  <c r="BI328" i="9"/>
  <c r="BJ328" i="9"/>
  <c r="BK328" i="9"/>
  <c r="BL328" i="9"/>
  <c r="BM328" i="9"/>
  <c r="AK329" i="9"/>
  <c r="AL329" i="9"/>
  <c r="AM329" i="9"/>
  <c r="AN329" i="9"/>
  <c r="AO329" i="9"/>
  <c r="AP329" i="9"/>
  <c r="AQ329" i="9"/>
  <c r="AS329" i="9"/>
  <c r="AT329" i="9"/>
  <c r="AU329" i="9"/>
  <c r="AV329" i="9"/>
  <c r="AW329" i="9"/>
  <c r="AX329" i="9"/>
  <c r="AY329" i="9"/>
  <c r="BA329" i="9"/>
  <c r="BB329" i="9"/>
  <c r="BC329" i="9"/>
  <c r="BD329" i="9"/>
  <c r="BE329" i="9"/>
  <c r="BF329" i="9"/>
  <c r="BG329" i="9"/>
  <c r="BH329" i="9"/>
  <c r="BI329" i="9"/>
  <c r="BJ329" i="9"/>
  <c r="BK329" i="9"/>
  <c r="BL329" i="9"/>
  <c r="BM329" i="9"/>
  <c r="AK330" i="9"/>
  <c r="AL330" i="9"/>
  <c r="AM330" i="9"/>
  <c r="AN330" i="9"/>
  <c r="AO330" i="9"/>
  <c r="AP330" i="9"/>
  <c r="AQ330" i="9"/>
  <c r="AS330" i="9"/>
  <c r="AT330" i="9"/>
  <c r="AU330" i="9"/>
  <c r="AV330" i="9"/>
  <c r="AW330" i="9"/>
  <c r="AX330" i="9"/>
  <c r="AY330" i="9"/>
  <c r="BA330" i="9"/>
  <c r="BB330" i="9"/>
  <c r="BC330" i="9"/>
  <c r="BD330" i="9"/>
  <c r="BE330" i="9"/>
  <c r="BF330" i="9"/>
  <c r="BG330" i="9"/>
  <c r="BH330" i="9"/>
  <c r="BI330" i="9"/>
  <c r="BJ330" i="9"/>
  <c r="BK330" i="9"/>
  <c r="BL330" i="9"/>
  <c r="BM330" i="9"/>
  <c r="AK331" i="9"/>
  <c r="AL331" i="9"/>
  <c r="AM331" i="9"/>
  <c r="AN331" i="9"/>
  <c r="AO331" i="9"/>
  <c r="AP331" i="9"/>
  <c r="AQ331" i="9"/>
  <c r="AS331" i="9"/>
  <c r="AT331" i="9"/>
  <c r="AU331" i="9"/>
  <c r="AV331" i="9"/>
  <c r="AW331" i="9"/>
  <c r="AX331" i="9"/>
  <c r="AY331" i="9"/>
  <c r="BA331" i="9"/>
  <c r="BB331" i="9"/>
  <c r="BC331" i="9"/>
  <c r="BD331" i="9"/>
  <c r="BE331" i="9"/>
  <c r="BF331" i="9"/>
  <c r="BG331" i="9"/>
  <c r="BH331" i="9"/>
  <c r="BI331" i="9"/>
  <c r="BJ331" i="9"/>
  <c r="BK331" i="9"/>
  <c r="BL331" i="9"/>
  <c r="BM331" i="9"/>
  <c r="AK332" i="9"/>
  <c r="AL332" i="9"/>
  <c r="AM332" i="9"/>
  <c r="AN332" i="9"/>
  <c r="AO332" i="9"/>
  <c r="AP332" i="9"/>
  <c r="AQ332" i="9"/>
  <c r="AS332" i="9"/>
  <c r="AT332" i="9"/>
  <c r="AU332" i="9"/>
  <c r="AV332" i="9"/>
  <c r="AW332" i="9"/>
  <c r="AX332" i="9"/>
  <c r="AY332" i="9"/>
  <c r="BA332" i="9"/>
  <c r="BB332" i="9"/>
  <c r="BC332" i="9"/>
  <c r="BD332" i="9"/>
  <c r="BE332" i="9"/>
  <c r="BF332" i="9"/>
  <c r="BG332" i="9"/>
  <c r="BH332" i="9"/>
  <c r="BI332" i="9"/>
  <c r="BJ332" i="9"/>
  <c r="BK332" i="9"/>
  <c r="BL332" i="9"/>
  <c r="BM332" i="9"/>
  <c r="AK333" i="9"/>
  <c r="AL333" i="9"/>
  <c r="AM333" i="9"/>
  <c r="AN333" i="9"/>
  <c r="AO333" i="9"/>
  <c r="AP333" i="9"/>
  <c r="AQ333" i="9"/>
  <c r="AS333" i="9"/>
  <c r="AT333" i="9"/>
  <c r="AU333" i="9"/>
  <c r="AV333" i="9"/>
  <c r="AW333" i="9"/>
  <c r="AX333" i="9"/>
  <c r="AY333" i="9"/>
  <c r="BA333" i="9"/>
  <c r="BB333" i="9"/>
  <c r="BC333" i="9"/>
  <c r="BD333" i="9"/>
  <c r="BE333" i="9"/>
  <c r="BF333" i="9"/>
  <c r="BG333" i="9"/>
  <c r="BH333" i="9"/>
  <c r="BI333" i="9"/>
  <c r="BJ333" i="9"/>
  <c r="BK333" i="9"/>
  <c r="BL333" i="9"/>
  <c r="BM333" i="9"/>
  <c r="AK334" i="9"/>
  <c r="AL334" i="9"/>
  <c r="AM334" i="9"/>
  <c r="AN334" i="9"/>
  <c r="AO334" i="9"/>
  <c r="AP334" i="9"/>
  <c r="AQ334" i="9"/>
  <c r="AS334" i="9"/>
  <c r="AT334" i="9"/>
  <c r="AU334" i="9"/>
  <c r="AV334" i="9"/>
  <c r="AW334" i="9"/>
  <c r="AX334" i="9"/>
  <c r="AY334" i="9"/>
  <c r="BA334" i="9"/>
  <c r="BB334" i="9"/>
  <c r="BC334" i="9"/>
  <c r="BD334" i="9"/>
  <c r="BE334" i="9"/>
  <c r="BF334" i="9"/>
  <c r="BG334" i="9"/>
  <c r="BH334" i="9"/>
  <c r="BI334" i="9"/>
  <c r="BJ334" i="9"/>
  <c r="BK334" i="9"/>
  <c r="BL334" i="9"/>
  <c r="BM334" i="9"/>
  <c r="AK335" i="9"/>
  <c r="AL335" i="9"/>
  <c r="AM335" i="9"/>
  <c r="AN335" i="9"/>
  <c r="AO335" i="9"/>
  <c r="AP335" i="9"/>
  <c r="AQ335" i="9"/>
  <c r="AS335" i="9"/>
  <c r="AT335" i="9"/>
  <c r="AU335" i="9"/>
  <c r="AV335" i="9"/>
  <c r="AW335" i="9"/>
  <c r="AX335" i="9"/>
  <c r="AY335" i="9"/>
  <c r="BA335" i="9"/>
  <c r="BB335" i="9"/>
  <c r="BC335" i="9"/>
  <c r="BD335" i="9"/>
  <c r="BE335" i="9"/>
  <c r="BF335" i="9"/>
  <c r="BG335" i="9"/>
  <c r="BH335" i="9"/>
  <c r="BI335" i="9"/>
  <c r="BJ335" i="9"/>
  <c r="BK335" i="9"/>
  <c r="BL335" i="9"/>
  <c r="BM335" i="9"/>
  <c r="BV291" i="9"/>
  <c r="BW291" i="9"/>
  <c r="BX291" i="9"/>
  <c r="BY291" i="9"/>
  <c r="BZ291" i="9"/>
  <c r="CA291" i="9"/>
  <c r="CB291" i="9"/>
  <c r="CC291" i="9"/>
  <c r="CD291" i="9"/>
  <c r="CF291" i="9"/>
  <c r="CG291" i="9"/>
  <c r="CH291" i="9"/>
  <c r="CI291" i="9"/>
  <c r="CJ291" i="9"/>
  <c r="CK291" i="9"/>
  <c r="CL291" i="9"/>
  <c r="CN291" i="9"/>
  <c r="CO291" i="9"/>
  <c r="CQ291" i="9"/>
  <c r="CR291" i="9"/>
  <c r="CT291" i="9"/>
  <c r="CZ291" i="9"/>
  <c r="DB291" i="9"/>
  <c r="DD291" i="9"/>
  <c r="DF291" i="9"/>
  <c r="DH291" i="9"/>
  <c r="DL291" i="9"/>
  <c r="BV292" i="9"/>
  <c r="BW292" i="9"/>
  <c r="BX292" i="9"/>
  <c r="BY292" i="9"/>
  <c r="BZ292" i="9"/>
  <c r="CA292" i="9"/>
  <c r="CB292" i="9"/>
  <c r="CC292" i="9"/>
  <c r="CD292" i="9"/>
  <c r="CF292" i="9"/>
  <c r="CG292" i="9"/>
  <c r="CH292" i="9"/>
  <c r="CI292" i="9"/>
  <c r="CJ292" i="9"/>
  <c r="CK292" i="9"/>
  <c r="CL292" i="9"/>
  <c r="CN292" i="9"/>
  <c r="CO292" i="9"/>
  <c r="CQ292" i="9"/>
  <c r="CR292" i="9"/>
  <c r="CT292" i="9"/>
  <c r="CZ292" i="9"/>
  <c r="DB292" i="9"/>
  <c r="DD292" i="9"/>
  <c r="DF292" i="9"/>
  <c r="DH292" i="9"/>
  <c r="DL292" i="9"/>
  <c r="BV293" i="9"/>
  <c r="BW293" i="9"/>
  <c r="BX293" i="9"/>
  <c r="BY293" i="9"/>
  <c r="BZ293" i="9"/>
  <c r="CA293" i="9"/>
  <c r="CB293" i="9"/>
  <c r="CC293" i="9"/>
  <c r="CD293" i="9"/>
  <c r="CF293" i="9"/>
  <c r="CG293" i="9"/>
  <c r="CH293" i="9"/>
  <c r="CI293" i="9"/>
  <c r="CJ293" i="9"/>
  <c r="CK293" i="9"/>
  <c r="CL293" i="9"/>
  <c r="CN293" i="9"/>
  <c r="CO293" i="9"/>
  <c r="CQ293" i="9"/>
  <c r="CR293" i="9"/>
  <c r="CT293" i="9"/>
  <c r="CZ293" i="9"/>
  <c r="DB293" i="9"/>
  <c r="DD293" i="9"/>
  <c r="DF293" i="9"/>
  <c r="DH293" i="9"/>
  <c r="DL293" i="9"/>
  <c r="BV294" i="9"/>
  <c r="BW294" i="9"/>
  <c r="BX294" i="9"/>
  <c r="BY294" i="9"/>
  <c r="BZ294" i="9"/>
  <c r="CA294" i="9"/>
  <c r="CB294" i="9"/>
  <c r="CC294" i="9"/>
  <c r="CD294" i="9"/>
  <c r="CF294" i="9"/>
  <c r="CG294" i="9"/>
  <c r="CH294" i="9"/>
  <c r="CI294" i="9"/>
  <c r="CJ294" i="9"/>
  <c r="CK294" i="9"/>
  <c r="CL294" i="9"/>
  <c r="CN294" i="9"/>
  <c r="CO294" i="9"/>
  <c r="CQ294" i="9"/>
  <c r="CR294" i="9"/>
  <c r="CT294" i="9"/>
  <c r="CZ294" i="9"/>
  <c r="DB294" i="9"/>
  <c r="DD294" i="9"/>
  <c r="DF294" i="9"/>
  <c r="DH294" i="9"/>
  <c r="DL294" i="9"/>
  <c r="BV295" i="9"/>
  <c r="BW295" i="9"/>
  <c r="BX295" i="9"/>
  <c r="BY295" i="9"/>
  <c r="BZ295" i="9"/>
  <c r="CA295" i="9"/>
  <c r="CB295" i="9"/>
  <c r="CC295" i="9"/>
  <c r="CD295" i="9"/>
  <c r="CF295" i="9"/>
  <c r="CG295" i="9"/>
  <c r="CH295" i="9"/>
  <c r="CI295" i="9"/>
  <c r="CJ295" i="9"/>
  <c r="CK295" i="9"/>
  <c r="CL295" i="9"/>
  <c r="CN295" i="9"/>
  <c r="CO295" i="9"/>
  <c r="CQ295" i="9"/>
  <c r="CR295" i="9"/>
  <c r="CT295" i="9"/>
  <c r="CZ295" i="9"/>
  <c r="DB295" i="9"/>
  <c r="DD295" i="9"/>
  <c r="DF295" i="9"/>
  <c r="DH295" i="9"/>
  <c r="DL295" i="9"/>
  <c r="BV296" i="9"/>
  <c r="BW296" i="9"/>
  <c r="BX296" i="9"/>
  <c r="BY296" i="9"/>
  <c r="BZ296" i="9"/>
  <c r="CA296" i="9"/>
  <c r="CB296" i="9"/>
  <c r="CC296" i="9"/>
  <c r="CD296" i="9"/>
  <c r="CF296" i="9"/>
  <c r="CG296" i="9"/>
  <c r="CH296" i="9"/>
  <c r="CI296" i="9"/>
  <c r="CJ296" i="9"/>
  <c r="CK296" i="9"/>
  <c r="CL296" i="9"/>
  <c r="CN296" i="9"/>
  <c r="CO296" i="9"/>
  <c r="CQ296" i="9"/>
  <c r="CR296" i="9"/>
  <c r="CT296" i="9"/>
  <c r="CZ296" i="9"/>
  <c r="DB296" i="9"/>
  <c r="DD296" i="9"/>
  <c r="DF296" i="9"/>
  <c r="DH296" i="9"/>
  <c r="DL296" i="9"/>
  <c r="BV297" i="9"/>
  <c r="BW297" i="9"/>
  <c r="BX297" i="9"/>
  <c r="BY297" i="9"/>
  <c r="BZ297" i="9"/>
  <c r="CA297" i="9"/>
  <c r="CB297" i="9"/>
  <c r="CC297" i="9"/>
  <c r="CD297" i="9"/>
  <c r="CF297" i="9"/>
  <c r="CG297" i="9"/>
  <c r="CH297" i="9"/>
  <c r="CI297" i="9"/>
  <c r="CJ297" i="9"/>
  <c r="CK297" i="9"/>
  <c r="CL297" i="9"/>
  <c r="CN297" i="9"/>
  <c r="CO297" i="9"/>
  <c r="CQ297" i="9"/>
  <c r="CR297" i="9"/>
  <c r="CT297" i="9"/>
  <c r="CZ297" i="9"/>
  <c r="DB297" i="9"/>
  <c r="DD297" i="9"/>
  <c r="DF297" i="9"/>
  <c r="DH297" i="9"/>
  <c r="DL297" i="9"/>
  <c r="BV298" i="9"/>
  <c r="BW298" i="9"/>
  <c r="BX298" i="9"/>
  <c r="BY298" i="9"/>
  <c r="BZ298" i="9"/>
  <c r="CA298" i="9"/>
  <c r="CB298" i="9"/>
  <c r="CC298" i="9"/>
  <c r="CD298" i="9"/>
  <c r="CF298" i="9"/>
  <c r="CG298" i="9"/>
  <c r="CH298" i="9"/>
  <c r="CI298" i="9"/>
  <c r="CJ298" i="9"/>
  <c r="CK298" i="9"/>
  <c r="CL298" i="9"/>
  <c r="CN298" i="9"/>
  <c r="CO298" i="9"/>
  <c r="CQ298" i="9"/>
  <c r="CR298" i="9"/>
  <c r="CT298" i="9"/>
  <c r="CZ298" i="9"/>
  <c r="DB298" i="9"/>
  <c r="DD298" i="9"/>
  <c r="DF298" i="9"/>
  <c r="DH298" i="9"/>
  <c r="DL298" i="9"/>
  <c r="BV299" i="9"/>
  <c r="BW299" i="9"/>
  <c r="BX299" i="9"/>
  <c r="BY299" i="9"/>
  <c r="BZ299" i="9"/>
  <c r="CA299" i="9"/>
  <c r="CB299" i="9"/>
  <c r="CC299" i="9"/>
  <c r="CD299" i="9"/>
  <c r="CF299" i="9"/>
  <c r="CG299" i="9"/>
  <c r="CH299" i="9"/>
  <c r="CI299" i="9"/>
  <c r="CJ299" i="9"/>
  <c r="CK299" i="9"/>
  <c r="CL299" i="9"/>
  <c r="CN299" i="9"/>
  <c r="CO299" i="9"/>
  <c r="CQ299" i="9"/>
  <c r="CR299" i="9"/>
  <c r="CT299" i="9"/>
  <c r="CZ299" i="9"/>
  <c r="DB299" i="9"/>
  <c r="DD299" i="9"/>
  <c r="DF299" i="9"/>
  <c r="DH299" i="9"/>
  <c r="DL299" i="9"/>
  <c r="BV300" i="9"/>
  <c r="BW300" i="9"/>
  <c r="BX300" i="9"/>
  <c r="BY300" i="9"/>
  <c r="BZ300" i="9"/>
  <c r="CA300" i="9"/>
  <c r="CB300" i="9"/>
  <c r="CC300" i="9"/>
  <c r="CD300" i="9"/>
  <c r="CF300" i="9"/>
  <c r="CG300" i="9"/>
  <c r="CH300" i="9"/>
  <c r="CI300" i="9"/>
  <c r="CJ300" i="9"/>
  <c r="CK300" i="9"/>
  <c r="CL300" i="9"/>
  <c r="CN300" i="9"/>
  <c r="CO300" i="9"/>
  <c r="CQ300" i="9"/>
  <c r="CR300" i="9"/>
  <c r="CT300" i="9"/>
  <c r="CZ300" i="9"/>
  <c r="DB300" i="9"/>
  <c r="DD300" i="9"/>
  <c r="DF300" i="9"/>
  <c r="DH300" i="9"/>
  <c r="DL300" i="9"/>
  <c r="BV301" i="9"/>
  <c r="BW301" i="9"/>
  <c r="BX301" i="9"/>
  <c r="BY301" i="9"/>
  <c r="BZ301" i="9"/>
  <c r="CA301" i="9"/>
  <c r="CB301" i="9"/>
  <c r="CC301" i="9"/>
  <c r="CD301" i="9"/>
  <c r="CF301" i="9"/>
  <c r="CG301" i="9"/>
  <c r="CH301" i="9"/>
  <c r="CI301" i="9"/>
  <c r="CJ301" i="9"/>
  <c r="CK301" i="9"/>
  <c r="CL301" i="9"/>
  <c r="CN301" i="9"/>
  <c r="CO301" i="9"/>
  <c r="CQ301" i="9"/>
  <c r="CR301" i="9"/>
  <c r="CT301" i="9"/>
  <c r="CZ301" i="9"/>
  <c r="DB301" i="9"/>
  <c r="DD301" i="9"/>
  <c r="DF301" i="9"/>
  <c r="DH301" i="9"/>
  <c r="DL301" i="9"/>
  <c r="BV302" i="9"/>
  <c r="BW302" i="9"/>
  <c r="BX302" i="9"/>
  <c r="BY302" i="9"/>
  <c r="BZ302" i="9"/>
  <c r="CA302" i="9"/>
  <c r="CB302" i="9"/>
  <c r="CC302" i="9"/>
  <c r="CD302" i="9"/>
  <c r="CF302" i="9"/>
  <c r="CG302" i="9"/>
  <c r="CH302" i="9"/>
  <c r="CI302" i="9"/>
  <c r="CJ302" i="9"/>
  <c r="CK302" i="9"/>
  <c r="CL302" i="9"/>
  <c r="CN302" i="9"/>
  <c r="CO302" i="9"/>
  <c r="CQ302" i="9"/>
  <c r="CR302" i="9"/>
  <c r="CT302" i="9"/>
  <c r="CZ302" i="9"/>
  <c r="DB302" i="9"/>
  <c r="DD302" i="9"/>
  <c r="DF302" i="9"/>
  <c r="DH302" i="9"/>
  <c r="DL302" i="9"/>
  <c r="BV303" i="9"/>
  <c r="BW303" i="9"/>
  <c r="BX303" i="9"/>
  <c r="BY303" i="9"/>
  <c r="BZ303" i="9"/>
  <c r="CA303" i="9"/>
  <c r="CB303" i="9"/>
  <c r="CC303" i="9"/>
  <c r="CD303" i="9"/>
  <c r="CF303" i="9"/>
  <c r="CG303" i="9"/>
  <c r="CH303" i="9"/>
  <c r="CI303" i="9"/>
  <c r="CJ303" i="9"/>
  <c r="CK303" i="9"/>
  <c r="CL303" i="9"/>
  <c r="CN303" i="9"/>
  <c r="CO303" i="9"/>
  <c r="CQ303" i="9"/>
  <c r="CR303" i="9"/>
  <c r="CT303" i="9"/>
  <c r="CZ303" i="9"/>
  <c r="DB303" i="9"/>
  <c r="DD303" i="9"/>
  <c r="DF303" i="9"/>
  <c r="DH303" i="9"/>
  <c r="DL303" i="9"/>
  <c r="BV304" i="9"/>
  <c r="BW304" i="9"/>
  <c r="BX304" i="9"/>
  <c r="BY304" i="9"/>
  <c r="BZ304" i="9"/>
  <c r="CA304" i="9"/>
  <c r="CB304" i="9"/>
  <c r="CC304" i="9"/>
  <c r="CD304" i="9"/>
  <c r="CF304" i="9"/>
  <c r="CG304" i="9"/>
  <c r="CH304" i="9"/>
  <c r="CI304" i="9"/>
  <c r="CJ304" i="9"/>
  <c r="CK304" i="9"/>
  <c r="CL304" i="9"/>
  <c r="CN304" i="9"/>
  <c r="CO304" i="9"/>
  <c r="CQ304" i="9"/>
  <c r="CR304" i="9"/>
  <c r="CT304" i="9"/>
  <c r="CZ304" i="9"/>
  <c r="DB304" i="9"/>
  <c r="DD304" i="9"/>
  <c r="DF304" i="9"/>
  <c r="DH304" i="9"/>
  <c r="DL304" i="9"/>
  <c r="BV305" i="9"/>
  <c r="BW305" i="9"/>
  <c r="BX305" i="9"/>
  <c r="BY305" i="9"/>
  <c r="BZ305" i="9"/>
  <c r="CA305" i="9"/>
  <c r="CB305" i="9"/>
  <c r="CC305" i="9"/>
  <c r="CD305" i="9"/>
  <c r="CF305" i="9"/>
  <c r="CG305" i="9"/>
  <c r="CH305" i="9"/>
  <c r="CI305" i="9"/>
  <c r="CJ305" i="9"/>
  <c r="CK305" i="9"/>
  <c r="CL305" i="9"/>
  <c r="CN305" i="9"/>
  <c r="CO305" i="9"/>
  <c r="CQ305" i="9"/>
  <c r="CR305" i="9"/>
  <c r="CT305" i="9"/>
  <c r="CZ305" i="9"/>
  <c r="DB305" i="9"/>
  <c r="DD305" i="9"/>
  <c r="DF305" i="9"/>
  <c r="DH305" i="9"/>
  <c r="DL305" i="9"/>
  <c r="BV306" i="9"/>
  <c r="BW306" i="9"/>
  <c r="BX306" i="9"/>
  <c r="BY306" i="9"/>
  <c r="BZ306" i="9"/>
  <c r="CA306" i="9"/>
  <c r="CB306" i="9"/>
  <c r="CC306" i="9"/>
  <c r="CD306" i="9"/>
  <c r="CF306" i="9"/>
  <c r="CG306" i="9"/>
  <c r="CH306" i="9"/>
  <c r="CI306" i="9"/>
  <c r="CJ306" i="9"/>
  <c r="CK306" i="9"/>
  <c r="CL306" i="9"/>
  <c r="CN306" i="9"/>
  <c r="CO306" i="9"/>
  <c r="CQ306" i="9"/>
  <c r="CR306" i="9"/>
  <c r="CT306" i="9"/>
  <c r="CZ306" i="9"/>
  <c r="DB306" i="9"/>
  <c r="DD306" i="9"/>
  <c r="DF306" i="9"/>
  <c r="DH306" i="9"/>
  <c r="DL306" i="9"/>
  <c r="BV307" i="9"/>
  <c r="BW307" i="9"/>
  <c r="BX307" i="9"/>
  <c r="BY307" i="9"/>
  <c r="BZ307" i="9"/>
  <c r="CA307" i="9"/>
  <c r="CB307" i="9"/>
  <c r="CC307" i="9"/>
  <c r="CD307" i="9"/>
  <c r="CF307" i="9"/>
  <c r="CG307" i="9"/>
  <c r="CH307" i="9"/>
  <c r="CI307" i="9"/>
  <c r="CJ307" i="9"/>
  <c r="CK307" i="9"/>
  <c r="CL307" i="9"/>
  <c r="CN307" i="9"/>
  <c r="CO307" i="9"/>
  <c r="CQ307" i="9"/>
  <c r="CR307" i="9"/>
  <c r="CT307" i="9"/>
  <c r="CZ307" i="9"/>
  <c r="DB307" i="9"/>
  <c r="DD307" i="9"/>
  <c r="DF307" i="9"/>
  <c r="DH307" i="9"/>
  <c r="DL307" i="9"/>
  <c r="BV308" i="9"/>
  <c r="BW308" i="9"/>
  <c r="BX308" i="9"/>
  <c r="BY308" i="9"/>
  <c r="BZ308" i="9"/>
  <c r="CA308" i="9"/>
  <c r="CB308" i="9"/>
  <c r="CC308" i="9"/>
  <c r="CD308" i="9"/>
  <c r="CF308" i="9"/>
  <c r="CG308" i="9"/>
  <c r="CH308" i="9"/>
  <c r="CI308" i="9"/>
  <c r="CJ308" i="9"/>
  <c r="CK308" i="9"/>
  <c r="CL308" i="9"/>
  <c r="CN308" i="9"/>
  <c r="CO308" i="9"/>
  <c r="CQ308" i="9"/>
  <c r="CR308" i="9"/>
  <c r="CT308" i="9"/>
  <c r="CZ308" i="9"/>
  <c r="DB308" i="9"/>
  <c r="DD308" i="9"/>
  <c r="DF308" i="9"/>
  <c r="DH308" i="9"/>
  <c r="DL308" i="9"/>
  <c r="BV309" i="9"/>
  <c r="BW309" i="9"/>
  <c r="BX309" i="9"/>
  <c r="BY309" i="9"/>
  <c r="BZ309" i="9"/>
  <c r="CA309" i="9"/>
  <c r="CB309" i="9"/>
  <c r="CC309" i="9"/>
  <c r="CD309" i="9"/>
  <c r="CF309" i="9"/>
  <c r="CG309" i="9"/>
  <c r="CH309" i="9"/>
  <c r="CI309" i="9"/>
  <c r="CJ309" i="9"/>
  <c r="CK309" i="9"/>
  <c r="CL309" i="9"/>
  <c r="CN309" i="9"/>
  <c r="CO309" i="9"/>
  <c r="CQ309" i="9"/>
  <c r="CR309" i="9"/>
  <c r="CT309" i="9"/>
  <c r="CZ309" i="9"/>
  <c r="DB309" i="9"/>
  <c r="DD309" i="9"/>
  <c r="DF309" i="9"/>
  <c r="DH309" i="9"/>
  <c r="DL309" i="9"/>
  <c r="BV310" i="9"/>
  <c r="BW310" i="9"/>
  <c r="BX310" i="9"/>
  <c r="BY310" i="9"/>
  <c r="BZ310" i="9"/>
  <c r="CA310" i="9"/>
  <c r="CB310" i="9"/>
  <c r="CC310" i="9"/>
  <c r="CD310" i="9"/>
  <c r="CF310" i="9"/>
  <c r="CG310" i="9"/>
  <c r="CH310" i="9"/>
  <c r="CI310" i="9"/>
  <c r="CJ310" i="9"/>
  <c r="CK310" i="9"/>
  <c r="CL310" i="9"/>
  <c r="CN310" i="9"/>
  <c r="CO310" i="9"/>
  <c r="CQ310" i="9"/>
  <c r="CR310" i="9"/>
  <c r="CT310" i="9"/>
  <c r="CZ310" i="9"/>
  <c r="DB310" i="9"/>
  <c r="DD310" i="9"/>
  <c r="DF310" i="9"/>
  <c r="DH310" i="9"/>
  <c r="DL310" i="9"/>
  <c r="BV311" i="9"/>
  <c r="BW311" i="9"/>
  <c r="BX311" i="9"/>
  <c r="BY311" i="9"/>
  <c r="BZ311" i="9"/>
  <c r="CA311" i="9"/>
  <c r="CB311" i="9"/>
  <c r="CC311" i="9"/>
  <c r="CD311" i="9"/>
  <c r="CF311" i="9"/>
  <c r="CG311" i="9"/>
  <c r="CH311" i="9"/>
  <c r="CI311" i="9"/>
  <c r="CJ311" i="9"/>
  <c r="CK311" i="9"/>
  <c r="CL311" i="9"/>
  <c r="CN311" i="9"/>
  <c r="CO311" i="9"/>
  <c r="CQ311" i="9"/>
  <c r="CR311" i="9"/>
  <c r="CT311" i="9"/>
  <c r="CZ311" i="9"/>
  <c r="DB311" i="9"/>
  <c r="DD311" i="9"/>
  <c r="DF311" i="9"/>
  <c r="DH311" i="9"/>
  <c r="DL311" i="9"/>
  <c r="BV312" i="9"/>
  <c r="BW312" i="9"/>
  <c r="BX312" i="9"/>
  <c r="BY312" i="9"/>
  <c r="BZ312" i="9"/>
  <c r="CA312" i="9"/>
  <c r="CB312" i="9"/>
  <c r="CC312" i="9"/>
  <c r="CD312" i="9"/>
  <c r="CF312" i="9"/>
  <c r="CG312" i="9"/>
  <c r="CH312" i="9"/>
  <c r="CI312" i="9"/>
  <c r="CJ312" i="9"/>
  <c r="CK312" i="9"/>
  <c r="CL312" i="9"/>
  <c r="CN312" i="9"/>
  <c r="CO312" i="9"/>
  <c r="CQ312" i="9"/>
  <c r="CR312" i="9"/>
  <c r="CT312" i="9"/>
  <c r="CZ312" i="9"/>
  <c r="DB312" i="9"/>
  <c r="DD312" i="9"/>
  <c r="DF312" i="9"/>
  <c r="DH312" i="9"/>
  <c r="DL312" i="9"/>
  <c r="BV313" i="9"/>
  <c r="BW313" i="9"/>
  <c r="BX313" i="9"/>
  <c r="BY313" i="9"/>
  <c r="BZ313" i="9"/>
  <c r="CA313" i="9"/>
  <c r="CB313" i="9"/>
  <c r="CC313" i="9"/>
  <c r="CD313" i="9"/>
  <c r="CF313" i="9"/>
  <c r="CG313" i="9"/>
  <c r="CH313" i="9"/>
  <c r="CI313" i="9"/>
  <c r="CJ313" i="9"/>
  <c r="CK313" i="9"/>
  <c r="CL313" i="9"/>
  <c r="CN313" i="9"/>
  <c r="CO313" i="9"/>
  <c r="CQ313" i="9"/>
  <c r="CR313" i="9"/>
  <c r="CT313" i="9"/>
  <c r="CZ313" i="9"/>
  <c r="DB313" i="9"/>
  <c r="DD313" i="9"/>
  <c r="DF313" i="9"/>
  <c r="DH313" i="9"/>
  <c r="DL313" i="9"/>
  <c r="BV314" i="9"/>
  <c r="BW314" i="9"/>
  <c r="BX314" i="9"/>
  <c r="BY314" i="9"/>
  <c r="BZ314" i="9"/>
  <c r="CA314" i="9"/>
  <c r="CB314" i="9"/>
  <c r="CC314" i="9"/>
  <c r="CD314" i="9"/>
  <c r="CF314" i="9"/>
  <c r="CG314" i="9"/>
  <c r="CH314" i="9"/>
  <c r="CI314" i="9"/>
  <c r="CJ314" i="9"/>
  <c r="CK314" i="9"/>
  <c r="CL314" i="9"/>
  <c r="CN314" i="9"/>
  <c r="CO314" i="9"/>
  <c r="CQ314" i="9"/>
  <c r="CR314" i="9"/>
  <c r="CT314" i="9"/>
  <c r="CZ314" i="9"/>
  <c r="DB314" i="9"/>
  <c r="DD314" i="9"/>
  <c r="DF314" i="9"/>
  <c r="DH314" i="9"/>
  <c r="DL314" i="9"/>
  <c r="BV315" i="9"/>
  <c r="BW315" i="9"/>
  <c r="BX315" i="9"/>
  <c r="BY315" i="9"/>
  <c r="BZ315" i="9"/>
  <c r="CA315" i="9"/>
  <c r="CB315" i="9"/>
  <c r="CC315" i="9"/>
  <c r="CD315" i="9"/>
  <c r="CF315" i="9"/>
  <c r="CG315" i="9"/>
  <c r="CH315" i="9"/>
  <c r="CI315" i="9"/>
  <c r="CJ315" i="9"/>
  <c r="CK315" i="9"/>
  <c r="CL315" i="9"/>
  <c r="CN315" i="9"/>
  <c r="CO315" i="9"/>
  <c r="CQ315" i="9"/>
  <c r="CR315" i="9"/>
  <c r="CT315" i="9"/>
  <c r="CZ315" i="9"/>
  <c r="DB315" i="9"/>
  <c r="DD315" i="9"/>
  <c r="DF315" i="9"/>
  <c r="DH315" i="9"/>
  <c r="DL315" i="9"/>
  <c r="BV316" i="9"/>
  <c r="BW316" i="9"/>
  <c r="BX316" i="9"/>
  <c r="BY316" i="9"/>
  <c r="BZ316" i="9"/>
  <c r="CA316" i="9"/>
  <c r="CB316" i="9"/>
  <c r="CC316" i="9"/>
  <c r="CD316" i="9"/>
  <c r="CF316" i="9"/>
  <c r="CG316" i="9"/>
  <c r="CH316" i="9"/>
  <c r="CI316" i="9"/>
  <c r="CJ316" i="9"/>
  <c r="CK316" i="9"/>
  <c r="CL316" i="9"/>
  <c r="CN316" i="9"/>
  <c r="CO316" i="9"/>
  <c r="CQ316" i="9"/>
  <c r="CR316" i="9"/>
  <c r="CT316" i="9"/>
  <c r="CZ316" i="9"/>
  <c r="DB316" i="9"/>
  <c r="DD316" i="9"/>
  <c r="DF316" i="9"/>
  <c r="DH316" i="9"/>
  <c r="DL316" i="9"/>
  <c r="BV317" i="9"/>
  <c r="BW317" i="9"/>
  <c r="BX317" i="9"/>
  <c r="BY317" i="9"/>
  <c r="BZ317" i="9"/>
  <c r="CA317" i="9"/>
  <c r="CB317" i="9"/>
  <c r="CC317" i="9"/>
  <c r="CD317" i="9"/>
  <c r="CF317" i="9"/>
  <c r="CG317" i="9"/>
  <c r="CH317" i="9"/>
  <c r="CI317" i="9"/>
  <c r="CJ317" i="9"/>
  <c r="CK317" i="9"/>
  <c r="CL317" i="9"/>
  <c r="CN317" i="9"/>
  <c r="CO317" i="9"/>
  <c r="CQ317" i="9"/>
  <c r="CR317" i="9"/>
  <c r="CT317" i="9"/>
  <c r="CZ317" i="9"/>
  <c r="DB317" i="9"/>
  <c r="DD317" i="9"/>
  <c r="DF317" i="9"/>
  <c r="DH317" i="9"/>
  <c r="DL317" i="9"/>
  <c r="BV318" i="9"/>
  <c r="BW318" i="9"/>
  <c r="BX318" i="9"/>
  <c r="BY318" i="9"/>
  <c r="BZ318" i="9"/>
  <c r="CA318" i="9"/>
  <c r="CB318" i="9"/>
  <c r="CC318" i="9"/>
  <c r="CD318" i="9"/>
  <c r="CF318" i="9"/>
  <c r="CG318" i="9"/>
  <c r="CH318" i="9"/>
  <c r="CI318" i="9"/>
  <c r="CJ318" i="9"/>
  <c r="CK318" i="9"/>
  <c r="CL318" i="9"/>
  <c r="CN318" i="9"/>
  <c r="CO318" i="9"/>
  <c r="CQ318" i="9"/>
  <c r="CR318" i="9"/>
  <c r="CT318" i="9"/>
  <c r="CZ318" i="9"/>
  <c r="DB318" i="9"/>
  <c r="DD318" i="9"/>
  <c r="DF318" i="9"/>
  <c r="DH318" i="9"/>
  <c r="DL318" i="9"/>
  <c r="BV319" i="9"/>
  <c r="BW319" i="9"/>
  <c r="BX319" i="9"/>
  <c r="BY319" i="9"/>
  <c r="BZ319" i="9"/>
  <c r="CA319" i="9"/>
  <c r="CB319" i="9"/>
  <c r="CC319" i="9"/>
  <c r="CD319" i="9"/>
  <c r="CF319" i="9"/>
  <c r="CG319" i="9"/>
  <c r="CH319" i="9"/>
  <c r="CI319" i="9"/>
  <c r="CJ319" i="9"/>
  <c r="CK319" i="9"/>
  <c r="CL319" i="9"/>
  <c r="CN319" i="9"/>
  <c r="CO319" i="9"/>
  <c r="CQ319" i="9"/>
  <c r="CR319" i="9"/>
  <c r="CT319" i="9"/>
  <c r="CZ319" i="9"/>
  <c r="DB319" i="9"/>
  <c r="DD319" i="9"/>
  <c r="DF319" i="9"/>
  <c r="DH319" i="9"/>
  <c r="DL319" i="9"/>
  <c r="BV320" i="9"/>
  <c r="BW320" i="9"/>
  <c r="BX320" i="9"/>
  <c r="BY320" i="9"/>
  <c r="BZ320" i="9"/>
  <c r="CA320" i="9"/>
  <c r="CB320" i="9"/>
  <c r="CC320" i="9"/>
  <c r="CD320" i="9"/>
  <c r="CF320" i="9"/>
  <c r="CG320" i="9"/>
  <c r="CH320" i="9"/>
  <c r="CI320" i="9"/>
  <c r="CJ320" i="9"/>
  <c r="CK320" i="9"/>
  <c r="CL320" i="9"/>
  <c r="CN320" i="9"/>
  <c r="CO320" i="9"/>
  <c r="CQ320" i="9"/>
  <c r="CR320" i="9"/>
  <c r="CT320" i="9"/>
  <c r="CZ320" i="9"/>
  <c r="DB320" i="9"/>
  <c r="DD320" i="9"/>
  <c r="DF320" i="9"/>
  <c r="DH320" i="9"/>
  <c r="DL320" i="9"/>
  <c r="BV321" i="9"/>
  <c r="BW321" i="9"/>
  <c r="BX321" i="9"/>
  <c r="BY321" i="9"/>
  <c r="BZ321" i="9"/>
  <c r="CA321" i="9"/>
  <c r="CB321" i="9"/>
  <c r="CC321" i="9"/>
  <c r="CD321" i="9"/>
  <c r="CF321" i="9"/>
  <c r="CG321" i="9"/>
  <c r="CH321" i="9"/>
  <c r="CI321" i="9"/>
  <c r="CJ321" i="9"/>
  <c r="CK321" i="9"/>
  <c r="CL321" i="9"/>
  <c r="CN321" i="9"/>
  <c r="CO321" i="9"/>
  <c r="CQ321" i="9"/>
  <c r="CR321" i="9"/>
  <c r="CT321" i="9"/>
  <c r="CZ321" i="9"/>
  <c r="DB321" i="9"/>
  <c r="DD321" i="9"/>
  <c r="DF321" i="9"/>
  <c r="DH321" i="9"/>
  <c r="DL321" i="9"/>
  <c r="BV322" i="9"/>
  <c r="BW322" i="9"/>
  <c r="BX322" i="9"/>
  <c r="BY322" i="9"/>
  <c r="BZ322" i="9"/>
  <c r="CA322" i="9"/>
  <c r="CB322" i="9"/>
  <c r="CC322" i="9"/>
  <c r="CD322" i="9"/>
  <c r="CF322" i="9"/>
  <c r="CG322" i="9"/>
  <c r="CH322" i="9"/>
  <c r="CI322" i="9"/>
  <c r="CJ322" i="9"/>
  <c r="CK322" i="9"/>
  <c r="CL322" i="9"/>
  <c r="CN322" i="9"/>
  <c r="CO322" i="9"/>
  <c r="CQ322" i="9"/>
  <c r="CR322" i="9"/>
  <c r="CT322" i="9"/>
  <c r="CZ322" i="9"/>
  <c r="DB322" i="9"/>
  <c r="DD322" i="9"/>
  <c r="DF322" i="9"/>
  <c r="DH322" i="9"/>
  <c r="DL322" i="9"/>
  <c r="BV323" i="9"/>
  <c r="BW323" i="9"/>
  <c r="BX323" i="9"/>
  <c r="BY323" i="9"/>
  <c r="BZ323" i="9"/>
  <c r="CA323" i="9"/>
  <c r="CB323" i="9"/>
  <c r="CC323" i="9"/>
  <c r="CD323" i="9"/>
  <c r="CF323" i="9"/>
  <c r="CG323" i="9"/>
  <c r="CH323" i="9"/>
  <c r="CI323" i="9"/>
  <c r="CJ323" i="9"/>
  <c r="CK323" i="9"/>
  <c r="CL323" i="9"/>
  <c r="CN323" i="9"/>
  <c r="CO323" i="9"/>
  <c r="CQ323" i="9"/>
  <c r="CR323" i="9"/>
  <c r="CT323" i="9"/>
  <c r="CZ323" i="9"/>
  <c r="DB323" i="9"/>
  <c r="DD323" i="9"/>
  <c r="DF323" i="9"/>
  <c r="DH323" i="9"/>
  <c r="DL323" i="9"/>
  <c r="BV324" i="9"/>
  <c r="BW324" i="9"/>
  <c r="BX324" i="9"/>
  <c r="BY324" i="9"/>
  <c r="BZ324" i="9"/>
  <c r="CA324" i="9"/>
  <c r="CB324" i="9"/>
  <c r="CC324" i="9"/>
  <c r="CD324" i="9"/>
  <c r="CF324" i="9"/>
  <c r="CG324" i="9"/>
  <c r="CH324" i="9"/>
  <c r="CI324" i="9"/>
  <c r="CJ324" i="9"/>
  <c r="CK324" i="9"/>
  <c r="CL324" i="9"/>
  <c r="CN324" i="9"/>
  <c r="CO324" i="9"/>
  <c r="CQ324" i="9"/>
  <c r="CR324" i="9"/>
  <c r="CT324" i="9"/>
  <c r="CZ324" i="9"/>
  <c r="DB324" i="9"/>
  <c r="DD324" i="9"/>
  <c r="DF324" i="9"/>
  <c r="DH324" i="9"/>
  <c r="DL324" i="9"/>
  <c r="BV325" i="9"/>
  <c r="BW325" i="9"/>
  <c r="BX325" i="9"/>
  <c r="BY325" i="9"/>
  <c r="BZ325" i="9"/>
  <c r="CA325" i="9"/>
  <c r="CB325" i="9"/>
  <c r="CC325" i="9"/>
  <c r="CD325" i="9"/>
  <c r="CF325" i="9"/>
  <c r="CG325" i="9"/>
  <c r="CH325" i="9"/>
  <c r="CI325" i="9"/>
  <c r="CJ325" i="9"/>
  <c r="CK325" i="9"/>
  <c r="CL325" i="9"/>
  <c r="CN325" i="9"/>
  <c r="CO325" i="9"/>
  <c r="CQ325" i="9"/>
  <c r="CR325" i="9"/>
  <c r="CT325" i="9"/>
  <c r="CZ325" i="9"/>
  <c r="DB325" i="9"/>
  <c r="DD325" i="9"/>
  <c r="DF325" i="9"/>
  <c r="DH325" i="9"/>
  <c r="DL325" i="9"/>
  <c r="BV326" i="9"/>
  <c r="BW326" i="9"/>
  <c r="BX326" i="9"/>
  <c r="BY326" i="9"/>
  <c r="BZ326" i="9"/>
  <c r="CA326" i="9"/>
  <c r="CB326" i="9"/>
  <c r="CC326" i="9"/>
  <c r="CD326" i="9"/>
  <c r="CF326" i="9"/>
  <c r="CG326" i="9"/>
  <c r="CH326" i="9"/>
  <c r="CI326" i="9"/>
  <c r="CJ326" i="9"/>
  <c r="CK326" i="9"/>
  <c r="CL326" i="9"/>
  <c r="CN326" i="9"/>
  <c r="CO326" i="9"/>
  <c r="CQ326" i="9"/>
  <c r="CR326" i="9"/>
  <c r="CT326" i="9"/>
  <c r="CZ326" i="9"/>
  <c r="DB326" i="9"/>
  <c r="DD326" i="9"/>
  <c r="DF326" i="9"/>
  <c r="DH326" i="9"/>
  <c r="DL326" i="9"/>
  <c r="BV327" i="9"/>
  <c r="BW327" i="9"/>
  <c r="BX327" i="9"/>
  <c r="BY327" i="9"/>
  <c r="BZ327" i="9"/>
  <c r="CA327" i="9"/>
  <c r="CB327" i="9"/>
  <c r="CC327" i="9"/>
  <c r="CD327" i="9"/>
  <c r="CF327" i="9"/>
  <c r="CG327" i="9"/>
  <c r="CH327" i="9"/>
  <c r="CI327" i="9"/>
  <c r="CJ327" i="9"/>
  <c r="CK327" i="9"/>
  <c r="CL327" i="9"/>
  <c r="CN327" i="9"/>
  <c r="CO327" i="9"/>
  <c r="CQ327" i="9"/>
  <c r="CR327" i="9"/>
  <c r="CT327" i="9"/>
  <c r="CZ327" i="9"/>
  <c r="DB327" i="9"/>
  <c r="DD327" i="9"/>
  <c r="DF327" i="9"/>
  <c r="DH327" i="9"/>
  <c r="DL327" i="9"/>
  <c r="BV328" i="9"/>
  <c r="BW328" i="9"/>
  <c r="BX328" i="9"/>
  <c r="BY328" i="9"/>
  <c r="BZ328" i="9"/>
  <c r="CA328" i="9"/>
  <c r="CB328" i="9"/>
  <c r="CC328" i="9"/>
  <c r="CD328" i="9"/>
  <c r="CF328" i="9"/>
  <c r="CG328" i="9"/>
  <c r="CH328" i="9"/>
  <c r="CI328" i="9"/>
  <c r="CJ328" i="9"/>
  <c r="CK328" i="9"/>
  <c r="CL328" i="9"/>
  <c r="CN328" i="9"/>
  <c r="CO328" i="9"/>
  <c r="CQ328" i="9"/>
  <c r="CR328" i="9"/>
  <c r="CT328" i="9"/>
  <c r="CZ328" i="9"/>
  <c r="DB328" i="9"/>
  <c r="DD328" i="9"/>
  <c r="DF328" i="9"/>
  <c r="DH328" i="9"/>
  <c r="DL328" i="9"/>
  <c r="BV329" i="9"/>
  <c r="BW329" i="9"/>
  <c r="BX329" i="9"/>
  <c r="BY329" i="9"/>
  <c r="BZ329" i="9"/>
  <c r="CA329" i="9"/>
  <c r="CB329" i="9"/>
  <c r="CC329" i="9"/>
  <c r="CD329" i="9"/>
  <c r="CF329" i="9"/>
  <c r="CG329" i="9"/>
  <c r="CH329" i="9"/>
  <c r="CI329" i="9"/>
  <c r="CJ329" i="9"/>
  <c r="CK329" i="9"/>
  <c r="CL329" i="9"/>
  <c r="CN329" i="9"/>
  <c r="CO329" i="9"/>
  <c r="CQ329" i="9"/>
  <c r="CR329" i="9"/>
  <c r="CT329" i="9"/>
  <c r="CZ329" i="9"/>
  <c r="DB329" i="9"/>
  <c r="DD329" i="9"/>
  <c r="DF329" i="9"/>
  <c r="DH329" i="9"/>
  <c r="DL329" i="9"/>
  <c r="BV330" i="9"/>
  <c r="BW330" i="9"/>
  <c r="BX330" i="9"/>
  <c r="BY330" i="9"/>
  <c r="BZ330" i="9"/>
  <c r="CA330" i="9"/>
  <c r="CB330" i="9"/>
  <c r="CC330" i="9"/>
  <c r="CD330" i="9"/>
  <c r="CF330" i="9"/>
  <c r="CG330" i="9"/>
  <c r="CH330" i="9"/>
  <c r="CI330" i="9"/>
  <c r="CJ330" i="9"/>
  <c r="CK330" i="9"/>
  <c r="CL330" i="9"/>
  <c r="CN330" i="9"/>
  <c r="CO330" i="9"/>
  <c r="CQ330" i="9"/>
  <c r="CR330" i="9"/>
  <c r="CT330" i="9"/>
  <c r="CZ330" i="9"/>
  <c r="DB330" i="9"/>
  <c r="DD330" i="9"/>
  <c r="DF330" i="9"/>
  <c r="DH330" i="9"/>
  <c r="DL330" i="9"/>
  <c r="BV331" i="9"/>
  <c r="BW331" i="9"/>
  <c r="BX331" i="9"/>
  <c r="BY331" i="9"/>
  <c r="BZ331" i="9"/>
  <c r="CA331" i="9"/>
  <c r="CB331" i="9"/>
  <c r="CC331" i="9"/>
  <c r="CD331" i="9"/>
  <c r="CF331" i="9"/>
  <c r="CG331" i="9"/>
  <c r="CH331" i="9"/>
  <c r="CI331" i="9"/>
  <c r="CJ331" i="9"/>
  <c r="CK331" i="9"/>
  <c r="CL331" i="9"/>
  <c r="CN331" i="9"/>
  <c r="CO331" i="9"/>
  <c r="CQ331" i="9"/>
  <c r="CR331" i="9"/>
  <c r="CT331" i="9"/>
  <c r="CZ331" i="9"/>
  <c r="DB331" i="9"/>
  <c r="DD331" i="9"/>
  <c r="DF331" i="9"/>
  <c r="DH331" i="9"/>
  <c r="DL331" i="9"/>
  <c r="BV332" i="9"/>
  <c r="BW332" i="9"/>
  <c r="BX332" i="9"/>
  <c r="BY332" i="9"/>
  <c r="BZ332" i="9"/>
  <c r="CA332" i="9"/>
  <c r="CB332" i="9"/>
  <c r="CC332" i="9"/>
  <c r="CD332" i="9"/>
  <c r="CF332" i="9"/>
  <c r="CG332" i="9"/>
  <c r="CH332" i="9"/>
  <c r="CI332" i="9"/>
  <c r="CJ332" i="9"/>
  <c r="CK332" i="9"/>
  <c r="CL332" i="9"/>
  <c r="CN332" i="9"/>
  <c r="CO332" i="9"/>
  <c r="CQ332" i="9"/>
  <c r="CR332" i="9"/>
  <c r="CT332" i="9"/>
  <c r="CZ332" i="9"/>
  <c r="DB332" i="9"/>
  <c r="DD332" i="9"/>
  <c r="DF332" i="9"/>
  <c r="DH332" i="9"/>
  <c r="DL332" i="9"/>
  <c r="BV333" i="9"/>
  <c r="BW333" i="9"/>
  <c r="BX333" i="9"/>
  <c r="BY333" i="9"/>
  <c r="BZ333" i="9"/>
  <c r="CA333" i="9"/>
  <c r="CB333" i="9"/>
  <c r="CC333" i="9"/>
  <c r="CD333" i="9"/>
  <c r="CF333" i="9"/>
  <c r="CG333" i="9"/>
  <c r="CH333" i="9"/>
  <c r="CI333" i="9"/>
  <c r="CJ333" i="9"/>
  <c r="CK333" i="9"/>
  <c r="CL333" i="9"/>
  <c r="CN333" i="9"/>
  <c r="CO333" i="9"/>
  <c r="CQ333" i="9"/>
  <c r="CR333" i="9"/>
  <c r="CT333" i="9"/>
  <c r="CZ333" i="9"/>
  <c r="DB333" i="9"/>
  <c r="DD333" i="9"/>
  <c r="DF333" i="9"/>
  <c r="DH333" i="9"/>
  <c r="DL333" i="9"/>
  <c r="BV334" i="9"/>
  <c r="BW334" i="9"/>
  <c r="BX334" i="9"/>
  <c r="BY334" i="9"/>
  <c r="BZ334" i="9"/>
  <c r="CA334" i="9"/>
  <c r="CB334" i="9"/>
  <c r="CC334" i="9"/>
  <c r="CD334" i="9"/>
  <c r="CF334" i="9"/>
  <c r="CG334" i="9"/>
  <c r="CH334" i="9"/>
  <c r="CI334" i="9"/>
  <c r="CJ334" i="9"/>
  <c r="CK334" i="9"/>
  <c r="CL334" i="9"/>
  <c r="CN334" i="9"/>
  <c r="CO334" i="9"/>
  <c r="CQ334" i="9"/>
  <c r="CR334" i="9"/>
  <c r="CT334" i="9"/>
  <c r="CZ334" i="9"/>
  <c r="DB334" i="9"/>
  <c r="DD334" i="9"/>
  <c r="DF334" i="9"/>
  <c r="DH334" i="9"/>
  <c r="DL334" i="9"/>
  <c r="BV335" i="9"/>
  <c r="BW335" i="9"/>
  <c r="BX335" i="9"/>
  <c r="BY335" i="9"/>
  <c r="BZ335" i="9"/>
  <c r="CA335" i="9"/>
  <c r="CB335" i="9"/>
  <c r="CC335" i="9"/>
  <c r="CD335" i="9"/>
  <c r="CF335" i="9"/>
  <c r="CG335" i="9"/>
  <c r="CH335" i="9"/>
  <c r="CI335" i="9"/>
  <c r="CJ335" i="9"/>
  <c r="CK335" i="9"/>
  <c r="CL335" i="9"/>
  <c r="CN335" i="9"/>
  <c r="CO335" i="9"/>
  <c r="CQ335" i="9"/>
  <c r="CR335" i="9"/>
  <c r="CT335" i="9"/>
  <c r="CZ335" i="9"/>
  <c r="DB335" i="9"/>
  <c r="DD335" i="9"/>
  <c r="DF335" i="9"/>
  <c r="DH335" i="9"/>
  <c r="DL335" i="9"/>
  <c r="DH247" i="9"/>
  <c r="CZ247" i="9"/>
  <c r="DL247" i="9"/>
  <c r="CT247" i="9"/>
  <c r="CQ247" i="9"/>
  <c r="CR247" i="9"/>
  <c r="CN247" i="9"/>
  <c r="CO247" i="9"/>
  <c r="CC247" i="9"/>
  <c r="CD247" i="9"/>
  <c r="DB247" i="9"/>
  <c r="CB247" i="9"/>
  <c r="DD247" i="9"/>
  <c r="CA247" i="9"/>
  <c r="BZ247" i="9"/>
  <c r="BY247" i="9"/>
  <c r="BW247" i="9"/>
  <c r="BX247" i="9"/>
  <c r="DF247" i="9"/>
  <c r="BV247" i="9"/>
  <c r="AP247" i="9"/>
  <c r="AQ247" i="9"/>
  <c r="AX247" i="9"/>
  <c r="AY247" i="9"/>
  <c r="BL247" i="9"/>
  <c r="BM247" i="9"/>
  <c r="CK247" i="9"/>
  <c r="CL247" i="9"/>
  <c r="BK247" i="9"/>
  <c r="BJ247" i="9"/>
  <c r="BI247" i="9"/>
  <c r="BH247" i="9"/>
  <c r="CJ247" i="9"/>
  <c r="BG247" i="9"/>
  <c r="BF247" i="9"/>
  <c r="BE247" i="9"/>
  <c r="CF247" i="9"/>
  <c r="BD247" i="9"/>
  <c r="CI247" i="9"/>
  <c r="BC247" i="9"/>
  <c r="CH247" i="9"/>
  <c r="BB247" i="9"/>
  <c r="CG247" i="9"/>
  <c r="BA247" i="9"/>
  <c r="AW247" i="9"/>
  <c r="AV247" i="9"/>
  <c r="AU247" i="9"/>
  <c r="AT247" i="9"/>
  <c r="AS247" i="9"/>
  <c r="AO247" i="9"/>
  <c r="AN247" i="9"/>
  <c r="AM247" i="9"/>
  <c r="AL247" i="9"/>
  <c r="AK247" i="9"/>
  <c r="DH246" i="9"/>
  <c r="CZ246" i="9"/>
  <c r="DL246" i="9"/>
  <c r="CT246" i="9"/>
  <c r="CQ246" i="9"/>
  <c r="CR246" i="9"/>
  <c r="CN246" i="9"/>
  <c r="CO246" i="9"/>
  <c r="CC246" i="9"/>
  <c r="CD246" i="9"/>
  <c r="DB246" i="9"/>
  <c r="CB246" i="9"/>
  <c r="DD246" i="9"/>
  <c r="CA246" i="9"/>
  <c r="BZ246" i="9"/>
  <c r="BY246" i="9"/>
  <c r="BW246" i="9"/>
  <c r="BX246" i="9"/>
  <c r="DF246" i="9"/>
  <c r="BV246" i="9"/>
  <c r="AP246" i="9"/>
  <c r="AQ246" i="9"/>
  <c r="AX246" i="9"/>
  <c r="AY246" i="9"/>
  <c r="BL246" i="9"/>
  <c r="BM246" i="9"/>
  <c r="CK246" i="9"/>
  <c r="CL246" i="9"/>
  <c r="BK246" i="9"/>
  <c r="BJ246" i="9"/>
  <c r="BI246" i="9"/>
  <c r="BH246" i="9"/>
  <c r="CJ246" i="9"/>
  <c r="BG246" i="9"/>
  <c r="BF246" i="9"/>
  <c r="BE246" i="9"/>
  <c r="CF246" i="9"/>
  <c r="BD246" i="9"/>
  <c r="CI246" i="9"/>
  <c r="BC246" i="9"/>
  <c r="CH246" i="9"/>
  <c r="BB246" i="9"/>
  <c r="CG246" i="9"/>
  <c r="BA246" i="9"/>
  <c r="AW246" i="9"/>
  <c r="AV246" i="9"/>
  <c r="AU246" i="9"/>
  <c r="AT246" i="9"/>
  <c r="AS246" i="9"/>
  <c r="AO246" i="9"/>
  <c r="AN246" i="9"/>
  <c r="AM246" i="9"/>
  <c r="AL246" i="9"/>
  <c r="AK246" i="9"/>
  <c r="DL222" i="9"/>
  <c r="DL226" i="9"/>
  <c r="DL230" i="9"/>
  <c r="DL238" i="9"/>
  <c r="DL244" i="9"/>
  <c r="DH222" i="9"/>
  <c r="DH226" i="9"/>
  <c r="DH230" i="9"/>
  <c r="DH238" i="9"/>
  <c r="DH244" i="9"/>
  <c r="DF222" i="9"/>
  <c r="DF226" i="9"/>
  <c r="DF230" i="9"/>
  <c r="DF238" i="9"/>
  <c r="DF244" i="9"/>
  <c r="DD222" i="9"/>
  <c r="DD226" i="9"/>
  <c r="DD230" i="9"/>
  <c r="DD238" i="9"/>
  <c r="DD244" i="9"/>
  <c r="DB222" i="9"/>
  <c r="DB226" i="9"/>
  <c r="DB230" i="9"/>
  <c r="DB238" i="9"/>
  <c r="DB244" i="9"/>
  <c r="CZ222" i="9"/>
  <c r="CZ226" i="9"/>
  <c r="CZ230" i="9"/>
  <c r="CZ238" i="9"/>
  <c r="CZ244" i="9"/>
  <c r="CT222" i="9"/>
  <c r="CT226" i="9"/>
  <c r="CT230" i="9"/>
  <c r="CT238" i="9"/>
  <c r="CT244" i="9"/>
  <c r="CR222" i="9"/>
  <c r="CR226" i="9"/>
  <c r="CR230" i="9"/>
  <c r="CR238" i="9"/>
  <c r="CR244" i="9"/>
  <c r="CQ222" i="9"/>
  <c r="CQ226" i="9"/>
  <c r="CQ230" i="9"/>
  <c r="CQ238" i="9"/>
  <c r="CQ244" i="9"/>
  <c r="CO222" i="9"/>
  <c r="CO226" i="9"/>
  <c r="CO230" i="9"/>
  <c r="CO238" i="9"/>
  <c r="CO244" i="9"/>
  <c r="CN222" i="9"/>
  <c r="CN226" i="9"/>
  <c r="CN230" i="9"/>
  <c r="CN238" i="9"/>
  <c r="CN244" i="9"/>
  <c r="CL222" i="9"/>
  <c r="CL226" i="9"/>
  <c r="CL230" i="9"/>
  <c r="CL238" i="9"/>
  <c r="CL244" i="9"/>
  <c r="CK222" i="9"/>
  <c r="CK226" i="9"/>
  <c r="CK230" i="9"/>
  <c r="CK238" i="9"/>
  <c r="CK244" i="9"/>
  <c r="CJ222" i="9"/>
  <c r="CJ226" i="9"/>
  <c r="CJ230" i="9"/>
  <c r="CJ238" i="9"/>
  <c r="CJ244" i="9"/>
  <c r="CI222" i="9"/>
  <c r="CI226" i="9"/>
  <c r="CI230" i="9"/>
  <c r="CI238" i="9"/>
  <c r="CI244" i="9"/>
  <c r="CH222" i="9"/>
  <c r="CH226" i="9"/>
  <c r="CH230" i="9"/>
  <c r="CH238" i="9"/>
  <c r="CH244" i="9"/>
  <c r="CG222" i="9"/>
  <c r="CG226" i="9"/>
  <c r="CG230" i="9"/>
  <c r="CG238" i="9"/>
  <c r="CG244" i="9"/>
  <c r="CF222" i="9"/>
  <c r="CF226" i="9"/>
  <c r="CF230" i="9"/>
  <c r="CF238" i="9"/>
  <c r="CF244" i="9"/>
  <c r="CD222" i="9"/>
  <c r="CD226" i="9"/>
  <c r="CD230" i="9"/>
  <c r="CD238" i="9"/>
  <c r="CD244" i="9"/>
  <c r="CC222" i="9"/>
  <c r="CC226" i="9"/>
  <c r="CC230" i="9"/>
  <c r="CC238" i="9"/>
  <c r="CC244" i="9"/>
  <c r="CB222" i="9"/>
  <c r="CB226" i="9"/>
  <c r="CB230" i="9"/>
  <c r="CB238" i="9"/>
  <c r="CB244" i="9"/>
  <c r="CA222" i="9"/>
  <c r="CA226" i="9"/>
  <c r="CA230" i="9"/>
  <c r="CA238" i="9"/>
  <c r="CA244" i="9"/>
  <c r="BZ222" i="9"/>
  <c r="BZ226" i="9"/>
  <c r="BZ230" i="9"/>
  <c r="BZ238" i="9"/>
  <c r="BZ244" i="9"/>
  <c r="BY222" i="9"/>
  <c r="BY226" i="9"/>
  <c r="BY230" i="9"/>
  <c r="BY238" i="9"/>
  <c r="BY244" i="9"/>
  <c r="BX222" i="9"/>
  <c r="BX226" i="9"/>
  <c r="BX230" i="9"/>
  <c r="BX238" i="9"/>
  <c r="BX244" i="9"/>
  <c r="BW222" i="9"/>
  <c r="BW226" i="9"/>
  <c r="BW230" i="9"/>
  <c r="BW238" i="9"/>
  <c r="BW244" i="9"/>
  <c r="BV222" i="9"/>
  <c r="BV226" i="9"/>
  <c r="BV230" i="9"/>
  <c r="BV238" i="9"/>
  <c r="BV244" i="9"/>
  <c r="BM222" i="9"/>
  <c r="BM226" i="9"/>
  <c r="BM230" i="9"/>
  <c r="BM238" i="9"/>
  <c r="BM244" i="9"/>
  <c r="BL222" i="9"/>
  <c r="BL226" i="9"/>
  <c r="BL230" i="9"/>
  <c r="BL238" i="9"/>
  <c r="BL244" i="9"/>
  <c r="BK222" i="9"/>
  <c r="BK226" i="9"/>
  <c r="BK230" i="9"/>
  <c r="BK238" i="9"/>
  <c r="BK244" i="9"/>
  <c r="BJ222" i="9"/>
  <c r="BJ226" i="9"/>
  <c r="BJ230" i="9"/>
  <c r="BJ238" i="9"/>
  <c r="BJ244" i="9"/>
  <c r="BI222" i="9"/>
  <c r="BI226" i="9"/>
  <c r="BI230" i="9"/>
  <c r="BI238" i="9"/>
  <c r="BI244" i="9"/>
  <c r="BH222" i="9"/>
  <c r="BH226" i="9"/>
  <c r="BH230" i="9"/>
  <c r="BH238" i="9"/>
  <c r="BH244" i="9"/>
  <c r="BG222" i="9"/>
  <c r="BG226" i="9"/>
  <c r="BG230" i="9"/>
  <c r="BG238" i="9"/>
  <c r="BG244" i="9"/>
  <c r="BF222" i="9"/>
  <c r="BF226" i="9"/>
  <c r="BF230" i="9"/>
  <c r="BF238" i="9"/>
  <c r="BF244" i="9"/>
  <c r="BE222" i="9"/>
  <c r="BE226" i="9"/>
  <c r="BE230" i="9"/>
  <c r="BE238" i="9"/>
  <c r="BE244" i="9"/>
  <c r="BD222" i="9"/>
  <c r="BD226" i="9"/>
  <c r="BD230" i="9"/>
  <c r="BD238" i="9"/>
  <c r="BD244" i="9"/>
  <c r="BC222" i="9"/>
  <c r="BC226" i="9"/>
  <c r="BC230" i="9"/>
  <c r="BC238" i="9"/>
  <c r="BC244" i="9"/>
  <c r="BB222" i="9"/>
  <c r="BB226" i="9"/>
  <c r="BB230" i="9"/>
  <c r="BB238" i="9"/>
  <c r="BB244" i="9"/>
  <c r="BA222" i="9"/>
  <c r="BA226" i="9"/>
  <c r="BA230" i="9"/>
  <c r="BA238" i="9"/>
  <c r="BA244" i="9"/>
  <c r="AY222" i="9"/>
  <c r="AY226" i="9"/>
  <c r="AY230" i="9"/>
  <c r="AY238" i="9"/>
  <c r="AY244" i="9"/>
  <c r="AX222" i="9"/>
  <c r="AX226" i="9"/>
  <c r="AX230" i="9"/>
  <c r="AX238" i="9"/>
  <c r="AX244" i="9"/>
  <c r="AW222" i="9"/>
  <c r="AW226" i="9"/>
  <c r="AW230" i="9"/>
  <c r="AW238" i="9"/>
  <c r="AW244" i="9"/>
  <c r="AV222" i="9"/>
  <c r="AV226" i="9"/>
  <c r="AV230" i="9"/>
  <c r="AV238" i="9"/>
  <c r="AV244" i="9"/>
  <c r="AU222" i="9"/>
  <c r="AU226" i="9"/>
  <c r="AU230" i="9"/>
  <c r="AU238" i="9"/>
  <c r="AU244" i="9"/>
  <c r="AT222" i="9"/>
  <c r="AT226" i="9"/>
  <c r="AT230" i="9"/>
  <c r="AT238" i="9"/>
  <c r="AT244" i="9"/>
  <c r="AS222" i="9"/>
  <c r="AS226" i="9"/>
  <c r="AS230" i="9"/>
  <c r="AS238" i="9"/>
  <c r="AS244" i="9"/>
  <c r="AQ222" i="9"/>
  <c r="AQ226" i="9"/>
  <c r="AQ230" i="9"/>
  <c r="AQ238" i="9"/>
  <c r="AQ244" i="9"/>
  <c r="AP222" i="9"/>
  <c r="AP226" i="9"/>
  <c r="AP230" i="9"/>
  <c r="AP238" i="9"/>
  <c r="AP244" i="9"/>
  <c r="AO222" i="9"/>
  <c r="AO226" i="9"/>
  <c r="AO230" i="9"/>
  <c r="AO238" i="9"/>
  <c r="AO244" i="9"/>
  <c r="AN222" i="9"/>
  <c r="AN226" i="9"/>
  <c r="AN230" i="9"/>
  <c r="AN238" i="9"/>
  <c r="AN244" i="9"/>
  <c r="AM222" i="9"/>
  <c r="AM226" i="9"/>
  <c r="AM230" i="9"/>
  <c r="AM238" i="9"/>
  <c r="AM244" i="9"/>
  <c r="AL222" i="9"/>
  <c r="AL226" i="9"/>
  <c r="AL230" i="9"/>
  <c r="AL238" i="9"/>
  <c r="AL244" i="9"/>
  <c r="AK222" i="9"/>
  <c r="AK226" i="9"/>
  <c r="AK230" i="9"/>
  <c r="AK238" i="9"/>
  <c r="AK244" i="9"/>
  <c r="DL243" i="9"/>
  <c r="DH243" i="9"/>
  <c r="DD243" i="9"/>
  <c r="DB243" i="9"/>
  <c r="CZ243" i="9"/>
  <c r="CT243" i="9"/>
  <c r="CR243" i="9"/>
  <c r="CQ243" i="9"/>
  <c r="CO243" i="9"/>
  <c r="CN243" i="9"/>
  <c r="CL243" i="9"/>
  <c r="CK243" i="9"/>
  <c r="CJ243" i="9"/>
  <c r="CI243" i="9"/>
  <c r="CH243" i="9"/>
  <c r="CG243" i="9"/>
  <c r="CF243" i="9"/>
  <c r="CD243" i="9"/>
  <c r="CC243" i="9"/>
  <c r="CB243" i="9"/>
  <c r="CA243" i="9"/>
  <c r="BZ243" i="9"/>
  <c r="BY243" i="9"/>
  <c r="BX243" i="9"/>
  <c r="BW243" i="9"/>
  <c r="BV243" i="9"/>
  <c r="BM243" i="9"/>
  <c r="BL243" i="9"/>
  <c r="BK243" i="9"/>
  <c r="BJ243" i="9"/>
  <c r="BI243" i="9"/>
  <c r="BH243" i="9"/>
  <c r="BG243" i="9"/>
  <c r="BF243" i="9"/>
  <c r="BE243" i="9"/>
  <c r="BD243" i="9"/>
  <c r="BC243" i="9"/>
  <c r="BB243" i="9"/>
  <c r="BA243" i="9"/>
  <c r="AY243" i="9"/>
  <c r="AX243" i="9"/>
  <c r="AW243" i="9"/>
  <c r="AV243" i="9"/>
  <c r="AU243" i="9"/>
  <c r="AT243" i="9"/>
  <c r="AS243" i="9"/>
  <c r="AQ243" i="9"/>
  <c r="AP243" i="9"/>
  <c r="AO243" i="9"/>
  <c r="AN243" i="9"/>
  <c r="AM243" i="9"/>
  <c r="AL243" i="9"/>
  <c r="AK243" i="9"/>
  <c r="DL245" i="9"/>
  <c r="DH245" i="9"/>
  <c r="DF243" i="9"/>
  <c r="DF245" i="9"/>
  <c r="DD245" i="9"/>
  <c r="DB245" i="9"/>
  <c r="CZ245" i="9"/>
  <c r="CT245" i="9"/>
  <c r="CR245" i="9"/>
  <c r="CQ245" i="9"/>
  <c r="CO245" i="9"/>
  <c r="CN245" i="9"/>
  <c r="CL245" i="9"/>
  <c r="CK245" i="9"/>
  <c r="CJ245" i="9"/>
  <c r="CI245" i="9"/>
  <c r="CH245" i="9"/>
  <c r="CG245" i="9"/>
  <c r="CF245" i="9"/>
  <c r="CD245" i="9"/>
  <c r="CC245" i="9"/>
  <c r="CB245" i="9"/>
  <c r="CA245" i="9"/>
  <c r="BZ245" i="9"/>
  <c r="BY245" i="9"/>
  <c r="BX245" i="9"/>
  <c r="BW245" i="9"/>
  <c r="BV245" i="9"/>
  <c r="BM245" i="9"/>
  <c r="BL245" i="9"/>
  <c r="BK245" i="9"/>
  <c r="BJ245" i="9"/>
  <c r="BI245" i="9"/>
  <c r="BH245" i="9"/>
  <c r="BG245" i="9"/>
  <c r="BF245" i="9"/>
  <c r="BE245" i="9"/>
  <c r="BD245" i="9"/>
  <c r="BC245" i="9"/>
  <c r="BB245" i="9"/>
  <c r="BA245" i="9"/>
  <c r="AY245" i="9"/>
  <c r="AX245" i="9"/>
  <c r="AW245" i="9"/>
  <c r="AV245" i="9"/>
  <c r="AU245" i="9"/>
  <c r="AT245" i="9"/>
  <c r="AS245" i="9"/>
  <c r="AQ245" i="9"/>
  <c r="AP245" i="9"/>
  <c r="AO245" i="9"/>
  <c r="AN245" i="9"/>
  <c r="AM245" i="9"/>
  <c r="AL245" i="9"/>
  <c r="AK245" i="9"/>
  <c r="AK206" i="9"/>
  <c r="AL206" i="9"/>
  <c r="AM206" i="9"/>
  <c r="AN206" i="9"/>
  <c r="AO206" i="9"/>
  <c r="AP206" i="9"/>
  <c r="AQ206" i="9"/>
  <c r="AS206" i="9"/>
  <c r="AT206" i="9"/>
  <c r="AU206" i="9"/>
  <c r="AV206" i="9"/>
  <c r="AW206" i="9"/>
  <c r="AX206" i="9"/>
  <c r="AY206" i="9"/>
  <c r="BA206" i="9"/>
  <c r="BB206" i="9"/>
  <c r="BC206" i="9"/>
  <c r="BD206" i="9"/>
  <c r="BG206" i="9"/>
  <c r="BH206" i="9"/>
  <c r="BI206" i="9"/>
  <c r="BJ206" i="9"/>
  <c r="BK206" i="9"/>
  <c r="BL206" i="9"/>
  <c r="BM206" i="9"/>
  <c r="AK207" i="9"/>
  <c r="AL207" i="9"/>
  <c r="AM207" i="9"/>
  <c r="AN207" i="9"/>
  <c r="AO207" i="9"/>
  <c r="AP207" i="9"/>
  <c r="AQ207" i="9"/>
  <c r="AS207" i="9"/>
  <c r="AT207" i="9"/>
  <c r="AU207" i="9"/>
  <c r="AV207" i="9"/>
  <c r="AW207" i="9"/>
  <c r="AX207" i="9"/>
  <c r="AY207" i="9"/>
  <c r="BA207" i="9"/>
  <c r="BB207" i="9"/>
  <c r="BC207" i="9"/>
  <c r="BD207" i="9"/>
  <c r="BG207" i="9"/>
  <c r="BH207" i="9"/>
  <c r="BI207" i="9"/>
  <c r="BJ207" i="9"/>
  <c r="BK207" i="9"/>
  <c r="BL207" i="9"/>
  <c r="BM207" i="9"/>
  <c r="AK208" i="9"/>
  <c r="AL208" i="9"/>
  <c r="AM208" i="9"/>
  <c r="AN208" i="9"/>
  <c r="AO208" i="9"/>
  <c r="AP208" i="9"/>
  <c r="AQ208" i="9"/>
  <c r="AS208" i="9"/>
  <c r="AT208" i="9"/>
  <c r="AU208" i="9"/>
  <c r="AV208" i="9"/>
  <c r="AW208" i="9"/>
  <c r="AX208" i="9"/>
  <c r="AY208" i="9"/>
  <c r="BA208" i="9"/>
  <c r="BB208" i="9"/>
  <c r="BC208" i="9"/>
  <c r="BD208" i="9"/>
  <c r="BG208" i="9"/>
  <c r="BH208" i="9"/>
  <c r="BI208" i="9"/>
  <c r="BJ208" i="9"/>
  <c r="BK208" i="9"/>
  <c r="BL208" i="9"/>
  <c r="BM208" i="9"/>
  <c r="AK209" i="9"/>
  <c r="AL209" i="9"/>
  <c r="AM209" i="9"/>
  <c r="AN209" i="9"/>
  <c r="AO209" i="9"/>
  <c r="AP209" i="9"/>
  <c r="AQ209" i="9"/>
  <c r="AS209" i="9"/>
  <c r="AT209" i="9"/>
  <c r="AU209" i="9"/>
  <c r="AV209" i="9"/>
  <c r="AW209" i="9"/>
  <c r="AX209" i="9"/>
  <c r="AY209" i="9"/>
  <c r="BA209" i="9"/>
  <c r="BB209" i="9"/>
  <c r="BC209" i="9"/>
  <c r="BD209" i="9"/>
  <c r="BG209" i="9"/>
  <c r="BH209" i="9"/>
  <c r="BI209" i="9"/>
  <c r="BJ209" i="9"/>
  <c r="BK209" i="9"/>
  <c r="BL209" i="9"/>
  <c r="BM209" i="9"/>
  <c r="AK210" i="9"/>
  <c r="AL210" i="9"/>
  <c r="AM210" i="9"/>
  <c r="AN210" i="9"/>
  <c r="AO210" i="9"/>
  <c r="AP210" i="9"/>
  <c r="AQ210" i="9"/>
  <c r="AS210" i="9"/>
  <c r="AT210" i="9"/>
  <c r="AU210" i="9"/>
  <c r="AV210" i="9"/>
  <c r="AW210" i="9"/>
  <c r="AX210" i="9"/>
  <c r="AY210" i="9"/>
  <c r="BA210" i="9"/>
  <c r="BB210" i="9"/>
  <c r="BC210" i="9"/>
  <c r="BD210" i="9"/>
  <c r="BG210" i="9"/>
  <c r="BH210" i="9"/>
  <c r="BI210" i="9"/>
  <c r="BJ210" i="9"/>
  <c r="BK210" i="9"/>
  <c r="BL210" i="9"/>
  <c r="BM210" i="9"/>
  <c r="AK211" i="9"/>
  <c r="AL211" i="9"/>
  <c r="AM211" i="9"/>
  <c r="AN211" i="9"/>
  <c r="AO211" i="9"/>
  <c r="AP211" i="9"/>
  <c r="AQ211" i="9"/>
  <c r="AS211" i="9"/>
  <c r="AT211" i="9"/>
  <c r="AU211" i="9"/>
  <c r="AV211" i="9"/>
  <c r="AW211" i="9"/>
  <c r="AX211" i="9"/>
  <c r="AY211" i="9"/>
  <c r="BA211" i="9"/>
  <c r="BB211" i="9"/>
  <c r="BC211" i="9"/>
  <c r="BD211" i="9"/>
  <c r="BG211" i="9"/>
  <c r="BH211" i="9"/>
  <c r="BI211" i="9"/>
  <c r="BJ211" i="9"/>
  <c r="BK211" i="9"/>
  <c r="BL211" i="9"/>
  <c r="BM211" i="9"/>
  <c r="AK212" i="9"/>
  <c r="AL212" i="9"/>
  <c r="AM212" i="9"/>
  <c r="AN212" i="9"/>
  <c r="AO212" i="9"/>
  <c r="AP212" i="9"/>
  <c r="AQ212" i="9"/>
  <c r="AS212" i="9"/>
  <c r="AT212" i="9"/>
  <c r="AU212" i="9"/>
  <c r="AV212" i="9"/>
  <c r="AW212" i="9"/>
  <c r="AX212" i="9"/>
  <c r="AY212" i="9"/>
  <c r="BA212" i="9"/>
  <c r="BB212" i="9"/>
  <c r="BC212" i="9"/>
  <c r="BD212" i="9"/>
  <c r="BG212" i="9"/>
  <c r="BH212" i="9"/>
  <c r="BI212" i="9"/>
  <c r="BJ212" i="9"/>
  <c r="BK212" i="9"/>
  <c r="BL212" i="9"/>
  <c r="BM212" i="9"/>
  <c r="AK213" i="9"/>
  <c r="AL213" i="9"/>
  <c r="AM213" i="9"/>
  <c r="AN213" i="9"/>
  <c r="AO213" i="9"/>
  <c r="AP213" i="9"/>
  <c r="AQ213" i="9"/>
  <c r="AS213" i="9"/>
  <c r="AT213" i="9"/>
  <c r="AU213" i="9"/>
  <c r="AV213" i="9"/>
  <c r="AW213" i="9"/>
  <c r="AX213" i="9"/>
  <c r="AY213" i="9"/>
  <c r="BA213" i="9"/>
  <c r="BB213" i="9"/>
  <c r="BC213" i="9"/>
  <c r="BD213" i="9"/>
  <c r="BG213" i="9"/>
  <c r="BH213" i="9"/>
  <c r="BI213" i="9"/>
  <c r="BJ213" i="9"/>
  <c r="BK213" i="9"/>
  <c r="BL213" i="9"/>
  <c r="BM213" i="9"/>
  <c r="AK214" i="9"/>
  <c r="AL214" i="9"/>
  <c r="AM214" i="9"/>
  <c r="AN214" i="9"/>
  <c r="AO214" i="9"/>
  <c r="AP214" i="9"/>
  <c r="AQ214" i="9"/>
  <c r="AS214" i="9"/>
  <c r="AT214" i="9"/>
  <c r="AU214" i="9"/>
  <c r="AV214" i="9"/>
  <c r="AW214" i="9"/>
  <c r="AX214" i="9"/>
  <c r="AY214" i="9"/>
  <c r="BA214" i="9"/>
  <c r="BB214" i="9"/>
  <c r="BC214" i="9"/>
  <c r="BD214" i="9"/>
  <c r="BE214" i="9"/>
  <c r="BF214" i="9"/>
  <c r="BG214" i="9"/>
  <c r="BH214" i="9"/>
  <c r="BI214" i="9"/>
  <c r="BJ214" i="9"/>
  <c r="BK214" i="9"/>
  <c r="BL214" i="9"/>
  <c r="BM214" i="9"/>
  <c r="AK215" i="9"/>
  <c r="AL215" i="9"/>
  <c r="AM215" i="9"/>
  <c r="AN215" i="9"/>
  <c r="AO215" i="9"/>
  <c r="AP215" i="9"/>
  <c r="AQ215" i="9"/>
  <c r="AS215" i="9"/>
  <c r="AT215" i="9"/>
  <c r="AU215" i="9"/>
  <c r="AV215" i="9"/>
  <c r="AW215" i="9"/>
  <c r="AX215" i="9"/>
  <c r="AY215" i="9"/>
  <c r="BA215" i="9"/>
  <c r="BB215" i="9"/>
  <c r="BC215" i="9"/>
  <c r="BD215" i="9"/>
  <c r="BE215" i="9"/>
  <c r="BF215" i="9"/>
  <c r="BG215" i="9"/>
  <c r="BH215" i="9"/>
  <c r="BI215" i="9"/>
  <c r="BJ215" i="9"/>
  <c r="BK215" i="9"/>
  <c r="BL215" i="9"/>
  <c r="BM215" i="9"/>
  <c r="AK216" i="9"/>
  <c r="AL216" i="9"/>
  <c r="AM216" i="9"/>
  <c r="AN216" i="9"/>
  <c r="AO216" i="9"/>
  <c r="AP216" i="9"/>
  <c r="AQ216" i="9"/>
  <c r="AS216" i="9"/>
  <c r="AT216" i="9"/>
  <c r="AU216" i="9"/>
  <c r="AV216" i="9"/>
  <c r="AW216" i="9"/>
  <c r="AX216" i="9"/>
  <c r="AY216" i="9"/>
  <c r="BA216" i="9"/>
  <c r="BB216" i="9"/>
  <c r="BC216" i="9"/>
  <c r="BD216" i="9"/>
  <c r="BE216" i="9"/>
  <c r="BF216" i="9"/>
  <c r="BG216" i="9"/>
  <c r="BH216" i="9"/>
  <c r="BI216" i="9"/>
  <c r="BJ216" i="9"/>
  <c r="BK216" i="9"/>
  <c r="BL216" i="9"/>
  <c r="BM216" i="9"/>
  <c r="AK217" i="9"/>
  <c r="AL217" i="9"/>
  <c r="AM217" i="9"/>
  <c r="AN217" i="9"/>
  <c r="AO217" i="9"/>
  <c r="AP217" i="9"/>
  <c r="AQ217" i="9"/>
  <c r="AS217" i="9"/>
  <c r="AT217" i="9"/>
  <c r="AU217" i="9"/>
  <c r="AV217" i="9"/>
  <c r="AW217" i="9"/>
  <c r="AX217" i="9"/>
  <c r="AY217" i="9"/>
  <c r="BA217" i="9"/>
  <c r="BB217" i="9"/>
  <c r="BC217" i="9"/>
  <c r="BD217" i="9"/>
  <c r="BE217" i="9"/>
  <c r="BF217" i="9"/>
  <c r="BG217" i="9"/>
  <c r="BH217" i="9"/>
  <c r="BI217" i="9"/>
  <c r="BJ217" i="9"/>
  <c r="BK217" i="9"/>
  <c r="BL217" i="9"/>
  <c r="BM217" i="9"/>
  <c r="AK218" i="9"/>
  <c r="AL218" i="9"/>
  <c r="AM218" i="9"/>
  <c r="AN218" i="9"/>
  <c r="AO218" i="9"/>
  <c r="AP218" i="9"/>
  <c r="AQ218" i="9"/>
  <c r="AS218" i="9"/>
  <c r="AT218" i="9"/>
  <c r="AU218" i="9"/>
  <c r="AV218" i="9"/>
  <c r="AW218" i="9"/>
  <c r="AX218" i="9"/>
  <c r="AY218" i="9"/>
  <c r="BA218" i="9"/>
  <c r="BB218" i="9"/>
  <c r="BC218" i="9"/>
  <c r="BD218" i="9"/>
  <c r="BE218" i="9"/>
  <c r="BF218" i="9"/>
  <c r="BG218" i="9"/>
  <c r="BH218" i="9"/>
  <c r="BI218" i="9"/>
  <c r="BJ218" i="9"/>
  <c r="BK218" i="9"/>
  <c r="BL218" i="9"/>
  <c r="BM218" i="9"/>
  <c r="AK219" i="9"/>
  <c r="AL219" i="9"/>
  <c r="AM219" i="9"/>
  <c r="AN219" i="9"/>
  <c r="AO219" i="9"/>
  <c r="AP219" i="9"/>
  <c r="AQ219" i="9"/>
  <c r="AS219" i="9"/>
  <c r="AT219" i="9"/>
  <c r="AU219" i="9"/>
  <c r="AV219" i="9"/>
  <c r="AW219" i="9"/>
  <c r="AX219" i="9"/>
  <c r="AY219" i="9"/>
  <c r="BA219" i="9"/>
  <c r="BB219" i="9"/>
  <c r="BC219" i="9"/>
  <c r="BD219" i="9"/>
  <c r="BE219" i="9"/>
  <c r="BF219" i="9"/>
  <c r="BG219" i="9"/>
  <c r="BH219" i="9"/>
  <c r="BI219" i="9"/>
  <c r="BJ219" i="9"/>
  <c r="BK219" i="9"/>
  <c r="BL219" i="9"/>
  <c r="BM219" i="9"/>
  <c r="AK220" i="9"/>
  <c r="AL220" i="9"/>
  <c r="AM220" i="9"/>
  <c r="AN220" i="9"/>
  <c r="AO220" i="9"/>
  <c r="AP220" i="9"/>
  <c r="AQ220" i="9"/>
  <c r="AS220" i="9"/>
  <c r="AT220" i="9"/>
  <c r="AU220" i="9"/>
  <c r="AV220" i="9"/>
  <c r="AW220" i="9"/>
  <c r="AX220" i="9"/>
  <c r="AY220" i="9"/>
  <c r="BA220" i="9"/>
  <c r="BB220" i="9"/>
  <c r="BC220" i="9"/>
  <c r="BD220" i="9"/>
  <c r="BE220" i="9"/>
  <c r="BF220" i="9"/>
  <c r="BG220" i="9"/>
  <c r="BH220" i="9"/>
  <c r="BI220" i="9"/>
  <c r="BJ220" i="9"/>
  <c r="BK220" i="9"/>
  <c r="BL220" i="9"/>
  <c r="BM220" i="9"/>
  <c r="AK221" i="9"/>
  <c r="AL221" i="9"/>
  <c r="AM221" i="9"/>
  <c r="AN221" i="9"/>
  <c r="AO221" i="9"/>
  <c r="AP221" i="9"/>
  <c r="AQ221" i="9"/>
  <c r="AS221" i="9"/>
  <c r="AT221" i="9"/>
  <c r="AU221" i="9"/>
  <c r="AV221" i="9"/>
  <c r="AW221" i="9"/>
  <c r="AX221" i="9"/>
  <c r="AY221" i="9"/>
  <c r="BA221" i="9"/>
  <c r="BB221" i="9"/>
  <c r="BC221" i="9"/>
  <c r="BD221" i="9"/>
  <c r="BE221" i="9"/>
  <c r="BF221" i="9"/>
  <c r="BG221" i="9"/>
  <c r="BH221" i="9"/>
  <c r="BI221" i="9"/>
  <c r="BJ221" i="9"/>
  <c r="BK221" i="9"/>
  <c r="BL221" i="9"/>
  <c r="BM221" i="9"/>
  <c r="AK223" i="9"/>
  <c r="AL223" i="9"/>
  <c r="AM223" i="9"/>
  <c r="AN223" i="9"/>
  <c r="AO223" i="9"/>
  <c r="AP223" i="9"/>
  <c r="AQ223" i="9"/>
  <c r="AS223" i="9"/>
  <c r="AT223" i="9"/>
  <c r="AU223" i="9"/>
  <c r="AV223" i="9"/>
  <c r="AW223" i="9"/>
  <c r="AX223" i="9"/>
  <c r="AY223" i="9"/>
  <c r="BA223" i="9"/>
  <c r="BB223" i="9"/>
  <c r="BC223" i="9"/>
  <c r="BD223" i="9"/>
  <c r="BE223" i="9"/>
  <c r="BF223" i="9"/>
  <c r="BG223" i="9"/>
  <c r="BH223" i="9"/>
  <c r="BI223" i="9"/>
  <c r="BJ223" i="9"/>
  <c r="BK223" i="9"/>
  <c r="BL223" i="9"/>
  <c r="BM223" i="9"/>
  <c r="AK224" i="9"/>
  <c r="AL224" i="9"/>
  <c r="AM224" i="9"/>
  <c r="AN224" i="9"/>
  <c r="AO224" i="9"/>
  <c r="AP224" i="9"/>
  <c r="AQ224" i="9"/>
  <c r="AS224" i="9"/>
  <c r="AT224" i="9"/>
  <c r="AU224" i="9"/>
  <c r="AV224" i="9"/>
  <c r="AW224" i="9"/>
  <c r="AX224" i="9"/>
  <c r="AY224" i="9"/>
  <c r="BA224" i="9"/>
  <c r="BB224" i="9"/>
  <c r="BC224" i="9"/>
  <c r="BD224" i="9"/>
  <c r="BE224" i="9"/>
  <c r="BF224" i="9"/>
  <c r="BG224" i="9"/>
  <c r="BH224" i="9"/>
  <c r="BI224" i="9"/>
  <c r="BJ224" i="9"/>
  <c r="BK224" i="9"/>
  <c r="BL224" i="9"/>
  <c r="BM224" i="9"/>
  <c r="AK225" i="9"/>
  <c r="AL225" i="9"/>
  <c r="AM225" i="9"/>
  <c r="AN225" i="9"/>
  <c r="AO225" i="9"/>
  <c r="AP225" i="9"/>
  <c r="AQ225" i="9"/>
  <c r="AS225" i="9"/>
  <c r="AT225" i="9"/>
  <c r="AU225" i="9"/>
  <c r="AV225" i="9"/>
  <c r="AW225" i="9"/>
  <c r="AX225" i="9"/>
  <c r="AY225" i="9"/>
  <c r="BA225" i="9"/>
  <c r="BB225" i="9"/>
  <c r="BC225" i="9"/>
  <c r="BD225" i="9"/>
  <c r="BE225" i="9"/>
  <c r="BF225" i="9"/>
  <c r="BG225" i="9"/>
  <c r="BH225" i="9"/>
  <c r="BI225" i="9"/>
  <c r="BJ225" i="9"/>
  <c r="BK225" i="9"/>
  <c r="BL225" i="9"/>
  <c r="BM225" i="9"/>
  <c r="AK227" i="9"/>
  <c r="AL227" i="9"/>
  <c r="AM227" i="9"/>
  <c r="AN227" i="9"/>
  <c r="AO227" i="9"/>
  <c r="AP227" i="9"/>
  <c r="AQ227" i="9"/>
  <c r="AS227" i="9"/>
  <c r="AT227" i="9"/>
  <c r="AU227" i="9"/>
  <c r="AV227" i="9"/>
  <c r="AW227" i="9"/>
  <c r="AX227" i="9"/>
  <c r="AY227" i="9"/>
  <c r="BA227" i="9"/>
  <c r="BB227" i="9"/>
  <c r="BC227" i="9"/>
  <c r="BD227" i="9"/>
  <c r="BE227" i="9"/>
  <c r="BF227" i="9"/>
  <c r="BG227" i="9"/>
  <c r="BH227" i="9"/>
  <c r="BI227" i="9"/>
  <c r="BJ227" i="9"/>
  <c r="BK227" i="9"/>
  <c r="BL227" i="9"/>
  <c r="BM227" i="9"/>
  <c r="AK228" i="9"/>
  <c r="AL228" i="9"/>
  <c r="AM228" i="9"/>
  <c r="AN228" i="9"/>
  <c r="AO228" i="9"/>
  <c r="AP228" i="9"/>
  <c r="AQ228" i="9"/>
  <c r="AS228" i="9"/>
  <c r="AT228" i="9"/>
  <c r="AU228" i="9"/>
  <c r="AV228" i="9"/>
  <c r="AW228" i="9"/>
  <c r="AX228" i="9"/>
  <c r="AY228" i="9"/>
  <c r="BA228" i="9"/>
  <c r="BB228" i="9"/>
  <c r="BC228" i="9"/>
  <c r="BD228" i="9"/>
  <c r="BE228" i="9"/>
  <c r="BF228" i="9"/>
  <c r="BG228" i="9"/>
  <c r="BH228" i="9"/>
  <c r="BI228" i="9"/>
  <c r="BJ228" i="9"/>
  <c r="BK228" i="9"/>
  <c r="BL228" i="9"/>
  <c r="BM228" i="9"/>
  <c r="AK229" i="9"/>
  <c r="AL229" i="9"/>
  <c r="AM229" i="9"/>
  <c r="AN229" i="9"/>
  <c r="AO229" i="9"/>
  <c r="AP229" i="9"/>
  <c r="AQ229" i="9"/>
  <c r="AS229" i="9"/>
  <c r="AT229" i="9"/>
  <c r="AU229" i="9"/>
  <c r="AV229" i="9"/>
  <c r="AW229" i="9"/>
  <c r="AX229" i="9"/>
  <c r="AY229" i="9"/>
  <c r="BA229" i="9"/>
  <c r="BB229" i="9"/>
  <c r="BC229" i="9"/>
  <c r="BD229" i="9"/>
  <c r="BE229" i="9"/>
  <c r="BF229" i="9"/>
  <c r="BG229" i="9"/>
  <c r="BH229" i="9"/>
  <c r="BI229" i="9"/>
  <c r="BJ229" i="9"/>
  <c r="BK229" i="9"/>
  <c r="BL229" i="9"/>
  <c r="BM229" i="9"/>
  <c r="AK231" i="9"/>
  <c r="AL231" i="9"/>
  <c r="AM231" i="9"/>
  <c r="AN231" i="9"/>
  <c r="AO231" i="9"/>
  <c r="AP231" i="9"/>
  <c r="AQ231" i="9"/>
  <c r="AS231" i="9"/>
  <c r="AT231" i="9"/>
  <c r="AU231" i="9"/>
  <c r="AV231" i="9"/>
  <c r="AW231" i="9"/>
  <c r="AX231" i="9"/>
  <c r="AY231" i="9"/>
  <c r="BA231" i="9"/>
  <c r="BB231" i="9"/>
  <c r="BC231" i="9"/>
  <c r="BD231" i="9"/>
  <c r="BE231" i="9"/>
  <c r="BF231" i="9"/>
  <c r="BG231" i="9"/>
  <c r="BH231" i="9"/>
  <c r="BI231" i="9"/>
  <c r="BJ231" i="9"/>
  <c r="BK231" i="9"/>
  <c r="BL231" i="9"/>
  <c r="BM231" i="9"/>
  <c r="AK232" i="9"/>
  <c r="AL232" i="9"/>
  <c r="AM232" i="9"/>
  <c r="AN232" i="9"/>
  <c r="AO232" i="9"/>
  <c r="AP232" i="9"/>
  <c r="AQ232" i="9"/>
  <c r="AS232" i="9"/>
  <c r="AT232" i="9"/>
  <c r="AU232" i="9"/>
  <c r="AV232" i="9"/>
  <c r="AW232" i="9"/>
  <c r="AX232" i="9"/>
  <c r="AY232" i="9"/>
  <c r="BA232" i="9"/>
  <c r="BB232" i="9"/>
  <c r="BC232" i="9"/>
  <c r="BD232" i="9"/>
  <c r="BE232" i="9"/>
  <c r="BF232" i="9"/>
  <c r="BG232" i="9"/>
  <c r="BH232" i="9"/>
  <c r="BI232" i="9"/>
  <c r="BJ232" i="9"/>
  <c r="BK232" i="9"/>
  <c r="BL232" i="9"/>
  <c r="BM232" i="9"/>
  <c r="AK233" i="9"/>
  <c r="AL233" i="9"/>
  <c r="AM233" i="9"/>
  <c r="AN233" i="9"/>
  <c r="AO233" i="9"/>
  <c r="AP233" i="9"/>
  <c r="AQ233" i="9"/>
  <c r="AS233" i="9"/>
  <c r="AT233" i="9"/>
  <c r="AU233" i="9"/>
  <c r="AV233" i="9"/>
  <c r="AW233" i="9"/>
  <c r="AX233" i="9"/>
  <c r="AY233" i="9"/>
  <c r="BA233" i="9"/>
  <c r="BB233" i="9"/>
  <c r="BC233" i="9"/>
  <c r="BD233" i="9"/>
  <c r="BE233" i="9"/>
  <c r="BF233" i="9"/>
  <c r="BG233" i="9"/>
  <c r="BH233" i="9"/>
  <c r="BI233" i="9"/>
  <c r="BJ233" i="9"/>
  <c r="BK233" i="9"/>
  <c r="BL233" i="9"/>
  <c r="BM233" i="9"/>
  <c r="AK234" i="9"/>
  <c r="AL234" i="9"/>
  <c r="AM234" i="9"/>
  <c r="AN234" i="9"/>
  <c r="AO234" i="9"/>
  <c r="AP234" i="9"/>
  <c r="AQ234" i="9"/>
  <c r="AS234" i="9"/>
  <c r="AT234" i="9"/>
  <c r="AU234" i="9"/>
  <c r="AV234" i="9"/>
  <c r="AW234" i="9"/>
  <c r="AX234" i="9"/>
  <c r="AY234" i="9"/>
  <c r="BA234" i="9"/>
  <c r="BB234" i="9"/>
  <c r="BC234" i="9"/>
  <c r="BD234" i="9"/>
  <c r="BE234" i="9"/>
  <c r="BF234" i="9"/>
  <c r="BG234" i="9"/>
  <c r="BH234" i="9"/>
  <c r="BI234" i="9"/>
  <c r="BJ234" i="9"/>
  <c r="BK234" i="9"/>
  <c r="BL234" i="9"/>
  <c r="BM234" i="9"/>
  <c r="AK235" i="9"/>
  <c r="AL235" i="9"/>
  <c r="AM235" i="9"/>
  <c r="AN235" i="9"/>
  <c r="AO235" i="9"/>
  <c r="AP235" i="9"/>
  <c r="AQ235" i="9"/>
  <c r="AS235" i="9"/>
  <c r="AT235" i="9"/>
  <c r="AU235" i="9"/>
  <c r="AV235" i="9"/>
  <c r="AW235" i="9"/>
  <c r="AX235" i="9"/>
  <c r="AY235" i="9"/>
  <c r="BA235" i="9"/>
  <c r="BB235" i="9"/>
  <c r="BC235" i="9"/>
  <c r="BD235" i="9"/>
  <c r="BE235" i="9"/>
  <c r="BF235" i="9"/>
  <c r="BG235" i="9"/>
  <c r="BH235" i="9"/>
  <c r="BI235" i="9"/>
  <c r="BJ235" i="9"/>
  <c r="BK235" i="9"/>
  <c r="BL235" i="9"/>
  <c r="BM235" i="9"/>
  <c r="AK236" i="9"/>
  <c r="AL236" i="9"/>
  <c r="AM236" i="9"/>
  <c r="AN236" i="9"/>
  <c r="AO236" i="9"/>
  <c r="AP236" i="9"/>
  <c r="AQ236" i="9"/>
  <c r="AS236" i="9"/>
  <c r="AT236" i="9"/>
  <c r="AU236" i="9"/>
  <c r="AV236" i="9"/>
  <c r="AW236" i="9"/>
  <c r="AX236" i="9"/>
  <c r="AY236" i="9"/>
  <c r="BA236" i="9"/>
  <c r="BB236" i="9"/>
  <c r="BC236" i="9"/>
  <c r="BD236" i="9"/>
  <c r="BE236" i="9"/>
  <c r="BF236" i="9"/>
  <c r="BG236" i="9"/>
  <c r="BH236" i="9"/>
  <c r="BI236" i="9"/>
  <c r="BJ236" i="9"/>
  <c r="BK236" i="9"/>
  <c r="BL236" i="9"/>
  <c r="BM236" i="9"/>
  <c r="AK237" i="9"/>
  <c r="AL237" i="9"/>
  <c r="AM237" i="9"/>
  <c r="AN237" i="9"/>
  <c r="AO237" i="9"/>
  <c r="AP237" i="9"/>
  <c r="AQ237" i="9"/>
  <c r="AS237" i="9"/>
  <c r="AT237" i="9"/>
  <c r="AU237" i="9"/>
  <c r="AV237" i="9"/>
  <c r="AW237" i="9"/>
  <c r="AX237" i="9"/>
  <c r="AY237" i="9"/>
  <c r="BA237" i="9"/>
  <c r="BB237" i="9"/>
  <c r="BC237" i="9"/>
  <c r="BD237" i="9"/>
  <c r="BE237" i="9"/>
  <c r="BF237" i="9"/>
  <c r="BG237" i="9"/>
  <c r="BH237" i="9"/>
  <c r="BI237" i="9"/>
  <c r="BJ237" i="9"/>
  <c r="BK237" i="9"/>
  <c r="BL237" i="9"/>
  <c r="BM237" i="9"/>
  <c r="AK239" i="9"/>
  <c r="AL239" i="9"/>
  <c r="AM239" i="9"/>
  <c r="AN239" i="9"/>
  <c r="AO239" i="9"/>
  <c r="AP239" i="9"/>
  <c r="AQ239" i="9"/>
  <c r="AS239" i="9"/>
  <c r="AT239" i="9"/>
  <c r="AU239" i="9"/>
  <c r="AV239" i="9"/>
  <c r="AW239" i="9"/>
  <c r="AX239" i="9"/>
  <c r="AY239" i="9"/>
  <c r="BA239" i="9"/>
  <c r="BB239" i="9"/>
  <c r="BC239" i="9"/>
  <c r="BD239" i="9"/>
  <c r="BE239" i="9"/>
  <c r="BF239" i="9"/>
  <c r="BG239" i="9"/>
  <c r="BH239" i="9"/>
  <c r="BI239" i="9"/>
  <c r="BJ239" i="9"/>
  <c r="BK239" i="9"/>
  <c r="BL239" i="9"/>
  <c r="BM239" i="9"/>
  <c r="AK240" i="9"/>
  <c r="AL240" i="9"/>
  <c r="AM240" i="9"/>
  <c r="AN240" i="9"/>
  <c r="AO240" i="9"/>
  <c r="AP240" i="9"/>
  <c r="AQ240" i="9"/>
  <c r="AS240" i="9"/>
  <c r="AT240" i="9"/>
  <c r="AU240" i="9"/>
  <c r="AV240" i="9"/>
  <c r="AW240" i="9"/>
  <c r="AX240" i="9"/>
  <c r="AY240" i="9"/>
  <c r="BA240" i="9"/>
  <c r="BB240" i="9"/>
  <c r="BC240" i="9"/>
  <c r="BD240" i="9"/>
  <c r="BE240" i="9"/>
  <c r="BF240" i="9"/>
  <c r="BG240" i="9"/>
  <c r="BH240" i="9"/>
  <c r="BI240" i="9"/>
  <c r="BJ240" i="9"/>
  <c r="BK240" i="9"/>
  <c r="BL240" i="9"/>
  <c r="BM240" i="9"/>
  <c r="AK241" i="9"/>
  <c r="AL241" i="9"/>
  <c r="AM241" i="9"/>
  <c r="AN241" i="9"/>
  <c r="AO241" i="9"/>
  <c r="AP241" i="9"/>
  <c r="AQ241" i="9"/>
  <c r="AS241" i="9"/>
  <c r="AT241" i="9"/>
  <c r="AU241" i="9"/>
  <c r="AV241" i="9"/>
  <c r="AW241" i="9"/>
  <c r="AX241" i="9"/>
  <c r="AY241" i="9"/>
  <c r="BA241" i="9"/>
  <c r="BB241" i="9"/>
  <c r="BC241" i="9"/>
  <c r="BD241" i="9"/>
  <c r="BE241" i="9"/>
  <c r="BF241" i="9"/>
  <c r="BG241" i="9"/>
  <c r="BH241" i="9"/>
  <c r="BI241" i="9"/>
  <c r="BJ241" i="9"/>
  <c r="BK241" i="9"/>
  <c r="BL241" i="9"/>
  <c r="BM241" i="9"/>
  <c r="AK242" i="9"/>
  <c r="AL242" i="9"/>
  <c r="AM242" i="9"/>
  <c r="AN242" i="9"/>
  <c r="AO242" i="9"/>
  <c r="AP242" i="9"/>
  <c r="AQ242" i="9"/>
  <c r="AS242" i="9"/>
  <c r="AT242" i="9"/>
  <c r="AU242" i="9"/>
  <c r="AV242" i="9"/>
  <c r="AW242" i="9"/>
  <c r="AX242" i="9"/>
  <c r="AY242" i="9"/>
  <c r="BA242" i="9"/>
  <c r="BB242" i="9"/>
  <c r="BC242" i="9"/>
  <c r="BD242" i="9"/>
  <c r="BE242" i="9"/>
  <c r="BF242" i="9"/>
  <c r="BG242" i="9"/>
  <c r="BH242" i="9"/>
  <c r="BI242" i="9"/>
  <c r="BJ242" i="9"/>
  <c r="BK242" i="9"/>
  <c r="BL242" i="9"/>
  <c r="BM242" i="9"/>
  <c r="BV206" i="9"/>
  <c r="BV207" i="9"/>
  <c r="BV208" i="9"/>
  <c r="BV209" i="9"/>
  <c r="BV210" i="9"/>
  <c r="BV211" i="9"/>
  <c r="BV212" i="9"/>
  <c r="BV213" i="9"/>
  <c r="BV214" i="9"/>
  <c r="BV215" i="9"/>
  <c r="BV216" i="9"/>
  <c r="BV217" i="9"/>
  <c r="BV218" i="9"/>
  <c r="BV219" i="9"/>
  <c r="BV220" i="9"/>
  <c r="BV221" i="9"/>
  <c r="BV223" i="9"/>
  <c r="BV224" i="9"/>
  <c r="BV225" i="9"/>
  <c r="BV227" i="9"/>
  <c r="BV228" i="9"/>
  <c r="BV229" i="9"/>
  <c r="BV231" i="9"/>
  <c r="BV232" i="9"/>
  <c r="BV233" i="9"/>
  <c r="BV234" i="9"/>
  <c r="BV235" i="9"/>
  <c r="BV236" i="9"/>
  <c r="BV237" i="9"/>
  <c r="BV239" i="9"/>
  <c r="BV240" i="9"/>
  <c r="BV241" i="9"/>
  <c r="BV242" i="9"/>
  <c r="BW206" i="9"/>
  <c r="BX206" i="9"/>
  <c r="BY206" i="9"/>
  <c r="BZ206" i="9"/>
  <c r="CA206" i="9"/>
  <c r="CB206" i="9"/>
  <c r="CC206" i="9"/>
  <c r="CD206" i="9"/>
  <c r="CF206" i="9"/>
  <c r="CG206" i="9"/>
  <c r="CH206" i="9"/>
  <c r="CI206" i="9"/>
  <c r="CJ206" i="9"/>
  <c r="CK206" i="9"/>
  <c r="CL206" i="9"/>
  <c r="CN206" i="9"/>
  <c r="CO206" i="9"/>
  <c r="CQ206" i="9"/>
  <c r="CR206" i="9"/>
  <c r="CT206" i="9"/>
  <c r="CZ206" i="9"/>
  <c r="DB206" i="9"/>
  <c r="DD206" i="9"/>
  <c r="DF206" i="9"/>
  <c r="DH206" i="9"/>
  <c r="DL206" i="9"/>
  <c r="BW207" i="9"/>
  <c r="BX207" i="9"/>
  <c r="BY207" i="9"/>
  <c r="BZ207" i="9"/>
  <c r="CA207" i="9"/>
  <c r="CB207" i="9"/>
  <c r="CC207" i="9"/>
  <c r="CD207" i="9"/>
  <c r="CF207" i="9"/>
  <c r="CG207" i="9"/>
  <c r="CH207" i="9"/>
  <c r="CI207" i="9"/>
  <c r="CJ207" i="9"/>
  <c r="CK207" i="9"/>
  <c r="CL207" i="9"/>
  <c r="CN207" i="9"/>
  <c r="CO207" i="9"/>
  <c r="CQ207" i="9"/>
  <c r="CR207" i="9"/>
  <c r="CT207" i="9"/>
  <c r="CZ207" i="9"/>
  <c r="DB207" i="9"/>
  <c r="DD207" i="9"/>
  <c r="DF207" i="9"/>
  <c r="DH207" i="9"/>
  <c r="DL207" i="9"/>
  <c r="BW208" i="9"/>
  <c r="BX208" i="9"/>
  <c r="BY208" i="9"/>
  <c r="BZ208" i="9"/>
  <c r="CA208" i="9"/>
  <c r="CB208" i="9"/>
  <c r="CC208" i="9"/>
  <c r="CD208" i="9"/>
  <c r="CF208" i="9"/>
  <c r="CG208" i="9"/>
  <c r="CH208" i="9"/>
  <c r="CI208" i="9"/>
  <c r="CJ208" i="9"/>
  <c r="CK208" i="9"/>
  <c r="CL208" i="9"/>
  <c r="CN208" i="9"/>
  <c r="CO208" i="9"/>
  <c r="CQ208" i="9"/>
  <c r="CR208" i="9"/>
  <c r="CT208" i="9"/>
  <c r="CZ208" i="9"/>
  <c r="DB208" i="9"/>
  <c r="DD208" i="9"/>
  <c r="DF208" i="9"/>
  <c r="DH208" i="9"/>
  <c r="DL208" i="9"/>
  <c r="BW209" i="9"/>
  <c r="BX209" i="9"/>
  <c r="BY209" i="9"/>
  <c r="BZ209" i="9"/>
  <c r="CA209" i="9"/>
  <c r="CB209" i="9"/>
  <c r="CC209" i="9"/>
  <c r="CD209" i="9"/>
  <c r="CF209" i="9"/>
  <c r="CG209" i="9"/>
  <c r="CH209" i="9"/>
  <c r="CI209" i="9"/>
  <c r="CJ209" i="9"/>
  <c r="CK209" i="9"/>
  <c r="CL209" i="9"/>
  <c r="CN209" i="9"/>
  <c r="CO209" i="9"/>
  <c r="CQ209" i="9"/>
  <c r="CR209" i="9"/>
  <c r="CT209" i="9"/>
  <c r="CZ209" i="9"/>
  <c r="DB209" i="9"/>
  <c r="DD209" i="9"/>
  <c r="DF209" i="9"/>
  <c r="DH209" i="9"/>
  <c r="DL209" i="9"/>
  <c r="BW210" i="9"/>
  <c r="BX210" i="9"/>
  <c r="BY210" i="9"/>
  <c r="BZ210" i="9"/>
  <c r="CA210" i="9"/>
  <c r="CB210" i="9"/>
  <c r="CC210" i="9"/>
  <c r="CD210" i="9"/>
  <c r="CF210" i="9"/>
  <c r="CG210" i="9"/>
  <c r="CH210" i="9"/>
  <c r="CI210" i="9"/>
  <c r="CJ210" i="9"/>
  <c r="CK210" i="9"/>
  <c r="CL210" i="9"/>
  <c r="CN210" i="9"/>
  <c r="CO210" i="9"/>
  <c r="CQ210" i="9"/>
  <c r="CR210" i="9"/>
  <c r="CT210" i="9"/>
  <c r="CZ210" i="9"/>
  <c r="DB210" i="9"/>
  <c r="DD210" i="9"/>
  <c r="DF210" i="9"/>
  <c r="DH210" i="9"/>
  <c r="DL210" i="9"/>
  <c r="BW211" i="9"/>
  <c r="BX211" i="9"/>
  <c r="BY211" i="9"/>
  <c r="BZ211" i="9"/>
  <c r="CA211" i="9"/>
  <c r="CB211" i="9"/>
  <c r="CC211" i="9"/>
  <c r="CD211" i="9"/>
  <c r="CF211" i="9"/>
  <c r="CG211" i="9"/>
  <c r="CH211" i="9"/>
  <c r="CI211" i="9"/>
  <c r="CJ211" i="9"/>
  <c r="CK211" i="9"/>
  <c r="CL211" i="9"/>
  <c r="CN211" i="9"/>
  <c r="CO211" i="9"/>
  <c r="CQ211" i="9"/>
  <c r="CR211" i="9"/>
  <c r="CT211" i="9"/>
  <c r="CZ211" i="9"/>
  <c r="DB211" i="9"/>
  <c r="DD211" i="9"/>
  <c r="DF211" i="9"/>
  <c r="DH211" i="9"/>
  <c r="DL211" i="9"/>
  <c r="BW212" i="9"/>
  <c r="BX212" i="9"/>
  <c r="BY212" i="9"/>
  <c r="BZ212" i="9"/>
  <c r="CA212" i="9"/>
  <c r="CB212" i="9"/>
  <c r="CC212" i="9"/>
  <c r="CD212" i="9"/>
  <c r="CF212" i="9"/>
  <c r="CG212" i="9"/>
  <c r="CH212" i="9"/>
  <c r="CI212" i="9"/>
  <c r="CJ212" i="9"/>
  <c r="CK212" i="9"/>
  <c r="CL212" i="9"/>
  <c r="CN212" i="9"/>
  <c r="CO212" i="9"/>
  <c r="CQ212" i="9"/>
  <c r="CR212" i="9"/>
  <c r="CT212" i="9"/>
  <c r="CZ212" i="9"/>
  <c r="DB212" i="9"/>
  <c r="DD212" i="9"/>
  <c r="DF212" i="9"/>
  <c r="DH212" i="9"/>
  <c r="DL212" i="9"/>
  <c r="BW213" i="9"/>
  <c r="BX213" i="9"/>
  <c r="BY213" i="9"/>
  <c r="BZ213" i="9"/>
  <c r="CA213" i="9"/>
  <c r="CB213" i="9"/>
  <c r="CC213" i="9"/>
  <c r="CD213" i="9"/>
  <c r="CF213" i="9"/>
  <c r="CG213" i="9"/>
  <c r="CH213" i="9"/>
  <c r="CI213" i="9"/>
  <c r="CJ213" i="9"/>
  <c r="CK213" i="9"/>
  <c r="CL213" i="9"/>
  <c r="CN213" i="9"/>
  <c r="CO213" i="9"/>
  <c r="CQ213" i="9"/>
  <c r="CR213" i="9"/>
  <c r="CT213" i="9"/>
  <c r="CZ213" i="9"/>
  <c r="DB213" i="9"/>
  <c r="DD213" i="9"/>
  <c r="DF213" i="9"/>
  <c r="DH213" i="9"/>
  <c r="DL213" i="9"/>
  <c r="BW214" i="9"/>
  <c r="BX214" i="9"/>
  <c r="BY214" i="9"/>
  <c r="BZ214" i="9"/>
  <c r="CA214" i="9"/>
  <c r="CB214" i="9"/>
  <c r="CC214" i="9"/>
  <c r="CD214" i="9"/>
  <c r="CF214" i="9"/>
  <c r="CG214" i="9"/>
  <c r="CH214" i="9"/>
  <c r="CI214" i="9"/>
  <c r="CJ214" i="9"/>
  <c r="CK214" i="9"/>
  <c r="CL214" i="9"/>
  <c r="CN214" i="9"/>
  <c r="CO214" i="9"/>
  <c r="CQ214" i="9"/>
  <c r="CR214" i="9"/>
  <c r="CT214" i="9"/>
  <c r="CZ214" i="9"/>
  <c r="DB214" i="9"/>
  <c r="DD214" i="9"/>
  <c r="DF214" i="9"/>
  <c r="DH214" i="9"/>
  <c r="DL214" i="9"/>
  <c r="BW215" i="9"/>
  <c r="BX215" i="9"/>
  <c r="BY215" i="9"/>
  <c r="BZ215" i="9"/>
  <c r="CA215" i="9"/>
  <c r="CB215" i="9"/>
  <c r="CC215" i="9"/>
  <c r="CD215" i="9"/>
  <c r="CF215" i="9"/>
  <c r="CG215" i="9"/>
  <c r="CH215" i="9"/>
  <c r="CI215" i="9"/>
  <c r="CJ215" i="9"/>
  <c r="CK215" i="9"/>
  <c r="CL215" i="9"/>
  <c r="CN215" i="9"/>
  <c r="CO215" i="9"/>
  <c r="CQ215" i="9"/>
  <c r="CR215" i="9"/>
  <c r="CT215" i="9"/>
  <c r="CZ215" i="9"/>
  <c r="DB215" i="9"/>
  <c r="DD215" i="9"/>
  <c r="DF215" i="9"/>
  <c r="DH215" i="9"/>
  <c r="DL215" i="9"/>
  <c r="BW216" i="9"/>
  <c r="BX216" i="9"/>
  <c r="BY216" i="9"/>
  <c r="BZ216" i="9"/>
  <c r="CA216" i="9"/>
  <c r="CB216" i="9"/>
  <c r="CC216" i="9"/>
  <c r="CD216" i="9"/>
  <c r="CF216" i="9"/>
  <c r="CG216" i="9"/>
  <c r="CH216" i="9"/>
  <c r="CI216" i="9"/>
  <c r="CJ216" i="9"/>
  <c r="CK216" i="9"/>
  <c r="CL216" i="9"/>
  <c r="CN216" i="9"/>
  <c r="CO216" i="9"/>
  <c r="CQ216" i="9"/>
  <c r="CR216" i="9"/>
  <c r="CT216" i="9"/>
  <c r="CZ216" i="9"/>
  <c r="DB216" i="9"/>
  <c r="DD216" i="9"/>
  <c r="DF216" i="9"/>
  <c r="DH216" i="9"/>
  <c r="DL216" i="9"/>
  <c r="BW217" i="9"/>
  <c r="BX217" i="9"/>
  <c r="BY217" i="9"/>
  <c r="BZ217" i="9"/>
  <c r="CA217" i="9"/>
  <c r="CB217" i="9"/>
  <c r="CC217" i="9"/>
  <c r="CD217" i="9"/>
  <c r="CF217" i="9"/>
  <c r="CG217" i="9"/>
  <c r="CH217" i="9"/>
  <c r="CI217" i="9"/>
  <c r="CJ217" i="9"/>
  <c r="CK217" i="9"/>
  <c r="CL217" i="9"/>
  <c r="CN217" i="9"/>
  <c r="CO217" i="9"/>
  <c r="CQ217" i="9"/>
  <c r="CR217" i="9"/>
  <c r="CT217" i="9"/>
  <c r="CZ217" i="9"/>
  <c r="DB217" i="9"/>
  <c r="DD217" i="9"/>
  <c r="DF217" i="9"/>
  <c r="DH217" i="9"/>
  <c r="DL217" i="9"/>
  <c r="BW218" i="9"/>
  <c r="BX218" i="9"/>
  <c r="BY218" i="9"/>
  <c r="BZ218" i="9"/>
  <c r="CA218" i="9"/>
  <c r="CB218" i="9"/>
  <c r="CC218" i="9"/>
  <c r="CD218" i="9"/>
  <c r="CF218" i="9"/>
  <c r="CG218" i="9"/>
  <c r="CH218" i="9"/>
  <c r="CI218" i="9"/>
  <c r="CJ218" i="9"/>
  <c r="CK218" i="9"/>
  <c r="CL218" i="9"/>
  <c r="CN218" i="9"/>
  <c r="CO218" i="9"/>
  <c r="CQ218" i="9"/>
  <c r="CR218" i="9"/>
  <c r="CT218" i="9"/>
  <c r="CZ218" i="9"/>
  <c r="DB218" i="9"/>
  <c r="DD218" i="9"/>
  <c r="DF218" i="9"/>
  <c r="DH218" i="9"/>
  <c r="DL218" i="9"/>
  <c r="BW219" i="9"/>
  <c r="BX219" i="9"/>
  <c r="BY219" i="9"/>
  <c r="BZ219" i="9"/>
  <c r="CA219" i="9"/>
  <c r="CB219" i="9"/>
  <c r="CC219" i="9"/>
  <c r="CD219" i="9"/>
  <c r="CF219" i="9"/>
  <c r="CG219" i="9"/>
  <c r="CH219" i="9"/>
  <c r="CI219" i="9"/>
  <c r="CJ219" i="9"/>
  <c r="CK219" i="9"/>
  <c r="CL219" i="9"/>
  <c r="CN219" i="9"/>
  <c r="CO219" i="9"/>
  <c r="CQ219" i="9"/>
  <c r="CR219" i="9"/>
  <c r="CT219" i="9"/>
  <c r="CZ219" i="9"/>
  <c r="DB219" i="9"/>
  <c r="DD219" i="9"/>
  <c r="DF219" i="9"/>
  <c r="DH219" i="9"/>
  <c r="DL219" i="9"/>
  <c r="BW220" i="9"/>
  <c r="BX220" i="9"/>
  <c r="BY220" i="9"/>
  <c r="BZ220" i="9"/>
  <c r="CA220" i="9"/>
  <c r="CB220" i="9"/>
  <c r="CC220" i="9"/>
  <c r="CD220" i="9"/>
  <c r="CF220" i="9"/>
  <c r="CG220" i="9"/>
  <c r="CH220" i="9"/>
  <c r="CI220" i="9"/>
  <c r="CJ220" i="9"/>
  <c r="CK220" i="9"/>
  <c r="CL220" i="9"/>
  <c r="CN220" i="9"/>
  <c r="CO220" i="9"/>
  <c r="CQ220" i="9"/>
  <c r="CR220" i="9"/>
  <c r="CT220" i="9"/>
  <c r="CZ220" i="9"/>
  <c r="DB220" i="9"/>
  <c r="DD220" i="9"/>
  <c r="DF220" i="9"/>
  <c r="DH220" i="9"/>
  <c r="DL220" i="9"/>
  <c r="BW221" i="9"/>
  <c r="BX221" i="9"/>
  <c r="BY221" i="9"/>
  <c r="BZ221" i="9"/>
  <c r="CA221" i="9"/>
  <c r="CB221" i="9"/>
  <c r="CC221" i="9"/>
  <c r="CD221" i="9"/>
  <c r="CF221" i="9"/>
  <c r="CG221" i="9"/>
  <c r="CH221" i="9"/>
  <c r="CI221" i="9"/>
  <c r="CJ221" i="9"/>
  <c r="CK221" i="9"/>
  <c r="CL221" i="9"/>
  <c r="CN221" i="9"/>
  <c r="CO221" i="9"/>
  <c r="CQ221" i="9"/>
  <c r="CR221" i="9"/>
  <c r="CT221" i="9"/>
  <c r="CZ221" i="9"/>
  <c r="DB221" i="9"/>
  <c r="DD221" i="9"/>
  <c r="DF221" i="9"/>
  <c r="DH221" i="9"/>
  <c r="DL221" i="9"/>
  <c r="BW223" i="9"/>
  <c r="BX223" i="9"/>
  <c r="BY223" i="9"/>
  <c r="BZ223" i="9"/>
  <c r="CA223" i="9"/>
  <c r="CB223" i="9"/>
  <c r="CC223" i="9"/>
  <c r="CD223" i="9"/>
  <c r="CF223" i="9"/>
  <c r="CG223" i="9"/>
  <c r="CH223" i="9"/>
  <c r="CI223" i="9"/>
  <c r="CJ223" i="9"/>
  <c r="CK223" i="9"/>
  <c r="CL223" i="9"/>
  <c r="CN223" i="9"/>
  <c r="CO223" i="9"/>
  <c r="CQ223" i="9"/>
  <c r="CR223" i="9"/>
  <c r="CT223" i="9"/>
  <c r="CZ223" i="9"/>
  <c r="DB223" i="9"/>
  <c r="DD223" i="9"/>
  <c r="DF223" i="9"/>
  <c r="DH223" i="9"/>
  <c r="DL223" i="9"/>
  <c r="BW224" i="9"/>
  <c r="BX224" i="9"/>
  <c r="BY224" i="9"/>
  <c r="BZ224" i="9"/>
  <c r="CA224" i="9"/>
  <c r="CB224" i="9"/>
  <c r="CC224" i="9"/>
  <c r="CD224" i="9"/>
  <c r="CF224" i="9"/>
  <c r="CG224" i="9"/>
  <c r="CH224" i="9"/>
  <c r="CI224" i="9"/>
  <c r="CJ224" i="9"/>
  <c r="CK224" i="9"/>
  <c r="CL224" i="9"/>
  <c r="CN224" i="9"/>
  <c r="CO224" i="9"/>
  <c r="CQ224" i="9"/>
  <c r="CR224" i="9"/>
  <c r="CT224" i="9"/>
  <c r="CZ224" i="9"/>
  <c r="DB224" i="9"/>
  <c r="DD224" i="9"/>
  <c r="DF224" i="9"/>
  <c r="DH224" i="9"/>
  <c r="DL224" i="9"/>
  <c r="BW225" i="9"/>
  <c r="BX225" i="9"/>
  <c r="BY225" i="9"/>
  <c r="BZ225" i="9"/>
  <c r="CA225" i="9"/>
  <c r="CB225" i="9"/>
  <c r="CC225" i="9"/>
  <c r="CD225" i="9"/>
  <c r="CF225" i="9"/>
  <c r="CG225" i="9"/>
  <c r="CH225" i="9"/>
  <c r="CI225" i="9"/>
  <c r="CJ225" i="9"/>
  <c r="CK225" i="9"/>
  <c r="CL225" i="9"/>
  <c r="CN225" i="9"/>
  <c r="CO225" i="9"/>
  <c r="CQ225" i="9"/>
  <c r="CR225" i="9"/>
  <c r="CT225" i="9"/>
  <c r="CZ225" i="9"/>
  <c r="DB225" i="9"/>
  <c r="DD225" i="9"/>
  <c r="DF225" i="9"/>
  <c r="DH225" i="9"/>
  <c r="DL225" i="9"/>
  <c r="BW227" i="9"/>
  <c r="BX227" i="9"/>
  <c r="BY227" i="9"/>
  <c r="BZ227" i="9"/>
  <c r="CA227" i="9"/>
  <c r="CB227" i="9"/>
  <c r="CC227" i="9"/>
  <c r="CD227" i="9"/>
  <c r="CF227" i="9"/>
  <c r="CG227" i="9"/>
  <c r="CH227" i="9"/>
  <c r="CI227" i="9"/>
  <c r="CJ227" i="9"/>
  <c r="CK227" i="9"/>
  <c r="CL227" i="9"/>
  <c r="CN227" i="9"/>
  <c r="CO227" i="9"/>
  <c r="CQ227" i="9"/>
  <c r="CR227" i="9"/>
  <c r="CT227" i="9"/>
  <c r="CZ227" i="9"/>
  <c r="DB227" i="9"/>
  <c r="DD227" i="9"/>
  <c r="DF227" i="9"/>
  <c r="DH227" i="9"/>
  <c r="DL227" i="9"/>
  <c r="BW228" i="9"/>
  <c r="BX228" i="9"/>
  <c r="BY228" i="9"/>
  <c r="BZ228" i="9"/>
  <c r="CA228" i="9"/>
  <c r="CB228" i="9"/>
  <c r="CC228" i="9"/>
  <c r="CD228" i="9"/>
  <c r="CF228" i="9"/>
  <c r="CG228" i="9"/>
  <c r="CH228" i="9"/>
  <c r="CI228" i="9"/>
  <c r="CJ228" i="9"/>
  <c r="CK228" i="9"/>
  <c r="CL228" i="9"/>
  <c r="CN228" i="9"/>
  <c r="CO228" i="9"/>
  <c r="CQ228" i="9"/>
  <c r="CR228" i="9"/>
  <c r="CT228" i="9"/>
  <c r="CZ228" i="9"/>
  <c r="DB228" i="9"/>
  <c r="DD228" i="9"/>
  <c r="DF228" i="9"/>
  <c r="DH228" i="9"/>
  <c r="DL228" i="9"/>
  <c r="BW229" i="9"/>
  <c r="BX229" i="9"/>
  <c r="BY229" i="9"/>
  <c r="BZ229" i="9"/>
  <c r="CA229" i="9"/>
  <c r="CB229" i="9"/>
  <c r="CC229" i="9"/>
  <c r="CD229" i="9"/>
  <c r="CF229" i="9"/>
  <c r="CG229" i="9"/>
  <c r="CH229" i="9"/>
  <c r="CI229" i="9"/>
  <c r="CJ229" i="9"/>
  <c r="CK229" i="9"/>
  <c r="CL229" i="9"/>
  <c r="CN229" i="9"/>
  <c r="CO229" i="9"/>
  <c r="CQ229" i="9"/>
  <c r="CR229" i="9"/>
  <c r="CT229" i="9"/>
  <c r="CZ229" i="9"/>
  <c r="DB229" i="9"/>
  <c r="DD229" i="9"/>
  <c r="DF229" i="9"/>
  <c r="DH229" i="9"/>
  <c r="DL229" i="9"/>
  <c r="BW231" i="9"/>
  <c r="BX231" i="9"/>
  <c r="BY231" i="9"/>
  <c r="BZ231" i="9"/>
  <c r="CA231" i="9"/>
  <c r="CB231" i="9"/>
  <c r="CC231" i="9"/>
  <c r="CD231" i="9"/>
  <c r="CF231" i="9"/>
  <c r="CG231" i="9"/>
  <c r="CH231" i="9"/>
  <c r="CI231" i="9"/>
  <c r="CJ231" i="9"/>
  <c r="CK231" i="9"/>
  <c r="CL231" i="9"/>
  <c r="CN231" i="9"/>
  <c r="CO231" i="9"/>
  <c r="CQ231" i="9"/>
  <c r="CR231" i="9"/>
  <c r="CT231" i="9"/>
  <c r="CZ231" i="9"/>
  <c r="DB231" i="9"/>
  <c r="DD231" i="9"/>
  <c r="DF231" i="9"/>
  <c r="DH231" i="9"/>
  <c r="DL231" i="9"/>
  <c r="BW232" i="9"/>
  <c r="BX232" i="9"/>
  <c r="BY232" i="9"/>
  <c r="BZ232" i="9"/>
  <c r="CA232" i="9"/>
  <c r="CB232" i="9"/>
  <c r="CC232" i="9"/>
  <c r="CD232" i="9"/>
  <c r="CF232" i="9"/>
  <c r="CG232" i="9"/>
  <c r="CH232" i="9"/>
  <c r="CI232" i="9"/>
  <c r="CJ232" i="9"/>
  <c r="CK232" i="9"/>
  <c r="CL232" i="9"/>
  <c r="CN232" i="9"/>
  <c r="CO232" i="9"/>
  <c r="CQ232" i="9"/>
  <c r="CR232" i="9"/>
  <c r="CT232" i="9"/>
  <c r="CZ232" i="9"/>
  <c r="DB232" i="9"/>
  <c r="DD232" i="9"/>
  <c r="DF232" i="9"/>
  <c r="DH232" i="9"/>
  <c r="DL232" i="9"/>
  <c r="BW233" i="9"/>
  <c r="BX233" i="9"/>
  <c r="BY233" i="9"/>
  <c r="BZ233" i="9"/>
  <c r="CA233" i="9"/>
  <c r="CB233" i="9"/>
  <c r="CC233" i="9"/>
  <c r="CD233" i="9"/>
  <c r="CF233" i="9"/>
  <c r="CG233" i="9"/>
  <c r="CH233" i="9"/>
  <c r="CI233" i="9"/>
  <c r="CJ233" i="9"/>
  <c r="CK233" i="9"/>
  <c r="CL233" i="9"/>
  <c r="CN233" i="9"/>
  <c r="CO233" i="9"/>
  <c r="CQ233" i="9"/>
  <c r="CR233" i="9"/>
  <c r="CT233" i="9"/>
  <c r="CZ233" i="9"/>
  <c r="DB233" i="9"/>
  <c r="DD233" i="9"/>
  <c r="DF233" i="9"/>
  <c r="DH233" i="9"/>
  <c r="DL233" i="9"/>
  <c r="BW234" i="9"/>
  <c r="BX234" i="9"/>
  <c r="BY234" i="9"/>
  <c r="BZ234" i="9"/>
  <c r="CA234" i="9"/>
  <c r="CB234" i="9"/>
  <c r="CC234" i="9"/>
  <c r="CD234" i="9"/>
  <c r="CF234" i="9"/>
  <c r="CG234" i="9"/>
  <c r="CH234" i="9"/>
  <c r="CI234" i="9"/>
  <c r="CJ234" i="9"/>
  <c r="CK234" i="9"/>
  <c r="CL234" i="9"/>
  <c r="CN234" i="9"/>
  <c r="CO234" i="9"/>
  <c r="CQ234" i="9"/>
  <c r="CR234" i="9"/>
  <c r="CT234" i="9"/>
  <c r="CZ234" i="9"/>
  <c r="DB234" i="9"/>
  <c r="DD234" i="9"/>
  <c r="DF234" i="9"/>
  <c r="DH234" i="9"/>
  <c r="DL234" i="9"/>
  <c r="BW235" i="9"/>
  <c r="BX235" i="9"/>
  <c r="BY235" i="9"/>
  <c r="BZ235" i="9"/>
  <c r="CA235" i="9"/>
  <c r="CB235" i="9"/>
  <c r="CC235" i="9"/>
  <c r="CD235" i="9"/>
  <c r="CF235" i="9"/>
  <c r="CG235" i="9"/>
  <c r="CH235" i="9"/>
  <c r="CI235" i="9"/>
  <c r="CJ235" i="9"/>
  <c r="CK235" i="9"/>
  <c r="CL235" i="9"/>
  <c r="CN235" i="9"/>
  <c r="CO235" i="9"/>
  <c r="CQ235" i="9"/>
  <c r="CR235" i="9"/>
  <c r="CT235" i="9"/>
  <c r="CZ235" i="9"/>
  <c r="DB235" i="9"/>
  <c r="DD235" i="9"/>
  <c r="DF235" i="9"/>
  <c r="DH235" i="9"/>
  <c r="DL235" i="9"/>
  <c r="BW236" i="9"/>
  <c r="BX236" i="9"/>
  <c r="BY236" i="9"/>
  <c r="BZ236" i="9"/>
  <c r="CA236" i="9"/>
  <c r="CB236" i="9"/>
  <c r="CC236" i="9"/>
  <c r="CD236" i="9"/>
  <c r="CF236" i="9"/>
  <c r="CG236" i="9"/>
  <c r="CH236" i="9"/>
  <c r="CI236" i="9"/>
  <c r="CJ236" i="9"/>
  <c r="CK236" i="9"/>
  <c r="CL236" i="9"/>
  <c r="CN236" i="9"/>
  <c r="CO236" i="9"/>
  <c r="CQ236" i="9"/>
  <c r="CR236" i="9"/>
  <c r="CT236" i="9"/>
  <c r="CZ236" i="9"/>
  <c r="DB236" i="9"/>
  <c r="DD236" i="9"/>
  <c r="DF236" i="9"/>
  <c r="DH236" i="9"/>
  <c r="DL236" i="9"/>
  <c r="BW237" i="9"/>
  <c r="BX237" i="9"/>
  <c r="BY237" i="9"/>
  <c r="BZ237" i="9"/>
  <c r="CA237" i="9"/>
  <c r="CB237" i="9"/>
  <c r="CC237" i="9"/>
  <c r="CD237" i="9"/>
  <c r="CF237" i="9"/>
  <c r="CG237" i="9"/>
  <c r="CH237" i="9"/>
  <c r="CI237" i="9"/>
  <c r="CJ237" i="9"/>
  <c r="CK237" i="9"/>
  <c r="CL237" i="9"/>
  <c r="CN237" i="9"/>
  <c r="CO237" i="9"/>
  <c r="CQ237" i="9"/>
  <c r="CR237" i="9"/>
  <c r="CT237" i="9"/>
  <c r="CZ237" i="9"/>
  <c r="DB237" i="9"/>
  <c r="DD237" i="9"/>
  <c r="DF237" i="9"/>
  <c r="DH237" i="9"/>
  <c r="DL237" i="9"/>
  <c r="BW239" i="9"/>
  <c r="BX239" i="9"/>
  <c r="BY239" i="9"/>
  <c r="BZ239" i="9"/>
  <c r="CA239" i="9"/>
  <c r="CB239" i="9"/>
  <c r="CC239" i="9"/>
  <c r="CD239" i="9"/>
  <c r="CF239" i="9"/>
  <c r="CG239" i="9"/>
  <c r="CH239" i="9"/>
  <c r="CI239" i="9"/>
  <c r="CJ239" i="9"/>
  <c r="CK239" i="9"/>
  <c r="CL239" i="9"/>
  <c r="CN239" i="9"/>
  <c r="CO239" i="9"/>
  <c r="CQ239" i="9"/>
  <c r="CR239" i="9"/>
  <c r="CT239" i="9"/>
  <c r="CZ239" i="9"/>
  <c r="DB239" i="9"/>
  <c r="DD239" i="9"/>
  <c r="DF239" i="9"/>
  <c r="DH239" i="9"/>
  <c r="DL239" i="9"/>
  <c r="BW240" i="9"/>
  <c r="BX240" i="9"/>
  <c r="BY240" i="9"/>
  <c r="BZ240" i="9"/>
  <c r="CA240" i="9"/>
  <c r="CB240" i="9"/>
  <c r="CC240" i="9"/>
  <c r="CD240" i="9"/>
  <c r="CF240" i="9"/>
  <c r="CG240" i="9"/>
  <c r="CH240" i="9"/>
  <c r="CI240" i="9"/>
  <c r="CJ240" i="9"/>
  <c r="CK240" i="9"/>
  <c r="CL240" i="9"/>
  <c r="CN240" i="9"/>
  <c r="CO240" i="9"/>
  <c r="CQ240" i="9"/>
  <c r="CR240" i="9"/>
  <c r="CT240" i="9"/>
  <c r="CZ240" i="9"/>
  <c r="DB240" i="9"/>
  <c r="DD240" i="9"/>
  <c r="DF240" i="9"/>
  <c r="DH240" i="9"/>
  <c r="DL240" i="9"/>
  <c r="BW241" i="9"/>
  <c r="BX241" i="9"/>
  <c r="BY241" i="9"/>
  <c r="BZ241" i="9"/>
  <c r="CA241" i="9"/>
  <c r="CB241" i="9"/>
  <c r="CC241" i="9"/>
  <c r="CD241" i="9"/>
  <c r="CF241" i="9"/>
  <c r="CG241" i="9"/>
  <c r="CH241" i="9"/>
  <c r="CI241" i="9"/>
  <c r="CJ241" i="9"/>
  <c r="CK241" i="9"/>
  <c r="CL241" i="9"/>
  <c r="CN241" i="9"/>
  <c r="CO241" i="9"/>
  <c r="CQ241" i="9"/>
  <c r="CR241" i="9"/>
  <c r="CT241" i="9"/>
  <c r="CZ241" i="9"/>
  <c r="DB241" i="9"/>
  <c r="DD241" i="9"/>
  <c r="DF241" i="9"/>
  <c r="DH241" i="9"/>
  <c r="DL241" i="9"/>
  <c r="BW242" i="9"/>
  <c r="BX242" i="9"/>
  <c r="BY242" i="9"/>
  <c r="BZ242" i="9"/>
  <c r="CA242" i="9"/>
  <c r="CB242" i="9"/>
  <c r="CC242" i="9"/>
  <c r="CD242" i="9"/>
  <c r="CF242" i="9"/>
  <c r="CG242" i="9"/>
  <c r="CH242" i="9"/>
  <c r="CI242" i="9"/>
  <c r="CJ242" i="9"/>
  <c r="CK242" i="9"/>
  <c r="CL242" i="9"/>
  <c r="CN242" i="9"/>
  <c r="CO242" i="9"/>
  <c r="CQ242" i="9"/>
  <c r="CR242" i="9"/>
  <c r="CT242" i="9"/>
  <c r="CZ242" i="9"/>
  <c r="DB242" i="9"/>
  <c r="DD242" i="9"/>
  <c r="DF242" i="9"/>
  <c r="DH242" i="9"/>
  <c r="DL242" i="9"/>
  <c r="AF40" i="9"/>
  <c r="AG40" i="9"/>
  <c r="AF41" i="9"/>
  <c r="AG41" i="9"/>
  <c r="AF42" i="9"/>
  <c r="AG42" i="9"/>
  <c r="AF43" i="9"/>
  <c r="AG43" i="9"/>
  <c r="CS41" i="9"/>
  <c r="CT41" i="9"/>
  <c r="CS40" i="9"/>
  <c r="CT40" i="9"/>
  <c r="CF41" i="9"/>
  <c r="CG41" i="9"/>
  <c r="CF42" i="9"/>
  <c r="CG42" i="9"/>
  <c r="CF40" i="9"/>
  <c r="CG40" i="9"/>
  <c r="BS41" i="9"/>
  <c r="BT41" i="9"/>
  <c r="BS42" i="9"/>
  <c r="BT42" i="9"/>
  <c r="BS40" i="9"/>
  <c r="BT40" i="9"/>
  <c r="BF41" i="9"/>
  <c r="BG41" i="9"/>
  <c r="BF42" i="9"/>
  <c r="BG42" i="9"/>
  <c r="BF40" i="9"/>
  <c r="BG40" i="9"/>
  <c r="O4" i="40"/>
  <c r="O3" i="40"/>
  <c r="P41" i="9"/>
  <c r="P42" i="9"/>
  <c r="T41" i="9"/>
  <c r="T42" i="9"/>
  <c r="R206" i="9"/>
  <c r="R188" i="9"/>
  <c r="R189" i="9"/>
  <c r="R190" i="9"/>
  <c r="R191" i="9"/>
  <c r="R192" i="9"/>
  <c r="R193" i="9"/>
  <c r="R194" i="9"/>
  <c r="R195" i="9"/>
  <c r="R196" i="9"/>
  <c r="R197" i="9"/>
  <c r="R198" i="9"/>
  <c r="R199" i="9"/>
  <c r="R200" i="9"/>
  <c r="R201" i="9"/>
  <c r="R202" i="9"/>
  <c r="R203" i="9"/>
  <c r="R204" i="9"/>
  <c r="R205" i="9"/>
  <c r="S206" i="9"/>
  <c r="S188" i="9"/>
  <c r="S189" i="9"/>
  <c r="S190" i="9"/>
  <c r="S191" i="9"/>
  <c r="S192" i="9"/>
  <c r="S193" i="9"/>
  <c r="S194" i="9"/>
  <c r="S195" i="9"/>
  <c r="S196" i="9"/>
  <c r="S197" i="9"/>
  <c r="S198" i="9"/>
  <c r="S199" i="9"/>
  <c r="S200" i="9"/>
  <c r="S201" i="9"/>
  <c r="S202" i="9"/>
  <c r="S203" i="9"/>
  <c r="S204" i="9"/>
  <c r="S205" i="9"/>
  <c r="Y206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Q41" i="9"/>
  <c r="Q42" i="9"/>
  <c r="R41" i="9"/>
  <c r="R42" i="9"/>
  <c r="U41" i="9"/>
  <c r="U42" i="9"/>
  <c r="V41" i="9"/>
  <c r="V42" i="9"/>
  <c r="W41" i="9"/>
  <c r="W42" i="9"/>
  <c r="X41" i="9"/>
  <c r="X42" i="9"/>
  <c r="Y41" i="9"/>
  <c r="Y42" i="9"/>
  <c r="Z41" i="9"/>
  <c r="Z42" i="9"/>
  <c r="AA41" i="9"/>
  <c r="AA42" i="9"/>
  <c r="B50" i="4"/>
  <c r="B51" i="4"/>
  <c r="B52" i="4"/>
  <c r="B39" i="4"/>
  <c r="B40" i="4"/>
  <c r="B41" i="4"/>
  <c r="B42" i="4"/>
  <c r="B43" i="4"/>
  <c r="B44" i="4"/>
  <c r="B45" i="4"/>
  <c r="B46" i="4"/>
  <c r="B47" i="4"/>
  <c r="B48" i="4"/>
  <c r="B49" i="4"/>
  <c r="E4" i="4"/>
  <c r="F4" i="4"/>
  <c r="E5" i="4"/>
  <c r="F5" i="4"/>
  <c r="E6" i="4"/>
  <c r="E7" i="4"/>
  <c r="B56" i="52"/>
  <c r="B51" i="52"/>
  <c r="B50" i="52"/>
  <c r="B49" i="52"/>
  <c r="B48" i="52"/>
  <c r="B47" i="52"/>
  <c r="B46" i="52"/>
  <c r="B45" i="52"/>
  <c r="B44" i="52"/>
  <c r="B43" i="52"/>
  <c r="B42" i="52"/>
  <c r="B41" i="52"/>
  <c r="B40" i="52"/>
  <c r="B39" i="52"/>
  <c r="D132" i="9"/>
  <c r="E132" i="9"/>
  <c r="F132" i="9"/>
  <c r="G132" i="9"/>
  <c r="H132" i="9"/>
  <c r="I132" i="9"/>
  <c r="J132" i="9"/>
  <c r="K132" i="9"/>
  <c r="L132" i="9"/>
  <c r="M132" i="9"/>
  <c r="N132" i="9"/>
  <c r="D133" i="9"/>
  <c r="E133" i="9"/>
  <c r="F133" i="9"/>
  <c r="G133" i="9"/>
  <c r="H133" i="9"/>
  <c r="I133" i="9"/>
  <c r="J133" i="9"/>
  <c r="K133" i="9"/>
  <c r="L133" i="9"/>
  <c r="M133" i="9"/>
  <c r="N133" i="9"/>
  <c r="D134" i="9"/>
  <c r="E134" i="9"/>
  <c r="F134" i="9"/>
  <c r="G134" i="9"/>
  <c r="H134" i="9"/>
  <c r="I134" i="9"/>
  <c r="J134" i="9"/>
  <c r="K134" i="9"/>
  <c r="L134" i="9"/>
  <c r="M134" i="9"/>
  <c r="N134" i="9"/>
  <c r="D135" i="9"/>
  <c r="E135" i="9"/>
  <c r="F135" i="9"/>
  <c r="G135" i="9"/>
  <c r="H135" i="9"/>
  <c r="I135" i="9"/>
  <c r="J135" i="9"/>
  <c r="K135" i="9"/>
  <c r="L135" i="9"/>
  <c r="M135" i="9"/>
  <c r="N135" i="9"/>
  <c r="D136" i="9"/>
  <c r="E136" i="9"/>
  <c r="F136" i="9"/>
  <c r="G136" i="9"/>
  <c r="H136" i="9"/>
  <c r="I136" i="9"/>
  <c r="J136" i="9"/>
  <c r="K136" i="9"/>
  <c r="L136" i="9"/>
  <c r="M136" i="9"/>
  <c r="N136" i="9"/>
  <c r="C136" i="9"/>
  <c r="O136" i="9" s="1"/>
  <c r="C135" i="9"/>
  <c r="C134" i="9"/>
  <c r="C133" i="9"/>
  <c r="C132" i="9"/>
  <c r="Q142" i="9"/>
  <c r="R142" i="9"/>
  <c r="S142" i="9"/>
  <c r="T142" i="9"/>
  <c r="X142" i="9"/>
  <c r="Y142" i="9"/>
  <c r="Z142" i="9"/>
  <c r="CN42" i="9"/>
  <c r="CM42" i="9"/>
  <c r="CL42" i="9"/>
  <c r="CK42" i="9"/>
  <c r="CJ42" i="9"/>
  <c r="CI42" i="9"/>
  <c r="CH42" i="9"/>
  <c r="CE42" i="9"/>
  <c r="CD42" i="9"/>
  <c r="DA41" i="9"/>
  <c r="CZ41" i="9"/>
  <c r="CY41" i="9"/>
  <c r="CX41" i="9"/>
  <c r="CW41" i="9"/>
  <c r="CV41" i="9"/>
  <c r="CU41" i="9"/>
  <c r="CR41" i="9"/>
  <c r="CQ41" i="9"/>
  <c r="CN41" i="9"/>
  <c r="CM41" i="9"/>
  <c r="CL41" i="9"/>
  <c r="CK41" i="9"/>
  <c r="CJ41" i="9"/>
  <c r="CI41" i="9"/>
  <c r="CH41" i="9"/>
  <c r="CE41" i="9"/>
  <c r="CD41" i="9"/>
  <c r="DA40" i="9"/>
  <c r="CZ40" i="9"/>
  <c r="CY40" i="9"/>
  <c r="CX40" i="9"/>
  <c r="CW40" i="9"/>
  <c r="CV40" i="9"/>
  <c r="CU40" i="9"/>
  <c r="CR40" i="9"/>
  <c r="CQ40" i="9"/>
  <c r="CN40" i="9"/>
  <c r="CM40" i="9"/>
  <c r="CL40" i="9"/>
  <c r="CK40" i="9"/>
  <c r="CJ40" i="9"/>
  <c r="CI40" i="9"/>
  <c r="CH40" i="9"/>
  <c r="CE40" i="9"/>
  <c r="CD40" i="9"/>
  <c r="BQ41" i="9"/>
  <c r="BR41" i="9"/>
  <c r="BU41" i="9"/>
  <c r="BV41" i="9"/>
  <c r="BW41" i="9"/>
  <c r="BX41" i="9"/>
  <c r="BY41" i="9"/>
  <c r="BZ41" i="9"/>
  <c r="CA41" i="9"/>
  <c r="BQ42" i="9"/>
  <c r="BR42" i="9"/>
  <c r="BU42" i="9"/>
  <c r="BV42" i="9"/>
  <c r="BW42" i="9"/>
  <c r="BX42" i="9"/>
  <c r="BY42" i="9"/>
  <c r="BZ42" i="9"/>
  <c r="CA42" i="9"/>
  <c r="CA40" i="9"/>
  <c r="BZ40" i="9"/>
  <c r="BY40" i="9"/>
  <c r="BX40" i="9"/>
  <c r="BW40" i="9"/>
  <c r="BV40" i="9"/>
  <c r="BU40" i="9"/>
  <c r="BR40" i="9"/>
  <c r="BQ40" i="9"/>
  <c r="BD41" i="9"/>
  <c r="BE41" i="9"/>
  <c r="BH41" i="9"/>
  <c r="BI41" i="9"/>
  <c r="BJ41" i="9"/>
  <c r="BK41" i="9"/>
  <c r="BL41" i="9"/>
  <c r="BM41" i="9"/>
  <c r="BN41" i="9"/>
  <c r="BD42" i="9"/>
  <c r="BE42" i="9"/>
  <c r="BH42" i="9"/>
  <c r="BI42" i="9"/>
  <c r="BJ42" i="9"/>
  <c r="BK42" i="9"/>
  <c r="BL42" i="9"/>
  <c r="BM42" i="9"/>
  <c r="BN42" i="9"/>
  <c r="BD40" i="9"/>
  <c r="BE40" i="9"/>
  <c r="BH40" i="9"/>
  <c r="BI40" i="9"/>
  <c r="BJ40" i="9"/>
  <c r="BK40" i="9"/>
  <c r="BL40" i="9"/>
  <c r="BM40" i="9"/>
  <c r="BN40" i="9"/>
  <c r="AD41" i="9"/>
  <c r="AE41" i="9"/>
  <c r="AH41" i="9"/>
  <c r="AI41" i="9"/>
  <c r="AJ41" i="9"/>
  <c r="AK41" i="9"/>
  <c r="AL41" i="9"/>
  <c r="AM41" i="9"/>
  <c r="AN41" i="9"/>
  <c r="AD42" i="9"/>
  <c r="AE42" i="9"/>
  <c r="AH42" i="9"/>
  <c r="AI42" i="9"/>
  <c r="AJ42" i="9"/>
  <c r="AK42" i="9"/>
  <c r="AL42" i="9"/>
  <c r="AM42" i="9"/>
  <c r="AN42" i="9"/>
  <c r="AD43" i="9"/>
  <c r="AE43" i="9"/>
  <c r="AH43" i="9"/>
  <c r="AI43" i="9"/>
  <c r="AJ43" i="9"/>
  <c r="AK43" i="9"/>
  <c r="AL43" i="9"/>
  <c r="AM43" i="9"/>
  <c r="AN43" i="9"/>
  <c r="AN40" i="9"/>
  <c r="AM40" i="9"/>
  <c r="AD40" i="9"/>
  <c r="AE40" i="9"/>
  <c r="AH40" i="9"/>
  <c r="AI40" i="9"/>
  <c r="AJ40" i="9"/>
  <c r="AK40" i="9"/>
  <c r="AL40" i="9"/>
  <c r="A56" i="1"/>
  <c r="A57" i="1"/>
  <c r="A55" i="1"/>
  <c r="A52" i="1"/>
  <c r="A53" i="1"/>
  <c r="A54" i="1"/>
  <c r="A51" i="1"/>
  <c r="B443" i="44"/>
  <c r="B435" i="44"/>
  <c r="B427" i="44"/>
  <c r="B425" i="44"/>
  <c r="B419" i="44"/>
  <c r="B411" i="44"/>
  <c r="B403" i="44"/>
  <c r="B401" i="44"/>
  <c r="D2" i="1"/>
  <c r="B4" i="3"/>
  <c r="D289" i="43"/>
  <c r="D283" i="43"/>
  <c r="K283" i="43" s="1"/>
  <c r="D282" i="43"/>
  <c r="D281" i="43"/>
  <c r="A305" i="48"/>
  <c r="A306" i="48"/>
  <c r="A307" i="48"/>
  <c r="A304" i="48"/>
  <c r="A325" i="48"/>
  <c r="A324" i="48"/>
  <c r="A323" i="48"/>
  <c r="A322" i="48"/>
  <c r="L321" i="48"/>
  <c r="K321" i="48"/>
  <c r="A321" i="48"/>
  <c r="L320" i="48"/>
  <c r="K320" i="48"/>
  <c r="A320" i="48"/>
  <c r="L319" i="48"/>
  <c r="K319" i="48"/>
  <c r="A319" i="48"/>
  <c r="A318" i="48"/>
  <c r="A317" i="48"/>
  <c r="A316" i="48"/>
  <c r="L315" i="48"/>
  <c r="K315" i="48"/>
  <c r="A315" i="48"/>
  <c r="A314" i="48"/>
  <c r="A313" i="48"/>
  <c r="B294" i="43"/>
  <c r="B293" i="43"/>
  <c r="B292" i="43"/>
  <c r="B291" i="43"/>
  <c r="L364" i="48"/>
  <c r="L365" i="48"/>
  <c r="L366" i="48"/>
  <c r="L367" i="48"/>
  <c r="L373" i="48"/>
  <c r="L374" i="48"/>
  <c r="A365" i="48"/>
  <c r="A366" i="48"/>
  <c r="A367" i="48"/>
  <c r="A368" i="48"/>
  <c r="A369" i="48"/>
  <c r="A370" i="48"/>
  <c r="A371" i="48"/>
  <c r="A372" i="48"/>
  <c r="A373" i="48"/>
  <c r="A374" i="48"/>
  <c r="A364" i="48"/>
  <c r="A362" i="48"/>
  <c r="A363" i="48"/>
  <c r="A360" i="48"/>
  <c r="A361" i="48"/>
  <c r="A358" i="48"/>
  <c r="A359" i="48"/>
  <c r="A357" i="48"/>
  <c r="D409" i="48"/>
  <c r="K409" i="48" s="1"/>
  <c r="D410" i="48"/>
  <c r="D411" i="48"/>
  <c r="K411" i="48" s="1"/>
  <c r="D412" i="48"/>
  <c r="K412" i="48" s="1"/>
  <c r="D413" i="48"/>
  <c r="D414" i="48"/>
  <c r="D415" i="48"/>
  <c r="L415" i="48" s="1"/>
  <c r="D416" i="48"/>
  <c r="K416" i="48"/>
  <c r="D417" i="48"/>
  <c r="K417" i="48" s="1"/>
  <c r="D418" i="48"/>
  <c r="K418" i="48" s="1"/>
  <c r="D419" i="48"/>
  <c r="K419" i="48" s="1"/>
  <c r="D420" i="48"/>
  <c r="K420" i="48" s="1"/>
  <c r="D421" i="48"/>
  <c r="D422" i="48"/>
  <c r="D423" i="48"/>
  <c r="K423" i="48" s="1"/>
  <c r="D424" i="48"/>
  <c r="K424" i="48" s="1"/>
  <c r="D425" i="48"/>
  <c r="K425" i="48" s="1"/>
  <c r="D426" i="48"/>
  <c r="D427" i="48"/>
  <c r="D428" i="48"/>
  <c r="K428" i="48" s="1"/>
  <c r="D429" i="48"/>
  <c r="L429" i="48" s="1"/>
  <c r="D430" i="48"/>
  <c r="D431" i="48"/>
  <c r="D432" i="48"/>
  <c r="K432" i="48" s="1"/>
  <c r="D433" i="48"/>
  <c r="D434" i="48"/>
  <c r="D435" i="48"/>
  <c r="K443" i="48"/>
  <c r="D403" i="48"/>
  <c r="K403" i="48" s="1"/>
  <c r="D404" i="48"/>
  <c r="K404" i="48" s="1"/>
  <c r="D405" i="48"/>
  <c r="K405" i="48" s="1"/>
  <c r="D406" i="48"/>
  <c r="K406" i="48" s="1"/>
  <c r="D407" i="48"/>
  <c r="K407" i="48" s="1"/>
  <c r="L407" i="48"/>
  <c r="D379" i="48"/>
  <c r="D380" i="48"/>
  <c r="D381" i="48"/>
  <c r="D382" i="48"/>
  <c r="D383" i="48"/>
  <c r="L383" i="48"/>
  <c r="D384" i="48"/>
  <c r="D385" i="48"/>
  <c r="D386" i="48"/>
  <c r="D387" i="48"/>
  <c r="K387" i="48" s="1"/>
  <c r="D388" i="48"/>
  <c r="D389" i="48"/>
  <c r="D390" i="48"/>
  <c r="D391" i="48"/>
  <c r="L391" i="48" s="1"/>
  <c r="K391" i="48"/>
  <c r="D392" i="48"/>
  <c r="D393" i="48"/>
  <c r="D394" i="48"/>
  <c r="D395" i="48"/>
  <c r="D396" i="48"/>
  <c r="D397" i="48"/>
  <c r="D398" i="48"/>
  <c r="K398" i="48" s="1"/>
  <c r="D399" i="48"/>
  <c r="L399" i="48" s="1"/>
  <c r="D400" i="48"/>
  <c r="K400" i="48" s="1"/>
  <c r="A380" i="48"/>
  <c r="A381" i="48"/>
  <c r="A382" i="48"/>
  <c r="A383" i="48"/>
  <c r="A384" i="48"/>
  <c r="A385" i="48"/>
  <c r="A386" i="48"/>
  <c r="A387" i="48"/>
  <c r="A388" i="48"/>
  <c r="A389" i="48"/>
  <c r="A390" i="48"/>
  <c r="A391" i="48"/>
  <c r="A392" i="48"/>
  <c r="A393" i="48"/>
  <c r="A394" i="48"/>
  <c r="A395" i="48"/>
  <c r="A396" i="48"/>
  <c r="A397" i="48"/>
  <c r="A398" i="48"/>
  <c r="A399" i="48"/>
  <c r="A400" i="48"/>
  <c r="E12" i="41"/>
  <c r="E9" i="41"/>
  <c r="E19" i="41"/>
  <c r="E20" i="41"/>
  <c r="E21" i="41"/>
  <c r="N180" i="9"/>
  <c r="O180" i="9"/>
  <c r="P180" i="9"/>
  <c r="N183" i="9"/>
  <c r="O183" i="9"/>
  <c r="P183" i="9"/>
  <c r="N185" i="9"/>
  <c r="O185" i="9"/>
  <c r="P185" i="9"/>
  <c r="N184" i="9"/>
  <c r="O184" i="9"/>
  <c r="P184" i="9"/>
  <c r="P18" i="45"/>
  <c r="D23" i="45" s="1"/>
  <c r="P142" i="9"/>
  <c r="N181" i="9"/>
  <c r="O181" i="9"/>
  <c r="P181" i="9"/>
  <c r="N179" i="9"/>
  <c r="O179" i="9"/>
  <c r="P179" i="9"/>
  <c r="N178" i="9"/>
  <c r="O178" i="9"/>
  <c r="P178" i="9"/>
  <c r="N177" i="9"/>
  <c r="O177" i="9"/>
  <c r="P177" i="9"/>
  <c r="N176" i="9"/>
  <c r="O176" i="9"/>
  <c r="P176" i="9"/>
  <c r="A977" i="48"/>
  <c r="A453" i="48"/>
  <c r="D453" i="48" s="1"/>
  <c r="L453" i="48" s="1"/>
  <c r="A454" i="48"/>
  <c r="D454" i="48" s="1"/>
  <c r="L454" i="48" s="1"/>
  <c r="A455" i="48"/>
  <c r="D455" i="48" s="1"/>
  <c r="L455" i="48" s="1"/>
  <c r="A456" i="48"/>
  <c r="D456" i="48" s="1"/>
  <c r="L456" i="48" s="1"/>
  <c r="A457" i="48"/>
  <c r="D457" i="48"/>
  <c r="L457" i="48"/>
  <c r="A458" i="48"/>
  <c r="D458" i="48"/>
  <c r="L458" i="48" s="1"/>
  <c r="A459" i="48"/>
  <c r="D459" i="48" s="1"/>
  <c r="L459" i="48" s="1"/>
  <c r="A460" i="48"/>
  <c r="D460" i="48" s="1"/>
  <c r="L460" i="48" s="1"/>
  <c r="A461" i="48"/>
  <c r="D461" i="48" s="1"/>
  <c r="L461" i="48" s="1"/>
  <c r="A462" i="48"/>
  <c r="D462" i="48" s="1"/>
  <c r="L462" i="48" s="1"/>
  <c r="A463" i="48"/>
  <c r="D463" i="48" s="1"/>
  <c r="L463" i="48" s="1"/>
  <c r="A464" i="48"/>
  <c r="D464" i="48" s="1"/>
  <c r="L464" i="48" s="1"/>
  <c r="A465" i="48"/>
  <c r="D465" i="48"/>
  <c r="L465" i="48"/>
  <c r="A466" i="48"/>
  <c r="D466" i="48"/>
  <c r="L466" i="48" s="1"/>
  <c r="A467" i="48"/>
  <c r="D467" i="48" s="1"/>
  <c r="L467" i="48" s="1"/>
  <c r="A468" i="48"/>
  <c r="D468" i="48" s="1"/>
  <c r="L468" i="48" s="1"/>
  <c r="A469" i="48"/>
  <c r="D469" i="48" s="1"/>
  <c r="L469" i="48" s="1"/>
  <c r="A470" i="48"/>
  <c r="D470" i="48" s="1"/>
  <c r="L470" i="48" s="1"/>
  <c r="A471" i="48"/>
  <c r="D471" i="48" s="1"/>
  <c r="L471" i="48" s="1"/>
  <c r="A472" i="48"/>
  <c r="D472" i="48" s="1"/>
  <c r="L472" i="48" s="1"/>
  <c r="A473" i="48"/>
  <c r="D473" i="48"/>
  <c r="L473" i="48" s="1"/>
  <c r="J2" i="1"/>
  <c r="C4" i="2"/>
  <c r="H1" i="6"/>
  <c r="J2" i="6"/>
  <c r="D4" i="7"/>
  <c r="J4" i="2"/>
  <c r="B395" i="44"/>
  <c r="B387" i="44"/>
  <c r="B379" i="44"/>
  <c r="B377" i="44"/>
  <c r="A403" i="48"/>
  <c r="A404" i="48"/>
  <c r="A405" i="48"/>
  <c r="A406" i="48"/>
  <c r="A407" i="48"/>
  <c r="A402" i="48"/>
  <c r="K402" i="48"/>
  <c r="L405" i="48"/>
  <c r="L406" i="48"/>
  <c r="L167" i="48"/>
  <c r="L175" i="48"/>
  <c r="L176" i="48"/>
  <c r="L179" i="48"/>
  <c r="L183" i="48"/>
  <c r="AJ1" i="52"/>
  <c r="F4" i="52"/>
  <c r="E5" i="52"/>
  <c r="E6" i="52"/>
  <c r="E4" i="52"/>
  <c r="D205" i="39"/>
  <c r="D151" i="39"/>
  <c r="D43" i="39"/>
  <c r="D97" i="39"/>
  <c r="M37" i="38"/>
  <c r="W37" i="38" s="1"/>
  <c r="M38" i="38"/>
  <c r="M39" i="38"/>
  <c r="M40" i="38"/>
  <c r="M41" i="38"/>
  <c r="M42" i="38"/>
  <c r="M43" i="38"/>
  <c r="W43" i="38"/>
  <c r="B26" i="38"/>
  <c r="B27" i="38"/>
  <c r="B29" i="38"/>
  <c r="B30" i="38"/>
  <c r="B31" i="38"/>
  <c r="B35" i="38"/>
  <c r="B36" i="38"/>
  <c r="B37" i="38"/>
  <c r="B38" i="38"/>
  <c r="B39" i="38"/>
  <c r="B41" i="38"/>
  <c r="B42" i="38"/>
  <c r="B43" i="38"/>
  <c r="B44" i="38"/>
  <c r="B45" i="38"/>
  <c r="B46" i="38"/>
  <c r="C27" i="9"/>
  <c r="D43" i="3"/>
  <c r="U14" i="5"/>
  <c r="D251" i="48" s="1"/>
  <c r="K251" i="48" s="1"/>
  <c r="D252" i="48"/>
  <c r="L252" i="48"/>
  <c r="G43" i="3"/>
  <c r="U9" i="5" s="1"/>
  <c r="D253" i="48" s="1"/>
  <c r="B43" i="3"/>
  <c r="D256" i="48"/>
  <c r="L256" i="48" s="1"/>
  <c r="F41" i="36"/>
  <c r="I330" i="36" s="1"/>
  <c r="I332" i="36" s="1"/>
  <c r="E41" i="36"/>
  <c r="G330" i="36" s="1"/>
  <c r="D41" i="36"/>
  <c r="E330" i="36" s="1"/>
  <c r="E332" i="36" s="1"/>
  <c r="O54" i="40"/>
  <c r="C41" i="36" s="1"/>
  <c r="C330" i="36" s="1"/>
  <c r="C332" i="36" s="1"/>
  <c r="G51" i="40"/>
  <c r="G41" i="35" s="1"/>
  <c r="K298" i="35" s="1"/>
  <c r="K300" i="35" s="1"/>
  <c r="F51" i="40"/>
  <c r="F41" i="35" s="1"/>
  <c r="I298" i="35" s="1"/>
  <c r="I300" i="35" s="1"/>
  <c r="E51" i="40"/>
  <c r="E41" i="35" s="1"/>
  <c r="G298" i="35" s="1"/>
  <c r="D51" i="40"/>
  <c r="D41" i="35" s="1"/>
  <c r="E298" i="35" s="1"/>
  <c r="C51" i="40"/>
  <c r="C41" i="35" s="1"/>
  <c r="C298" i="35" s="1"/>
  <c r="F38" i="36"/>
  <c r="I312" i="36"/>
  <c r="I314" i="36" s="1"/>
  <c r="E38" i="36"/>
  <c r="G312" i="36" s="1"/>
  <c r="G314" i="36" s="1"/>
  <c r="D38" i="36"/>
  <c r="E312" i="36" s="1"/>
  <c r="E314" i="36" s="1"/>
  <c r="O51" i="40"/>
  <c r="C38" i="36" s="1"/>
  <c r="C312" i="36" s="1"/>
  <c r="C314" i="36" s="1"/>
  <c r="F39" i="36"/>
  <c r="I318" i="36" s="1"/>
  <c r="I320" i="36" s="1"/>
  <c r="E39" i="36"/>
  <c r="G318" i="36" s="1"/>
  <c r="D39" i="36"/>
  <c r="E318" i="36" s="1"/>
  <c r="O52" i="40"/>
  <c r="C39" i="36"/>
  <c r="C318" i="36" s="1"/>
  <c r="C320" i="36" s="1"/>
  <c r="F40" i="36"/>
  <c r="I324" i="36"/>
  <c r="E40" i="36"/>
  <c r="G324" i="36" s="1"/>
  <c r="G326" i="36" s="1"/>
  <c r="D40" i="36"/>
  <c r="E324" i="36" s="1"/>
  <c r="O53" i="40"/>
  <c r="C40" i="36" s="1"/>
  <c r="C324" i="36" s="1"/>
  <c r="G48" i="40"/>
  <c r="G38" i="35" s="1"/>
  <c r="K277" i="35" s="1"/>
  <c r="F48" i="40"/>
  <c r="F38" i="35" s="1"/>
  <c r="I277" i="35" s="1"/>
  <c r="I279" i="35" s="1"/>
  <c r="E48" i="40"/>
  <c r="E38" i="35" s="1"/>
  <c r="G277" i="35" s="1"/>
  <c r="D48" i="40"/>
  <c r="C48" i="40"/>
  <c r="C38" i="35" s="1"/>
  <c r="C277" i="35" s="1"/>
  <c r="G49" i="40"/>
  <c r="G39" i="35" s="1"/>
  <c r="K284" i="35" s="1"/>
  <c r="K287" i="35" s="1"/>
  <c r="F49" i="40"/>
  <c r="F39" i="35" s="1"/>
  <c r="I284" i="35" s="1"/>
  <c r="I286" i="35" s="1"/>
  <c r="E49" i="40"/>
  <c r="E39" i="35" s="1"/>
  <c r="G284" i="35" s="1"/>
  <c r="G286" i="35" s="1"/>
  <c r="D49" i="40"/>
  <c r="D39" i="35" s="1"/>
  <c r="E284" i="35" s="1"/>
  <c r="E287" i="35" s="1"/>
  <c r="C49" i="40"/>
  <c r="C39" i="35" s="1"/>
  <c r="C284" i="35" s="1"/>
  <c r="C286" i="35" s="1"/>
  <c r="G50" i="40"/>
  <c r="G40" i="35" s="1"/>
  <c r="K291" i="35" s="1"/>
  <c r="F50" i="40"/>
  <c r="F40" i="35" s="1"/>
  <c r="I291" i="35" s="1"/>
  <c r="E50" i="40"/>
  <c r="E40" i="35"/>
  <c r="G291" i="35" s="1"/>
  <c r="G294" i="35" s="1"/>
  <c r="D50" i="40"/>
  <c r="D40" i="35" s="1"/>
  <c r="E291" i="35" s="1"/>
  <c r="C50" i="40"/>
  <c r="C40" i="35" s="1"/>
  <c r="C291" i="35" s="1"/>
  <c r="C293" i="35" s="1"/>
  <c r="A345" i="48"/>
  <c r="A344" i="48"/>
  <c r="A343" i="48"/>
  <c r="A342" i="48"/>
  <c r="A341" i="48"/>
  <c r="L341" i="48"/>
  <c r="D199" i="39"/>
  <c r="D202" i="39"/>
  <c r="D208" i="39"/>
  <c r="G215" i="9"/>
  <c r="F215" i="9"/>
  <c r="E215" i="9"/>
  <c r="D215" i="9"/>
  <c r="G211" i="9"/>
  <c r="F211" i="9"/>
  <c r="E211" i="9"/>
  <c r="D211" i="9"/>
  <c r="N13" i="1"/>
  <c r="N12" i="1"/>
  <c r="N11" i="1"/>
  <c r="N10" i="1"/>
  <c r="N9" i="1"/>
  <c r="N8" i="1"/>
  <c r="N7" i="1"/>
  <c r="N6" i="1"/>
  <c r="N5" i="1"/>
  <c r="M13" i="1"/>
  <c r="M12" i="1"/>
  <c r="M11" i="1"/>
  <c r="M10" i="1"/>
  <c r="M9" i="1"/>
  <c r="M8" i="1"/>
  <c r="M7" i="1"/>
  <c r="M6" i="1"/>
  <c r="M5" i="1"/>
  <c r="L13" i="1"/>
  <c r="L12" i="1"/>
  <c r="L11" i="1"/>
  <c r="L10" i="1"/>
  <c r="L9" i="1"/>
  <c r="L8" i="1"/>
  <c r="L7" i="1"/>
  <c r="L6" i="1"/>
  <c r="L5" i="1"/>
  <c r="K13" i="1"/>
  <c r="K12" i="1"/>
  <c r="K11" i="1"/>
  <c r="K10" i="1"/>
  <c r="K9" i="1"/>
  <c r="K8" i="1"/>
  <c r="K7" i="1"/>
  <c r="K6" i="1"/>
  <c r="K5" i="1"/>
  <c r="J13" i="1"/>
  <c r="J12" i="1"/>
  <c r="J11" i="1"/>
  <c r="J10" i="1"/>
  <c r="J9" i="1"/>
  <c r="J8" i="1"/>
  <c r="J7" i="1"/>
  <c r="J6" i="1"/>
  <c r="J5" i="1"/>
  <c r="I13" i="1"/>
  <c r="I12" i="1"/>
  <c r="I11" i="1"/>
  <c r="I10" i="1"/>
  <c r="I9" i="1"/>
  <c r="I8" i="1"/>
  <c r="I7" i="1"/>
  <c r="I6" i="1"/>
  <c r="I5" i="1"/>
  <c r="H13" i="1"/>
  <c r="H12" i="1"/>
  <c r="H11" i="1"/>
  <c r="H10" i="1"/>
  <c r="H9" i="1"/>
  <c r="H8" i="1"/>
  <c r="H7" i="1"/>
  <c r="H6" i="1"/>
  <c r="H5" i="1"/>
  <c r="G13" i="1"/>
  <c r="G12" i="1"/>
  <c r="G11" i="1"/>
  <c r="G10" i="1"/>
  <c r="G9" i="1"/>
  <c r="G8" i="1"/>
  <c r="G7" i="1"/>
  <c r="G6" i="1"/>
  <c r="G5" i="1"/>
  <c r="F13" i="1"/>
  <c r="F12" i="1"/>
  <c r="F11" i="1"/>
  <c r="F10" i="1"/>
  <c r="F9" i="1"/>
  <c r="F8" i="1"/>
  <c r="F7" i="1"/>
  <c r="F6" i="1"/>
  <c r="F5" i="1"/>
  <c r="E13" i="1"/>
  <c r="E12" i="1"/>
  <c r="E11" i="1"/>
  <c r="E10" i="1"/>
  <c r="E9" i="1"/>
  <c r="E8" i="1"/>
  <c r="E7" i="1"/>
  <c r="E6" i="1"/>
  <c r="E5" i="1"/>
  <c r="D13" i="1"/>
  <c r="D12" i="1"/>
  <c r="D11" i="1"/>
  <c r="D10" i="1"/>
  <c r="D9" i="1"/>
  <c r="D8" i="1"/>
  <c r="D7" i="1"/>
  <c r="D6" i="1"/>
  <c r="D5" i="1"/>
  <c r="C7" i="1"/>
  <c r="C8" i="1"/>
  <c r="C9" i="1"/>
  <c r="C10" i="1"/>
  <c r="C11" i="1"/>
  <c r="C12" i="1"/>
  <c r="C13" i="1"/>
  <c r="C6" i="1"/>
  <c r="C5" i="1"/>
  <c r="E19" i="44"/>
  <c r="E21" i="44"/>
  <c r="D191" i="44"/>
  <c r="D207" i="44"/>
  <c r="D209" i="44"/>
  <c r="D211" i="44"/>
  <c r="D361" i="44"/>
  <c r="E365" i="44"/>
  <c r="D451" i="44"/>
  <c r="E451" i="44"/>
  <c r="E377" i="44"/>
  <c r="E475" i="44"/>
  <c r="E425" i="44"/>
  <c r="E403" i="44"/>
  <c r="E499" i="44"/>
  <c r="E339" i="44"/>
  <c r="D339" i="44"/>
  <c r="E341" i="44"/>
  <c r="D341" i="44"/>
  <c r="E325" i="44"/>
  <c r="D325" i="44"/>
  <c r="E327" i="44"/>
  <c r="D327" i="44"/>
  <c r="E311" i="44"/>
  <c r="D311" i="44"/>
  <c r="E313" i="44"/>
  <c r="D313" i="44"/>
  <c r="E59" i="44"/>
  <c r="D59" i="44"/>
  <c r="E61" i="44"/>
  <c r="E297" i="44"/>
  <c r="D297" i="44"/>
  <c r="E299" i="44"/>
  <c r="D299" i="44"/>
  <c r="E283" i="44"/>
  <c r="D283" i="44"/>
  <c r="E285" i="44"/>
  <c r="D285" i="44"/>
  <c r="E269" i="44"/>
  <c r="D269" i="44"/>
  <c r="E271" i="44"/>
  <c r="D271" i="44"/>
  <c r="E255" i="44"/>
  <c r="D255" i="44"/>
  <c r="E257" i="44"/>
  <c r="D257" i="44"/>
  <c r="E241" i="44"/>
  <c r="D241" i="44"/>
  <c r="E243" i="44"/>
  <c r="D243" i="44"/>
  <c r="E227" i="44"/>
  <c r="D227" i="44"/>
  <c r="E229" i="44"/>
  <c r="D229" i="44"/>
  <c r="E213" i="44"/>
  <c r="D213" i="44"/>
  <c r="E215" i="44"/>
  <c r="D215" i="44"/>
  <c r="E199" i="44"/>
  <c r="D199" i="44"/>
  <c r="E201" i="44"/>
  <c r="D201" i="44"/>
  <c r="E185" i="44"/>
  <c r="D185" i="44"/>
  <c r="E187" i="44"/>
  <c r="D187" i="44"/>
  <c r="E171" i="44"/>
  <c r="D171" i="44"/>
  <c r="E173" i="44"/>
  <c r="D173" i="44"/>
  <c r="E157" i="44"/>
  <c r="D157" i="44"/>
  <c r="E159" i="44"/>
  <c r="D159" i="44"/>
  <c r="E143" i="44"/>
  <c r="D143" i="44"/>
  <c r="E145" i="44"/>
  <c r="D145" i="44"/>
  <c r="E129" i="44"/>
  <c r="D129" i="44"/>
  <c r="E131" i="44"/>
  <c r="D131" i="44"/>
  <c r="E115" i="44"/>
  <c r="D115" i="44"/>
  <c r="E117" i="44"/>
  <c r="D117" i="44"/>
  <c r="E101" i="44"/>
  <c r="D101" i="44"/>
  <c r="E103" i="44"/>
  <c r="E87" i="44"/>
  <c r="D87" i="44"/>
  <c r="E89" i="44"/>
  <c r="E73" i="44"/>
  <c r="D73" i="44"/>
  <c r="E75" i="44"/>
  <c r="E45" i="44"/>
  <c r="D45" i="44"/>
  <c r="E47" i="44"/>
  <c r="E31" i="44"/>
  <c r="D31" i="44"/>
  <c r="E33" i="44"/>
  <c r="E17" i="44"/>
  <c r="D17" i="44"/>
  <c r="CK19" i="2"/>
  <c r="CM19" i="2"/>
  <c r="CO19" i="2"/>
  <c r="CQ19" i="2"/>
  <c r="CS19" i="2"/>
  <c r="CU19" i="2"/>
  <c r="CW19" i="2"/>
  <c r="CY19" i="2"/>
  <c r="DA19" i="2"/>
  <c r="DC19" i="2"/>
  <c r="DE19" i="2"/>
  <c r="DG19" i="2"/>
  <c r="CK17" i="2"/>
  <c r="CM17" i="2"/>
  <c r="CO17" i="2"/>
  <c r="CQ17" i="2"/>
  <c r="CS17" i="2"/>
  <c r="CU17" i="2"/>
  <c r="CW17" i="2"/>
  <c r="CY17" i="2"/>
  <c r="DA17" i="2"/>
  <c r="DC17" i="2"/>
  <c r="DE17" i="2"/>
  <c r="DG17" i="2"/>
  <c r="L358" i="48"/>
  <c r="L359" i="48"/>
  <c r="D288" i="43"/>
  <c r="L288" i="43" s="1"/>
  <c r="D286" i="43"/>
  <c r="L286" i="43" s="1"/>
  <c r="D287" i="43"/>
  <c r="L287" i="43" s="1"/>
  <c r="D275" i="43"/>
  <c r="K275" i="43" s="1"/>
  <c r="D274" i="43"/>
  <c r="D276" i="43"/>
  <c r="L276" i="43" s="1"/>
  <c r="D285" i="43"/>
  <c r="K285" i="43" s="1"/>
  <c r="D284" i="43"/>
  <c r="L284" i="43" s="1"/>
  <c r="A356" i="48"/>
  <c r="B381" i="44"/>
  <c r="B131" i="39"/>
  <c r="B132" i="39"/>
  <c r="C131" i="39"/>
  <c r="C132" i="39" s="1"/>
  <c r="D131" i="39"/>
  <c r="D132" i="39"/>
  <c r="E131" i="39"/>
  <c r="E132" i="39"/>
  <c r="F131" i="39"/>
  <c r="F132" i="39" s="1"/>
  <c r="G131" i="39"/>
  <c r="G132" i="39" s="1"/>
  <c r="H131" i="39"/>
  <c r="H132" i="39"/>
  <c r="CO9" i="9"/>
  <c r="CO8" i="9"/>
  <c r="D145" i="39"/>
  <c r="D148" i="39"/>
  <c r="D154" i="39"/>
  <c r="D2" i="8"/>
  <c r="J2" i="8"/>
  <c r="D38" i="45"/>
  <c r="M38" i="45" s="1"/>
  <c r="D39" i="45"/>
  <c r="D34" i="45" s="1"/>
  <c r="D35" i="45" s="1"/>
  <c r="D36" i="45"/>
  <c r="M36" i="45" s="1"/>
  <c r="D37" i="45"/>
  <c r="K37" i="45" s="1"/>
  <c r="D40" i="45"/>
  <c r="M40" i="45" s="1"/>
  <c r="D7" i="7"/>
  <c r="E7" i="7"/>
  <c r="F7" i="7"/>
  <c r="G7" i="7"/>
  <c r="H7" i="7"/>
  <c r="I7" i="7"/>
  <c r="J7" i="7"/>
  <c r="K7" i="7"/>
  <c r="L7" i="7"/>
  <c r="M7" i="7"/>
  <c r="N7" i="7"/>
  <c r="N10" i="7"/>
  <c r="D11" i="7"/>
  <c r="F11" i="7"/>
  <c r="J11" i="7"/>
  <c r="K11" i="7"/>
  <c r="L11" i="7"/>
  <c r="N11" i="7"/>
  <c r="I14" i="7"/>
  <c r="K14" i="7"/>
  <c r="M14" i="7"/>
  <c r="G15" i="7"/>
  <c r="H15" i="7"/>
  <c r="C15" i="7"/>
  <c r="C11" i="7"/>
  <c r="C7" i="7"/>
  <c r="K396" i="48"/>
  <c r="L396" i="48"/>
  <c r="B9" i="50"/>
  <c r="B11" i="50"/>
  <c r="D11" i="50"/>
  <c r="K11" i="45"/>
  <c r="B3" i="36"/>
  <c r="H15" i="40"/>
  <c r="H6" i="35" s="1"/>
  <c r="H49" i="35"/>
  <c r="C16" i="40"/>
  <c r="C7" i="35" s="1"/>
  <c r="C59" i="35" s="1"/>
  <c r="C65" i="35" s="1"/>
  <c r="D16" i="40"/>
  <c r="D7" i="35" s="1"/>
  <c r="D59" i="35" s="1"/>
  <c r="E16" i="40"/>
  <c r="E7" i="35"/>
  <c r="E59" i="35" s="1"/>
  <c r="F16" i="40"/>
  <c r="F7" i="35" s="1"/>
  <c r="F59" i="35" s="1"/>
  <c r="G16" i="40"/>
  <c r="G7" i="35" s="1"/>
  <c r="G59" i="35" s="1"/>
  <c r="H16" i="40"/>
  <c r="H7" i="35" s="1"/>
  <c r="H59" i="35" s="1"/>
  <c r="H63" i="35" s="1"/>
  <c r="C17" i="40"/>
  <c r="C8" i="35" s="1"/>
  <c r="C72" i="35" s="1"/>
  <c r="C75" i="35" s="1"/>
  <c r="I75" i="35" s="1"/>
  <c r="D17" i="40"/>
  <c r="D8" i="35" s="1"/>
  <c r="D72" i="35" s="1"/>
  <c r="E17" i="40"/>
  <c r="E8" i="35"/>
  <c r="E72" i="35" s="1"/>
  <c r="F17" i="40"/>
  <c r="F8" i="35" s="1"/>
  <c r="F72" i="35" s="1"/>
  <c r="F74" i="35" s="1"/>
  <c r="G17" i="40"/>
  <c r="G8" i="35" s="1"/>
  <c r="G72" i="35" s="1"/>
  <c r="H17" i="40"/>
  <c r="H8" i="35" s="1"/>
  <c r="H72" i="35" s="1"/>
  <c r="C18" i="40"/>
  <c r="C9" i="35"/>
  <c r="C83" i="35"/>
  <c r="D18" i="40"/>
  <c r="D9" i="35" s="1"/>
  <c r="D83" i="35" s="1"/>
  <c r="E18" i="40"/>
  <c r="E9" i="35" s="1"/>
  <c r="E83" i="35" s="1"/>
  <c r="F18" i="40"/>
  <c r="F9" i="35" s="1"/>
  <c r="F83" i="35" s="1"/>
  <c r="G18" i="40"/>
  <c r="G9" i="35" s="1"/>
  <c r="G83" i="35" s="1"/>
  <c r="H18" i="40"/>
  <c r="H9" i="35"/>
  <c r="H83" i="35" s="1"/>
  <c r="H90" i="35" s="1"/>
  <c r="C19" i="40"/>
  <c r="C10" i="35" s="1"/>
  <c r="C96" i="35" s="1"/>
  <c r="C101" i="35" s="1"/>
  <c r="I101" i="35" s="1"/>
  <c r="D19" i="40"/>
  <c r="D10" i="35" s="1"/>
  <c r="D96" i="35" s="1"/>
  <c r="E19" i="40"/>
  <c r="E10" i="35" s="1"/>
  <c r="E96" i="35" s="1"/>
  <c r="F19" i="40"/>
  <c r="F10" i="35" s="1"/>
  <c r="F96" i="35" s="1"/>
  <c r="F102" i="35" s="1"/>
  <c r="G19" i="40"/>
  <c r="G10" i="35" s="1"/>
  <c r="G96" i="35" s="1"/>
  <c r="H19" i="40"/>
  <c r="H10" i="35" s="1"/>
  <c r="H96" i="35" s="1"/>
  <c r="C15" i="35"/>
  <c r="C108" i="35" s="1"/>
  <c r="D15" i="35"/>
  <c r="D108" i="35" s="1"/>
  <c r="D113" i="35" s="1"/>
  <c r="E15" i="35"/>
  <c r="E108" i="35" s="1"/>
  <c r="F15" i="35"/>
  <c r="F108" i="35" s="1"/>
  <c r="G15" i="35"/>
  <c r="G108" i="35" s="1"/>
  <c r="H15" i="35"/>
  <c r="H108" i="35" s="1"/>
  <c r="H112" i="35" s="1"/>
  <c r="C16" i="35"/>
  <c r="C120" i="35" s="1"/>
  <c r="D16" i="35"/>
  <c r="D120" i="35" s="1"/>
  <c r="E16" i="35"/>
  <c r="E120" i="35" s="1"/>
  <c r="F16" i="35"/>
  <c r="F120" i="35" s="1"/>
  <c r="G16" i="35"/>
  <c r="G120" i="35" s="1"/>
  <c r="H16" i="35"/>
  <c r="H120" i="35"/>
  <c r="C17" i="35"/>
  <c r="C134" i="35"/>
  <c r="C136" i="35" s="1"/>
  <c r="D17" i="35"/>
  <c r="D134" i="35" s="1"/>
  <c r="E17" i="35"/>
  <c r="E134" i="35" s="1"/>
  <c r="F17" i="35"/>
  <c r="F134" i="35"/>
  <c r="G17" i="35"/>
  <c r="G134" i="35" s="1"/>
  <c r="H17" i="35"/>
  <c r="H134" i="35" s="1"/>
  <c r="C18" i="35"/>
  <c r="C146" i="35" s="1"/>
  <c r="C151" i="35" s="1"/>
  <c r="D18" i="35"/>
  <c r="D146" i="35" s="1"/>
  <c r="E18" i="35"/>
  <c r="E146" i="35" s="1"/>
  <c r="F18" i="35"/>
  <c r="F146" i="35" s="1"/>
  <c r="G18" i="35"/>
  <c r="G146" i="35" s="1"/>
  <c r="H18" i="35"/>
  <c r="H146" i="35"/>
  <c r="H154" i="35" s="1"/>
  <c r="C19" i="35"/>
  <c r="C160" i="35"/>
  <c r="C162" i="35" s="1"/>
  <c r="D19" i="35"/>
  <c r="D160" i="35" s="1"/>
  <c r="E19" i="35"/>
  <c r="E160" i="35" s="1"/>
  <c r="F19" i="35"/>
  <c r="F160" i="35" s="1"/>
  <c r="G19" i="35"/>
  <c r="G160" i="35"/>
  <c r="G165" i="35" s="1"/>
  <c r="H19" i="35"/>
  <c r="H160" i="35" s="1"/>
  <c r="H164" i="35" s="1"/>
  <c r="E195" i="35"/>
  <c r="B38" i="52"/>
  <c r="B37" i="52"/>
  <c r="B36" i="52"/>
  <c r="B35" i="52"/>
  <c r="B34" i="52"/>
  <c r="B33" i="52"/>
  <c r="B32" i="52"/>
  <c r="B31" i="52"/>
  <c r="B30" i="52"/>
  <c r="B29" i="52"/>
  <c r="B28" i="52"/>
  <c r="B27" i="52"/>
  <c r="B26" i="52"/>
  <c r="B25" i="52"/>
  <c r="B24" i="52"/>
  <c r="B23" i="52"/>
  <c r="B22" i="52"/>
  <c r="B21" i="52"/>
  <c r="B20" i="52"/>
  <c r="B19" i="52"/>
  <c r="B18" i="52"/>
  <c r="B17" i="52"/>
  <c r="B16" i="52"/>
  <c r="B15" i="52"/>
  <c r="W2" i="52"/>
  <c r="E35" i="44"/>
  <c r="E49" i="44"/>
  <c r="E189" i="44"/>
  <c r="E203" i="44"/>
  <c r="E205" i="44"/>
  <c r="E207" i="44"/>
  <c r="E217" i="44"/>
  <c r="E405" i="44"/>
  <c r="E413" i="44"/>
  <c r="E415" i="44"/>
  <c r="E197" i="35"/>
  <c r="F10" i="48"/>
  <c r="C298" i="48"/>
  <c r="A269" i="48" s="1"/>
  <c r="T23" i="5" s="1"/>
  <c r="C449" i="44"/>
  <c r="G449" i="44" s="1"/>
  <c r="A24" i="3"/>
  <c r="F7" i="43"/>
  <c r="D9" i="50" s="1"/>
  <c r="D5" i="50"/>
  <c r="A5" i="50"/>
  <c r="G488" i="44"/>
  <c r="G490" i="44"/>
  <c r="G492" i="44"/>
  <c r="G494" i="44"/>
  <c r="G496" i="44"/>
  <c r="G498" i="44"/>
  <c r="G500" i="44"/>
  <c r="G502" i="44"/>
  <c r="G504" i="44"/>
  <c r="G506" i="44"/>
  <c r="G508" i="44"/>
  <c r="G510" i="44"/>
  <c r="G512" i="44"/>
  <c r="G514" i="44"/>
  <c r="G516" i="44"/>
  <c r="G518" i="44"/>
  <c r="G520" i="44"/>
  <c r="G522" i="44"/>
  <c r="G524" i="44"/>
  <c r="G526" i="44"/>
  <c r="G528" i="44"/>
  <c r="G530" i="44"/>
  <c r="G532" i="44"/>
  <c r="G534" i="44"/>
  <c r="G536" i="44"/>
  <c r="G538" i="44"/>
  <c r="G540" i="44"/>
  <c r="G542" i="44"/>
  <c r="G544" i="44"/>
  <c r="G546" i="44"/>
  <c r="E545" i="44"/>
  <c r="E543" i="44"/>
  <c r="E541" i="44"/>
  <c r="E539" i="44"/>
  <c r="E537" i="44"/>
  <c r="E535" i="44"/>
  <c r="E533" i="44"/>
  <c r="E531" i="44"/>
  <c r="E529" i="44"/>
  <c r="E527" i="44"/>
  <c r="E525" i="44"/>
  <c r="E523" i="44"/>
  <c r="E521" i="44"/>
  <c r="E519" i="44"/>
  <c r="E517" i="44"/>
  <c r="E515" i="44"/>
  <c r="E513" i="44"/>
  <c r="E511" i="44"/>
  <c r="E509" i="44"/>
  <c r="E507" i="44"/>
  <c r="E505" i="44"/>
  <c r="E503" i="44"/>
  <c r="E501" i="44"/>
  <c r="E497" i="44"/>
  <c r="E495" i="44"/>
  <c r="E493" i="44"/>
  <c r="B493" i="44"/>
  <c r="E491" i="44"/>
  <c r="E489" i="44"/>
  <c r="E487" i="44"/>
  <c r="E485" i="44"/>
  <c r="B485" i="44"/>
  <c r="E483" i="44"/>
  <c r="E481" i="44"/>
  <c r="E479" i="44"/>
  <c r="E477" i="44"/>
  <c r="B477" i="44"/>
  <c r="E473" i="44"/>
  <c r="D473" i="44"/>
  <c r="E471" i="44"/>
  <c r="D471" i="44"/>
  <c r="E469" i="44"/>
  <c r="D469" i="44"/>
  <c r="E467" i="44"/>
  <c r="D467" i="44"/>
  <c r="E465" i="44"/>
  <c r="D465" i="44"/>
  <c r="E463" i="44"/>
  <c r="D463" i="44"/>
  <c r="E461" i="44"/>
  <c r="D461" i="44"/>
  <c r="E459" i="44"/>
  <c r="D459" i="44"/>
  <c r="E457" i="44"/>
  <c r="D457" i="44"/>
  <c r="E455" i="44"/>
  <c r="D455" i="44"/>
  <c r="E453" i="44"/>
  <c r="D453" i="44"/>
  <c r="B449" i="44"/>
  <c r="B447" i="44"/>
  <c r="B445" i="44"/>
  <c r="B441" i="44"/>
  <c r="B439" i="44"/>
  <c r="B437" i="44"/>
  <c r="B433" i="44"/>
  <c r="B431" i="44"/>
  <c r="B429" i="44"/>
  <c r="E447" i="44"/>
  <c r="E445" i="44"/>
  <c r="E443" i="44"/>
  <c r="E441" i="44"/>
  <c r="E439" i="44"/>
  <c r="E437" i="44"/>
  <c r="E435" i="44"/>
  <c r="E429" i="44"/>
  <c r="E427" i="44"/>
  <c r="E423" i="44"/>
  <c r="B423" i="44"/>
  <c r="E421" i="44"/>
  <c r="B421" i="44"/>
  <c r="E419" i="44"/>
  <c r="E417" i="44"/>
  <c r="B417" i="44"/>
  <c r="B415" i="44"/>
  <c r="B413" i="44"/>
  <c r="E411" i="44"/>
  <c r="E409" i="44"/>
  <c r="B409" i="44"/>
  <c r="B407" i="44"/>
  <c r="B405" i="44"/>
  <c r="E399" i="44"/>
  <c r="B399" i="44"/>
  <c r="E397" i="44"/>
  <c r="B397" i="44"/>
  <c r="E395" i="44"/>
  <c r="E393" i="44"/>
  <c r="B393" i="44"/>
  <c r="E391" i="44"/>
  <c r="B391" i="44"/>
  <c r="E389" i="44"/>
  <c r="B389" i="44"/>
  <c r="E387" i="44"/>
  <c r="E385" i="44"/>
  <c r="B385" i="44"/>
  <c r="E383" i="44"/>
  <c r="B383" i="44"/>
  <c r="E375" i="44"/>
  <c r="E373" i="44"/>
  <c r="E371" i="44"/>
  <c r="E369" i="44"/>
  <c r="E367" i="44"/>
  <c r="E363" i="44"/>
  <c r="E351" i="44"/>
  <c r="D351" i="44"/>
  <c r="E349" i="44"/>
  <c r="D349" i="44"/>
  <c r="E347" i="44"/>
  <c r="D347" i="44"/>
  <c r="E345" i="44"/>
  <c r="D345" i="44"/>
  <c r="E343" i="44"/>
  <c r="D343" i="44"/>
  <c r="E337" i="44"/>
  <c r="D337" i="44"/>
  <c r="E335" i="44"/>
  <c r="D335" i="44"/>
  <c r="E333" i="44"/>
  <c r="D333" i="44"/>
  <c r="E331" i="44"/>
  <c r="D331" i="44"/>
  <c r="E329" i="44"/>
  <c r="D329" i="44"/>
  <c r="E323" i="44"/>
  <c r="D323" i="44"/>
  <c r="E321" i="44"/>
  <c r="D321" i="44"/>
  <c r="E319" i="44"/>
  <c r="D319" i="44"/>
  <c r="E317" i="44"/>
  <c r="D317" i="44"/>
  <c r="E315" i="44"/>
  <c r="D315" i="44"/>
  <c r="E309" i="44"/>
  <c r="D309" i="44"/>
  <c r="E307" i="44"/>
  <c r="D307" i="44"/>
  <c r="E305" i="44"/>
  <c r="D305" i="44"/>
  <c r="E303" i="44"/>
  <c r="D303" i="44"/>
  <c r="E301" i="44"/>
  <c r="D301" i="44"/>
  <c r="E295" i="44"/>
  <c r="D295" i="44"/>
  <c r="E293" i="44"/>
  <c r="D293" i="44"/>
  <c r="E291" i="44"/>
  <c r="D291" i="44"/>
  <c r="E289" i="44"/>
  <c r="D289" i="44"/>
  <c r="E287" i="44"/>
  <c r="D287" i="44"/>
  <c r="E281" i="44"/>
  <c r="D281" i="44"/>
  <c r="E279" i="44"/>
  <c r="D279" i="44"/>
  <c r="E277" i="44"/>
  <c r="D277" i="44"/>
  <c r="E275" i="44"/>
  <c r="D275" i="44"/>
  <c r="E273" i="44"/>
  <c r="D273" i="44"/>
  <c r="E267" i="44"/>
  <c r="D267" i="44"/>
  <c r="E265" i="44"/>
  <c r="D265" i="44"/>
  <c r="E263" i="44"/>
  <c r="D263" i="44"/>
  <c r="E261" i="44"/>
  <c r="D261" i="44"/>
  <c r="E259" i="44"/>
  <c r="D259" i="44"/>
  <c r="E253" i="44"/>
  <c r="E251" i="44"/>
  <c r="E249" i="44"/>
  <c r="E247" i="44"/>
  <c r="E245" i="44"/>
  <c r="D253" i="44"/>
  <c r="D251" i="44"/>
  <c r="D249" i="44"/>
  <c r="D247" i="44"/>
  <c r="D245" i="44"/>
  <c r="E239" i="44"/>
  <c r="D239" i="44"/>
  <c r="E237" i="44"/>
  <c r="D237" i="44"/>
  <c r="E235" i="44"/>
  <c r="D235" i="44"/>
  <c r="E233" i="44"/>
  <c r="D233" i="44"/>
  <c r="E231" i="44"/>
  <c r="D231" i="44"/>
  <c r="E225" i="44"/>
  <c r="D225" i="44"/>
  <c r="E223" i="44"/>
  <c r="D223" i="44"/>
  <c r="E221" i="44"/>
  <c r="D221" i="44"/>
  <c r="E219" i="44"/>
  <c r="D219" i="44"/>
  <c r="D217" i="44"/>
  <c r="E211" i="44"/>
  <c r="E209" i="44"/>
  <c r="D205" i="44"/>
  <c r="D203" i="44"/>
  <c r="E191" i="44"/>
  <c r="D189" i="44"/>
  <c r="G22" i="44"/>
  <c r="G24" i="44"/>
  <c r="G26" i="44"/>
  <c r="G28" i="44"/>
  <c r="G30" i="44"/>
  <c r="G36" i="44"/>
  <c r="G38" i="44"/>
  <c r="G40" i="44"/>
  <c r="G42" i="44"/>
  <c r="G44" i="44"/>
  <c r="G50" i="44"/>
  <c r="G52" i="44"/>
  <c r="G54" i="44"/>
  <c r="G56" i="44"/>
  <c r="G58" i="44"/>
  <c r="G64" i="44"/>
  <c r="G66" i="44"/>
  <c r="G68" i="44"/>
  <c r="G70" i="44"/>
  <c r="G72" i="44"/>
  <c r="G78" i="44"/>
  <c r="G80" i="44"/>
  <c r="G82" i="44"/>
  <c r="G84" i="44"/>
  <c r="G86" i="44"/>
  <c r="G92" i="44"/>
  <c r="G94" i="44"/>
  <c r="G96" i="44"/>
  <c r="G98" i="44"/>
  <c r="G100" i="44"/>
  <c r="G106" i="44"/>
  <c r="G108" i="44"/>
  <c r="G110" i="44"/>
  <c r="G112" i="44"/>
  <c r="G114" i="44"/>
  <c r="G120" i="44"/>
  <c r="G122" i="44"/>
  <c r="G124" i="44"/>
  <c r="G126" i="44"/>
  <c r="G128" i="44"/>
  <c r="G134" i="44"/>
  <c r="G136" i="44"/>
  <c r="G138" i="44"/>
  <c r="G140" i="44"/>
  <c r="G142" i="44"/>
  <c r="G148" i="44"/>
  <c r="G150" i="44"/>
  <c r="G152" i="44"/>
  <c r="G154" i="44"/>
  <c r="G156" i="44"/>
  <c r="G162" i="44"/>
  <c r="G164" i="44"/>
  <c r="G166" i="44"/>
  <c r="G168" i="44"/>
  <c r="G170" i="44"/>
  <c r="G176" i="44"/>
  <c r="G178" i="44"/>
  <c r="G180" i="44"/>
  <c r="G182" i="44"/>
  <c r="G184" i="44"/>
  <c r="G190" i="44"/>
  <c r="G192" i="44"/>
  <c r="G194" i="44"/>
  <c r="G196" i="44"/>
  <c r="G198" i="44"/>
  <c r="G204" i="44"/>
  <c r="G206" i="44"/>
  <c r="G208" i="44"/>
  <c r="G210" i="44"/>
  <c r="G212" i="44"/>
  <c r="G218" i="44"/>
  <c r="G220" i="44"/>
  <c r="G222" i="44"/>
  <c r="G224" i="44"/>
  <c r="G226" i="44"/>
  <c r="G232" i="44"/>
  <c r="G234" i="44"/>
  <c r="G236" i="44"/>
  <c r="G238" i="44"/>
  <c r="G240" i="44"/>
  <c r="G246" i="44"/>
  <c r="G248" i="44"/>
  <c r="G250" i="44"/>
  <c r="G252" i="44"/>
  <c r="G254" i="44"/>
  <c r="G260" i="44"/>
  <c r="G262" i="44"/>
  <c r="G264" i="44"/>
  <c r="G266" i="44"/>
  <c r="G268" i="44"/>
  <c r="G274" i="44"/>
  <c r="G276" i="44"/>
  <c r="G278" i="44"/>
  <c r="G280" i="44"/>
  <c r="G282" i="44"/>
  <c r="G288" i="44"/>
  <c r="G290" i="44"/>
  <c r="G292" i="44"/>
  <c r="G294" i="44"/>
  <c r="G296" i="44"/>
  <c r="G302" i="44"/>
  <c r="G304" i="44"/>
  <c r="G306" i="44"/>
  <c r="G308" i="44"/>
  <c r="G310" i="44"/>
  <c r="G316" i="44"/>
  <c r="G318" i="44"/>
  <c r="G320" i="44"/>
  <c r="G322" i="44"/>
  <c r="G324" i="44"/>
  <c r="G330" i="44"/>
  <c r="G332" i="44"/>
  <c r="G334" i="44"/>
  <c r="G336" i="44"/>
  <c r="G338" i="44"/>
  <c r="G344" i="44"/>
  <c r="G346" i="44"/>
  <c r="G348" i="44"/>
  <c r="G350" i="44"/>
  <c r="G352" i="44"/>
  <c r="G354" i="44"/>
  <c r="G356" i="44"/>
  <c r="G358" i="44"/>
  <c r="G359" i="44"/>
  <c r="G360" i="44"/>
  <c r="G362" i="44"/>
  <c r="G363" i="44"/>
  <c r="G364" i="44"/>
  <c r="G366" i="44"/>
  <c r="G368" i="44"/>
  <c r="G370" i="44"/>
  <c r="G371" i="44"/>
  <c r="G372" i="44"/>
  <c r="G373" i="44"/>
  <c r="G374" i="44"/>
  <c r="G376" i="44"/>
  <c r="G378" i="44"/>
  <c r="G380" i="44"/>
  <c r="G381" i="44"/>
  <c r="G382" i="44"/>
  <c r="G384" i="44"/>
  <c r="G385" i="44"/>
  <c r="G386" i="44"/>
  <c r="G388" i="44"/>
  <c r="G390" i="44"/>
  <c r="G392" i="44"/>
  <c r="G393" i="44"/>
  <c r="G394" i="44"/>
  <c r="G395" i="44"/>
  <c r="G396" i="44"/>
  <c r="G398" i="44"/>
  <c r="G400" i="44"/>
  <c r="G401" i="44"/>
  <c r="G402" i="44"/>
  <c r="G404" i="44"/>
  <c r="G406" i="44"/>
  <c r="G408" i="44"/>
  <c r="G410" i="44"/>
  <c r="G412" i="44"/>
  <c r="G414" i="44"/>
  <c r="G416" i="44"/>
  <c r="G418" i="44"/>
  <c r="G420" i="44"/>
  <c r="G422" i="44"/>
  <c r="G424" i="44"/>
  <c r="G426" i="44"/>
  <c r="G428" i="44"/>
  <c r="G430" i="44"/>
  <c r="G432" i="44"/>
  <c r="G434" i="44"/>
  <c r="G436" i="44"/>
  <c r="G437" i="44"/>
  <c r="G438" i="44"/>
  <c r="G439" i="44"/>
  <c r="G440" i="44"/>
  <c r="G442" i="44"/>
  <c r="G444" i="44"/>
  <c r="G445" i="44"/>
  <c r="G446" i="44"/>
  <c r="G447" i="44"/>
  <c r="G448" i="44"/>
  <c r="G450" i="44"/>
  <c r="G452" i="44"/>
  <c r="G454" i="44"/>
  <c r="G456" i="44"/>
  <c r="G458" i="44"/>
  <c r="G460" i="44"/>
  <c r="G462" i="44"/>
  <c r="G464" i="44"/>
  <c r="G466" i="44"/>
  <c r="G468" i="44"/>
  <c r="G470" i="44"/>
  <c r="G472" i="44"/>
  <c r="G474" i="44"/>
  <c r="G476" i="44"/>
  <c r="G478" i="44"/>
  <c r="G480" i="44"/>
  <c r="G482" i="44"/>
  <c r="G484" i="44"/>
  <c r="G486" i="44"/>
  <c r="E181" i="44"/>
  <c r="E179" i="44"/>
  <c r="E177" i="44"/>
  <c r="D177" i="44"/>
  <c r="E175" i="44"/>
  <c r="D175" i="44"/>
  <c r="E167" i="44"/>
  <c r="E165" i="44"/>
  <c r="D165" i="44"/>
  <c r="E163" i="44"/>
  <c r="D163" i="44"/>
  <c r="E161" i="44"/>
  <c r="D161" i="44"/>
  <c r="E153" i="44"/>
  <c r="E151" i="44"/>
  <c r="D151" i="44"/>
  <c r="E149" i="44"/>
  <c r="D149" i="44"/>
  <c r="E147" i="44"/>
  <c r="D147" i="44"/>
  <c r="E139" i="44"/>
  <c r="E137" i="44"/>
  <c r="D137" i="44"/>
  <c r="E135" i="44"/>
  <c r="D135" i="44"/>
  <c r="E133" i="44"/>
  <c r="D133" i="44"/>
  <c r="E125" i="44"/>
  <c r="E123" i="44"/>
  <c r="D123" i="44"/>
  <c r="E121" i="44"/>
  <c r="D121" i="44"/>
  <c r="E119" i="44"/>
  <c r="D119" i="44"/>
  <c r="E109" i="44"/>
  <c r="E107" i="44"/>
  <c r="E105" i="44"/>
  <c r="E95" i="44"/>
  <c r="E93" i="44"/>
  <c r="E91" i="44"/>
  <c r="E81" i="44"/>
  <c r="E79" i="44"/>
  <c r="E77" i="44"/>
  <c r="E67" i="44"/>
  <c r="E65" i="44"/>
  <c r="E63" i="44"/>
  <c r="E51" i="44"/>
  <c r="E37" i="44"/>
  <c r="CM21" i="2"/>
  <c r="CK21" i="2"/>
  <c r="CO21" i="2"/>
  <c r="CQ21" i="2"/>
  <c r="CS21" i="2"/>
  <c r="CU21" i="2"/>
  <c r="CW21" i="2"/>
  <c r="CY21" i="2"/>
  <c r="DA21" i="2"/>
  <c r="DC21" i="2"/>
  <c r="DE21" i="2"/>
  <c r="DG21" i="2"/>
  <c r="CM23" i="2"/>
  <c r="CK23" i="2"/>
  <c r="CO23" i="2"/>
  <c r="CQ23" i="2"/>
  <c r="CS23" i="2"/>
  <c r="CU23" i="2"/>
  <c r="CW23" i="2"/>
  <c r="CY23" i="2"/>
  <c r="DA23" i="2"/>
  <c r="DC23" i="2"/>
  <c r="DE23" i="2"/>
  <c r="DG23" i="2"/>
  <c r="CM25" i="2"/>
  <c r="CK25" i="2"/>
  <c r="CO25" i="2"/>
  <c r="CQ25" i="2"/>
  <c r="CS25" i="2"/>
  <c r="CU25" i="2"/>
  <c r="CW25" i="2"/>
  <c r="CY25" i="2"/>
  <c r="DA25" i="2"/>
  <c r="DC25" i="2"/>
  <c r="DE25" i="2"/>
  <c r="DG25" i="2"/>
  <c r="CM27" i="2"/>
  <c r="CK27" i="2"/>
  <c r="CO27" i="2"/>
  <c r="CQ27" i="2"/>
  <c r="CS27" i="2"/>
  <c r="CU27" i="2"/>
  <c r="CW27" i="2"/>
  <c r="CY27" i="2"/>
  <c r="DA27" i="2"/>
  <c r="DC27" i="2"/>
  <c r="DE27" i="2"/>
  <c r="DG27" i="2"/>
  <c r="CM29" i="2"/>
  <c r="CK29" i="2"/>
  <c r="CO29" i="2"/>
  <c r="CQ29" i="2"/>
  <c r="CS29" i="2"/>
  <c r="CU29" i="2"/>
  <c r="CW29" i="2"/>
  <c r="CY29" i="2"/>
  <c r="DA29" i="2"/>
  <c r="DC29" i="2"/>
  <c r="DE29" i="2"/>
  <c r="DG29" i="2"/>
  <c r="L289" i="43"/>
  <c r="L101" i="43"/>
  <c r="L283" i="43"/>
  <c r="K289" i="43"/>
  <c r="K101" i="43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W2" i="4"/>
  <c r="K14" i="41"/>
  <c r="K13" i="41"/>
  <c r="K12" i="41"/>
  <c r="Q186" i="9"/>
  <c r="Q187" i="9"/>
  <c r="A452" i="48"/>
  <c r="D452" i="48" s="1"/>
  <c r="L452" i="48" s="1"/>
  <c r="C38" i="48"/>
  <c r="C39" i="48"/>
  <c r="C40" i="48"/>
  <c r="C41" i="48"/>
  <c r="C42" i="48"/>
  <c r="C43" i="48"/>
  <c r="C44" i="48"/>
  <c r="C45" i="48"/>
  <c r="C46" i="48"/>
  <c r="C47" i="48"/>
  <c r="C48" i="48"/>
  <c r="C49" i="48"/>
  <c r="C50" i="48"/>
  <c r="C51" i="48"/>
  <c r="C52" i="48"/>
  <c r="C53" i="48"/>
  <c r="C54" i="48"/>
  <c r="C55" i="48"/>
  <c r="C56" i="48"/>
  <c r="C57" i="48"/>
  <c r="C58" i="48"/>
  <c r="C59" i="48"/>
  <c r="C60" i="48"/>
  <c r="C61" i="48"/>
  <c r="C62" i="48"/>
  <c r="C63" i="48"/>
  <c r="C64" i="48"/>
  <c r="C65" i="48"/>
  <c r="C66" i="48"/>
  <c r="C67" i="48"/>
  <c r="C68" i="48"/>
  <c r="C69" i="48"/>
  <c r="C70" i="48"/>
  <c r="C71" i="48"/>
  <c r="C72" i="48"/>
  <c r="C73" i="48"/>
  <c r="C74" i="48"/>
  <c r="C75" i="48"/>
  <c r="C76" i="48"/>
  <c r="C77" i="48"/>
  <c r="C78" i="48"/>
  <c r="C79" i="48"/>
  <c r="C80" i="48"/>
  <c r="C81" i="48"/>
  <c r="C82" i="48"/>
  <c r="C83" i="48"/>
  <c r="C84" i="48"/>
  <c r="C85" i="48"/>
  <c r="C86" i="48"/>
  <c r="C87" i="48"/>
  <c r="C88" i="48"/>
  <c r="C89" i="48"/>
  <c r="C90" i="48"/>
  <c r="C91" i="48"/>
  <c r="C92" i="48"/>
  <c r="C93" i="48"/>
  <c r="C94" i="48"/>
  <c r="C95" i="48"/>
  <c r="C96" i="48"/>
  <c r="C97" i="48"/>
  <c r="C98" i="48"/>
  <c r="C99" i="48"/>
  <c r="C100" i="48"/>
  <c r="C101" i="48"/>
  <c r="C102" i="48"/>
  <c r="C103" i="48"/>
  <c r="C104" i="48"/>
  <c r="C105" i="48"/>
  <c r="C106" i="48"/>
  <c r="C107" i="48"/>
  <c r="C108" i="48"/>
  <c r="C109" i="48"/>
  <c r="C110" i="48"/>
  <c r="C111" i="48"/>
  <c r="C112" i="48"/>
  <c r="C113" i="48"/>
  <c r="C114" i="48"/>
  <c r="C115" i="48"/>
  <c r="C116" i="48"/>
  <c r="C117" i="48"/>
  <c r="C118" i="48"/>
  <c r="C119" i="48"/>
  <c r="C120" i="48"/>
  <c r="C121" i="48"/>
  <c r="C122" i="48"/>
  <c r="C123" i="48"/>
  <c r="C124" i="48"/>
  <c r="C125" i="48"/>
  <c r="C126" i="48"/>
  <c r="C127" i="48"/>
  <c r="C128" i="48"/>
  <c r="C129" i="48"/>
  <c r="C130" i="48"/>
  <c r="C131" i="48"/>
  <c r="C132" i="48"/>
  <c r="C133" i="48"/>
  <c r="C134" i="48"/>
  <c r="C135" i="48"/>
  <c r="C136" i="48"/>
  <c r="C137" i="48"/>
  <c r="C138" i="48"/>
  <c r="C139" i="48"/>
  <c r="C140" i="48"/>
  <c r="C141" i="48"/>
  <c r="C142" i="48"/>
  <c r="C143" i="48"/>
  <c r="C144" i="48"/>
  <c r="C145" i="48"/>
  <c r="C146" i="48"/>
  <c r="C147" i="48"/>
  <c r="C148" i="48"/>
  <c r="C149" i="48"/>
  <c r="C150" i="48"/>
  <c r="C151" i="48"/>
  <c r="C152" i="48"/>
  <c r="C153" i="48"/>
  <c r="C154" i="48"/>
  <c r="C155" i="48"/>
  <c r="C156" i="48"/>
  <c r="C157" i="48"/>
  <c r="C158" i="48"/>
  <c r="C159" i="48"/>
  <c r="C160" i="48"/>
  <c r="C161" i="48"/>
  <c r="C162" i="48"/>
  <c r="C163" i="48"/>
  <c r="C164" i="48"/>
  <c r="C165" i="48"/>
  <c r="C166" i="48"/>
  <c r="C167" i="48"/>
  <c r="C168" i="48"/>
  <c r="C169" i="48"/>
  <c r="C170" i="48"/>
  <c r="C171" i="48"/>
  <c r="C172" i="48"/>
  <c r="C173" i="48"/>
  <c r="C174" i="48"/>
  <c r="C175" i="48"/>
  <c r="C176" i="48"/>
  <c r="C177" i="48"/>
  <c r="C178" i="48"/>
  <c r="C179" i="48"/>
  <c r="C180" i="48"/>
  <c r="C181" i="48"/>
  <c r="C182" i="48"/>
  <c r="C183" i="48"/>
  <c r="C184" i="48"/>
  <c r="C185" i="48"/>
  <c r="C186" i="48"/>
  <c r="C187" i="48"/>
  <c r="C188" i="48"/>
  <c r="C25" i="48"/>
  <c r="C26" i="48"/>
  <c r="C27" i="48"/>
  <c r="C28" i="48"/>
  <c r="C34" i="48"/>
  <c r="C35" i="48"/>
  <c r="C36" i="48"/>
  <c r="C37" i="48"/>
  <c r="C24" i="48"/>
  <c r="B28" i="4"/>
  <c r="B29" i="4"/>
  <c r="B30" i="4"/>
  <c r="B31" i="4"/>
  <c r="B32" i="4"/>
  <c r="B33" i="4"/>
  <c r="B34" i="4"/>
  <c r="B35" i="4"/>
  <c r="B36" i="4"/>
  <c r="B37" i="4"/>
  <c r="B38" i="4"/>
  <c r="L109" i="43"/>
  <c r="L107" i="43"/>
  <c r="E25" i="48"/>
  <c r="E26" i="48"/>
  <c r="E27" i="48"/>
  <c r="E28" i="48"/>
  <c r="E29" i="48"/>
  <c r="E30" i="48"/>
  <c r="E31" i="48"/>
  <c r="E32" i="48"/>
  <c r="E33" i="48"/>
  <c r="E34" i="48"/>
  <c r="E35" i="48"/>
  <c r="E36" i="48"/>
  <c r="E37" i="48"/>
  <c r="E38" i="48"/>
  <c r="E39" i="48"/>
  <c r="E40" i="48"/>
  <c r="E41" i="48"/>
  <c r="E42" i="48"/>
  <c r="E43" i="48"/>
  <c r="E44" i="48"/>
  <c r="E45" i="48"/>
  <c r="E46" i="48"/>
  <c r="E47" i="48"/>
  <c r="E48" i="48"/>
  <c r="E49" i="48"/>
  <c r="E50" i="48"/>
  <c r="E51" i="48"/>
  <c r="E52" i="48"/>
  <c r="E53" i="48"/>
  <c r="E54" i="48"/>
  <c r="E55" i="48"/>
  <c r="E56" i="48"/>
  <c r="E57" i="48"/>
  <c r="E58" i="48"/>
  <c r="E59" i="48"/>
  <c r="E60" i="48"/>
  <c r="E61" i="48"/>
  <c r="E62" i="48"/>
  <c r="E63" i="48"/>
  <c r="E64" i="48"/>
  <c r="E65" i="48"/>
  <c r="E66" i="48"/>
  <c r="E67" i="48"/>
  <c r="E68" i="48"/>
  <c r="E69" i="48"/>
  <c r="E70" i="48"/>
  <c r="E71" i="48"/>
  <c r="E72" i="48"/>
  <c r="E73" i="48"/>
  <c r="E74" i="48"/>
  <c r="E75" i="48"/>
  <c r="E76" i="48"/>
  <c r="E77" i="48"/>
  <c r="E78" i="48"/>
  <c r="E79" i="48"/>
  <c r="E80" i="48"/>
  <c r="E81" i="48"/>
  <c r="E82" i="48"/>
  <c r="E83" i="48"/>
  <c r="E84" i="48"/>
  <c r="E85" i="48"/>
  <c r="E86" i="48"/>
  <c r="E87" i="48"/>
  <c r="E88" i="48"/>
  <c r="E89" i="48"/>
  <c r="E90" i="48"/>
  <c r="E91" i="48"/>
  <c r="E92" i="48"/>
  <c r="E93" i="48"/>
  <c r="E94" i="48"/>
  <c r="E95" i="48"/>
  <c r="E96" i="48"/>
  <c r="E97" i="48"/>
  <c r="E98" i="48"/>
  <c r="E99" i="48"/>
  <c r="E100" i="48"/>
  <c r="E101" i="48"/>
  <c r="E102" i="48"/>
  <c r="E103" i="48"/>
  <c r="E104" i="48"/>
  <c r="E105" i="48"/>
  <c r="E106" i="48"/>
  <c r="E107" i="48"/>
  <c r="E108" i="48"/>
  <c r="E109" i="48"/>
  <c r="E110" i="48"/>
  <c r="E111" i="48"/>
  <c r="E112" i="48"/>
  <c r="E113" i="48"/>
  <c r="E114" i="48"/>
  <c r="E115" i="48"/>
  <c r="E116" i="48"/>
  <c r="E117" i="48"/>
  <c r="E118" i="48"/>
  <c r="E119" i="48"/>
  <c r="E120" i="48"/>
  <c r="E121" i="48"/>
  <c r="E122" i="48"/>
  <c r="E123" i="48"/>
  <c r="E124" i="48"/>
  <c r="E125" i="48"/>
  <c r="E126" i="48"/>
  <c r="E127" i="48"/>
  <c r="E128" i="48"/>
  <c r="E129" i="48"/>
  <c r="E130" i="48"/>
  <c r="E131" i="48"/>
  <c r="E132" i="48"/>
  <c r="E133" i="48"/>
  <c r="E134" i="48"/>
  <c r="E135" i="48"/>
  <c r="E136" i="48"/>
  <c r="E137" i="48"/>
  <c r="E138" i="48"/>
  <c r="E139" i="48"/>
  <c r="E140" i="48"/>
  <c r="E141" i="48"/>
  <c r="E142" i="48"/>
  <c r="E143" i="48"/>
  <c r="E144" i="48"/>
  <c r="E145" i="48"/>
  <c r="E146" i="48"/>
  <c r="E147" i="48"/>
  <c r="E148" i="48"/>
  <c r="E149" i="48"/>
  <c r="E150" i="48"/>
  <c r="E151" i="48"/>
  <c r="E152" i="48"/>
  <c r="E153" i="48"/>
  <c r="E154" i="48"/>
  <c r="E155" i="48"/>
  <c r="E156" i="48"/>
  <c r="E157" i="48"/>
  <c r="E158" i="48"/>
  <c r="E159" i="48"/>
  <c r="E160" i="48"/>
  <c r="E161" i="48"/>
  <c r="E162" i="48"/>
  <c r="E163" i="48"/>
  <c r="E164" i="48"/>
  <c r="E165" i="48"/>
  <c r="E166" i="48"/>
  <c r="E167" i="48"/>
  <c r="E168" i="48"/>
  <c r="E169" i="48"/>
  <c r="E170" i="48"/>
  <c r="E171" i="48"/>
  <c r="E172" i="48"/>
  <c r="E173" i="48"/>
  <c r="E174" i="48"/>
  <c r="E175" i="48"/>
  <c r="E176" i="48"/>
  <c r="E177" i="48"/>
  <c r="E178" i="48"/>
  <c r="E179" i="48"/>
  <c r="E180" i="48"/>
  <c r="E181" i="48"/>
  <c r="E182" i="48"/>
  <c r="E183" i="48"/>
  <c r="E184" i="48"/>
  <c r="E185" i="48"/>
  <c r="E186" i="48"/>
  <c r="E187" i="48"/>
  <c r="E188" i="48"/>
  <c r="E24" i="48"/>
  <c r="K5" i="5"/>
  <c r="E198" i="35"/>
  <c r="K5" i="41"/>
  <c r="N6" i="41" s="1"/>
  <c r="N182" i="9"/>
  <c r="O182" i="9"/>
  <c r="P182" i="9"/>
  <c r="L336" i="48"/>
  <c r="A335" i="48"/>
  <c r="A336" i="48"/>
  <c r="A328" i="48"/>
  <c r="A329" i="48"/>
  <c r="A330" i="48"/>
  <c r="A331" i="48"/>
  <c r="A333" i="48"/>
  <c r="A334" i="48"/>
  <c r="A327" i="48"/>
  <c r="T30" i="5"/>
  <c r="A409" i="48"/>
  <c r="A410" i="48"/>
  <c r="A411" i="48"/>
  <c r="A412" i="48"/>
  <c r="A413" i="48"/>
  <c r="A414" i="48"/>
  <c r="A415" i="48"/>
  <c r="A416" i="48"/>
  <c r="A417" i="48"/>
  <c r="A418" i="48"/>
  <c r="A419" i="48"/>
  <c r="A420" i="48"/>
  <c r="A421" i="48"/>
  <c r="A422" i="48"/>
  <c r="A423" i="48"/>
  <c r="A424" i="48"/>
  <c r="A425" i="48"/>
  <c r="A426" i="48"/>
  <c r="A427" i="48"/>
  <c r="A428" i="48"/>
  <c r="A429" i="48"/>
  <c r="A430" i="48"/>
  <c r="A431" i="48"/>
  <c r="A432" i="48"/>
  <c r="A433" i="48"/>
  <c r="A434" i="48"/>
  <c r="A435" i="48"/>
  <c r="C258" i="36"/>
  <c r="D258" i="36"/>
  <c r="E258" i="36"/>
  <c r="F258" i="36"/>
  <c r="F259" i="36"/>
  <c r="C262" i="36"/>
  <c r="D262" i="36"/>
  <c r="D263" i="36" s="1"/>
  <c r="E262" i="36"/>
  <c r="F262" i="36"/>
  <c r="F263" i="36" s="1"/>
  <c r="C266" i="36"/>
  <c r="D266" i="36"/>
  <c r="E266" i="36"/>
  <c r="F266" i="36"/>
  <c r="F269" i="36"/>
  <c r="G269" i="36" s="1"/>
  <c r="H5" i="41"/>
  <c r="H7" i="41"/>
  <c r="H8" i="41"/>
  <c r="H9" i="41"/>
  <c r="H10" i="41"/>
  <c r="H11" i="41"/>
  <c r="H12" i="41"/>
  <c r="H13" i="41"/>
  <c r="H14" i="41"/>
  <c r="H15" i="41"/>
  <c r="H16" i="41"/>
  <c r="K16" i="41"/>
  <c r="H35" i="41"/>
  <c r="K15" i="41"/>
  <c r="B16" i="41" s="1"/>
  <c r="E25" i="41"/>
  <c r="H20" i="41"/>
  <c r="H21" i="41"/>
  <c r="H22" i="41"/>
  <c r="H23" i="41"/>
  <c r="G35" i="41"/>
  <c r="L345" i="48"/>
  <c r="C55" i="33"/>
  <c r="C955" i="33" s="1"/>
  <c r="C56" i="33"/>
  <c r="C956" i="33" s="1"/>
  <c r="C57" i="33"/>
  <c r="C957" i="33" s="1"/>
  <c r="C58" i="33"/>
  <c r="C958" i="33" s="1"/>
  <c r="C59" i="33"/>
  <c r="C959" i="33"/>
  <c r="C60" i="33"/>
  <c r="C960" i="33"/>
  <c r="C61" i="33"/>
  <c r="C62" i="33"/>
  <c r="C63" i="33"/>
  <c r="C64" i="33"/>
  <c r="C964" i="33" s="1"/>
  <c r="C65" i="33"/>
  <c r="C965" i="33" s="1"/>
  <c r="C66" i="33"/>
  <c r="C966" i="33" s="1"/>
  <c r="C67" i="33"/>
  <c r="C68" i="33"/>
  <c r="C968" i="33"/>
  <c r="C69" i="33"/>
  <c r="C969" i="33" s="1"/>
  <c r="C70" i="33"/>
  <c r="C970" i="33" s="1"/>
  <c r="C71" i="33"/>
  <c r="C72" i="33"/>
  <c r="C972" i="33" s="1"/>
  <c r="F8" i="48"/>
  <c r="B6" i="48"/>
  <c r="E4" i="48"/>
  <c r="A4" i="48"/>
  <c r="G41" i="40"/>
  <c r="G31" i="35" s="1"/>
  <c r="K237" i="35" s="1"/>
  <c r="F41" i="40"/>
  <c r="F31" i="35" s="1"/>
  <c r="I237" i="35" s="1"/>
  <c r="E41" i="40"/>
  <c r="D41" i="40"/>
  <c r="D31" i="35" s="1"/>
  <c r="E237" i="35" s="1"/>
  <c r="E240" i="35" s="1"/>
  <c r="C41" i="40"/>
  <c r="C31" i="35" s="1"/>
  <c r="C237" i="35" s="1"/>
  <c r="C317" i="36"/>
  <c r="C329" i="36"/>
  <c r="C323" i="36"/>
  <c r="G43" i="40"/>
  <c r="G33" i="35"/>
  <c r="K253" i="35" s="1"/>
  <c r="K254" i="35" s="1"/>
  <c r="F43" i="40"/>
  <c r="F33" i="35" s="1"/>
  <c r="I253" i="35" s="1"/>
  <c r="I254" i="35" s="1"/>
  <c r="E43" i="40"/>
  <c r="E33" i="35" s="1"/>
  <c r="G253" i="35" s="1"/>
  <c r="G254" i="35" s="1"/>
  <c r="D43" i="40"/>
  <c r="D33" i="35" s="1"/>
  <c r="E253" i="35" s="1"/>
  <c r="C43" i="40"/>
  <c r="C33" i="35" s="1"/>
  <c r="C253" i="35" s="1"/>
  <c r="G42" i="40"/>
  <c r="G32" i="35" s="1"/>
  <c r="K245" i="35" s="1"/>
  <c r="F42" i="40"/>
  <c r="F32" i="35" s="1"/>
  <c r="I245" i="35" s="1"/>
  <c r="I247" i="35" s="1"/>
  <c r="E42" i="40"/>
  <c r="E32" i="35" s="1"/>
  <c r="G245" i="35" s="1"/>
  <c r="G246" i="35" s="1"/>
  <c r="D42" i="40"/>
  <c r="D32" i="35" s="1"/>
  <c r="E245" i="35" s="1"/>
  <c r="C42" i="40"/>
  <c r="C32" i="35" s="1"/>
  <c r="C245" i="35" s="1"/>
  <c r="G40" i="40"/>
  <c r="G30" i="35" s="1"/>
  <c r="K230" i="35" s="1"/>
  <c r="K234" i="35" s="1"/>
  <c r="F40" i="40"/>
  <c r="F30" i="35" s="1"/>
  <c r="I230" i="35" s="1"/>
  <c r="I233" i="35" s="1"/>
  <c r="E40" i="40"/>
  <c r="E30" i="35" s="1"/>
  <c r="G230" i="35" s="1"/>
  <c r="D40" i="40"/>
  <c r="D30" i="35" s="1"/>
  <c r="E230" i="35" s="1"/>
  <c r="E231" i="35" s="1"/>
  <c r="C40" i="40"/>
  <c r="C30" i="35" s="1"/>
  <c r="C230" i="35" s="1"/>
  <c r="E200" i="35"/>
  <c r="G200" i="35"/>
  <c r="G34" i="35"/>
  <c r="K261" i="35"/>
  <c r="K262" i="35" s="1"/>
  <c r="F34" i="35"/>
  <c r="I261" i="35" s="1"/>
  <c r="E34" i="35"/>
  <c r="G261" i="35" s="1"/>
  <c r="D34" i="35"/>
  <c r="E261" i="35" s="1"/>
  <c r="C34" i="35"/>
  <c r="C261" i="35" s="1"/>
  <c r="C27" i="33"/>
  <c r="D378" i="33" s="1"/>
  <c r="D356" i="33"/>
  <c r="D361" i="33"/>
  <c r="D367" i="33"/>
  <c r="D375" i="33" s="1"/>
  <c r="D400" i="33"/>
  <c r="D404" i="33" s="1"/>
  <c r="D410" i="33"/>
  <c r="C410" i="48"/>
  <c r="C411" i="48"/>
  <c r="C412" i="48"/>
  <c r="C413" i="48"/>
  <c r="C414" i="48"/>
  <c r="C415" i="48"/>
  <c r="C416" i="48"/>
  <c r="C417" i="48"/>
  <c r="C418" i="48"/>
  <c r="C419" i="48"/>
  <c r="C420" i="48"/>
  <c r="C421" i="48"/>
  <c r="C422" i="48"/>
  <c r="C423" i="48"/>
  <c r="C424" i="48"/>
  <c r="C425" i="48"/>
  <c r="C426" i="48"/>
  <c r="C427" i="48"/>
  <c r="C428" i="48"/>
  <c r="C429" i="48"/>
  <c r="C430" i="48"/>
  <c r="C431" i="48"/>
  <c r="C432" i="48"/>
  <c r="C433" i="48"/>
  <c r="C434" i="48"/>
  <c r="C435" i="48"/>
  <c r="C409" i="48"/>
  <c r="L409" i="48"/>
  <c r="K410" i="48"/>
  <c r="L410" i="48"/>
  <c r="L411" i="48"/>
  <c r="K413" i="48"/>
  <c r="L413" i="48"/>
  <c r="K414" i="48"/>
  <c r="L414" i="48"/>
  <c r="K415" i="48"/>
  <c r="L417" i="48"/>
  <c r="L418" i="48"/>
  <c r="L419" i="48"/>
  <c r="K421" i="48"/>
  <c r="L421" i="48"/>
  <c r="K422" i="48"/>
  <c r="L422" i="48"/>
  <c r="L423" i="48"/>
  <c r="L425" i="48"/>
  <c r="K426" i="48"/>
  <c r="L426" i="48"/>
  <c r="K427" i="48"/>
  <c r="L427" i="48"/>
  <c r="K429" i="48"/>
  <c r="K430" i="48"/>
  <c r="L430" i="48"/>
  <c r="K431" i="48"/>
  <c r="L431" i="48"/>
  <c r="K433" i="48"/>
  <c r="L433" i="48"/>
  <c r="K434" i="48"/>
  <c r="L434" i="48"/>
  <c r="K435" i="48"/>
  <c r="L435" i="48"/>
  <c r="K444" i="48"/>
  <c r="K445" i="48"/>
  <c r="AX24" i="38"/>
  <c r="Y22" i="38"/>
  <c r="Y23" i="38"/>
  <c r="Y24" i="38"/>
  <c r="Y25" i="38"/>
  <c r="Y26" i="38"/>
  <c r="Y27" i="38"/>
  <c r="Y28" i="38"/>
  <c r="Y29" i="38"/>
  <c r="Y30" i="38"/>
  <c r="Y31" i="38"/>
  <c r="Y32" i="38"/>
  <c r="Y33" i="38"/>
  <c r="Y34" i="38"/>
  <c r="Y35" i="38"/>
  <c r="Y36" i="38"/>
  <c r="Y37" i="38"/>
  <c r="Y38" i="38"/>
  <c r="Y39" i="38"/>
  <c r="Y40" i="38"/>
  <c r="Y41" i="38"/>
  <c r="Y42" i="38"/>
  <c r="Y43" i="38"/>
  <c r="Y44" i="38"/>
  <c r="Y45" i="38"/>
  <c r="Y46" i="38"/>
  <c r="Y47" i="38"/>
  <c r="Y48" i="38"/>
  <c r="Y49" i="38"/>
  <c r="Y50" i="38"/>
  <c r="Y56" i="38"/>
  <c r="K272" i="48"/>
  <c r="K167" i="48"/>
  <c r="K168" i="48"/>
  <c r="K169" i="48"/>
  <c r="K171" i="48"/>
  <c r="K313" i="48"/>
  <c r="K291" i="48"/>
  <c r="K277" i="48"/>
  <c r="K279" i="48"/>
  <c r="K285" i="48"/>
  <c r="E6" i="41"/>
  <c r="E7" i="41"/>
  <c r="E11" i="41"/>
  <c r="E13" i="41"/>
  <c r="E14" i="41"/>
  <c r="E17" i="41"/>
  <c r="K305" i="48"/>
  <c r="K306" i="48"/>
  <c r="K307" i="48"/>
  <c r="E22" i="41"/>
  <c r="K327" i="48"/>
  <c r="K330" i="48"/>
  <c r="D347" i="48"/>
  <c r="D348" i="48"/>
  <c r="K348" i="48" s="1"/>
  <c r="D349" i="48"/>
  <c r="D350" i="48"/>
  <c r="L350" i="48" s="1"/>
  <c r="K379" i="48"/>
  <c r="K380" i="48"/>
  <c r="K381" i="48"/>
  <c r="K382" i="48"/>
  <c r="K386" i="48"/>
  <c r="K388" i="48"/>
  <c r="K389" i="48"/>
  <c r="K390" i="48"/>
  <c r="K393" i="48"/>
  <c r="K394" i="48"/>
  <c r="H19" i="3"/>
  <c r="M23" i="45"/>
  <c r="T17" i="5"/>
  <c r="T24" i="5"/>
  <c r="T22" i="5"/>
  <c r="A48" i="43"/>
  <c r="C271" i="35"/>
  <c r="C274" i="35" s="1"/>
  <c r="D274" i="35" s="1"/>
  <c r="C346" i="35" s="1"/>
  <c r="D44" i="43" s="1"/>
  <c r="K44" i="43" s="1"/>
  <c r="H30" i="41"/>
  <c r="H29" i="41"/>
  <c r="K335" i="48"/>
  <c r="K334" i="48"/>
  <c r="H28" i="41"/>
  <c r="H27" i="41"/>
  <c r="H26" i="41"/>
  <c r="H25" i="41"/>
  <c r="H24" i="41"/>
  <c r="E18" i="41"/>
  <c r="D504" i="33"/>
  <c r="D498" i="33"/>
  <c r="D483" i="33"/>
  <c r="D484" i="33" s="1"/>
  <c r="D488" i="33"/>
  <c r="D490" i="33" s="1"/>
  <c r="D493" i="33"/>
  <c r="D479" i="33"/>
  <c r="D389" i="33"/>
  <c r="D392" i="33"/>
  <c r="D432" i="33"/>
  <c r="D442" i="33"/>
  <c r="D445" i="33" s="1"/>
  <c r="D450" i="33"/>
  <c r="D539" i="33"/>
  <c r="D543" i="33" s="1"/>
  <c r="D113" i="33"/>
  <c r="D117" i="33" s="1"/>
  <c r="D586" i="33" s="1"/>
  <c r="D121" i="33"/>
  <c r="D122" i="33"/>
  <c r="D128" i="33"/>
  <c r="D130" i="33" s="1"/>
  <c r="D135" i="33"/>
  <c r="D139" i="33"/>
  <c r="D165" i="33"/>
  <c r="D180" i="33"/>
  <c r="D187" i="33"/>
  <c r="D189" i="33" s="1"/>
  <c r="D194" i="33"/>
  <c r="D217" i="33"/>
  <c r="D225" i="33"/>
  <c r="D232" i="33"/>
  <c r="D239" i="33"/>
  <c r="D246" i="33"/>
  <c r="D247" i="33"/>
  <c r="D269" i="33"/>
  <c r="D275" i="33"/>
  <c r="D278" i="33" s="1"/>
  <c r="D281" i="33"/>
  <c r="D283" i="33"/>
  <c r="D301" i="33"/>
  <c r="D311" i="33"/>
  <c r="D320" i="33"/>
  <c r="D325" i="33"/>
  <c r="D329" i="33"/>
  <c r="D125" i="33"/>
  <c r="D156" i="33"/>
  <c r="D177" i="33"/>
  <c r="D236" i="33"/>
  <c r="D260" i="33"/>
  <c r="D472" i="33"/>
  <c r="D517" i="33"/>
  <c r="C826" i="33" s="1"/>
  <c r="D196" i="48" s="1"/>
  <c r="D523" i="33"/>
  <c r="D525" i="33" s="1"/>
  <c r="C829" i="33" s="1"/>
  <c r="D199" i="48" s="1"/>
  <c r="L199" i="48" s="1"/>
  <c r="D524" i="33"/>
  <c r="D529" i="33"/>
  <c r="D462" i="33"/>
  <c r="C827" i="33"/>
  <c r="D197" i="48" s="1"/>
  <c r="D513" i="33"/>
  <c r="C824" i="33"/>
  <c r="D194" i="48"/>
  <c r="D535" i="33"/>
  <c r="D536" i="33" s="1"/>
  <c r="C821" i="33" s="1"/>
  <c r="D191" i="48" s="1"/>
  <c r="K191" i="48" s="1"/>
  <c r="D468" i="33"/>
  <c r="D469" i="33" s="1"/>
  <c r="C820" i="33" s="1"/>
  <c r="D190" i="48" s="1"/>
  <c r="D149" i="33"/>
  <c r="D201" i="33"/>
  <c r="D253" i="33"/>
  <c r="D287" i="33"/>
  <c r="D290" i="33"/>
  <c r="D346" i="33"/>
  <c r="D352" i="33"/>
  <c r="D349" i="33"/>
  <c r="D123" i="33"/>
  <c r="D402" i="33"/>
  <c r="D406" i="33"/>
  <c r="D530" i="33"/>
  <c r="D351" i="33"/>
  <c r="D176" i="33"/>
  <c r="D124" i="33"/>
  <c r="D235" i="33"/>
  <c r="B335" i="39"/>
  <c r="E335" i="39"/>
  <c r="C335" i="39"/>
  <c r="D335" i="39"/>
  <c r="F335" i="39"/>
  <c r="G335" i="39"/>
  <c r="H335" i="39"/>
  <c r="B281" i="39"/>
  <c r="E281" i="39"/>
  <c r="C281" i="39"/>
  <c r="D281" i="39"/>
  <c r="F281" i="39"/>
  <c r="G281" i="39"/>
  <c r="H281" i="39"/>
  <c r="B168" i="39"/>
  <c r="C168" i="39"/>
  <c r="D168" i="39"/>
  <c r="E168" i="39"/>
  <c r="F168" i="39"/>
  <c r="G168" i="39"/>
  <c r="H168" i="39"/>
  <c r="B169" i="39"/>
  <c r="C169" i="39"/>
  <c r="D169" i="39"/>
  <c r="E169" i="39"/>
  <c r="F169" i="39"/>
  <c r="G169" i="39"/>
  <c r="H169" i="39"/>
  <c r="C192" i="35"/>
  <c r="E192" i="35"/>
  <c r="E191" i="35"/>
  <c r="G191" i="35"/>
  <c r="C190" i="35"/>
  <c r="E190" i="35"/>
  <c r="E12" i="44"/>
  <c r="B12" i="44"/>
  <c r="B7" i="44"/>
  <c r="B9" i="44"/>
  <c r="B5" i="45"/>
  <c r="D9" i="45"/>
  <c r="D11" i="45"/>
  <c r="D7" i="45"/>
  <c r="E4" i="43"/>
  <c r="A4" i="43"/>
  <c r="K9" i="45"/>
  <c r="E11" i="44"/>
  <c r="AJ1" i="4"/>
  <c r="Q3" i="3"/>
  <c r="M4" i="3"/>
  <c r="A296" i="48"/>
  <c r="A295" i="48"/>
  <c r="A293" i="48"/>
  <c r="A286" i="48"/>
  <c r="A294" i="48"/>
  <c r="A291" i="48"/>
  <c r="A289" i="48"/>
  <c r="A290" i="48"/>
  <c r="A285" i="48"/>
  <c r="A288" i="48"/>
  <c r="A292" i="48"/>
  <c r="A287" i="48"/>
  <c r="A302" i="48"/>
  <c r="A301" i="48"/>
  <c r="A300" i="48"/>
  <c r="A272" i="48"/>
  <c r="BB138" i="8"/>
  <c r="BB137" i="8"/>
  <c r="A80" i="43"/>
  <c r="A79" i="43"/>
  <c r="A78" i="43"/>
  <c r="A77" i="43"/>
  <c r="A76" i="43"/>
  <c r="A75" i="43"/>
  <c r="A74" i="43"/>
  <c r="A73" i="43"/>
  <c r="A72" i="43"/>
  <c r="A71" i="43"/>
  <c r="A70" i="43"/>
  <c r="A69" i="43"/>
  <c r="A68" i="43"/>
  <c r="A67" i="43"/>
  <c r="A66" i="43"/>
  <c r="A65" i="43"/>
  <c r="A64" i="43"/>
  <c r="A62" i="43"/>
  <c r="A61" i="43"/>
  <c r="A60" i="43"/>
  <c r="A59" i="43"/>
  <c r="A58" i="43"/>
  <c r="A57" i="43"/>
  <c r="A63" i="43"/>
  <c r="C271" i="36"/>
  <c r="C273" i="36" s="1"/>
  <c r="G273" i="36" s="1"/>
  <c r="D271" i="36"/>
  <c r="D273" i="36" s="1"/>
  <c r="E271" i="36"/>
  <c r="E273" i="36" s="1"/>
  <c r="F271" i="36"/>
  <c r="F273" i="36"/>
  <c r="C311" i="36"/>
  <c r="F267" i="36"/>
  <c r="F268" i="36"/>
  <c r="F43" i="3"/>
  <c r="A46" i="43"/>
  <c r="A238" i="9"/>
  <c r="A379" i="48"/>
  <c r="B354" i="48"/>
  <c r="B353" i="48"/>
  <c r="B352" i="48"/>
  <c r="B351" i="48"/>
  <c r="B350" i="48"/>
  <c r="B349" i="48"/>
  <c r="B348" i="48"/>
  <c r="B347" i="48"/>
  <c r="L398" i="48"/>
  <c r="L394" i="48"/>
  <c r="L393" i="48"/>
  <c r="L390" i="48"/>
  <c r="L389" i="48"/>
  <c r="L388" i="48"/>
  <c r="L387" i="48"/>
  <c r="L386" i="48"/>
  <c r="L382" i="48"/>
  <c r="L381" i="48"/>
  <c r="L380" i="48"/>
  <c r="L343" i="48"/>
  <c r="K7" i="41"/>
  <c r="L335" i="48"/>
  <c r="L334" i="48"/>
  <c r="L330" i="48"/>
  <c r="L327" i="48"/>
  <c r="L313" i="48"/>
  <c r="L307" i="48"/>
  <c r="L306" i="48"/>
  <c r="L305" i="48"/>
  <c r="L295" i="48"/>
  <c r="L285" i="48"/>
  <c r="L279" i="48"/>
  <c r="L277" i="48"/>
  <c r="D231" i="48"/>
  <c r="L231" i="48"/>
  <c r="D229" i="48"/>
  <c r="L229" i="48"/>
  <c r="L189" i="48"/>
  <c r="A171" i="48"/>
  <c r="A170" i="48"/>
  <c r="A169" i="48"/>
  <c r="A168" i="48"/>
  <c r="A167" i="48"/>
  <c r="A22" i="48"/>
  <c r="B21" i="48"/>
  <c r="A21" i="48"/>
  <c r="B20" i="48"/>
  <c r="A20" i="48"/>
  <c r="B19" i="48"/>
  <c r="A19" i="48"/>
  <c r="B18" i="48"/>
  <c r="A18" i="48"/>
  <c r="B17" i="48"/>
  <c r="A17" i="48"/>
  <c r="B16" i="48"/>
  <c r="A16" i="48"/>
  <c r="A266" i="48"/>
  <c r="BB141" i="2"/>
  <c r="BB140" i="2"/>
  <c r="D14" i="41"/>
  <c r="D13" i="41"/>
  <c r="F2" i="6"/>
  <c r="AJ3" i="41"/>
  <c r="AJ5" i="41" s="1"/>
  <c r="BK118" i="40"/>
  <c r="C96" i="40"/>
  <c r="AA72" i="40"/>
  <c r="AB72" i="40"/>
  <c r="AC72" i="40"/>
  <c r="AH72" i="40"/>
  <c r="AI72" i="40"/>
  <c r="AJ72" i="40"/>
  <c r="N95" i="40"/>
  <c r="N98" i="40"/>
  <c r="AY98" i="40"/>
  <c r="AY99" i="40"/>
  <c r="AZ98" i="40"/>
  <c r="AZ99" i="40"/>
  <c r="BA98" i="40"/>
  <c r="BA99" i="40"/>
  <c r="BA10" i="40"/>
  <c r="BJ10" i="40"/>
  <c r="T33" i="40"/>
  <c r="T32" i="40"/>
  <c r="AQ10" i="40"/>
  <c r="AE28" i="40"/>
  <c r="AD10" i="40"/>
  <c r="P10" i="40"/>
  <c r="E10" i="40"/>
  <c r="BE76" i="40"/>
  <c r="BE75" i="40"/>
  <c r="Z153" i="40"/>
  <c r="Z154" i="40"/>
  <c r="N143" i="40"/>
  <c r="N147" i="40"/>
  <c r="N148" i="40"/>
  <c r="N149" i="40"/>
  <c r="N150" i="40"/>
  <c r="N151" i="40"/>
  <c r="N152" i="40"/>
  <c r="N153" i="40"/>
  <c r="N154" i="40"/>
  <c r="N155" i="40"/>
  <c r="N156" i="40"/>
  <c r="N157" i="40"/>
  <c r="N158" i="40"/>
  <c r="BE74" i="40"/>
  <c r="BE63" i="40"/>
  <c r="BE54" i="40"/>
  <c r="BE53" i="40"/>
  <c r="BE52" i="40"/>
  <c r="BE41" i="40"/>
  <c r="BE32" i="40"/>
  <c r="BE31" i="40"/>
  <c r="BE30" i="40"/>
  <c r="BE19" i="40"/>
  <c r="C193" i="35"/>
  <c r="E193" i="35"/>
  <c r="G193" i="35"/>
  <c r="C196" i="35"/>
  <c r="E196" i="35"/>
  <c r="G196" i="35"/>
  <c r="L278" i="35"/>
  <c r="C247" i="36"/>
  <c r="E247" i="36"/>
  <c r="C232" i="36"/>
  <c r="E232" i="36"/>
  <c r="C233" i="36"/>
  <c r="E233" i="36"/>
  <c r="C248" i="36"/>
  <c r="E248" i="36"/>
  <c r="C220" i="36"/>
  <c r="E220" i="36"/>
  <c r="C240" i="36"/>
  <c r="E240" i="36"/>
  <c r="C33" i="36"/>
  <c r="C301" i="36" s="1"/>
  <c r="C303" i="36" s="1"/>
  <c r="C526" i="36" s="1"/>
  <c r="C734" i="36"/>
  <c r="C34" i="36"/>
  <c r="C302" i="36"/>
  <c r="E274" i="36"/>
  <c r="E275" i="36"/>
  <c r="C274" i="36"/>
  <c r="C275" i="36"/>
  <c r="D274" i="36"/>
  <c r="D275" i="36"/>
  <c r="G275" i="36" s="1"/>
  <c r="F274" i="36"/>
  <c r="F275" i="36"/>
  <c r="C31" i="36"/>
  <c r="C293" i="36"/>
  <c r="D31" i="36"/>
  <c r="D293" i="36" s="1"/>
  <c r="D294" i="36" s="1"/>
  <c r="E31" i="36"/>
  <c r="E293" i="36"/>
  <c r="E294" i="36"/>
  <c r="F31" i="36"/>
  <c r="F293" i="36"/>
  <c r="F294" i="36" s="1"/>
  <c r="E235" i="36"/>
  <c r="E250" i="36"/>
  <c r="E224" i="36"/>
  <c r="C234" i="36"/>
  <c r="E234" i="36"/>
  <c r="E244" i="36"/>
  <c r="C249" i="36"/>
  <c r="E249" i="36"/>
  <c r="C222" i="36"/>
  <c r="E222" i="36"/>
  <c r="C242" i="36"/>
  <c r="E242" i="36"/>
  <c r="C221" i="36"/>
  <c r="E221" i="36"/>
  <c r="C241" i="36"/>
  <c r="E241" i="36"/>
  <c r="C223" i="36"/>
  <c r="F223" i="36"/>
  <c r="C243" i="36"/>
  <c r="F243" i="36"/>
  <c r="I151" i="36"/>
  <c r="C459" i="36"/>
  <c r="I166" i="36"/>
  <c r="A573" i="36"/>
  <c r="B573" i="36"/>
  <c r="D573" i="36"/>
  <c r="A574" i="36"/>
  <c r="B574" i="36"/>
  <c r="D574" i="36"/>
  <c r="A575" i="36"/>
  <c r="B575" i="36"/>
  <c r="D575" i="36"/>
  <c r="A576" i="36"/>
  <c r="B576" i="36"/>
  <c r="D576" i="36"/>
  <c r="A577" i="36"/>
  <c r="B577" i="36"/>
  <c r="D577" i="36"/>
  <c r="A578" i="36"/>
  <c r="B578" i="36"/>
  <c r="D578" i="36"/>
  <c r="A579" i="36"/>
  <c r="B579" i="36"/>
  <c r="D579" i="36"/>
  <c r="A580" i="36"/>
  <c r="B580" i="36"/>
  <c r="D580" i="36"/>
  <c r="A581" i="36"/>
  <c r="B581" i="36"/>
  <c r="D581" i="36"/>
  <c r="A582" i="36"/>
  <c r="B582" i="36"/>
  <c r="D582" i="36"/>
  <c r="A583" i="36"/>
  <c r="B583" i="36"/>
  <c r="D583" i="36"/>
  <c r="A584" i="36"/>
  <c r="B584" i="36"/>
  <c r="D584" i="36"/>
  <c r="A585" i="36"/>
  <c r="B585" i="36"/>
  <c r="D585" i="36"/>
  <c r="A586" i="36"/>
  <c r="B586" i="36"/>
  <c r="D586" i="36"/>
  <c r="A587" i="36"/>
  <c r="B587" i="36"/>
  <c r="D587" i="36"/>
  <c r="A588" i="36"/>
  <c r="B588" i="36"/>
  <c r="D588" i="36"/>
  <c r="A589" i="36"/>
  <c r="B589" i="36"/>
  <c r="D589" i="36"/>
  <c r="A590" i="36"/>
  <c r="B590" i="36"/>
  <c r="D590" i="36"/>
  <c r="A591" i="36"/>
  <c r="B591" i="36"/>
  <c r="D591" i="36"/>
  <c r="A592" i="36"/>
  <c r="B592" i="36"/>
  <c r="D592" i="36"/>
  <c r="A593" i="36"/>
  <c r="B593" i="36"/>
  <c r="D593" i="36"/>
  <c r="A594" i="36"/>
  <c r="B594" i="36"/>
  <c r="D594" i="36"/>
  <c r="A595" i="36"/>
  <c r="B595" i="36"/>
  <c r="D595" i="36"/>
  <c r="A596" i="36"/>
  <c r="B596" i="36"/>
  <c r="D596" i="36"/>
  <c r="A597" i="36"/>
  <c r="B597" i="36"/>
  <c r="D597" i="36"/>
  <c r="A598" i="36"/>
  <c r="B598" i="36"/>
  <c r="D598" i="36"/>
  <c r="A599" i="36"/>
  <c r="D599" i="36"/>
  <c r="A600" i="36"/>
  <c r="B600" i="36"/>
  <c r="D600" i="36"/>
  <c r="A601" i="36"/>
  <c r="B601" i="36"/>
  <c r="D601" i="36"/>
  <c r="A602" i="36"/>
  <c r="B602" i="36"/>
  <c r="D602" i="36"/>
  <c r="A603" i="36"/>
  <c r="B603" i="36"/>
  <c r="D603" i="36"/>
  <c r="A604" i="36"/>
  <c r="B604" i="36"/>
  <c r="D604" i="36"/>
  <c r="A605" i="36"/>
  <c r="B605" i="36"/>
  <c r="D605" i="36"/>
  <c r="A606" i="36"/>
  <c r="B606" i="36"/>
  <c r="D606" i="36"/>
  <c r="A607" i="36"/>
  <c r="B607" i="36"/>
  <c r="D607" i="36"/>
  <c r="A608" i="36"/>
  <c r="B608" i="36"/>
  <c r="D608" i="36"/>
  <c r="A609" i="36"/>
  <c r="B609" i="36"/>
  <c r="D609" i="36"/>
  <c r="A610" i="36"/>
  <c r="B610" i="36"/>
  <c r="D610" i="36"/>
  <c r="A611" i="36"/>
  <c r="B611" i="36"/>
  <c r="D611" i="36"/>
  <c r="A612" i="36"/>
  <c r="B612" i="36"/>
  <c r="D612" i="36"/>
  <c r="A613" i="36"/>
  <c r="B613" i="36"/>
  <c r="D613" i="36"/>
  <c r="B614" i="36"/>
  <c r="D614" i="36"/>
  <c r="B615" i="36"/>
  <c r="D615" i="36"/>
  <c r="B616" i="36"/>
  <c r="D616" i="36"/>
  <c r="B617" i="36"/>
  <c r="D617" i="36"/>
  <c r="B618" i="36"/>
  <c r="D618" i="36"/>
  <c r="B619" i="36"/>
  <c r="D619" i="36"/>
  <c r="A620" i="36"/>
  <c r="B620" i="36"/>
  <c r="D620" i="36"/>
  <c r="A621" i="36"/>
  <c r="B621" i="36"/>
  <c r="D621" i="36"/>
  <c r="A622" i="36"/>
  <c r="B622" i="36"/>
  <c r="D622" i="36"/>
  <c r="A623" i="36"/>
  <c r="B623" i="36"/>
  <c r="D623" i="36"/>
  <c r="A624" i="36"/>
  <c r="B624" i="36"/>
  <c r="D624" i="36"/>
  <c r="A625" i="36"/>
  <c r="B625" i="36"/>
  <c r="D625" i="36"/>
  <c r="A626" i="36"/>
  <c r="B626" i="36"/>
  <c r="D626" i="36"/>
  <c r="A627" i="36"/>
  <c r="B627" i="36"/>
  <c r="D627" i="36"/>
  <c r="A628" i="36"/>
  <c r="B628" i="36"/>
  <c r="D628" i="36"/>
  <c r="A629" i="36"/>
  <c r="B629" i="36"/>
  <c r="D629" i="36"/>
  <c r="A630" i="36"/>
  <c r="B630" i="36"/>
  <c r="D630" i="36"/>
  <c r="A631" i="36"/>
  <c r="B631" i="36"/>
  <c r="D631" i="36"/>
  <c r="A632" i="36"/>
  <c r="B632" i="36"/>
  <c r="D632" i="36"/>
  <c r="A633" i="36"/>
  <c r="B633" i="36"/>
  <c r="D633" i="36"/>
  <c r="A634" i="36"/>
  <c r="B634" i="36"/>
  <c r="D634" i="36"/>
  <c r="A635" i="36"/>
  <c r="B635" i="36"/>
  <c r="D635" i="36"/>
  <c r="A636" i="36"/>
  <c r="B636" i="36"/>
  <c r="D636" i="36"/>
  <c r="A637" i="36"/>
  <c r="B637" i="36"/>
  <c r="D637" i="36"/>
  <c r="A638" i="36"/>
  <c r="B638" i="36"/>
  <c r="D638" i="36"/>
  <c r="A639" i="36"/>
  <c r="B639" i="36"/>
  <c r="D639" i="36"/>
  <c r="A640" i="36"/>
  <c r="B640" i="36"/>
  <c r="D640" i="36"/>
  <c r="A641" i="36"/>
  <c r="B641" i="36"/>
  <c r="D641" i="36"/>
  <c r="A642" i="36"/>
  <c r="B642" i="36"/>
  <c r="D642" i="36"/>
  <c r="A643" i="36"/>
  <c r="B643" i="36"/>
  <c r="D643" i="36"/>
  <c r="A644" i="36"/>
  <c r="B644" i="36"/>
  <c r="D644" i="36"/>
  <c r="A645" i="36"/>
  <c r="B645" i="36"/>
  <c r="D645" i="36"/>
  <c r="B572" i="36"/>
  <c r="D572" i="36"/>
  <c r="A572" i="36"/>
  <c r="H12" i="36"/>
  <c r="C13" i="36"/>
  <c r="D13" i="36"/>
  <c r="F13" i="36"/>
  <c r="G13" i="36"/>
  <c r="H13" i="36"/>
  <c r="B13" i="36"/>
  <c r="J313" i="36"/>
  <c r="F210" i="36"/>
  <c r="F212" i="36"/>
  <c r="F213" i="36"/>
  <c r="I167" i="36"/>
  <c r="I128" i="36"/>
  <c r="I133" i="36"/>
  <c r="I105" i="36"/>
  <c r="I87" i="36"/>
  <c r="I88" i="36"/>
  <c r="C195" i="37"/>
  <c r="F195" i="37" s="1"/>
  <c r="C213" i="37"/>
  <c r="F213" i="37" s="1"/>
  <c r="C217" i="37"/>
  <c r="E217" i="37"/>
  <c r="C201" i="37"/>
  <c r="E201" i="37"/>
  <c r="E202" i="37"/>
  <c r="E204" i="37"/>
  <c r="E220" i="37"/>
  <c r="C194" i="37"/>
  <c r="E194" i="37"/>
  <c r="C212" i="37"/>
  <c r="E212" i="37"/>
  <c r="I128" i="37"/>
  <c r="I143" i="37"/>
  <c r="C196" i="37"/>
  <c r="E196" i="37"/>
  <c r="C203" i="37"/>
  <c r="E203" i="37"/>
  <c r="E214" i="37"/>
  <c r="C219" i="37"/>
  <c r="E219" i="37"/>
  <c r="C191" i="37"/>
  <c r="E191" i="37"/>
  <c r="C209" i="37"/>
  <c r="E209" i="37"/>
  <c r="C192" i="37"/>
  <c r="E192" i="37"/>
  <c r="C210" i="37"/>
  <c r="E210" i="37"/>
  <c r="C202" i="37"/>
  <c r="C218" i="37"/>
  <c r="E218" i="37"/>
  <c r="B156" i="37"/>
  <c r="C193" i="37"/>
  <c r="E193" i="37"/>
  <c r="C211" i="37"/>
  <c r="E211" i="37"/>
  <c r="D163" i="37"/>
  <c r="D387" i="39"/>
  <c r="C326" i="39"/>
  <c r="B387" i="39" s="1"/>
  <c r="A140" i="43"/>
  <c r="D386" i="39"/>
  <c r="C272" i="39"/>
  <c r="B386" i="39" s="1"/>
  <c r="A139" i="43" s="1"/>
  <c r="D385" i="39"/>
  <c r="E138" i="43"/>
  <c r="C218" i="39"/>
  <c r="B385" i="39" s="1"/>
  <c r="A138" i="43" s="1"/>
  <c r="D384" i="39"/>
  <c r="D383" i="39"/>
  <c r="E136" i="43"/>
  <c r="D382" i="39"/>
  <c r="D91" i="39"/>
  <c r="D94" i="39"/>
  <c r="D100" i="39"/>
  <c r="D381" i="39"/>
  <c r="D37" i="39"/>
  <c r="D40" i="39"/>
  <c r="D46" i="39"/>
  <c r="G340" i="39"/>
  <c r="H340" i="39"/>
  <c r="G341" i="39"/>
  <c r="H341" i="39"/>
  <c r="B340" i="39"/>
  <c r="B341" i="39"/>
  <c r="G286" i="39"/>
  <c r="H286" i="39"/>
  <c r="G287" i="39"/>
  <c r="H287" i="39"/>
  <c r="B286" i="39"/>
  <c r="B287" i="39"/>
  <c r="G231" i="39"/>
  <c r="H231" i="39"/>
  <c r="G232" i="39"/>
  <c r="H232" i="39"/>
  <c r="B231" i="39"/>
  <c r="B232" i="39"/>
  <c r="G177" i="39"/>
  <c r="H177" i="39"/>
  <c r="G178" i="39"/>
  <c r="H178" i="39"/>
  <c r="B177" i="39"/>
  <c r="B178" i="39"/>
  <c r="B123" i="39"/>
  <c r="G123" i="39"/>
  <c r="H123" i="39"/>
  <c r="B124" i="39"/>
  <c r="G124" i="39"/>
  <c r="H124" i="39"/>
  <c r="G69" i="39"/>
  <c r="H69" i="39"/>
  <c r="G70" i="39"/>
  <c r="H70" i="39"/>
  <c r="B69" i="39"/>
  <c r="B70" i="39"/>
  <c r="G15" i="39"/>
  <c r="H15" i="39"/>
  <c r="G16" i="39"/>
  <c r="H16" i="39"/>
  <c r="B15" i="39"/>
  <c r="B16" i="39"/>
  <c r="B1007" i="33"/>
  <c r="A1007" i="33"/>
  <c r="B1006" i="33"/>
  <c r="A1006" i="33"/>
  <c r="B1005" i="33"/>
  <c r="A1005" i="33"/>
  <c r="B1004" i="33"/>
  <c r="A1004" i="33"/>
  <c r="B1003" i="33"/>
  <c r="A1003" i="33"/>
  <c r="B1002" i="33"/>
  <c r="A1002" i="33"/>
  <c r="B1001" i="33"/>
  <c r="A1001" i="33"/>
  <c r="B1000" i="33"/>
  <c r="A1000" i="33"/>
  <c r="B999" i="33"/>
  <c r="A999" i="33"/>
  <c r="B998" i="33"/>
  <c r="A998" i="33"/>
  <c r="B997" i="33"/>
  <c r="A997" i="33"/>
  <c r="B996" i="33"/>
  <c r="A996" i="33"/>
  <c r="B995" i="33"/>
  <c r="A995" i="33"/>
  <c r="B994" i="33"/>
  <c r="A994" i="33"/>
  <c r="B993" i="33"/>
  <c r="A993" i="33"/>
  <c r="B992" i="33"/>
  <c r="A992" i="33"/>
  <c r="B991" i="33"/>
  <c r="A991" i="33"/>
  <c r="B990" i="33"/>
  <c r="A990" i="33"/>
  <c r="B989" i="33"/>
  <c r="A989" i="33"/>
  <c r="B988" i="33"/>
  <c r="A988" i="33"/>
  <c r="B987" i="33"/>
  <c r="A987" i="33"/>
  <c r="B986" i="33"/>
  <c r="A986" i="33"/>
  <c r="B985" i="33"/>
  <c r="A985" i="33"/>
  <c r="B984" i="33"/>
  <c r="A984" i="33"/>
  <c r="B983" i="33"/>
  <c r="A983" i="33"/>
  <c r="B982" i="33"/>
  <c r="A982" i="33"/>
  <c r="B981" i="33"/>
  <c r="A981" i="33"/>
  <c r="B980" i="33"/>
  <c r="A980" i="33"/>
  <c r="B979" i="33"/>
  <c r="A979" i="33"/>
  <c r="B978" i="33"/>
  <c r="A978" i="33"/>
  <c r="B977" i="33"/>
  <c r="A977" i="33"/>
  <c r="B976" i="33"/>
  <c r="A976" i="33"/>
  <c r="B975" i="33"/>
  <c r="A975" i="33"/>
  <c r="B974" i="33"/>
  <c r="A974" i="33"/>
  <c r="B973" i="33"/>
  <c r="A973" i="33"/>
  <c r="B972" i="33"/>
  <c r="A972" i="33"/>
  <c r="B971" i="33"/>
  <c r="A971" i="33"/>
  <c r="B970" i="33"/>
  <c r="A970" i="33"/>
  <c r="B969" i="33"/>
  <c r="A969" i="33"/>
  <c r="B968" i="33"/>
  <c r="A968" i="33"/>
  <c r="B967" i="33"/>
  <c r="A967" i="33"/>
  <c r="B966" i="33"/>
  <c r="A966" i="33"/>
  <c r="B965" i="33"/>
  <c r="A965" i="33"/>
  <c r="B964" i="33"/>
  <c r="A964" i="33"/>
  <c r="B963" i="33"/>
  <c r="A963" i="33"/>
  <c r="B962" i="33"/>
  <c r="A962" i="33"/>
  <c r="B961" i="33"/>
  <c r="A961" i="33"/>
  <c r="B960" i="33"/>
  <c r="A960" i="33"/>
  <c r="B959" i="33"/>
  <c r="A959" i="33"/>
  <c r="B958" i="33"/>
  <c r="A958" i="33"/>
  <c r="B957" i="33"/>
  <c r="A957" i="33"/>
  <c r="B956" i="33"/>
  <c r="A956" i="33"/>
  <c r="B955" i="33"/>
  <c r="A955" i="33"/>
  <c r="B954" i="33"/>
  <c r="A954" i="33"/>
  <c r="B953" i="33"/>
  <c r="A953" i="33"/>
  <c r="B952" i="33"/>
  <c r="A952" i="33"/>
  <c r="B951" i="33"/>
  <c r="A951" i="33"/>
  <c r="B950" i="33"/>
  <c r="A950" i="33"/>
  <c r="B949" i="33"/>
  <c r="A949" i="33"/>
  <c r="B948" i="33"/>
  <c r="A948" i="33"/>
  <c r="B947" i="33"/>
  <c r="A947" i="33"/>
  <c r="B946" i="33"/>
  <c r="A946" i="33"/>
  <c r="B945" i="33"/>
  <c r="A945" i="33"/>
  <c r="B944" i="33"/>
  <c r="A944" i="33"/>
  <c r="B943" i="33"/>
  <c r="A943" i="33"/>
  <c r="B942" i="33"/>
  <c r="A942" i="33"/>
  <c r="B941" i="33"/>
  <c r="A941" i="33"/>
  <c r="B940" i="33"/>
  <c r="A940" i="33"/>
  <c r="B939" i="33"/>
  <c r="A939" i="33"/>
  <c r="B938" i="33"/>
  <c r="A938" i="33"/>
  <c r="B937" i="33"/>
  <c r="A937" i="33"/>
  <c r="B936" i="33"/>
  <c r="A936" i="33"/>
  <c r="B935" i="33"/>
  <c r="A935" i="33"/>
  <c r="B934" i="33"/>
  <c r="A934" i="33"/>
  <c r="B933" i="33"/>
  <c r="A933" i="33"/>
  <c r="B932" i="33"/>
  <c r="A932" i="33"/>
  <c r="B931" i="33"/>
  <c r="A931" i="33"/>
  <c r="B930" i="33"/>
  <c r="A930" i="33"/>
  <c r="B929" i="33"/>
  <c r="A929" i="33"/>
  <c r="B928" i="33"/>
  <c r="A928" i="33"/>
  <c r="B927" i="33"/>
  <c r="A927" i="33"/>
  <c r="B926" i="33"/>
  <c r="A926" i="33"/>
  <c r="B925" i="33"/>
  <c r="A925" i="33"/>
  <c r="B924" i="33"/>
  <c r="A924" i="33"/>
  <c r="B923" i="33"/>
  <c r="A923" i="33"/>
  <c r="B922" i="33"/>
  <c r="A922" i="33"/>
  <c r="B921" i="33"/>
  <c r="A921" i="33"/>
  <c r="B920" i="33"/>
  <c r="A920" i="33"/>
  <c r="B919" i="33"/>
  <c r="A919" i="33"/>
  <c r="B918" i="33"/>
  <c r="A918" i="33"/>
  <c r="B917" i="33"/>
  <c r="A917" i="33"/>
  <c r="B916" i="33"/>
  <c r="A916" i="33"/>
  <c r="B915" i="33"/>
  <c r="A915" i="33"/>
  <c r="B914" i="33"/>
  <c r="A914" i="33"/>
  <c r="B913" i="33"/>
  <c r="A913" i="33"/>
  <c r="B912" i="33"/>
  <c r="A912" i="33"/>
  <c r="B911" i="33"/>
  <c r="A911" i="33"/>
  <c r="B910" i="33"/>
  <c r="A910" i="33"/>
  <c r="B909" i="33"/>
  <c r="A909" i="33"/>
  <c r="B908" i="33"/>
  <c r="A908" i="33"/>
  <c r="B907" i="33"/>
  <c r="A907" i="33"/>
  <c r="B906" i="33"/>
  <c r="A906" i="33"/>
  <c r="B905" i="33"/>
  <c r="A905" i="33"/>
  <c r="B904" i="33"/>
  <c r="A904" i="33"/>
  <c r="D514" i="33"/>
  <c r="L254" i="43"/>
  <c r="E54" i="43"/>
  <c r="E88" i="43"/>
  <c r="A54" i="43"/>
  <c r="A85" i="43"/>
  <c r="A87" i="43"/>
  <c r="A88" i="43"/>
  <c r="E135" i="43"/>
  <c r="E137" i="43"/>
  <c r="E139" i="43"/>
  <c r="E140" i="43"/>
  <c r="C2" i="44"/>
  <c r="C1" i="44"/>
  <c r="C43" i="3"/>
  <c r="L263" i="48"/>
  <c r="D264" i="36"/>
  <c r="F264" i="36"/>
  <c r="F260" i="36"/>
  <c r="D268" i="36"/>
  <c r="D264" i="33"/>
  <c r="D518" i="33"/>
  <c r="D446" i="33"/>
  <c r="D447" i="33"/>
  <c r="D749" i="33" s="1"/>
  <c r="C861" i="33"/>
  <c r="D257" i="43" s="1"/>
  <c r="D444" i="33"/>
  <c r="C831" i="33"/>
  <c r="D201" i="48" s="1"/>
  <c r="C874" i="33"/>
  <c r="D411" i="33"/>
  <c r="D227" i="33"/>
  <c r="D350" i="33"/>
  <c r="D160" i="33"/>
  <c r="D489" i="33"/>
  <c r="D526" i="33"/>
  <c r="C825" i="33"/>
  <c r="D195" i="48"/>
  <c r="D115" i="33"/>
  <c r="D454" i="33"/>
  <c r="C864" i="33" s="1"/>
  <c r="D260" i="43" s="1"/>
  <c r="D394" i="33"/>
  <c r="D485" i="33"/>
  <c r="C891" i="33"/>
  <c r="D307" i="33"/>
  <c r="D304" i="33"/>
  <c r="D248" i="33"/>
  <c r="D480" i="33"/>
  <c r="C899" i="33"/>
  <c r="D241" i="48" s="1"/>
  <c r="C895" i="33"/>
  <c r="D237" i="48" s="1"/>
  <c r="L237" i="48" s="1"/>
  <c r="D495" i="33"/>
  <c r="D494" i="33"/>
  <c r="C892" i="33"/>
  <c r="D234" i="48" s="1"/>
  <c r="C836" i="33"/>
  <c r="D206" i="48" s="1"/>
  <c r="D541" i="33"/>
  <c r="D732" i="33"/>
  <c r="D733" i="33" s="1"/>
  <c r="C837" i="33" s="1"/>
  <c r="D207" i="48" s="1"/>
  <c r="D443" i="33"/>
  <c r="D549" i="33"/>
  <c r="D546" i="33"/>
  <c r="C857" i="33" s="1"/>
  <c r="D227" i="48" s="1"/>
  <c r="C890" i="33"/>
  <c r="D232" i="48" s="1"/>
  <c r="C894" i="33"/>
  <c r="D236" i="48" s="1"/>
  <c r="D509" i="33"/>
  <c r="D332" i="33"/>
  <c r="D545" i="33"/>
  <c r="D547" i="33"/>
  <c r="C862" i="33" s="1"/>
  <c r="D258" i="43" s="1"/>
  <c r="D168" i="33"/>
  <c r="D169" i="33"/>
  <c r="D288" i="33"/>
  <c r="L291" i="43"/>
  <c r="K291" i="43"/>
  <c r="E331" i="36"/>
  <c r="C198" i="35"/>
  <c r="C200" i="35"/>
  <c r="K397" i="48"/>
  <c r="L397" i="48"/>
  <c r="C372" i="35"/>
  <c r="C368" i="35"/>
  <c r="C370" i="35"/>
  <c r="K224" i="43"/>
  <c r="K222" i="43"/>
  <c r="L222" i="43"/>
  <c r="K220" i="43"/>
  <c r="L218" i="43"/>
  <c r="K218" i="43"/>
  <c r="K215" i="43"/>
  <c r="L215" i="43"/>
  <c r="L209" i="43"/>
  <c r="K209" i="43"/>
  <c r="L207" i="43"/>
  <c r="K207" i="43"/>
  <c r="K203" i="43"/>
  <c r="L203" i="43"/>
  <c r="K202" i="43"/>
  <c r="L202" i="43"/>
  <c r="K198" i="43"/>
  <c r="L198" i="43"/>
  <c r="L197" i="43"/>
  <c r="K197" i="43"/>
  <c r="K195" i="43"/>
  <c r="L193" i="43"/>
  <c r="K193" i="43"/>
  <c r="K191" i="43"/>
  <c r="L191" i="43"/>
  <c r="K190" i="43"/>
  <c r="L190" i="43"/>
  <c r="K186" i="43"/>
  <c r="L186" i="43"/>
  <c r="K185" i="43"/>
  <c r="L185" i="43"/>
  <c r="K184" i="43"/>
  <c r="L184" i="43"/>
  <c r="L181" i="43"/>
  <c r="K181" i="43"/>
  <c r="K178" i="43"/>
  <c r="L178" i="43"/>
  <c r="K177" i="43"/>
  <c r="L177" i="43"/>
  <c r="K176" i="43"/>
  <c r="L176" i="43"/>
  <c r="K173" i="43"/>
  <c r="L173" i="43"/>
  <c r="K172" i="43"/>
  <c r="L172" i="43"/>
  <c r="L171" i="43"/>
  <c r="K171" i="43"/>
  <c r="K166" i="43"/>
  <c r="L166" i="43"/>
  <c r="K162" i="43"/>
  <c r="L162" i="43"/>
  <c r="K161" i="43"/>
  <c r="L161" i="43"/>
  <c r="L159" i="43"/>
  <c r="K159" i="43"/>
  <c r="L157" i="43"/>
  <c r="K157" i="43"/>
  <c r="K154" i="43"/>
  <c r="L154" i="43"/>
  <c r="K153" i="43"/>
  <c r="L153" i="43"/>
  <c r="K152" i="43"/>
  <c r="L152" i="43"/>
  <c r="K145" i="43"/>
  <c r="C269" i="36"/>
  <c r="C267" i="36"/>
  <c r="C268" i="36"/>
  <c r="C263" i="36"/>
  <c r="C264" i="36"/>
  <c r="C260" i="36"/>
  <c r="C259" i="36"/>
  <c r="I331" i="36"/>
  <c r="I319" i="36"/>
  <c r="A283" i="48"/>
  <c r="T25" i="5" s="1"/>
  <c r="C302" i="48"/>
  <c r="C300" i="48"/>
  <c r="C299" i="48"/>
  <c r="C191" i="48"/>
  <c r="C301" i="48"/>
  <c r="L298" i="48"/>
  <c r="K298" i="48"/>
  <c r="K226" i="43"/>
  <c r="L226" i="43"/>
  <c r="L223" i="43"/>
  <c r="K223" i="43"/>
  <c r="L221" i="43"/>
  <c r="K221" i="43"/>
  <c r="K217" i="43"/>
  <c r="L217" i="43"/>
  <c r="K213" i="43"/>
  <c r="L213" i="43"/>
  <c r="K212" i="43"/>
  <c r="L212" i="43"/>
  <c r="L211" i="43"/>
  <c r="K211" i="43"/>
  <c r="K208" i="43"/>
  <c r="L208" i="43"/>
  <c r="K205" i="43"/>
  <c r="L205" i="43"/>
  <c r="K204" i="43"/>
  <c r="L204" i="43"/>
  <c r="K196" i="43"/>
  <c r="L196" i="43"/>
  <c r="K192" i="43"/>
  <c r="L192" i="43"/>
  <c r="K183" i="43"/>
  <c r="L183" i="43"/>
  <c r="K180" i="43"/>
  <c r="L180" i="43"/>
  <c r="L179" i="43"/>
  <c r="K179" i="43"/>
  <c r="K170" i="43"/>
  <c r="L170" i="43"/>
  <c r="L169" i="43"/>
  <c r="K169" i="43"/>
  <c r="L167" i="43"/>
  <c r="K167" i="43"/>
  <c r="K165" i="43"/>
  <c r="L165" i="43"/>
  <c r="K164" i="43"/>
  <c r="L164" i="43"/>
  <c r="K160" i="43"/>
  <c r="L160" i="43"/>
  <c r="K158" i="43"/>
  <c r="L158" i="43"/>
  <c r="K156" i="43"/>
  <c r="L156" i="43"/>
  <c r="L151" i="43"/>
  <c r="K151" i="43"/>
  <c r="K150" i="43"/>
  <c r="L150" i="43"/>
  <c r="K148" i="43"/>
  <c r="L148" i="43"/>
  <c r="K147" i="43"/>
  <c r="L147" i="43"/>
  <c r="K143" i="43"/>
  <c r="K142" i="43"/>
  <c r="K294" i="43"/>
  <c r="L294" i="43"/>
  <c r="K293" i="43"/>
  <c r="L293" i="43"/>
  <c r="E269" i="36"/>
  <c r="E268" i="36"/>
  <c r="E267" i="36"/>
  <c r="D259" i="36"/>
  <c r="D260" i="36"/>
  <c r="C12" i="37"/>
  <c r="F12" i="37"/>
  <c r="H12" i="37"/>
  <c r="H11" i="37"/>
  <c r="D12" i="37"/>
  <c r="G12" i="37"/>
  <c r="B12" i="37"/>
  <c r="K144" i="43"/>
  <c r="C375" i="35"/>
  <c r="C367" i="35"/>
  <c r="G268" i="36"/>
  <c r="K264" i="48"/>
  <c r="L264" i="48"/>
  <c r="K261" i="48"/>
  <c r="C97" i="40"/>
  <c r="C369" i="35"/>
  <c r="L64" i="43"/>
  <c r="C374" i="35"/>
  <c r="D269" i="36"/>
  <c r="D267" i="36"/>
  <c r="G267" i="36" s="1"/>
  <c r="C519" i="36"/>
  <c r="C727" i="36" s="1"/>
  <c r="K299" i="48"/>
  <c r="L299" i="48"/>
  <c r="D347" i="33"/>
  <c r="D348" i="33"/>
  <c r="D289" i="33"/>
  <c r="D170" i="33"/>
  <c r="D190" i="33"/>
  <c r="D659" i="33" s="1"/>
  <c r="C658" i="36"/>
  <c r="C174" i="35"/>
  <c r="C175" i="35"/>
  <c r="C176" i="35"/>
  <c r="C181" i="35"/>
  <c r="C183" i="35"/>
  <c r="C179" i="35"/>
  <c r="Y95" i="40"/>
  <c r="C373" i="35"/>
  <c r="C376" i="35"/>
  <c r="C378" i="35"/>
  <c r="G179" i="35"/>
  <c r="G176" i="35"/>
  <c r="Y94" i="40"/>
  <c r="Y97" i="40" s="1"/>
  <c r="C377" i="35"/>
  <c r="C280" i="36"/>
  <c r="C278" i="36"/>
  <c r="C371" i="35"/>
  <c r="K28" i="43"/>
  <c r="L28" i="43"/>
  <c r="L303" i="43"/>
  <c r="L306" i="43"/>
  <c r="L304" i="43"/>
  <c r="C512" i="36"/>
  <c r="L44" i="43"/>
  <c r="C271" i="37"/>
  <c r="C592" i="36" s="1"/>
  <c r="C719" i="36" s="1"/>
  <c r="D81" i="43" s="1"/>
  <c r="D282" i="33"/>
  <c r="D317" i="33"/>
  <c r="D118" i="33"/>
  <c r="D114" i="33"/>
  <c r="E86" i="35"/>
  <c r="L339" i="48"/>
  <c r="D284" i="33"/>
  <c r="C150" i="35"/>
  <c r="G124" i="35"/>
  <c r="I197" i="35"/>
  <c r="E151" i="35"/>
  <c r="G197" i="35"/>
  <c r="G194" i="35"/>
  <c r="G199" i="35"/>
  <c r="G195" i="35"/>
  <c r="F163" i="35"/>
  <c r="F164" i="35"/>
  <c r="G151" i="35"/>
  <c r="G150" i="35"/>
  <c r="F111" i="35"/>
  <c r="F112" i="35"/>
  <c r="G74" i="35"/>
  <c r="G75" i="35"/>
  <c r="G180" i="35"/>
  <c r="H46" i="38"/>
  <c r="L46" i="38"/>
  <c r="H42" i="38"/>
  <c r="L42" i="38"/>
  <c r="L30" i="38"/>
  <c r="P19" i="45"/>
  <c r="D24" i="45"/>
  <c r="EK207" i="9"/>
  <c r="EK211" i="9"/>
  <c r="EO211" i="9"/>
  <c r="EQ211" i="9"/>
  <c r="EK215" i="9"/>
  <c r="EO215" i="9"/>
  <c r="EQ215" i="9"/>
  <c r="EK220" i="9"/>
  <c r="EO220" i="9"/>
  <c r="EQ220" i="9"/>
  <c r="EK224" i="9"/>
  <c r="EO224" i="9"/>
  <c r="EQ224" i="9"/>
  <c r="EK232" i="9"/>
  <c r="EO232" i="9"/>
  <c r="EQ232" i="9"/>
  <c r="EK240" i="9"/>
  <c r="EO240" i="9"/>
  <c r="EQ240" i="9"/>
  <c r="AH20" i="9"/>
  <c r="D73" i="43"/>
  <c r="U24" i="9"/>
  <c r="D65" i="43" s="1"/>
  <c r="EQ331" i="9"/>
  <c r="EQ315" i="9"/>
  <c r="EQ299" i="9"/>
  <c r="C319" i="39"/>
  <c r="C320" i="39" s="1"/>
  <c r="I320" i="39" s="1"/>
  <c r="B255" i="39"/>
  <c r="B256" i="39" s="1"/>
  <c r="U41" i="38"/>
  <c r="U37" i="38"/>
  <c r="S42" i="38"/>
  <c r="H10" i="36"/>
  <c r="H11" i="36"/>
  <c r="AP11" i="41" s="1"/>
  <c r="AM68" i="41" s="1"/>
  <c r="AM69" i="41" s="1"/>
  <c r="H9" i="36"/>
  <c r="H18" i="36"/>
  <c r="L45" i="38"/>
  <c r="H45" i="38"/>
  <c r="L41" i="38"/>
  <c r="H41" i="38"/>
  <c r="H36" i="38"/>
  <c r="L36" i="38"/>
  <c r="L29" i="38"/>
  <c r="H29" i="38"/>
  <c r="S38" i="38"/>
  <c r="EK208" i="9"/>
  <c r="EO208" i="9"/>
  <c r="EQ208" i="9"/>
  <c r="EK212" i="9"/>
  <c r="EO212" i="9"/>
  <c r="EQ212" i="9"/>
  <c r="EO217" i="9"/>
  <c r="EO229" i="9"/>
  <c r="EM233" i="9"/>
  <c r="EK233" i="9"/>
  <c r="EK241" i="9"/>
  <c r="EO241" i="9"/>
  <c r="EM241" i="9"/>
  <c r="C177" i="35"/>
  <c r="D67" i="43"/>
  <c r="U18" i="9"/>
  <c r="D59" i="43"/>
  <c r="EQ327" i="9"/>
  <c r="C267" i="39"/>
  <c r="C268" i="39" s="1"/>
  <c r="I268" i="39"/>
  <c r="H44" i="38"/>
  <c r="L44" i="38"/>
  <c r="L39" i="38"/>
  <c r="H39" i="38"/>
  <c r="L35" i="38"/>
  <c r="H35" i="38"/>
  <c r="L27" i="38"/>
  <c r="H27" i="38"/>
  <c r="W41" i="38"/>
  <c r="EK213" i="9"/>
  <c r="EK218" i="9"/>
  <c r="EO218" i="9"/>
  <c r="EQ218" i="9"/>
  <c r="EK226" i="9"/>
  <c r="EO226" i="9"/>
  <c r="EQ226" i="9"/>
  <c r="EK230" i="9"/>
  <c r="EO230" i="9"/>
  <c r="EQ230" i="9"/>
  <c r="EK234" i="9"/>
  <c r="EO234" i="9"/>
  <c r="EQ234" i="9"/>
  <c r="EK238" i="9"/>
  <c r="EO238" i="9"/>
  <c r="EQ238" i="9"/>
  <c r="EK242" i="9"/>
  <c r="EO242" i="9"/>
  <c r="EQ242" i="9"/>
  <c r="EK246" i="9"/>
  <c r="EO246" i="9"/>
  <c r="EQ246" i="9"/>
  <c r="AH16" i="9"/>
  <c r="D69" i="43" s="1"/>
  <c r="K69" i="43" s="1"/>
  <c r="H16" i="36"/>
  <c r="D219" i="36" s="1"/>
  <c r="D221" i="36" s="1"/>
  <c r="EQ294" i="9"/>
  <c r="EQ298" i="9"/>
  <c r="EQ302" i="9"/>
  <c r="EQ306" i="9"/>
  <c r="EQ310" i="9"/>
  <c r="EQ318" i="9"/>
  <c r="EQ326" i="9"/>
  <c r="EQ330" i="9"/>
  <c r="EQ334" i="9"/>
  <c r="EQ292" i="9"/>
  <c r="EQ296" i="9"/>
  <c r="EQ304" i="9"/>
  <c r="EQ312" i="9"/>
  <c r="EQ316" i="9"/>
  <c r="EQ320" i="9"/>
  <c r="EQ324" i="9"/>
  <c r="EQ328" i="9"/>
  <c r="EQ336" i="9"/>
  <c r="EQ293" i="9"/>
  <c r="EQ297" i="9"/>
  <c r="EQ301" i="9"/>
  <c r="EQ305" i="9"/>
  <c r="EQ309" i="9"/>
  <c r="EQ313" i="9"/>
  <c r="EQ317" i="9"/>
  <c r="EQ321" i="9"/>
  <c r="EQ325" i="9"/>
  <c r="EQ329" i="9"/>
  <c r="EQ333" i="9"/>
  <c r="EQ337" i="9"/>
  <c r="EQ233" i="9"/>
  <c r="EQ217" i="9"/>
  <c r="K188" i="43"/>
  <c r="L188" i="43"/>
  <c r="W39" i="38"/>
  <c r="U43" i="38"/>
  <c r="U39" i="38"/>
  <c r="S40" i="38"/>
  <c r="L43" i="38"/>
  <c r="H43" i="38"/>
  <c r="H38" i="38"/>
  <c r="L38" i="38"/>
  <c r="L31" i="38"/>
  <c r="H31" i="38"/>
  <c r="H26" i="38"/>
  <c r="L26" i="38"/>
  <c r="EK210" i="9"/>
  <c r="EO210" i="9"/>
  <c r="EQ210" i="9"/>
  <c r="EK214" i="9"/>
  <c r="EO214" i="9"/>
  <c r="EQ214" i="9"/>
  <c r="EK219" i="9"/>
  <c r="EO219" i="9"/>
  <c r="EQ219" i="9"/>
  <c r="EK223" i="9"/>
  <c r="EO223" i="9"/>
  <c r="EQ223" i="9"/>
  <c r="EK227" i="9"/>
  <c r="EO227" i="9"/>
  <c r="EQ227" i="9"/>
  <c r="EK231" i="9"/>
  <c r="EO231" i="9"/>
  <c r="EQ231" i="9"/>
  <c r="EK235" i="9"/>
  <c r="EO235" i="9"/>
  <c r="EQ235" i="9"/>
  <c r="EK239" i="9"/>
  <c r="EO239" i="9"/>
  <c r="EQ239" i="9"/>
  <c r="EK243" i="9"/>
  <c r="EO243" i="9"/>
  <c r="EQ243" i="9"/>
  <c r="EK247" i="9"/>
  <c r="EO247" i="9"/>
  <c r="EQ247" i="9"/>
  <c r="H19" i="36"/>
  <c r="D246" i="36" s="1"/>
  <c r="H17" i="36"/>
  <c r="D231" i="36"/>
  <c r="U22" i="9"/>
  <c r="D63" i="43" s="1"/>
  <c r="K63" i="43" s="1"/>
  <c r="EQ245" i="9"/>
  <c r="L187" i="43"/>
  <c r="K187" i="43"/>
  <c r="EO336" i="9"/>
  <c r="EO328" i="9"/>
  <c r="EO324" i="9"/>
  <c r="EO320" i="9"/>
  <c r="EO316" i="9"/>
  <c r="EO312" i="9"/>
  <c r="EO304" i="9"/>
  <c r="EO296" i="9"/>
  <c r="EK336" i="9"/>
  <c r="EK332" i="9"/>
  <c r="EK328" i="9"/>
  <c r="EK320" i="9"/>
  <c r="EK312" i="9"/>
  <c r="EK308" i="9"/>
  <c r="EK304" i="9"/>
  <c r="EK300" i="9"/>
  <c r="EK296" i="9"/>
  <c r="C348" i="39"/>
  <c r="C349" i="39" s="1"/>
  <c r="A347" i="39"/>
  <c r="B346" i="39" s="1"/>
  <c r="B347" i="39" s="1"/>
  <c r="A297" i="39"/>
  <c r="B296" i="39" s="1"/>
  <c r="B297" i="39" s="1"/>
  <c r="A253" i="39"/>
  <c r="B252" i="39" s="1"/>
  <c r="B253" i="39" s="1"/>
  <c r="A238" i="39"/>
  <c r="B237" i="39" s="1"/>
  <c r="B238" i="39" s="1"/>
  <c r="L129" i="43"/>
  <c r="W40" i="38"/>
  <c r="S43" i="38"/>
  <c r="J44" i="38"/>
  <c r="J36" i="38"/>
  <c r="EM244" i="9"/>
  <c r="EM238" i="9"/>
  <c r="EM234" i="9"/>
  <c r="EM230" i="9"/>
  <c r="EM226" i="9"/>
  <c r="EM218" i="9"/>
  <c r="EM214" i="9"/>
  <c r="EM210" i="9"/>
  <c r="C376" i="39"/>
  <c r="C377" i="39" s="1"/>
  <c r="E355" i="39"/>
  <c r="E356" i="39" s="1"/>
  <c r="C264" i="39"/>
  <c r="C265" i="39" s="1"/>
  <c r="W42" i="38"/>
  <c r="S37" i="38"/>
  <c r="J43" i="38"/>
  <c r="J39" i="38"/>
  <c r="J35" i="38"/>
  <c r="J31" i="38"/>
  <c r="J27" i="38"/>
  <c r="EM247" i="9"/>
  <c r="EM240" i="9"/>
  <c r="EM232" i="9"/>
  <c r="EM224" i="9"/>
  <c r="EM220" i="9"/>
  <c r="EM216" i="9"/>
  <c r="EM212" i="9"/>
  <c r="EM208" i="9"/>
  <c r="S39" i="38"/>
  <c r="J46" i="38"/>
  <c r="J42" i="38"/>
  <c r="J38" i="38"/>
  <c r="J30" i="38"/>
  <c r="EM246" i="9"/>
  <c r="EM243" i="9"/>
  <c r="H9" i="37"/>
  <c r="D171" i="37" s="1"/>
  <c r="H17" i="37"/>
  <c r="D208" i="37"/>
  <c r="D210" i="37" s="1"/>
  <c r="H8" i="37"/>
  <c r="C171" i="37" s="1"/>
  <c r="H15" i="37"/>
  <c r="D190" i="37" s="1"/>
  <c r="H10" i="37"/>
  <c r="E171" i="37"/>
  <c r="E180" i="37" s="1"/>
  <c r="W38" i="38"/>
  <c r="S41" i="38"/>
  <c r="J45" i="38"/>
  <c r="J41" i="38"/>
  <c r="J29" i="38"/>
  <c r="EM292" i="9"/>
  <c r="EM293" i="9"/>
  <c r="EM294" i="9"/>
  <c r="EM296" i="9"/>
  <c r="EM297" i="9"/>
  <c r="EM299" i="9"/>
  <c r="EM300" i="9"/>
  <c r="EM301" i="9"/>
  <c r="EM302" i="9"/>
  <c r="EM304" i="9"/>
  <c r="EM305" i="9"/>
  <c r="EM307" i="9"/>
  <c r="EM308" i="9"/>
  <c r="EM309" i="9"/>
  <c r="EM310" i="9"/>
  <c r="EM312" i="9"/>
  <c r="EM313" i="9"/>
  <c r="EM315" i="9"/>
  <c r="EM316" i="9"/>
  <c r="EM317" i="9"/>
  <c r="EM318" i="9"/>
  <c r="EM320" i="9"/>
  <c r="EM321" i="9"/>
  <c r="EM323" i="9"/>
  <c r="EM324" i="9"/>
  <c r="EM325" i="9"/>
  <c r="EM326" i="9"/>
  <c r="EM328" i="9"/>
  <c r="EM329" i="9"/>
  <c r="EM331" i="9"/>
  <c r="EM332" i="9"/>
  <c r="EM333" i="9"/>
  <c r="EM334" i="9"/>
  <c r="EM336" i="9"/>
  <c r="EM337" i="9"/>
  <c r="EM242" i="9"/>
  <c r="EM239" i="9"/>
  <c r="EM235" i="9"/>
  <c r="EM231" i="9"/>
  <c r="EM227" i="9"/>
  <c r="EM223" i="9"/>
  <c r="EM219" i="9"/>
  <c r="EM215" i="9"/>
  <c r="EM211" i="9"/>
  <c r="C99" i="39"/>
  <c r="C100" i="39" s="1"/>
  <c r="BO15" i="9"/>
  <c r="E99" i="39"/>
  <c r="E100" i="39" s="1"/>
  <c r="A98" i="39"/>
  <c r="B99" i="39" s="1"/>
  <c r="B100" i="39" s="1"/>
  <c r="Y10" i="9"/>
  <c r="BP67" i="9" s="1"/>
  <c r="X131" i="9"/>
  <c r="Q138" i="9"/>
  <c r="R132" i="9"/>
  <c r="U138" i="9"/>
  <c r="V132" i="9"/>
  <c r="Z138" i="9"/>
  <c r="AA132" i="9"/>
  <c r="D231" i="9"/>
  <c r="AP28" i="40" s="1"/>
  <c r="C16" i="39" s="1"/>
  <c r="C51" i="39" s="1"/>
  <c r="C52" i="39" s="1"/>
  <c r="F235" i="9"/>
  <c r="AR49" i="40" s="1"/>
  <c r="E70" i="39" s="1"/>
  <c r="E105" i="39" s="1"/>
  <c r="E106" i="39" s="1"/>
  <c r="F239" i="9"/>
  <c r="AR69" i="40" s="1"/>
  <c r="E124" i="39" s="1"/>
  <c r="E159" i="39" s="1"/>
  <c r="E160" i="39" s="1"/>
  <c r="E235" i="9"/>
  <c r="AQ49" i="40" s="1"/>
  <c r="D70" i="39" s="1"/>
  <c r="D105" i="39" s="1"/>
  <c r="D106" i="39" s="1"/>
  <c r="F231" i="9"/>
  <c r="AR28" i="40" s="1"/>
  <c r="E16" i="39" s="1"/>
  <c r="E51" i="39" s="1"/>
  <c r="E52" i="39" s="1"/>
  <c r="Y63" i="40"/>
  <c r="C53" i="38" s="1"/>
  <c r="BQ322" i="9"/>
  <c r="Z64" i="40"/>
  <c r="E54" i="38"/>
  <c r="F54" i="38"/>
  <c r="AF62" i="40"/>
  <c r="N52" i="38" s="1"/>
  <c r="O52" i="38" s="1"/>
  <c r="BQ225" i="9"/>
  <c r="AF67" i="40"/>
  <c r="N57" i="38" s="1"/>
  <c r="BQ223" i="9"/>
  <c r="O41" i="38"/>
  <c r="F27" i="38"/>
  <c r="AF64" i="40"/>
  <c r="N54" i="38" s="1"/>
  <c r="O54" i="38" s="1"/>
  <c r="CL338" i="9"/>
  <c r="AY338" i="9"/>
  <c r="BI338" i="9"/>
  <c r="BQ308" i="9" s="1"/>
  <c r="Z50" i="40" s="1"/>
  <c r="E40" i="38" s="1"/>
  <c r="F40" i="38" s="1"/>
  <c r="CJ338" i="9"/>
  <c r="BG338" i="9"/>
  <c r="BQ306" i="9" s="1"/>
  <c r="Z48" i="40" s="1"/>
  <c r="E38" i="38"/>
  <c r="F38" i="38"/>
  <c r="BE338" i="9"/>
  <c r="BQ304" i="9" s="1"/>
  <c r="CI338" i="9"/>
  <c r="AV338" i="9"/>
  <c r="BQ298" i="9" s="1"/>
  <c r="Z40" i="40" s="1"/>
  <c r="E30" i="38" s="1"/>
  <c r="AO338" i="9"/>
  <c r="BQ294" i="9" s="1"/>
  <c r="Z36" i="40" s="1"/>
  <c r="E26" i="38" s="1"/>
  <c r="F26" i="38" s="1"/>
  <c r="AK338" i="9"/>
  <c r="BQ290" i="9" s="1"/>
  <c r="Z32" i="40" s="1"/>
  <c r="E22" i="38"/>
  <c r="F22" i="38" s="1"/>
  <c r="BT223" i="9"/>
  <c r="AF53" i="40" s="1"/>
  <c r="N43" i="38"/>
  <c r="O43" i="38" s="1"/>
  <c r="BT311" i="9"/>
  <c r="BC338" i="9"/>
  <c r="BQ302" i="9" s="1"/>
  <c r="Z44" i="40" s="1"/>
  <c r="E34" i="38" s="1"/>
  <c r="F34" i="38" s="1"/>
  <c r="CG338" i="9"/>
  <c r="BQ301" i="9" s="1"/>
  <c r="BA338" i="9"/>
  <c r="BQ300" i="9" s="1"/>
  <c r="Z42" i="40" s="1"/>
  <c r="E32" i="38" s="1"/>
  <c r="F32" i="38" s="1"/>
  <c r="AT338" i="9"/>
  <c r="BQ296" i="9" s="1"/>
  <c r="Z38" i="40" s="1"/>
  <c r="E28" i="38" s="1"/>
  <c r="F28" i="38" s="1"/>
  <c r="AM338" i="9"/>
  <c r="BQ292" i="9" s="1"/>
  <c r="Z34" i="40" s="1"/>
  <c r="E24" i="38" s="1"/>
  <c r="F24" i="38" s="1"/>
  <c r="BT230" i="9"/>
  <c r="AF60" i="40"/>
  <c r="N50" i="38" s="1"/>
  <c r="O50" i="38" s="1"/>
  <c r="AF54" i="40"/>
  <c r="N44" i="38" s="1"/>
  <c r="O44" i="38" s="1"/>
  <c r="AU338" i="9"/>
  <c r="BQ297" i="9" s="1"/>
  <c r="Z39" i="40" s="1"/>
  <c r="E29" i="38" s="1"/>
  <c r="F29" i="38" s="1"/>
  <c r="L305" i="43"/>
  <c r="L337" i="48"/>
  <c r="D239" i="36"/>
  <c r="D240" i="36" s="1"/>
  <c r="F240" i="36" s="1"/>
  <c r="C476" i="36" s="1"/>
  <c r="C683" i="36" s="1"/>
  <c r="AP18" i="41"/>
  <c r="AL76" i="41" s="1"/>
  <c r="AL77" i="41" s="1"/>
  <c r="AN77" i="41" s="1"/>
  <c r="C200" i="36"/>
  <c r="C211" i="36" s="1"/>
  <c r="AP9" i="41"/>
  <c r="AK68" i="41" s="1"/>
  <c r="AK69" i="41" s="1"/>
  <c r="N22" i="38"/>
  <c r="O22" i="38"/>
  <c r="O57" i="38"/>
  <c r="D224" i="36"/>
  <c r="F224" i="36"/>
  <c r="AP16" i="41"/>
  <c r="AL72" i="41"/>
  <c r="AL73" i="41" s="1"/>
  <c r="AN73" i="41" s="1"/>
  <c r="D222" i="36"/>
  <c r="F222" i="36" s="1"/>
  <c r="C207" i="36"/>
  <c r="C206" i="36"/>
  <c r="C201" i="36"/>
  <c r="C489" i="36" s="1"/>
  <c r="C696" i="36" s="1"/>
  <c r="K446" i="48"/>
  <c r="K447" i="48"/>
  <c r="A127" i="43"/>
  <c r="D120" i="43"/>
  <c r="L120" i="43" s="1"/>
  <c r="D127" i="43"/>
  <c r="L353" i="48"/>
  <c r="K353" i="48"/>
  <c r="D125" i="43"/>
  <c r="L125" i="43"/>
  <c r="A125" i="43"/>
  <c r="D119" i="43"/>
  <c r="L119" i="43" s="1"/>
  <c r="D126" i="43"/>
  <c r="A126" i="43"/>
  <c r="D124" i="43"/>
  <c r="G239" i="9"/>
  <c r="AS69" i="40" s="1"/>
  <c r="F124" i="39" s="1"/>
  <c r="F159" i="39" s="1"/>
  <c r="F160" i="39" s="1"/>
  <c r="L352" i="48"/>
  <c r="K352" i="48"/>
  <c r="K354" i="48"/>
  <c r="L354" i="48"/>
  <c r="N10" i="41"/>
  <c r="N7" i="41"/>
  <c r="N11" i="41"/>
  <c r="N14" i="41"/>
  <c r="D292" i="43"/>
  <c r="N8" i="41"/>
  <c r="N12" i="41"/>
  <c r="N9" i="41"/>
  <c r="N13" i="41"/>
  <c r="L302" i="48"/>
  <c r="K271" i="48"/>
  <c r="L271" i="48"/>
  <c r="K290" i="48"/>
  <c r="L290" i="48"/>
  <c r="L302" i="43"/>
  <c r="L278" i="48"/>
  <c r="K278" i="48"/>
  <c r="U20" i="5"/>
  <c r="D276" i="48" s="1"/>
  <c r="K276" i="48" s="1"/>
  <c r="K125" i="43"/>
  <c r="L285" i="43"/>
  <c r="B18" i="41"/>
  <c r="K284" i="43"/>
  <c r="D118" i="43"/>
  <c r="L118" i="43" s="1"/>
  <c r="K286" i="43"/>
  <c r="L348" i="48"/>
  <c r="L275" i="43"/>
  <c r="K287" i="48"/>
  <c r="L287" i="48"/>
  <c r="K199" i="48"/>
  <c r="L296" i="48"/>
  <c r="K296" i="48"/>
  <c r="L286" i="48"/>
  <c r="K286" i="48"/>
  <c r="K399" i="48"/>
  <c r="D378" i="48"/>
  <c r="L378" i="48" s="1"/>
  <c r="L304" i="48"/>
  <c r="L379" i="48"/>
  <c r="L400" i="48"/>
  <c r="K314" i="48"/>
  <c r="K318" i="48"/>
  <c r="K322" i="48"/>
  <c r="L275" i="48"/>
  <c r="L432" i="48"/>
  <c r="L428" i="48"/>
  <c r="L424" i="48"/>
  <c r="L420" i="48"/>
  <c r="L416" i="48"/>
  <c r="L412" i="48"/>
  <c r="L404" i="48"/>
  <c r="D303" i="48"/>
  <c r="L303" i="48" s="1"/>
  <c r="H6" i="41"/>
  <c r="B12" i="41"/>
  <c r="U24" i="5" s="1"/>
  <c r="D274" i="48" s="1"/>
  <c r="K274" i="48" s="1"/>
  <c r="L131" i="43"/>
  <c r="L122" i="43"/>
  <c r="L269" i="48"/>
  <c r="K269" i="48"/>
  <c r="L292" i="48"/>
  <c r="K292" i="48"/>
  <c r="K281" i="48"/>
  <c r="D220" i="36"/>
  <c r="F220" i="36" s="1"/>
  <c r="C475" i="36"/>
  <c r="C682" i="36" s="1"/>
  <c r="D532" i="33"/>
  <c r="D531" i="33"/>
  <c r="C830" i="33" s="1"/>
  <c r="D200" i="48" s="1"/>
  <c r="D458" i="33"/>
  <c r="D453" i="33"/>
  <c r="D452" i="33"/>
  <c r="C846" i="33" s="1"/>
  <c r="D216" i="48"/>
  <c r="D455" i="33"/>
  <c r="C859" i="33" s="1"/>
  <c r="D255" i="43" s="1"/>
  <c r="C834" i="33"/>
  <c r="D204" i="48" s="1"/>
  <c r="L204" i="48" s="1"/>
  <c r="D456" i="33"/>
  <c r="C860" i="33" s="1"/>
  <c r="D256" i="43" s="1"/>
  <c r="K256" i="43" s="1"/>
  <c r="K347" i="48"/>
  <c r="L347" i="48"/>
  <c r="D372" i="33"/>
  <c r="D374" i="33"/>
  <c r="D369" i="33"/>
  <c r="C875" i="33"/>
  <c r="D373" i="33"/>
  <c r="D371" i="33"/>
  <c r="D370" i="33"/>
  <c r="D368" i="33"/>
  <c r="D700" i="33"/>
  <c r="C165" i="35"/>
  <c r="K237" i="48"/>
  <c r="D153" i="33"/>
  <c r="D152" i="33"/>
  <c r="D262" i="33"/>
  <c r="D263" i="33"/>
  <c r="D266" i="33"/>
  <c r="D265" i="33"/>
  <c r="D261" i="33"/>
  <c r="D226" i="33"/>
  <c r="D228" i="33"/>
  <c r="D229" i="33"/>
  <c r="K349" i="48"/>
  <c r="L349" i="48"/>
  <c r="D414" i="33"/>
  <c r="D418" i="33"/>
  <c r="D417" i="33"/>
  <c r="D415" i="33"/>
  <c r="D416" i="33"/>
  <c r="D413" i="33"/>
  <c r="D412" i="33"/>
  <c r="C971" i="33"/>
  <c r="C963" i="33"/>
  <c r="F148" i="35"/>
  <c r="F151" i="35"/>
  <c r="F153" i="35"/>
  <c r="G140" i="35"/>
  <c r="G136" i="35"/>
  <c r="G138" i="35"/>
  <c r="L258" i="43"/>
  <c r="K258" i="43"/>
  <c r="D334" i="33"/>
  <c r="D333" i="33"/>
  <c r="D330" i="33"/>
  <c r="D335" i="33"/>
  <c r="D331" i="33"/>
  <c r="D240" i="33"/>
  <c r="G166" i="35"/>
  <c r="G164" i="35"/>
  <c r="G161" i="35"/>
  <c r="G163" i="35"/>
  <c r="G162" i="35"/>
  <c r="E154" i="35"/>
  <c r="E152" i="35"/>
  <c r="E147" i="35"/>
  <c r="D158" i="33"/>
  <c r="D159" i="33"/>
  <c r="D157" i="33"/>
  <c r="D162" i="33"/>
  <c r="D161" i="33"/>
  <c r="D271" i="33"/>
  <c r="C927" i="33"/>
  <c r="C967" i="33"/>
  <c r="F161" i="35"/>
  <c r="F166" i="35"/>
  <c r="F167" i="35"/>
  <c r="E199" i="35"/>
  <c r="E194" i="35"/>
  <c r="C182" i="35"/>
  <c r="C178" i="35"/>
  <c r="EO334" i="9"/>
  <c r="EO329" i="9"/>
  <c r="EO323" i="9"/>
  <c r="EO318" i="9"/>
  <c r="EO313" i="9"/>
  <c r="EO307" i="9"/>
  <c r="EO302" i="9"/>
  <c r="EO297" i="9"/>
  <c r="EO292" i="9"/>
  <c r="EK335" i="9"/>
  <c r="EK330" i="9"/>
  <c r="EK325" i="9"/>
  <c r="EK319" i="9"/>
  <c r="EK314" i="9"/>
  <c r="EK309" i="9"/>
  <c r="EK303" i="9"/>
  <c r="EK298" i="9"/>
  <c r="EK293" i="9"/>
  <c r="D374" i="39"/>
  <c r="C373" i="39"/>
  <c r="C374" i="39" s="1"/>
  <c r="EO337" i="9"/>
  <c r="EO331" i="9"/>
  <c r="EO326" i="9"/>
  <c r="EO321" i="9"/>
  <c r="EO315" i="9"/>
  <c r="EO310" i="9"/>
  <c r="EO305" i="9"/>
  <c r="EO299" i="9"/>
  <c r="EO294" i="9"/>
  <c r="EO335" i="9"/>
  <c r="EO330" i="9"/>
  <c r="EO325" i="9"/>
  <c r="EO319" i="9"/>
  <c r="EO314" i="9"/>
  <c r="EO309" i="9"/>
  <c r="EO303" i="9"/>
  <c r="EO298" i="9"/>
  <c r="EK326" i="9"/>
  <c r="EK321" i="9"/>
  <c r="EK315" i="9"/>
  <c r="EK310" i="9"/>
  <c r="EK305" i="9"/>
  <c r="EK299" i="9"/>
  <c r="D323" i="39"/>
  <c r="C322" i="39"/>
  <c r="C323" i="39" s="1"/>
  <c r="C301" i="39"/>
  <c r="C302" i="39"/>
  <c r="C255" i="39"/>
  <c r="C256" i="39" s="1"/>
  <c r="A247" i="39"/>
  <c r="B246" i="39" s="1"/>
  <c r="B247" i="39" s="1"/>
  <c r="D130" i="43"/>
  <c r="L130" i="43" s="1"/>
  <c r="C361" i="39"/>
  <c r="C362" i="39" s="1"/>
  <c r="A351" i="39"/>
  <c r="B350" i="39" s="1"/>
  <c r="B351" i="39" s="1"/>
  <c r="I24" i="39"/>
  <c r="E153" i="39"/>
  <c r="E154" i="39" s="1"/>
  <c r="T134" i="9"/>
  <c r="Z136" i="9"/>
  <c r="V136" i="9"/>
  <c r="Y42" i="40"/>
  <c r="C32" i="38" s="1"/>
  <c r="Z51" i="40"/>
  <c r="E41" i="38" s="1"/>
  <c r="F41" i="38" s="1"/>
  <c r="Z47" i="40"/>
  <c r="E37" i="38"/>
  <c r="F37" i="38"/>
  <c r="BQ271" i="9"/>
  <c r="BL338" i="9"/>
  <c r="AL338" i="9"/>
  <c r="BQ291" i="9" s="1"/>
  <c r="Z33" i="40" s="1"/>
  <c r="E23" i="38" s="1"/>
  <c r="BT313" i="9"/>
  <c r="AF56" i="40"/>
  <c r="N46" i="38" s="1"/>
  <c r="O46" i="38" s="1"/>
  <c r="BT225" i="9"/>
  <c r="AF55" i="40" s="1"/>
  <c r="N45" i="38" s="1"/>
  <c r="O45" i="38" s="1"/>
  <c r="AF35" i="40"/>
  <c r="BT304" i="9"/>
  <c r="AF46" i="40" s="1"/>
  <c r="N36" i="38" s="1"/>
  <c r="O36" i="38"/>
  <c r="L124" i="43"/>
  <c r="K124" i="43"/>
  <c r="L292" i="43"/>
  <c r="K292" i="43"/>
  <c r="N25" i="38"/>
  <c r="C879" i="33"/>
  <c r="D384" i="33"/>
  <c r="D385" i="33"/>
  <c r="D381" i="33"/>
  <c r="D703" i="33"/>
  <c r="D704" i="33"/>
  <c r="D290" i="43"/>
  <c r="L290" i="43" s="1"/>
  <c r="L276" i="48"/>
  <c r="K130" i="43"/>
  <c r="L128" i="43"/>
  <c r="K128" i="43"/>
  <c r="A124" i="43"/>
  <c r="D191" i="37"/>
  <c r="F191" i="37" s="1"/>
  <c r="D194" i="37"/>
  <c r="F194" i="37" s="1"/>
  <c r="D248" i="36"/>
  <c r="F248" i="36" s="1"/>
  <c r="D211" i="37"/>
  <c r="D209" i="37"/>
  <c r="F209" i="37" s="1"/>
  <c r="L71" i="43"/>
  <c r="K71" i="43"/>
  <c r="D53" i="38"/>
  <c r="D179" i="37"/>
  <c r="D178" i="37"/>
  <c r="D181" i="37"/>
  <c r="D182" i="37"/>
  <c r="D234" i="36"/>
  <c r="F234" i="36"/>
  <c r="D235" i="36"/>
  <c r="F235" i="36"/>
  <c r="D232" i="36"/>
  <c r="F232" i="36" s="1"/>
  <c r="C453" i="36" s="1"/>
  <c r="D233" i="36"/>
  <c r="K196" i="48"/>
  <c r="L196" i="48"/>
  <c r="L194" i="48"/>
  <c r="K194" i="48"/>
  <c r="D589" i="33"/>
  <c r="D588" i="33"/>
  <c r="D587" i="33"/>
  <c r="D590" i="33"/>
  <c r="C774" i="33"/>
  <c r="G247" i="35"/>
  <c r="F141" i="35"/>
  <c r="F139" i="35"/>
  <c r="F135" i="35"/>
  <c r="F136" i="35"/>
  <c r="F140" i="35"/>
  <c r="H125" i="35"/>
  <c r="H123" i="35"/>
  <c r="H128" i="35"/>
  <c r="H126" i="35"/>
  <c r="H121" i="35"/>
  <c r="H124" i="35"/>
  <c r="H122" i="35"/>
  <c r="H127" i="35"/>
  <c r="G109" i="35"/>
  <c r="G112" i="35"/>
  <c r="G114" i="35"/>
  <c r="G110" i="35"/>
  <c r="G111" i="35"/>
  <c r="G113" i="35"/>
  <c r="G115" i="35"/>
  <c r="D109" i="35"/>
  <c r="D110" i="35"/>
  <c r="D114" i="35"/>
  <c r="G100" i="35"/>
  <c r="G97" i="35"/>
  <c r="G101" i="35"/>
  <c r="G102" i="35"/>
  <c r="D89" i="35"/>
  <c r="D88" i="35"/>
  <c r="D84" i="35"/>
  <c r="D85" i="35"/>
  <c r="D90" i="35"/>
  <c r="E77" i="35"/>
  <c r="E78" i="35"/>
  <c r="C78" i="35"/>
  <c r="C77" i="35"/>
  <c r="I77" i="35" s="1"/>
  <c r="E264" i="35"/>
  <c r="E262" i="35"/>
  <c r="E263" i="35"/>
  <c r="C254" i="35"/>
  <c r="E153" i="35"/>
  <c r="E148" i="35"/>
  <c r="H141" i="35"/>
  <c r="H135" i="35"/>
  <c r="H136" i="35"/>
  <c r="H139" i="35"/>
  <c r="H140" i="35"/>
  <c r="E136" i="35"/>
  <c r="E138" i="35"/>
  <c r="E140" i="35"/>
  <c r="E139" i="35"/>
  <c r="E137" i="35"/>
  <c r="E135" i="35"/>
  <c r="E141" i="35"/>
  <c r="G128" i="35"/>
  <c r="G123" i="35"/>
  <c r="G126" i="35"/>
  <c r="G122" i="35"/>
  <c r="G121" i="35"/>
  <c r="H89" i="35"/>
  <c r="H84" i="35"/>
  <c r="H88" i="35"/>
  <c r="H85" i="35"/>
  <c r="C89" i="35"/>
  <c r="I89" i="35" s="1"/>
  <c r="G76" i="35"/>
  <c r="G77" i="35"/>
  <c r="G78" i="35"/>
  <c r="G73" i="35"/>
  <c r="D60" i="35"/>
  <c r="K241" i="48"/>
  <c r="L241" i="48"/>
  <c r="C305" i="36"/>
  <c r="C509" i="36" s="1"/>
  <c r="C304" i="36"/>
  <c r="C525" i="36" s="1"/>
  <c r="C733" i="36"/>
  <c r="L191" i="48"/>
  <c r="F165" i="35"/>
  <c r="F162" i="35"/>
  <c r="G149" i="35"/>
  <c r="G154" i="35"/>
  <c r="G153" i="35"/>
  <c r="G152" i="35"/>
  <c r="G148" i="35"/>
  <c r="G147" i="35"/>
  <c r="D136" i="35"/>
  <c r="D138" i="35"/>
  <c r="F121" i="35"/>
  <c r="F128" i="35"/>
  <c r="F126" i="35"/>
  <c r="F122" i="35"/>
  <c r="F123" i="35"/>
  <c r="F124" i="35"/>
  <c r="F127" i="35"/>
  <c r="F125" i="35"/>
  <c r="C126" i="35"/>
  <c r="C128" i="35"/>
  <c r="F100" i="35"/>
  <c r="F101" i="35"/>
  <c r="F97" i="35"/>
  <c r="G85" i="35"/>
  <c r="G89" i="35"/>
  <c r="E89" i="35"/>
  <c r="E88" i="35"/>
  <c r="E84" i="35"/>
  <c r="E85" i="35"/>
  <c r="E90" i="35"/>
  <c r="E87" i="35"/>
  <c r="H61" i="35"/>
  <c r="H60" i="35"/>
  <c r="H64" i="35"/>
  <c r="H66" i="35"/>
  <c r="H162" i="35"/>
  <c r="H165" i="35"/>
  <c r="E164" i="35"/>
  <c r="E161" i="35"/>
  <c r="E166" i="35"/>
  <c r="E163" i="35"/>
  <c r="E162" i="35"/>
  <c r="E167" i="35"/>
  <c r="E165" i="35"/>
  <c r="C140" i="35"/>
  <c r="C138" i="35"/>
  <c r="H110" i="35"/>
  <c r="H115" i="35"/>
  <c r="H114" i="35"/>
  <c r="H113" i="35"/>
  <c r="H109" i="35"/>
  <c r="H111" i="35"/>
  <c r="E112" i="35"/>
  <c r="E109" i="35"/>
  <c r="E115" i="35"/>
  <c r="E111" i="35"/>
  <c r="E113" i="35"/>
  <c r="E110" i="35"/>
  <c r="E114" i="35"/>
  <c r="C102" i="35"/>
  <c r="I102" i="35" s="1"/>
  <c r="F73" i="35"/>
  <c r="F77" i="35"/>
  <c r="F78" i="35"/>
  <c r="F75" i="35"/>
  <c r="F76" i="35"/>
  <c r="G66" i="35"/>
  <c r="G60" i="35"/>
  <c r="G65" i="35"/>
  <c r="G64" i="35"/>
  <c r="G61" i="35"/>
  <c r="E61" i="35"/>
  <c r="E64" i="35"/>
  <c r="E65" i="35"/>
  <c r="E60" i="35"/>
  <c r="L274" i="43"/>
  <c r="K274" i="43"/>
  <c r="C194" i="35"/>
  <c r="C199" i="35"/>
  <c r="AH17" i="9"/>
  <c r="D70" i="43" s="1"/>
  <c r="B294" i="39"/>
  <c r="B295" i="39" s="1"/>
  <c r="D370" i="39"/>
  <c r="D371" i="39" s="1"/>
  <c r="A366" i="39"/>
  <c r="B367" i="39" s="1"/>
  <c r="B368" i="39" s="1"/>
  <c r="D364" i="39"/>
  <c r="D365" i="39" s="1"/>
  <c r="A356" i="39"/>
  <c r="B355" i="39" s="1"/>
  <c r="B356" i="39" s="1"/>
  <c r="I356" i="39" s="1"/>
  <c r="C307" i="39"/>
  <c r="C308" i="39"/>
  <c r="E261" i="39"/>
  <c r="E262" i="39"/>
  <c r="A44" i="39"/>
  <c r="B45" i="39" s="1"/>
  <c r="B46" i="39" s="1"/>
  <c r="EK334" i="9"/>
  <c r="EK327" i="9"/>
  <c r="EK317" i="9"/>
  <c r="EK306" i="9"/>
  <c r="EK295" i="9"/>
  <c r="A365" i="39"/>
  <c r="B364" i="39" s="1"/>
  <c r="B365" i="39" s="1"/>
  <c r="I365" i="39" s="1"/>
  <c r="CB19" i="9"/>
  <c r="CB17" i="9"/>
  <c r="EK333" i="9"/>
  <c r="EK323" i="9"/>
  <c r="EK313" i="9"/>
  <c r="EK302" i="9"/>
  <c r="D367" i="39"/>
  <c r="D368" i="39" s="1"/>
  <c r="CB16" i="9"/>
  <c r="P134" i="9"/>
  <c r="G235" i="9"/>
  <c r="AS49" i="40" s="1"/>
  <c r="F70" i="39" s="1"/>
  <c r="F105" i="39" s="1"/>
  <c r="F106" i="39" s="1"/>
  <c r="AF57" i="40"/>
  <c r="N47" i="38" s="1"/>
  <c r="O47" i="38" s="1"/>
  <c r="AF52" i="40"/>
  <c r="N42" i="38"/>
  <c r="O42" i="38" s="1"/>
  <c r="AF48" i="40"/>
  <c r="N38" i="38" s="1"/>
  <c r="O38" i="38" s="1"/>
  <c r="Z66" i="40"/>
  <c r="E56" i="38" s="1"/>
  <c r="F56" i="38" s="1"/>
  <c r="Z63" i="40"/>
  <c r="E53" i="38" s="1"/>
  <c r="F53" i="38" s="1"/>
  <c r="Z52" i="40"/>
  <c r="E42" i="38"/>
  <c r="F42" i="38" s="1"/>
  <c r="D245" i="48"/>
  <c r="L245" i="48"/>
  <c r="L256" i="43"/>
  <c r="L227" i="48"/>
  <c r="K227" i="48"/>
  <c r="H150" i="35"/>
  <c r="H151" i="35"/>
  <c r="H148" i="35"/>
  <c r="H152" i="35"/>
  <c r="H149" i="35"/>
  <c r="H147" i="35"/>
  <c r="H153" i="35"/>
  <c r="G407" i="44"/>
  <c r="F407" i="44"/>
  <c r="G403" i="44"/>
  <c r="F403" i="44"/>
  <c r="G375" i="44"/>
  <c r="F375" i="44"/>
  <c r="F369" i="44"/>
  <c r="G369" i="44"/>
  <c r="F357" i="44"/>
  <c r="G357" i="44"/>
  <c r="C195" i="35"/>
  <c r="C197" i="35"/>
  <c r="C191" i="35"/>
  <c r="F429" i="44"/>
  <c r="G429" i="44"/>
  <c r="F425" i="44"/>
  <c r="G425" i="44"/>
  <c r="F421" i="44"/>
  <c r="G421" i="44"/>
  <c r="F417" i="44"/>
  <c r="G417" i="44"/>
  <c r="F413" i="44"/>
  <c r="G413" i="44"/>
  <c r="F409" i="44"/>
  <c r="G409" i="44"/>
  <c r="F377" i="44"/>
  <c r="G377" i="44"/>
  <c r="F353" i="44"/>
  <c r="G353" i="44"/>
  <c r="G198" i="35"/>
  <c r="G192" i="35"/>
  <c r="G190" i="35"/>
  <c r="D303" i="33"/>
  <c r="D302" i="33"/>
  <c r="D188" i="33"/>
  <c r="D191" i="33"/>
  <c r="F405" i="44"/>
  <c r="G405" i="44"/>
  <c r="K199" i="35"/>
  <c r="D131" i="33"/>
  <c r="D600" i="33"/>
  <c r="D605" i="33" s="1"/>
  <c r="G332" i="36"/>
  <c r="G331" i="36"/>
  <c r="F431" i="44"/>
  <c r="G431" i="44"/>
  <c r="F427" i="44"/>
  <c r="G427" i="44"/>
  <c r="F423" i="44"/>
  <c r="F419" i="44"/>
  <c r="G419" i="44"/>
  <c r="F415" i="44"/>
  <c r="G415" i="44"/>
  <c r="F411" i="44"/>
  <c r="G411" i="44"/>
  <c r="F379" i="44"/>
  <c r="G379" i="44"/>
  <c r="G367" i="44"/>
  <c r="F367" i="44"/>
  <c r="F361" i="44"/>
  <c r="G361" i="44"/>
  <c r="EO322" i="9"/>
  <c r="C350" i="39"/>
  <c r="C351" i="39"/>
  <c r="BO18" i="9"/>
  <c r="C316" i="39"/>
  <c r="C317" i="39" s="1"/>
  <c r="D255" i="39"/>
  <c r="D256" i="39" s="1"/>
  <c r="BO19" i="9"/>
  <c r="B153" i="39"/>
  <c r="B154" i="39"/>
  <c r="D348" i="39"/>
  <c r="D349" i="39" s="1"/>
  <c r="R134" i="9"/>
  <c r="CS67" i="9" s="1"/>
  <c r="R131" i="9"/>
  <c r="CS66" i="9" s="1"/>
  <c r="T132" i="9"/>
  <c r="T131" i="9"/>
  <c r="Z131" i="9"/>
  <c r="BR66" i="9"/>
  <c r="V134" i="9"/>
  <c r="BI66" i="9"/>
  <c r="Z132" i="9"/>
  <c r="DA67" i="9" s="1"/>
  <c r="D239" i="9"/>
  <c r="AP69" i="40" s="1"/>
  <c r="C124" i="39" s="1"/>
  <c r="C159" i="39" s="1"/>
  <c r="C160" i="39" s="1"/>
  <c r="AF66" i="40"/>
  <c r="N56" i="38" s="1"/>
  <c r="O56" i="38" s="1"/>
  <c r="AF42" i="40"/>
  <c r="N32" i="38" s="1"/>
  <c r="O32" i="38" s="1"/>
  <c r="AF37" i="40"/>
  <c r="N27" i="38"/>
  <c r="O27" i="38" s="1"/>
  <c r="Y41" i="40"/>
  <c r="C31" i="38" s="1"/>
  <c r="BQ262" i="9"/>
  <c r="DA66" i="9"/>
  <c r="CU66" i="9"/>
  <c r="CU67" i="9"/>
  <c r="F30" i="38"/>
  <c r="C182" i="37"/>
  <c r="C176" i="37"/>
  <c r="C183" i="37"/>
  <c r="C173" i="37"/>
  <c r="C177" i="37"/>
  <c r="C180" i="37"/>
  <c r="C179" i="37"/>
  <c r="C172" i="37"/>
  <c r="C181" i="37"/>
  <c r="L65" i="43"/>
  <c r="K65" i="43"/>
  <c r="D212" i="37"/>
  <c r="F212" i="37"/>
  <c r="D214" i="37"/>
  <c r="F214" i="37" s="1"/>
  <c r="E181" i="37"/>
  <c r="F181" i="37" s="1"/>
  <c r="D186" i="37"/>
  <c r="D177" i="37"/>
  <c r="D172" i="37"/>
  <c r="D184" i="37"/>
  <c r="F137" i="35"/>
  <c r="F138" i="35"/>
  <c r="F84" i="35"/>
  <c r="F88" i="35"/>
  <c r="F85" i="35"/>
  <c r="F90" i="35"/>
  <c r="F86" i="35"/>
  <c r="F89" i="35"/>
  <c r="F87" i="35"/>
  <c r="D87" i="35"/>
  <c r="D86" i="35"/>
  <c r="G63" i="35"/>
  <c r="G62" i="35"/>
  <c r="C287" i="35"/>
  <c r="K195" i="48"/>
  <c r="L195" i="48"/>
  <c r="H137" i="35"/>
  <c r="H138" i="35"/>
  <c r="D112" i="35"/>
  <c r="D101" i="35"/>
  <c r="D98" i="35"/>
  <c r="D97" i="35"/>
  <c r="D99" i="35"/>
  <c r="D102" i="35"/>
  <c r="D100" i="35"/>
  <c r="H87" i="35"/>
  <c r="H86" i="35"/>
  <c r="E74" i="35"/>
  <c r="E75" i="35"/>
  <c r="F60" i="35"/>
  <c r="F64" i="35"/>
  <c r="F66" i="35"/>
  <c r="F65" i="35"/>
  <c r="F63" i="35"/>
  <c r="F61" i="35"/>
  <c r="F62" i="35"/>
  <c r="C297" i="36"/>
  <c r="D297" i="36" s="1"/>
  <c r="E297" i="36" s="1"/>
  <c r="F297" i="36" s="1"/>
  <c r="C298" i="36"/>
  <c r="D298" i="36" s="1"/>
  <c r="E298" i="36" s="1"/>
  <c r="F298" i="36" s="1"/>
  <c r="C294" i="36"/>
  <c r="G294" i="36" s="1"/>
  <c r="F114" i="35"/>
  <c r="F115" i="35"/>
  <c r="F109" i="35"/>
  <c r="F113" i="35"/>
  <c r="F110" i="35"/>
  <c r="H97" i="35"/>
  <c r="H101" i="35"/>
  <c r="H102" i="35"/>
  <c r="H98" i="35"/>
  <c r="H100" i="35"/>
  <c r="H99" i="35"/>
  <c r="F99" i="35"/>
  <c r="F98" i="35"/>
  <c r="D77" i="35"/>
  <c r="D74" i="35"/>
  <c r="I293" i="35"/>
  <c r="I294" i="35"/>
  <c r="C326" i="36"/>
  <c r="C325" i="36"/>
  <c r="E320" i="36"/>
  <c r="E319" i="36"/>
  <c r="F152" i="35"/>
  <c r="F149" i="35"/>
  <c r="F147" i="35"/>
  <c r="H73" i="35"/>
  <c r="H78" i="35"/>
  <c r="H76" i="35"/>
  <c r="H74" i="35"/>
  <c r="H77" i="35"/>
  <c r="H75" i="35"/>
  <c r="E326" i="36"/>
  <c r="E325" i="36"/>
  <c r="D222" i="33"/>
  <c r="D136" i="33"/>
  <c r="AH24" i="9"/>
  <c r="D77" i="43" s="1"/>
  <c r="U21" i="9"/>
  <c r="D62" i="43" s="1"/>
  <c r="AH22" i="9"/>
  <c r="D75" i="43" s="1"/>
  <c r="K75" i="43" s="1"/>
  <c r="U17" i="9"/>
  <c r="D58" i="43" s="1"/>
  <c r="L58" i="43" s="1"/>
  <c r="AH19" i="9"/>
  <c r="D72" i="43" s="1"/>
  <c r="AH26" i="9"/>
  <c r="D79" i="43" s="1"/>
  <c r="L79" i="43" s="1"/>
  <c r="U25" i="9"/>
  <c r="D66" i="43" s="1"/>
  <c r="EO311" i="9"/>
  <c r="EO301" i="9"/>
  <c r="B316" i="39"/>
  <c r="B317" i="39" s="1"/>
  <c r="I317" i="39"/>
  <c r="A311" i="39"/>
  <c r="B310" i="39" s="1"/>
  <c r="B311" i="39" s="1"/>
  <c r="I311" i="39" s="1"/>
  <c r="CB15" i="9"/>
  <c r="CO16" i="9"/>
  <c r="C258" i="39"/>
  <c r="C259" i="39" s="1"/>
  <c r="A257" i="39"/>
  <c r="C252" i="39"/>
  <c r="C253" i="39" s="1"/>
  <c r="D252" i="39"/>
  <c r="D253" i="39" s="1"/>
  <c r="EO327" i="9"/>
  <c r="EO295" i="9"/>
  <c r="CO18" i="9"/>
  <c r="CO15" i="9"/>
  <c r="CO17" i="9"/>
  <c r="CO14" i="9"/>
  <c r="A206" i="39"/>
  <c r="E207" i="39"/>
  <c r="E208" i="39" s="1"/>
  <c r="DB17" i="9"/>
  <c r="DB14" i="9"/>
  <c r="EO317" i="9"/>
  <c r="BM66" i="9"/>
  <c r="C246" i="39"/>
  <c r="C247" i="39" s="1"/>
  <c r="C237" i="39"/>
  <c r="C238" i="39" s="1"/>
  <c r="Z10" i="9"/>
  <c r="BQ67" i="9" s="1"/>
  <c r="BL66" i="9"/>
  <c r="BP66" i="9"/>
  <c r="AF58" i="40"/>
  <c r="N48" i="38" s="1"/>
  <c r="AF50" i="40"/>
  <c r="N40" i="38"/>
  <c r="O40" i="38" s="1"/>
  <c r="O48" i="38"/>
  <c r="I239" i="35" l="1"/>
  <c r="I240" i="35"/>
  <c r="K280" i="35"/>
  <c r="K279" i="35"/>
  <c r="K286" i="35"/>
  <c r="K36" i="45"/>
  <c r="G256" i="35"/>
  <c r="G255" i="35"/>
  <c r="D33" i="45"/>
  <c r="K33" i="45" s="1"/>
  <c r="K248" i="35"/>
  <c r="K247" i="35"/>
  <c r="L255" i="43"/>
  <c r="K255" i="43"/>
  <c r="D152" i="35"/>
  <c r="D148" i="35"/>
  <c r="C328" i="35" s="1"/>
  <c r="D147" i="35"/>
  <c r="D153" i="35"/>
  <c r="D154" i="35"/>
  <c r="D151" i="35"/>
  <c r="D149" i="35"/>
  <c r="D150" i="35"/>
  <c r="F182" i="37"/>
  <c r="C324" i="37" s="1"/>
  <c r="C645" i="36" s="1"/>
  <c r="C332" i="35"/>
  <c r="C109" i="35"/>
  <c r="C110" i="35"/>
  <c r="C113" i="35"/>
  <c r="C112" i="35"/>
  <c r="I112" i="35" s="1"/>
  <c r="C114" i="35"/>
  <c r="I114" i="35" s="1"/>
  <c r="C115" i="35"/>
  <c r="C111" i="35"/>
  <c r="I111" i="35" s="1"/>
  <c r="D128" i="35"/>
  <c r="D127" i="35"/>
  <c r="D123" i="35"/>
  <c r="D126" i="35"/>
  <c r="D121" i="35"/>
  <c r="D125" i="35"/>
  <c r="D122" i="35"/>
  <c r="D124" i="35"/>
  <c r="I65" i="35"/>
  <c r="K59" i="43"/>
  <c r="L59" i="43"/>
  <c r="D750" i="33"/>
  <c r="C847" i="33" s="1"/>
  <c r="D217" i="48" s="1"/>
  <c r="D752" i="33"/>
  <c r="C852" i="33" s="1"/>
  <c r="D222" i="48" s="1"/>
  <c r="D754" i="33"/>
  <c r="C868" i="33" s="1"/>
  <c r="D264" i="43" s="1"/>
  <c r="K264" i="43" s="1"/>
  <c r="C832" i="33"/>
  <c r="D202" i="48" s="1"/>
  <c r="L202" i="48" s="1"/>
  <c r="Z15" i="40"/>
  <c r="D3" i="38" s="1"/>
  <c r="A90" i="43" s="1"/>
  <c r="F226" i="9" s="1"/>
  <c r="C24" i="9"/>
  <c r="C88" i="35"/>
  <c r="I88" i="35" s="1"/>
  <c r="C84" i="35"/>
  <c r="I84" i="35" s="1"/>
  <c r="C85" i="35"/>
  <c r="I85" i="35" s="1"/>
  <c r="K301" i="48"/>
  <c r="L301" i="48"/>
  <c r="L328" i="48"/>
  <c r="K328" i="48"/>
  <c r="L201" i="43"/>
  <c r="K201" i="43"/>
  <c r="L70" i="43"/>
  <c r="K70" i="43"/>
  <c r="EQ206" i="9"/>
  <c r="EM206" i="9"/>
  <c r="EO206" i="9"/>
  <c r="EK222" i="9"/>
  <c r="EO222" i="9"/>
  <c r="EM222" i="9"/>
  <c r="G389" i="44"/>
  <c r="F389" i="44"/>
  <c r="F355" i="44"/>
  <c r="G355" i="44"/>
  <c r="K294" i="48"/>
  <c r="L294" i="48"/>
  <c r="K300" i="48"/>
  <c r="D297" i="48"/>
  <c r="L297" i="48" s="1"/>
  <c r="D241" i="39"/>
  <c r="D242" i="39" s="1"/>
  <c r="C241" i="39"/>
  <c r="C242" i="39" s="1"/>
  <c r="AO9" i="9"/>
  <c r="AO130" i="9"/>
  <c r="P132" i="9"/>
  <c r="P131" i="9"/>
  <c r="S138" i="9"/>
  <c r="S131" i="9"/>
  <c r="W132" i="9"/>
  <c r="W131" i="9"/>
  <c r="Q28" i="38"/>
  <c r="AN340" i="9"/>
  <c r="BT332" i="9" s="1"/>
  <c r="AG35" i="40" s="1"/>
  <c r="P25" i="38" s="1"/>
  <c r="Q25" i="38" s="1"/>
  <c r="BD340" i="9"/>
  <c r="BT342" i="9" s="1"/>
  <c r="AG45" i="40" s="1"/>
  <c r="P35" i="38" s="1"/>
  <c r="Q35" i="38" s="1"/>
  <c r="BG340" i="9"/>
  <c r="BT345" i="9" s="1"/>
  <c r="AG48" i="40" s="1"/>
  <c r="P38" i="38" s="1"/>
  <c r="Q38" i="38" s="1"/>
  <c r="BY340" i="9"/>
  <c r="BT353" i="9" s="1"/>
  <c r="AG56" i="40" s="1"/>
  <c r="P46" i="38" s="1"/>
  <c r="Q46" i="38" s="1"/>
  <c r="AV340" i="9"/>
  <c r="BT337" i="9" s="1"/>
  <c r="AG40" i="40" s="1"/>
  <c r="P30" i="38" s="1"/>
  <c r="Q30" i="38" s="1"/>
  <c r="BA340" i="9"/>
  <c r="BT339" i="9" s="1"/>
  <c r="AG42" i="40" s="1"/>
  <c r="P32" i="38" s="1"/>
  <c r="Q32" i="38" s="1"/>
  <c r="CB340" i="9"/>
  <c r="AO340" i="9"/>
  <c r="BT333" i="9" s="1"/>
  <c r="AG36" i="40" s="1"/>
  <c r="P26" i="38" s="1"/>
  <c r="Q26" i="38" s="1"/>
  <c r="AW340" i="9"/>
  <c r="BT338" i="9" s="1"/>
  <c r="AG41" i="40" s="1"/>
  <c r="P31" i="38" s="1"/>
  <c r="Q31" i="38" s="1"/>
  <c r="AY340" i="9"/>
  <c r="DB340" i="9"/>
  <c r="BI340" i="9"/>
  <c r="BT347" i="9" s="1"/>
  <c r="AG50" i="40" s="1"/>
  <c r="P40" i="38" s="1"/>
  <c r="Q40" i="38" s="1"/>
  <c r="BF340" i="9"/>
  <c r="BT344" i="9" s="1"/>
  <c r="BX340" i="9"/>
  <c r="CG340" i="9"/>
  <c r="BK340" i="9"/>
  <c r="BT349" i="9" s="1"/>
  <c r="AG52" i="40" s="1"/>
  <c r="P42" i="38" s="1"/>
  <c r="Q42" i="38" s="1"/>
  <c r="DF340" i="9"/>
  <c r="CA340" i="9"/>
  <c r="BT355" i="9" s="1"/>
  <c r="AG58" i="40" s="1"/>
  <c r="P48" i="38" s="1"/>
  <c r="Q48" i="38" s="1"/>
  <c r="AX340" i="9"/>
  <c r="BL340" i="9"/>
  <c r="E7" i="52"/>
  <c r="BH340" i="9"/>
  <c r="AK340" i="9"/>
  <c r="BT329" i="9" s="1"/>
  <c r="AG32" i="40" s="1"/>
  <c r="P22" i="38" s="1"/>
  <c r="Q22" i="38" s="1"/>
  <c r="CN340" i="9"/>
  <c r="CV340" i="9"/>
  <c r="CO340" i="9"/>
  <c r="DL340" i="9"/>
  <c r="BT361" i="9" s="1"/>
  <c r="AG64" i="40" s="1"/>
  <c r="P54" i="38" s="1"/>
  <c r="Q54" i="38" s="1"/>
  <c r="DD340" i="9"/>
  <c r="L333" i="48"/>
  <c r="K333" i="48"/>
  <c r="D332" i="48"/>
  <c r="L332" i="48" s="1"/>
  <c r="U25" i="5"/>
  <c r="D283" i="48" s="1"/>
  <c r="U17" i="5"/>
  <c r="D282" i="48" s="1"/>
  <c r="K58" i="43"/>
  <c r="K204" i="48"/>
  <c r="C324" i="35"/>
  <c r="D751" i="33"/>
  <c r="C867" i="33" s="1"/>
  <c r="D263" i="43" s="1"/>
  <c r="C76" i="35"/>
  <c r="I76" i="35" s="1"/>
  <c r="E183" i="37"/>
  <c r="C167" i="35"/>
  <c r="D193" i="37"/>
  <c r="F193" i="37" s="1"/>
  <c r="D196" i="37"/>
  <c r="F196" i="37" s="1"/>
  <c r="D192" i="37"/>
  <c r="F192" i="37" s="1"/>
  <c r="EK206" i="9"/>
  <c r="EM213" i="9"/>
  <c r="D203" i="33"/>
  <c r="D204" i="33"/>
  <c r="D129" i="33"/>
  <c r="D507" i="33"/>
  <c r="C902" i="33" s="1"/>
  <c r="D244" i="48" s="1"/>
  <c r="L244" i="48" s="1"/>
  <c r="D508" i="33"/>
  <c r="D379" i="33"/>
  <c r="D380" i="33"/>
  <c r="D386" i="33"/>
  <c r="D382" i="33"/>
  <c r="D383" i="33"/>
  <c r="D163" i="35"/>
  <c r="D164" i="35"/>
  <c r="D137" i="35"/>
  <c r="D139" i="35"/>
  <c r="D141" i="35"/>
  <c r="D140" i="35"/>
  <c r="D135" i="35"/>
  <c r="I132" i="39"/>
  <c r="AU23" i="9"/>
  <c r="BB23" i="9" s="1"/>
  <c r="BB16" i="9"/>
  <c r="U132" i="9"/>
  <c r="U131" i="9"/>
  <c r="O28" i="38"/>
  <c r="EQ228" i="9"/>
  <c r="EM228" i="9"/>
  <c r="L324" i="48"/>
  <c r="K324" i="48"/>
  <c r="E177" i="35"/>
  <c r="E179" i="35"/>
  <c r="E178" i="35"/>
  <c r="E180" i="35"/>
  <c r="E181" i="35"/>
  <c r="E183" i="35"/>
  <c r="E176" i="35"/>
  <c r="K233" i="35"/>
  <c r="D76" i="35"/>
  <c r="D73" i="35"/>
  <c r="K231" i="35"/>
  <c r="E174" i="35"/>
  <c r="O25" i="38"/>
  <c r="AS33" i="9"/>
  <c r="BB33" i="9" s="1"/>
  <c r="BB12" i="9"/>
  <c r="C86" i="35"/>
  <c r="I86" i="35" s="1"/>
  <c r="E174" i="37"/>
  <c r="C252" i="37" s="1"/>
  <c r="C573" i="36" s="1"/>
  <c r="L216" i="48"/>
  <c r="K216" i="48"/>
  <c r="K288" i="48"/>
  <c r="K264" i="35"/>
  <c r="K236" i="48"/>
  <c r="L236" i="48"/>
  <c r="K190" i="48"/>
  <c r="L190" i="48"/>
  <c r="I151" i="35"/>
  <c r="G86" i="35"/>
  <c r="G84" i="35"/>
  <c r="G87" i="35"/>
  <c r="G88" i="35"/>
  <c r="G90" i="35"/>
  <c r="A349" i="39"/>
  <c r="B348" i="39" s="1"/>
  <c r="B349" i="39" s="1"/>
  <c r="D63" i="35"/>
  <c r="D62" i="35"/>
  <c r="D65" i="35"/>
  <c r="D61" i="35"/>
  <c r="C321" i="35" s="1"/>
  <c r="EK236" i="9"/>
  <c r="EM236" i="9"/>
  <c r="EO236" i="9"/>
  <c r="EQ236" i="9"/>
  <c r="C325" i="35"/>
  <c r="D64" i="35"/>
  <c r="K260" i="43"/>
  <c r="L260" i="43"/>
  <c r="C60" i="35"/>
  <c r="I60" i="35" s="1"/>
  <c r="C66" i="35"/>
  <c r="C64" i="35"/>
  <c r="C62" i="35"/>
  <c r="E178" i="37"/>
  <c r="EK229" i="9"/>
  <c r="D255" i="33"/>
  <c r="D257" i="33"/>
  <c r="D256" i="33"/>
  <c r="D254" i="33"/>
  <c r="D721" i="33" s="1"/>
  <c r="D722" i="33" s="1"/>
  <c r="C769" i="33" s="1"/>
  <c r="E127" i="35"/>
  <c r="E122" i="35"/>
  <c r="C329" i="35" s="1"/>
  <c r="C61" i="35"/>
  <c r="D247" i="36"/>
  <c r="F247" i="36" s="1"/>
  <c r="C452" i="36" s="1"/>
  <c r="D249" i="36"/>
  <c r="F249" i="36" s="1"/>
  <c r="EK228" i="9"/>
  <c r="G260" i="36"/>
  <c r="C518" i="36" s="1"/>
  <c r="C726" i="36" s="1"/>
  <c r="D221" i="33"/>
  <c r="D688" i="33" s="1"/>
  <c r="D220" i="33"/>
  <c r="D218" i="33"/>
  <c r="D219" i="33"/>
  <c r="C63" i="35"/>
  <c r="D75" i="35"/>
  <c r="A242" i="39"/>
  <c r="B241" i="39" s="1"/>
  <c r="B242" i="39" s="1"/>
  <c r="D701" i="33"/>
  <c r="D702" i="33"/>
  <c r="C781" i="33" s="1"/>
  <c r="L300" i="48"/>
  <c r="I238" i="39"/>
  <c r="EQ222" i="9"/>
  <c r="AP10" i="41"/>
  <c r="AL68" i="41" s="1"/>
  <c r="AL69" i="41" s="1"/>
  <c r="AN69" i="41" s="1"/>
  <c r="AK80" i="41" s="1"/>
  <c r="D200" i="36"/>
  <c r="D214" i="36" s="1"/>
  <c r="K266" i="48"/>
  <c r="F233" i="36"/>
  <c r="B22" i="41"/>
  <c r="E264" i="36"/>
  <c r="E263" i="36"/>
  <c r="G263" i="36" s="1"/>
  <c r="I351" i="39"/>
  <c r="D601" i="33"/>
  <c r="D602" i="33"/>
  <c r="D604" i="33"/>
  <c r="C783" i="33"/>
  <c r="E100" i="35"/>
  <c r="E101" i="35"/>
  <c r="E97" i="35"/>
  <c r="EK244" i="9"/>
  <c r="EO244" i="9"/>
  <c r="I193" i="35"/>
  <c r="I191" i="35"/>
  <c r="I198" i="35"/>
  <c r="I190" i="35"/>
  <c r="I200" i="35"/>
  <c r="I195" i="35"/>
  <c r="L195" i="35" s="1"/>
  <c r="I196" i="35"/>
  <c r="I194" i="35"/>
  <c r="D753" i="33"/>
  <c r="E173" i="37"/>
  <c r="E184" i="37"/>
  <c r="E185" i="37"/>
  <c r="E175" i="37"/>
  <c r="E177" i="37"/>
  <c r="F177" i="37" s="1"/>
  <c r="E172" i="37"/>
  <c r="F172" i="37" s="1"/>
  <c r="C268" i="37" s="1"/>
  <c r="C589" i="36" s="1"/>
  <c r="C680" i="36" s="1"/>
  <c r="E186" i="37"/>
  <c r="F186" i="37" s="1"/>
  <c r="E182" i="37"/>
  <c r="EM221" i="9"/>
  <c r="EK221" i="9"/>
  <c r="EO221" i="9"/>
  <c r="K280" i="48"/>
  <c r="L280" i="48"/>
  <c r="C26" i="9"/>
  <c r="Z22" i="40"/>
  <c r="D9" i="38" s="1"/>
  <c r="A95" i="43" s="1"/>
  <c r="L81" i="43"/>
  <c r="K81" i="43"/>
  <c r="K207" i="48"/>
  <c r="L207" i="48"/>
  <c r="C99" i="35"/>
  <c r="I99" i="35" s="1"/>
  <c r="C98" i="35"/>
  <c r="I98" i="35" s="1"/>
  <c r="C100" i="35"/>
  <c r="I100" i="35" s="1"/>
  <c r="I325" i="36"/>
  <c r="I326" i="36"/>
  <c r="D603" i="33"/>
  <c r="E182" i="35"/>
  <c r="K263" i="35"/>
  <c r="D150" i="33"/>
  <c r="D624" i="33" s="1"/>
  <c r="D151" i="33"/>
  <c r="C163" i="35"/>
  <c r="I163" i="35" s="1"/>
  <c r="C161" i="35"/>
  <c r="C166" i="35"/>
  <c r="C164" i="35"/>
  <c r="C139" i="35"/>
  <c r="C135" i="35"/>
  <c r="C141" i="35"/>
  <c r="D111" i="35"/>
  <c r="E179" i="37"/>
  <c r="F179" i="37" s="1"/>
  <c r="C278" i="37" s="1"/>
  <c r="F183" i="37"/>
  <c r="D78" i="35"/>
  <c r="E176" i="37"/>
  <c r="D132" i="33"/>
  <c r="C87" i="35"/>
  <c r="I87" i="35" s="1"/>
  <c r="AM340" i="9"/>
  <c r="BT331" i="9" s="1"/>
  <c r="AG34" i="40" s="1"/>
  <c r="P24" i="38" s="1"/>
  <c r="Q24" i="38" s="1"/>
  <c r="C97" i="35"/>
  <c r="I97" i="35" s="1"/>
  <c r="C137" i="35"/>
  <c r="D66" i="35"/>
  <c r="C90" i="35"/>
  <c r="I90" i="35" s="1"/>
  <c r="D115" i="35"/>
  <c r="D250" i="36"/>
  <c r="F250" i="36" s="1"/>
  <c r="E200" i="36"/>
  <c r="D183" i="37"/>
  <c r="D173" i="37"/>
  <c r="F173" i="37" s="1"/>
  <c r="D176" i="37"/>
  <c r="F176" i="37" s="1"/>
  <c r="D175" i="37"/>
  <c r="D180" i="37"/>
  <c r="D174" i="37"/>
  <c r="D185" i="37"/>
  <c r="C239" i="39"/>
  <c r="C240" i="39" s="1"/>
  <c r="I199" i="35"/>
  <c r="L199" i="35" s="1"/>
  <c r="L257" i="43"/>
  <c r="K257" i="43"/>
  <c r="G264" i="36"/>
  <c r="C520" i="36" s="1"/>
  <c r="C728" i="36" s="1"/>
  <c r="G181" i="35"/>
  <c r="G183" i="35"/>
  <c r="G177" i="35"/>
  <c r="G174" i="35"/>
  <c r="G178" i="35"/>
  <c r="G175" i="35"/>
  <c r="G182" i="35"/>
  <c r="L182" i="35" s="1"/>
  <c r="BO8" i="9"/>
  <c r="Z58" i="40"/>
  <c r="E48" i="38" s="1"/>
  <c r="F48" i="38" s="1"/>
  <c r="D395" i="33"/>
  <c r="D396" i="33"/>
  <c r="C125" i="35"/>
  <c r="C124" i="35"/>
  <c r="EO207" i="9"/>
  <c r="EQ207" i="9"/>
  <c r="BO17" i="9"/>
  <c r="B258" i="39"/>
  <c r="B259" i="39" s="1"/>
  <c r="I259" i="39" s="1"/>
  <c r="I138" i="35"/>
  <c r="C153" i="39"/>
  <c r="C154" i="39" s="1"/>
  <c r="H167" i="35"/>
  <c r="C316" i="35" s="1"/>
  <c r="H65" i="35"/>
  <c r="C122" i="35"/>
  <c r="I122" i="35" s="1"/>
  <c r="F211" i="37"/>
  <c r="C202" i="36"/>
  <c r="I100" i="39"/>
  <c r="D272" i="33"/>
  <c r="D270" i="33"/>
  <c r="G167" i="35"/>
  <c r="G98" i="35"/>
  <c r="G99" i="35"/>
  <c r="O134" i="9"/>
  <c r="O133" i="9"/>
  <c r="O132" i="9"/>
  <c r="K182" i="43"/>
  <c r="L182" i="43"/>
  <c r="K175" i="43"/>
  <c r="L175" i="43"/>
  <c r="D313" i="39"/>
  <c r="D314" i="39" s="1"/>
  <c r="A312" i="39"/>
  <c r="B313" i="39" s="1"/>
  <c r="B314" i="39" s="1"/>
  <c r="I314" i="39" s="1"/>
  <c r="I113" i="35"/>
  <c r="D295" i="43"/>
  <c r="L295" i="43" s="1"/>
  <c r="H166" i="35"/>
  <c r="C127" i="35"/>
  <c r="I323" i="39"/>
  <c r="C273" i="35"/>
  <c r="D273" i="35" s="1"/>
  <c r="C307" i="35" s="1"/>
  <c r="C272" i="35"/>
  <c r="D272" i="35" s="1"/>
  <c r="C308" i="35" s="1"/>
  <c r="K206" i="43"/>
  <c r="L206" i="43"/>
  <c r="K194" i="43"/>
  <c r="L194" i="43"/>
  <c r="C908" i="33"/>
  <c r="D146" i="43" s="1"/>
  <c r="D142" i="33"/>
  <c r="EQ332" i="9"/>
  <c r="EO332" i="9"/>
  <c r="EQ322" i="9"/>
  <c r="EM322" i="9"/>
  <c r="EQ314" i="9"/>
  <c r="EM314" i="9"/>
  <c r="EQ311" i="9"/>
  <c r="EM311" i="9"/>
  <c r="EM338" i="9" s="1"/>
  <c r="EO308" i="9"/>
  <c r="EQ308" i="9"/>
  <c r="EQ300" i="9"/>
  <c r="EO300" i="9"/>
  <c r="EO245" i="9"/>
  <c r="EM245" i="9"/>
  <c r="EM237" i="9"/>
  <c r="EQ237" i="9"/>
  <c r="EK237" i="9"/>
  <c r="EO237" i="9"/>
  <c r="EM229" i="9"/>
  <c r="EQ225" i="9"/>
  <c r="EM225" i="9"/>
  <c r="EK225" i="9"/>
  <c r="EO225" i="9"/>
  <c r="EQ221" i="9"/>
  <c r="EM217" i="9"/>
  <c r="EK217" i="9"/>
  <c r="EQ209" i="9"/>
  <c r="EM209" i="9"/>
  <c r="EK209" i="9"/>
  <c r="EO209" i="9"/>
  <c r="BT264" i="9"/>
  <c r="C152" i="35"/>
  <c r="C154" i="35"/>
  <c r="I154" i="35" s="1"/>
  <c r="C153" i="35"/>
  <c r="I153" i="35" s="1"/>
  <c r="I109" i="35"/>
  <c r="H163" i="35"/>
  <c r="C123" i="35"/>
  <c r="C205" i="36"/>
  <c r="C209" i="36"/>
  <c r="DB67" i="9"/>
  <c r="D321" i="33"/>
  <c r="C811" i="33" s="1"/>
  <c r="D246" i="43" s="1"/>
  <c r="D326" i="33"/>
  <c r="D324" i="33"/>
  <c r="D249" i="33"/>
  <c r="D714" i="33" s="1"/>
  <c r="D250" i="33"/>
  <c r="C262" i="35"/>
  <c r="C264" i="35"/>
  <c r="C263" i="35"/>
  <c r="D408" i="48"/>
  <c r="L408" i="48" s="1"/>
  <c r="C981" i="33"/>
  <c r="D200" i="43" s="1"/>
  <c r="D294" i="33"/>
  <c r="D295" i="33" s="1"/>
  <c r="K174" i="43"/>
  <c r="L174" i="43"/>
  <c r="A308" i="39"/>
  <c r="B307" i="39" s="1"/>
  <c r="B308" i="39" s="1"/>
  <c r="I308" i="39" s="1"/>
  <c r="I247" i="39"/>
  <c r="I115" i="35"/>
  <c r="H161" i="35"/>
  <c r="H62" i="35"/>
  <c r="C121" i="35"/>
  <c r="Z43" i="40"/>
  <c r="E33" i="38" s="1"/>
  <c r="F33" i="38" s="1"/>
  <c r="EM207" i="9"/>
  <c r="D391" i="33"/>
  <c r="AY101" i="40"/>
  <c r="E259" i="36"/>
  <c r="G259" i="36" s="1"/>
  <c r="E260" i="36"/>
  <c r="L37" i="38"/>
  <c r="H37" i="38"/>
  <c r="J37" i="38"/>
  <c r="U20" i="9"/>
  <c r="D61" i="43" s="1"/>
  <c r="U16" i="9"/>
  <c r="D57" i="43" s="1"/>
  <c r="K57" i="43" s="1"/>
  <c r="AZ14" i="1"/>
  <c r="D48" i="43" s="1"/>
  <c r="K216" i="43"/>
  <c r="L216" i="43"/>
  <c r="K210" i="43"/>
  <c r="L210" i="43"/>
  <c r="L199" i="43"/>
  <c r="K199" i="43"/>
  <c r="BQ307" i="9"/>
  <c r="Z49" i="40" s="1"/>
  <c r="E39" i="38" s="1"/>
  <c r="F39" i="38" s="1"/>
  <c r="W33" i="38"/>
  <c r="U28" i="38"/>
  <c r="EO216" i="9"/>
  <c r="BO7" i="9"/>
  <c r="Y47" i="40"/>
  <c r="C37" i="38" s="1"/>
  <c r="D37" i="38" s="1"/>
  <c r="AF47" i="40"/>
  <c r="N37" i="38" s="1"/>
  <c r="O37" i="38" s="1"/>
  <c r="BT213" i="9"/>
  <c r="F221" i="36"/>
  <c r="D233" i="33"/>
  <c r="D234" i="33"/>
  <c r="D740" i="33"/>
  <c r="D741" i="33" s="1"/>
  <c r="C840" i="33" s="1"/>
  <c r="D210" i="48" s="1"/>
  <c r="K395" i="48"/>
  <c r="L395" i="48"/>
  <c r="L403" i="48"/>
  <c r="W25" i="38"/>
  <c r="EQ205" i="9"/>
  <c r="EO205" i="9"/>
  <c r="AS28" i="9"/>
  <c r="BB28" i="9" s="1"/>
  <c r="BB7" i="9"/>
  <c r="F210" i="37"/>
  <c r="I377" i="39"/>
  <c r="F399" i="44"/>
  <c r="G399" i="44"/>
  <c r="EM202" i="9"/>
  <c r="EO202" i="9"/>
  <c r="EQ202" i="9"/>
  <c r="EK202" i="9"/>
  <c r="K10" i="7"/>
  <c r="C10" i="7"/>
  <c r="D117" i="43"/>
  <c r="D694" i="33"/>
  <c r="C853" i="33"/>
  <c r="D223" i="48" s="1"/>
  <c r="C917" i="33"/>
  <c r="D155" i="43" s="1"/>
  <c r="D208" i="33"/>
  <c r="D212" i="33" s="1"/>
  <c r="D174" i="33"/>
  <c r="D175" i="33"/>
  <c r="BQ269" i="9"/>
  <c r="Z56" i="40"/>
  <c r="E46" i="38" s="1"/>
  <c r="F46" i="38" s="1"/>
  <c r="A362" i="39"/>
  <c r="B361" i="39" s="1"/>
  <c r="B362" i="39" s="1"/>
  <c r="I362" i="39" s="1"/>
  <c r="W30" i="38"/>
  <c r="S28" i="38"/>
  <c r="BB11" i="9"/>
  <c r="Z67" i="40"/>
  <c r="E57" i="38" s="1"/>
  <c r="F57" i="38" s="1"/>
  <c r="BT231" i="9"/>
  <c r="AF61" i="40" s="1"/>
  <c r="N51" i="38" s="1"/>
  <c r="O51" i="38" s="1"/>
  <c r="AF34" i="40"/>
  <c r="EK297" i="9"/>
  <c r="AQ22" i="9"/>
  <c r="BB22" i="9" s="1"/>
  <c r="BB15" i="9"/>
  <c r="AF33" i="40"/>
  <c r="N23" i="38" s="1"/>
  <c r="O23" i="38" s="1"/>
  <c r="W28" i="38"/>
  <c r="U40" i="38"/>
  <c r="S33" i="38"/>
  <c r="DB8" i="9"/>
  <c r="AA131" i="9"/>
  <c r="DB66" i="9" s="1"/>
  <c r="A59" i="7"/>
  <c r="B40" i="2"/>
  <c r="G7" i="2" s="1"/>
  <c r="BQ343" i="9"/>
  <c r="Y46" i="40" s="1"/>
  <c r="C36" i="38" s="1"/>
  <c r="D36" i="38" s="1"/>
  <c r="AL337" i="9"/>
  <c r="BQ330" i="9" s="1"/>
  <c r="Y33" i="40" s="1"/>
  <c r="C23" i="38" s="1"/>
  <c r="D23" i="38" s="1"/>
  <c r="AS337" i="9"/>
  <c r="BQ334" i="9" s="1"/>
  <c r="Y37" i="40" s="1"/>
  <c r="C27" i="38" s="1"/>
  <c r="D27" i="38" s="1"/>
  <c r="CI337" i="9"/>
  <c r="CB337" i="9"/>
  <c r="BJ337" i="9"/>
  <c r="BQ348" i="9" s="1"/>
  <c r="Y51" i="40" s="1"/>
  <c r="C41" i="38" s="1"/>
  <c r="D41" i="38" s="1"/>
  <c r="AP337" i="9"/>
  <c r="CK337" i="9"/>
  <c r="BX337" i="9"/>
  <c r="DB337" i="9"/>
  <c r="CO337" i="9"/>
  <c r="BQ358" i="9" s="1"/>
  <c r="Y61" i="40" s="1"/>
  <c r="C51" i="38" s="1"/>
  <c r="CH337" i="9"/>
  <c r="BZ337" i="9"/>
  <c r="BQ354" i="9" s="1"/>
  <c r="AM337" i="9"/>
  <c r="BQ331" i="9" s="1"/>
  <c r="Y34" i="40" s="1"/>
  <c r="C24" i="38" s="1"/>
  <c r="D24" i="38" s="1"/>
  <c r="AU337" i="9"/>
  <c r="BQ336" i="9" s="1"/>
  <c r="Y39" i="40" s="1"/>
  <c r="C29" i="38" s="1"/>
  <c r="D29" i="38" s="1"/>
  <c r="BD337" i="9"/>
  <c r="D451" i="48"/>
  <c r="L451" i="48" s="1"/>
  <c r="K23" i="45"/>
  <c r="CD266" i="9"/>
  <c r="U15" i="5" s="1"/>
  <c r="U33" i="38"/>
  <c r="U27" i="38"/>
  <c r="BQ253" i="9"/>
  <c r="BQ229" i="9"/>
  <c r="Z59" i="40" s="1"/>
  <c r="E49" i="38" s="1"/>
  <c r="F49" i="38" s="1"/>
  <c r="BT255" i="9"/>
  <c r="BQ252" i="9"/>
  <c r="BQ318" i="9"/>
  <c r="Z60" i="40" s="1"/>
  <c r="E50" i="38" s="1"/>
  <c r="F50" i="38" s="1"/>
  <c r="CB338" i="9"/>
  <c r="BQ317" i="9" s="1"/>
  <c r="BZ338" i="9"/>
  <c r="BQ315" i="9" s="1"/>
  <c r="Z57" i="40" s="1"/>
  <c r="E47" i="38" s="1"/>
  <c r="F47" i="38" s="1"/>
  <c r="DF338" i="9"/>
  <c r="BQ313" i="9" s="1"/>
  <c r="Z55" i="40" s="1"/>
  <c r="E45" i="38" s="1"/>
  <c r="F45" i="38" s="1"/>
  <c r="BM338" i="9"/>
  <c r="BQ311" i="9" s="1"/>
  <c r="Z53" i="40" s="1"/>
  <c r="E43" i="38" s="1"/>
  <c r="F43" i="38" s="1"/>
  <c r="BQ216" i="9"/>
  <c r="Z46" i="40" s="1"/>
  <c r="E36" i="38" s="1"/>
  <c r="F36" i="38" s="1"/>
  <c r="BT317" i="9"/>
  <c r="AF59" i="40" s="1"/>
  <c r="N49" i="38" s="1"/>
  <c r="O49" i="38" s="1"/>
  <c r="BT215" i="9"/>
  <c r="AF45" i="40" s="1"/>
  <c r="N35" i="38" s="1"/>
  <c r="O35" i="38" s="1"/>
  <c r="BT302" i="9"/>
  <c r="AF36" i="40"/>
  <c r="N26" i="38" s="1"/>
  <c r="O26" i="38" s="1"/>
  <c r="BT258" i="9"/>
  <c r="C370" i="39"/>
  <c r="C371" i="39" s="1"/>
  <c r="C313" i="39"/>
  <c r="C314" i="39" s="1"/>
  <c r="C294" i="39"/>
  <c r="C295" i="39" s="1"/>
  <c r="I295" i="39" s="1"/>
  <c r="S27" i="38"/>
  <c r="CB8" i="9"/>
  <c r="X10" i="9"/>
  <c r="BO67" i="9" s="1"/>
  <c r="BJ66" i="9"/>
  <c r="CA338" i="9"/>
  <c r="BQ316" i="9" s="1"/>
  <c r="BY338" i="9"/>
  <c r="BQ314" i="9" s="1"/>
  <c r="BH338" i="9"/>
  <c r="AN338" i="9"/>
  <c r="BQ293" i="9" s="1"/>
  <c r="Z35" i="40" s="1"/>
  <c r="E25" i="38" s="1"/>
  <c r="F25" i="38" s="1"/>
  <c r="BT307" i="9"/>
  <c r="AF49" i="40" s="1"/>
  <c r="N39" i="38" s="1"/>
  <c r="O39" i="38" s="1"/>
  <c r="BT301" i="9"/>
  <c r="BT254" i="9"/>
  <c r="U10" i="9"/>
  <c r="BL67" i="9" s="1"/>
  <c r="A302" i="39"/>
  <c r="B301" i="39" s="1"/>
  <c r="B302" i="39" s="1"/>
  <c r="I302" i="39" s="1"/>
  <c r="V207" i="9"/>
  <c r="S46" i="38"/>
  <c r="E13" i="36"/>
  <c r="AM13" i="41" s="1"/>
  <c r="CB18" i="9"/>
  <c r="CB14" i="9"/>
  <c r="T10" i="9"/>
  <c r="BK67" i="9" s="1"/>
  <c r="AH25" i="9"/>
  <c r="D78" i="43" s="1"/>
  <c r="AH21" i="9"/>
  <c r="D74" i="43" s="1"/>
  <c r="U27" i="9"/>
  <c r="D68" i="43" s="1"/>
  <c r="L68" i="43" s="1"/>
  <c r="U25" i="38"/>
  <c r="I154" i="39"/>
  <c r="BV338" i="9"/>
  <c r="BQ312" i="9" s="1"/>
  <c r="Z54" i="40" s="1"/>
  <c r="E44" i="38" s="1"/>
  <c r="F44" i="38" s="1"/>
  <c r="BD338" i="9"/>
  <c r="BQ303" i="9" s="1"/>
  <c r="Z45" i="40" s="1"/>
  <c r="E35" i="38" s="1"/>
  <c r="F35" i="38" s="1"/>
  <c r="AF39" i="40"/>
  <c r="N29" i="38" s="1"/>
  <c r="O29" i="38" s="1"/>
  <c r="C248" i="35"/>
  <c r="C246" i="35"/>
  <c r="C247" i="35"/>
  <c r="E256" i="35"/>
  <c r="E254" i="35"/>
  <c r="C239" i="35"/>
  <c r="C240" i="35"/>
  <c r="K249" i="48"/>
  <c r="L249" i="48"/>
  <c r="K240" i="35"/>
  <c r="K239" i="35"/>
  <c r="G279" i="35"/>
  <c r="G280" i="35"/>
  <c r="K246" i="35"/>
  <c r="K232" i="35"/>
  <c r="K40" i="45"/>
  <c r="D270" i="48"/>
  <c r="C294" i="35"/>
  <c r="I255" i="35"/>
  <c r="G287" i="35"/>
  <c r="I231" i="35"/>
  <c r="I248" i="35"/>
  <c r="K255" i="35"/>
  <c r="L255" i="35" s="1"/>
  <c r="C355" i="35" s="1"/>
  <c r="M37" i="45"/>
  <c r="I232" i="35"/>
  <c r="K256" i="35"/>
  <c r="D42" i="45"/>
  <c r="E224" i="35"/>
  <c r="L254" i="35"/>
  <c r="C350" i="35" s="1"/>
  <c r="N99" i="40"/>
  <c r="I256" i="35"/>
  <c r="E239" i="35"/>
  <c r="B5" i="41"/>
  <c r="C319" i="36"/>
  <c r="G234" i="35"/>
  <c r="G231" i="35"/>
  <c r="G233" i="35"/>
  <c r="G232" i="35"/>
  <c r="E294" i="35"/>
  <c r="E293" i="35"/>
  <c r="C227" i="35"/>
  <c r="C224" i="35"/>
  <c r="L253" i="48"/>
  <c r="K253" i="48"/>
  <c r="C279" i="35"/>
  <c r="C280" i="35"/>
  <c r="E248" i="35"/>
  <c r="E246" i="35"/>
  <c r="E247" i="35"/>
  <c r="L247" i="35" s="1"/>
  <c r="C358" i="35" s="1"/>
  <c r="L245" i="35"/>
  <c r="K293" i="35"/>
  <c r="K294" i="35"/>
  <c r="I227" i="35"/>
  <c r="I226" i="35"/>
  <c r="I225" i="35"/>
  <c r="I224" i="35"/>
  <c r="D250" i="48"/>
  <c r="L250" i="48" s="1"/>
  <c r="E286" i="35"/>
  <c r="E232" i="35"/>
  <c r="I234" i="35"/>
  <c r="L255" i="48"/>
  <c r="L286" i="35"/>
  <c r="K38" i="45"/>
  <c r="I246" i="35"/>
  <c r="K256" i="48"/>
  <c r="G226" i="35"/>
  <c r="D41" i="45"/>
  <c r="K227" i="35"/>
  <c r="I287" i="35"/>
  <c r="L287" i="35" s="1"/>
  <c r="C361" i="35" s="1"/>
  <c r="L254" i="48"/>
  <c r="K225" i="35"/>
  <c r="G224" i="35"/>
  <c r="G227" i="35"/>
  <c r="G293" i="35"/>
  <c r="I280" i="35"/>
  <c r="B7" i="41"/>
  <c r="J332" i="36"/>
  <c r="C471" i="36" s="1"/>
  <c r="C676" i="36" s="1"/>
  <c r="E234" i="35"/>
  <c r="G248" i="35"/>
  <c r="E225" i="35"/>
  <c r="E255" i="35"/>
  <c r="E226" i="35"/>
  <c r="M34" i="45"/>
  <c r="E233" i="35"/>
  <c r="C331" i="36"/>
  <c r="J331" i="36" s="1"/>
  <c r="C516" i="36" s="1"/>
  <c r="C723" i="36" s="1"/>
  <c r="L251" i="48"/>
  <c r="K226" i="35"/>
  <c r="K34" i="45"/>
  <c r="K301" i="35"/>
  <c r="U77" i="9"/>
  <c r="CJ66" i="9" s="1"/>
  <c r="V77" i="9"/>
  <c r="CK66" i="9" s="1"/>
  <c r="S77" i="9"/>
  <c r="CH66" i="9" s="1"/>
  <c r="O82" i="9"/>
  <c r="G15" i="40" s="1"/>
  <c r="G6" i="35" s="1"/>
  <c r="G47" i="35" s="1"/>
  <c r="O80" i="9"/>
  <c r="O81" i="9"/>
  <c r="O79" i="9"/>
  <c r="D15" i="40" s="1"/>
  <c r="O78" i="9"/>
  <c r="C15" i="40" s="1"/>
  <c r="C6" i="35" s="1"/>
  <c r="C47" i="35" s="1"/>
  <c r="C48" i="35" s="1"/>
  <c r="CO67" i="9"/>
  <c r="Y77" i="9"/>
  <c r="CN66" i="9" s="1"/>
  <c r="CP67" i="9"/>
  <c r="CN67" i="9"/>
  <c r="Q77" i="9"/>
  <c r="CF66" i="9" s="1"/>
  <c r="W77" i="9"/>
  <c r="CL66" i="9" s="1"/>
  <c r="CF67" i="9"/>
  <c r="G487" i="44"/>
  <c r="E12" i="37"/>
  <c r="C150" i="37" s="1"/>
  <c r="C160" i="37" s="1"/>
  <c r="D160" i="37" s="1"/>
  <c r="C264" i="37" s="1"/>
  <c r="C585" i="36" s="1"/>
  <c r="CF65" i="9"/>
  <c r="CN65" i="9"/>
  <c r="CO65" i="9"/>
  <c r="F481" i="44"/>
  <c r="F485" i="44"/>
  <c r="BR17" i="2"/>
  <c r="I11" i="2"/>
  <c r="B483" i="44"/>
  <c r="B491" i="44"/>
  <c r="B499" i="44"/>
  <c r="G483" i="44"/>
  <c r="B475" i="44"/>
  <c r="B501" i="44"/>
  <c r="B509" i="44"/>
  <c r="B517" i="44"/>
  <c r="B525" i="44"/>
  <c r="B533" i="44"/>
  <c r="B541" i="44"/>
  <c r="M11" i="7"/>
  <c r="E11" i="7"/>
  <c r="B469" i="44"/>
  <c r="C469" i="44" s="1"/>
  <c r="B461" i="44"/>
  <c r="C461" i="44" s="1"/>
  <c r="G461" i="44" s="1"/>
  <c r="B453" i="44"/>
  <c r="C453" i="44" s="1"/>
  <c r="G453" i="44" s="1"/>
  <c r="C44" i="2"/>
  <c r="C42" i="8" s="1"/>
  <c r="B503" i="44"/>
  <c r="B527" i="44"/>
  <c r="B459" i="44"/>
  <c r="C459" i="44" s="1"/>
  <c r="F459" i="44" s="1"/>
  <c r="B487" i="44"/>
  <c r="CO49" i="9"/>
  <c r="AQ66" i="40" s="1"/>
  <c r="D121" i="39" s="1"/>
  <c r="BJ29" i="2"/>
  <c r="B505" i="44"/>
  <c r="B513" i="44"/>
  <c r="B521" i="44"/>
  <c r="B529" i="44"/>
  <c r="B537" i="44"/>
  <c r="B545" i="44"/>
  <c r="C13" i="7"/>
  <c r="M13" i="7"/>
  <c r="I11" i="7"/>
  <c r="K9" i="7"/>
  <c r="B473" i="44"/>
  <c r="C473" i="44" s="1"/>
  <c r="G473" i="44" s="1"/>
  <c r="B465" i="44"/>
  <c r="C465" i="44" s="1"/>
  <c r="G465" i="44" s="1"/>
  <c r="B457" i="44"/>
  <c r="C457" i="44" s="1"/>
  <c r="G457" i="44" s="1"/>
  <c r="B519" i="44"/>
  <c r="B543" i="44"/>
  <c r="B451" i="44"/>
  <c r="C451" i="44" s="1"/>
  <c r="BJ27" i="2"/>
  <c r="B479" i="44"/>
  <c r="N9" i="7"/>
  <c r="B481" i="44"/>
  <c r="B489" i="44"/>
  <c r="B497" i="44"/>
  <c r="F13" i="7"/>
  <c r="H11" i="7"/>
  <c r="B511" i="44"/>
  <c r="B535" i="44"/>
  <c r="G507" i="44"/>
  <c r="B467" i="44"/>
  <c r="C467" i="44" s="1"/>
  <c r="F467" i="44" s="1"/>
  <c r="N13" i="7"/>
  <c r="CO52" i="9"/>
  <c r="K79" i="43"/>
  <c r="B507" i="44"/>
  <c r="B515" i="44"/>
  <c r="B523" i="44"/>
  <c r="B531" i="44"/>
  <c r="B539" i="44"/>
  <c r="E13" i="7"/>
  <c r="G11" i="7"/>
  <c r="B471" i="44"/>
  <c r="C471" i="44" s="1"/>
  <c r="G471" i="44" s="1"/>
  <c r="B463" i="44"/>
  <c r="C463" i="44" s="1"/>
  <c r="F463" i="44" s="1"/>
  <c r="B455" i="44"/>
  <c r="C455" i="44" s="1"/>
  <c r="F455" i="44" s="1"/>
  <c r="L57" i="43"/>
  <c r="G545" i="44"/>
  <c r="G515" i="44"/>
  <c r="CP65" i="9"/>
  <c r="BS66" i="9"/>
  <c r="BO52" i="9"/>
  <c r="AT25" i="40" s="1"/>
  <c r="G13" i="39" s="1"/>
  <c r="G42" i="39" s="1"/>
  <c r="G43" i="39" s="1"/>
  <c r="L63" i="43"/>
  <c r="F489" i="44"/>
  <c r="K68" i="43"/>
  <c r="A28" i="43"/>
  <c r="A20" i="43"/>
  <c r="A38" i="43"/>
  <c r="A23" i="43"/>
  <c r="A34" i="43"/>
  <c r="F479" i="44"/>
  <c r="G479" i="44"/>
  <c r="T25" i="2"/>
  <c r="J15" i="7"/>
  <c r="H13" i="7"/>
  <c r="BV66" i="9"/>
  <c r="BB45" i="9"/>
  <c r="AX21" i="2"/>
  <c r="I15" i="7"/>
  <c r="G13" i="7"/>
  <c r="L10" i="7"/>
  <c r="G11" i="2"/>
  <c r="R43" i="9"/>
  <c r="BU67" i="9" s="1"/>
  <c r="F15" i="7"/>
  <c r="D13" i="7"/>
  <c r="F477" i="44"/>
  <c r="M15" i="7"/>
  <c r="E15" i="7"/>
  <c r="K13" i="7"/>
  <c r="N15" i="7"/>
  <c r="L13" i="7"/>
  <c r="A63" i="7"/>
  <c r="G491" i="44"/>
  <c r="L15" i="7"/>
  <c r="D15" i="7"/>
  <c r="J13" i="7"/>
  <c r="G521" i="44"/>
  <c r="K15" i="7"/>
  <c r="I13" i="7"/>
  <c r="O12" i="3"/>
  <c r="P12" i="3" s="1"/>
  <c r="S178" i="9" s="1"/>
  <c r="BH19" i="2"/>
  <c r="AN19" i="2"/>
  <c r="R19" i="2"/>
  <c r="CD17" i="2"/>
  <c r="BN17" i="2"/>
  <c r="AX17" i="2"/>
  <c r="AH17" i="2"/>
  <c r="R17" i="2"/>
  <c r="G13" i="2"/>
  <c r="C13" i="2"/>
  <c r="BL27" i="2"/>
  <c r="CF25" i="2"/>
  <c r="CB29" i="2"/>
  <c r="BZ23" i="2"/>
  <c r="BV27" i="2"/>
  <c r="BT21" i="2"/>
  <c r="BP25" i="2"/>
  <c r="BL29" i="2"/>
  <c r="BJ21" i="2"/>
  <c r="BF25" i="2"/>
  <c r="BB29" i="2"/>
  <c r="AZ23" i="2"/>
  <c r="AV27" i="2"/>
  <c r="AT21" i="2"/>
  <c r="AP25" i="2"/>
  <c r="AL29" i="2"/>
  <c r="AJ23" i="2"/>
  <c r="AF27" i="2"/>
  <c r="AD21" i="2"/>
  <c r="Z25" i="2"/>
  <c r="V29" i="2"/>
  <c r="T23" i="2"/>
  <c r="P27" i="2"/>
  <c r="P21" i="2"/>
  <c r="CF19" i="2"/>
  <c r="BF19" i="2"/>
  <c r="AJ19" i="2"/>
  <c r="P19" i="2"/>
  <c r="CB17" i="2"/>
  <c r="BL17" i="2"/>
  <c r="AV17" i="2"/>
  <c r="AF17" i="2"/>
  <c r="P17" i="2"/>
  <c r="H13" i="2"/>
  <c r="CH29" i="2"/>
  <c r="CF23" i="2"/>
  <c r="CB27" i="2"/>
  <c r="BZ21" i="2"/>
  <c r="BV25" i="2"/>
  <c r="BR29" i="2"/>
  <c r="BP23" i="2"/>
  <c r="BL25" i="2"/>
  <c r="BH29" i="2"/>
  <c r="BF23" i="2"/>
  <c r="BB27" i="2"/>
  <c r="AZ21" i="2"/>
  <c r="AV25" i="2"/>
  <c r="AR29" i="2"/>
  <c r="AP23" i="2"/>
  <c r="AL27" i="2"/>
  <c r="AJ21" i="2"/>
  <c r="AF25" i="2"/>
  <c r="AB29" i="2"/>
  <c r="Z23" i="2"/>
  <c r="V27" i="2"/>
  <c r="T21" i="2"/>
  <c r="P25" i="2"/>
  <c r="CB19" i="2"/>
  <c r="BD19" i="2"/>
  <c r="AF19" i="2"/>
  <c r="BZ17" i="2"/>
  <c r="BJ17" i="2"/>
  <c r="AT17" i="2"/>
  <c r="AD17" i="2"/>
  <c r="I13" i="2"/>
  <c r="CH27" i="2"/>
  <c r="CF21" i="2"/>
  <c r="CB25" i="2"/>
  <c r="BX29" i="2"/>
  <c r="BV23" i="2"/>
  <c r="BR27" i="2"/>
  <c r="BP21" i="2"/>
  <c r="BL23" i="2"/>
  <c r="BH27" i="2"/>
  <c r="BF21" i="2"/>
  <c r="BB25" i="2"/>
  <c r="AX29" i="2"/>
  <c r="AV23" i="2"/>
  <c r="AR27" i="2"/>
  <c r="AP21" i="2"/>
  <c r="AL25" i="2"/>
  <c r="AH29" i="2"/>
  <c r="AF23" i="2"/>
  <c r="AB27" i="2"/>
  <c r="Z21" i="2"/>
  <c r="V25" i="2"/>
  <c r="R29" i="2"/>
  <c r="P23" i="2"/>
  <c r="BX19" i="2"/>
  <c r="AZ19" i="2"/>
  <c r="AD19" i="2"/>
  <c r="BX17" i="2"/>
  <c r="BH17" i="2"/>
  <c r="AR17" i="2"/>
  <c r="AB17" i="2"/>
  <c r="J13" i="2"/>
  <c r="CH25" i="2"/>
  <c r="CD29" i="2"/>
  <c r="CB23" i="2"/>
  <c r="BX27" i="2"/>
  <c r="BV21" i="2"/>
  <c r="BR25" i="2"/>
  <c r="BN29" i="2"/>
  <c r="BL21" i="2"/>
  <c r="BH25" i="2"/>
  <c r="BD29" i="2"/>
  <c r="BB23" i="2"/>
  <c r="AX27" i="2"/>
  <c r="AV21" i="2"/>
  <c r="AR25" i="2"/>
  <c r="AN29" i="2"/>
  <c r="AL23" i="2"/>
  <c r="AH27" i="2"/>
  <c r="AF21" i="2"/>
  <c r="AB25" i="2"/>
  <c r="X29" i="2"/>
  <c r="V23" i="2"/>
  <c r="R27" i="2"/>
  <c r="BV19" i="2"/>
  <c r="AB19" i="2"/>
  <c r="CH17" i="2"/>
  <c r="BB17" i="2"/>
  <c r="V17" i="2"/>
  <c r="K13" i="2"/>
  <c r="CD21" i="2"/>
  <c r="BV29" i="2"/>
  <c r="BP27" i="2"/>
  <c r="BJ23" i="2"/>
  <c r="BD21" i="2"/>
  <c r="AV29" i="2"/>
  <c r="AP27" i="2"/>
  <c r="AJ25" i="2"/>
  <c r="AD23" i="2"/>
  <c r="X21" i="2"/>
  <c r="P29" i="2"/>
  <c r="BT19" i="2"/>
  <c r="Z19" i="2"/>
  <c r="CF17" i="2"/>
  <c r="AZ17" i="2"/>
  <c r="T17" i="2"/>
  <c r="L13" i="2"/>
  <c r="CH23" i="2"/>
  <c r="CB21" i="2"/>
  <c r="BT29" i="2"/>
  <c r="BN27" i="2"/>
  <c r="BH23" i="2"/>
  <c r="BB21" i="2"/>
  <c r="AT29" i="2"/>
  <c r="AN27" i="2"/>
  <c r="AH25" i="2"/>
  <c r="AB23" i="2"/>
  <c r="V21" i="2"/>
  <c r="BP19" i="2"/>
  <c r="X19" i="2"/>
  <c r="BV17" i="2"/>
  <c r="AP17" i="2"/>
  <c r="M13" i="2"/>
  <c r="CH21" i="2"/>
  <c r="BZ29" i="2"/>
  <c r="BT27" i="2"/>
  <c r="BN25" i="2"/>
  <c r="BH21" i="2"/>
  <c r="AZ29" i="2"/>
  <c r="AT27" i="2"/>
  <c r="AN25" i="2"/>
  <c r="AH23" i="2"/>
  <c r="AB21" i="2"/>
  <c r="T29" i="2"/>
  <c r="BL19" i="2"/>
  <c r="T19" i="2"/>
  <c r="BT17" i="2"/>
  <c r="AN17" i="2"/>
  <c r="N13" i="2"/>
  <c r="CF29" i="2"/>
  <c r="BZ27" i="2"/>
  <c r="BT25" i="2"/>
  <c r="BN23" i="2"/>
  <c r="BF29" i="2"/>
  <c r="AZ27" i="2"/>
  <c r="AT25" i="2"/>
  <c r="AN23" i="2"/>
  <c r="AH21" i="2"/>
  <c r="Z29" i="2"/>
  <c r="T27" i="2"/>
  <c r="AP19" i="2"/>
  <c r="BD17" i="2"/>
  <c r="D13" i="2"/>
  <c r="CD27" i="2"/>
  <c r="BR23" i="2"/>
  <c r="BD27" i="2"/>
  <c r="AR23" i="2"/>
  <c r="AD29" i="2"/>
  <c r="R25" i="2"/>
  <c r="B44" i="8"/>
  <c r="CO169" i="9" s="1"/>
  <c r="AL17" i="2"/>
  <c r="E13" i="2"/>
  <c r="CD25" i="2"/>
  <c r="BR21" i="2"/>
  <c r="BD25" i="2"/>
  <c r="AR21" i="2"/>
  <c r="AD27" i="2"/>
  <c r="R23" i="2"/>
  <c r="AJ17" i="2"/>
  <c r="F13" i="2"/>
  <c r="CD23" i="2"/>
  <c r="BP29" i="2"/>
  <c r="BD23" i="2"/>
  <c r="AP29" i="2"/>
  <c r="AD25" i="2"/>
  <c r="R21" i="2"/>
  <c r="Z17" i="2"/>
  <c r="BZ25" i="2"/>
  <c r="BN21" i="2"/>
  <c r="AZ25" i="2"/>
  <c r="AN21" i="2"/>
  <c r="Z27" i="2"/>
  <c r="AV19" i="2"/>
  <c r="BP17" i="2"/>
  <c r="BJ25" i="2"/>
  <c r="AJ27" i="2"/>
  <c r="AT19" i="2"/>
  <c r="BF17" i="2"/>
  <c r="CF27" i="2"/>
  <c r="BF27" i="2"/>
  <c r="AF29" i="2"/>
  <c r="AR19" i="2"/>
  <c r="X17" i="2"/>
  <c r="BX25" i="2"/>
  <c r="AX25" i="2"/>
  <c r="X27" i="2"/>
  <c r="BX23" i="2"/>
  <c r="AX23" i="2"/>
  <c r="X25" i="2"/>
  <c r="X23" i="2"/>
  <c r="BX21" i="2"/>
  <c r="AJ29" i="2"/>
  <c r="AL21" i="2"/>
  <c r="AT23" i="2"/>
  <c r="F475" i="44"/>
  <c r="G475" i="44"/>
  <c r="CO48" i="9"/>
  <c r="AP66" i="40" s="1"/>
  <c r="C121" i="39" s="1"/>
  <c r="CO50" i="9"/>
  <c r="AR66" i="40" s="1"/>
  <c r="CO47" i="9"/>
  <c r="AO66" i="40" s="1"/>
  <c r="B121" i="39" s="1"/>
  <c r="DB48" i="9"/>
  <c r="AP86" i="40" s="1"/>
  <c r="C175" i="39" s="1"/>
  <c r="DB49" i="9"/>
  <c r="AQ86" i="40" s="1"/>
  <c r="D175" i="39" s="1"/>
  <c r="DB50" i="9"/>
  <c r="AR86" i="40" s="1"/>
  <c r="E175" i="39" s="1"/>
  <c r="DB47" i="9"/>
  <c r="AO86" i="40" s="1"/>
  <c r="B175" i="39" s="1"/>
  <c r="F533" i="44"/>
  <c r="G533" i="44"/>
  <c r="CC66" i="9"/>
  <c r="H18" i="3"/>
  <c r="O19" i="3"/>
  <c r="P19" i="3" s="1"/>
  <c r="CI65" i="9"/>
  <c r="CE65" i="9"/>
  <c r="CM65" i="9"/>
  <c r="CJ65" i="9"/>
  <c r="CJ67" i="9"/>
  <c r="DI17" i="2"/>
  <c r="DI19" i="2"/>
  <c r="CB52" i="9"/>
  <c r="AT46" i="40" s="1"/>
  <c r="G67" i="39" s="1"/>
  <c r="G96" i="39" s="1"/>
  <c r="G97" i="39" s="1"/>
  <c r="V43" i="9"/>
  <c r="BY67" i="9" s="1"/>
  <c r="C42" i="2"/>
  <c r="C40" i="8" s="1"/>
  <c r="AO54" i="40" s="1"/>
  <c r="C110" i="39" s="1"/>
  <c r="B383" i="39" s="1"/>
  <c r="A136" i="43" s="1"/>
  <c r="AP77" i="40"/>
  <c r="C167" i="39" s="1"/>
  <c r="C183" i="39" s="1"/>
  <c r="C184" i="39" s="1"/>
  <c r="AR37" i="40"/>
  <c r="E59" i="39" s="1"/>
  <c r="E75" i="39" s="1"/>
  <c r="E76" i="39" s="1"/>
  <c r="AR77" i="40"/>
  <c r="E167" i="39" s="1"/>
  <c r="E183" i="39" s="1"/>
  <c r="E184" i="39" s="1"/>
  <c r="AO57" i="40"/>
  <c r="B113" i="39" s="1"/>
  <c r="B129" i="39" s="1"/>
  <c r="B130" i="39" s="1"/>
  <c r="AT16" i="40"/>
  <c r="G5" i="39" s="1"/>
  <c r="G21" i="39" s="1"/>
  <c r="G22" i="39" s="1"/>
  <c r="AT57" i="40"/>
  <c r="G113" i="39" s="1"/>
  <c r="G129" i="39" s="1"/>
  <c r="G130" i="39" s="1"/>
  <c r="AT77" i="40"/>
  <c r="G167" i="39" s="1"/>
  <c r="G183" i="39" s="1"/>
  <c r="G184" i="39" s="1"/>
  <c r="BO51" i="9"/>
  <c r="AS25" i="40" s="1"/>
  <c r="F13" i="39" s="1"/>
  <c r="F42" i="39" s="1"/>
  <c r="F43" i="39" s="1"/>
  <c r="BO48" i="9"/>
  <c r="AP25" i="40" s="1"/>
  <c r="C13" i="39" s="1"/>
  <c r="BO50" i="9"/>
  <c r="AR25" i="40" s="1"/>
  <c r="E13" i="39" s="1"/>
  <c r="E42" i="39" s="1"/>
  <c r="E43" i="39" s="1"/>
  <c r="BO47" i="9"/>
  <c r="AO25" i="40" s="1"/>
  <c r="B13" i="39" s="1"/>
  <c r="F537" i="44"/>
  <c r="G537" i="44"/>
  <c r="D7" i="3"/>
  <c r="K188" i="9" s="1"/>
  <c r="B7" i="3"/>
  <c r="C297" i="35" s="1"/>
  <c r="C299" i="35" s="1"/>
  <c r="C7" i="3"/>
  <c r="L5" i="5"/>
  <c r="A21" i="41" s="1"/>
  <c r="A279" i="43" s="1"/>
  <c r="F7" i="3"/>
  <c r="E11" i="2"/>
  <c r="B42" i="2"/>
  <c r="CM76" i="9" s="1"/>
  <c r="A61" i="7"/>
  <c r="D9" i="7"/>
  <c r="L9" i="7"/>
  <c r="E9" i="7"/>
  <c r="M9" i="7"/>
  <c r="H9" i="7"/>
  <c r="J9" i="7"/>
  <c r="C9" i="7"/>
  <c r="A41" i="43"/>
  <c r="G9" i="7"/>
  <c r="G529" i="44"/>
  <c r="F529" i="44"/>
  <c r="BG68" i="9"/>
  <c r="L75" i="43"/>
  <c r="A24" i="43"/>
  <c r="D10" i="7"/>
  <c r="L11" i="2"/>
  <c r="K7" i="2"/>
  <c r="F511" i="44"/>
  <c r="G511" i="44"/>
  <c r="F503" i="44"/>
  <c r="G503" i="44"/>
  <c r="F497" i="44"/>
  <c r="G497" i="44"/>
  <c r="BD84" i="9"/>
  <c r="J11" i="2"/>
  <c r="K11" i="2"/>
  <c r="C11" i="2"/>
  <c r="F11" i="2"/>
  <c r="N11" i="2"/>
  <c r="B42" i="8"/>
  <c r="H9" i="8" s="1"/>
  <c r="H11" i="2"/>
  <c r="A32" i="43"/>
  <c r="I214" i="39"/>
  <c r="BL78" i="9"/>
  <c r="BH86" i="9"/>
  <c r="BI84" i="9"/>
  <c r="BD78" i="9"/>
  <c r="L69" i="43"/>
  <c r="C161" i="37"/>
  <c r="D161" i="37" s="1"/>
  <c r="C279" i="37" s="1"/>
  <c r="C600" i="36" s="1"/>
  <c r="A39" i="43"/>
  <c r="A31" i="43"/>
  <c r="F9" i="7"/>
  <c r="F541" i="44"/>
  <c r="G541" i="44"/>
  <c r="F501" i="44"/>
  <c r="G501" i="44"/>
  <c r="D11" i="2"/>
  <c r="D88" i="48"/>
  <c r="K88" i="48" s="1"/>
  <c r="D29" i="48"/>
  <c r="K29" i="48" s="1"/>
  <c r="I10" i="7"/>
  <c r="J10" i="7"/>
  <c r="B43" i="2"/>
  <c r="CZ86" i="9" s="1"/>
  <c r="E10" i="7"/>
  <c r="M10" i="7"/>
  <c r="G10" i="7"/>
  <c r="L19" i="3"/>
  <c r="M19" i="3" s="1"/>
  <c r="O14" i="3"/>
  <c r="P14" i="3" s="1"/>
  <c r="S179" i="9" s="1"/>
  <c r="A37" i="43"/>
  <c r="DI27" i="2"/>
  <c r="DI25" i="2"/>
  <c r="H10" i="7"/>
  <c r="C39" i="8"/>
  <c r="C19" i="9" s="1"/>
  <c r="BY66" i="9"/>
  <c r="CK67" i="9"/>
  <c r="CK65" i="9"/>
  <c r="BJ65" i="9"/>
  <c r="A21" i="43"/>
  <c r="A29" i="43"/>
  <c r="A36" i="43"/>
  <c r="A22" i="43"/>
  <c r="A30" i="43"/>
  <c r="A35" i="43"/>
  <c r="C45" i="8"/>
  <c r="C23" i="9" s="1"/>
  <c r="A25" i="43"/>
  <c r="A33" i="43"/>
  <c r="A42" i="43"/>
  <c r="A19" i="43"/>
  <c r="A27" i="43"/>
  <c r="A40" i="43"/>
  <c r="C162" i="37"/>
  <c r="D162" i="37" s="1"/>
  <c r="C154" i="37"/>
  <c r="D154" i="37" s="1"/>
  <c r="C156" i="37"/>
  <c r="D156" i="37" s="1"/>
  <c r="C159" i="37"/>
  <c r="D159" i="37" s="1"/>
  <c r="C258" i="37" s="1"/>
  <c r="C579" i="36" s="1"/>
  <c r="C158" i="37"/>
  <c r="D158" i="37" s="1"/>
  <c r="C282" i="37" s="1"/>
  <c r="C603" i="36" s="1"/>
  <c r="A26" i="43"/>
  <c r="F10" i="7"/>
  <c r="M11" i="2"/>
  <c r="A62" i="7"/>
  <c r="BU66" i="9"/>
  <c r="CB51" i="9"/>
  <c r="CB48" i="9"/>
  <c r="AP46" i="40" s="1"/>
  <c r="C67" i="39" s="1"/>
  <c r="BB61" i="9"/>
  <c r="AS57" i="40"/>
  <c r="F113" i="39" s="1"/>
  <c r="F129" i="39" s="1"/>
  <c r="F130" i="39" s="1"/>
  <c r="CL65" i="9"/>
  <c r="BZ66" i="9"/>
  <c r="S43" i="9"/>
  <c r="BV67" i="9" s="1"/>
  <c r="CD66" i="9"/>
  <c r="T43" i="9"/>
  <c r="BW67" i="9" s="1"/>
  <c r="CB40" i="9"/>
  <c r="B41" i="2"/>
  <c r="I8" i="7"/>
  <c r="K8" i="7"/>
  <c r="E8" i="7"/>
  <c r="M8" i="7"/>
  <c r="F8" i="7"/>
  <c r="G8" i="7"/>
  <c r="C8" i="7"/>
  <c r="A60" i="7"/>
  <c r="H8" i="7"/>
  <c r="J8" i="7"/>
  <c r="N8" i="7"/>
  <c r="D8" i="7"/>
  <c r="C18" i="9"/>
  <c r="D230" i="9"/>
  <c r="AP27" i="40" s="1"/>
  <c r="C15" i="39" s="1"/>
  <c r="C48" i="39" s="1"/>
  <c r="C49" i="39" s="1"/>
  <c r="F230" i="9"/>
  <c r="AR27" i="40" s="1"/>
  <c r="E15" i="39" s="1"/>
  <c r="E48" i="39" s="1"/>
  <c r="E49" i="39" s="1"/>
  <c r="G230" i="9"/>
  <c r="AS27" i="40" s="1"/>
  <c r="F15" i="39" s="1"/>
  <c r="F48" i="39" s="1"/>
  <c r="F49" i="39" s="1"/>
  <c r="AO16" i="40"/>
  <c r="B5" i="39" s="1"/>
  <c r="B21" i="39" s="1"/>
  <c r="B22" i="39" s="1"/>
  <c r="AS37" i="40"/>
  <c r="F59" i="39" s="1"/>
  <c r="F75" i="39" s="1"/>
  <c r="F76" i="39" s="1"/>
  <c r="AR57" i="40"/>
  <c r="E113" i="39" s="1"/>
  <c r="E129" i="39" s="1"/>
  <c r="E130" i="39" s="1"/>
  <c r="L18" i="3"/>
  <c r="M18" i="3" s="1"/>
  <c r="B47" i="2"/>
  <c r="DX99" i="9" s="1"/>
  <c r="J14" i="7"/>
  <c r="D14" i="7"/>
  <c r="L14" i="7"/>
  <c r="F14" i="7"/>
  <c r="N14" i="7"/>
  <c r="E14" i="7"/>
  <c r="G14" i="7"/>
  <c r="H14" i="7"/>
  <c r="C14" i="7"/>
  <c r="AO77" i="40"/>
  <c r="AQ37" i="40"/>
  <c r="D59" i="39" s="1"/>
  <c r="D75" i="39" s="1"/>
  <c r="D76" i="39" s="1"/>
  <c r="D157" i="48"/>
  <c r="AW66" i="9"/>
  <c r="BB66" i="9" s="1"/>
  <c r="AU55" i="9"/>
  <c r="BB55" i="9" s="1"/>
  <c r="O28" i="40" s="1"/>
  <c r="C16" i="36" s="1"/>
  <c r="BB48" i="9"/>
  <c r="D39" i="48"/>
  <c r="D56" i="48"/>
  <c r="L56" i="48" s="1"/>
  <c r="D70" i="48"/>
  <c r="D84" i="48"/>
  <c r="D95" i="48"/>
  <c r="D111" i="48"/>
  <c r="D153" i="48"/>
  <c r="D165" i="48"/>
  <c r="D30" i="48"/>
  <c r="D40" i="48"/>
  <c r="D57" i="48"/>
  <c r="D73" i="48"/>
  <c r="K73" i="48" s="1"/>
  <c r="D85" i="48"/>
  <c r="D96" i="48"/>
  <c r="D34" i="48"/>
  <c r="D41" i="48"/>
  <c r="D74" i="48"/>
  <c r="L11" i="5"/>
  <c r="L13" i="5"/>
  <c r="D112" i="48"/>
  <c r="D125" i="48"/>
  <c r="D141" i="48"/>
  <c r="D155" i="48"/>
  <c r="D25" i="48"/>
  <c r="D36" i="48"/>
  <c r="D49" i="48"/>
  <c r="D63" i="48"/>
  <c r="D77" i="48"/>
  <c r="D89" i="48"/>
  <c r="D101" i="48"/>
  <c r="D117" i="48"/>
  <c r="D130" i="48"/>
  <c r="D146" i="48"/>
  <c r="D158" i="48"/>
  <c r="D69" i="48"/>
  <c r="L69" i="48" s="1"/>
  <c r="D94" i="48"/>
  <c r="D119" i="48"/>
  <c r="D142" i="48"/>
  <c r="D164" i="48"/>
  <c r="D45" i="48"/>
  <c r="D24" i="48"/>
  <c r="D50" i="48"/>
  <c r="D78" i="48"/>
  <c r="D105" i="48"/>
  <c r="K105" i="48" s="1"/>
  <c r="D124" i="48"/>
  <c r="D148" i="48"/>
  <c r="D28" i="48"/>
  <c r="D55" i="48"/>
  <c r="D80" i="48"/>
  <c r="D110" i="48"/>
  <c r="D134" i="48"/>
  <c r="D154" i="48"/>
  <c r="L8" i="3"/>
  <c r="M8" i="3" s="1"/>
  <c r="R176" i="9" s="1"/>
  <c r="D90" i="48"/>
  <c r="D129" i="48"/>
  <c r="D163" i="48"/>
  <c r="O16" i="3"/>
  <c r="P16" i="3" s="1"/>
  <c r="S180" i="9" s="1"/>
  <c r="D51" i="48"/>
  <c r="L12" i="5"/>
  <c r="D91" i="48" s="1"/>
  <c r="L91" i="48" s="1"/>
  <c r="D135" i="48"/>
  <c r="L18" i="5"/>
  <c r="D62" i="48"/>
  <c r="L16" i="5"/>
  <c r="O18" i="3"/>
  <c r="P18" i="3" s="1"/>
  <c r="S181" i="9" s="1"/>
  <c r="D64" i="48"/>
  <c r="L14" i="5"/>
  <c r="D140" i="48"/>
  <c r="O17" i="3"/>
  <c r="P17" i="3" s="1"/>
  <c r="S185" i="9" s="1"/>
  <c r="O15" i="3"/>
  <c r="D35" i="48"/>
  <c r="D116" i="48"/>
  <c r="L16" i="3"/>
  <c r="D118" i="48"/>
  <c r="L15" i="3"/>
  <c r="D123" i="48"/>
  <c r="L11" i="3"/>
  <c r="M11" i="3" s="1"/>
  <c r="D68" i="48"/>
  <c r="D147" i="48"/>
  <c r="O11" i="3"/>
  <c r="P11" i="3" s="1"/>
  <c r="D159" i="48"/>
  <c r="L10" i="3"/>
  <c r="M10" i="3" s="1"/>
  <c r="R177" i="9" s="1"/>
  <c r="L17" i="3"/>
  <c r="M17" i="3" s="1"/>
  <c r="R185" i="9" s="1"/>
  <c r="O10" i="3"/>
  <c r="P10" i="3" s="1"/>
  <c r="S177" i="9" s="1"/>
  <c r="O9" i="3"/>
  <c r="P9" i="3" s="1"/>
  <c r="L14" i="3"/>
  <c r="M14" i="3" s="1"/>
  <c r="R182" i="9" s="1"/>
  <c r="D79" i="48"/>
  <c r="L12" i="3"/>
  <c r="M12" i="3" s="1"/>
  <c r="R178" i="9" s="1"/>
  <c r="O8" i="3"/>
  <c r="E230" i="9"/>
  <c r="AQ27" i="40" s="1"/>
  <c r="D15" i="39" s="1"/>
  <c r="D48" i="39" s="1"/>
  <c r="D49" i="39" s="1"/>
  <c r="D152" i="48"/>
  <c r="AO13" i="40"/>
  <c r="C2" i="39" s="1"/>
  <c r="B381" i="39" s="1"/>
  <c r="A134" i="43" s="1"/>
  <c r="AQ77" i="40"/>
  <c r="D167" i="39" s="1"/>
  <c r="D183" i="39" s="1"/>
  <c r="D184" i="39" s="1"/>
  <c r="AP57" i="40"/>
  <c r="C113" i="39" s="1"/>
  <c r="C129" i="39" s="1"/>
  <c r="C130" i="39" s="1"/>
  <c r="AS77" i="40"/>
  <c r="F167" i="39" s="1"/>
  <c r="F183" i="39" s="1"/>
  <c r="F184" i="39" s="1"/>
  <c r="AQ57" i="40"/>
  <c r="D113" i="39" s="1"/>
  <c r="D129" i="39" s="1"/>
  <c r="D130" i="39" s="1"/>
  <c r="AP37" i="40"/>
  <c r="C59" i="39" s="1"/>
  <c r="C75" i="39" s="1"/>
  <c r="C76" i="39" s="1"/>
  <c r="AT37" i="40"/>
  <c r="G59" i="39" s="1"/>
  <c r="G75" i="39" s="1"/>
  <c r="G76" i="39" s="1"/>
  <c r="F535" i="44"/>
  <c r="G535" i="44"/>
  <c r="L9" i="3"/>
  <c r="M9" i="3" s="1"/>
  <c r="AO37" i="40"/>
  <c r="B59" i="39" s="1"/>
  <c r="B75" i="39" s="1"/>
  <c r="B76" i="39" s="1"/>
  <c r="O13" i="3"/>
  <c r="P13" i="3" s="1"/>
  <c r="B46" i="8"/>
  <c r="M13" i="8" s="1"/>
  <c r="G15" i="2"/>
  <c r="C15" i="2"/>
  <c r="I15" i="2"/>
  <c r="K15" i="2"/>
  <c r="H15" i="2"/>
  <c r="J15" i="2"/>
  <c r="L15" i="2"/>
  <c r="M15" i="2"/>
  <c r="D15" i="2"/>
  <c r="E15" i="2"/>
  <c r="F15" i="2"/>
  <c r="N15" i="2"/>
  <c r="C151" i="37"/>
  <c r="D151" i="37" s="1"/>
  <c r="C274" i="37" s="1"/>
  <c r="C595" i="36" s="1"/>
  <c r="C153" i="37"/>
  <c r="D153" i="37" s="1"/>
  <c r="C269" i="37" s="1"/>
  <c r="C590" i="36" s="1"/>
  <c r="L67" i="43"/>
  <c r="K67" i="43"/>
  <c r="CA66" i="9"/>
  <c r="F525" i="44"/>
  <c r="G525" i="44"/>
  <c r="F519" i="44"/>
  <c r="G519" i="44"/>
  <c r="F513" i="44"/>
  <c r="G513" i="44"/>
  <c r="Y43" i="9"/>
  <c r="CB67" i="9" s="1"/>
  <c r="BB51" i="9"/>
  <c r="AQ58" i="9"/>
  <c r="BB58" i="9" s="1"/>
  <c r="BH80" i="9"/>
  <c r="BG82" i="9"/>
  <c r="BJ78" i="9"/>
  <c r="BI80" i="9"/>
  <c r="BL76" i="9"/>
  <c r="BK78" i="9"/>
  <c r="BC78" i="9"/>
  <c r="B38" i="8"/>
  <c r="BH88" i="9"/>
  <c r="BF76" i="9"/>
  <c r="BG76" i="9"/>
  <c r="BE80" i="9"/>
  <c r="BG78" i="9"/>
  <c r="BE82" i="9"/>
  <c r="BC88" i="9"/>
  <c r="F7" i="2"/>
  <c r="H7" i="2"/>
  <c r="AO43" i="9"/>
  <c r="W43" i="9"/>
  <c r="BZ67" i="9" s="1"/>
  <c r="F495" i="44"/>
  <c r="G495" i="44"/>
  <c r="AO40" i="9"/>
  <c r="F543" i="44"/>
  <c r="G543" i="44"/>
  <c r="U43" i="9"/>
  <c r="BX67" i="9" s="1"/>
  <c r="G499" i="44"/>
  <c r="F499" i="44"/>
  <c r="CH19" i="2"/>
  <c r="BR19" i="2"/>
  <c r="BB19" i="2"/>
  <c r="AL19" i="2"/>
  <c r="V19" i="2"/>
  <c r="CD19" i="2"/>
  <c r="BN19" i="2"/>
  <c r="AX19" i="2"/>
  <c r="AH19" i="2"/>
  <c r="BZ19" i="2"/>
  <c r="BJ19" i="2"/>
  <c r="G455" i="44"/>
  <c r="BB40" i="9"/>
  <c r="N31" i="40" s="1"/>
  <c r="B17" i="44"/>
  <c r="C17" i="44" s="1"/>
  <c r="B49" i="44"/>
  <c r="C49" i="44" s="1"/>
  <c r="DB41" i="9"/>
  <c r="BO41" i="9"/>
  <c r="CO40" i="9"/>
  <c r="AA43" i="9"/>
  <c r="CD67" i="9" s="1"/>
  <c r="BX66" i="9"/>
  <c r="BO49" i="9"/>
  <c r="AQ25" i="40" s="1"/>
  <c r="D13" i="39" s="1"/>
  <c r="AO42" i="9"/>
  <c r="CB42" i="9"/>
  <c r="Z43" i="9"/>
  <c r="CC67" i="9" s="1"/>
  <c r="P43" i="9"/>
  <c r="BS67" i="9" s="1"/>
  <c r="X43" i="9"/>
  <c r="CA67" i="9" s="1"/>
  <c r="DB42" i="9"/>
  <c r="CO51" i="9"/>
  <c r="AS66" i="40" s="1"/>
  <c r="F121" i="39" s="1"/>
  <c r="F150" i="39" s="1"/>
  <c r="F151" i="39" s="1"/>
  <c r="CL67" i="9"/>
  <c r="L72" i="43"/>
  <c r="K72" i="43"/>
  <c r="D51" i="38"/>
  <c r="L223" i="48"/>
  <c r="K223" i="48"/>
  <c r="J326" i="36"/>
  <c r="N24" i="38"/>
  <c r="L66" i="43"/>
  <c r="K66" i="43"/>
  <c r="C323" i="35"/>
  <c r="I61" i="35"/>
  <c r="I136" i="35"/>
  <c r="K62" i="43"/>
  <c r="L62" i="43"/>
  <c r="I110" i="35"/>
  <c r="C330" i="35"/>
  <c r="L274" i="48"/>
  <c r="L77" i="43"/>
  <c r="K77" i="43"/>
  <c r="D338" i="33"/>
  <c r="C1006" i="33"/>
  <c r="D225" i="43" s="1"/>
  <c r="L219" i="43"/>
  <c r="K219" i="43"/>
  <c r="K214" i="43"/>
  <c r="L214" i="43"/>
  <c r="G297" i="36"/>
  <c r="B207" i="39"/>
  <c r="B208" i="39" s="1"/>
  <c r="I208" i="39" s="1"/>
  <c r="F180" i="37"/>
  <c r="C277" i="37"/>
  <c r="C598" i="36" s="1"/>
  <c r="D31" i="38"/>
  <c r="D32" i="38"/>
  <c r="X32" i="38"/>
  <c r="I253" i="39"/>
  <c r="F23" i="38"/>
  <c r="K73" i="43"/>
  <c r="L73" i="43"/>
  <c r="C300" i="35"/>
  <c r="C301" i="35"/>
  <c r="K189" i="43"/>
  <c r="L189" i="43"/>
  <c r="K163" i="43"/>
  <c r="L163" i="43"/>
  <c r="D149" i="43"/>
  <c r="D346" i="48"/>
  <c r="L346" i="48" s="1"/>
  <c r="K351" i="48"/>
  <c r="L351" i="48"/>
  <c r="CB9" i="9"/>
  <c r="CB7" i="9"/>
  <c r="B45" i="2"/>
  <c r="D12" i="7"/>
  <c r="L12" i="7"/>
  <c r="E12" i="7"/>
  <c r="M12" i="7"/>
  <c r="F12" i="7"/>
  <c r="N12" i="7"/>
  <c r="J12" i="7"/>
  <c r="K12" i="7"/>
  <c r="I12" i="7"/>
  <c r="H12" i="7"/>
  <c r="G12" i="7"/>
  <c r="C12" i="7"/>
  <c r="L448" i="48"/>
  <c r="K448" i="48"/>
  <c r="G298" i="36"/>
  <c r="L190" i="35"/>
  <c r="I347" i="39"/>
  <c r="D293" i="48"/>
  <c r="B14" i="41"/>
  <c r="I78" i="39"/>
  <c r="X77" i="9"/>
  <c r="CM66" i="9" s="1"/>
  <c r="X86" i="9"/>
  <c r="CM67" i="9" s="1"/>
  <c r="C234" i="35"/>
  <c r="C232" i="35"/>
  <c r="C233" i="35"/>
  <c r="L230" i="35"/>
  <c r="C231" i="35"/>
  <c r="K196" i="35"/>
  <c r="K195" i="35"/>
  <c r="K197" i="35"/>
  <c r="L197" i="35" s="1"/>
  <c r="K193" i="35"/>
  <c r="L193" i="35" s="1"/>
  <c r="L189" i="35"/>
  <c r="K192" i="35"/>
  <c r="L192" i="35" s="1"/>
  <c r="K194" i="35"/>
  <c r="K200" i="35"/>
  <c r="K190" i="35"/>
  <c r="K191" i="35"/>
  <c r="L191" i="35" s="1"/>
  <c r="C333" i="35" s="1"/>
  <c r="K198" i="35"/>
  <c r="L198" i="35" s="1"/>
  <c r="D233" i="48"/>
  <c r="D475" i="33"/>
  <c r="C854" i="33" s="1"/>
  <c r="D224" i="48" s="1"/>
  <c r="D473" i="33"/>
  <c r="D474" i="33"/>
  <c r="D476" i="33"/>
  <c r="C833" i="33" s="1"/>
  <c r="D203" i="48" s="1"/>
  <c r="D196" i="33"/>
  <c r="D195" i="33"/>
  <c r="D198" i="33"/>
  <c r="D197" i="33"/>
  <c r="D669" i="33" s="1"/>
  <c r="D433" i="33"/>
  <c r="C871" i="33"/>
  <c r="D436" i="33"/>
  <c r="D437" i="33"/>
  <c r="D434" i="33"/>
  <c r="D439" i="33"/>
  <c r="D438" i="33"/>
  <c r="D435" i="33"/>
  <c r="C893" i="33"/>
  <c r="D235" i="48" s="1"/>
  <c r="D499" i="33"/>
  <c r="D500" i="33"/>
  <c r="C901" i="33" s="1"/>
  <c r="D243" i="48" s="1"/>
  <c r="D501" i="33"/>
  <c r="C898" i="33" s="1"/>
  <c r="D240" i="48" s="1"/>
  <c r="I263" i="35"/>
  <c r="L261" i="35"/>
  <c r="I264" i="35"/>
  <c r="I262" i="35"/>
  <c r="L262" i="35" s="1"/>
  <c r="C352" i="35" s="1"/>
  <c r="C98" i="40"/>
  <c r="E31" i="35"/>
  <c r="G237" i="35" s="1"/>
  <c r="I183" i="35"/>
  <c r="I174" i="35"/>
  <c r="I180" i="35"/>
  <c r="L180" i="35" s="1"/>
  <c r="L173" i="35"/>
  <c r="I176" i="35"/>
  <c r="L176" i="35" s="1"/>
  <c r="I177" i="35"/>
  <c r="L177" i="35" s="1"/>
  <c r="I181" i="35"/>
  <c r="I179" i="35"/>
  <c r="L179" i="35" s="1"/>
  <c r="I182" i="35"/>
  <c r="I175" i="35"/>
  <c r="I178" i="35"/>
  <c r="P86" i="9"/>
  <c r="CE67" i="9" s="1"/>
  <c r="AO76" i="9"/>
  <c r="K244" i="48"/>
  <c r="I256" i="39"/>
  <c r="K200" i="48"/>
  <c r="L200" i="48"/>
  <c r="C779" i="33"/>
  <c r="D663" i="33"/>
  <c r="D661" i="33"/>
  <c r="D662" i="33"/>
  <c r="D666" i="33"/>
  <c r="D665" i="33"/>
  <c r="D664" i="33"/>
  <c r="D660" i="33"/>
  <c r="G263" i="35"/>
  <c r="G262" i="35"/>
  <c r="G264" i="35"/>
  <c r="C961" i="33"/>
  <c r="D631" i="33"/>
  <c r="M35" i="45"/>
  <c r="K35" i="45"/>
  <c r="K289" i="48"/>
  <c r="L289" i="48"/>
  <c r="D284" i="48"/>
  <c r="L284" i="48" s="1"/>
  <c r="L325" i="48"/>
  <c r="K325" i="48"/>
  <c r="L331" i="48"/>
  <c r="K331" i="48"/>
  <c r="L344" i="48"/>
  <c r="D340" i="48"/>
  <c r="L340" i="48" s="1"/>
  <c r="K344" i="48"/>
  <c r="K182" i="35"/>
  <c r="K178" i="35"/>
  <c r="K179" i="35"/>
  <c r="K176" i="35"/>
  <c r="K181" i="35"/>
  <c r="K177" i="35"/>
  <c r="K180" i="35"/>
  <c r="K175" i="35"/>
  <c r="K174" i="35"/>
  <c r="K183" i="35"/>
  <c r="O29" i="40"/>
  <c r="CB49" i="9"/>
  <c r="AQ46" i="40" s="1"/>
  <c r="D67" i="39" s="1"/>
  <c r="CB50" i="9"/>
  <c r="AR46" i="40" s="1"/>
  <c r="E67" i="39" s="1"/>
  <c r="CB47" i="9"/>
  <c r="I368" i="39"/>
  <c r="D689" i="33"/>
  <c r="C772" i="33" s="1"/>
  <c r="D691" i="33"/>
  <c r="D690" i="33"/>
  <c r="M24" i="45"/>
  <c r="K24" i="45"/>
  <c r="L174" i="35"/>
  <c r="K206" i="48"/>
  <c r="L206" i="48"/>
  <c r="Q5" i="45"/>
  <c r="M31" i="45" s="1"/>
  <c r="M32" i="45" s="1"/>
  <c r="M33" i="45"/>
  <c r="C331" i="35"/>
  <c r="I349" i="39"/>
  <c r="K126" i="43"/>
  <c r="L126" i="43"/>
  <c r="K127" i="43"/>
  <c r="L127" i="43"/>
  <c r="C513" i="36"/>
  <c r="D723" i="33"/>
  <c r="I242" i="39"/>
  <c r="K232" i="48"/>
  <c r="L232" i="48"/>
  <c r="D298" i="33"/>
  <c r="D297" i="33"/>
  <c r="D296" i="33"/>
  <c r="L197" i="48"/>
  <c r="K197" i="48"/>
  <c r="C256" i="35"/>
  <c r="C255" i="35"/>
  <c r="I140" i="35"/>
  <c r="K212" i="48"/>
  <c r="L212" i="48"/>
  <c r="D316" i="33"/>
  <c r="D314" i="33"/>
  <c r="D312" i="33"/>
  <c r="D756" i="33" s="1"/>
  <c r="D315" i="33"/>
  <c r="D313" i="33"/>
  <c r="D242" i="33"/>
  <c r="D707" i="33" s="1"/>
  <c r="D241" i="33"/>
  <c r="D243" i="33"/>
  <c r="D184" i="33"/>
  <c r="D182" i="33"/>
  <c r="D183" i="33"/>
  <c r="D649" i="33" s="1"/>
  <c r="D181" i="33"/>
  <c r="D357" i="33"/>
  <c r="D358" i="33"/>
  <c r="C881" i="33" s="1"/>
  <c r="D362" i="33"/>
  <c r="C877" i="33"/>
  <c r="D364" i="33"/>
  <c r="D359" i="33"/>
  <c r="D360" i="33"/>
  <c r="D363" i="33"/>
  <c r="D724" i="33"/>
  <c r="CZ66" i="9"/>
  <c r="I374" i="39"/>
  <c r="D242" i="36"/>
  <c r="F242" i="36" s="1"/>
  <c r="C524" i="36" s="1"/>
  <c r="C732" i="36" s="1"/>
  <c r="D87" i="43" s="1"/>
  <c r="D244" i="36"/>
  <c r="F244" i="36" s="1"/>
  <c r="D241" i="36"/>
  <c r="F241" i="36" s="1"/>
  <c r="DI29" i="2"/>
  <c r="DI21" i="2"/>
  <c r="F150" i="35"/>
  <c r="F154" i="35"/>
  <c r="G125" i="35"/>
  <c r="G127" i="35"/>
  <c r="I127" i="35" s="1"/>
  <c r="L178" i="35"/>
  <c r="C73" i="35"/>
  <c r="I73" i="35" s="1"/>
  <c r="C74" i="35"/>
  <c r="I74" i="35" s="1"/>
  <c r="I371" i="39"/>
  <c r="D465" i="33"/>
  <c r="C844" i="33" s="1"/>
  <c r="D214" i="48" s="1"/>
  <c r="D463" i="33"/>
  <c r="C823" i="33" s="1"/>
  <c r="D193" i="48" s="1"/>
  <c r="D464" i="33"/>
  <c r="C869" i="33" s="1"/>
  <c r="D265" i="43" s="1"/>
  <c r="C822" i="33"/>
  <c r="D306" i="33"/>
  <c r="D308" i="33"/>
  <c r="D305" i="33"/>
  <c r="E73" i="35"/>
  <c r="E76" i="35"/>
  <c r="E62" i="35"/>
  <c r="E63" i="35"/>
  <c r="E66" i="35"/>
  <c r="I66" i="35" s="1"/>
  <c r="I265" i="39"/>
  <c r="H58" i="38"/>
  <c r="J5" i="38" s="1"/>
  <c r="D92" i="43" s="1"/>
  <c r="E98" i="35"/>
  <c r="E99" i="35"/>
  <c r="E102" i="35"/>
  <c r="C175" i="37"/>
  <c r="C184" i="37"/>
  <c r="F184" i="37" s="1"/>
  <c r="C178" i="37"/>
  <c r="J58" i="38"/>
  <c r="J6" i="38" s="1"/>
  <c r="D93" i="43" s="1"/>
  <c r="D553" i="33"/>
  <c r="L253" i="35"/>
  <c r="G139" i="35"/>
  <c r="I139" i="35" s="1"/>
  <c r="G135" i="35"/>
  <c r="G137" i="35"/>
  <c r="G141" i="35"/>
  <c r="G300" i="35"/>
  <c r="G301" i="35"/>
  <c r="K281" i="43"/>
  <c r="L281" i="43"/>
  <c r="CY67" i="9"/>
  <c r="CY66" i="9"/>
  <c r="BO40" i="9"/>
  <c r="BT66" i="9"/>
  <c r="O40" i="9"/>
  <c r="L170" i="48"/>
  <c r="K170" i="48"/>
  <c r="E207" i="36"/>
  <c r="K201" i="48"/>
  <c r="L201" i="48"/>
  <c r="C863" i="33"/>
  <c r="D259" i="43" s="1"/>
  <c r="D166" i="35"/>
  <c r="I166" i="35" s="1"/>
  <c r="D162" i="35"/>
  <c r="I162" i="35" s="1"/>
  <c r="D167" i="35"/>
  <c r="D161" i="35"/>
  <c r="D165" i="35"/>
  <c r="I165" i="35" s="1"/>
  <c r="E149" i="35"/>
  <c r="E150" i="35"/>
  <c r="I150" i="35" s="1"/>
  <c r="L392" i="48"/>
  <c r="K392" i="48"/>
  <c r="L385" i="48"/>
  <c r="K385" i="48"/>
  <c r="F527" i="44"/>
  <c r="G527" i="44"/>
  <c r="F387" i="44"/>
  <c r="G387" i="44"/>
  <c r="L223" i="35"/>
  <c r="C225" i="35"/>
  <c r="C226" i="35"/>
  <c r="L323" i="48"/>
  <c r="K323" i="48"/>
  <c r="K317" i="48"/>
  <c r="L317" i="48"/>
  <c r="D312" i="48"/>
  <c r="L312" i="48" s="1"/>
  <c r="L329" i="48"/>
  <c r="D326" i="48"/>
  <c r="L326" i="48" s="1"/>
  <c r="L361" i="48"/>
  <c r="D355" i="48"/>
  <c r="L355" i="48" s="1"/>
  <c r="L234" i="48"/>
  <c r="K234" i="48"/>
  <c r="K350" i="48"/>
  <c r="E128" i="35"/>
  <c r="I128" i="35" s="1"/>
  <c r="E123" i="35"/>
  <c r="I123" i="35" s="1"/>
  <c r="E121" i="35"/>
  <c r="I121" i="35" s="1"/>
  <c r="E126" i="35"/>
  <c r="I126" i="35" s="1"/>
  <c r="E125" i="35"/>
  <c r="E124" i="35"/>
  <c r="K276" i="43"/>
  <c r="J314" i="36"/>
  <c r="I301" i="35"/>
  <c r="F531" i="44"/>
  <c r="G531" i="44"/>
  <c r="F509" i="44"/>
  <c r="G509" i="44"/>
  <c r="F443" i="44"/>
  <c r="G443" i="44"/>
  <c r="F435" i="44"/>
  <c r="G435" i="44"/>
  <c r="F397" i="44"/>
  <c r="G397" i="44"/>
  <c r="F391" i="44"/>
  <c r="G391" i="44"/>
  <c r="E205" i="36"/>
  <c r="E202" i="36"/>
  <c r="E215" i="36"/>
  <c r="C179" i="36"/>
  <c r="G325" i="36"/>
  <c r="D459" i="33"/>
  <c r="D457" i="33"/>
  <c r="D451" i="33"/>
  <c r="D744" i="33" s="1"/>
  <c r="K39" i="45"/>
  <c r="M39" i="45"/>
  <c r="G319" i="36"/>
  <c r="J319" i="36" s="1"/>
  <c r="C468" i="36" s="1"/>
  <c r="C725" i="36" s="1"/>
  <c r="G320" i="36"/>
  <c r="J320" i="36" s="1"/>
  <c r="C962" i="33"/>
  <c r="D640" i="33"/>
  <c r="F517" i="44"/>
  <c r="G517" i="44"/>
  <c r="F493" i="44"/>
  <c r="G493" i="44"/>
  <c r="F383" i="44"/>
  <c r="G383" i="44"/>
  <c r="F365" i="44"/>
  <c r="G365" i="44"/>
  <c r="D116" i="33"/>
  <c r="D581" i="33" s="1"/>
  <c r="D166" i="33"/>
  <c r="D167" i="33"/>
  <c r="D397" i="33"/>
  <c r="D390" i="33"/>
  <c r="C873" i="33" s="1"/>
  <c r="D230" i="48" s="1"/>
  <c r="D393" i="33"/>
  <c r="C872" i="33"/>
  <c r="D506" i="33"/>
  <c r="C900" i="33" s="1"/>
  <c r="D242" i="48" s="1"/>
  <c r="D505" i="33"/>
  <c r="C897" i="33" s="1"/>
  <c r="D239" i="48" s="1"/>
  <c r="D510" i="33"/>
  <c r="C896" i="33" s="1"/>
  <c r="D238" i="48" s="1"/>
  <c r="E301" i="35"/>
  <c r="E300" i="35"/>
  <c r="K384" i="48"/>
  <c r="L384" i="48"/>
  <c r="K282" i="43"/>
  <c r="L282" i="43"/>
  <c r="F539" i="44"/>
  <c r="G539" i="44"/>
  <c r="L316" i="48"/>
  <c r="K316" i="48"/>
  <c r="E7" i="3"/>
  <c r="D202" i="33"/>
  <c r="D205" i="33"/>
  <c r="C876" i="33"/>
  <c r="D277" i="33"/>
  <c r="D276" i="33"/>
  <c r="D560" i="33" s="1"/>
  <c r="D407" i="33"/>
  <c r="D403" i="33"/>
  <c r="D405" i="33"/>
  <c r="D401" i="33"/>
  <c r="DI23" i="2"/>
  <c r="F523" i="44"/>
  <c r="G523" i="44"/>
  <c r="F505" i="44"/>
  <c r="G505" i="44"/>
  <c r="EQ335" i="9"/>
  <c r="EQ295" i="9"/>
  <c r="EQ303" i="9"/>
  <c r="EQ307" i="9"/>
  <c r="EQ319" i="9"/>
  <c r="EQ323" i="9"/>
  <c r="D322" i="33"/>
  <c r="D323" i="33"/>
  <c r="O135" i="9"/>
  <c r="CO42" i="9"/>
  <c r="D593" i="33"/>
  <c r="D38" i="35"/>
  <c r="E277" i="35" s="1"/>
  <c r="C99" i="40"/>
  <c r="Y207" i="9"/>
  <c r="D19" i="45" s="1"/>
  <c r="EK292" i="9"/>
  <c r="C931" i="33"/>
  <c r="D168" i="43" s="1"/>
  <c r="D421" i="33"/>
  <c r="L55" i="38"/>
  <c r="L58" i="38" s="1"/>
  <c r="J7" i="38" s="1"/>
  <c r="D94" i="43" s="1"/>
  <c r="X55" i="38"/>
  <c r="D520" i="33"/>
  <c r="C851" i="33" s="1"/>
  <c r="D221" i="48" s="1"/>
  <c r="D519" i="33"/>
  <c r="C828" i="33" s="1"/>
  <c r="D198" i="48" s="1"/>
  <c r="D137" i="33"/>
  <c r="D138" i="33"/>
  <c r="D608" i="33" s="1"/>
  <c r="D542" i="33"/>
  <c r="D736" i="33" s="1"/>
  <c r="D737" i="33" s="1"/>
  <c r="C838" i="33" s="1"/>
  <c r="D208" i="48" s="1"/>
  <c r="D544" i="33"/>
  <c r="C855" i="33" s="1"/>
  <c r="D225" i="48" s="1"/>
  <c r="D550" i="33"/>
  <c r="D548" i="33"/>
  <c r="D540" i="33"/>
  <c r="D727" i="33" s="1"/>
  <c r="DB40" i="9"/>
  <c r="F441" i="44"/>
  <c r="G441" i="44"/>
  <c r="C148" i="35"/>
  <c r="C147" i="35"/>
  <c r="I147" i="35" s="1"/>
  <c r="C149" i="35"/>
  <c r="CO41" i="9"/>
  <c r="Q43" i="9"/>
  <c r="BT67" i="9" s="1"/>
  <c r="AB40" i="9"/>
  <c r="BH66" i="9"/>
  <c r="O7" i="9"/>
  <c r="F433" i="44"/>
  <c r="G433" i="44"/>
  <c r="CB41" i="9"/>
  <c r="CB66" i="9"/>
  <c r="CA68" i="9"/>
  <c r="D26" i="48"/>
  <c r="D31" i="48"/>
  <c r="D42" i="48"/>
  <c r="L8" i="5"/>
  <c r="D52" i="48"/>
  <c r="D58" i="48"/>
  <c r="D65" i="48"/>
  <c r="D71" i="48"/>
  <c r="D75" i="48"/>
  <c r="D97" i="48"/>
  <c r="D102" i="48"/>
  <c r="D107" i="48"/>
  <c r="D113" i="48"/>
  <c r="D126" i="48"/>
  <c r="D131" i="48"/>
  <c r="D143" i="48"/>
  <c r="D149" i="48"/>
  <c r="D160" i="48"/>
  <c r="D32" i="48"/>
  <c r="D53" i="48"/>
  <c r="D59" i="48"/>
  <c r="L9" i="5"/>
  <c r="L10" i="5"/>
  <c r="D81" i="48"/>
  <c r="D98" i="48"/>
  <c r="D103" i="48"/>
  <c r="D114" i="48"/>
  <c r="D120" i="48"/>
  <c r="D127" i="48"/>
  <c r="D137" i="48"/>
  <c r="D150" i="48"/>
  <c r="L17" i="5"/>
  <c r="D161" i="48"/>
  <c r="D27" i="48"/>
  <c r="D33" i="48"/>
  <c r="D37" i="48"/>
  <c r="D43" i="48"/>
  <c r="D47" i="48"/>
  <c r="D60" i="48"/>
  <c r="D66" i="48"/>
  <c r="D82" i="48"/>
  <c r="D87" i="48"/>
  <c r="D92" i="48"/>
  <c r="D99" i="48"/>
  <c r="D108" i="48"/>
  <c r="D115" i="48"/>
  <c r="D121" i="48"/>
  <c r="D132" i="48"/>
  <c r="D138" i="48"/>
  <c r="D144" i="48"/>
  <c r="D151" i="48"/>
  <c r="D162" i="48"/>
  <c r="D38" i="48"/>
  <c r="L7" i="5"/>
  <c r="D48" i="48"/>
  <c r="D54" i="48"/>
  <c r="D61" i="48"/>
  <c r="D67" i="48"/>
  <c r="D83" i="48"/>
  <c r="D93" i="48"/>
  <c r="D104" i="48"/>
  <c r="D109" i="48"/>
  <c r="D122" i="48"/>
  <c r="L15" i="5"/>
  <c r="D133" i="48"/>
  <c r="D139" i="48"/>
  <c r="D145" i="48"/>
  <c r="AO41" i="9"/>
  <c r="BW66" i="9"/>
  <c r="EK307" i="9"/>
  <c r="EK311" i="9"/>
  <c r="EK294" i="9"/>
  <c r="EK331" i="9"/>
  <c r="EK301" i="9"/>
  <c r="EK329" i="9"/>
  <c r="EK337" i="9"/>
  <c r="EK318" i="9"/>
  <c r="EK322" i="9"/>
  <c r="AT64" i="9"/>
  <c r="BB64" i="9" s="1"/>
  <c r="BB43" i="9"/>
  <c r="AP31" i="9"/>
  <c r="BB31" i="9" s="1"/>
  <c r="BB10" i="9"/>
  <c r="AQ30" i="9"/>
  <c r="BB30" i="9" s="1"/>
  <c r="BB9" i="9"/>
  <c r="AR57" i="9"/>
  <c r="BB57" i="9" s="1"/>
  <c r="BB50" i="9"/>
  <c r="AO74" i="40"/>
  <c r="C164" i="39" s="1"/>
  <c r="B384" i="39" s="1"/>
  <c r="A137" i="43" s="1"/>
  <c r="C21" i="9"/>
  <c r="E241" i="9"/>
  <c r="G241" i="9"/>
  <c r="D241" i="9"/>
  <c r="F241" i="9"/>
  <c r="BK66" i="9"/>
  <c r="AH27" i="9"/>
  <c r="D80" i="43" s="1"/>
  <c r="AU63" i="9"/>
  <c r="BB63" i="9" s="1"/>
  <c r="BB42" i="9"/>
  <c r="AS21" i="9"/>
  <c r="BB21" i="9" s="1"/>
  <c r="BB14" i="9"/>
  <c r="AO10" i="9"/>
  <c r="AO7" i="9"/>
  <c r="BO42" i="9"/>
  <c r="AH23" i="9"/>
  <c r="D76" i="43" s="1"/>
  <c r="DB52" i="9"/>
  <c r="DB51" i="9"/>
  <c r="AS86" i="40" s="1"/>
  <c r="F175" i="39" s="1"/>
  <c r="F204" i="39" s="1"/>
  <c r="F205" i="39" s="1"/>
  <c r="H18" i="37"/>
  <c r="D216" i="37" s="1"/>
  <c r="H16" i="37"/>
  <c r="D200" i="37" s="1"/>
  <c r="AP26" i="9"/>
  <c r="BB26" i="9" s="1"/>
  <c r="BB19" i="9"/>
  <c r="AP25" i="9"/>
  <c r="BB25" i="9" s="1"/>
  <c r="BB18" i="9"/>
  <c r="AQ56" i="9"/>
  <c r="BB56" i="9" s="1"/>
  <c r="BB49" i="9"/>
  <c r="EM204" i="9"/>
  <c r="EK204" i="9"/>
  <c r="EO204" i="9"/>
  <c r="U19" i="9"/>
  <c r="D60" i="43" s="1"/>
  <c r="EK203" i="9"/>
  <c r="EK248" i="9" s="1"/>
  <c r="EO203" i="9"/>
  <c r="EQ203" i="9"/>
  <c r="AZ32" i="9"/>
  <c r="BB32" i="9" s="1"/>
  <c r="C261" i="39"/>
  <c r="C262" i="39" s="1"/>
  <c r="A260" i="39"/>
  <c r="B261" i="39" s="1"/>
  <c r="B262" i="39" s="1"/>
  <c r="AS65" i="9"/>
  <c r="BB65" i="9" s="1"/>
  <c r="BB44" i="9"/>
  <c r="R31" i="40" s="1"/>
  <c r="AT62" i="9"/>
  <c r="BB62" i="9" s="1"/>
  <c r="BB41" i="9"/>
  <c r="BA29" i="9"/>
  <c r="BB29" i="9" s="1"/>
  <c r="BB8" i="9"/>
  <c r="AQ16" i="40"/>
  <c r="AP16" i="40"/>
  <c r="AR16" i="40"/>
  <c r="AS16" i="40"/>
  <c r="T77" i="9"/>
  <c r="CI66" i="9" s="1"/>
  <c r="CI67" i="9"/>
  <c r="R84" i="9"/>
  <c r="CG67" i="9" s="1"/>
  <c r="R77" i="9"/>
  <c r="CG66" i="9" s="1"/>
  <c r="A293" i="39"/>
  <c r="B292" i="39" s="1"/>
  <c r="B293" i="39" s="1"/>
  <c r="I293" i="39" s="1"/>
  <c r="DB19" i="9"/>
  <c r="AP24" i="9"/>
  <c r="BB24" i="9" s="1"/>
  <c r="BB17" i="9"/>
  <c r="C296" i="39"/>
  <c r="C297" i="39" s="1"/>
  <c r="I297" i="39" s="1"/>
  <c r="A240" i="39"/>
  <c r="B239" i="39" s="1"/>
  <c r="B240" i="39" s="1"/>
  <c r="EQ216" i="9"/>
  <c r="CO19" i="9"/>
  <c r="AR59" i="9"/>
  <c r="BB59" i="9" s="1"/>
  <c r="BB52" i="9"/>
  <c r="EO293" i="9"/>
  <c r="B47" i="44"/>
  <c r="C47" i="44" s="1"/>
  <c r="B57" i="44"/>
  <c r="C57" i="44" s="1"/>
  <c r="B91" i="44"/>
  <c r="C91" i="44" s="1"/>
  <c r="AQ54" i="9"/>
  <c r="BB54" i="9" s="1"/>
  <c r="BB47" i="9"/>
  <c r="Q131" i="9"/>
  <c r="Q132" i="9"/>
  <c r="S35" i="38"/>
  <c r="EM203" i="9"/>
  <c r="CH67" i="9"/>
  <c r="W24" i="38"/>
  <c r="U35" i="38"/>
  <c r="C45" i="39"/>
  <c r="C46" i="39" s="1"/>
  <c r="I46" i="39" s="1"/>
  <c r="V131" i="9"/>
  <c r="BG66" i="9"/>
  <c r="P77" i="9"/>
  <c r="CE66" i="9" s="1"/>
  <c r="AA77" i="9"/>
  <c r="CP66" i="9" s="1"/>
  <c r="BT214" i="9"/>
  <c r="AF44" i="40" s="1"/>
  <c r="N34" i="38" s="1"/>
  <c r="O34" i="38" s="1"/>
  <c r="E239" i="9"/>
  <c r="AQ69" i="40" s="1"/>
  <c r="D124" i="39" s="1"/>
  <c r="D159" i="39" s="1"/>
  <c r="D160" i="39" s="1"/>
  <c r="I160" i="39" s="1"/>
  <c r="E231" i="9"/>
  <c r="G231" i="9"/>
  <c r="D235" i="9"/>
  <c r="L13" i="3"/>
  <c r="M13" i="3" s="1"/>
  <c r="CG65" i="9"/>
  <c r="S10" i="9"/>
  <c r="BJ67" i="9" s="1"/>
  <c r="CH65" i="9"/>
  <c r="P10" i="9"/>
  <c r="BG67" i="9" s="1"/>
  <c r="R10" i="9"/>
  <c r="BI67" i="9" s="1"/>
  <c r="Z77" i="9"/>
  <c r="CO66" i="9" s="1"/>
  <c r="AF41" i="40"/>
  <c r="N31" i="38" s="1"/>
  <c r="O31" i="38" s="1"/>
  <c r="Y57" i="40"/>
  <c r="C47" i="38" s="1"/>
  <c r="BQ264" i="9"/>
  <c r="BQ319" i="9"/>
  <c r="Z61" i="40" s="1"/>
  <c r="E51" i="38" s="1"/>
  <c r="F51" i="38" s="1"/>
  <c r="AF40" i="40"/>
  <c r="N30" i="38" s="1"/>
  <c r="O30" i="38" s="1"/>
  <c r="AG47" i="40"/>
  <c r="P37" i="38" s="1"/>
  <c r="Q37" i="38" s="1"/>
  <c r="Y58" i="40"/>
  <c r="C48" i="38" s="1"/>
  <c r="CQ337" i="9"/>
  <c r="BQ359" i="9" s="1"/>
  <c r="Y62" i="40" s="1"/>
  <c r="C52" i="38" s="1"/>
  <c r="BM337" i="9"/>
  <c r="BK337" i="9"/>
  <c r="BQ349" i="9" s="1"/>
  <c r="Y52" i="40" s="1"/>
  <c r="C42" i="38" s="1"/>
  <c r="AV337" i="9"/>
  <c r="BQ337" i="9" s="1"/>
  <c r="Y40" i="40" s="1"/>
  <c r="C30" i="38" s="1"/>
  <c r="CR340" i="9"/>
  <c r="CD340" i="9"/>
  <c r="BW340" i="9"/>
  <c r="BV340" i="9"/>
  <c r="BT351" i="9" s="1"/>
  <c r="AG54" i="40" s="1"/>
  <c r="P44" i="38" s="1"/>
  <c r="Q44" i="38" s="1"/>
  <c r="AQ340" i="9"/>
  <c r="CH340" i="9"/>
  <c r="AU340" i="9"/>
  <c r="BT336" i="9" s="1"/>
  <c r="AG39" i="40" s="1"/>
  <c r="P29" i="38" s="1"/>
  <c r="DF337" i="9"/>
  <c r="BQ352" i="9" s="1"/>
  <c r="AQ337" i="9"/>
  <c r="CJ337" i="9"/>
  <c r="BG337" i="9"/>
  <c r="BQ345" i="9" s="1"/>
  <c r="Y48" i="40" s="1"/>
  <c r="C38" i="38" s="1"/>
  <c r="BC337" i="9"/>
  <c r="BQ341" i="9" s="1"/>
  <c r="BB337" i="9"/>
  <c r="BQ340" i="9" s="1"/>
  <c r="AK337" i="9"/>
  <c r="BQ329" i="9" s="1"/>
  <c r="Y32" i="40" s="1"/>
  <c r="CZ340" i="9"/>
  <c r="BT363" i="9" s="1"/>
  <c r="AG66" i="40" s="1"/>
  <c r="P56" i="38" s="1"/>
  <c r="Q56" i="38" s="1"/>
  <c r="CL340" i="9"/>
  <c r="AP340" i="9"/>
  <c r="BJ340" i="9"/>
  <c r="BT348" i="9" s="1"/>
  <c r="AG51" i="40" s="1"/>
  <c r="P41" i="38" s="1"/>
  <c r="CJ340" i="9"/>
  <c r="BT346" i="9" s="1"/>
  <c r="AG49" i="40" s="1"/>
  <c r="P39" i="38" s="1"/>
  <c r="Q39" i="38" s="1"/>
  <c r="CI340" i="9"/>
  <c r="BB340" i="9"/>
  <c r="BT340" i="9" s="1"/>
  <c r="AG43" i="40" s="1"/>
  <c r="P33" i="38" s="1"/>
  <c r="Q33" i="38" s="1"/>
  <c r="CC337" i="9"/>
  <c r="BQ357" i="9" s="1"/>
  <c r="Y60" i="40" s="1"/>
  <c r="C50" i="38" s="1"/>
  <c r="DD337" i="9"/>
  <c r="BQ356" i="9" s="1"/>
  <c r="Y59" i="40" s="1"/>
  <c r="C49" i="38" s="1"/>
  <c r="BY337" i="9"/>
  <c r="BQ353" i="9" s="1"/>
  <c r="Y56" i="40" s="1"/>
  <c r="C46" i="38" s="1"/>
  <c r="BV337" i="9"/>
  <c r="BQ351" i="9" s="1"/>
  <c r="Y54" i="40" s="1"/>
  <c r="C44" i="38" s="1"/>
  <c r="BL337" i="9"/>
  <c r="AT337" i="9"/>
  <c r="BQ335" i="9" s="1"/>
  <c r="Y38" i="40" s="1"/>
  <c r="C28" i="38" s="1"/>
  <c r="AN337" i="9"/>
  <c r="BQ332" i="9" s="1"/>
  <c r="Y35" i="40" s="1"/>
  <c r="C25" i="38" s="1"/>
  <c r="DH340" i="9"/>
  <c r="BT364" i="9" s="1"/>
  <c r="AG67" i="40" s="1"/>
  <c r="P57" i="38" s="1"/>
  <c r="Q57" i="38" s="1"/>
  <c r="CQ340" i="9"/>
  <c r="CC340" i="9"/>
  <c r="BZ340" i="9"/>
  <c r="BT354" i="9" s="1"/>
  <c r="AG57" i="40" s="1"/>
  <c r="P47" i="38" s="1"/>
  <c r="Q47" i="38" s="1"/>
  <c r="CK340" i="9"/>
  <c r="CF340" i="9"/>
  <c r="BC340" i="9"/>
  <c r="AS340" i="9"/>
  <c r="BT334" i="9" s="1"/>
  <c r="AG37" i="40" s="1"/>
  <c r="P27" i="38" s="1"/>
  <c r="AL340" i="9"/>
  <c r="BT330" i="9" s="1"/>
  <c r="AG33" i="40" s="1"/>
  <c r="DH337" i="9"/>
  <c r="BQ364" i="9" s="1"/>
  <c r="Y67" i="40" s="1"/>
  <c r="C57" i="38" s="1"/>
  <c r="CZ337" i="9"/>
  <c r="BQ363" i="9" s="1"/>
  <c r="Y66" i="40" s="1"/>
  <c r="C56" i="38" s="1"/>
  <c r="CV337" i="9"/>
  <c r="BQ361" i="9" s="1"/>
  <c r="Y64" i="40" s="1"/>
  <c r="C54" i="38" s="1"/>
  <c r="CL337" i="9"/>
  <c r="AY337" i="9"/>
  <c r="BI337" i="9"/>
  <c r="BQ347" i="9" s="1"/>
  <c r="Y50" i="40" s="1"/>
  <c r="C40" i="38" s="1"/>
  <c r="BH337" i="9"/>
  <c r="AO337" i="9"/>
  <c r="BQ333" i="9" s="1"/>
  <c r="Y36" i="40" s="1"/>
  <c r="C26" i="38" s="1"/>
  <c r="CT340" i="9"/>
  <c r="BT360" i="9" s="1"/>
  <c r="AG63" i="40" s="1"/>
  <c r="P53" i="38" s="1"/>
  <c r="BM340" i="9"/>
  <c r="BE340" i="9"/>
  <c r="K48" i="43" l="1"/>
  <c r="L48" i="43"/>
  <c r="C345" i="35"/>
  <c r="D43" i="43" s="1"/>
  <c r="E15" i="40"/>
  <c r="E6" i="35" s="1"/>
  <c r="E47" i="35" s="1"/>
  <c r="E48" i="35" s="1"/>
  <c r="C336" i="35" s="1"/>
  <c r="K155" i="43"/>
  <c r="L155" i="43"/>
  <c r="EO338" i="9"/>
  <c r="D574" i="33"/>
  <c r="BJ88" i="9"/>
  <c r="M7" i="2"/>
  <c r="BE76" i="9"/>
  <c r="BE89" i="9" s="1"/>
  <c r="D145" i="33"/>
  <c r="D616" i="33" s="1"/>
  <c r="D144" i="33"/>
  <c r="D567" i="33" s="1"/>
  <c r="D146" i="33"/>
  <c r="D143" i="33"/>
  <c r="K282" i="48"/>
  <c r="L282" i="48"/>
  <c r="I124" i="35"/>
  <c r="C365" i="35" s="1"/>
  <c r="F178" i="37"/>
  <c r="C7" i="2"/>
  <c r="L146" i="43"/>
  <c r="K146" i="43"/>
  <c r="L283" i="48"/>
  <c r="K283" i="48"/>
  <c r="Y44" i="40"/>
  <c r="C34" i="38" s="1"/>
  <c r="B145" i="44"/>
  <c r="C145" i="44" s="1"/>
  <c r="G145" i="44" s="1"/>
  <c r="I324" i="39"/>
  <c r="F272" i="39" s="1"/>
  <c r="C386" i="39" s="1"/>
  <c r="D139" i="43" s="1"/>
  <c r="K139" i="43" s="1"/>
  <c r="I161" i="35"/>
  <c r="I141" i="35"/>
  <c r="I63" i="35"/>
  <c r="D211" i="33"/>
  <c r="C805" i="33" s="1"/>
  <c r="K202" i="48"/>
  <c r="L200" i="35"/>
  <c r="L231" i="35"/>
  <c r="BI88" i="9"/>
  <c r="BI76" i="9"/>
  <c r="BI90" i="9" s="1"/>
  <c r="BN80" i="9"/>
  <c r="BN78" i="9"/>
  <c r="BK82" i="9"/>
  <c r="BG86" i="9"/>
  <c r="BE88" i="9"/>
  <c r="BN86" i="9"/>
  <c r="BL88" i="9"/>
  <c r="BK80" i="9"/>
  <c r="BK90" i="9" s="1"/>
  <c r="BF82" i="9"/>
  <c r="BH78" i="9"/>
  <c r="B31" i="44"/>
  <c r="C31" i="44" s="1"/>
  <c r="D121" i="43"/>
  <c r="L121" i="43" s="1"/>
  <c r="D112" i="43"/>
  <c r="L112" i="43" s="1"/>
  <c r="L117" i="43"/>
  <c r="F185" i="37"/>
  <c r="BT356" i="9"/>
  <c r="AG59" i="40" s="1"/>
  <c r="P49" i="38" s="1"/>
  <c r="Q49" i="38" s="1"/>
  <c r="L222" i="48"/>
  <c r="K222" i="48"/>
  <c r="K200" i="43"/>
  <c r="L200" i="43"/>
  <c r="D207" i="36"/>
  <c r="F207" i="36" s="1"/>
  <c r="D206" i="36"/>
  <c r="D203" i="36"/>
  <c r="D205" i="36"/>
  <c r="F205" i="36" s="1"/>
  <c r="D211" i="36"/>
  <c r="I148" i="35"/>
  <c r="L248" i="35"/>
  <c r="BM82" i="9"/>
  <c r="BH76" i="9"/>
  <c r="BH90" i="9" s="1"/>
  <c r="BH91" i="9" s="1"/>
  <c r="BH92" i="9" s="1"/>
  <c r="CQ67" i="9"/>
  <c r="CQ66" i="9"/>
  <c r="C809" i="33"/>
  <c r="D244" i="43" s="1"/>
  <c r="L244" i="43" s="1"/>
  <c r="BD82" i="9"/>
  <c r="BJ86" i="9"/>
  <c r="BN88" i="9"/>
  <c r="BI78" i="9"/>
  <c r="I7" i="2"/>
  <c r="L196" i="35"/>
  <c r="BL82" i="9"/>
  <c r="BL89" i="9" s="1"/>
  <c r="BD86" i="9"/>
  <c r="BT341" i="9"/>
  <c r="AG44" i="40" s="1"/>
  <c r="P34" i="38" s="1"/>
  <c r="Q34" i="38" s="1"/>
  <c r="BT352" i="9"/>
  <c r="AG55" i="40" s="1"/>
  <c r="P45" i="38" s="1"/>
  <c r="Q45" i="38" s="1"/>
  <c r="EM248" i="9"/>
  <c r="D104" i="43" s="1"/>
  <c r="B141" i="44"/>
  <c r="C141" i="44" s="1"/>
  <c r="G141" i="44" s="1"/>
  <c r="P29" i="40"/>
  <c r="D17" i="36" s="1"/>
  <c r="E146" i="36" s="1"/>
  <c r="EQ338" i="9"/>
  <c r="I167" i="35"/>
  <c r="D202" i="36"/>
  <c r="I137" i="35"/>
  <c r="F175" i="37"/>
  <c r="I62" i="35"/>
  <c r="AO46" i="40"/>
  <c r="B67" i="39" s="1"/>
  <c r="L183" i="35"/>
  <c r="C379" i="35" s="1"/>
  <c r="L194" i="35"/>
  <c r="C364" i="35" s="1"/>
  <c r="D46" i="43" s="1"/>
  <c r="F58" i="38"/>
  <c r="J4" i="38" s="1"/>
  <c r="D91" i="43" s="1"/>
  <c r="K91" i="43" s="1"/>
  <c r="BK84" i="9"/>
  <c r="BL86" i="9"/>
  <c r="L7" i="2"/>
  <c r="BC82" i="9"/>
  <c r="BL80" i="9"/>
  <c r="BH84" i="9"/>
  <c r="BH89" i="9" s="1"/>
  <c r="BF86" i="9"/>
  <c r="BD88" i="9"/>
  <c r="BD89" i="9" s="1"/>
  <c r="BM86" i="9"/>
  <c r="N30" i="40"/>
  <c r="BK86" i="9"/>
  <c r="BK88" i="9"/>
  <c r="BM84" i="9"/>
  <c r="B21" i="44"/>
  <c r="C21" i="44" s="1"/>
  <c r="G21" i="44" s="1"/>
  <c r="BG88" i="9"/>
  <c r="L74" i="43"/>
  <c r="K74" i="43"/>
  <c r="BQ342" i="9"/>
  <c r="Y45" i="40" s="1"/>
  <c r="C35" i="38" s="1"/>
  <c r="D35" i="38" s="1"/>
  <c r="C251" i="37"/>
  <c r="C572" i="36" s="1"/>
  <c r="F174" i="37"/>
  <c r="I64" i="35"/>
  <c r="CX66" i="9"/>
  <c r="CX67" i="9"/>
  <c r="K217" i="48"/>
  <c r="L217" i="48"/>
  <c r="D213" i="33"/>
  <c r="C812" i="33" s="1"/>
  <c r="D247" i="43" s="1"/>
  <c r="D209" i="33"/>
  <c r="D210" i="33"/>
  <c r="L264" i="35"/>
  <c r="U58" i="38"/>
  <c r="J12" i="38" s="1"/>
  <c r="D98" i="43" s="1"/>
  <c r="C344" i="35"/>
  <c r="BI86" i="9"/>
  <c r="BM76" i="9"/>
  <c r="W58" i="38"/>
  <c r="J13" i="38" s="1"/>
  <c r="D99" i="43" s="1"/>
  <c r="D214" i="33"/>
  <c r="L175" i="35"/>
  <c r="C326" i="35" s="1"/>
  <c r="BF78" i="9"/>
  <c r="BF89" i="9" s="1"/>
  <c r="BL84" i="9"/>
  <c r="BJ84" i="9"/>
  <c r="BC76" i="9"/>
  <c r="BC89" i="9" s="1"/>
  <c r="BM88" i="9"/>
  <c r="BJ76" i="9"/>
  <c r="AF43" i="40"/>
  <c r="N33" i="38" s="1"/>
  <c r="O33" i="38" s="1"/>
  <c r="D628" i="33"/>
  <c r="D625" i="33"/>
  <c r="D626" i="33"/>
  <c r="C771" i="33"/>
  <c r="D627" i="33"/>
  <c r="BT358" i="9"/>
  <c r="AG61" i="40" s="1"/>
  <c r="P51" i="38" s="1"/>
  <c r="Q51" i="38" s="1"/>
  <c r="B93" i="44"/>
  <c r="C93" i="44" s="1"/>
  <c r="P28" i="40"/>
  <c r="J325" i="36"/>
  <c r="C517" i="36" s="1"/>
  <c r="C724" i="36" s="1"/>
  <c r="D209" i="36"/>
  <c r="F209" i="36" s="1"/>
  <c r="C882" i="33"/>
  <c r="D268" i="43" s="1"/>
  <c r="L264" i="43"/>
  <c r="B123" i="44"/>
  <c r="C123" i="44" s="1"/>
  <c r="G123" i="44" s="1"/>
  <c r="BM80" i="9"/>
  <c r="BN82" i="9"/>
  <c r="D7" i="2"/>
  <c r="BD80" i="9"/>
  <c r="BM78" i="9"/>
  <c r="BI82" i="9"/>
  <c r="BG84" i="9"/>
  <c r="BE86" i="9"/>
  <c r="BE90" i="9" s="1"/>
  <c r="BE91" i="9" s="1"/>
  <c r="BE92" i="9" s="1"/>
  <c r="BN84" i="9"/>
  <c r="J7" i="2"/>
  <c r="S31" i="40"/>
  <c r="K78" i="43"/>
  <c r="L78" i="43"/>
  <c r="B8" i="41"/>
  <c r="D259" i="48"/>
  <c r="D718" i="33"/>
  <c r="D717" i="33"/>
  <c r="D715" i="33"/>
  <c r="D716" i="33"/>
  <c r="C784" i="33" s="1"/>
  <c r="I164" i="35"/>
  <c r="CV66" i="9"/>
  <c r="CV67" i="9"/>
  <c r="L263" i="43"/>
  <c r="K263" i="43"/>
  <c r="BE84" i="9"/>
  <c r="BD76" i="9"/>
  <c r="BK76" i="9"/>
  <c r="I152" i="35"/>
  <c r="Y43" i="40"/>
  <c r="C33" i="38" s="1"/>
  <c r="BG80" i="9"/>
  <c r="BG89" i="9" s="1"/>
  <c r="BF88" i="9"/>
  <c r="D696" i="33"/>
  <c r="D697" i="33"/>
  <c r="D695" i="33"/>
  <c r="C775" i="33" s="1"/>
  <c r="K61" i="43"/>
  <c r="L61" i="43"/>
  <c r="E201" i="36"/>
  <c r="E214" i="36"/>
  <c r="F214" i="36" s="1"/>
  <c r="C514" i="36" s="1"/>
  <c r="E203" i="36"/>
  <c r="C455" i="36" s="1"/>
  <c r="C653" i="36" s="1"/>
  <c r="E206" i="36"/>
  <c r="F206" i="36" s="1"/>
  <c r="C523" i="36" s="1"/>
  <c r="E211" i="36"/>
  <c r="E209" i="36"/>
  <c r="S58" i="38"/>
  <c r="J11" i="38" s="1"/>
  <c r="D97" i="43" s="1"/>
  <c r="AB132" i="9"/>
  <c r="B175" i="44"/>
  <c r="C175" i="44" s="1"/>
  <c r="I240" i="39"/>
  <c r="EO248" i="9"/>
  <c r="D679" i="33"/>
  <c r="C770" i="33" s="1"/>
  <c r="D215" i="36"/>
  <c r="B83" i="44"/>
  <c r="C83" i="44" s="1"/>
  <c r="N7" i="2"/>
  <c r="BC86" i="9"/>
  <c r="BC84" i="9"/>
  <c r="BE78" i="9"/>
  <c r="BN76" i="9"/>
  <c r="BN90" i="9" s="1"/>
  <c r="BN91" i="9" s="1"/>
  <c r="BN92" i="9" s="1"/>
  <c r="BJ80" i="9"/>
  <c r="BJ89" i="9" s="1"/>
  <c r="BH82" i="9"/>
  <c r="BF84" i="9"/>
  <c r="AS46" i="40"/>
  <c r="F67" i="39" s="1"/>
  <c r="F96" i="39" s="1"/>
  <c r="F97" i="39" s="1"/>
  <c r="BJ82" i="9"/>
  <c r="E7" i="2"/>
  <c r="BC80" i="9"/>
  <c r="BF80" i="9"/>
  <c r="L210" i="48"/>
  <c r="K210" i="48"/>
  <c r="C259" i="37"/>
  <c r="C580" i="36" s="1"/>
  <c r="C661" i="36" s="1"/>
  <c r="D50" i="43" s="1"/>
  <c r="CT66" i="9"/>
  <c r="CT67" i="9"/>
  <c r="L233" i="35"/>
  <c r="M42" i="45"/>
  <c r="K42" i="45"/>
  <c r="L232" i="35"/>
  <c r="C357" i="35" s="1"/>
  <c r="L224" i="35"/>
  <c r="L256" i="35"/>
  <c r="L246" i="35"/>
  <c r="C351" i="35" s="1"/>
  <c r="K270" i="48"/>
  <c r="L270" i="48"/>
  <c r="L227" i="35"/>
  <c r="C354" i="35" s="1"/>
  <c r="K250" i="48"/>
  <c r="L226" i="35"/>
  <c r="C310" i="35" s="1"/>
  <c r="L225" i="35"/>
  <c r="C366" i="35" s="1"/>
  <c r="L301" i="35"/>
  <c r="C362" i="35" s="1"/>
  <c r="L234" i="35"/>
  <c r="M41" i="45"/>
  <c r="K41" i="45"/>
  <c r="L294" i="35"/>
  <c r="C363" i="35" s="1"/>
  <c r="L293" i="35"/>
  <c r="E49" i="35"/>
  <c r="F15" i="40"/>
  <c r="F6" i="35" s="1"/>
  <c r="F47" i="35" s="1"/>
  <c r="F53" i="35" s="1"/>
  <c r="C314" i="35" s="1"/>
  <c r="C53" i="35"/>
  <c r="C311" i="35" s="1"/>
  <c r="C50" i="35"/>
  <c r="C52" i="35"/>
  <c r="C51" i="35"/>
  <c r="C49" i="35"/>
  <c r="B165" i="44"/>
  <c r="C165" i="44" s="1"/>
  <c r="F165" i="44" s="1"/>
  <c r="B173" i="44"/>
  <c r="C173" i="44" s="1"/>
  <c r="F173" i="44" s="1"/>
  <c r="B153" i="44"/>
  <c r="C153" i="44" s="1"/>
  <c r="G153" i="44" s="1"/>
  <c r="B115" i="44"/>
  <c r="C115" i="44" s="1"/>
  <c r="G115" i="44" s="1"/>
  <c r="G52" i="35"/>
  <c r="G49" i="35"/>
  <c r="G48" i="35"/>
  <c r="C338" i="35" s="1"/>
  <c r="G50" i="35"/>
  <c r="G51" i="35"/>
  <c r="G53" i="35"/>
  <c r="C315" i="35" s="1"/>
  <c r="B95" i="44"/>
  <c r="C95" i="44" s="1"/>
  <c r="F95" i="44" s="1"/>
  <c r="B159" i="44"/>
  <c r="C159" i="44" s="1"/>
  <c r="G159" i="44" s="1"/>
  <c r="B167" i="44"/>
  <c r="C167" i="44" s="1"/>
  <c r="G167" i="44" s="1"/>
  <c r="B97" i="44"/>
  <c r="C97" i="44" s="1"/>
  <c r="F97" i="44" s="1"/>
  <c r="F238" i="9"/>
  <c r="AR68" i="40" s="1"/>
  <c r="E123" i="39" s="1"/>
  <c r="E156" i="39" s="1"/>
  <c r="E157" i="39" s="1"/>
  <c r="B131" i="44"/>
  <c r="C131" i="44" s="1"/>
  <c r="F131" i="44" s="1"/>
  <c r="B89" i="44"/>
  <c r="C89" i="44" s="1"/>
  <c r="G89" i="44" s="1"/>
  <c r="B71" i="44"/>
  <c r="C71" i="44" s="1"/>
  <c r="G71" i="44" s="1"/>
  <c r="B51" i="44"/>
  <c r="C51" i="44" s="1"/>
  <c r="G51" i="44" s="1"/>
  <c r="B147" i="44"/>
  <c r="C147" i="44" s="1"/>
  <c r="G147" i="44" s="1"/>
  <c r="B171" i="44"/>
  <c r="C171" i="44" s="1"/>
  <c r="G171" i="44" s="1"/>
  <c r="CC86" i="9"/>
  <c r="AP99" i="9"/>
  <c r="G459" i="44"/>
  <c r="CF82" i="9"/>
  <c r="CK78" i="9"/>
  <c r="CE88" i="9"/>
  <c r="CC97" i="9"/>
  <c r="H13" i="8"/>
  <c r="C13" i="8"/>
  <c r="F453" i="44"/>
  <c r="AO169" i="9"/>
  <c r="F457" i="44"/>
  <c r="CE82" i="9"/>
  <c r="C155" i="37"/>
  <c r="D155" i="37" s="1"/>
  <c r="C157" i="37"/>
  <c r="D157" i="37" s="1"/>
  <c r="CG76" i="9"/>
  <c r="C152" i="37"/>
  <c r="D152" i="37" s="1"/>
  <c r="D238" i="9"/>
  <c r="AP68" i="40" s="1"/>
  <c r="C123" i="39" s="1"/>
  <c r="C156" i="39" s="1"/>
  <c r="C157" i="39" s="1"/>
  <c r="G18" i="37"/>
  <c r="H138" i="37" s="1"/>
  <c r="H144" i="37" s="1"/>
  <c r="G19" i="36"/>
  <c r="H161" i="36" s="1"/>
  <c r="H165" i="36" s="1"/>
  <c r="F471" i="44"/>
  <c r="K183" i="9"/>
  <c r="G297" i="35"/>
  <c r="G299" i="35" s="1"/>
  <c r="C178" i="9"/>
  <c r="F461" i="44"/>
  <c r="AT66" i="40"/>
  <c r="G121" i="39" s="1"/>
  <c r="G150" i="39" s="1"/>
  <c r="G151" i="39" s="1"/>
  <c r="S182" i="9"/>
  <c r="CR84" i="9"/>
  <c r="B59" i="44"/>
  <c r="C59" i="44" s="1"/>
  <c r="F59" i="44" s="1"/>
  <c r="CX76" i="9"/>
  <c r="B181" i="44"/>
  <c r="C181" i="44" s="1"/>
  <c r="G181" i="44" s="1"/>
  <c r="B53" i="44"/>
  <c r="C53" i="44" s="1"/>
  <c r="G53" i="44" s="1"/>
  <c r="B29" i="44"/>
  <c r="C29" i="44" s="1"/>
  <c r="G29" i="44" s="1"/>
  <c r="B137" i="44"/>
  <c r="C137" i="44" s="1"/>
  <c r="G137" i="44" s="1"/>
  <c r="B37" i="44"/>
  <c r="C37" i="44" s="1"/>
  <c r="G37" i="44" s="1"/>
  <c r="CF76" i="9"/>
  <c r="G463" i="44"/>
  <c r="B117" i="44"/>
  <c r="C117" i="44" s="1"/>
  <c r="F117" i="44" s="1"/>
  <c r="B61" i="44"/>
  <c r="C61" i="44" s="1"/>
  <c r="G61" i="44" s="1"/>
  <c r="B75" i="44"/>
  <c r="C75" i="44" s="1"/>
  <c r="F75" i="44" s="1"/>
  <c r="AU165" i="9"/>
  <c r="B177" i="44"/>
  <c r="C177" i="44" s="1"/>
  <c r="F177" i="44" s="1"/>
  <c r="B67" i="44"/>
  <c r="C67" i="44" s="1"/>
  <c r="G67" i="44" s="1"/>
  <c r="B43" i="44"/>
  <c r="C43" i="44" s="1"/>
  <c r="G43" i="44" s="1"/>
  <c r="B77" i="44"/>
  <c r="C77" i="44" s="1"/>
  <c r="F77" i="44" s="1"/>
  <c r="B73" i="44"/>
  <c r="C73" i="44" s="1"/>
  <c r="G73" i="44" s="1"/>
  <c r="B163" i="44"/>
  <c r="C163" i="44" s="1"/>
  <c r="G163" i="44" s="1"/>
  <c r="B39" i="44"/>
  <c r="C39" i="44" s="1"/>
  <c r="G39" i="44" s="1"/>
  <c r="B23" i="44"/>
  <c r="C23" i="44" s="1"/>
  <c r="F23" i="44" s="1"/>
  <c r="B133" i="44"/>
  <c r="C133" i="44" s="1"/>
  <c r="G133" i="44" s="1"/>
  <c r="CL80" i="9"/>
  <c r="B111" i="44"/>
  <c r="C111" i="44" s="1"/>
  <c r="F111" i="44" s="1"/>
  <c r="B55" i="44"/>
  <c r="C55" i="44" s="1"/>
  <c r="F55" i="44" s="1"/>
  <c r="B65" i="44"/>
  <c r="C65" i="44" s="1"/>
  <c r="F65" i="44" s="1"/>
  <c r="AD165" i="9"/>
  <c r="B45" i="44"/>
  <c r="C45" i="44" s="1"/>
  <c r="F45" i="44" s="1"/>
  <c r="B79" i="44"/>
  <c r="C79" i="44" s="1"/>
  <c r="G79" i="44" s="1"/>
  <c r="B157" i="44"/>
  <c r="C157" i="44" s="1"/>
  <c r="G157" i="44" s="1"/>
  <c r="B169" i="44"/>
  <c r="C169" i="44" s="1"/>
  <c r="F169" i="44" s="1"/>
  <c r="B105" i="44"/>
  <c r="C105" i="44" s="1"/>
  <c r="F105" i="44" s="1"/>
  <c r="B135" i="44"/>
  <c r="C135" i="44" s="1"/>
  <c r="F135" i="44" s="1"/>
  <c r="CR80" i="9"/>
  <c r="B155" i="44"/>
  <c r="C155" i="44" s="1"/>
  <c r="F155" i="44" s="1"/>
  <c r="B121" i="44"/>
  <c r="C121" i="44" s="1"/>
  <c r="F121" i="44" s="1"/>
  <c r="B113" i="44"/>
  <c r="C113" i="44" s="1"/>
  <c r="G113" i="44" s="1"/>
  <c r="B183" i="44"/>
  <c r="C183" i="44" s="1"/>
  <c r="G183" i="44" s="1"/>
  <c r="B19" i="44"/>
  <c r="C19" i="44" s="1"/>
  <c r="F19" i="44" s="1"/>
  <c r="B99" i="44"/>
  <c r="C99" i="44" s="1"/>
  <c r="G99" i="44" s="1"/>
  <c r="C20" i="9"/>
  <c r="CF78" i="9"/>
  <c r="B87" i="44"/>
  <c r="C87" i="44" s="1"/>
  <c r="G87" i="44" s="1"/>
  <c r="B25" i="44"/>
  <c r="C25" i="44" s="1"/>
  <c r="F25" i="44" s="1"/>
  <c r="B41" i="44"/>
  <c r="C41" i="44" s="1"/>
  <c r="F41" i="44" s="1"/>
  <c r="Y163" i="9"/>
  <c r="B139" i="44"/>
  <c r="C139" i="44" s="1"/>
  <c r="G139" i="44" s="1"/>
  <c r="B85" i="44"/>
  <c r="C85" i="44" s="1"/>
  <c r="F85" i="44" s="1"/>
  <c r="B27" i="44"/>
  <c r="C27" i="44" s="1"/>
  <c r="G27" i="44" s="1"/>
  <c r="B149" i="44"/>
  <c r="C149" i="44" s="1"/>
  <c r="G149" i="44" s="1"/>
  <c r="B109" i="44"/>
  <c r="C109" i="44" s="1"/>
  <c r="F109" i="44" s="1"/>
  <c r="B129" i="44"/>
  <c r="C129" i="44" s="1"/>
  <c r="G129" i="44" s="1"/>
  <c r="B161" i="44"/>
  <c r="C161" i="44" s="1"/>
  <c r="F161" i="44" s="1"/>
  <c r="B33" i="44"/>
  <c r="C33" i="44" s="1"/>
  <c r="G33" i="44" s="1"/>
  <c r="B125" i="44"/>
  <c r="C125" i="44" s="1"/>
  <c r="G125" i="44" s="1"/>
  <c r="B101" i="44"/>
  <c r="C101" i="44" s="1"/>
  <c r="G101" i="44" s="1"/>
  <c r="B151" i="44"/>
  <c r="C151" i="44" s="1"/>
  <c r="F151" i="44" s="1"/>
  <c r="B179" i="44"/>
  <c r="C179" i="44" s="1"/>
  <c r="F179" i="44" s="1"/>
  <c r="B81" i="44"/>
  <c r="C81" i="44" s="1"/>
  <c r="G81" i="44" s="1"/>
  <c r="CI84" i="9"/>
  <c r="B63" i="44"/>
  <c r="C63" i="44" s="1"/>
  <c r="F63" i="44" s="1"/>
  <c r="B143" i="44"/>
  <c r="C143" i="44" s="1"/>
  <c r="F143" i="44" s="1"/>
  <c r="B35" i="44"/>
  <c r="C35" i="44" s="1"/>
  <c r="G35" i="44" s="1"/>
  <c r="AS165" i="9"/>
  <c r="B119" i="44"/>
  <c r="C119" i="44" s="1"/>
  <c r="G119" i="44" s="1"/>
  <c r="B127" i="44"/>
  <c r="C127" i="44" s="1"/>
  <c r="G127" i="44" s="1"/>
  <c r="B103" i="44"/>
  <c r="C103" i="44" s="1"/>
  <c r="G103" i="44" s="1"/>
  <c r="G469" i="44"/>
  <c r="F469" i="44"/>
  <c r="CS80" i="9"/>
  <c r="K179" i="9"/>
  <c r="AL165" i="9"/>
  <c r="B69" i="44"/>
  <c r="C69" i="44" s="1"/>
  <c r="G467" i="44"/>
  <c r="CU82" i="9"/>
  <c r="AF169" i="9"/>
  <c r="AJ165" i="9"/>
  <c r="I178" i="9"/>
  <c r="F465" i="44"/>
  <c r="F473" i="44"/>
  <c r="CZ88" i="9"/>
  <c r="DA84" i="9"/>
  <c r="R29" i="40"/>
  <c r="F17" i="36" s="1"/>
  <c r="G146" i="36" s="1"/>
  <c r="AJ167" i="9"/>
  <c r="AB165" i="9"/>
  <c r="I184" i="9"/>
  <c r="F451" i="44"/>
  <c r="G451" i="44"/>
  <c r="CR78" i="9"/>
  <c r="CQ86" i="9"/>
  <c r="S167" i="9"/>
  <c r="W163" i="9"/>
  <c r="B107" i="44"/>
  <c r="C107" i="44" s="1"/>
  <c r="CP88" i="9"/>
  <c r="C176" i="9"/>
  <c r="CP86" i="9"/>
  <c r="CU88" i="9"/>
  <c r="CQ78" i="9"/>
  <c r="G283" i="35"/>
  <c r="G285" i="35" s="1"/>
  <c r="CP80" i="9"/>
  <c r="CZ76" i="9"/>
  <c r="CU76" i="9"/>
  <c r="CS84" i="9"/>
  <c r="CQ84" i="9"/>
  <c r="CW86" i="9"/>
  <c r="K180" i="9"/>
  <c r="E13" i="8"/>
  <c r="F21" i="44"/>
  <c r="CX80" i="9"/>
  <c r="CP82" i="9"/>
  <c r="CV84" i="9"/>
  <c r="CQ88" i="9"/>
  <c r="CR82" i="9"/>
  <c r="CX84" i="9"/>
  <c r="K181" i="9"/>
  <c r="L13" i="8"/>
  <c r="C42" i="39"/>
  <c r="C43" i="39" s="1"/>
  <c r="CS86" i="9"/>
  <c r="AO33" i="40"/>
  <c r="C56" i="39" s="1"/>
  <c r="B382" i="39" s="1"/>
  <c r="A135" i="43" s="1"/>
  <c r="CQ82" i="9"/>
  <c r="CY88" i="9"/>
  <c r="CR86" i="9"/>
  <c r="CP78" i="9"/>
  <c r="CY86" i="9"/>
  <c r="A23" i="48"/>
  <c r="O169" i="9"/>
  <c r="U165" i="9"/>
  <c r="S165" i="9"/>
  <c r="M16" i="3"/>
  <c r="R184" i="9" s="1"/>
  <c r="J167" i="9"/>
  <c r="D165" i="9"/>
  <c r="B165" i="9"/>
  <c r="G238" i="9"/>
  <c r="AS68" i="40" s="1"/>
  <c r="F123" i="39" s="1"/>
  <c r="F156" i="39" s="1"/>
  <c r="F157" i="39" s="1"/>
  <c r="AP24" i="40"/>
  <c r="C12" i="39" s="1"/>
  <c r="B167" i="9"/>
  <c r="H163" i="9"/>
  <c r="F163" i="9"/>
  <c r="S184" i="9"/>
  <c r="L29" i="48"/>
  <c r="AW169" i="9"/>
  <c r="AQ167" i="9"/>
  <c r="AO167" i="9"/>
  <c r="CF86" i="9"/>
  <c r="CH88" i="9"/>
  <c r="CK88" i="9"/>
  <c r="CG84" i="9"/>
  <c r="CH78" i="9"/>
  <c r="AS167" i="9"/>
  <c r="AY163" i="9"/>
  <c r="AF163" i="9"/>
  <c r="CC78" i="9"/>
  <c r="CM84" i="9"/>
  <c r="CN76" i="9"/>
  <c r="S187" i="9"/>
  <c r="AF165" i="9"/>
  <c r="AQ163" i="9"/>
  <c r="D161" i="9"/>
  <c r="S161" i="9"/>
  <c r="CO167" i="9"/>
  <c r="CL84" i="9"/>
  <c r="CN86" i="9"/>
  <c r="CD88" i="9"/>
  <c r="CH76" i="9"/>
  <c r="CC76" i="9"/>
  <c r="CM80" i="9"/>
  <c r="CJ82" i="9"/>
  <c r="CG82" i="9"/>
  <c r="B40" i="8"/>
  <c r="CG134" i="9" s="1"/>
  <c r="CJ78" i="9"/>
  <c r="AO165" i="9"/>
  <c r="AJ163" i="9"/>
  <c r="S163" i="9"/>
  <c r="B163" i="9"/>
  <c r="AU161" i="9"/>
  <c r="AD161" i="9"/>
  <c r="L169" i="9"/>
  <c r="BI161" i="9"/>
  <c r="AS161" i="9"/>
  <c r="O161" i="9"/>
  <c r="J169" i="9"/>
  <c r="L88" i="48"/>
  <c r="G234" i="9"/>
  <c r="AS48" i="40" s="1"/>
  <c r="F69" i="39" s="1"/>
  <c r="F102" i="39" s="1"/>
  <c r="F103" i="39" s="1"/>
  <c r="AU30" i="40"/>
  <c r="CO163" i="9"/>
  <c r="E238" i="9"/>
  <c r="AQ68" i="40" s="1"/>
  <c r="D123" i="39" s="1"/>
  <c r="D156" i="39" s="1"/>
  <c r="D157" i="39" s="1"/>
  <c r="CN80" i="9"/>
  <c r="CE80" i="9"/>
  <c r="CK84" i="9"/>
  <c r="AH163" i="9"/>
  <c r="O163" i="9"/>
  <c r="CL88" i="9"/>
  <c r="CK82" i="9"/>
  <c r="CH82" i="9"/>
  <c r="BI89" i="9"/>
  <c r="CD76" i="9"/>
  <c r="CE78" i="9"/>
  <c r="CF88" i="9"/>
  <c r="CJ76" i="9"/>
  <c r="CE76" i="9"/>
  <c r="CN82" i="9"/>
  <c r="CK80" i="9"/>
  <c r="CH80" i="9"/>
  <c r="CC84" i="9"/>
  <c r="CK76" i="9"/>
  <c r="AS163" i="9"/>
  <c r="AB163" i="9"/>
  <c r="W161" i="9"/>
  <c r="F161" i="9"/>
  <c r="AL169" i="9"/>
  <c r="U169" i="9"/>
  <c r="D169" i="9"/>
  <c r="AO161" i="9"/>
  <c r="AJ169" i="9"/>
  <c r="S169" i="9"/>
  <c r="B169" i="9"/>
  <c r="C204" i="39"/>
  <c r="C205" i="39" s="1"/>
  <c r="CG78" i="9"/>
  <c r="CK86" i="9"/>
  <c r="CJ86" i="9"/>
  <c r="CD84" i="9"/>
  <c r="CL76" i="9"/>
  <c r="I161" i="9"/>
  <c r="K163" i="9"/>
  <c r="K165" i="9"/>
  <c r="L167" i="9"/>
  <c r="M169" i="9"/>
  <c r="Z161" i="9"/>
  <c r="P165" i="9"/>
  <c r="P167" i="9"/>
  <c r="Q169" i="9"/>
  <c r="AE161" i="9"/>
  <c r="AE163" i="9"/>
  <c r="AG165" i="9"/>
  <c r="AG167" i="9"/>
  <c r="AH169" i="9"/>
  <c r="AV161" i="9"/>
  <c r="AV163" i="9"/>
  <c r="AX165" i="9"/>
  <c r="AX167" i="9"/>
  <c r="AY169" i="9"/>
  <c r="BK161" i="9"/>
  <c r="BG163" i="9"/>
  <c r="BC165" i="9"/>
  <c r="BK165" i="9"/>
  <c r="BG167" i="9"/>
  <c r="BC169" i="9"/>
  <c r="BK169" i="9"/>
  <c r="BT161" i="9"/>
  <c r="BP163" i="9"/>
  <c r="BX163" i="9"/>
  <c r="BT165" i="9"/>
  <c r="BP167" i="9"/>
  <c r="BX167" i="9"/>
  <c r="BT169" i="9"/>
  <c r="CC161" i="9"/>
  <c r="CK161" i="9"/>
  <c r="CG163" i="9"/>
  <c r="CC165" i="9"/>
  <c r="CK165" i="9"/>
  <c r="K161" i="9"/>
  <c r="L163" i="9"/>
  <c r="M165" i="9"/>
  <c r="M167" i="9"/>
  <c r="P161" i="9"/>
  <c r="P163" i="9"/>
  <c r="Q165" i="9"/>
  <c r="R167" i="9"/>
  <c r="R169" i="9"/>
  <c r="AG161" i="9"/>
  <c r="AG163" i="9"/>
  <c r="AH165" i="9"/>
  <c r="AI167" i="9"/>
  <c r="AI169" i="9"/>
  <c r="AX161" i="9"/>
  <c r="AX163" i="9"/>
  <c r="AY165" i="9"/>
  <c r="AZ167" i="9"/>
  <c r="AZ169" i="9"/>
  <c r="BL161" i="9"/>
  <c r="BH163" i="9"/>
  <c r="BD165" i="9"/>
  <c r="BL165" i="9"/>
  <c r="BH167" i="9"/>
  <c r="BD169" i="9"/>
  <c r="BL169" i="9"/>
  <c r="BU161" i="9"/>
  <c r="BQ163" i="9"/>
  <c r="BY163" i="9"/>
  <c r="BU165" i="9"/>
  <c r="BQ167" i="9"/>
  <c r="BY167" i="9"/>
  <c r="BU169" i="9"/>
  <c r="CD161" i="9"/>
  <c r="CL161" i="9"/>
  <c r="CH163" i="9"/>
  <c r="CD165" i="9"/>
  <c r="CL165" i="9"/>
  <c r="CH167" i="9"/>
  <c r="M161" i="9"/>
  <c r="M163" i="9"/>
  <c r="C167" i="9"/>
  <c r="C169" i="9"/>
  <c r="Q161" i="9"/>
  <c r="R163" i="9"/>
  <c r="R165" i="9"/>
  <c r="T167" i="9"/>
  <c r="T169" i="9"/>
  <c r="AH161" i="9"/>
  <c r="AI163" i="9"/>
  <c r="AI165" i="9"/>
  <c r="AK167" i="9"/>
  <c r="AK169" i="9"/>
  <c r="AY161" i="9"/>
  <c r="AZ163" i="9"/>
  <c r="AZ165" i="9"/>
  <c r="AP169" i="9"/>
  <c r="BC161" i="9"/>
  <c r="BM161" i="9"/>
  <c r="BI163" i="9"/>
  <c r="BE165" i="9"/>
  <c r="BM165" i="9"/>
  <c r="BI167" i="9"/>
  <c r="BE169" i="9"/>
  <c r="BM169" i="9"/>
  <c r="BV161" i="9"/>
  <c r="BR163" i="9"/>
  <c r="BZ163" i="9"/>
  <c r="BV165" i="9"/>
  <c r="BR167" i="9"/>
  <c r="BZ167" i="9"/>
  <c r="BV169" i="9"/>
  <c r="CE161" i="9"/>
  <c r="CM161" i="9"/>
  <c r="CI163" i="9"/>
  <c r="CE165" i="9"/>
  <c r="CM165" i="9"/>
  <c r="CI167" i="9"/>
  <c r="B21" i="9"/>
  <c r="C163" i="9"/>
  <c r="C165" i="9"/>
  <c r="D167" i="9"/>
  <c r="E169" i="9"/>
  <c r="R161" i="9"/>
  <c r="T163" i="9"/>
  <c r="T165" i="9"/>
  <c r="U167" i="9"/>
  <c r="V169" i="9"/>
  <c r="AI161" i="9"/>
  <c r="AK163" i="9"/>
  <c r="AK165" i="9"/>
  <c r="AL167" i="9"/>
  <c r="AM169" i="9"/>
  <c r="AZ161" i="9"/>
  <c r="AP165" i="9"/>
  <c r="AP167" i="9"/>
  <c r="AQ169" i="9"/>
  <c r="BD161" i="9"/>
  <c r="BB163" i="9"/>
  <c r="BJ163" i="9"/>
  <c r="BF165" i="9"/>
  <c r="BB167" i="9"/>
  <c r="BJ167" i="9"/>
  <c r="BF169" i="9"/>
  <c r="BB161" i="9"/>
  <c r="BW161" i="9"/>
  <c r="BS163" i="9"/>
  <c r="BO165" i="9"/>
  <c r="BW165" i="9"/>
  <c r="BS167" i="9"/>
  <c r="BO169" i="9"/>
  <c r="BW169" i="9"/>
  <c r="CF161" i="9"/>
  <c r="CB163" i="9"/>
  <c r="CJ163" i="9"/>
  <c r="CF165" i="9"/>
  <c r="CB167" i="9"/>
  <c r="CJ167" i="9"/>
  <c r="CF169" i="9"/>
  <c r="CB161" i="9"/>
  <c r="E161" i="9"/>
  <c r="G165" i="9"/>
  <c r="H169" i="9"/>
  <c r="V163" i="9"/>
  <c r="X167" i="9"/>
  <c r="AM161" i="9"/>
  <c r="AC167" i="9"/>
  <c r="AQ161" i="9"/>
  <c r="AR165" i="9"/>
  <c r="AT169" i="9"/>
  <c r="BD163" i="9"/>
  <c r="BH165" i="9"/>
  <c r="BL167" i="9"/>
  <c r="BQ161" i="9"/>
  <c r="G161" i="9"/>
  <c r="H165" i="9"/>
  <c r="I169" i="9"/>
  <c r="X163" i="9"/>
  <c r="Z167" i="9"/>
  <c r="AC163" i="9"/>
  <c r="AD167" i="9"/>
  <c r="AR161" i="9"/>
  <c r="AT165" i="9"/>
  <c r="AV169" i="9"/>
  <c r="BE163" i="9"/>
  <c r="BI165" i="9"/>
  <c r="BM167" i="9"/>
  <c r="BR161" i="9"/>
  <c r="BV163" i="9"/>
  <c r="BZ165" i="9"/>
  <c r="BR169" i="9"/>
  <c r="CI161" i="9"/>
  <c r="CM163" i="9"/>
  <c r="CE167" i="9"/>
  <c r="CD169" i="9"/>
  <c r="CM169" i="9"/>
  <c r="CW161" i="9"/>
  <c r="CT163" i="9"/>
  <c r="CQ165" i="9"/>
  <c r="CY165" i="9"/>
  <c r="H161" i="9"/>
  <c r="I165" i="9"/>
  <c r="K169" i="9"/>
  <c r="Z163" i="9"/>
  <c r="P169" i="9"/>
  <c r="AD163" i="9"/>
  <c r="AE167" i="9"/>
  <c r="AT161" i="9"/>
  <c r="AV165" i="9"/>
  <c r="AX169" i="9"/>
  <c r="BF163" i="9"/>
  <c r="BJ165" i="9"/>
  <c r="BB169" i="9"/>
  <c r="BS161" i="9"/>
  <c r="BW163" i="9"/>
  <c r="BO167" i="9"/>
  <c r="BS169" i="9"/>
  <c r="CJ161" i="9"/>
  <c r="CB165" i="9"/>
  <c r="CF167" i="9"/>
  <c r="CE169" i="9"/>
  <c r="CP161" i="9"/>
  <c r="CX161" i="9"/>
  <c r="CU163" i="9"/>
  <c r="CR165" i="9"/>
  <c r="CZ165" i="9"/>
  <c r="CW167" i="9"/>
  <c r="CT169" i="9"/>
  <c r="DD161" i="9"/>
  <c r="DL161" i="9"/>
  <c r="DH163" i="9"/>
  <c r="DD165" i="9"/>
  <c r="DL165" i="9"/>
  <c r="DH167" i="9"/>
  <c r="DD169" i="9"/>
  <c r="DL169" i="9"/>
  <c r="DU161" i="9"/>
  <c r="DQ163" i="9"/>
  <c r="DY163" i="9"/>
  <c r="DU165" i="9"/>
  <c r="DQ167" i="9"/>
  <c r="DY167" i="9"/>
  <c r="DU169" i="9"/>
  <c r="ED161" i="9"/>
  <c r="EL161" i="9"/>
  <c r="EH163" i="9"/>
  <c r="ED165" i="9"/>
  <c r="EL165" i="9"/>
  <c r="EH167" i="9"/>
  <c r="ED169" i="9"/>
  <c r="EL169" i="9"/>
  <c r="EU161" i="9"/>
  <c r="EQ163" i="9"/>
  <c r="EY163" i="9"/>
  <c r="EU165" i="9"/>
  <c r="EQ167" i="9"/>
  <c r="EY167" i="9"/>
  <c r="EU169" i="9"/>
  <c r="D150" i="9"/>
  <c r="L150" i="9"/>
  <c r="H152" i="9"/>
  <c r="D154" i="9"/>
  <c r="L154" i="9"/>
  <c r="H156" i="9"/>
  <c r="E167" i="9"/>
  <c r="Y161" i="9"/>
  <c r="Y169" i="9"/>
  <c r="AM165" i="9"/>
  <c r="AT163" i="9"/>
  <c r="BF161" i="9"/>
  <c r="BB165" i="9"/>
  <c r="BH169" i="9"/>
  <c r="BT163" i="9"/>
  <c r="BT167" i="9"/>
  <c r="BZ169" i="9"/>
  <c r="CK163" i="9"/>
  <c r="CG167" i="9"/>
  <c r="CI169" i="9"/>
  <c r="CU161" i="9"/>
  <c r="CV163" i="9"/>
  <c r="CU165" i="9"/>
  <c r="CT167" i="9"/>
  <c r="CR169" i="9"/>
  <c r="DC161" i="9"/>
  <c r="DM161" i="9"/>
  <c r="DJ163" i="9"/>
  <c r="DG165" i="9"/>
  <c r="DD167" i="9"/>
  <c r="DM167" i="9"/>
  <c r="DJ169" i="9"/>
  <c r="DT161" i="9"/>
  <c r="DR163" i="9"/>
  <c r="DO165" i="9"/>
  <c r="DX165" i="9"/>
  <c r="DU167" i="9"/>
  <c r="DR169" i="9"/>
  <c r="DO161" i="9"/>
  <c r="EK161" i="9"/>
  <c r="EI163" i="9"/>
  <c r="EF165" i="9"/>
  <c r="EC167" i="9"/>
  <c r="EL167" i="9"/>
  <c r="EI169" i="9"/>
  <c r="ES161" i="9"/>
  <c r="EP163" i="9"/>
  <c r="EZ163" i="9"/>
  <c r="EW165" i="9"/>
  <c r="ET167" i="9"/>
  <c r="EQ169" i="9"/>
  <c r="EZ169" i="9"/>
  <c r="J150" i="9"/>
  <c r="G152" i="9"/>
  <c r="E154" i="9"/>
  <c r="B156" i="9"/>
  <c r="K156" i="9"/>
  <c r="G158" i="9"/>
  <c r="P150" i="9"/>
  <c r="X150" i="9"/>
  <c r="T152" i="9"/>
  <c r="P154" i="9"/>
  <c r="X154" i="9"/>
  <c r="T156" i="9"/>
  <c r="P158" i="9"/>
  <c r="X158" i="9"/>
  <c r="AG150" i="9"/>
  <c r="AC152" i="9"/>
  <c r="AK152" i="9"/>
  <c r="AG154" i="9"/>
  <c r="AC156" i="9"/>
  <c r="AK156" i="9"/>
  <c r="AG158" i="9"/>
  <c r="AP150" i="9"/>
  <c r="AX150" i="9"/>
  <c r="AT152" i="9"/>
  <c r="AP154" i="9"/>
  <c r="AX154" i="9"/>
  <c r="AT156" i="9"/>
  <c r="AP158" i="9"/>
  <c r="AX158" i="9"/>
  <c r="BG150" i="9"/>
  <c r="BC152" i="9"/>
  <c r="BK152" i="9"/>
  <c r="BG154" i="9"/>
  <c r="BC156" i="9"/>
  <c r="BK156" i="9"/>
  <c r="BG158" i="9"/>
  <c r="BP150" i="9"/>
  <c r="BX150" i="9"/>
  <c r="BT152" i="9"/>
  <c r="BP154" i="9"/>
  <c r="BX154" i="9"/>
  <c r="BT156" i="9"/>
  <c r="BP158" i="9"/>
  <c r="BX158" i="9"/>
  <c r="CG150" i="9"/>
  <c r="CC152" i="9"/>
  <c r="CK152" i="9"/>
  <c r="CG154" i="9"/>
  <c r="CC156" i="9"/>
  <c r="G167" i="9"/>
  <c r="U163" i="9"/>
  <c r="Z169" i="9"/>
  <c r="AM167" i="9"/>
  <c r="AU163" i="9"/>
  <c r="BG161" i="9"/>
  <c r="BG165" i="9"/>
  <c r="BI169" i="9"/>
  <c r="BU163" i="9"/>
  <c r="BU167" i="9"/>
  <c r="BO161" i="9"/>
  <c r="CL163" i="9"/>
  <c r="CK167" i="9"/>
  <c r="CJ169" i="9"/>
  <c r="CV161" i="9"/>
  <c r="CW163" i="9"/>
  <c r="CV165" i="9"/>
  <c r="CU167" i="9"/>
  <c r="CS169" i="9"/>
  <c r="DE161" i="9"/>
  <c r="DB163" i="9"/>
  <c r="DK163" i="9"/>
  <c r="DH165" i="9"/>
  <c r="DE167" i="9"/>
  <c r="DB169" i="9"/>
  <c r="DK169" i="9"/>
  <c r="DV161" i="9"/>
  <c r="DS163" i="9"/>
  <c r="DP165" i="9"/>
  <c r="DY165" i="9"/>
  <c r="DV167" i="9"/>
  <c r="DS169" i="9"/>
  <c r="EC161" i="9"/>
  <c r="EM161" i="9"/>
  <c r="EJ163" i="9"/>
  <c r="EG165" i="9"/>
  <c r="ED167" i="9"/>
  <c r="EM167" i="9"/>
  <c r="EJ169" i="9"/>
  <c r="ET161" i="9"/>
  <c r="ER163" i="9"/>
  <c r="EO165" i="9"/>
  <c r="EX165" i="9"/>
  <c r="EU167" i="9"/>
  <c r="ER169" i="9"/>
  <c r="EO161" i="9"/>
  <c r="K150" i="9"/>
  <c r="I152" i="9"/>
  <c r="F154" i="9"/>
  <c r="C156" i="9"/>
  <c r="L156" i="9"/>
  <c r="H158" i="9"/>
  <c r="Q150" i="9"/>
  <c r="Y150" i="9"/>
  <c r="U152" i="9"/>
  <c r="Q154" i="9"/>
  <c r="Y154" i="9"/>
  <c r="U156" i="9"/>
  <c r="Q158" i="9"/>
  <c r="Y158" i="9"/>
  <c r="AH150" i="9"/>
  <c r="AD152" i="9"/>
  <c r="AL152" i="9"/>
  <c r="AH154" i="9"/>
  <c r="AD156" i="9"/>
  <c r="AL156" i="9"/>
  <c r="AH158" i="9"/>
  <c r="AQ150" i="9"/>
  <c r="AY150" i="9"/>
  <c r="AU152" i="9"/>
  <c r="AQ154" i="9"/>
  <c r="AY154" i="9"/>
  <c r="AU156" i="9"/>
  <c r="AQ158" i="9"/>
  <c r="AY158" i="9"/>
  <c r="BH150" i="9"/>
  <c r="C161" i="9"/>
  <c r="I167" i="9"/>
  <c r="V165" i="9"/>
  <c r="AC161" i="9"/>
  <c r="AC169" i="9"/>
  <c r="AQ165" i="9"/>
  <c r="BH161" i="9"/>
  <c r="BC167" i="9"/>
  <c r="BJ169" i="9"/>
  <c r="BP165" i="9"/>
  <c r="BV167" i="9"/>
  <c r="CG161" i="9"/>
  <c r="CG165" i="9"/>
  <c r="CL167" i="9"/>
  <c r="CK169" i="9"/>
  <c r="CY161" i="9"/>
  <c r="CX163" i="9"/>
  <c r="CW165" i="9"/>
  <c r="CV167" i="9"/>
  <c r="CU169" i="9"/>
  <c r="DF161" i="9"/>
  <c r="DC163" i="9"/>
  <c r="DL163" i="9"/>
  <c r="DI165" i="9"/>
  <c r="DF167" i="9"/>
  <c r="DC169" i="9"/>
  <c r="DM169" i="9"/>
  <c r="DW161" i="9"/>
  <c r="DT163" i="9"/>
  <c r="DQ165" i="9"/>
  <c r="DZ165" i="9"/>
  <c r="DW167" i="9"/>
  <c r="DT169" i="9"/>
  <c r="EE161" i="9"/>
  <c r="EB163" i="9"/>
  <c r="EK163" i="9"/>
  <c r="EH165" i="9"/>
  <c r="EE167" i="9"/>
  <c r="EB169" i="9"/>
  <c r="EK169" i="9"/>
  <c r="EV161" i="9"/>
  <c r="ES163" i="9"/>
  <c r="EP165" i="9"/>
  <c r="EY165" i="9"/>
  <c r="EV167" i="9"/>
  <c r="ES169" i="9"/>
  <c r="C150" i="9"/>
  <c r="M150" i="9"/>
  <c r="J152" i="9"/>
  <c r="G154" i="9"/>
  <c r="D156" i="9"/>
  <c r="M156" i="9"/>
  <c r="I158" i="9"/>
  <c r="R150" i="9"/>
  <c r="Z150" i="9"/>
  <c r="V152" i="9"/>
  <c r="R154" i="9"/>
  <c r="Z154" i="9"/>
  <c r="V156" i="9"/>
  <c r="R158" i="9"/>
  <c r="Z158" i="9"/>
  <c r="AI150" i="9"/>
  <c r="AE152" i="9"/>
  <c r="AM152" i="9"/>
  <c r="AI154" i="9"/>
  <c r="AE156" i="9"/>
  <c r="AM156" i="9"/>
  <c r="AI158" i="9"/>
  <c r="AR150" i="9"/>
  <c r="AZ150" i="9"/>
  <c r="AV152" i="9"/>
  <c r="AR154" i="9"/>
  <c r="AZ154" i="9"/>
  <c r="AV156" i="9"/>
  <c r="D163" i="9"/>
  <c r="K167" i="9"/>
  <c r="X165" i="9"/>
  <c r="AK161" i="9"/>
  <c r="AE169" i="9"/>
  <c r="AR167" i="9"/>
  <c r="BJ161" i="9"/>
  <c r="BD167" i="9"/>
  <c r="BP161" i="9"/>
  <c r="BQ165" i="9"/>
  <c r="BW167" i="9"/>
  <c r="CH161" i="9"/>
  <c r="CH165" i="9"/>
  <c r="CM167" i="9"/>
  <c r="CL169" i="9"/>
  <c r="CZ161" i="9"/>
  <c r="CY163" i="9"/>
  <c r="CX165" i="9"/>
  <c r="CX167" i="9"/>
  <c r="CV169" i="9"/>
  <c r="DG161" i="9"/>
  <c r="DD163" i="9"/>
  <c r="DM163" i="9"/>
  <c r="DJ165" i="9"/>
  <c r="DG167" i="9"/>
  <c r="DE169" i="9"/>
  <c r="DB161" i="9"/>
  <c r="DX161" i="9"/>
  <c r="DU163" i="9"/>
  <c r="DR165" i="9"/>
  <c r="DO167" i="9"/>
  <c r="DX167" i="9"/>
  <c r="DV169" i="9"/>
  <c r="EF161" i="9"/>
  <c r="EC163" i="9"/>
  <c r="EL163" i="9"/>
  <c r="EI165" i="9"/>
  <c r="EF167" i="9"/>
  <c r="EC169" i="9"/>
  <c r="EM169" i="9"/>
  <c r="EW161" i="9"/>
  <c r="ET163" i="9"/>
  <c r="EQ165" i="9"/>
  <c r="EZ165" i="9"/>
  <c r="EW167" i="9"/>
  <c r="ET169" i="9"/>
  <c r="E150" i="9"/>
  <c r="B152" i="9"/>
  <c r="K152" i="9"/>
  <c r="H154" i="9"/>
  <c r="E156" i="9"/>
  <c r="B158" i="9"/>
  <c r="J158" i="9"/>
  <c r="S150" i="9"/>
  <c r="O152" i="9"/>
  <c r="W152" i="9"/>
  <c r="S154" i="9"/>
  <c r="O156" i="9"/>
  <c r="W156" i="9"/>
  <c r="S158" i="9"/>
  <c r="O150" i="9"/>
  <c r="AJ150" i="9"/>
  <c r="AF152" i="9"/>
  <c r="AB154" i="9"/>
  <c r="AJ154" i="9"/>
  <c r="AF156" i="9"/>
  <c r="AB158" i="9"/>
  <c r="AJ158" i="9"/>
  <c r="AS150" i="9"/>
  <c r="AO152" i="9"/>
  <c r="AW152" i="9"/>
  <c r="AS154" i="9"/>
  <c r="AO156" i="9"/>
  <c r="AW156" i="9"/>
  <c r="AS158" i="9"/>
  <c r="AO150" i="9"/>
  <c r="BJ150" i="9"/>
  <c r="BF152" i="9"/>
  <c r="BB154" i="9"/>
  <c r="BJ154" i="9"/>
  <c r="BF156" i="9"/>
  <c r="BB158" i="9"/>
  <c r="BJ158" i="9"/>
  <c r="BS150" i="9"/>
  <c r="BO152" i="9"/>
  <c r="BW152" i="9"/>
  <c r="BS154" i="9"/>
  <c r="BO156" i="9"/>
  <c r="BW156" i="9"/>
  <c r="BS158" i="9"/>
  <c r="BO150" i="9"/>
  <c r="CJ150" i="9"/>
  <c r="CF152" i="9"/>
  <c r="CB154" i="9"/>
  <c r="CJ154" i="9"/>
  <c r="CF156" i="9"/>
  <c r="CB158" i="9"/>
  <c r="CJ158" i="9"/>
  <c r="CS150" i="9"/>
  <c r="CO152" i="9"/>
  <c r="CW152" i="9"/>
  <c r="CS154" i="9"/>
  <c r="CO156" i="9"/>
  <c r="CW156" i="9"/>
  <c r="CS158" i="9"/>
  <c r="DC150" i="9"/>
  <c r="DK150" i="9"/>
  <c r="DG152" i="9"/>
  <c r="DC154" i="9"/>
  <c r="DK154" i="9"/>
  <c r="DG156" i="9"/>
  <c r="DC158" i="9"/>
  <c r="DK158" i="9"/>
  <c r="DT150" i="9"/>
  <c r="DP152" i="9"/>
  <c r="DX152" i="9"/>
  <c r="DT154" i="9"/>
  <c r="DP156" i="9"/>
  <c r="DX156" i="9"/>
  <c r="DT158" i="9"/>
  <c r="EC150" i="9"/>
  <c r="EK150" i="9"/>
  <c r="EG152" i="9"/>
  <c r="E165" i="9"/>
  <c r="X169" i="9"/>
  <c r="AR163" i="9"/>
  <c r="BM163" i="9"/>
  <c r="BO163" i="9"/>
  <c r="BY169" i="9"/>
  <c r="CD167" i="9"/>
  <c r="CT161" i="9"/>
  <c r="CT165" i="9"/>
  <c r="CQ169" i="9"/>
  <c r="DK161" i="9"/>
  <c r="DF165" i="9"/>
  <c r="DL167" i="9"/>
  <c r="DS161" i="9"/>
  <c r="DZ163" i="9"/>
  <c r="DT167" i="9"/>
  <c r="DZ169" i="9"/>
  <c r="EG163" i="9"/>
  <c r="EB167" i="9"/>
  <c r="EH169" i="9"/>
  <c r="EO163" i="9"/>
  <c r="EV165" i="9"/>
  <c r="EP169" i="9"/>
  <c r="I150" i="9"/>
  <c r="C154" i="9"/>
  <c r="J156" i="9"/>
  <c r="B150" i="9"/>
  <c r="S152" i="9"/>
  <c r="W154" i="9"/>
  <c r="O158" i="9"/>
  <c r="AF150" i="9"/>
  <c r="AJ152" i="9"/>
  <c r="AB156" i="9"/>
  <c r="AF158" i="9"/>
  <c r="AW150" i="9"/>
  <c r="AO154" i="9"/>
  <c r="AS156" i="9"/>
  <c r="AV158" i="9"/>
  <c r="BK150" i="9"/>
  <c r="BI152" i="9"/>
  <c r="BH154" i="9"/>
  <c r="BG156" i="9"/>
  <c r="BE158" i="9"/>
  <c r="BQ150" i="9"/>
  <c r="BP152" i="9"/>
  <c r="BZ152" i="9"/>
  <c r="BY154" i="9"/>
  <c r="BX156" i="9"/>
  <c r="BV158" i="9"/>
  <c r="CH150" i="9"/>
  <c r="CG152" i="9"/>
  <c r="CE154" i="9"/>
  <c r="CD156" i="9"/>
  <c r="CM156" i="9"/>
  <c r="CK158" i="9"/>
  <c r="CU150" i="9"/>
  <c r="CR152" i="9"/>
  <c r="CO154" i="9"/>
  <c r="CX154" i="9"/>
  <c r="CU156" i="9"/>
  <c r="CR158" i="9"/>
  <c r="DD150" i="9"/>
  <c r="DM150" i="9"/>
  <c r="DJ152" i="9"/>
  <c r="DG154" i="9"/>
  <c r="DD156" i="9"/>
  <c r="DM156" i="9"/>
  <c r="DJ158" i="9"/>
  <c r="DU150" i="9"/>
  <c r="DR152" i="9"/>
  <c r="DO154" i="9"/>
  <c r="DX154" i="9"/>
  <c r="DU156" i="9"/>
  <c r="DR158" i="9"/>
  <c r="DO150" i="9"/>
  <c r="EL150" i="9"/>
  <c r="EI152" i="9"/>
  <c r="EE154" i="9"/>
  <c r="EM154" i="9"/>
  <c r="EI156" i="9"/>
  <c r="EE158" i="9"/>
  <c r="EM158" i="9"/>
  <c r="EV150" i="9"/>
  <c r="ER152" i="9"/>
  <c r="EZ152" i="9"/>
  <c r="EV154" i="9"/>
  <c r="ER156" i="9"/>
  <c r="EZ156" i="9"/>
  <c r="EV158" i="9"/>
  <c r="F11" i="8"/>
  <c r="N11" i="8"/>
  <c r="G169" i="9"/>
  <c r="AL163" i="9"/>
  <c r="AT167" i="9"/>
  <c r="BE167" i="9"/>
  <c r="BR165" i="9"/>
  <c r="CC163" i="9"/>
  <c r="CB169" i="9"/>
  <c r="CP163" i="9"/>
  <c r="CP167" i="9"/>
  <c r="CW169" i="9"/>
  <c r="DE163" i="9"/>
  <c r="DK165" i="9"/>
  <c r="DF169" i="9"/>
  <c r="DY161" i="9"/>
  <c r="DS165" i="9"/>
  <c r="DZ167" i="9"/>
  <c r="EG161" i="9"/>
  <c r="EM163" i="9"/>
  <c r="EG167" i="9"/>
  <c r="EB161" i="9"/>
  <c r="EU163" i="9"/>
  <c r="EO167" i="9"/>
  <c r="EV169" i="9"/>
  <c r="C152" i="9"/>
  <c r="I154" i="9"/>
  <c r="C158" i="9"/>
  <c r="T150" i="9"/>
  <c r="X152" i="9"/>
  <c r="P156" i="9"/>
  <c r="T158" i="9"/>
  <c r="AK150" i="9"/>
  <c r="AC154" i="9"/>
  <c r="AG156" i="9"/>
  <c r="AK158" i="9"/>
  <c r="AP152" i="9"/>
  <c r="AT154" i="9"/>
  <c r="AX156" i="9"/>
  <c r="AW158" i="9"/>
  <c r="BL150" i="9"/>
  <c r="BJ152" i="9"/>
  <c r="BI154" i="9"/>
  <c r="BH156" i="9"/>
  <c r="BF158" i="9"/>
  <c r="BR150" i="9"/>
  <c r="BQ152" i="9"/>
  <c r="BO154" i="9"/>
  <c r="BZ154" i="9"/>
  <c r="BY156" i="9"/>
  <c r="BW158" i="9"/>
  <c r="CI150" i="9"/>
  <c r="CH152" i="9"/>
  <c r="CF154" i="9"/>
  <c r="CE156" i="9"/>
  <c r="CC158" i="9"/>
  <c r="CL158" i="9"/>
  <c r="CV150" i="9"/>
  <c r="CS152" i="9"/>
  <c r="CP154" i="9"/>
  <c r="CY154" i="9"/>
  <c r="CV156" i="9"/>
  <c r="CT158" i="9"/>
  <c r="DE150" i="9"/>
  <c r="DB152" i="9"/>
  <c r="DK152" i="9"/>
  <c r="DH154" i="9"/>
  <c r="DE156" i="9"/>
  <c r="DB158" i="9"/>
  <c r="DL158" i="9"/>
  <c r="T161" i="9"/>
  <c r="AM163" i="9"/>
  <c r="AU167" i="9"/>
  <c r="BF167" i="9"/>
  <c r="BS165" i="9"/>
  <c r="CD163" i="9"/>
  <c r="CC169" i="9"/>
  <c r="CQ163" i="9"/>
  <c r="CQ167" i="9"/>
  <c r="CX169" i="9"/>
  <c r="DF163" i="9"/>
  <c r="DM165" i="9"/>
  <c r="DG169" i="9"/>
  <c r="DZ161" i="9"/>
  <c r="DT165" i="9"/>
  <c r="DO169" i="9"/>
  <c r="EH161" i="9"/>
  <c r="EB165" i="9"/>
  <c r="EI167" i="9"/>
  <c r="EP161" i="9"/>
  <c r="EV163" i="9"/>
  <c r="EP167" i="9"/>
  <c r="EW169" i="9"/>
  <c r="D152" i="9"/>
  <c r="J154" i="9"/>
  <c r="D158" i="9"/>
  <c r="U150" i="9"/>
  <c r="Y152" i="9"/>
  <c r="Q156" i="9"/>
  <c r="U158" i="9"/>
  <c r="AL150" i="9"/>
  <c r="AD154" i="9"/>
  <c r="AH156" i="9"/>
  <c r="AL158" i="9"/>
  <c r="AQ152" i="9"/>
  <c r="AU154" i="9"/>
  <c r="AY156" i="9"/>
  <c r="AZ158" i="9"/>
  <c r="BM150" i="9"/>
  <c r="BL152" i="9"/>
  <c r="BK154" i="9"/>
  <c r="BI156" i="9"/>
  <c r="BH158" i="9"/>
  <c r="BT150" i="9"/>
  <c r="BR152" i="9"/>
  <c r="BQ154" i="9"/>
  <c r="BP156" i="9"/>
  <c r="BZ156" i="9"/>
  <c r="BY158" i="9"/>
  <c r="CK150" i="9"/>
  <c r="CI152" i="9"/>
  <c r="CH154" i="9"/>
  <c r="CG156" i="9"/>
  <c r="CD158" i="9"/>
  <c r="CM158" i="9"/>
  <c r="CW150" i="9"/>
  <c r="CT152" i="9"/>
  <c r="CQ154" i="9"/>
  <c r="CZ154" i="9"/>
  <c r="CX156" i="9"/>
  <c r="CU158" i="9"/>
  <c r="DF150" i="9"/>
  <c r="DC152" i="9"/>
  <c r="DL152" i="9"/>
  <c r="DI154" i="9"/>
  <c r="DF156" i="9"/>
  <c r="DD158" i="9"/>
  <c r="DM158" i="9"/>
  <c r="DW150" i="9"/>
  <c r="DT152" i="9"/>
  <c r="DQ154" i="9"/>
  <c r="DZ154" i="9"/>
  <c r="DW156" i="9"/>
  <c r="V161" i="9"/>
  <c r="AC165" i="9"/>
  <c r="AV167" i="9"/>
  <c r="BK167" i="9"/>
  <c r="BX165" i="9"/>
  <c r="CE163" i="9"/>
  <c r="CG169" i="9"/>
  <c r="CR163" i="9"/>
  <c r="CR167" i="9"/>
  <c r="CY169" i="9"/>
  <c r="DG163" i="9"/>
  <c r="DB167" i="9"/>
  <c r="DH169" i="9"/>
  <c r="DO163" i="9"/>
  <c r="DV165" i="9"/>
  <c r="DP169" i="9"/>
  <c r="EI161" i="9"/>
  <c r="EC165" i="9"/>
  <c r="EJ167" i="9"/>
  <c r="EQ161" i="9"/>
  <c r="EW163" i="9"/>
  <c r="ER167" i="9"/>
  <c r="EX169" i="9"/>
  <c r="E152" i="9"/>
  <c r="K154" i="9"/>
  <c r="E158" i="9"/>
  <c r="V150" i="9"/>
  <c r="Z152" i="9"/>
  <c r="R156" i="9"/>
  <c r="V158" i="9"/>
  <c r="AM150" i="9"/>
  <c r="AE154" i="9"/>
  <c r="AI156" i="9"/>
  <c r="AM158" i="9"/>
  <c r="AR152" i="9"/>
  <c r="AV154" i="9"/>
  <c r="AZ156" i="9"/>
  <c r="BC150" i="9"/>
  <c r="BB152" i="9"/>
  <c r="BM152" i="9"/>
  <c r="BL154" i="9"/>
  <c r="BJ156" i="9"/>
  <c r="BI158" i="9"/>
  <c r="BU150" i="9"/>
  <c r="BS152" i="9"/>
  <c r="BR154" i="9"/>
  <c r="BQ156" i="9"/>
  <c r="BO158" i="9"/>
  <c r="BZ158" i="9"/>
  <c r="CL150" i="9"/>
  <c r="CJ152" i="9"/>
  <c r="CI154" i="9"/>
  <c r="CH156" i="9"/>
  <c r="CE158" i="9"/>
  <c r="CB150" i="9"/>
  <c r="CX150" i="9"/>
  <c r="CU152" i="9"/>
  <c r="CR154" i="9"/>
  <c r="CP156" i="9"/>
  <c r="CY156" i="9"/>
  <c r="CV158" i="9"/>
  <c r="DG150" i="9"/>
  <c r="DD152" i="9"/>
  <c r="DM152" i="9"/>
  <c r="DJ154" i="9"/>
  <c r="DH156" i="9"/>
  <c r="DE158" i="9"/>
  <c r="DB150" i="9"/>
  <c r="DX150" i="9"/>
  <c r="DU152" i="9"/>
  <c r="DR154" i="9"/>
  <c r="DO156" i="9"/>
  <c r="DY156" i="9"/>
  <c r="DV158" i="9"/>
  <c r="EF150" i="9"/>
  <c r="EC152" i="9"/>
  <c r="EL152" i="9"/>
  <c r="EH154" i="9"/>
  <c r="ED156" i="9"/>
  <c r="EL156" i="9"/>
  <c r="EH158" i="9"/>
  <c r="EQ150" i="9"/>
  <c r="EY150" i="9"/>
  <c r="EU152" i="9"/>
  <c r="EQ154" i="9"/>
  <c r="EY154" i="9"/>
  <c r="EU156" i="9"/>
  <c r="EQ158" i="9"/>
  <c r="EY158" i="9"/>
  <c r="I11" i="8"/>
  <c r="Y165" i="9"/>
  <c r="BC163" i="9"/>
  <c r="BP169" i="9"/>
  <c r="CQ161" i="9"/>
  <c r="CY167" i="9"/>
  <c r="DB165" i="9"/>
  <c r="DP161" i="9"/>
  <c r="DP167" i="9"/>
  <c r="ED163" i="9"/>
  <c r="EE169" i="9"/>
  <c r="ER165" i="9"/>
  <c r="F150" i="9"/>
  <c r="F156" i="9"/>
  <c r="P152" i="9"/>
  <c r="X156" i="9"/>
  <c r="AG152" i="9"/>
  <c r="AC158" i="9"/>
  <c r="AX152" i="9"/>
  <c r="AR158" i="9"/>
  <c r="BE152" i="9"/>
  <c r="BB156" i="9"/>
  <c r="BL158" i="9"/>
  <c r="BV152" i="9"/>
  <c r="BS156" i="9"/>
  <c r="CD150" i="9"/>
  <c r="CM152" i="9"/>
  <c r="CJ156" i="9"/>
  <c r="CQ150" i="9"/>
  <c r="CX152" i="9"/>
  <c r="CR156" i="9"/>
  <c r="CX158" i="9"/>
  <c r="DF152" i="9"/>
  <c r="DM154" i="9"/>
  <c r="DG158" i="9"/>
  <c r="DY150" i="9"/>
  <c r="DZ152" i="9"/>
  <c r="DR156" i="9"/>
  <c r="DS158" i="9"/>
  <c r="EG150" i="9"/>
  <c r="EF152" i="9"/>
  <c r="EF154" i="9"/>
  <c r="EE156" i="9"/>
  <c r="EC158" i="9"/>
  <c r="EB150" i="9"/>
  <c r="EZ150" i="9"/>
  <c r="EX152" i="9"/>
  <c r="EW154" i="9"/>
  <c r="EV156" i="9"/>
  <c r="ET158" i="9"/>
  <c r="G11" i="8"/>
  <c r="AP161" i="9"/>
  <c r="DI161" i="9"/>
  <c r="EK165" i="9"/>
  <c r="U154" i="9"/>
  <c r="AQ156" i="9"/>
  <c r="BY150" i="9"/>
  <c r="CD152" i="9"/>
  <c r="CP152" i="9"/>
  <c r="DE154" i="9"/>
  <c r="DW154" i="9"/>
  <c r="EB154" i="9"/>
  <c r="EU150" i="9"/>
  <c r="EQ156" i="9"/>
  <c r="CC167" i="9"/>
  <c r="EO169" i="9"/>
  <c r="AV150" i="9"/>
  <c r="BZ150" i="9"/>
  <c r="CI158" i="9"/>
  <c r="DF154" i="9"/>
  <c r="DY154" i="9"/>
  <c r="EC154" i="9"/>
  <c r="EW150" i="9"/>
  <c r="ER158" i="9"/>
  <c r="BY165" i="9"/>
  <c r="DI163" i="9"/>
  <c r="EK167" i="9"/>
  <c r="W150" i="9"/>
  <c r="AS152" i="9"/>
  <c r="BM154" i="9"/>
  <c r="BR156" i="9"/>
  <c r="CP150" i="9"/>
  <c r="DE152" i="9"/>
  <c r="DY152" i="9"/>
  <c r="EE152" i="9"/>
  <c r="EB158" i="9"/>
  <c r="EU154" i="9"/>
  <c r="CO150" i="9"/>
  <c r="Z165" i="9"/>
  <c r="BK163" i="9"/>
  <c r="BQ169" i="9"/>
  <c r="CR161" i="9"/>
  <c r="CZ167" i="9"/>
  <c r="DC165" i="9"/>
  <c r="DQ161" i="9"/>
  <c r="DR167" i="9"/>
  <c r="EE163" i="9"/>
  <c r="EF169" i="9"/>
  <c r="ES165" i="9"/>
  <c r="G150" i="9"/>
  <c r="G156" i="9"/>
  <c r="Q152" i="9"/>
  <c r="Y156" i="9"/>
  <c r="AH152" i="9"/>
  <c r="AD158" i="9"/>
  <c r="AY152" i="9"/>
  <c r="AT158" i="9"/>
  <c r="BG152" i="9"/>
  <c r="BD156" i="9"/>
  <c r="BM158" i="9"/>
  <c r="BX152" i="9"/>
  <c r="BU156" i="9"/>
  <c r="CE150" i="9"/>
  <c r="CC154" i="9"/>
  <c r="CK156" i="9"/>
  <c r="CR150" i="9"/>
  <c r="CY152" i="9"/>
  <c r="CS156" i="9"/>
  <c r="CY158" i="9"/>
  <c r="DH152" i="9"/>
  <c r="DB156" i="9"/>
  <c r="DH158" i="9"/>
  <c r="DZ150" i="9"/>
  <c r="DP154" i="9"/>
  <c r="DS156" i="9"/>
  <c r="DU158" i="9"/>
  <c r="EH150" i="9"/>
  <c r="EH152" i="9"/>
  <c r="EG154" i="9"/>
  <c r="EF156" i="9"/>
  <c r="ED158" i="9"/>
  <c r="EP150" i="9"/>
  <c r="EO152" i="9"/>
  <c r="EY152" i="9"/>
  <c r="EX154" i="9"/>
  <c r="EW156" i="9"/>
  <c r="EU158" i="9"/>
  <c r="H11" i="8"/>
  <c r="BY161" i="9"/>
  <c r="EZ167" i="9"/>
  <c r="AD150" i="9"/>
  <c r="BC158" i="9"/>
  <c r="CM154" i="9"/>
  <c r="CP158" i="9"/>
  <c r="DR150" i="9"/>
  <c r="EB152" i="9"/>
  <c r="EJ158" i="9"/>
  <c r="EP158" i="9"/>
  <c r="AP163" i="9"/>
  <c r="CS165" i="9"/>
  <c r="DX163" i="9"/>
  <c r="EM165" i="9"/>
  <c r="M158" i="9"/>
  <c r="AM154" i="9"/>
  <c r="BF154" i="9"/>
  <c r="BW154" i="9"/>
  <c r="CB156" i="9"/>
  <c r="CQ158" i="9"/>
  <c r="DS150" i="9"/>
  <c r="ED152" i="9"/>
  <c r="EK158" i="9"/>
  <c r="ET154" i="9"/>
  <c r="C11" i="8"/>
  <c r="CH169" i="9"/>
  <c r="EX163" i="9"/>
  <c r="AB152" i="9"/>
  <c r="BD152" i="9"/>
  <c r="CL152" i="9"/>
  <c r="CQ156" i="9"/>
  <c r="DF158" i="9"/>
  <c r="DQ158" i="9"/>
  <c r="EC156" i="9"/>
  <c r="EW152" i="9"/>
  <c r="E11" i="8"/>
  <c r="V167" i="9"/>
  <c r="BL163" i="9"/>
  <c r="BX169" i="9"/>
  <c r="CS161" i="9"/>
  <c r="CP169" i="9"/>
  <c r="DE165" i="9"/>
  <c r="DR161" i="9"/>
  <c r="DS167" i="9"/>
  <c r="EF163" i="9"/>
  <c r="EG169" i="9"/>
  <c r="ET165" i="9"/>
  <c r="H150" i="9"/>
  <c r="I156" i="9"/>
  <c r="R152" i="9"/>
  <c r="Z156" i="9"/>
  <c r="AI152" i="9"/>
  <c r="AE158" i="9"/>
  <c r="AZ152" i="9"/>
  <c r="AU158" i="9"/>
  <c r="BH152" i="9"/>
  <c r="BE156" i="9"/>
  <c r="BB150" i="9"/>
  <c r="BY152" i="9"/>
  <c r="BV156" i="9"/>
  <c r="CF150" i="9"/>
  <c r="CD154" i="9"/>
  <c r="CL156" i="9"/>
  <c r="CT150" i="9"/>
  <c r="CZ152" i="9"/>
  <c r="CT156" i="9"/>
  <c r="CZ158" i="9"/>
  <c r="DI152" i="9"/>
  <c r="DC156" i="9"/>
  <c r="DI158" i="9"/>
  <c r="DO152" i="9"/>
  <c r="DS154" i="9"/>
  <c r="DT156" i="9"/>
  <c r="DW158" i="9"/>
  <c r="EI150" i="9"/>
  <c r="EJ152" i="9"/>
  <c r="EI154" i="9"/>
  <c r="EG156" i="9"/>
  <c r="EF158" i="9"/>
  <c r="ER150" i="9"/>
  <c r="EP152" i="9"/>
  <c r="EO154" i="9"/>
  <c r="EZ154" i="9"/>
  <c r="EX156" i="9"/>
  <c r="EW158" i="9"/>
  <c r="J11" i="8"/>
  <c r="G163" i="9"/>
  <c r="CP165" i="9"/>
  <c r="DX169" i="9"/>
  <c r="M152" i="9"/>
  <c r="AL154" i="9"/>
  <c r="BE154" i="9"/>
  <c r="BT158" i="9"/>
  <c r="CV154" i="9"/>
  <c r="DK156" i="9"/>
  <c r="DO158" i="9"/>
  <c r="EK156" i="9"/>
  <c r="ES154" i="9"/>
  <c r="M11" i="8"/>
  <c r="I163" i="9"/>
  <c r="DJ161" i="9"/>
  <c r="EZ161" i="9"/>
  <c r="V154" i="9"/>
  <c r="AR156" i="9"/>
  <c r="BD158" i="9"/>
  <c r="CE152" i="9"/>
  <c r="CW154" i="9"/>
  <c r="DL156" i="9"/>
  <c r="DP158" i="9"/>
  <c r="EM156" i="9"/>
  <c r="ES156" i="9"/>
  <c r="AR169" i="9"/>
  <c r="DW165" i="9"/>
  <c r="M154" i="9"/>
  <c r="AJ156" i="9"/>
  <c r="BK158" i="9"/>
  <c r="CI156" i="9"/>
  <c r="CW158" i="9"/>
  <c r="DV150" i="9"/>
  <c r="EE150" i="9"/>
  <c r="EL158" i="9"/>
  <c r="ET156" i="9"/>
  <c r="AE165" i="9"/>
  <c r="BG169" i="9"/>
  <c r="CF163" i="9"/>
  <c r="CS163" i="9"/>
  <c r="CZ169" i="9"/>
  <c r="DC167" i="9"/>
  <c r="DP163" i="9"/>
  <c r="DQ169" i="9"/>
  <c r="EE165" i="9"/>
  <c r="ER161" i="9"/>
  <c r="ES167" i="9"/>
  <c r="F152" i="9"/>
  <c r="F158" i="9"/>
  <c r="O154" i="9"/>
  <c r="W158" i="9"/>
  <c r="AF154" i="9"/>
  <c r="AB150" i="9"/>
  <c r="AW154" i="9"/>
  <c r="BD150" i="9"/>
  <c r="BC154" i="9"/>
  <c r="BL156" i="9"/>
  <c r="BV150" i="9"/>
  <c r="BT154" i="9"/>
  <c r="BQ158" i="9"/>
  <c r="CM150" i="9"/>
  <c r="CK154" i="9"/>
  <c r="CF158" i="9"/>
  <c r="CY150" i="9"/>
  <c r="CT154" i="9"/>
  <c r="CZ156" i="9"/>
  <c r="DH150" i="9"/>
  <c r="DB154" i="9"/>
  <c r="DI156" i="9"/>
  <c r="DP150" i="9"/>
  <c r="DQ152" i="9"/>
  <c r="DU154" i="9"/>
  <c r="DV156" i="9"/>
  <c r="DX158" i="9"/>
  <c r="EJ150" i="9"/>
  <c r="EK152" i="9"/>
  <c r="EJ154" i="9"/>
  <c r="EH156" i="9"/>
  <c r="EG158" i="9"/>
  <c r="ES150" i="9"/>
  <c r="EQ152" i="9"/>
  <c r="EP154" i="9"/>
  <c r="EO156" i="9"/>
  <c r="EY156" i="9"/>
  <c r="EX158" i="9"/>
  <c r="K11" i="8"/>
  <c r="E163" i="9"/>
  <c r="AG169" i="9"/>
  <c r="BX161" i="9"/>
  <c r="CI165" i="9"/>
  <c r="CZ163" i="9"/>
  <c r="DH161" i="9"/>
  <c r="DI167" i="9"/>
  <c r="DV163" i="9"/>
  <c r="DW169" i="9"/>
  <c r="EJ165" i="9"/>
  <c r="EX161" i="9"/>
  <c r="EX167" i="9"/>
  <c r="L152" i="9"/>
  <c r="K158" i="9"/>
  <c r="T154" i="9"/>
  <c r="AC150" i="9"/>
  <c r="AK154" i="9"/>
  <c r="AT150" i="9"/>
  <c r="AP156" i="9"/>
  <c r="BE150" i="9"/>
  <c r="BD154" i="9"/>
  <c r="BM156" i="9"/>
  <c r="BW150" i="9"/>
  <c r="BU154" i="9"/>
  <c r="BR158" i="9"/>
  <c r="CB152" i="9"/>
  <c r="CL154" i="9"/>
  <c r="CG158" i="9"/>
  <c r="CZ150" i="9"/>
  <c r="CU154" i="9"/>
  <c r="CO158" i="9"/>
  <c r="DI150" i="9"/>
  <c r="DD154" i="9"/>
  <c r="DJ156" i="9"/>
  <c r="DQ150" i="9"/>
  <c r="DS152" i="9"/>
  <c r="DV154" i="9"/>
  <c r="DZ156" i="9"/>
  <c r="DY158" i="9"/>
  <c r="EM150" i="9"/>
  <c r="EM152" i="9"/>
  <c r="EK154" i="9"/>
  <c r="EJ156" i="9"/>
  <c r="EI158" i="9"/>
  <c r="ET150" i="9"/>
  <c r="ES152" i="9"/>
  <c r="ER154" i="9"/>
  <c r="EP156" i="9"/>
  <c r="EO158" i="9"/>
  <c r="EZ158" i="9"/>
  <c r="L11" i="8"/>
  <c r="CJ165" i="9"/>
  <c r="DJ167" i="9"/>
  <c r="DW163" i="9"/>
  <c r="EY161" i="9"/>
  <c r="L158" i="9"/>
  <c r="AU150" i="9"/>
  <c r="BF150" i="9"/>
  <c r="BV154" i="9"/>
  <c r="CH158" i="9"/>
  <c r="DJ150" i="9"/>
  <c r="DV152" i="9"/>
  <c r="DZ158" i="9"/>
  <c r="EL154" i="9"/>
  <c r="ET152" i="9"/>
  <c r="EO150" i="9"/>
  <c r="BZ161" i="9"/>
  <c r="DK167" i="9"/>
  <c r="DY169" i="9"/>
  <c r="B154" i="9"/>
  <c r="AE150" i="9"/>
  <c r="BI150" i="9"/>
  <c r="BU158" i="9"/>
  <c r="CQ152" i="9"/>
  <c r="DL150" i="9"/>
  <c r="DW152" i="9"/>
  <c r="ED150" i="9"/>
  <c r="EB156" i="9"/>
  <c r="EV152" i="9"/>
  <c r="D11" i="8"/>
  <c r="X161" i="9"/>
  <c r="CS167" i="9"/>
  <c r="DI169" i="9"/>
  <c r="EJ161" i="9"/>
  <c r="EY169" i="9"/>
  <c r="S156" i="9"/>
  <c r="AO158" i="9"/>
  <c r="BU152" i="9"/>
  <c r="CC150" i="9"/>
  <c r="CV152" i="9"/>
  <c r="DL154" i="9"/>
  <c r="DQ156" i="9"/>
  <c r="ED154" i="9"/>
  <c r="EX150" i="9"/>
  <c r="ES158" i="9"/>
  <c r="CG86" i="9"/>
  <c r="CE86" i="9"/>
  <c r="W165" i="9"/>
  <c r="Q163" i="9"/>
  <c r="AW163" i="9"/>
  <c r="CI76" i="9"/>
  <c r="CL82" i="9"/>
  <c r="CI80" i="9"/>
  <c r="O165" i="9"/>
  <c r="AL161" i="9"/>
  <c r="AJ161" i="9"/>
  <c r="CM82" i="9"/>
  <c r="CJ88" i="9"/>
  <c r="CH84" i="9"/>
  <c r="CM86" i="9"/>
  <c r="CG88" i="9"/>
  <c r="CC88" i="9"/>
  <c r="CL78" i="9"/>
  <c r="CI82" i="9"/>
  <c r="CD82" i="9"/>
  <c r="CM88" i="9"/>
  <c r="K69" i="48"/>
  <c r="AW161" i="9"/>
  <c r="AF161" i="9"/>
  <c r="B161" i="9"/>
  <c r="AU169" i="9"/>
  <c r="AD169" i="9"/>
  <c r="Y167" i="9"/>
  <c r="H167" i="9"/>
  <c r="AS169" i="9"/>
  <c r="AB169" i="9"/>
  <c r="W167" i="9"/>
  <c r="F167" i="9"/>
  <c r="CO165" i="9"/>
  <c r="CL86" i="9"/>
  <c r="CI88" i="9"/>
  <c r="CG80" i="9"/>
  <c r="CD80" i="9"/>
  <c r="CM78" i="9"/>
  <c r="AB167" i="9"/>
  <c r="F165" i="9"/>
  <c r="L161" i="9"/>
  <c r="J161" i="9"/>
  <c r="DL99" i="9"/>
  <c r="CF80" i="9"/>
  <c r="CF84" i="9"/>
  <c r="R187" i="9"/>
  <c r="AW165" i="9"/>
  <c r="J163" i="9"/>
  <c r="U161" i="9"/>
  <c r="AO163" i="9"/>
  <c r="L99" i="9"/>
  <c r="CN88" i="9"/>
  <c r="CC80" i="9"/>
  <c r="CN84" i="9"/>
  <c r="CJ84" i="9"/>
  <c r="CD78" i="9"/>
  <c r="CH86" i="9"/>
  <c r="CD86" i="9"/>
  <c r="CN78" i="9"/>
  <c r="CJ80" i="9"/>
  <c r="CE84" i="9"/>
  <c r="K91" i="48"/>
  <c r="L105" i="48"/>
  <c r="BE161" i="9"/>
  <c r="AB161" i="9"/>
  <c r="W169" i="9"/>
  <c r="F169" i="9"/>
  <c r="AY167" i="9"/>
  <c r="AH167" i="9"/>
  <c r="Q167" i="9"/>
  <c r="L165" i="9"/>
  <c r="AW167" i="9"/>
  <c r="AF167" i="9"/>
  <c r="O167" i="9"/>
  <c r="J165" i="9"/>
  <c r="I130" i="39"/>
  <c r="CO161" i="9"/>
  <c r="B17" i="37"/>
  <c r="C132" i="37" s="1"/>
  <c r="B18" i="36"/>
  <c r="AR63" i="40"/>
  <c r="E118" i="39" s="1"/>
  <c r="E138" i="39" s="1"/>
  <c r="E139" i="39" s="1"/>
  <c r="CJ99" i="9"/>
  <c r="BG99" i="9"/>
  <c r="AS45" i="40"/>
  <c r="F66" i="39" s="1"/>
  <c r="F93" i="39" s="1"/>
  <c r="F94" i="39" s="1"/>
  <c r="B97" i="9"/>
  <c r="BG97" i="9"/>
  <c r="AT86" i="40"/>
  <c r="G175" i="39" s="1"/>
  <c r="G204" i="39" s="1"/>
  <c r="G205" i="39" s="1"/>
  <c r="AO22" i="40"/>
  <c r="B10" i="39" s="1"/>
  <c r="BB99" i="9"/>
  <c r="CP97" i="9"/>
  <c r="DA88" i="9"/>
  <c r="CS76" i="9"/>
  <c r="C15" i="37"/>
  <c r="D117" i="37" s="1"/>
  <c r="D118" i="37" s="1"/>
  <c r="CY76" i="9"/>
  <c r="E276" i="35"/>
  <c r="J180" i="9"/>
  <c r="J181" i="9"/>
  <c r="J183" i="9"/>
  <c r="J178" i="9"/>
  <c r="J176" i="9"/>
  <c r="E283" i="35"/>
  <c r="E285" i="35" s="1"/>
  <c r="E236" i="35"/>
  <c r="J182" i="9"/>
  <c r="C177" i="9"/>
  <c r="E297" i="35"/>
  <c r="E299" i="35" s="1"/>
  <c r="J188" i="9"/>
  <c r="J179" i="9"/>
  <c r="E290" i="35"/>
  <c r="E292" i="35" s="1"/>
  <c r="J184" i="9"/>
  <c r="J177" i="9"/>
  <c r="J185" i="9"/>
  <c r="BT97" i="9"/>
  <c r="EP99" i="9"/>
  <c r="EU97" i="9"/>
  <c r="AT97" i="9"/>
  <c r="R108" i="9"/>
  <c r="BS99" i="9"/>
  <c r="W101" i="9"/>
  <c r="DA82" i="9"/>
  <c r="CW78" i="9"/>
  <c r="CX82" i="9"/>
  <c r="DA80" i="9"/>
  <c r="DA76" i="9"/>
  <c r="CZ80" i="9"/>
  <c r="CZ78" i="9"/>
  <c r="CX88" i="9"/>
  <c r="CV88" i="9"/>
  <c r="AQ23" i="40"/>
  <c r="D11" i="39" s="1"/>
  <c r="AS84" i="40"/>
  <c r="F173" i="39" s="1"/>
  <c r="F198" i="39" s="1"/>
  <c r="F199" i="39" s="1"/>
  <c r="CW84" i="9"/>
  <c r="AR85" i="40"/>
  <c r="E174" i="39" s="1"/>
  <c r="E201" i="39" s="1"/>
  <c r="E202" i="39" s="1"/>
  <c r="M9" i="8"/>
  <c r="B189" i="44"/>
  <c r="C189" i="44" s="1"/>
  <c r="B203" i="44"/>
  <c r="C203" i="44" s="1"/>
  <c r="B217" i="44"/>
  <c r="C217" i="44" s="1"/>
  <c r="B233" i="44"/>
  <c r="C233" i="44" s="1"/>
  <c r="B259" i="44"/>
  <c r="C259" i="44" s="1"/>
  <c r="B271" i="44"/>
  <c r="C271" i="44" s="1"/>
  <c r="B285" i="44"/>
  <c r="C285" i="44" s="1"/>
  <c r="B297" i="44"/>
  <c r="C297" i="44" s="1"/>
  <c r="B311" i="44"/>
  <c r="C311" i="44" s="1"/>
  <c r="B325" i="44"/>
  <c r="C325" i="44" s="1"/>
  <c r="B339" i="44"/>
  <c r="C339" i="44" s="1"/>
  <c r="N9" i="8"/>
  <c r="B191" i="44"/>
  <c r="C191" i="44" s="1"/>
  <c r="B205" i="44"/>
  <c r="C205" i="44" s="1"/>
  <c r="B219" i="44"/>
  <c r="C219" i="44" s="1"/>
  <c r="B235" i="44"/>
  <c r="C235" i="44" s="1"/>
  <c r="B249" i="44"/>
  <c r="C249" i="44" s="1"/>
  <c r="B261" i="44"/>
  <c r="C261" i="44" s="1"/>
  <c r="B273" i="44"/>
  <c r="C273" i="44" s="1"/>
  <c r="B299" i="44"/>
  <c r="C299" i="44" s="1"/>
  <c r="B313" i="44"/>
  <c r="C313" i="44" s="1"/>
  <c r="B327" i="44"/>
  <c r="C327" i="44" s="1"/>
  <c r="F9" i="8"/>
  <c r="B195" i="44"/>
  <c r="C195" i="44" s="1"/>
  <c r="B209" i="44"/>
  <c r="C209" i="44" s="1"/>
  <c r="B225" i="44"/>
  <c r="C225" i="44" s="1"/>
  <c r="B241" i="44"/>
  <c r="C241" i="44" s="1"/>
  <c r="B253" i="44"/>
  <c r="C253" i="44" s="1"/>
  <c r="B267" i="44"/>
  <c r="C267" i="44" s="1"/>
  <c r="B279" i="44"/>
  <c r="C279" i="44" s="1"/>
  <c r="B291" i="44"/>
  <c r="C291" i="44" s="1"/>
  <c r="B303" i="44"/>
  <c r="C303" i="44" s="1"/>
  <c r="B317" i="44"/>
  <c r="C317" i="44" s="1"/>
  <c r="B331" i="44"/>
  <c r="C331" i="44" s="1"/>
  <c r="B345" i="44"/>
  <c r="C345" i="44" s="1"/>
  <c r="I9" i="8"/>
  <c r="B199" i="44"/>
  <c r="C199" i="44" s="1"/>
  <c r="B213" i="44"/>
  <c r="C213" i="44" s="1"/>
  <c r="B229" i="44"/>
  <c r="C229" i="44" s="1"/>
  <c r="B245" i="44"/>
  <c r="C245" i="44" s="1"/>
  <c r="B269" i="44"/>
  <c r="C269" i="44" s="1"/>
  <c r="B283" i="44"/>
  <c r="C283" i="44" s="1"/>
  <c r="B293" i="44"/>
  <c r="C293" i="44" s="1"/>
  <c r="B307" i="44"/>
  <c r="C307" i="44" s="1"/>
  <c r="B321" i="44"/>
  <c r="C321" i="44" s="1"/>
  <c r="B335" i="44"/>
  <c r="C335" i="44" s="1"/>
  <c r="B349" i="44"/>
  <c r="C349" i="44" s="1"/>
  <c r="B237" i="44"/>
  <c r="C237" i="44" s="1"/>
  <c r="B263" i="44"/>
  <c r="C263" i="44" s="1"/>
  <c r="B287" i="44"/>
  <c r="C287" i="44" s="1"/>
  <c r="B341" i="44"/>
  <c r="C341" i="44" s="1"/>
  <c r="B187" i="44"/>
  <c r="C187" i="44" s="1"/>
  <c r="B323" i="44"/>
  <c r="C323" i="44" s="1"/>
  <c r="E9" i="8"/>
  <c r="B301" i="44"/>
  <c r="C301" i="44" s="1"/>
  <c r="B207" i="44"/>
  <c r="C207" i="44" s="1"/>
  <c r="B239" i="44"/>
  <c r="C239" i="44" s="1"/>
  <c r="B265" i="44"/>
  <c r="C265" i="44" s="1"/>
  <c r="B289" i="44"/>
  <c r="C289" i="44" s="1"/>
  <c r="B315" i="44"/>
  <c r="C315" i="44" s="1"/>
  <c r="B343" i="44"/>
  <c r="C343" i="44" s="1"/>
  <c r="B247" i="44"/>
  <c r="C247" i="44" s="1"/>
  <c r="B193" i="44"/>
  <c r="C193" i="44" s="1"/>
  <c r="B275" i="44"/>
  <c r="C275" i="44" s="1"/>
  <c r="B223" i="44"/>
  <c r="C223" i="44" s="1"/>
  <c r="B24" i="9"/>
  <c r="B211" i="44"/>
  <c r="C211" i="44" s="1"/>
  <c r="B243" i="44"/>
  <c r="C243" i="44" s="1"/>
  <c r="B319" i="44"/>
  <c r="C319" i="44" s="1"/>
  <c r="B347" i="44"/>
  <c r="C347" i="44" s="1"/>
  <c r="B351" i="44"/>
  <c r="C351" i="44" s="1"/>
  <c r="B221" i="44"/>
  <c r="C221" i="44" s="1"/>
  <c r="B329" i="44"/>
  <c r="C329" i="44" s="1"/>
  <c r="G9" i="8"/>
  <c r="C9" i="8"/>
  <c r="B201" i="44"/>
  <c r="C201" i="44" s="1"/>
  <c r="B231" i="44"/>
  <c r="C231" i="44" s="1"/>
  <c r="B257" i="44"/>
  <c r="C257" i="44" s="1"/>
  <c r="B309" i="44"/>
  <c r="C309" i="44" s="1"/>
  <c r="B337" i="44"/>
  <c r="C337" i="44" s="1"/>
  <c r="B215" i="44"/>
  <c r="C215" i="44" s="1"/>
  <c r="B295" i="44"/>
  <c r="C295" i="44" s="1"/>
  <c r="B251" i="44"/>
  <c r="C251" i="44" s="1"/>
  <c r="B185" i="44"/>
  <c r="C185" i="44" s="1"/>
  <c r="B277" i="44"/>
  <c r="C277" i="44" s="1"/>
  <c r="B255" i="44"/>
  <c r="C255" i="44" s="1"/>
  <c r="B281" i="44"/>
  <c r="C281" i="44" s="1"/>
  <c r="B305" i="44"/>
  <c r="C305" i="44" s="1"/>
  <c r="B333" i="44"/>
  <c r="C333" i="44" s="1"/>
  <c r="K9" i="8"/>
  <c r="B227" i="44"/>
  <c r="C227" i="44" s="1"/>
  <c r="B197" i="44"/>
  <c r="C197" i="44" s="1"/>
  <c r="DL97" i="9"/>
  <c r="AS22" i="40"/>
  <c r="F10" i="39" s="1"/>
  <c r="F30" i="39" s="1"/>
  <c r="F31" i="39" s="1"/>
  <c r="M179" i="9"/>
  <c r="M188" i="9"/>
  <c r="M184" i="9"/>
  <c r="M181" i="9"/>
  <c r="K236" i="35"/>
  <c r="C180" i="9"/>
  <c r="M182" i="9"/>
  <c r="M183" i="9"/>
  <c r="K283" i="35"/>
  <c r="K285" i="35" s="1"/>
  <c r="M185" i="9"/>
  <c r="K276" i="35"/>
  <c r="M176" i="9"/>
  <c r="M177" i="9"/>
  <c r="M178" i="9"/>
  <c r="K290" i="35"/>
  <c r="K292" i="35" s="1"/>
  <c r="M180" i="9"/>
  <c r="ED99" i="9"/>
  <c r="AU80" i="40"/>
  <c r="AJ101" i="9"/>
  <c r="Y97" i="9"/>
  <c r="CV82" i="9"/>
  <c r="CP76" i="9"/>
  <c r="A41" i="39"/>
  <c r="B42" i="39" s="1"/>
  <c r="B43" i="39" s="1"/>
  <c r="AK97" i="9"/>
  <c r="AX103" i="9"/>
  <c r="CU99" i="9"/>
  <c r="AX97" i="9"/>
  <c r="B41" i="8"/>
  <c r="CY132" i="9" s="1"/>
  <c r="CP84" i="9"/>
  <c r="CV86" i="9"/>
  <c r="CW76" i="9"/>
  <c r="CV80" i="9"/>
  <c r="CU84" i="9"/>
  <c r="CT80" i="9"/>
  <c r="CR76" i="9"/>
  <c r="DA86" i="9"/>
  <c r="O31" i="40"/>
  <c r="C18" i="37" s="1"/>
  <c r="D138" i="37" s="1"/>
  <c r="P31" i="40"/>
  <c r="D19" i="36" s="1"/>
  <c r="E161" i="36" s="1"/>
  <c r="CT88" i="9"/>
  <c r="L9" i="8"/>
  <c r="F31" i="44"/>
  <c r="G31" i="44"/>
  <c r="I180" i="9"/>
  <c r="I177" i="9"/>
  <c r="C283" i="35"/>
  <c r="C285" i="35" s="1"/>
  <c r="I179" i="9"/>
  <c r="I176" i="9"/>
  <c r="C276" i="35"/>
  <c r="I181" i="9"/>
  <c r="I182" i="9"/>
  <c r="I188" i="9"/>
  <c r="I183" i="9"/>
  <c r="C236" i="35"/>
  <c r="I185" i="9"/>
  <c r="C290" i="35"/>
  <c r="C292" i="35" s="1"/>
  <c r="AQ85" i="40"/>
  <c r="D174" i="39" s="1"/>
  <c r="I76" i="39"/>
  <c r="CX97" i="9"/>
  <c r="AR94" i="40"/>
  <c r="S97" i="9"/>
  <c r="DA78" i="9"/>
  <c r="CS82" i="9"/>
  <c r="F97" i="9"/>
  <c r="CR88" i="9"/>
  <c r="CS88" i="9"/>
  <c r="CW80" i="9"/>
  <c r="CY84" i="9"/>
  <c r="CX86" i="9"/>
  <c r="CV78" i="9"/>
  <c r="CU78" i="9"/>
  <c r="CS78" i="9"/>
  <c r="S30" i="40"/>
  <c r="G18" i="36" s="1"/>
  <c r="AU40" i="40"/>
  <c r="D9" i="8"/>
  <c r="K182" i="9"/>
  <c r="K177" i="9"/>
  <c r="K185" i="9"/>
  <c r="K178" i="9"/>
  <c r="G276" i="35"/>
  <c r="G236" i="35"/>
  <c r="G242" i="35" s="1"/>
  <c r="G290" i="35"/>
  <c r="G292" i="35" s="1"/>
  <c r="K184" i="9"/>
  <c r="K176" i="9"/>
  <c r="AT85" i="40"/>
  <c r="G174" i="39" s="1"/>
  <c r="G201" i="39" s="1"/>
  <c r="G202" i="39" s="1"/>
  <c r="G99" i="9"/>
  <c r="EP97" i="9"/>
  <c r="R28" i="40"/>
  <c r="AR23" i="40"/>
  <c r="E11" i="39" s="1"/>
  <c r="E36" i="39" s="1"/>
  <c r="E37" i="39" s="1"/>
  <c r="F234" i="9"/>
  <c r="AR48" i="40" s="1"/>
  <c r="E69" i="39" s="1"/>
  <c r="E102" i="39" s="1"/>
  <c r="E103" i="39" s="1"/>
  <c r="D234" i="9"/>
  <c r="AP48" i="40" s="1"/>
  <c r="C69" i="39" s="1"/>
  <c r="C102" i="39" s="1"/>
  <c r="C103" i="39" s="1"/>
  <c r="E234" i="9"/>
  <c r="AQ48" i="40" s="1"/>
  <c r="D69" i="39" s="1"/>
  <c r="D102" i="39" s="1"/>
  <c r="D103" i="39" s="1"/>
  <c r="CW88" i="9"/>
  <c r="E10" i="2"/>
  <c r="M10" i="2"/>
  <c r="CT84" i="9"/>
  <c r="F10" i="2"/>
  <c r="N10" i="2"/>
  <c r="CQ76" i="9"/>
  <c r="I10" i="2"/>
  <c r="CY78" i="9"/>
  <c r="K10" i="2"/>
  <c r="H10" i="2"/>
  <c r="J10" i="2"/>
  <c r="L10" i="2"/>
  <c r="CW82" i="9"/>
  <c r="C10" i="2"/>
  <c r="G10" i="2"/>
  <c r="D10" i="2"/>
  <c r="CT82" i="9"/>
  <c r="CU86" i="9"/>
  <c r="CZ84" i="9"/>
  <c r="CJ101" i="9"/>
  <c r="Q97" i="9"/>
  <c r="DC97" i="9"/>
  <c r="W97" i="9"/>
  <c r="BS101" i="9"/>
  <c r="CT78" i="9"/>
  <c r="CU80" i="9"/>
  <c r="CX78" i="9"/>
  <c r="CZ82" i="9"/>
  <c r="CY82" i="9"/>
  <c r="CY80" i="9"/>
  <c r="CV76" i="9"/>
  <c r="CT76" i="9"/>
  <c r="CQ80" i="9"/>
  <c r="Q31" i="40"/>
  <c r="E19" i="36" s="1"/>
  <c r="F161" i="36" s="1"/>
  <c r="C96" i="39"/>
  <c r="C97" i="39" s="1"/>
  <c r="CT86" i="9"/>
  <c r="J9" i="8"/>
  <c r="BM89" i="9"/>
  <c r="K297" i="35"/>
  <c r="K299" i="35" s="1"/>
  <c r="I49" i="39"/>
  <c r="H9" i="2"/>
  <c r="I9" i="2"/>
  <c r="CI86" i="9"/>
  <c r="D9" i="2"/>
  <c r="L9" i="2"/>
  <c r="F9" i="2"/>
  <c r="N9" i="2"/>
  <c r="J9" i="2"/>
  <c r="CI78" i="9"/>
  <c r="E9" i="2"/>
  <c r="K9" i="2"/>
  <c r="G9" i="2"/>
  <c r="M9" i="2"/>
  <c r="C9" i="2"/>
  <c r="CC82" i="9"/>
  <c r="R181" i="9"/>
  <c r="R186" i="9"/>
  <c r="P15" i="3"/>
  <c r="S183" i="9" s="1"/>
  <c r="L125" i="48"/>
  <c r="K125" i="48"/>
  <c r="AQ94" i="40"/>
  <c r="L112" i="48"/>
  <c r="K112" i="48"/>
  <c r="K134" i="48"/>
  <c r="L134" i="48"/>
  <c r="L63" i="48"/>
  <c r="K63" i="48"/>
  <c r="L157" i="48"/>
  <c r="K157" i="48"/>
  <c r="I13" i="8"/>
  <c r="G5" i="8"/>
  <c r="I5" i="8"/>
  <c r="B17" i="9"/>
  <c r="K5" i="8"/>
  <c r="C5" i="8"/>
  <c r="J5" i="8"/>
  <c r="BG138" i="9"/>
  <c r="BM130" i="9"/>
  <c r="L5" i="8"/>
  <c r="M5" i="8"/>
  <c r="BC142" i="9"/>
  <c r="BI142" i="9"/>
  <c r="N5" i="8"/>
  <c r="BC130" i="9"/>
  <c r="BI132" i="9"/>
  <c r="D5" i="8"/>
  <c r="BF142" i="9"/>
  <c r="BN130" i="9"/>
  <c r="BJ138" i="9"/>
  <c r="BE136" i="9"/>
  <c r="E5" i="8"/>
  <c r="BF132" i="9"/>
  <c r="BN138" i="9"/>
  <c r="BI136" i="9"/>
  <c r="BD134" i="9"/>
  <c r="F5" i="8"/>
  <c r="BH136" i="9"/>
  <c r="BM136" i="9"/>
  <c r="BH134" i="9"/>
  <c r="BD142" i="9"/>
  <c r="H5" i="8"/>
  <c r="BJ140" i="9"/>
  <c r="BL134" i="9"/>
  <c r="BH142" i="9"/>
  <c r="BC132" i="9"/>
  <c r="BE130" i="9"/>
  <c r="BI140" i="9"/>
  <c r="BG134" i="9"/>
  <c r="BK138" i="9"/>
  <c r="BC138" i="9"/>
  <c r="BK136" i="9"/>
  <c r="BG140" i="9"/>
  <c r="BM142" i="9"/>
  <c r="BJ134" i="9"/>
  <c r="BM138" i="9"/>
  <c r="BD136" i="9"/>
  <c r="BL132" i="9"/>
  <c r="BF130" i="9"/>
  <c r="BD140" i="9"/>
  <c r="BL140" i="9"/>
  <c r="BI134" i="9"/>
  <c r="BL138" i="9"/>
  <c r="BM140" i="9"/>
  <c r="BF138" i="9"/>
  <c r="BH140" i="9"/>
  <c r="BK142" i="9"/>
  <c r="BH132" i="9"/>
  <c r="BJ136" i="9"/>
  <c r="BL142" i="9"/>
  <c r="BC140" i="9"/>
  <c r="BK130" i="9"/>
  <c r="BJ142" i="9"/>
  <c r="BF136" i="9"/>
  <c r="BI138" i="9"/>
  <c r="BC134" i="9"/>
  <c r="BK132" i="9"/>
  <c r="BM134" i="9"/>
  <c r="BG136" i="9"/>
  <c r="BE142" i="9"/>
  <c r="BK140" i="9"/>
  <c r="BL136" i="9"/>
  <c r="BF140" i="9"/>
  <c r="BH130" i="9"/>
  <c r="BJ130" i="9"/>
  <c r="BK134" i="9"/>
  <c r="BE140" i="9"/>
  <c r="BF134" i="9"/>
  <c r="BD138" i="9"/>
  <c r="BG142" i="9"/>
  <c r="BD132" i="9"/>
  <c r="BM132" i="9"/>
  <c r="BE134" i="9"/>
  <c r="BI130" i="9"/>
  <c r="BN136" i="9"/>
  <c r="BC136" i="9"/>
  <c r="BN134" i="9"/>
  <c r="BN132" i="9"/>
  <c r="BE132" i="9"/>
  <c r="BE138" i="9"/>
  <c r="BG130" i="9"/>
  <c r="BN140" i="9"/>
  <c r="BD130" i="9"/>
  <c r="BH138" i="9"/>
  <c r="BJ132" i="9"/>
  <c r="BG132" i="9"/>
  <c r="BN142" i="9"/>
  <c r="BL130" i="9"/>
  <c r="D106" i="48"/>
  <c r="L106" i="48" s="1"/>
  <c r="K106" i="48"/>
  <c r="L51" i="48"/>
  <c r="K51" i="48"/>
  <c r="L110" i="48"/>
  <c r="K110" i="48"/>
  <c r="K50" i="48"/>
  <c r="L50" i="48"/>
  <c r="L158" i="48"/>
  <c r="K158" i="48"/>
  <c r="L49" i="48"/>
  <c r="K49" i="48"/>
  <c r="D86" i="48"/>
  <c r="L86" i="48" s="1"/>
  <c r="K86" i="48"/>
  <c r="L40" i="48"/>
  <c r="K40" i="48"/>
  <c r="B39" i="8"/>
  <c r="CA76" i="9"/>
  <c r="BZ78" i="9"/>
  <c r="BY80" i="9"/>
  <c r="BX82" i="9"/>
  <c r="BW84" i="9"/>
  <c r="BV86" i="9"/>
  <c r="BU88" i="9"/>
  <c r="BS76" i="9"/>
  <c r="BR78" i="9"/>
  <c r="BQ80" i="9"/>
  <c r="BP82" i="9"/>
  <c r="CA78" i="9"/>
  <c r="BZ80" i="9"/>
  <c r="BY82" i="9"/>
  <c r="BX84" i="9"/>
  <c r="BW86" i="9"/>
  <c r="BV88" i="9"/>
  <c r="BT76" i="9"/>
  <c r="BS78" i="9"/>
  <c r="BR80" i="9"/>
  <c r="BQ82" i="9"/>
  <c r="BP84" i="9"/>
  <c r="CA80" i="9"/>
  <c r="BZ82" i="9"/>
  <c r="BY84" i="9"/>
  <c r="BX86" i="9"/>
  <c r="BW88" i="9"/>
  <c r="BU76" i="9"/>
  <c r="BT78" i="9"/>
  <c r="BS80" i="9"/>
  <c r="BR82" i="9"/>
  <c r="BQ84" i="9"/>
  <c r="BP86" i="9"/>
  <c r="CA84" i="9"/>
  <c r="BZ86" i="9"/>
  <c r="BY88" i="9"/>
  <c r="BW76" i="9"/>
  <c r="BV78" i="9"/>
  <c r="BU80" i="9"/>
  <c r="BT82" i="9"/>
  <c r="BS84" i="9"/>
  <c r="BR86" i="9"/>
  <c r="BQ88" i="9"/>
  <c r="CA86" i="9"/>
  <c r="BX76" i="9"/>
  <c r="BV80" i="9"/>
  <c r="BT84" i="9"/>
  <c r="BR88" i="9"/>
  <c r="I8" i="2"/>
  <c r="CA88" i="9"/>
  <c r="BX78" i="9"/>
  <c r="BV82" i="9"/>
  <c r="BT86" i="9"/>
  <c r="BQ76" i="9"/>
  <c r="BZ76" i="9"/>
  <c r="BX80" i="9"/>
  <c r="BV84" i="9"/>
  <c r="BT88" i="9"/>
  <c r="BQ78" i="9"/>
  <c r="K8" i="2"/>
  <c r="BZ88" i="9"/>
  <c r="BW78" i="9"/>
  <c r="BU82" i="9"/>
  <c r="BS86" i="9"/>
  <c r="BP76" i="9"/>
  <c r="E8" i="2"/>
  <c r="M8" i="2"/>
  <c r="BW80" i="9"/>
  <c r="BS88" i="9"/>
  <c r="J8" i="2"/>
  <c r="BW82" i="9"/>
  <c r="BR76" i="9"/>
  <c r="L8" i="2"/>
  <c r="CA82" i="9"/>
  <c r="BV76" i="9"/>
  <c r="BR84" i="9"/>
  <c r="N8" i="2"/>
  <c r="C8" i="2"/>
  <c r="BZ84" i="9"/>
  <c r="BU78" i="9"/>
  <c r="BQ86" i="9"/>
  <c r="BU84" i="9"/>
  <c r="G8" i="2"/>
  <c r="BU86" i="9"/>
  <c r="H8" i="2"/>
  <c r="BT80" i="9"/>
  <c r="BS82" i="9"/>
  <c r="BY76" i="9"/>
  <c r="BY78" i="9"/>
  <c r="BY86" i="9"/>
  <c r="BX88" i="9"/>
  <c r="D8" i="2"/>
  <c r="BP78" i="9"/>
  <c r="BP80" i="9"/>
  <c r="F8" i="2"/>
  <c r="BP88" i="9"/>
  <c r="P30" i="40"/>
  <c r="D18" i="36" s="1"/>
  <c r="AT23" i="40"/>
  <c r="G11" i="39" s="1"/>
  <c r="G36" i="39" s="1"/>
  <c r="G37" i="39" s="1"/>
  <c r="S186" i="9"/>
  <c r="AS83" i="40"/>
  <c r="F172" i="39" s="1"/>
  <c r="F192" i="39" s="1"/>
  <c r="F193" i="39" s="1"/>
  <c r="K13" i="8"/>
  <c r="BX16" i="40"/>
  <c r="L118" i="48"/>
  <c r="K118" i="48"/>
  <c r="L64" i="48"/>
  <c r="K64" i="48"/>
  <c r="L80" i="48"/>
  <c r="K80" i="48"/>
  <c r="K24" i="48"/>
  <c r="L24" i="48"/>
  <c r="K146" i="48"/>
  <c r="L146" i="48"/>
  <c r="K36" i="48"/>
  <c r="L36" i="48"/>
  <c r="K74" i="48"/>
  <c r="L74" i="48"/>
  <c r="L30" i="48"/>
  <c r="K30" i="48"/>
  <c r="L39" i="48"/>
  <c r="K39" i="48"/>
  <c r="BS16" i="40"/>
  <c r="AP94" i="40"/>
  <c r="L124" i="48"/>
  <c r="K124" i="48"/>
  <c r="L85" i="48"/>
  <c r="K85" i="48"/>
  <c r="BM90" i="9"/>
  <c r="BM91" i="9" s="1"/>
  <c r="BM92" i="9" s="1"/>
  <c r="L154" i="48"/>
  <c r="K154" i="48"/>
  <c r="P8" i="3"/>
  <c r="S176" i="9" s="1"/>
  <c r="L140" i="48"/>
  <c r="K140" i="48"/>
  <c r="L70" i="48"/>
  <c r="K70" i="48"/>
  <c r="S28" i="40"/>
  <c r="G16" i="36" s="1"/>
  <c r="M15" i="3"/>
  <c r="R183" i="9" s="1"/>
  <c r="L73" i="48"/>
  <c r="AS43" i="40"/>
  <c r="F64" i="39" s="1"/>
  <c r="F84" i="39" s="1"/>
  <c r="F85" i="39" s="1"/>
  <c r="N22" i="40"/>
  <c r="B9" i="37" s="1"/>
  <c r="C45" i="37" s="1"/>
  <c r="AR84" i="40"/>
  <c r="E173" i="39" s="1"/>
  <c r="E198" i="39" s="1"/>
  <c r="E199" i="39" s="1"/>
  <c r="N13" i="8"/>
  <c r="BD90" i="9"/>
  <c r="L159" i="48"/>
  <c r="K159" i="48"/>
  <c r="L163" i="48"/>
  <c r="K163" i="48"/>
  <c r="L55" i="48"/>
  <c r="K55" i="48"/>
  <c r="L45" i="48"/>
  <c r="K45" i="48"/>
  <c r="L130" i="48"/>
  <c r="K130" i="48"/>
  <c r="L25" i="48"/>
  <c r="K25" i="48"/>
  <c r="L41" i="48"/>
  <c r="K41" i="48"/>
  <c r="D401" i="48"/>
  <c r="L401" i="48" s="1"/>
  <c r="L165" i="48"/>
  <c r="K165" i="48"/>
  <c r="L68" i="48"/>
  <c r="K68" i="48"/>
  <c r="L119" i="48"/>
  <c r="K119" i="48"/>
  <c r="K95" i="48"/>
  <c r="L95" i="48"/>
  <c r="L135" i="48"/>
  <c r="K135" i="48"/>
  <c r="L77" i="48"/>
  <c r="K77" i="48"/>
  <c r="J13" i="8"/>
  <c r="K100" i="48"/>
  <c r="D100" i="48"/>
  <c r="L100" i="48" s="1"/>
  <c r="Q29" i="40"/>
  <c r="E17" i="36" s="1"/>
  <c r="F146" i="36" s="1"/>
  <c r="K56" i="48"/>
  <c r="AR44" i="40"/>
  <c r="E65" i="39" s="1"/>
  <c r="E90" i="39" s="1"/>
  <c r="E91" i="39" s="1"/>
  <c r="O24" i="40"/>
  <c r="C11" i="37" s="1"/>
  <c r="D92" i="37" s="1"/>
  <c r="AP85" i="40"/>
  <c r="C174" i="39" s="1"/>
  <c r="AQ65" i="40"/>
  <c r="D120" i="39" s="1"/>
  <c r="G13" i="8"/>
  <c r="F13" i="8"/>
  <c r="F49" i="44"/>
  <c r="G49" i="44"/>
  <c r="L116" i="48"/>
  <c r="K116" i="48"/>
  <c r="D136" i="48"/>
  <c r="L136" i="48" s="1"/>
  <c r="K136" i="48"/>
  <c r="K129" i="48"/>
  <c r="L129" i="48"/>
  <c r="L28" i="48"/>
  <c r="K28" i="48"/>
  <c r="L164" i="48"/>
  <c r="K164" i="48"/>
  <c r="L117" i="48"/>
  <c r="K117" i="48"/>
  <c r="K155" i="48"/>
  <c r="L155" i="48"/>
  <c r="L34" i="48"/>
  <c r="K34" i="48"/>
  <c r="K153" i="48"/>
  <c r="L153" i="48"/>
  <c r="DI105" i="9"/>
  <c r="O101" i="9"/>
  <c r="CP99" i="9"/>
  <c r="S99" i="9"/>
  <c r="CK97" i="9"/>
  <c r="AF97" i="9"/>
  <c r="D97" i="9"/>
  <c r="G101" i="9"/>
  <c r="CD99" i="9"/>
  <c r="B99" i="9"/>
  <c r="CG97" i="9"/>
  <c r="AD97" i="9"/>
  <c r="CI103" i="9"/>
  <c r="B101" i="9"/>
  <c r="BX99" i="9"/>
  <c r="EJ97" i="9"/>
  <c r="BX97" i="9"/>
  <c r="AB97" i="9"/>
  <c r="EZ101" i="9"/>
  <c r="EJ99" i="9"/>
  <c r="AU99" i="9"/>
  <c r="DX97" i="9"/>
  <c r="BK97" i="9"/>
  <c r="O97" i="9"/>
  <c r="B45" i="8"/>
  <c r="EC101" i="9"/>
  <c r="AJ99" i="9"/>
  <c r="BC97" i="9"/>
  <c r="J14" i="2"/>
  <c r="DF101" i="9"/>
  <c r="AD99" i="9"/>
  <c r="AP97" i="9"/>
  <c r="BB101" i="9"/>
  <c r="X99" i="9"/>
  <c r="AI97" i="9"/>
  <c r="D14" i="2"/>
  <c r="L14" i="2"/>
  <c r="DS99" i="9"/>
  <c r="DS97" i="9"/>
  <c r="L97" i="9"/>
  <c r="F14" i="2"/>
  <c r="N14" i="2"/>
  <c r="DG99" i="9"/>
  <c r="J97" i="9"/>
  <c r="G14" i="2"/>
  <c r="CO110" i="9"/>
  <c r="DL101" i="9"/>
  <c r="EU101" i="9"/>
  <c r="AD103" i="9"/>
  <c r="BL103" i="9"/>
  <c r="CU103" i="9"/>
  <c r="ED103" i="9"/>
  <c r="L105" i="9"/>
  <c r="AU105" i="9"/>
  <c r="CD105" i="9"/>
  <c r="DL105" i="9"/>
  <c r="EU105" i="9"/>
  <c r="AD108" i="9"/>
  <c r="BL108" i="9"/>
  <c r="CU108" i="9"/>
  <c r="ED108" i="9"/>
  <c r="L110" i="9"/>
  <c r="AU110" i="9"/>
  <c r="CD110" i="9"/>
  <c r="DL110" i="9"/>
  <c r="EU110" i="9"/>
  <c r="AD112" i="9"/>
  <c r="BL112" i="9"/>
  <c r="CU112" i="9"/>
  <c r="ED112" i="9"/>
  <c r="L114" i="9"/>
  <c r="BG114" i="9"/>
  <c r="DB114" i="9"/>
  <c r="EU114" i="9"/>
  <c r="AP116" i="9"/>
  <c r="CJ116" i="9"/>
  <c r="EH116" i="9"/>
  <c r="EK116" i="9"/>
  <c r="DC116" i="9"/>
  <c r="BV116" i="9"/>
  <c r="AM116" i="9"/>
  <c r="E116" i="9"/>
  <c r="DV114" i="9"/>
  <c r="CM114" i="9"/>
  <c r="DB99" i="9"/>
  <c r="H97" i="9"/>
  <c r="H14" i="2"/>
  <c r="BL99" i="9"/>
  <c r="I14" i="2"/>
  <c r="DU101" i="9"/>
  <c r="D103" i="9"/>
  <c r="AL103" i="9"/>
  <c r="BU103" i="9"/>
  <c r="DD103" i="9"/>
  <c r="EL103" i="9"/>
  <c r="U105" i="9"/>
  <c r="BD105" i="9"/>
  <c r="CL105" i="9"/>
  <c r="DU105" i="9"/>
  <c r="D108" i="9"/>
  <c r="AL108" i="9"/>
  <c r="BU108" i="9"/>
  <c r="DD108" i="9"/>
  <c r="EL108" i="9"/>
  <c r="U110" i="9"/>
  <c r="BD110" i="9"/>
  <c r="CL110" i="9"/>
  <c r="DU110" i="9"/>
  <c r="D112" i="9"/>
  <c r="AL112" i="9"/>
  <c r="BU112" i="9"/>
  <c r="DD112" i="9"/>
  <c r="EL112" i="9"/>
  <c r="X114" i="9"/>
  <c r="BS114" i="9"/>
  <c r="DL114" i="9"/>
  <c r="G116" i="9"/>
  <c r="BB116" i="9"/>
  <c r="CY116" i="9"/>
  <c r="ES116" i="9"/>
  <c r="EC116" i="9"/>
  <c r="CT116" i="9"/>
  <c r="BM116" i="9"/>
  <c r="AE116" i="9"/>
  <c r="EV114" i="9"/>
  <c r="DM114" i="9"/>
  <c r="CE114" i="9"/>
  <c r="ED97" i="9"/>
  <c r="K14" i="2"/>
  <c r="CQ101" i="9"/>
  <c r="DY101" i="9"/>
  <c r="H103" i="9"/>
  <c r="AQ103" i="9"/>
  <c r="BY103" i="9"/>
  <c r="DH103" i="9"/>
  <c r="EQ103" i="9"/>
  <c r="Y105" i="9"/>
  <c r="BH105" i="9"/>
  <c r="CQ105" i="9"/>
  <c r="DY105" i="9"/>
  <c r="H108" i="9"/>
  <c r="AQ108" i="9"/>
  <c r="BY108" i="9"/>
  <c r="DH108" i="9"/>
  <c r="EQ108" i="9"/>
  <c r="Y110" i="9"/>
  <c r="BH110" i="9"/>
  <c r="CQ110" i="9"/>
  <c r="DY110" i="9"/>
  <c r="H112" i="9"/>
  <c r="AQ112" i="9"/>
  <c r="BY112" i="9"/>
  <c r="DH112" i="9"/>
  <c r="EQ112" i="9"/>
  <c r="AD114" i="9"/>
  <c r="BX114" i="9"/>
  <c r="DS114" i="9"/>
  <c r="L116" i="9"/>
  <c r="BG116" i="9"/>
  <c r="DE116" i="9"/>
  <c r="DX116" i="9"/>
  <c r="CP116" i="9"/>
  <c r="BI116" i="9"/>
  <c r="Z116" i="9"/>
  <c r="ER114" i="9"/>
  <c r="DI114" i="9"/>
  <c r="DG97" i="9"/>
  <c r="CO112" i="9"/>
  <c r="DD101" i="9"/>
  <c r="L103" i="9"/>
  <c r="BH103" i="9"/>
  <c r="DQ103" i="9"/>
  <c r="Q105" i="9"/>
  <c r="BU105" i="9"/>
  <c r="ED105" i="9"/>
  <c r="Y108" i="9"/>
  <c r="CH108" i="9"/>
  <c r="EH108" i="9"/>
  <c r="AL110" i="9"/>
  <c r="CU110" i="9"/>
  <c r="EQ110" i="9"/>
  <c r="AY112" i="9"/>
  <c r="CY112" i="9"/>
  <c r="D114" i="9"/>
  <c r="CD114" i="9"/>
  <c r="EP114" i="9"/>
  <c r="BS116" i="9"/>
  <c r="EM116" i="9"/>
  <c r="EP116" i="9"/>
  <c r="CI116" i="9"/>
  <c r="AI116" i="9"/>
  <c r="EE114" i="9"/>
  <c r="BZ114" i="9"/>
  <c r="AR114" i="9"/>
  <c r="K112" i="9"/>
  <c r="AT112" i="9"/>
  <c r="CC112" i="9"/>
  <c r="DK112" i="9"/>
  <c r="ET112" i="9"/>
  <c r="AH114" i="9"/>
  <c r="CC114" i="9"/>
  <c r="DW114" i="9"/>
  <c r="Q116" i="9"/>
  <c r="BK116" i="9"/>
  <c r="DD116" i="9"/>
  <c r="EW116" i="9"/>
  <c r="CP108" i="9"/>
  <c r="EJ108" i="9"/>
  <c r="AE110" i="9"/>
  <c r="CT97" i="9"/>
  <c r="CO108" i="9"/>
  <c r="DH101" i="9"/>
  <c r="Q103" i="9"/>
  <c r="BQ103" i="9"/>
  <c r="DU103" i="9"/>
  <c r="AD105" i="9"/>
  <c r="BY105" i="9"/>
  <c r="EH105" i="9"/>
  <c r="AH108" i="9"/>
  <c r="CL108" i="9"/>
  <c r="EU108" i="9"/>
  <c r="AQ110" i="9"/>
  <c r="CY110" i="9"/>
  <c r="EY110" i="9"/>
  <c r="BD112" i="9"/>
  <c r="DL112" i="9"/>
  <c r="H114" i="9"/>
  <c r="CJ114" i="9"/>
  <c r="B116" i="9"/>
  <c r="BX116" i="9"/>
  <c r="EG116" i="9"/>
  <c r="CE116" i="9"/>
  <c r="V116" i="9"/>
  <c r="DZ114" i="9"/>
  <c r="BV114" i="9"/>
  <c r="AM114" i="9"/>
  <c r="P112" i="9"/>
  <c r="AX112" i="9"/>
  <c r="CG112" i="9"/>
  <c r="DP112" i="9"/>
  <c r="EX112" i="9"/>
  <c r="AO114" i="9"/>
  <c r="CH114" i="9"/>
  <c r="EC114" i="9"/>
  <c r="W116" i="9"/>
  <c r="BQ116" i="9"/>
  <c r="DI116" i="9"/>
  <c r="BP97" i="9"/>
  <c r="DQ101" i="9"/>
  <c r="U103" i="9"/>
  <c r="CD103" i="9"/>
  <c r="DY103" i="9"/>
  <c r="AH105" i="9"/>
  <c r="CH105" i="9"/>
  <c r="EL105" i="9"/>
  <c r="AU108" i="9"/>
  <c r="CQ108" i="9"/>
  <c r="EY108" i="9"/>
  <c r="AY110" i="9"/>
  <c r="DD110" i="9"/>
  <c r="L112" i="9"/>
  <c r="BH112" i="9"/>
  <c r="DQ112" i="9"/>
  <c r="S114" i="9"/>
  <c r="CP114" i="9"/>
  <c r="S116" i="9"/>
  <c r="CD116" i="9"/>
  <c r="DT116" i="9"/>
  <c r="BZ116" i="9"/>
  <c r="R116" i="9"/>
  <c r="DR114" i="9"/>
  <c r="BR114" i="9"/>
  <c r="AI114" i="9"/>
  <c r="T112" i="9"/>
  <c r="BC112" i="9"/>
  <c r="CK112" i="9"/>
  <c r="DT112" i="9"/>
  <c r="C114" i="9"/>
  <c r="AT114" i="9"/>
  <c r="CO114" i="9"/>
  <c r="EH114" i="9"/>
  <c r="AC116" i="9"/>
  <c r="BW116" i="9"/>
  <c r="DO116" i="9"/>
  <c r="U97" i="9"/>
  <c r="ED101" i="9"/>
  <c r="Y103" i="9"/>
  <c r="CH103" i="9"/>
  <c r="EH103" i="9"/>
  <c r="AL105" i="9"/>
  <c r="CU105" i="9"/>
  <c r="EQ105" i="9"/>
  <c r="AY108" i="9"/>
  <c r="CY108" i="9"/>
  <c r="D110" i="9"/>
  <c r="BL110" i="9"/>
  <c r="DH110" i="9"/>
  <c r="Q112" i="9"/>
  <c r="BQ112" i="9"/>
  <c r="DU112" i="9"/>
  <c r="AJ114" i="9"/>
  <c r="CU114" i="9"/>
  <c r="X116" i="9"/>
  <c r="CS116" i="9"/>
  <c r="DP116" i="9"/>
  <c r="BR116" i="9"/>
  <c r="M116" i="9"/>
  <c r="DE114" i="9"/>
  <c r="BM114" i="9"/>
  <c r="AE114" i="9"/>
  <c r="X112" i="9"/>
  <c r="BG112" i="9"/>
  <c r="CP112" i="9"/>
  <c r="DX112" i="9"/>
  <c r="G114" i="9"/>
  <c r="AY114" i="9"/>
  <c r="CT114" i="9"/>
  <c r="EO114" i="9"/>
  <c r="AH116" i="9"/>
  <c r="CC116" i="9"/>
  <c r="DU116" i="9"/>
  <c r="DG108" i="9"/>
  <c r="B110" i="9"/>
  <c r="AV110" i="9"/>
  <c r="DE110" i="9"/>
  <c r="R112" i="9"/>
  <c r="DV112" i="9"/>
  <c r="EK114" i="9"/>
  <c r="DL116" i="9"/>
  <c r="P116" i="9"/>
  <c r="CB114" i="9"/>
  <c r="ES112" i="9"/>
  <c r="EY116" i="9"/>
  <c r="BH116" i="9"/>
  <c r="DT114" i="9"/>
  <c r="AF114" i="9"/>
  <c r="DI112" i="9"/>
  <c r="AO112" i="9"/>
  <c r="EJ110" i="9"/>
  <c r="CP110" i="9"/>
  <c r="BR112" i="9"/>
  <c r="BH114" i="9"/>
  <c r="CK116" i="9"/>
  <c r="AL114" i="9"/>
  <c r="BP116" i="9"/>
  <c r="BX103" i="9"/>
  <c r="C105" i="9"/>
  <c r="EY101" i="9"/>
  <c r="DL103" i="9"/>
  <c r="BQ105" i="9"/>
  <c r="U108" i="9"/>
  <c r="DY108" i="9"/>
  <c r="CH110" i="9"/>
  <c r="AU112" i="9"/>
  <c r="EY112" i="9"/>
  <c r="EJ114" i="9"/>
  <c r="EB116" i="9"/>
  <c r="DK116" i="9"/>
  <c r="I116" i="9"/>
  <c r="BI114" i="9"/>
  <c r="AC112" i="9"/>
  <c r="CT112" i="9"/>
  <c r="K114" i="9"/>
  <c r="CY114" i="9"/>
  <c r="AO116" i="9"/>
  <c r="DZ116" i="9"/>
  <c r="CI108" i="9"/>
  <c r="EV108" i="9"/>
  <c r="BI110" i="9"/>
  <c r="EB110" i="9"/>
  <c r="BJ112" i="9"/>
  <c r="BT114" i="9"/>
  <c r="ED116" i="9"/>
  <c r="DW116" i="9"/>
  <c r="D116" i="9"/>
  <c r="BD114" i="9"/>
  <c r="DS112" i="9"/>
  <c r="DH116" i="9"/>
  <c r="C116" i="9"/>
  <c r="BC114" i="9"/>
  <c r="DR112" i="9"/>
  <c r="AF112" i="9"/>
  <c r="DX110" i="9"/>
  <c r="BW110" i="9"/>
  <c r="V112" i="9"/>
  <c r="EV112" i="9"/>
  <c r="AQ116" i="9"/>
  <c r="CL116" i="9"/>
  <c r="BB103" i="9"/>
  <c r="DT103" i="9"/>
  <c r="BT105" i="9"/>
  <c r="I108" i="9"/>
  <c r="EZ116" i="9"/>
  <c r="Z112" i="9"/>
  <c r="CE110" i="9"/>
  <c r="O110" i="9"/>
  <c r="DE108" i="9"/>
  <c r="BM112" i="9"/>
  <c r="BV110" i="9"/>
  <c r="EO112" i="9"/>
  <c r="CT110" i="9"/>
  <c r="E110" i="9"/>
  <c r="CB108" i="9"/>
  <c r="AE108" i="9"/>
  <c r="EJ105" i="9"/>
  <c r="CP105" i="9"/>
  <c r="AV105" i="9"/>
  <c r="B105" i="9"/>
  <c r="DG103" i="9"/>
  <c r="CE112" i="9"/>
  <c r="CB110" i="9"/>
  <c r="ES108" i="9"/>
  <c r="BS108" i="9"/>
  <c r="M112" i="9"/>
  <c r="AX110" i="9"/>
  <c r="DV108" i="9"/>
  <c r="BE108" i="9"/>
  <c r="J108" i="9"/>
  <c r="DP105" i="9"/>
  <c r="BV105" i="9"/>
  <c r="AB105" i="9"/>
  <c r="EG103" i="9"/>
  <c r="CM103" i="9"/>
  <c r="E14" i="2"/>
  <c r="AH103" i="9"/>
  <c r="EU103" i="9"/>
  <c r="CY105" i="9"/>
  <c r="BD108" i="9"/>
  <c r="H110" i="9"/>
  <c r="DQ110" i="9"/>
  <c r="CD112" i="9"/>
  <c r="AP114" i="9"/>
  <c r="AD116" i="9"/>
  <c r="DG116" i="9"/>
  <c r="EZ114" i="9"/>
  <c r="BE114" i="9"/>
  <c r="AG112" i="9"/>
  <c r="CX112" i="9"/>
  <c r="Q114" i="9"/>
  <c r="DF114" i="9"/>
  <c r="AT116" i="9"/>
  <c r="EF116" i="9"/>
  <c r="CV108" i="9"/>
  <c r="G110" i="9"/>
  <c r="BP110" i="9"/>
  <c r="EI110" i="9"/>
  <c r="BV112" i="9"/>
  <c r="CQ114" i="9"/>
  <c r="CZ116" i="9"/>
  <c r="ES114" i="9"/>
  <c r="AS114" i="9"/>
  <c r="DJ112" i="9"/>
  <c r="CV116" i="9"/>
  <c r="EQ114" i="9"/>
  <c r="AQ114" i="9"/>
  <c r="CZ112" i="9"/>
  <c r="W112" i="9"/>
  <c r="DS110" i="9"/>
  <c r="BR110" i="9"/>
  <c r="AI112" i="9"/>
  <c r="O114" i="9"/>
  <c r="BO116" i="9"/>
  <c r="BJ114" i="9"/>
  <c r="DB116" i="9"/>
  <c r="BG103" i="9"/>
  <c r="EF103" i="9"/>
  <c r="CF105" i="9"/>
  <c r="T108" i="9"/>
  <c r="AG116" i="9"/>
  <c r="E112" i="9"/>
  <c r="BT110" i="9"/>
  <c r="F110" i="9"/>
  <c r="CW108" i="9"/>
  <c r="AJ112" i="9"/>
  <c r="BG110" i="9"/>
  <c r="CM112" i="9"/>
  <c r="CG110" i="9"/>
  <c r="ET108" i="9"/>
  <c r="BT108" i="9"/>
  <c r="X108" i="9"/>
  <c r="EE105" i="9"/>
  <c r="CJ105" i="9"/>
  <c r="AP105" i="9"/>
  <c r="EV103" i="9"/>
  <c r="DB103" i="9"/>
  <c r="BB112" i="9"/>
  <c r="BO110" i="9"/>
  <c r="EG108" i="9"/>
  <c r="DM116" i="9"/>
  <c r="ES110" i="9"/>
  <c r="AO110" i="9"/>
  <c r="DJ108" i="9"/>
  <c r="AX108" i="9"/>
  <c r="E108" i="9"/>
  <c r="DJ105" i="9"/>
  <c r="BP105" i="9"/>
  <c r="V105" i="9"/>
  <c r="EB103" i="9"/>
  <c r="CG103" i="9"/>
  <c r="CK108" i="9"/>
  <c r="M14" i="2"/>
  <c r="AU103" i="9"/>
  <c r="EY103" i="9"/>
  <c r="DD105" i="9"/>
  <c r="BH108" i="9"/>
  <c r="Q110" i="9"/>
  <c r="ED110" i="9"/>
  <c r="CH112" i="9"/>
  <c r="AU114" i="9"/>
  <c r="AJ116" i="9"/>
  <c r="CX116" i="9"/>
  <c r="EM114" i="9"/>
  <c r="AZ114" i="9"/>
  <c r="AK112" i="9"/>
  <c r="DC112" i="9"/>
  <c r="W114" i="9"/>
  <c r="DK114" i="9"/>
  <c r="AY116" i="9"/>
  <c r="EL116" i="9"/>
  <c r="DB108" i="9"/>
  <c r="M110" i="9"/>
  <c r="BX110" i="9"/>
  <c r="ER110" i="9"/>
  <c r="CJ112" i="9"/>
  <c r="DO114" i="9"/>
  <c r="CG116" i="9"/>
  <c r="EG114" i="9"/>
  <c r="AG114" i="9"/>
  <c r="DB112" i="9"/>
  <c r="CF116" i="9"/>
  <c r="EF114" i="9"/>
  <c r="T114" i="9"/>
  <c r="CR112" i="9"/>
  <c r="O112" i="9"/>
  <c r="DM110" i="9"/>
  <c r="BK110" i="9"/>
  <c r="AS112" i="9"/>
  <c r="AK114" i="9"/>
  <c r="CU116" i="9"/>
  <c r="CG114" i="9"/>
  <c r="DY116" i="9"/>
  <c r="BM103" i="9"/>
  <c r="ER103" i="9"/>
  <c r="CR105" i="9"/>
  <c r="AF108" i="9"/>
  <c r="CS114" i="9"/>
  <c r="EO110" i="9"/>
  <c r="BJ110" i="9"/>
  <c r="EX108" i="9"/>
  <c r="CM108" i="9"/>
  <c r="I112" i="9"/>
  <c r="AW110" i="9"/>
  <c r="BI112" i="9"/>
  <c r="BS110" i="9"/>
  <c r="EK108" i="9"/>
  <c r="BM108" i="9"/>
  <c r="S108" i="9"/>
  <c r="DX105" i="9"/>
  <c r="CE105" i="9"/>
  <c r="AJ105" i="9"/>
  <c r="EP103" i="9"/>
  <c r="CV103" i="9"/>
  <c r="S112" i="9"/>
  <c r="BC110" i="9"/>
  <c r="DW108" i="9"/>
  <c r="CB116" i="9"/>
  <c r="EC110" i="9"/>
  <c r="AF110" i="9"/>
  <c r="CZ108" i="9"/>
  <c r="AS108" i="9"/>
  <c r="EX105" i="9"/>
  <c r="DE105" i="9"/>
  <c r="BJ105" i="9"/>
  <c r="P105" i="9"/>
  <c r="DV103" i="9"/>
  <c r="C14" i="2"/>
  <c r="CU101" i="9"/>
  <c r="AY103" i="9"/>
  <c r="D105" i="9"/>
  <c r="DH105" i="9"/>
  <c r="BQ108" i="9"/>
  <c r="AD110" i="9"/>
  <c r="EH110" i="9"/>
  <c r="CL112" i="9"/>
  <c r="BB114" i="9"/>
  <c r="AU116" i="9"/>
  <c r="CM116" i="9"/>
  <c r="EI114" i="9"/>
  <c r="AV114" i="9"/>
  <c r="AP112" i="9"/>
  <c r="DG112" i="9"/>
  <c r="AC114" i="9"/>
  <c r="DQ114" i="9"/>
  <c r="BF116" i="9"/>
  <c r="ER116" i="9"/>
  <c r="DM108" i="9"/>
  <c r="S110" i="9"/>
  <c r="CF110" i="9"/>
  <c r="EX110" i="9"/>
  <c r="DE112" i="9"/>
  <c r="H116" i="9"/>
  <c r="BU116" i="9"/>
  <c r="DU114" i="9"/>
  <c r="U114" i="9"/>
  <c r="CS112" i="9"/>
  <c r="BT116" i="9"/>
  <c r="DH114" i="9"/>
  <c r="I114" i="9"/>
  <c r="CF112" i="9"/>
  <c r="G112" i="9"/>
  <c r="DG110" i="9"/>
  <c r="BF110" i="9"/>
  <c r="BE112" i="9"/>
  <c r="CF114" i="9"/>
  <c r="DR116" i="9"/>
  <c r="DD114" i="9"/>
  <c r="EV116" i="9"/>
  <c r="BS103" i="9"/>
  <c r="O105" i="9"/>
  <c r="DC105" i="9"/>
  <c r="AR108" i="9"/>
  <c r="P114" i="9"/>
  <c r="EF110" i="9"/>
  <c r="AZ110" i="9"/>
  <c r="ER108" i="9"/>
  <c r="CQ116" i="9"/>
  <c r="EM110" i="9"/>
  <c r="AM110" i="9"/>
  <c r="AE112" i="9"/>
  <c r="BE110" i="9"/>
  <c r="DZ108" i="9"/>
  <c r="BG108" i="9"/>
  <c r="M108" i="9"/>
  <c r="DS105" i="9"/>
  <c r="BX105" i="9"/>
  <c r="AE105" i="9"/>
  <c r="EJ103" i="9"/>
  <c r="CP103" i="9"/>
  <c r="EW110" i="9"/>
  <c r="AR110" i="9"/>
  <c r="DO108" i="9"/>
  <c r="DP114" i="9"/>
  <c r="DP110" i="9"/>
  <c r="T110" i="9"/>
  <c r="CR108" i="9"/>
  <c r="AM108" i="9"/>
  <c r="ES105" i="9"/>
  <c r="CX105" i="9"/>
  <c r="BE105" i="9"/>
  <c r="J105" i="9"/>
  <c r="DP103" i="9"/>
  <c r="AT108" i="9"/>
  <c r="BZ105" i="9"/>
  <c r="DF103" i="9"/>
  <c r="AK103" i="9"/>
  <c r="EP101" i="9"/>
  <c r="CV101" i="9"/>
  <c r="BK101" i="9"/>
  <c r="AC101" i="9"/>
  <c r="BF108" i="9"/>
  <c r="CK105" i="9"/>
  <c r="DR103" i="9"/>
  <c r="AK108" i="9"/>
  <c r="BR105" i="9"/>
  <c r="CZ103" i="9"/>
  <c r="AG103" i="9"/>
  <c r="EM101" i="9"/>
  <c r="CS101" i="9"/>
  <c r="BI101" i="9"/>
  <c r="Z101" i="9"/>
  <c r="ER99" i="9"/>
  <c r="DI99" i="9"/>
  <c r="BZ99" i="9"/>
  <c r="AR99" i="9"/>
  <c r="I99" i="9"/>
  <c r="DZ97" i="9"/>
  <c r="AC97" i="9"/>
  <c r="CM97" i="9"/>
  <c r="U99" i="9"/>
  <c r="DJ99" i="9"/>
  <c r="DR101" i="9"/>
  <c r="DK103" i="9"/>
  <c r="EI101" i="9"/>
  <c r="BF101" i="9"/>
  <c r="BO105" i="9"/>
  <c r="C103" i="9"/>
  <c r="BU101" i="9"/>
  <c r="F101" i="9"/>
  <c r="DK99" i="9"/>
  <c r="BQ99" i="9"/>
  <c r="W99" i="9"/>
  <c r="EH101" i="9"/>
  <c r="AQ105" i="9"/>
  <c r="DL108" i="9"/>
  <c r="U112" i="9"/>
  <c r="DG114" i="9"/>
  <c r="EX116" i="9"/>
  <c r="CR114" i="9"/>
  <c r="BT112" i="9"/>
  <c r="BQ114" i="9"/>
  <c r="CR116" i="9"/>
  <c r="BR108" i="9"/>
  <c r="AJ110" i="9"/>
  <c r="AB112" i="9"/>
  <c r="BC116" i="9"/>
  <c r="AX116" i="9"/>
  <c r="B114" i="9"/>
  <c r="AK116" i="9"/>
  <c r="ER112" i="9"/>
  <c r="EV110" i="9"/>
  <c r="ET110" i="9"/>
  <c r="DY114" i="9"/>
  <c r="EX114" i="9"/>
  <c r="CK103" i="9"/>
  <c r="DZ105" i="9"/>
  <c r="CW112" i="9"/>
  <c r="AK110" i="9"/>
  <c r="BU114" i="9"/>
  <c r="R110" i="9"/>
  <c r="AI110" i="9"/>
  <c r="AV108" i="9"/>
  <c r="DG105" i="9"/>
  <c r="S105" i="9"/>
  <c r="EL114" i="9"/>
  <c r="W110" i="9"/>
  <c r="DO112" i="9"/>
  <c r="EZ108" i="9"/>
  <c r="AB108" i="9"/>
  <c r="CM105" i="9"/>
  <c r="EX103" i="9"/>
  <c r="EM108" i="9"/>
  <c r="DF105" i="9"/>
  <c r="DW103" i="9"/>
  <c r="AE103" i="9"/>
  <c r="EE101" i="9"/>
  <c r="CG101" i="9"/>
  <c r="AT101" i="9"/>
  <c r="EC108" i="9"/>
  <c r="DR105" i="9"/>
  <c r="EI103" i="9"/>
  <c r="W108" i="9"/>
  <c r="AO105" i="9"/>
  <c r="BT103" i="9"/>
  <c r="J103" i="9"/>
  <c r="DJ101" i="9"/>
  <c r="BR101" i="9"/>
  <c r="AE101" i="9"/>
  <c r="EM99" i="9"/>
  <c r="CZ99" i="9"/>
  <c r="BM99" i="9"/>
  <c r="Z99" i="9"/>
  <c r="EM97" i="9"/>
  <c r="AG97" i="9"/>
  <c r="DE97" i="9"/>
  <c r="BD99" i="9"/>
  <c r="D101" i="9"/>
  <c r="EO105" i="9"/>
  <c r="F103" i="9"/>
  <c r="BO101" i="9"/>
  <c r="F105" i="9"/>
  <c r="EF101" i="9"/>
  <c r="AU101" i="9"/>
  <c r="EH99" i="9"/>
  <c r="CH99" i="9"/>
  <c r="AH99" i="9"/>
  <c r="EH97" i="9"/>
  <c r="CS97" i="9"/>
  <c r="BJ97" i="9"/>
  <c r="T103" i="9"/>
  <c r="CH101" i="9"/>
  <c r="Q101" i="9"/>
  <c r="DT99" i="9"/>
  <c r="BY99" i="9"/>
  <c r="AF99" i="9"/>
  <c r="EK97" i="9"/>
  <c r="CU97" i="9"/>
  <c r="BL97" i="9"/>
  <c r="AE97" i="9"/>
  <c r="CR97" i="9"/>
  <c r="AB99" i="9"/>
  <c r="DP99" i="9"/>
  <c r="EO101" i="9"/>
  <c r="CT105" i="9"/>
  <c r="DO99" i="9"/>
  <c r="Y99" i="9"/>
  <c r="CQ97" i="9"/>
  <c r="CZ97" i="9"/>
  <c r="EB99" i="9"/>
  <c r="AS101" i="9"/>
  <c r="DI101" i="9"/>
  <c r="DW99" i="9"/>
  <c r="Q99" i="9"/>
  <c r="BB97" i="9"/>
  <c r="BQ101" i="9"/>
  <c r="C101" i="9"/>
  <c r="T99" i="9"/>
  <c r="CL97" i="9"/>
  <c r="AR97" i="9"/>
  <c r="AX99" i="9"/>
  <c r="EL101" i="9"/>
  <c r="AY105" i="9"/>
  <c r="DQ108" i="9"/>
  <c r="Y112" i="9"/>
  <c r="DX114" i="9"/>
  <c r="ET116" i="9"/>
  <c r="CI114" i="9"/>
  <c r="BX112" i="9"/>
  <c r="BW114" i="9"/>
  <c r="CW116" i="9"/>
  <c r="BW108" i="9"/>
  <c r="AP110" i="9"/>
  <c r="AM112" i="9"/>
  <c r="BY116" i="9"/>
  <c r="AL116" i="9"/>
  <c r="EJ112" i="9"/>
  <c r="Y116" i="9"/>
  <c r="EI112" i="9"/>
  <c r="EP110" i="9"/>
  <c r="C112" i="9"/>
  <c r="EW114" i="9"/>
  <c r="U116" i="9"/>
  <c r="CW103" i="9"/>
  <c r="EK105" i="9"/>
  <c r="BS112" i="9"/>
  <c r="AC110" i="9"/>
  <c r="EW112" i="9"/>
  <c r="J116" i="9"/>
  <c r="Z110" i="9"/>
  <c r="AP108" i="9"/>
  <c r="DB105" i="9"/>
  <c r="M105" i="9"/>
  <c r="AB114" i="9"/>
  <c r="K110" i="9"/>
  <c r="BZ112" i="9"/>
  <c r="EO108" i="9"/>
  <c r="V108" i="9"/>
  <c r="CG105" i="9"/>
  <c r="ES103" i="9"/>
  <c r="EW108" i="9"/>
  <c r="CO105" i="9"/>
  <c r="CR103" i="9"/>
  <c r="X103" i="9"/>
  <c r="DX101" i="9"/>
  <c r="CC101" i="9"/>
  <c r="AP101" i="9"/>
  <c r="CE108" i="9"/>
  <c r="CZ105" i="9"/>
  <c r="DC103" i="9"/>
  <c r="F108" i="9"/>
  <c r="W105" i="9"/>
  <c r="BK103" i="9"/>
  <c r="E103" i="9"/>
  <c r="DE101" i="9"/>
  <c r="BM101" i="9"/>
  <c r="V101" i="9"/>
  <c r="EI99" i="9"/>
  <c r="CV99" i="9"/>
  <c r="BI99" i="9"/>
  <c r="V99" i="9"/>
  <c r="EI97" i="9"/>
  <c r="AM97" i="9"/>
  <c r="DP97" i="9"/>
  <c r="BP99" i="9"/>
  <c r="S101" i="9"/>
  <c r="CC105" i="9"/>
  <c r="ET101" i="9"/>
  <c r="AW101" i="9"/>
  <c r="CT103" i="9"/>
  <c r="DT101" i="9"/>
  <c r="AL101" i="9"/>
  <c r="EC99" i="9"/>
  <c r="CC99" i="9"/>
  <c r="AC99" i="9"/>
  <c r="EC97" i="9"/>
  <c r="CO97" i="9"/>
  <c r="BF97" i="9"/>
  <c r="I103" i="9"/>
  <c r="BY101" i="9"/>
  <c r="H101" i="9"/>
  <c r="BT99" i="9"/>
  <c r="EF97" i="9"/>
  <c r="BH97" i="9"/>
  <c r="AJ97" i="9"/>
  <c r="AL99" i="9"/>
  <c r="AI103" i="9"/>
  <c r="DW101" i="9"/>
  <c r="BW99" i="9"/>
  <c r="CJ97" i="9"/>
  <c r="AI105" i="9"/>
  <c r="DH99" i="9"/>
  <c r="DY97" i="9"/>
  <c r="BD97" i="9"/>
  <c r="DJ97" i="9"/>
  <c r="EL99" i="9"/>
  <c r="EQ101" i="9"/>
  <c r="BL105" i="9"/>
  <c r="DU108" i="9"/>
  <c r="AH112" i="9"/>
  <c r="ED114" i="9"/>
  <c r="BE116" i="9"/>
  <c r="Z114" i="9"/>
  <c r="EC112" i="9"/>
  <c r="ET114" i="9"/>
  <c r="CC108" i="9"/>
  <c r="BB110" i="9"/>
  <c r="AZ112" i="9"/>
  <c r="DF116" i="9"/>
  <c r="AB116" i="9"/>
  <c r="EB112" i="9"/>
  <c r="O116" i="9"/>
  <c r="DZ112" i="9"/>
  <c r="EE110" i="9"/>
  <c r="J112" i="9"/>
  <c r="T116" i="9"/>
  <c r="AS116" i="9"/>
  <c r="DI103" i="9"/>
  <c r="EW105" i="9"/>
  <c r="AV112" i="9"/>
  <c r="V110" i="9"/>
  <c r="DF112" i="9"/>
  <c r="AX114" i="9"/>
  <c r="P110" i="9"/>
  <c r="AJ108" i="9"/>
  <c r="CV105" i="9"/>
  <c r="G105" i="9"/>
  <c r="DW112" i="9"/>
  <c r="C110" i="9"/>
  <c r="AR112" i="9"/>
  <c r="EF108" i="9"/>
  <c r="P108" i="9"/>
  <c r="CB105" i="9"/>
  <c r="EM103" i="9"/>
  <c r="BI108" i="9"/>
  <c r="BK105" i="9"/>
  <c r="CF103" i="9"/>
  <c r="S103" i="9"/>
  <c r="DS101" i="9"/>
  <c r="BX101" i="9"/>
  <c r="AK101" i="9"/>
  <c r="BW105" i="9"/>
  <c r="CO103" i="9"/>
  <c r="ER105" i="9"/>
  <c r="I105" i="9"/>
  <c r="BE103" i="9"/>
  <c r="EX101" i="9"/>
  <c r="CX101" i="9"/>
  <c r="BE101" i="9"/>
  <c r="R101" i="9"/>
  <c r="EE99" i="9"/>
  <c r="CR99" i="9"/>
  <c r="BE99" i="9"/>
  <c r="R99" i="9"/>
  <c r="EE97" i="9"/>
  <c r="C97" i="9"/>
  <c r="AV97" i="9"/>
  <c r="EB97" i="9"/>
  <c r="CB99" i="9"/>
  <c r="T105" i="9"/>
  <c r="AO101" i="9"/>
  <c r="BR103" i="9"/>
  <c r="AD101" i="9"/>
  <c r="DW97" i="9"/>
  <c r="EW101" i="9"/>
  <c r="BO99" i="9"/>
  <c r="E97" i="9"/>
  <c r="EO103" i="9"/>
  <c r="CL103" i="9"/>
  <c r="EY105" i="9"/>
  <c r="BQ110" i="9"/>
  <c r="DY112" i="9"/>
  <c r="DJ116" i="9"/>
  <c r="AV116" i="9"/>
  <c r="R114" i="9"/>
  <c r="EK112" i="9"/>
  <c r="F116" i="9"/>
  <c r="DX108" i="9"/>
  <c r="CW110" i="9"/>
  <c r="E114" i="9"/>
  <c r="CX114" i="9"/>
  <c r="EQ116" i="9"/>
  <c r="CK114" i="9"/>
  <c r="BO112" i="9"/>
  <c r="CV110" i="9"/>
  <c r="CV112" i="9"/>
  <c r="AJ103" i="9"/>
  <c r="AK105" i="9"/>
  <c r="BO108" i="9"/>
  <c r="DJ110" i="9"/>
  <c r="EB108" i="9"/>
  <c r="DO110" i="9"/>
  <c r="EK110" i="9"/>
  <c r="DF108" i="9"/>
  <c r="B108" i="9"/>
  <c r="BM105" i="9"/>
  <c r="DX103" i="9"/>
  <c r="DR110" i="9"/>
  <c r="CS108" i="9"/>
  <c r="CK110" i="9"/>
  <c r="BX108" i="9"/>
  <c r="EG105" i="9"/>
  <c r="AS105" i="9"/>
  <c r="DE103" i="9"/>
  <c r="O108" i="9"/>
  <c r="AF105" i="9"/>
  <c r="BP103" i="9"/>
  <c r="G103" i="9"/>
  <c r="DG101" i="9"/>
  <c r="BP101" i="9"/>
  <c r="X101" i="9"/>
  <c r="Z108" i="9"/>
  <c r="AR105" i="9"/>
  <c r="DR108" i="9"/>
  <c r="DK105" i="9"/>
  <c r="EC103" i="9"/>
  <c r="AO103" i="9"/>
  <c r="EG101" i="9"/>
  <c r="CI101" i="9"/>
  <c r="AV101" i="9"/>
  <c r="I101" i="9"/>
  <c r="DV99" i="9"/>
  <c r="CI99" i="9"/>
  <c r="AV99" i="9"/>
  <c r="E99" i="9"/>
  <c r="DR97" i="9"/>
  <c r="K97" i="9"/>
  <c r="BM97" i="9"/>
  <c r="EX97" i="9"/>
  <c r="CX99" i="9"/>
  <c r="K103" i="9"/>
  <c r="BF103" i="9"/>
  <c r="CZ101" i="9"/>
  <c r="I110" i="9"/>
  <c r="AM103" i="9"/>
  <c r="CL101" i="9"/>
  <c r="L101" i="9"/>
  <c r="DF99" i="9"/>
  <c r="BF99" i="9"/>
  <c r="F99" i="9"/>
  <c r="DK97" i="9"/>
  <c r="CB97" i="9"/>
  <c r="AS97" i="9"/>
  <c r="BZ103" i="9"/>
  <c r="DZ101" i="9"/>
  <c r="AY101" i="9"/>
  <c r="EQ99" i="9"/>
  <c r="CW99" i="9"/>
  <c r="BC99" i="9"/>
  <c r="H99" i="9"/>
  <c r="DO97" i="9"/>
  <c r="CD97" i="9"/>
  <c r="AU97" i="9"/>
  <c r="M97" i="9"/>
  <c r="BI97" i="9"/>
  <c r="EG97" i="9"/>
  <c r="BU99" i="9"/>
  <c r="J101" i="9"/>
  <c r="AZ105" i="9"/>
  <c r="CQ103" i="9"/>
  <c r="L108" i="9"/>
  <c r="BU110" i="9"/>
  <c r="EH112" i="9"/>
  <c r="DQ116" i="9"/>
  <c r="AR116" i="9"/>
  <c r="M114" i="9"/>
  <c r="EP112" i="9"/>
  <c r="K116" i="9"/>
  <c r="EE108" i="9"/>
  <c r="DK110" i="9"/>
  <c r="Y114" i="9"/>
  <c r="EU116" i="9"/>
  <c r="CL114" i="9"/>
  <c r="EE116" i="9"/>
  <c r="BY114" i="9"/>
  <c r="BF112" i="9"/>
  <c r="CI110" i="9"/>
  <c r="DM112" i="9"/>
  <c r="AP103" i="9"/>
  <c r="AW105" i="9"/>
  <c r="CX108" i="9"/>
  <c r="CZ110" i="9"/>
  <c r="DT108" i="9"/>
  <c r="CX110" i="9"/>
  <c r="DW110" i="9"/>
  <c r="CT108" i="9"/>
  <c r="EV105" i="9"/>
  <c r="BG105" i="9"/>
  <c r="DS103" i="9"/>
  <c r="DF110" i="9"/>
  <c r="CG108" i="9"/>
  <c r="BZ110" i="9"/>
  <c r="BP108" i="9"/>
  <c r="EB105" i="9"/>
  <c r="AM105" i="9"/>
  <c r="CX103" i="9"/>
  <c r="CD108" i="9"/>
  <c r="DV116" i="9"/>
  <c r="AZ116" i="9"/>
  <c r="BP112" i="9"/>
  <c r="EM112" i="9"/>
  <c r="J114" i="9"/>
  <c r="AW112" i="9"/>
  <c r="EO116" i="9"/>
  <c r="EF112" i="9"/>
  <c r="CJ110" i="9"/>
  <c r="G108" i="9"/>
  <c r="EJ116" i="9"/>
  <c r="BM110" i="9"/>
  <c r="AX105" i="9"/>
  <c r="DT105" i="9"/>
  <c r="AS103" i="9"/>
  <c r="CK101" i="9"/>
  <c r="K101" i="9"/>
  <c r="EW103" i="9"/>
  <c r="BC105" i="9"/>
  <c r="P103" i="9"/>
  <c r="BV101" i="9"/>
  <c r="EV99" i="9"/>
  <c r="BR99" i="9"/>
  <c r="ER97" i="9"/>
  <c r="X97" i="9"/>
  <c r="AS99" i="9"/>
  <c r="AW108" i="9"/>
  <c r="BW101" i="9"/>
  <c r="ER101" i="9"/>
  <c r="EO99" i="9"/>
  <c r="AO99" i="9"/>
  <c r="CW97" i="9"/>
  <c r="C108" i="9"/>
  <c r="CR101" i="9"/>
  <c r="DY99" i="9"/>
  <c r="AK99" i="9"/>
  <c r="CY97" i="9"/>
  <c r="AH97" i="9"/>
  <c r="CI97" i="9"/>
  <c r="DD99" i="9"/>
  <c r="DK101" i="9"/>
  <c r="EZ112" i="9"/>
  <c r="BC108" i="9"/>
  <c r="F114" i="9"/>
  <c r="EZ105" i="9"/>
  <c r="AC105" i="9"/>
  <c r="CE99" i="9"/>
  <c r="CO101" i="9"/>
  <c r="AO97" i="9"/>
  <c r="AQ97" i="9"/>
  <c r="BL116" i="9"/>
  <c r="DC114" i="9"/>
  <c r="DC110" i="9"/>
  <c r="AL97" i="9"/>
  <c r="AH110" i="9"/>
  <c r="CZ114" i="9"/>
  <c r="EG112" i="9"/>
  <c r="AW114" i="9"/>
  <c r="CI112" i="9"/>
  <c r="B112" i="9"/>
  <c r="AV103" i="9"/>
  <c r="DV110" i="9"/>
  <c r="AB110" i="9"/>
  <c r="EP105" i="9"/>
  <c r="EG110" i="9"/>
  <c r="J110" i="9"/>
  <c r="AG105" i="9"/>
  <c r="AT105" i="9"/>
  <c r="M103" i="9"/>
  <c r="BT101" i="9"/>
  <c r="AO108" i="9"/>
  <c r="CC103" i="9"/>
  <c r="ET103" i="9"/>
  <c r="ES101" i="9"/>
  <c r="AZ101" i="9"/>
  <c r="DZ99" i="9"/>
  <c r="AZ99" i="9"/>
  <c r="DV97" i="9"/>
  <c r="BE97" i="9"/>
  <c r="CL99" i="9"/>
  <c r="BV103" i="9"/>
  <c r="AF101" i="9"/>
  <c r="CW101" i="9"/>
  <c r="DQ99" i="9"/>
  <c r="K99" i="9"/>
  <c r="CF97" i="9"/>
  <c r="DZ103" i="9"/>
  <c r="BH101" i="9"/>
  <c r="DC99" i="9"/>
  <c r="O99" i="9"/>
  <c r="CH97" i="9"/>
  <c r="I97" i="9"/>
  <c r="DU97" i="9"/>
  <c r="EX99" i="9"/>
  <c r="BY97" i="9"/>
  <c r="ES97" i="9"/>
  <c r="EK101" i="9"/>
  <c r="BL114" i="9"/>
  <c r="EE112" i="9"/>
  <c r="CJ108" i="9"/>
  <c r="DB101" i="9"/>
  <c r="CE101" i="9"/>
  <c r="EZ97" i="9"/>
  <c r="AW99" i="9"/>
  <c r="BK112" i="9"/>
  <c r="BW112" i="9"/>
  <c r="DM103" i="9"/>
  <c r="AZ103" i="9"/>
  <c r="K105" i="9"/>
  <c r="CI105" i="9"/>
  <c r="EZ99" i="9"/>
  <c r="T97" i="9"/>
  <c r="O103" i="9"/>
  <c r="AT99" i="9"/>
  <c r="BK108" i="9"/>
  <c r="AQ99" i="9"/>
  <c r="BZ97" i="9"/>
  <c r="CY101" i="9"/>
  <c r="BY110" i="9"/>
  <c r="CV114" i="9"/>
  <c r="BF114" i="9"/>
  <c r="DS108" i="9"/>
  <c r="AF116" i="9"/>
  <c r="DS116" i="9"/>
  <c r="DB110" i="9"/>
  <c r="EB114" i="9"/>
  <c r="CE103" i="9"/>
  <c r="CR110" i="9"/>
  <c r="EZ110" i="9"/>
  <c r="DM105" i="9"/>
  <c r="CS110" i="9"/>
  <c r="CF108" i="9"/>
  <c r="E105" i="9"/>
  <c r="R105" i="9"/>
  <c r="B103" i="9"/>
  <c r="BG101" i="9"/>
  <c r="K108" i="9"/>
  <c r="BV108" i="9"/>
  <c r="DO103" i="9"/>
  <c r="EB101" i="9"/>
  <c r="AR101" i="9"/>
  <c r="DR99" i="9"/>
  <c r="AM99" i="9"/>
  <c r="DM97" i="9"/>
  <c r="BV97" i="9"/>
  <c r="DU99" i="9"/>
  <c r="AR103" i="9"/>
  <c r="AI108" i="9"/>
  <c r="CD101" i="9"/>
  <c r="CY99" i="9"/>
  <c r="EY97" i="9"/>
  <c r="BW97" i="9"/>
  <c r="BJ103" i="9"/>
  <c r="AQ101" i="9"/>
  <c r="CQ99" i="9"/>
  <c r="C99" i="9"/>
  <c r="R97" i="9"/>
  <c r="AB101" i="9"/>
  <c r="G97" i="9"/>
  <c r="CB101" i="9"/>
  <c r="BC103" i="9"/>
  <c r="BK99" i="9"/>
  <c r="DQ97" i="9"/>
  <c r="EW99" i="9"/>
  <c r="DT97" i="9"/>
  <c r="AZ97" i="9"/>
  <c r="DI108" i="9"/>
  <c r="DT110" i="9"/>
  <c r="EE103" i="9"/>
  <c r="BI103" i="9"/>
  <c r="T101" i="9"/>
  <c r="CW105" i="9"/>
  <c r="E101" i="9"/>
  <c r="J99" i="9"/>
  <c r="Z103" i="9"/>
  <c r="AY99" i="9"/>
  <c r="DO101" i="9"/>
  <c r="DH97" i="9"/>
  <c r="CG99" i="9"/>
  <c r="F112" i="9"/>
  <c r="DZ110" i="9"/>
  <c r="CS105" i="9"/>
  <c r="EI105" i="9"/>
  <c r="P101" i="9"/>
  <c r="V103" i="9"/>
  <c r="BV99" i="9"/>
  <c r="AG99" i="9"/>
  <c r="CF101" i="9"/>
  <c r="ET99" i="9"/>
  <c r="DB97" i="9"/>
  <c r="DC101" i="9"/>
  <c r="DD97" i="9"/>
  <c r="CS99" i="9"/>
  <c r="BD103" i="9"/>
  <c r="EL110" i="9"/>
  <c r="V114" i="9"/>
  <c r="BK114" i="9"/>
  <c r="EP108" i="9"/>
  <c r="AW116" i="9"/>
  <c r="CC110" i="9"/>
  <c r="Z105" i="9"/>
  <c r="AS110" i="9"/>
  <c r="DI110" i="9"/>
  <c r="BS105" i="9"/>
  <c r="AG110" i="9"/>
  <c r="BJ108" i="9"/>
  <c r="DJ103" i="9"/>
  <c r="EZ103" i="9"/>
  <c r="EV101" i="9"/>
  <c r="BC101" i="9"/>
  <c r="ET105" i="9"/>
  <c r="CJ103" i="9"/>
  <c r="DV101" i="9"/>
  <c r="AM101" i="9"/>
  <c r="DM99" i="9"/>
  <c r="AI99" i="9"/>
  <c r="DI97" i="9"/>
  <c r="CE97" i="9"/>
  <c r="EG99" i="9"/>
  <c r="AC103" i="9"/>
  <c r="BL101" i="9"/>
  <c r="CT99" i="9"/>
  <c r="ET97" i="9"/>
  <c r="BS97" i="9"/>
  <c r="AT103" i="9"/>
  <c r="AH101" i="9"/>
  <c r="CK99" i="9"/>
  <c r="EW97" i="9"/>
  <c r="BU97" i="9"/>
  <c r="V97" i="9"/>
  <c r="D99" i="9"/>
  <c r="BJ101" i="9"/>
  <c r="CY103" i="9"/>
  <c r="CQ112" i="9"/>
  <c r="EY114" i="9"/>
  <c r="X110" i="9"/>
  <c r="EI116" i="9"/>
  <c r="CW114" i="9"/>
  <c r="BI105" i="9"/>
  <c r="EI108" i="9"/>
  <c r="AT110" i="9"/>
  <c r="BB105" i="9"/>
  <c r="DC108" i="9"/>
  <c r="AG108" i="9"/>
  <c r="CS103" i="9"/>
  <c r="EK103" i="9"/>
  <c r="EJ101" i="9"/>
  <c r="AX101" i="9"/>
  <c r="EF105" i="9"/>
  <c r="AZ108" i="9"/>
  <c r="CB103" i="9"/>
  <c r="DP101" i="9"/>
  <c r="AI101" i="9"/>
  <c r="DE99" i="9"/>
  <c r="AE99" i="9"/>
  <c r="CV97" i="9"/>
  <c r="ES99" i="9"/>
  <c r="R103" i="9"/>
  <c r="DW105" i="9"/>
  <c r="BD101" i="9"/>
  <c r="CO99" i="9"/>
  <c r="EO97" i="9"/>
  <c r="BO97" i="9"/>
  <c r="AF103" i="9"/>
  <c r="Y101" i="9"/>
  <c r="CF99" i="9"/>
  <c r="EQ97" i="9"/>
  <c r="BQ97" i="9"/>
  <c r="Z97" i="9"/>
  <c r="P99" i="9"/>
  <c r="CT101" i="9"/>
  <c r="H105" i="9"/>
  <c r="EU112" i="9"/>
  <c r="CH116" i="9"/>
  <c r="CM110" i="9"/>
  <c r="BJ116" i="9"/>
  <c r="BO114" i="9"/>
  <c r="CB112" i="9"/>
  <c r="DO105" i="9"/>
  <c r="DK108" i="9"/>
  <c r="DP108" i="9"/>
  <c r="X105" i="9"/>
  <c r="BZ108" i="9"/>
  <c r="EM105" i="9"/>
  <c r="AC108" i="9"/>
  <c r="BW103" i="9"/>
  <c r="DM101" i="9"/>
  <c r="AG101" i="9"/>
  <c r="BF105" i="9"/>
  <c r="EC105" i="9"/>
  <c r="AW103" i="9"/>
  <c r="CM101" i="9"/>
  <c r="M101" i="9"/>
  <c r="CM99" i="9"/>
  <c r="M99" i="9"/>
  <c r="EL97" i="9"/>
  <c r="U101" i="9"/>
  <c r="AW97" i="9"/>
  <c r="BH99" i="9"/>
  <c r="AY97" i="9"/>
  <c r="BJ99" i="9"/>
  <c r="W103" i="9"/>
  <c r="DQ105" i="9"/>
  <c r="CO116" i="9"/>
  <c r="DJ114" i="9"/>
  <c r="BD116" i="9"/>
  <c r="DV105" i="9"/>
  <c r="AB103" i="9"/>
  <c r="P97" i="9"/>
  <c r="BO103" i="9"/>
  <c r="EY99" i="9"/>
  <c r="DF97" i="9"/>
  <c r="EK99" i="9"/>
  <c r="BR97" i="9"/>
  <c r="EU99" i="9"/>
  <c r="Q108" i="9"/>
  <c r="BP114" i="9"/>
  <c r="BB108" i="9"/>
  <c r="CP101" i="9"/>
  <c r="BZ101" i="9"/>
  <c r="EV97" i="9"/>
  <c r="EF99" i="9"/>
  <c r="G83" i="44"/>
  <c r="F83" i="44"/>
  <c r="D166" i="48"/>
  <c r="L166" i="48" s="1"/>
  <c r="K166" i="48"/>
  <c r="L89" i="48"/>
  <c r="K89" i="48"/>
  <c r="AO94" i="40"/>
  <c r="B167" i="39"/>
  <c r="B183" i="39" s="1"/>
  <c r="B184" i="39" s="1"/>
  <c r="I184" i="39" s="1"/>
  <c r="K94" i="48"/>
  <c r="L94" i="48"/>
  <c r="L84" i="48"/>
  <c r="K84" i="48"/>
  <c r="S29" i="40"/>
  <c r="G17" i="36" s="1"/>
  <c r="H146" i="36" s="1"/>
  <c r="D13" i="8"/>
  <c r="L123" i="48"/>
  <c r="K123" i="48"/>
  <c r="L78" i="48"/>
  <c r="K78" i="48"/>
  <c r="L57" i="48"/>
  <c r="K57" i="48"/>
  <c r="AT44" i="40"/>
  <c r="G65" i="39" s="1"/>
  <c r="G90" i="39" s="1"/>
  <c r="G91" i="39" s="1"/>
  <c r="AS64" i="40"/>
  <c r="F119" i="39" s="1"/>
  <c r="F144" i="39" s="1"/>
  <c r="F145" i="39" s="1"/>
  <c r="R179" i="9"/>
  <c r="B23" i="9"/>
  <c r="G17" i="44"/>
  <c r="F17" i="44"/>
  <c r="L152" i="48"/>
  <c r="K152" i="48"/>
  <c r="L79" i="48"/>
  <c r="K79" i="48"/>
  <c r="K147" i="48"/>
  <c r="L147" i="48"/>
  <c r="L35" i="48"/>
  <c r="K35" i="48"/>
  <c r="L62" i="48"/>
  <c r="K62" i="48"/>
  <c r="L90" i="48"/>
  <c r="K90" i="48"/>
  <c r="L148" i="48"/>
  <c r="K148" i="48"/>
  <c r="L142" i="48"/>
  <c r="K142" i="48"/>
  <c r="L101" i="48"/>
  <c r="K101" i="48"/>
  <c r="L141" i="48"/>
  <c r="K141" i="48"/>
  <c r="L96" i="48"/>
  <c r="K96" i="48"/>
  <c r="K111" i="48"/>
  <c r="L111" i="48"/>
  <c r="L225" i="48"/>
  <c r="K225" i="48"/>
  <c r="D16" i="36"/>
  <c r="D15" i="37"/>
  <c r="E117" i="37" s="1"/>
  <c r="D578" i="33"/>
  <c r="C865" i="33" s="1"/>
  <c r="D261" i="43" s="1"/>
  <c r="D576" i="33"/>
  <c r="C866" i="33" s="1"/>
  <c r="D262" i="43" s="1"/>
  <c r="D577" i="33"/>
  <c r="C856" i="33" s="1"/>
  <c r="D226" i="48" s="1"/>
  <c r="D575" i="33"/>
  <c r="C800" i="33"/>
  <c r="E96" i="39"/>
  <c r="E97" i="39" s="1"/>
  <c r="A95" i="39"/>
  <c r="D57" i="38"/>
  <c r="X57" i="38"/>
  <c r="K94" i="43"/>
  <c r="L94" i="43"/>
  <c r="K242" i="48"/>
  <c r="L242" i="48"/>
  <c r="D28" i="38"/>
  <c r="X28" i="38"/>
  <c r="D48" i="38"/>
  <c r="X48" i="38"/>
  <c r="G165" i="44"/>
  <c r="L43" i="48"/>
  <c r="K43" i="48"/>
  <c r="L113" i="48"/>
  <c r="K113" i="48"/>
  <c r="P23" i="38"/>
  <c r="C858" i="33"/>
  <c r="D228" i="48" s="1"/>
  <c r="D760" i="33"/>
  <c r="C843" i="33" s="1"/>
  <c r="D213" i="48" s="1"/>
  <c r="D757" i="33"/>
  <c r="D758" i="33"/>
  <c r="C845" i="33" s="1"/>
  <c r="D215" i="48" s="1"/>
  <c r="C814" i="33"/>
  <c r="D249" i="43" s="1"/>
  <c r="D759" i="33"/>
  <c r="C850" i="33" s="1"/>
  <c r="D220" i="48" s="1"/>
  <c r="D673" i="33"/>
  <c r="D672" i="33"/>
  <c r="D674" i="33"/>
  <c r="D676" i="33"/>
  <c r="D671" i="33"/>
  <c r="D670" i="33"/>
  <c r="D675" i="33"/>
  <c r="C785" i="33"/>
  <c r="F93" i="44"/>
  <c r="G93" i="44"/>
  <c r="Q28" i="40"/>
  <c r="F18" i="37"/>
  <c r="G138" i="37" s="1"/>
  <c r="F19" i="36"/>
  <c r="G161" i="36" s="1"/>
  <c r="L93" i="48"/>
  <c r="K93" i="48"/>
  <c r="L120" i="48"/>
  <c r="K120" i="48"/>
  <c r="D141" i="36"/>
  <c r="AK16" i="41"/>
  <c r="AL51" i="41" s="1"/>
  <c r="AL52" i="41" s="1"/>
  <c r="C889" i="33"/>
  <c r="D44" i="38"/>
  <c r="X44" i="38"/>
  <c r="K104" i="43"/>
  <c r="L104" i="43"/>
  <c r="E5" i="39"/>
  <c r="E21" i="39" s="1"/>
  <c r="E22" i="39" s="1"/>
  <c r="BV16" i="40"/>
  <c r="K60" i="43"/>
  <c r="L60" i="43"/>
  <c r="L92" i="48"/>
  <c r="K92" i="48"/>
  <c r="L32" i="48"/>
  <c r="K32" i="48"/>
  <c r="K168" i="43"/>
  <c r="L168" i="43"/>
  <c r="C472" i="36"/>
  <c r="C677" i="36" s="1"/>
  <c r="X24" i="38"/>
  <c r="O24" i="38"/>
  <c r="O58" i="38" s="1"/>
  <c r="J9" i="38" s="1"/>
  <c r="D95" i="43" s="1"/>
  <c r="D54" i="38"/>
  <c r="X54" i="38"/>
  <c r="D49" i="38"/>
  <c r="X49" i="38"/>
  <c r="N29" i="40"/>
  <c r="K87" i="48"/>
  <c r="L87" i="48"/>
  <c r="L97" i="48"/>
  <c r="K97" i="48"/>
  <c r="C340" i="35"/>
  <c r="L43" i="43"/>
  <c r="K43" i="43"/>
  <c r="L263" i="35"/>
  <c r="C356" i="35" s="1"/>
  <c r="I378" i="39"/>
  <c r="F326" i="39" s="1"/>
  <c r="C387" i="39" s="1"/>
  <c r="D140" i="43" s="1"/>
  <c r="L149" i="43"/>
  <c r="D141" i="43"/>
  <c r="L141" i="43" s="1"/>
  <c r="K149" i="43"/>
  <c r="Z68" i="40"/>
  <c r="AU19" i="40"/>
  <c r="AF68" i="40"/>
  <c r="BT357" i="9"/>
  <c r="AG60" i="40" s="1"/>
  <c r="P50" i="38" s="1"/>
  <c r="Q50" i="38" s="1"/>
  <c r="Q29" i="38"/>
  <c r="X29" i="38"/>
  <c r="D42" i="38"/>
  <c r="X42" i="38"/>
  <c r="CW66" i="9"/>
  <c r="CW67" i="9"/>
  <c r="D105" i="43"/>
  <c r="D5" i="39"/>
  <c r="D21" i="39" s="1"/>
  <c r="D22" i="39" s="1"/>
  <c r="BU16" i="40"/>
  <c r="I262" i="39"/>
  <c r="N28" i="40"/>
  <c r="AQ88" i="40"/>
  <c r="D177" i="39" s="1"/>
  <c r="D210" i="39" s="1"/>
  <c r="D211" i="39" s="1"/>
  <c r="Q30" i="40"/>
  <c r="L133" i="48"/>
  <c r="K133" i="48"/>
  <c r="L61" i="48"/>
  <c r="K61" i="48"/>
  <c r="L138" i="48"/>
  <c r="K138" i="48"/>
  <c r="L82" i="48"/>
  <c r="K82" i="48"/>
  <c r="L161" i="48"/>
  <c r="K161" i="48"/>
  <c r="L98" i="48"/>
  <c r="K98" i="48"/>
  <c r="L149" i="48"/>
  <c r="K149" i="48"/>
  <c r="L75" i="48"/>
  <c r="K75" i="48"/>
  <c r="L26" i="48"/>
  <c r="K26" i="48"/>
  <c r="K19" i="45"/>
  <c r="M19" i="45"/>
  <c r="D6" i="35"/>
  <c r="D47" i="35" s="1"/>
  <c r="I297" i="35"/>
  <c r="I299" i="35" s="1"/>
  <c r="L185" i="9"/>
  <c r="L182" i="9"/>
  <c r="L184" i="9"/>
  <c r="I283" i="35"/>
  <c r="I285" i="35" s="1"/>
  <c r="L178" i="9"/>
  <c r="L180" i="9"/>
  <c r="L181" i="9"/>
  <c r="L183" i="9"/>
  <c r="L179" i="9"/>
  <c r="I290" i="35"/>
  <c r="I292" i="35" s="1"/>
  <c r="L177" i="9"/>
  <c r="L188" i="9"/>
  <c r="L176" i="9"/>
  <c r="I276" i="35"/>
  <c r="C179" i="9"/>
  <c r="I236" i="35"/>
  <c r="K230" i="48"/>
  <c r="L230" i="48"/>
  <c r="K246" i="43"/>
  <c r="L246" i="43"/>
  <c r="F215" i="36"/>
  <c r="D192" i="48"/>
  <c r="AT24" i="40"/>
  <c r="G12" i="39" s="1"/>
  <c r="G39" i="39" s="1"/>
  <c r="G40" i="39" s="1"/>
  <c r="R24" i="40"/>
  <c r="D708" i="33"/>
  <c r="D711" i="33"/>
  <c r="D709" i="33"/>
  <c r="C778" i="33" s="1"/>
  <c r="D710" i="33"/>
  <c r="AT63" i="40"/>
  <c r="G118" i="39" s="1"/>
  <c r="G138" i="39" s="1"/>
  <c r="G139" i="39" s="1"/>
  <c r="AR65" i="40"/>
  <c r="E120" i="39" s="1"/>
  <c r="I135" i="35"/>
  <c r="D634" i="33"/>
  <c r="D635" i="33"/>
  <c r="D632" i="33"/>
  <c r="D633" i="33"/>
  <c r="D636" i="33"/>
  <c r="C773" i="33"/>
  <c r="D637" i="33"/>
  <c r="L240" i="48"/>
  <c r="K240" i="48"/>
  <c r="L203" i="48"/>
  <c r="K203" i="48"/>
  <c r="B43" i="8"/>
  <c r="H12" i="2"/>
  <c r="I12" i="2"/>
  <c r="J12" i="2"/>
  <c r="K12" i="2"/>
  <c r="C12" i="2"/>
  <c r="L12" i="2"/>
  <c r="M12" i="2"/>
  <c r="G12" i="2"/>
  <c r="E12" i="2"/>
  <c r="F12" i="2"/>
  <c r="N12" i="2"/>
  <c r="D12" i="2"/>
  <c r="C334" i="35"/>
  <c r="X51" i="38"/>
  <c r="AP49" i="40"/>
  <c r="D226" i="9"/>
  <c r="L108" i="48"/>
  <c r="K108" i="48"/>
  <c r="L59" i="48"/>
  <c r="K59" i="48"/>
  <c r="I149" i="35"/>
  <c r="C320" i="35"/>
  <c r="L233" i="48"/>
  <c r="K233" i="48"/>
  <c r="F47" i="44"/>
  <c r="G47" i="44"/>
  <c r="L162" i="48"/>
  <c r="K162" i="48"/>
  <c r="L53" i="48"/>
  <c r="K53" i="48"/>
  <c r="D424" i="33"/>
  <c r="C880" i="33" s="1"/>
  <c r="D429" i="33"/>
  <c r="C886" i="33" s="1"/>
  <c r="D272" i="43" s="1"/>
  <c r="D425" i="33"/>
  <c r="C887" i="33" s="1"/>
  <c r="D273" i="43" s="1"/>
  <c r="D427" i="33"/>
  <c r="D426" i="33"/>
  <c r="D422" i="33"/>
  <c r="C878" i="33"/>
  <c r="D428" i="33"/>
  <c r="D423" i="33"/>
  <c r="C888" i="33" s="1"/>
  <c r="D277" i="43" s="1"/>
  <c r="K259" i="43"/>
  <c r="L259" i="43"/>
  <c r="L151" i="48"/>
  <c r="K151" i="48"/>
  <c r="L102" i="48"/>
  <c r="K102" i="48"/>
  <c r="H162" i="36"/>
  <c r="C550" i="36" s="1"/>
  <c r="F202" i="36"/>
  <c r="BT343" i="9"/>
  <c r="AG46" i="40" s="1"/>
  <c r="P36" i="38" s="1"/>
  <c r="D30" i="38"/>
  <c r="X30" i="38"/>
  <c r="C5" i="39"/>
  <c r="C21" i="39" s="1"/>
  <c r="C22" i="39" s="1"/>
  <c r="BT16" i="40"/>
  <c r="K139" i="48"/>
  <c r="L139" i="48"/>
  <c r="L27" i="48"/>
  <c r="K27" i="48"/>
  <c r="L31" i="48"/>
  <c r="K31" i="48"/>
  <c r="D609" i="33"/>
  <c r="D610" i="33"/>
  <c r="D613" i="33"/>
  <c r="D611" i="33"/>
  <c r="C780" i="33"/>
  <c r="D612" i="33"/>
  <c r="Q53" i="38"/>
  <c r="X53" i="38"/>
  <c r="BT359" i="9"/>
  <c r="AG62" i="40" s="1"/>
  <c r="P52" i="38" s="1"/>
  <c r="Q52" i="38" s="1"/>
  <c r="Y55" i="40"/>
  <c r="C45" i="38" s="1"/>
  <c r="L98" i="43"/>
  <c r="K98" i="43"/>
  <c r="D128" i="48"/>
  <c r="L128" i="48" s="1"/>
  <c r="K128" i="48"/>
  <c r="L54" i="48"/>
  <c r="K54" i="48"/>
  <c r="L132" i="48"/>
  <c r="K132" i="48"/>
  <c r="L66" i="48"/>
  <c r="K66" i="48"/>
  <c r="D156" i="48"/>
  <c r="L156" i="48" s="1"/>
  <c r="K156" i="48"/>
  <c r="L81" i="48"/>
  <c r="K81" i="48"/>
  <c r="L143" i="48"/>
  <c r="K143" i="48"/>
  <c r="L71" i="48"/>
  <c r="K71" i="48"/>
  <c r="AS63" i="40"/>
  <c r="F118" i="39" s="1"/>
  <c r="F138" i="39" s="1"/>
  <c r="F139" i="39" s="1"/>
  <c r="AT64" i="40"/>
  <c r="G119" i="39" s="1"/>
  <c r="G144" i="39" s="1"/>
  <c r="G145" i="39" s="1"/>
  <c r="AP44" i="40"/>
  <c r="C65" i="39" s="1"/>
  <c r="AP23" i="40"/>
  <c r="C11" i="39" s="1"/>
  <c r="AR24" i="40"/>
  <c r="E12" i="39" s="1"/>
  <c r="N24" i="40"/>
  <c r="AO83" i="40"/>
  <c r="AO85" i="40"/>
  <c r="B174" i="39" s="1"/>
  <c r="AQ45" i="40"/>
  <c r="D66" i="39" s="1"/>
  <c r="AR43" i="40"/>
  <c r="E64" i="39" s="1"/>
  <c r="AO65" i="40"/>
  <c r="B120" i="39" s="1"/>
  <c r="R22" i="40"/>
  <c r="S21" i="40"/>
  <c r="AR64" i="40"/>
  <c r="E119" i="39" s="1"/>
  <c r="AO43" i="40"/>
  <c r="AS23" i="40"/>
  <c r="F11" i="39" s="1"/>
  <c r="F36" i="39" s="1"/>
  <c r="F37" i="39" s="1"/>
  <c r="Q24" i="40"/>
  <c r="Q22" i="40"/>
  <c r="AT83" i="40"/>
  <c r="G172" i="39" s="1"/>
  <c r="G192" i="39" s="1"/>
  <c r="G193" i="39" s="1"/>
  <c r="AQ84" i="40"/>
  <c r="D173" i="39" s="1"/>
  <c r="AS44" i="40"/>
  <c r="F65" i="39" s="1"/>
  <c r="F90" i="39" s="1"/>
  <c r="F91" i="39" s="1"/>
  <c r="AP22" i="40"/>
  <c r="C10" i="39" s="1"/>
  <c r="AS85" i="40"/>
  <c r="F174" i="39" s="1"/>
  <c r="F201" i="39" s="1"/>
  <c r="F202" i="39" s="1"/>
  <c r="AP65" i="40"/>
  <c r="C120" i="39" s="1"/>
  <c r="AQ22" i="40"/>
  <c r="D10" i="39" s="1"/>
  <c r="D30" i="39" s="1"/>
  <c r="D31" i="39" s="1"/>
  <c r="AO44" i="40"/>
  <c r="B65" i="39" s="1"/>
  <c r="N21" i="40"/>
  <c r="P24" i="40"/>
  <c r="AQ64" i="40"/>
  <c r="D119" i="39" s="1"/>
  <c r="AO23" i="40"/>
  <c r="B11" i="39" s="1"/>
  <c r="AR83" i="40"/>
  <c r="E172" i="39" s="1"/>
  <c r="AT84" i="40"/>
  <c r="G173" i="39" s="1"/>
  <c r="G198" i="39" s="1"/>
  <c r="G199" i="39" s="1"/>
  <c r="AO45" i="40"/>
  <c r="B66" i="39" s="1"/>
  <c r="AT22" i="40"/>
  <c r="G10" i="39" s="1"/>
  <c r="G30" i="39" s="1"/>
  <c r="G31" i="39" s="1"/>
  <c r="O23" i="40"/>
  <c r="Q23" i="40"/>
  <c r="AO63" i="40"/>
  <c r="N23" i="40"/>
  <c r="AR45" i="40"/>
  <c r="E66" i="39" s="1"/>
  <c r="AP84" i="40"/>
  <c r="C173" i="39" s="1"/>
  <c r="AO64" i="40"/>
  <c r="B119" i="39" s="1"/>
  <c r="AQ83" i="40"/>
  <c r="D172" i="39" s="1"/>
  <c r="D192" i="39" s="1"/>
  <c r="D193" i="39" s="1"/>
  <c r="S24" i="40"/>
  <c r="P23" i="40"/>
  <c r="AP43" i="40"/>
  <c r="C64" i="39" s="1"/>
  <c r="P21" i="40"/>
  <c r="R23" i="40"/>
  <c r="AT43" i="40"/>
  <c r="G64" i="39" s="1"/>
  <c r="G84" i="39" s="1"/>
  <c r="G85" i="39" s="1"/>
  <c r="AT65" i="40"/>
  <c r="G120" i="39" s="1"/>
  <c r="G147" i="39" s="1"/>
  <c r="G148" i="39" s="1"/>
  <c r="AT45" i="40"/>
  <c r="G66" i="39" s="1"/>
  <c r="G93" i="39" s="1"/>
  <c r="G94" i="39" s="1"/>
  <c r="P22" i="40"/>
  <c r="AS24" i="40"/>
  <c r="F12" i="39" s="1"/>
  <c r="F39" i="39" s="1"/>
  <c r="F40" i="39" s="1"/>
  <c r="S23" i="40"/>
  <c r="O22" i="40"/>
  <c r="AP63" i="40"/>
  <c r="C118" i="39" s="1"/>
  <c r="AO24" i="40"/>
  <c r="B12" i="39" s="1"/>
  <c r="AQ24" i="40"/>
  <c r="D12" i="39" s="1"/>
  <c r="L198" i="48"/>
  <c r="K198" i="48"/>
  <c r="I125" i="35"/>
  <c r="C347" i="35" s="1"/>
  <c r="D556" i="33"/>
  <c r="D554" i="33"/>
  <c r="C802" i="33"/>
  <c r="D557" i="33"/>
  <c r="D555" i="33"/>
  <c r="L93" i="43"/>
  <c r="K93" i="43"/>
  <c r="K265" i="43"/>
  <c r="L265" i="43"/>
  <c r="AP64" i="40"/>
  <c r="C119" i="39" s="1"/>
  <c r="O21" i="40"/>
  <c r="K268" i="43"/>
  <c r="L268" i="43"/>
  <c r="L87" i="43"/>
  <c r="K87" i="43"/>
  <c r="AQ44" i="40"/>
  <c r="D65" i="39" s="1"/>
  <c r="AQ63" i="40"/>
  <c r="D118" i="39" s="1"/>
  <c r="D138" i="39" s="1"/>
  <c r="D139" i="39" s="1"/>
  <c r="S22" i="40"/>
  <c r="C17" i="36"/>
  <c r="D146" i="36" s="1"/>
  <c r="C16" i="37"/>
  <c r="D123" i="37" s="1"/>
  <c r="L379" i="35"/>
  <c r="K243" i="48"/>
  <c r="L243" i="48"/>
  <c r="C322" i="35"/>
  <c r="L293" i="48"/>
  <c r="K293" i="48"/>
  <c r="X37" i="38"/>
  <c r="X31" i="38"/>
  <c r="D40" i="38"/>
  <c r="X40" i="38"/>
  <c r="CR66" i="9"/>
  <c r="CR67" i="9"/>
  <c r="L104" i="48"/>
  <c r="K104" i="48"/>
  <c r="L127" i="48"/>
  <c r="K127" i="48"/>
  <c r="K239" i="48"/>
  <c r="L239" i="48"/>
  <c r="D56" i="38"/>
  <c r="X56" i="38"/>
  <c r="AS28" i="40"/>
  <c r="F16" i="39" s="1"/>
  <c r="F51" i="39" s="1"/>
  <c r="F52" i="39" s="1"/>
  <c r="G226" i="9"/>
  <c r="F5" i="39"/>
  <c r="F21" i="39" s="1"/>
  <c r="F22" i="39" s="1"/>
  <c r="BW16" i="40"/>
  <c r="L99" i="48"/>
  <c r="K99" i="48"/>
  <c r="L107" i="48"/>
  <c r="K107" i="48"/>
  <c r="BQ350" i="9"/>
  <c r="Y53" i="40" s="1"/>
  <c r="C43" i="38" s="1"/>
  <c r="AB77" i="9"/>
  <c r="L145" i="48"/>
  <c r="K145" i="48"/>
  <c r="L33" i="48"/>
  <c r="K33" i="48"/>
  <c r="L42" i="48"/>
  <c r="K42" i="48"/>
  <c r="K92" i="43"/>
  <c r="L92" i="43"/>
  <c r="Z32" i="38"/>
  <c r="AB32" i="38"/>
  <c r="D217" i="37"/>
  <c r="F217" i="37" s="1"/>
  <c r="C253" i="37" s="1"/>
  <c r="C574" i="36" s="1"/>
  <c r="C654" i="36" s="1"/>
  <c r="D218" i="37"/>
  <c r="F218" i="37" s="1"/>
  <c r="D220" i="37"/>
  <c r="F220" i="37" s="1"/>
  <c r="D219" i="37"/>
  <c r="F219" i="37" s="1"/>
  <c r="L144" i="48"/>
  <c r="K144" i="48"/>
  <c r="L160" i="48"/>
  <c r="K160" i="48"/>
  <c r="EK338" i="9"/>
  <c r="D103" i="43" s="1"/>
  <c r="C22" i="38"/>
  <c r="D33" i="38"/>
  <c r="X33" i="38"/>
  <c r="D47" i="38"/>
  <c r="X47" i="38"/>
  <c r="K99" i="43"/>
  <c r="L99" i="43"/>
  <c r="L97" i="43"/>
  <c r="K97" i="43"/>
  <c r="AB78" i="9"/>
  <c r="O30" i="40"/>
  <c r="R30" i="40"/>
  <c r="D16" i="37"/>
  <c r="E123" i="37" s="1"/>
  <c r="L122" i="48"/>
  <c r="K122" i="48"/>
  <c r="L48" i="48"/>
  <c r="K48" i="48"/>
  <c r="L121" i="48"/>
  <c r="K121" i="48"/>
  <c r="L60" i="48"/>
  <c r="K60" i="48"/>
  <c r="K150" i="48"/>
  <c r="L150" i="48"/>
  <c r="D76" i="48"/>
  <c r="L76" i="48" s="1"/>
  <c r="K76" i="48"/>
  <c r="K131" i="48"/>
  <c r="L131" i="48"/>
  <c r="L65" i="48"/>
  <c r="K65" i="48"/>
  <c r="B18" i="37"/>
  <c r="C138" i="37" s="1"/>
  <c r="B19" i="36"/>
  <c r="C161" i="36" s="1"/>
  <c r="D728" i="33"/>
  <c r="C849" i="33" s="1"/>
  <c r="D219" i="48" s="1"/>
  <c r="D729" i="33"/>
  <c r="C841" i="33" s="1"/>
  <c r="D211" i="48" s="1"/>
  <c r="C839" i="33"/>
  <c r="D209" i="48" s="1"/>
  <c r="K221" i="48"/>
  <c r="L221" i="48"/>
  <c r="E279" i="35"/>
  <c r="L279" i="35" s="1"/>
  <c r="E280" i="35"/>
  <c r="L280" i="35" s="1"/>
  <c r="C360" i="35" s="1"/>
  <c r="D564" i="33"/>
  <c r="D563" i="33"/>
  <c r="C801" i="33"/>
  <c r="D561" i="33"/>
  <c r="D562" i="33"/>
  <c r="D641" i="33"/>
  <c r="D642" i="33"/>
  <c r="D644" i="33"/>
  <c r="D643" i="33"/>
  <c r="C776" i="33"/>
  <c r="D645" i="33"/>
  <c r="D646" i="33"/>
  <c r="D746" i="33"/>
  <c r="D745" i="33"/>
  <c r="C835" i="33" s="1"/>
  <c r="D205" i="48" s="1"/>
  <c r="C185" i="36"/>
  <c r="D185" i="36" s="1"/>
  <c r="B599" i="36" s="1"/>
  <c r="C599" i="36" s="1"/>
  <c r="C735" i="36" s="1"/>
  <c r="C716" i="36" s="1"/>
  <c r="C190" i="36"/>
  <c r="D190" i="36" s="1"/>
  <c r="C188" i="36"/>
  <c r="D188" i="36" s="1"/>
  <c r="C457" i="36" s="1"/>
  <c r="C660" i="36" s="1"/>
  <c r="C186" i="36"/>
  <c r="D186" i="36" s="1"/>
  <c r="C191" i="36"/>
  <c r="D191" i="36" s="1"/>
  <c r="C192" i="36"/>
  <c r="D192" i="36" s="1"/>
  <c r="C564" i="36" s="1"/>
  <c r="C788" i="36" s="1"/>
  <c r="C189" i="36"/>
  <c r="D189" i="36" s="1"/>
  <c r="C460" i="36" s="1"/>
  <c r="C666" i="36" s="1"/>
  <c r="C181" i="36"/>
  <c r="D181" i="36" s="1"/>
  <c r="C184" i="36"/>
  <c r="D184" i="36" s="1"/>
  <c r="C182" i="36"/>
  <c r="D182" i="36" s="1"/>
  <c r="C474" i="36" s="1"/>
  <c r="C681" i="36" s="1"/>
  <c r="C187" i="36"/>
  <c r="D187" i="36" s="1"/>
  <c r="C530" i="36" s="1"/>
  <c r="C739" i="36" s="1"/>
  <c r="C180" i="36"/>
  <c r="D180" i="36" s="1"/>
  <c r="C521" i="36" s="1"/>
  <c r="C729" i="36" s="1"/>
  <c r="L300" i="35"/>
  <c r="C318" i="35" s="1"/>
  <c r="U18" i="5" s="1"/>
  <c r="D257" i="48" s="1"/>
  <c r="C808" i="33"/>
  <c r="D243" i="43" s="1"/>
  <c r="K193" i="48"/>
  <c r="L193" i="48"/>
  <c r="AS65" i="40"/>
  <c r="F120" i="39" s="1"/>
  <c r="F147" i="39" s="1"/>
  <c r="F148" i="39" s="1"/>
  <c r="C883" i="33"/>
  <c r="D269" i="43" s="1"/>
  <c r="AR22" i="40"/>
  <c r="E10" i="39" s="1"/>
  <c r="AP45" i="40"/>
  <c r="C66" i="39" s="1"/>
  <c r="R21" i="40"/>
  <c r="G239" i="35"/>
  <c r="L239" i="35" s="1"/>
  <c r="C359" i="35" s="1"/>
  <c r="G240" i="35"/>
  <c r="L240" i="35" s="1"/>
  <c r="L237" i="35"/>
  <c r="L225" i="43"/>
  <c r="K225" i="43"/>
  <c r="E204" i="39"/>
  <c r="E205" i="39" s="1"/>
  <c r="A203" i="39"/>
  <c r="B204" i="39" s="1"/>
  <c r="B205" i="39" s="1"/>
  <c r="D38" i="38"/>
  <c r="X38" i="38"/>
  <c r="G91" i="44"/>
  <c r="F91" i="44"/>
  <c r="L38" i="48"/>
  <c r="K38" i="48"/>
  <c r="L52" i="48"/>
  <c r="K52" i="48"/>
  <c r="C787" i="33"/>
  <c r="D228" i="43" s="1"/>
  <c r="D582" i="33"/>
  <c r="C789" i="33" s="1"/>
  <c r="D230" i="43" s="1"/>
  <c r="D583" i="33"/>
  <c r="C790" i="33" s="1"/>
  <c r="D231" i="43" s="1"/>
  <c r="C885" i="33"/>
  <c r="D271" i="43" s="1"/>
  <c r="D52" i="38"/>
  <c r="X52" i="38"/>
  <c r="X35" i="38"/>
  <c r="Q41" i="38"/>
  <c r="X41" i="38"/>
  <c r="AR88" i="40"/>
  <c r="E177" i="39" s="1"/>
  <c r="E210" i="39" s="1"/>
  <c r="E211" i="39" s="1"/>
  <c r="L37" i="48"/>
  <c r="K37" i="48"/>
  <c r="D46" i="48"/>
  <c r="L46" i="48" s="1"/>
  <c r="K46" i="48"/>
  <c r="BT350" i="9"/>
  <c r="AG53" i="40" s="1"/>
  <c r="P43" i="38" s="1"/>
  <c r="Q43" i="38" s="1"/>
  <c r="AQ28" i="40"/>
  <c r="E226" i="9"/>
  <c r="D204" i="37"/>
  <c r="F204" i="37" s="1"/>
  <c r="D201" i="37"/>
  <c r="D203" i="37"/>
  <c r="F203" i="37" s="1"/>
  <c r="AP88" i="40"/>
  <c r="L83" i="48"/>
  <c r="K83" i="48"/>
  <c r="L114" i="48"/>
  <c r="K114" i="48"/>
  <c r="K208" i="48"/>
  <c r="L208" i="48"/>
  <c r="D685" i="33"/>
  <c r="C903" i="33"/>
  <c r="E121" i="39"/>
  <c r="D46" i="38"/>
  <c r="X46" i="38"/>
  <c r="L139" i="43"/>
  <c r="AS88" i="40"/>
  <c r="F177" i="39" s="1"/>
  <c r="F210" i="39" s="1"/>
  <c r="F211" i="39" s="1"/>
  <c r="L67" i="48"/>
  <c r="K67" i="48"/>
  <c r="L103" i="48"/>
  <c r="K103" i="48"/>
  <c r="F49" i="35"/>
  <c r="F48" i="35"/>
  <c r="C337" i="35" s="1"/>
  <c r="F50" i="35"/>
  <c r="C884" i="33"/>
  <c r="D270" i="43" s="1"/>
  <c r="D50" i="38"/>
  <c r="X50" i="38"/>
  <c r="X26" i="38"/>
  <c r="D26" i="38"/>
  <c r="BQ346" i="9"/>
  <c r="Y49" i="40" s="1"/>
  <c r="C39" i="38" s="1"/>
  <c r="Q27" i="38"/>
  <c r="X27" i="38"/>
  <c r="D25" i="38"/>
  <c r="X25" i="38"/>
  <c r="D34" i="38"/>
  <c r="X34" i="38"/>
  <c r="F175" i="44"/>
  <c r="G175" i="44"/>
  <c r="F57" i="44"/>
  <c r="G57" i="44"/>
  <c r="EQ248" i="9"/>
  <c r="L76" i="43"/>
  <c r="K76" i="43"/>
  <c r="K80" i="43"/>
  <c r="L80" i="43"/>
  <c r="L109" i="48"/>
  <c r="K109" i="48"/>
  <c r="D44" i="48"/>
  <c r="L44" i="48" s="1"/>
  <c r="D279" i="43"/>
  <c r="K44" i="48"/>
  <c r="L115" i="48"/>
  <c r="K115" i="48"/>
  <c r="L47" i="48"/>
  <c r="K47" i="48"/>
  <c r="K137" i="48"/>
  <c r="L137" i="48"/>
  <c r="D72" i="48"/>
  <c r="L72" i="48" s="1"/>
  <c r="K72" i="48"/>
  <c r="L126" i="48"/>
  <c r="K126" i="48"/>
  <c r="L58" i="48"/>
  <c r="K58" i="48"/>
  <c r="Z55" i="38"/>
  <c r="AB55" i="38"/>
  <c r="D595" i="33"/>
  <c r="C777" i="33"/>
  <c r="D596" i="33"/>
  <c r="D594" i="33"/>
  <c r="D597" i="33"/>
  <c r="L238" i="48"/>
  <c r="K238" i="48"/>
  <c r="L214" i="48"/>
  <c r="K214" i="48"/>
  <c r="AQ43" i="40"/>
  <c r="D64" i="39" s="1"/>
  <c r="D84" i="39" s="1"/>
  <c r="D85" i="39" s="1"/>
  <c r="D653" i="33"/>
  <c r="D655" i="33"/>
  <c r="D650" i="33"/>
  <c r="C782" i="33"/>
  <c r="D654" i="33"/>
  <c r="D651" i="33"/>
  <c r="D652" i="33"/>
  <c r="D656" i="33"/>
  <c r="AO84" i="40"/>
  <c r="B173" i="39" s="1"/>
  <c r="AP83" i="40"/>
  <c r="C172" i="39" s="1"/>
  <c r="Q21" i="40"/>
  <c r="L181" i="35"/>
  <c r="C309" i="35" s="1"/>
  <c r="K235" i="48"/>
  <c r="L235" i="48"/>
  <c r="L224" i="48"/>
  <c r="K224" i="48"/>
  <c r="P17" i="45"/>
  <c r="D340" i="33"/>
  <c r="C816" i="33" s="1"/>
  <c r="D251" i="43" s="1"/>
  <c r="D343" i="33"/>
  <c r="C813" i="33" s="1"/>
  <c r="D248" i="43" s="1"/>
  <c r="D342" i="33"/>
  <c r="C804" i="33" s="1"/>
  <c r="D341" i="33"/>
  <c r="C818" i="33" s="1"/>
  <c r="D253" i="43" s="1"/>
  <c r="D339" i="33"/>
  <c r="C807" i="33" s="1"/>
  <c r="D242" i="43" s="1"/>
  <c r="C327" i="35"/>
  <c r="K247" i="43" l="1"/>
  <c r="L247" i="43"/>
  <c r="K46" i="43"/>
  <c r="L46" i="43"/>
  <c r="L91" i="43"/>
  <c r="L259" i="48"/>
  <c r="K259" i="48"/>
  <c r="D681" i="33"/>
  <c r="K244" i="43"/>
  <c r="BJ90" i="9"/>
  <c r="BL90" i="9"/>
  <c r="F171" i="44"/>
  <c r="F145" i="44"/>
  <c r="D680" i="33"/>
  <c r="C797" i="33"/>
  <c r="D238" i="43" s="1"/>
  <c r="K238" i="43" s="1"/>
  <c r="BC90" i="9"/>
  <c r="BG90" i="9"/>
  <c r="BG91" i="9" s="1"/>
  <c r="BG92" i="9" s="1"/>
  <c r="BN89" i="9"/>
  <c r="E52" i="35"/>
  <c r="D684" i="33"/>
  <c r="C798" i="33" s="1"/>
  <c r="D239" i="43" s="1"/>
  <c r="L239" i="43" s="1"/>
  <c r="C95" i="40"/>
  <c r="C101" i="40" s="1"/>
  <c r="D683" i="33"/>
  <c r="F141" i="44"/>
  <c r="I269" i="39"/>
  <c r="F218" i="39" s="1"/>
  <c r="C385" i="39" s="1"/>
  <c r="D138" i="43" s="1"/>
  <c r="C454" i="36"/>
  <c r="C652" i="36" s="1"/>
  <c r="F203" i="36"/>
  <c r="D617" i="33"/>
  <c r="D621" i="33"/>
  <c r="C794" i="33" s="1"/>
  <c r="D235" i="43" s="1"/>
  <c r="K235" i="43" s="1"/>
  <c r="C786" i="33"/>
  <c r="C768" i="33" s="1"/>
  <c r="D227" i="43" s="1"/>
  <c r="L227" i="43" s="1"/>
  <c r="D618" i="33"/>
  <c r="D619" i="33"/>
  <c r="C792" i="33" s="1"/>
  <c r="D233" i="43" s="1"/>
  <c r="D620" i="33"/>
  <c r="D682" i="33"/>
  <c r="F201" i="36"/>
  <c r="C490" i="36"/>
  <c r="C697" i="36" s="1"/>
  <c r="AU51" i="40"/>
  <c r="BK89" i="9"/>
  <c r="BF90" i="9"/>
  <c r="BF91" i="9" s="1"/>
  <c r="BF92" i="9" s="1"/>
  <c r="F123" i="44"/>
  <c r="E53" i="35"/>
  <c r="C313" i="35" s="1"/>
  <c r="K50" i="43"/>
  <c r="L50" i="43"/>
  <c r="E50" i="35"/>
  <c r="D106" i="43"/>
  <c r="K106" i="43" s="1"/>
  <c r="C319" i="35"/>
  <c r="U19" i="5" s="1"/>
  <c r="D258" i="48" s="1"/>
  <c r="D248" i="48" s="1"/>
  <c r="L248" i="48" s="1"/>
  <c r="E51" i="35"/>
  <c r="F211" i="36"/>
  <c r="C563" i="36" s="1"/>
  <c r="C787" i="36" s="1"/>
  <c r="D22" i="48" s="1"/>
  <c r="C341" i="35"/>
  <c r="F51" i="35"/>
  <c r="F52" i="35"/>
  <c r="F89" i="44"/>
  <c r="G135" i="44"/>
  <c r="G55" i="44"/>
  <c r="F147" i="44"/>
  <c r="F153" i="44"/>
  <c r="G173" i="44"/>
  <c r="F115" i="44"/>
  <c r="G95" i="44"/>
  <c r="F51" i="44"/>
  <c r="G97" i="44"/>
  <c r="G131" i="44"/>
  <c r="F101" i="44"/>
  <c r="F71" i="44"/>
  <c r="G59" i="44"/>
  <c r="F159" i="44"/>
  <c r="F167" i="44"/>
  <c r="F81" i="44"/>
  <c r="F163" i="44"/>
  <c r="G85" i="44"/>
  <c r="F8" i="8"/>
  <c r="H163" i="36"/>
  <c r="N8" i="8"/>
  <c r="H164" i="36"/>
  <c r="F181" i="44"/>
  <c r="F149" i="44"/>
  <c r="G65" i="44"/>
  <c r="F27" i="44"/>
  <c r="G179" i="44"/>
  <c r="G111" i="44"/>
  <c r="F127" i="44"/>
  <c r="G105" i="44"/>
  <c r="F99" i="44"/>
  <c r="DA140" i="9"/>
  <c r="G117" i="44"/>
  <c r="AP86" i="9"/>
  <c r="F139" i="44"/>
  <c r="G151" i="44"/>
  <c r="F43" i="44"/>
  <c r="CP130" i="9"/>
  <c r="G77" i="44"/>
  <c r="F35" i="44"/>
  <c r="AQ84" i="9"/>
  <c r="F119" i="44"/>
  <c r="CP134" i="9"/>
  <c r="H142" i="37"/>
  <c r="H139" i="37"/>
  <c r="C304" i="37" s="1"/>
  <c r="C625" i="36" s="1"/>
  <c r="C767" i="36" s="1"/>
  <c r="F29" i="44"/>
  <c r="F37" i="44"/>
  <c r="H141" i="37"/>
  <c r="F137" i="44"/>
  <c r="H140" i="37"/>
  <c r="G19" i="44"/>
  <c r="CI130" i="9"/>
  <c r="G177" i="44"/>
  <c r="AU71" i="40"/>
  <c r="D210" i="9"/>
  <c r="CG138" i="9"/>
  <c r="CD138" i="9"/>
  <c r="F87" i="44"/>
  <c r="AS86" i="9"/>
  <c r="AR88" i="9"/>
  <c r="CK138" i="9"/>
  <c r="CL138" i="9"/>
  <c r="F39" i="44"/>
  <c r="F53" i="44"/>
  <c r="D7" i="8"/>
  <c r="G109" i="44"/>
  <c r="CE134" i="9"/>
  <c r="G155" i="44"/>
  <c r="F61" i="44"/>
  <c r="AQ78" i="9"/>
  <c r="CC140" i="9"/>
  <c r="CJ138" i="9"/>
  <c r="CM132" i="9"/>
  <c r="F33" i="44"/>
  <c r="F73" i="44"/>
  <c r="F103" i="44"/>
  <c r="CR90" i="9"/>
  <c r="CR91" i="9" s="1"/>
  <c r="CR92" i="9" s="1"/>
  <c r="CL134" i="9"/>
  <c r="CK142" i="9"/>
  <c r="AZ84" i="9"/>
  <c r="CG140" i="9"/>
  <c r="F183" i="44"/>
  <c r="CN142" i="9"/>
  <c r="CE140" i="9"/>
  <c r="G143" i="44"/>
  <c r="CH130" i="9"/>
  <c r="CH136" i="9"/>
  <c r="CL140" i="9"/>
  <c r="CM138" i="9"/>
  <c r="CK130" i="9"/>
  <c r="G7" i="8"/>
  <c r="F113" i="44"/>
  <c r="F133" i="44"/>
  <c r="G121" i="44"/>
  <c r="G63" i="44"/>
  <c r="F125" i="44"/>
  <c r="G41" i="44"/>
  <c r="CV89" i="9"/>
  <c r="G169" i="44"/>
  <c r="AQ86" i="9"/>
  <c r="AR78" i="9"/>
  <c r="CC134" i="9"/>
  <c r="CL136" i="9"/>
  <c r="J7" i="8"/>
  <c r="CC130" i="9"/>
  <c r="CM142" i="9"/>
  <c r="CK136" i="9"/>
  <c r="C7" i="8"/>
  <c r="CK132" i="9"/>
  <c r="N7" i="8"/>
  <c r="CN138" i="9"/>
  <c r="CD140" i="9"/>
  <c r="G23" i="44"/>
  <c r="G25" i="44"/>
  <c r="AY80" i="9"/>
  <c r="G75" i="44"/>
  <c r="F79" i="44"/>
  <c r="G45" i="44"/>
  <c r="E18" i="37"/>
  <c r="F138" i="37" s="1"/>
  <c r="F140" i="37" s="1"/>
  <c r="CF140" i="9"/>
  <c r="AW78" i="9"/>
  <c r="CE138" i="9"/>
  <c r="CE132" i="9"/>
  <c r="CI142" i="9"/>
  <c r="CH142" i="9"/>
  <c r="CJ132" i="9"/>
  <c r="CK140" i="9"/>
  <c r="H7" i="8"/>
  <c r="AY86" i="9"/>
  <c r="F129" i="44"/>
  <c r="F157" i="44"/>
  <c r="F67" i="44"/>
  <c r="R180" i="9"/>
  <c r="R207" i="9" s="1"/>
  <c r="G161" i="44"/>
  <c r="CI132" i="9"/>
  <c r="CE142" i="9"/>
  <c r="AS80" i="9"/>
  <c r="CJ140" i="9"/>
  <c r="CM134" i="9"/>
  <c r="CJ136" i="9"/>
  <c r="CJ130" i="9"/>
  <c r="CH132" i="9"/>
  <c r="CG130" i="9"/>
  <c r="CM140" i="9"/>
  <c r="AV84" i="9"/>
  <c r="CR89" i="9"/>
  <c r="I43" i="39"/>
  <c r="L8" i="8"/>
  <c r="C8" i="8"/>
  <c r="D8" i="8"/>
  <c r="F16" i="37"/>
  <c r="G123" i="37" s="1"/>
  <c r="G125" i="37" s="1"/>
  <c r="CS142" i="9"/>
  <c r="AU82" i="9"/>
  <c r="G69" i="44"/>
  <c r="F69" i="44"/>
  <c r="G218" i="9"/>
  <c r="CZ134" i="9"/>
  <c r="CY130" i="9"/>
  <c r="F107" i="44"/>
  <c r="G107" i="44"/>
  <c r="CU140" i="9"/>
  <c r="AZ88" i="9"/>
  <c r="AT78" i="9"/>
  <c r="AW84" i="9"/>
  <c r="CF90" i="9"/>
  <c r="CF91" i="9" s="1"/>
  <c r="CF92" i="9" s="1"/>
  <c r="D18" i="37"/>
  <c r="E138" i="37" s="1"/>
  <c r="E141" i="37" s="1"/>
  <c r="G222" i="9"/>
  <c r="C12" i="36"/>
  <c r="AK12" i="41" s="1"/>
  <c r="AL45" i="41" s="1"/>
  <c r="AL47" i="41" s="1"/>
  <c r="CU134" i="9"/>
  <c r="DA134" i="9"/>
  <c r="CQ130" i="9"/>
  <c r="AS88" i="9"/>
  <c r="AT86" i="9"/>
  <c r="AQ82" i="9"/>
  <c r="AT82" i="9"/>
  <c r="B96" i="39"/>
  <c r="B97" i="39" s="1"/>
  <c r="I97" i="39" s="1"/>
  <c r="DA130" i="9"/>
  <c r="CQ138" i="9"/>
  <c r="CX140" i="9"/>
  <c r="I157" i="39"/>
  <c r="CS132" i="9"/>
  <c r="CQ132" i="9"/>
  <c r="CY140" i="9"/>
  <c r="AR82" i="9"/>
  <c r="AU88" i="9"/>
  <c r="BA84" i="9"/>
  <c r="CM89" i="9"/>
  <c r="CN90" i="9"/>
  <c r="CN91" i="9" s="1"/>
  <c r="CN92" i="9" s="1"/>
  <c r="CN89" i="9"/>
  <c r="C192" i="39"/>
  <c r="C193" i="39" s="1"/>
  <c r="G210" i="9"/>
  <c r="CT130" i="9"/>
  <c r="CR140" i="9"/>
  <c r="CV138" i="9"/>
  <c r="AP80" i="9"/>
  <c r="G214" i="9"/>
  <c r="Q183" i="9"/>
  <c r="D27" i="45" s="1"/>
  <c r="M27" i="45" s="1"/>
  <c r="AS84" i="9"/>
  <c r="AT84" i="9"/>
  <c r="AT80" i="9"/>
  <c r="AY82" i="9"/>
  <c r="CF89" i="9"/>
  <c r="CT89" i="9"/>
  <c r="R32" i="40"/>
  <c r="CN134" i="9"/>
  <c r="CN140" i="9"/>
  <c r="CC136" i="9"/>
  <c r="CF138" i="9"/>
  <c r="M7" i="8"/>
  <c r="E7" i="8"/>
  <c r="CF130" i="9"/>
  <c r="CG136" i="9"/>
  <c r="CF132" i="9"/>
  <c r="CH138" i="9"/>
  <c r="CF136" i="9"/>
  <c r="B19" i="9"/>
  <c r="AR84" i="9"/>
  <c r="AW80" i="9"/>
  <c r="AV82" i="9"/>
  <c r="AY88" i="9"/>
  <c r="BA78" i="9"/>
  <c r="AX82" i="9"/>
  <c r="AQ88" i="9"/>
  <c r="AW88" i="9"/>
  <c r="CE130" i="9"/>
  <c r="CC138" i="9"/>
  <c r="CI136" i="9"/>
  <c r="CM130" i="9"/>
  <c r="CH134" i="9"/>
  <c r="CI140" i="9"/>
  <c r="CG132" i="9"/>
  <c r="CL142" i="9"/>
  <c r="F7" i="8"/>
  <c r="CE136" i="9"/>
  <c r="CG142" i="9"/>
  <c r="CI134" i="9"/>
  <c r="F218" i="9"/>
  <c r="Q181" i="9"/>
  <c r="E222" i="9"/>
  <c r="AZ78" i="9"/>
  <c r="AU84" i="9"/>
  <c r="CP89" i="9"/>
  <c r="C201" i="39"/>
  <c r="C202" i="39" s="1"/>
  <c r="CY89" i="9"/>
  <c r="AN161" i="9"/>
  <c r="CL89" i="9"/>
  <c r="BA161" i="9"/>
  <c r="CD89" i="9"/>
  <c r="CK90" i="9"/>
  <c r="CK91" i="9" s="1"/>
  <c r="CK92" i="9" s="1"/>
  <c r="AU72" i="40"/>
  <c r="AU80" i="9"/>
  <c r="F210" i="9"/>
  <c r="CM136" i="9"/>
  <c r="CC132" i="9"/>
  <c r="CN132" i="9"/>
  <c r="L7" i="8"/>
  <c r="CJ142" i="9"/>
  <c r="CD142" i="9"/>
  <c r="CF134" i="9"/>
  <c r="CL130" i="9"/>
  <c r="CF142" i="9"/>
  <c r="I7" i="8"/>
  <c r="CK134" i="9"/>
  <c r="CC142" i="9"/>
  <c r="E210" i="9"/>
  <c r="AY84" i="9"/>
  <c r="CS89" i="9"/>
  <c r="BN161" i="9"/>
  <c r="N161" i="9"/>
  <c r="CE90" i="9"/>
  <c r="CE91" i="9" s="1"/>
  <c r="CE92" i="9" s="1"/>
  <c r="AV78" i="9"/>
  <c r="AZ86" i="9"/>
  <c r="K7" i="8"/>
  <c r="CJ134" i="9"/>
  <c r="CL132" i="9"/>
  <c r="CD130" i="9"/>
  <c r="CI138" i="9"/>
  <c r="CN130" i="9"/>
  <c r="CD136" i="9"/>
  <c r="CH140" i="9"/>
  <c r="CD132" i="9"/>
  <c r="CN136" i="9"/>
  <c r="CD134" i="9"/>
  <c r="AS82" i="9"/>
  <c r="CJ90" i="9"/>
  <c r="CJ91" i="9" s="1"/>
  <c r="CJ92" i="9" s="1"/>
  <c r="CI90" i="9"/>
  <c r="CI91" i="9" s="1"/>
  <c r="CI92" i="9" s="1"/>
  <c r="DA161" i="9"/>
  <c r="D26" i="43" s="1"/>
  <c r="K26" i="43" s="1"/>
  <c r="CG89" i="9"/>
  <c r="CK89" i="9"/>
  <c r="AA161" i="9"/>
  <c r="CH89" i="9"/>
  <c r="DN161" i="9"/>
  <c r="CU90" i="9"/>
  <c r="CU91" i="9" s="1"/>
  <c r="CU92" i="9" s="1"/>
  <c r="CN150" i="9"/>
  <c r="EN161" i="9"/>
  <c r="CY90" i="9"/>
  <c r="CY91" i="9" s="1"/>
  <c r="CY92" i="9" s="1"/>
  <c r="CT134" i="9"/>
  <c r="CT138" i="9"/>
  <c r="CV134" i="9"/>
  <c r="AU91" i="40"/>
  <c r="AU78" i="9"/>
  <c r="AR80" i="9"/>
  <c r="AN150" i="9"/>
  <c r="CS136" i="9"/>
  <c r="CV132" i="9"/>
  <c r="CU130" i="9"/>
  <c r="Q180" i="9"/>
  <c r="D30" i="45" s="1"/>
  <c r="K30" i="45" s="1"/>
  <c r="FA161" i="9"/>
  <c r="F16" i="36"/>
  <c r="G141" i="36" s="1"/>
  <c r="CJ89" i="9"/>
  <c r="CV136" i="9"/>
  <c r="CX142" i="9"/>
  <c r="CR130" i="9"/>
  <c r="CQ142" i="9"/>
  <c r="G8" i="8"/>
  <c r="CU136" i="9"/>
  <c r="CX134" i="9"/>
  <c r="CP142" i="9"/>
  <c r="CR132" i="9"/>
  <c r="CS130" i="9"/>
  <c r="CP136" i="9"/>
  <c r="CP138" i="9"/>
  <c r="CM90" i="9"/>
  <c r="CM91" i="9" s="1"/>
  <c r="CM92" i="9" s="1"/>
  <c r="AA97" i="9"/>
  <c r="BA80" i="9"/>
  <c r="AX84" i="9"/>
  <c r="CC89" i="9"/>
  <c r="CX89" i="9"/>
  <c r="FA150" i="9"/>
  <c r="DA150" i="9"/>
  <c r="D38" i="43" s="1"/>
  <c r="BA150" i="9"/>
  <c r="EA161" i="9"/>
  <c r="CD90" i="9"/>
  <c r="CD91" i="9" s="1"/>
  <c r="CD92" i="9" s="1"/>
  <c r="D121" i="37"/>
  <c r="CS90" i="9"/>
  <c r="CS91" i="9" s="1"/>
  <c r="CS92" i="9" s="1"/>
  <c r="CZ138" i="9"/>
  <c r="CL90" i="9"/>
  <c r="CL91" i="9" s="1"/>
  <c r="CL92" i="9" s="1"/>
  <c r="C138" i="39"/>
  <c r="C139" i="39" s="1"/>
  <c r="CH90" i="9"/>
  <c r="CH91" i="9" s="1"/>
  <c r="CH92" i="9" s="1"/>
  <c r="CZ130" i="9"/>
  <c r="BN150" i="9"/>
  <c r="D120" i="37"/>
  <c r="CE89" i="9"/>
  <c r="G15" i="37"/>
  <c r="H117" i="37" s="1"/>
  <c r="H120" i="37" s="1"/>
  <c r="CP140" i="9"/>
  <c r="CX136" i="9"/>
  <c r="CR134" i="9"/>
  <c r="CP132" i="9"/>
  <c r="CT142" i="9"/>
  <c r="CY134" i="9"/>
  <c r="CR136" i="9"/>
  <c r="DA138" i="9"/>
  <c r="CS138" i="9"/>
  <c r="CQ140" i="9"/>
  <c r="E8" i="8"/>
  <c r="CT140" i="9"/>
  <c r="Q178" i="9"/>
  <c r="E214" i="9"/>
  <c r="CI89" i="9"/>
  <c r="AT88" i="9"/>
  <c r="BA88" i="9"/>
  <c r="AR86" i="9"/>
  <c r="AX86" i="9"/>
  <c r="AQ80" i="9"/>
  <c r="DN150" i="9"/>
  <c r="AZ80" i="9"/>
  <c r="CY142" i="9"/>
  <c r="CR142" i="9"/>
  <c r="CZ132" i="9"/>
  <c r="CQ136" i="9"/>
  <c r="B20" i="9"/>
  <c r="EN150" i="9"/>
  <c r="D119" i="37"/>
  <c r="CU132" i="9"/>
  <c r="CQ134" i="9"/>
  <c r="CY138" i="9"/>
  <c r="M8" i="8"/>
  <c r="AS78" i="9"/>
  <c r="CG90" i="9"/>
  <c r="CG91" i="9" s="1"/>
  <c r="CG92" i="9" s="1"/>
  <c r="C19" i="36"/>
  <c r="D161" i="36" s="1"/>
  <c r="D164" i="36" s="1"/>
  <c r="CW138" i="9"/>
  <c r="CV140" i="9"/>
  <c r="CW140" i="9"/>
  <c r="CZ142" i="9"/>
  <c r="CU142" i="9"/>
  <c r="J8" i="8"/>
  <c r="CZ136" i="9"/>
  <c r="H8" i="8"/>
  <c r="CW130" i="9"/>
  <c r="CW142" i="9"/>
  <c r="CW136" i="9"/>
  <c r="CX132" i="9"/>
  <c r="E218" i="9"/>
  <c r="AY78" i="9"/>
  <c r="CV90" i="9"/>
  <c r="CV91" i="9" s="1"/>
  <c r="CV92" i="9" s="1"/>
  <c r="AV88" i="9"/>
  <c r="BA82" i="9"/>
  <c r="EA150" i="9"/>
  <c r="N150" i="9"/>
  <c r="CA150" i="9"/>
  <c r="CN161" i="9"/>
  <c r="CU138" i="9"/>
  <c r="CX138" i="9"/>
  <c r="DA132" i="9"/>
  <c r="CW132" i="9"/>
  <c r="AU86" i="9"/>
  <c r="BA86" i="9"/>
  <c r="C93" i="39"/>
  <c r="C94" i="39" s="1"/>
  <c r="CW134" i="9"/>
  <c r="CR138" i="9"/>
  <c r="CT132" i="9"/>
  <c r="DA142" i="9"/>
  <c r="CV130" i="9"/>
  <c r="CV142" i="9"/>
  <c r="CT136" i="9"/>
  <c r="CS134" i="9"/>
  <c r="DA136" i="9"/>
  <c r="CS140" i="9"/>
  <c r="I8" i="8"/>
  <c r="K8" i="8"/>
  <c r="CX130" i="9"/>
  <c r="CZ140" i="9"/>
  <c r="CY136" i="9"/>
  <c r="AP88" i="9"/>
  <c r="AX80" i="9"/>
  <c r="AW86" i="9"/>
  <c r="CZ90" i="9"/>
  <c r="CQ89" i="9"/>
  <c r="I103" i="39"/>
  <c r="F222" i="9"/>
  <c r="CW89" i="9"/>
  <c r="AA150" i="9"/>
  <c r="CA161" i="9"/>
  <c r="F295" i="44"/>
  <c r="G295" i="44"/>
  <c r="F283" i="44"/>
  <c r="G283" i="44"/>
  <c r="F325" i="44"/>
  <c r="G325" i="44"/>
  <c r="G333" i="44"/>
  <c r="F333" i="44"/>
  <c r="G239" i="44"/>
  <c r="F239" i="44"/>
  <c r="G209" i="44"/>
  <c r="F209" i="44"/>
  <c r="E242" i="35"/>
  <c r="E241" i="35"/>
  <c r="E238" i="35"/>
  <c r="DA90" i="9"/>
  <c r="DA91" i="9" s="1"/>
  <c r="DA92" i="9" s="1"/>
  <c r="F221" i="44"/>
  <c r="G221" i="44"/>
  <c r="G245" i="44"/>
  <c r="F245" i="44"/>
  <c r="F235" i="44"/>
  <c r="G235" i="44"/>
  <c r="CW90" i="9"/>
  <c r="CW91" i="9" s="1"/>
  <c r="CW92" i="9" s="1"/>
  <c r="AN97" i="9"/>
  <c r="F351" i="44"/>
  <c r="G351" i="44"/>
  <c r="F349" i="44"/>
  <c r="G349" i="44"/>
  <c r="F219" i="44"/>
  <c r="G219" i="44"/>
  <c r="F15" i="37"/>
  <c r="G117" i="37" s="1"/>
  <c r="G119" i="37" s="1"/>
  <c r="G17" i="37"/>
  <c r="H132" i="37" s="1"/>
  <c r="H135" i="37" s="1"/>
  <c r="D214" i="9"/>
  <c r="CP90" i="9"/>
  <c r="CP91" i="9" s="1"/>
  <c r="CP92" i="9" s="1"/>
  <c r="G238" i="35"/>
  <c r="A91" i="39"/>
  <c r="B90" i="39" s="1"/>
  <c r="B91" i="39" s="1"/>
  <c r="A199" i="39"/>
  <c r="B198" i="39" s="1"/>
  <c r="B199" i="39" s="1"/>
  <c r="C36" i="39"/>
  <c r="C37" i="39" s="1"/>
  <c r="CU89" i="9"/>
  <c r="L299" i="35"/>
  <c r="C348" i="35" s="1"/>
  <c r="AV80" i="9"/>
  <c r="AP84" i="9"/>
  <c r="AV86" i="9"/>
  <c r="BF144" i="9"/>
  <c r="BF145" i="9" s="1"/>
  <c r="BF146" i="9" s="1"/>
  <c r="K242" i="35"/>
  <c r="K241" i="35"/>
  <c r="K238" i="35"/>
  <c r="G227" i="44"/>
  <c r="F227" i="44"/>
  <c r="F251" i="44"/>
  <c r="G251" i="44"/>
  <c r="F211" i="44"/>
  <c r="G211" i="44"/>
  <c r="F289" i="44"/>
  <c r="G289" i="44"/>
  <c r="F341" i="44"/>
  <c r="G341" i="44"/>
  <c r="F293" i="44"/>
  <c r="G293" i="44"/>
  <c r="F345" i="44"/>
  <c r="G345" i="44"/>
  <c r="G241" i="44"/>
  <c r="F241" i="44"/>
  <c r="F273" i="44"/>
  <c r="G273" i="44"/>
  <c r="G339" i="44"/>
  <c r="F339" i="44"/>
  <c r="G217" i="44"/>
  <c r="F217" i="44"/>
  <c r="F287" i="44"/>
  <c r="G287" i="44"/>
  <c r="G261" i="44"/>
  <c r="F261" i="44"/>
  <c r="AZ82" i="9"/>
  <c r="D222" i="9"/>
  <c r="G215" i="44"/>
  <c r="F215" i="44"/>
  <c r="G263" i="44"/>
  <c r="F263" i="44"/>
  <c r="F249" i="44"/>
  <c r="G249" i="44"/>
  <c r="FA97" i="9"/>
  <c r="F214" i="9"/>
  <c r="F275" i="44"/>
  <c r="G275" i="44"/>
  <c r="G303" i="44"/>
  <c r="F303" i="44"/>
  <c r="DA89" i="9"/>
  <c r="Q188" i="9"/>
  <c r="D20" i="45" s="1"/>
  <c r="K20" i="45" s="1"/>
  <c r="F281" i="44"/>
  <c r="G281" i="44"/>
  <c r="F193" i="44"/>
  <c r="G193" i="44"/>
  <c r="F291" i="44"/>
  <c r="G291" i="44"/>
  <c r="G285" i="44"/>
  <c r="F285" i="44"/>
  <c r="CX90" i="9"/>
  <c r="CQ90" i="9"/>
  <c r="CQ91" i="9" s="1"/>
  <c r="CQ92" i="9" s="1"/>
  <c r="G241" i="35"/>
  <c r="O32" i="40"/>
  <c r="Q177" i="9"/>
  <c r="D17" i="45" s="1"/>
  <c r="M17" i="45" s="1"/>
  <c r="Q184" i="9"/>
  <c r="D29" i="45" s="1"/>
  <c r="DN97" i="9"/>
  <c r="BA97" i="9"/>
  <c r="BN97" i="9"/>
  <c r="C238" i="35"/>
  <c r="C241" i="35"/>
  <c r="C242" i="35"/>
  <c r="G255" i="44"/>
  <c r="F255" i="44"/>
  <c r="G257" i="44"/>
  <c r="F257" i="44"/>
  <c r="F347" i="44"/>
  <c r="G347" i="44"/>
  <c r="F247" i="44"/>
  <c r="G247" i="44"/>
  <c r="F335" i="44"/>
  <c r="G335" i="44"/>
  <c r="F213" i="44"/>
  <c r="G213" i="44"/>
  <c r="G279" i="44"/>
  <c r="F279" i="44"/>
  <c r="F327" i="44"/>
  <c r="G327" i="44"/>
  <c r="G205" i="44"/>
  <c r="F205" i="44"/>
  <c r="G271" i="44"/>
  <c r="F271" i="44"/>
  <c r="F265" i="44"/>
  <c r="G265" i="44"/>
  <c r="F225" i="44"/>
  <c r="G225" i="44"/>
  <c r="CZ89" i="9"/>
  <c r="G329" i="44"/>
  <c r="F329" i="44"/>
  <c r="G317" i="44"/>
  <c r="F317" i="44"/>
  <c r="G189" i="44"/>
  <c r="F189" i="44"/>
  <c r="Q176" i="9"/>
  <c r="D18" i="45" s="1"/>
  <c r="M18" i="45" s="1"/>
  <c r="CA97" i="9"/>
  <c r="AX88" i="9"/>
  <c r="AP82" i="9"/>
  <c r="G305" i="44"/>
  <c r="F305" i="44"/>
  <c r="G207" i="44"/>
  <c r="F207" i="44"/>
  <c r="F195" i="44"/>
  <c r="G195" i="44"/>
  <c r="L285" i="35"/>
  <c r="C317" i="35" s="1"/>
  <c r="N97" i="9"/>
  <c r="G309" i="44"/>
  <c r="F309" i="44"/>
  <c r="F229" i="44"/>
  <c r="G229" i="44"/>
  <c r="B10" i="36"/>
  <c r="C70" i="36" s="1"/>
  <c r="CC90" i="9"/>
  <c r="CC91" i="9" s="1"/>
  <c r="CC92" i="9" s="1"/>
  <c r="CT90" i="9"/>
  <c r="CT91" i="9" s="1"/>
  <c r="CT92" i="9" s="1"/>
  <c r="L292" i="35"/>
  <c r="C349" i="35" s="1"/>
  <c r="Q182" i="9"/>
  <c r="CN97" i="9"/>
  <c r="A202" i="39"/>
  <c r="B201" i="39" s="1"/>
  <c r="B202" i="39" s="1"/>
  <c r="G277" i="44"/>
  <c r="F277" i="44"/>
  <c r="G231" i="44"/>
  <c r="F231" i="44"/>
  <c r="F319" i="44"/>
  <c r="G319" i="44"/>
  <c r="F343" i="44"/>
  <c r="G343" i="44"/>
  <c r="F323" i="44"/>
  <c r="G323" i="44"/>
  <c r="G321" i="44"/>
  <c r="F321" i="44"/>
  <c r="F199" i="44"/>
  <c r="G199" i="44"/>
  <c r="F267" i="44"/>
  <c r="G267" i="44"/>
  <c r="F313" i="44"/>
  <c r="G313" i="44"/>
  <c r="F191" i="44"/>
  <c r="G191" i="44"/>
  <c r="F259" i="44"/>
  <c r="G259" i="44"/>
  <c r="C155" i="36"/>
  <c r="AJ18" i="41"/>
  <c r="AK55" i="41" s="1"/>
  <c r="AK56" i="41" s="1"/>
  <c r="G331" i="44"/>
  <c r="F331" i="44"/>
  <c r="F203" i="44"/>
  <c r="G203" i="44"/>
  <c r="G223" i="44"/>
  <c r="F223" i="44"/>
  <c r="F269" i="44"/>
  <c r="G269" i="44"/>
  <c r="F311" i="44"/>
  <c r="G311" i="44"/>
  <c r="D18" i="43"/>
  <c r="K18" i="43" s="1"/>
  <c r="AA108" i="9"/>
  <c r="AX78" i="9"/>
  <c r="F337" i="44"/>
  <c r="G337" i="44"/>
  <c r="F237" i="44"/>
  <c r="G237" i="44"/>
  <c r="G297" i="44"/>
  <c r="F297" i="44"/>
  <c r="F301" i="44"/>
  <c r="G301" i="44"/>
  <c r="D218" i="9"/>
  <c r="C84" i="39"/>
  <c r="C85" i="39" s="1"/>
  <c r="Q179" i="9"/>
  <c r="Q185" i="9"/>
  <c r="D28" i="45" s="1"/>
  <c r="M28" i="45" s="1"/>
  <c r="AW82" i="9"/>
  <c r="G197" i="44"/>
  <c r="F197" i="44"/>
  <c r="G185" i="44"/>
  <c r="F185" i="44"/>
  <c r="F201" i="44"/>
  <c r="G201" i="44"/>
  <c r="G243" i="44"/>
  <c r="F243" i="44"/>
  <c r="F315" i="44"/>
  <c r="G315" i="44"/>
  <c r="G187" i="44"/>
  <c r="F187" i="44"/>
  <c r="F307" i="44"/>
  <c r="G307" i="44"/>
  <c r="F253" i="44"/>
  <c r="G253" i="44"/>
  <c r="G299" i="44"/>
  <c r="F299" i="44"/>
  <c r="F233" i="44"/>
  <c r="G233" i="44"/>
  <c r="C136" i="37"/>
  <c r="C135" i="37"/>
  <c r="C133" i="37"/>
  <c r="C134" i="37"/>
  <c r="S207" i="9"/>
  <c r="D21" i="45" s="1"/>
  <c r="K21" i="45" s="1"/>
  <c r="BQ89" i="9"/>
  <c r="BQ90" i="9"/>
  <c r="BQ91" i="9" s="1"/>
  <c r="BQ92" i="9" s="1"/>
  <c r="I22" i="39"/>
  <c r="BA108" i="9"/>
  <c r="BP89" i="9"/>
  <c r="N108" i="9"/>
  <c r="BC144" i="9"/>
  <c r="BC143" i="9"/>
  <c r="BV89" i="9"/>
  <c r="BV90" i="9"/>
  <c r="BF143" i="9"/>
  <c r="BK143" i="9"/>
  <c r="BK144" i="9"/>
  <c r="BK145" i="9" s="1"/>
  <c r="BK146" i="9" s="1"/>
  <c r="D17" i="37"/>
  <c r="E132" i="37" s="1"/>
  <c r="E133" i="37" s="1"/>
  <c r="P32" i="40"/>
  <c r="FA108" i="9"/>
  <c r="BT90" i="9"/>
  <c r="BT91" i="9" s="1"/>
  <c r="BT92" i="9" s="1"/>
  <c r="BT89" i="9"/>
  <c r="BD144" i="9"/>
  <c r="BD145" i="9" s="1"/>
  <c r="BD146" i="9" s="1"/>
  <c r="BD143" i="9"/>
  <c r="BE143" i="9"/>
  <c r="BE144" i="9"/>
  <c r="CN108" i="9"/>
  <c r="BI91" i="9"/>
  <c r="BI92" i="9" s="1"/>
  <c r="BW89" i="9"/>
  <c r="BW90" i="9"/>
  <c r="B22" i="9"/>
  <c r="J12" i="8"/>
  <c r="D12" i="8"/>
  <c r="L12" i="8"/>
  <c r="E12" i="8"/>
  <c r="M12" i="8"/>
  <c r="C12" i="8"/>
  <c r="F12" i="8"/>
  <c r="G12" i="8"/>
  <c r="H12" i="8"/>
  <c r="I12" i="8"/>
  <c r="K12" i="8"/>
  <c r="N12" i="8"/>
  <c r="BU90" i="9"/>
  <c r="BU91" i="9" s="1"/>
  <c r="BU92" i="9" s="1"/>
  <c r="BU89" i="9"/>
  <c r="G16" i="37"/>
  <c r="H123" i="37" s="1"/>
  <c r="H124" i="37" s="1"/>
  <c r="C310" i="37" s="1"/>
  <c r="C631" i="36" s="1"/>
  <c r="S32" i="40"/>
  <c r="E16" i="37"/>
  <c r="F123" i="37" s="1"/>
  <c r="F125" i="37" s="1"/>
  <c r="DN108" i="9"/>
  <c r="EN97" i="9"/>
  <c r="BJ91" i="9"/>
  <c r="BJ92" i="9" s="1"/>
  <c r="BK91" i="9"/>
  <c r="BK92" i="9" s="1"/>
  <c r="BP90" i="9"/>
  <c r="BP91" i="9" s="1"/>
  <c r="BP92" i="9" s="1"/>
  <c r="CA89" i="9"/>
  <c r="CA90" i="9"/>
  <c r="CA91" i="9" s="1"/>
  <c r="CA92" i="9" s="1"/>
  <c r="BI143" i="9"/>
  <c r="CA108" i="9"/>
  <c r="EN108" i="9"/>
  <c r="BM144" i="9"/>
  <c r="BM145" i="9" s="1"/>
  <c r="BM146" i="9" s="1"/>
  <c r="BM143" i="9"/>
  <c r="BX89" i="9"/>
  <c r="BX90" i="9"/>
  <c r="BI144" i="9"/>
  <c r="BI145" i="9" s="1"/>
  <c r="BI146" i="9" s="1"/>
  <c r="EA108" i="9"/>
  <c r="AP78" i="9"/>
  <c r="BN108" i="9"/>
  <c r="BD91" i="9"/>
  <c r="BD92" i="9" s="1"/>
  <c r="BY89" i="9"/>
  <c r="BY90" i="9"/>
  <c r="BY91" i="9" s="1"/>
  <c r="BY92" i="9" s="1"/>
  <c r="BR89" i="9"/>
  <c r="BR90" i="9"/>
  <c r="BR91" i="9" s="1"/>
  <c r="BR92" i="9" s="1"/>
  <c r="BS90" i="9"/>
  <c r="BS89" i="9"/>
  <c r="B18" i="9"/>
  <c r="D6" i="8"/>
  <c r="L6" i="8"/>
  <c r="F6" i="8"/>
  <c r="N6" i="8"/>
  <c r="H6" i="8"/>
  <c r="K6" i="8"/>
  <c r="BV130" i="9"/>
  <c r="M6" i="8"/>
  <c r="C6" i="8"/>
  <c r="BQ142" i="9"/>
  <c r="BX138" i="9"/>
  <c r="BQ132" i="9"/>
  <c r="BY142" i="9"/>
  <c r="BR140" i="9"/>
  <c r="CA134" i="9"/>
  <c r="BW142" i="9"/>
  <c r="CA132" i="9"/>
  <c r="BU142" i="9"/>
  <c r="BR132" i="9"/>
  <c r="CA138" i="9"/>
  <c r="BS132" i="9"/>
  <c r="CA142" i="9"/>
  <c r="BV132" i="9"/>
  <c r="BZ136" i="9"/>
  <c r="BT134" i="9"/>
  <c r="BS136" i="9"/>
  <c r="BT138" i="9"/>
  <c r="BZ132" i="9"/>
  <c r="BV140" i="9"/>
  <c r="BY140" i="9"/>
  <c r="BS138" i="9"/>
  <c r="BT140" i="9"/>
  <c r="BU140" i="9"/>
  <c r="BZ140" i="9"/>
  <c r="BU130" i="9"/>
  <c r="BX132" i="9"/>
  <c r="BR130" i="9"/>
  <c r="BV134" i="9"/>
  <c r="BU134" i="9"/>
  <c r="BS140" i="9"/>
  <c r="BR134" i="9"/>
  <c r="BY130" i="9"/>
  <c r="BX142" i="9"/>
  <c r="BX140" i="9"/>
  <c r="BS130" i="9"/>
  <c r="BR136" i="9"/>
  <c r="CA136" i="9"/>
  <c r="BY138" i="9"/>
  <c r="BW136" i="9"/>
  <c r="BY132" i="9"/>
  <c r="BP130" i="9"/>
  <c r="BZ142" i="9"/>
  <c r="BX136" i="9"/>
  <c r="BV138" i="9"/>
  <c r="BZ134" i="9"/>
  <c r="BZ138" i="9"/>
  <c r="BX134" i="9"/>
  <c r="CA140" i="9"/>
  <c r="E6" i="8"/>
  <c r="BP136" i="9"/>
  <c r="BW134" i="9"/>
  <c r="BU132" i="9"/>
  <c r="BX130" i="9"/>
  <c r="BV142" i="9"/>
  <c r="BU136" i="9"/>
  <c r="BS134" i="9"/>
  <c r="BT130" i="9"/>
  <c r="BY136" i="9"/>
  <c r="BS142" i="9"/>
  <c r="BQ138" i="9"/>
  <c r="BR138" i="9"/>
  <c r="BP140" i="9"/>
  <c r="G6" i="8"/>
  <c r="BP134" i="9"/>
  <c r="BP138" i="9"/>
  <c r="BW140" i="9"/>
  <c r="BY134" i="9"/>
  <c r="BQ140" i="9"/>
  <c r="I6" i="8"/>
  <c r="BP142" i="9"/>
  <c r="BQ134" i="9"/>
  <c r="BW130" i="9"/>
  <c r="BW132" i="9"/>
  <c r="BR142" i="9"/>
  <c r="BW138" i="9"/>
  <c r="BQ136" i="9"/>
  <c r="BT132" i="9"/>
  <c r="BZ130" i="9"/>
  <c r="J6" i="8"/>
  <c r="BP132" i="9"/>
  <c r="CA130" i="9"/>
  <c r="BU138" i="9"/>
  <c r="BT142" i="9"/>
  <c r="BT136" i="9"/>
  <c r="BV136" i="9"/>
  <c r="BQ130" i="9"/>
  <c r="BG144" i="9"/>
  <c r="BG143" i="9"/>
  <c r="BJ143" i="9"/>
  <c r="BJ144" i="9"/>
  <c r="BN143" i="9"/>
  <c r="BN144" i="9"/>
  <c r="BN145" i="9" s="1"/>
  <c r="BN146" i="9" s="1"/>
  <c r="BL91" i="9"/>
  <c r="BL92" i="9" s="1"/>
  <c r="I205" i="39"/>
  <c r="AN108" i="9"/>
  <c r="H226" i="9"/>
  <c r="D225" i="9" s="1"/>
  <c r="EA97" i="9"/>
  <c r="BC91" i="9"/>
  <c r="BC92" i="9" s="1"/>
  <c r="BZ89" i="9"/>
  <c r="BZ90" i="9"/>
  <c r="BZ91" i="9" s="1"/>
  <c r="BZ92" i="9" s="1"/>
  <c r="BL143" i="9"/>
  <c r="BL144" i="9"/>
  <c r="BH143" i="9"/>
  <c r="BH144" i="9"/>
  <c r="BH145" i="9" s="1"/>
  <c r="BH146" i="9" s="1"/>
  <c r="L242" i="43"/>
  <c r="K242" i="43"/>
  <c r="L219" i="48"/>
  <c r="K219" i="48"/>
  <c r="K272" i="43"/>
  <c r="L272" i="43"/>
  <c r="K277" i="43"/>
  <c r="L277" i="43"/>
  <c r="D267" i="43"/>
  <c r="C870" i="33"/>
  <c r="D266" i="43" s="1"/>
  <c r="L266" i="43" s="1"/>
  <c r="K138" i="43"/>
  <c r="L138" i="43"/>
  <c r="L279" i="43"/>
  <c r="K279" i="43"/>
  <c r="A31" i="39"/>
  <c r="B30" i="39" s="1"/>
  <c r="B31" i="39" s="1"/>
  <c r="E30" i="39"/>
  <c r="E31" i="39" s="1"/>
  <c r="D129" i="37"/>
  <c r="D127" i="37"/>
  <c r="D125" i="37"/>
  <c r="D124" i="37"/>
  <c r="C306" i="37" s="1"/>
  <c r="C627" i="36" s="1"/>
  <c r="D126" i="37"/>
  <c r="AP95" i="40"/>
  <c r="B118" i="39"/>
  <c r="AU70" i="40"/>
  <c r="A40" i="39"/>
  <c r="B39" i="39" s="1"/>
  <c r="B40" i="39" s="1"/>
  <c r="E39" i="39"/>
  <c r="E40" i="39" s="1"/>
  <c r="K273" i="43"/>
  <c r="L273" i="43"/>
  <c r="K105" i="43"/>
  <c r="L105" i="43"/>
  <c r="L269" i="43"/>
  <c r="K269" i="43"/>
  <c r="Z40" i="38"/>
  <c r="AB40" i="38"/>
  <c r="E10" i="37"/>
  <c r="F68" i="37" s="1"/>
  <c r="E11" i="36"/>
  <c r="F9" i="37"/>
  <c r="G45" i="37" s="1"/>
  <c r="F10" i="36"/>
  <c r="B16" i="37"/>
  <c r="C123" i="37" s="1"/>
  <c r="B17" i="36"/>
  <c r="C146" i="36" s="1"/>
  <c r="L249" i="43"/>
  <c r="K249" i="43"/>
  <c r="K253" i="43"/>
  <c r="L253" i="43"/>
  <c r="Z26" i="38"/>
  <c r="AB26" i="38"/>
  <c r="D16" i="39"/>
  <c r="D51" i="39" s="1"/>
  <c r="D52" i="39" s="1"/>
  <c r="I52" i="39" s="1"/>
  <c r="AU31" i="40"/>
  <c r="D9" i="37"/>
  <c r="E45" i="37" s="1"/>
  <c r="D10" i="36"/>
  <c r="E10" i="8"/>
  <c r="M10" i="8"/>
  <c r="F10" i="8"/>
  <c r="N10" i="8"/>
  <c r="B25" i="9"/>
  <c r="G10" i="8"/>
  <c r="D10" i="8"/>
  <c r="L10" i="8"/>
  <c r="K10" i="8"/>
  <c r="H10" i="8"/>
  <c r="I10" i="8"/>
  <c r="J10" i="8"/>
  <c r="C10" i="8"/>
  <c r="Z53" i="38"/>
  <c r="AB53" i="38"/>
  <c r="L192" i="48"/>
  <c r="K192" i="48"/>
  <c r="Z42" i="38"/>
  <c r="AB42" i="38"/>
  <c r="K140" i="43"/>
  <c r="L140" i="43"/>
  <c r="A37" i="39"/>
  <c r="B36" i="39" s="1"/>
  <c r="B37" i="39" s="1"/>
  <c r="G163" i="36"/>
  <c r="G164" i="36"/>
  <c r="G165" i="36"/>
  <c r="G162" i="36"/>
  <c r="C549" i="36" s="1"/>
  <c r="E121" i="37"/>
  <c r="E118" i="37"/>
  <c r="E120" i="37"/>
  <c r="E119" i="37"/>
  <c r="AB25" i="38"/>
  <c r="Z25" i="38"/>
  <c r="C273" i="37"/>
  <c r="C594" i="36" s="1"/>
  <c r="C721" i="36" s="1"/>
  <c r="D83" i="43" s="1"/>
  <c r="AB41" i="38"/>
  <c r="Z41" i="38"/>
  <c r="L231" i="43"/>
  <c r="K231" i="43"/>
  <c r="E150" i="36"/>
  <c r="E148" i="36"/>
  <c r="E149" i="36"/>
  <c r="E147" i="36"/>
  <c r="C553" i="36" s="1"/>
  <c r="N146" i="40"/>
  <c r="C17" i="37"/>
  <c r="D132" i="37" s="1"/>
  <c r="C18" i="36"/>
  <c r="Z47" i="38"/>
  <c r="AB47" i="38"/>
  <c r="D43" i="38"/>
  <c r="X43" i="38"/>
  <c r="AB56" i="38"/>
  <c r="Z56" i="38"/>
  <c r="E12" i="36"/>
  <c r="E11" i="37"/>
  <c r="F92" i="37" s="1"/>
  <c r="Z30" i="38"/>
  <c r="AB30" i="38"/>
  <c r="C70" i="39"/>
  <c r="C105" i="39" s="1"/>
  <c r="C106" i="39" s="1"/>
  <c r="I106" i="39" s="1"/>
  <c r="AU52" i="40"/>
  <c r="C791" i="33"/>
  <c r="D232" i="43" s="1"/>
  <c r="K232" i="43" s="1"/>
  <c r="E18" i="36"/>
  <c r="E17" i="37"/>
  <c r="F132" i="37" s="1"/>
  <c r="Z49" i="38"/>
  <c r="AB49" i="38"/>
  <c r="AB44" i="38"/>
  <c r="Z44" i="38"/>
  <c r="G142" i="37"/>
  <c r="G139" i="37"/>
  <c r="C303" i="37" s="1"/>
  <c r="C624" i="36" s="1"/>
  <c r="G144" i="37"/>
  <c r="G140" i="37"/>
  <c r="G141" i="37"/>
  <c r="L213" i="48"/>
  <c r="K213" i="48"/>
  <c r="E141" i="36"/>
  <c r="AL16" i="41"/>
  <c r="AM51" i="41" s="1"/>
  <c r="AM52" i="41" s="1"/>
  <c r="E8" i="37"/>
  <c r="F26" i="37" s="1"/>
  <c r="Q33" i="40"/>
  <c r="E9" i="36"/>
  <c r="D39" i="38"/>
  <c r="X39" i="38"/>
  <c r="G10" i="37"/>
  <c r="H68" i="37" s="1"/>
  <c r="G11" i="36"/>
  <c r="K95" i="43"/>
  <c r="L95" i="43"/>
  <c r="K220" i="48"/>
  <c r="L220" i="48"/>
  <c r="L248" i="43"/>
  <c r="K248" i="43"/>
  <c r="Q23" i="38"/>
  <c r="X23" i="38"/>
  <c r="Z34" i="38"/>
  <c r="AB34" i="38"/>
  <c r="Z33" i="38"/>
  <c r="AB33" i="38"/>
  <c r="B15" i="37"/>
  <c r="C117" i="37" s="1"/>
  <c r="B16" i="36"/>
  <c r="N32" i="40"/>
  <c r="N145" i="40"/>
  <c r="N97" i="40"/>
  <c r="D144" i="36"/>
  <c r="D142" i="36"/>
  <c r="C504" i="36" s="1"/>
  <c r="C711" i="36" s="1"/>
  <c r="D143" i="36"/>
  <c r="D145" i="36"/>
  <c r="E84" i="39"/>
  <c r="E85" i="39" s="1"/>
  <c r="A85" i="39"/>
  <c r="L251" i="43"/>
  <c r="K251" i="43"/>
  <c r="C796" i="33"/>
  <c r="D237" i="43" s="1"/>
  <c r="K237" i="43" s="1"/>
  <c r="K270" i="43"/>
  <c r="L270" i="43"/>
  <c r="A149" i="39"/>
  <c r="B150" i="39" s="1"/>
  <c r="B151" i="39" s="1"/>
  <c r="E150" i="39"/>
  <c r="E151" i="39" s="1"/>
  <c r="C150" i="39"/>
  <c r="C151" i="39" s="1"/>
  <c r="F201" i="37"/>
  <c r="C254" i="37" s="1"/>
  <c r="C575" i="36" s="1"/>
  <c r="C655" i="36" s="1"/>
  <c r="D202" i="37"/>
  <c r="F202" i="37" s="1"/>
  <c r="K230" i="43"/>
  <c r="L230" i="43"/>
  <c r="L243" i="43"/>
  <c r="K243" i="43"/>
  <c r="K205" i="48"/>
  <c r="L205" i="48"/>
  <c r="E124" i="37"/>
  <c r="C307" i="37" s="1"/>
  <c r="C628" i="36" s="1"/>
  <c r="E126" i="37"/>
  <c r="E129" i="37"/>
  <c r="E125" i="37"/>
  <c r="E127" i="37"/>
  <c r="Y68" i="40"/>
  <c r="X141" i="40" s="1"/>
  <c r="AO16" i="41"/>
  <c r="AP51" i="41" s="1"/>
  <c r="AP52" i="41" s="1"/>
  <c r="H141" i="36"/>
  <c r="G9" i="37"/>
  <c r="H45" i="37" s="1"/>
  <c r="G10" i="36"/>
  <c r="C9" i="36"/>
  <c r="C8" i="37"/>
  <c r="D26" i="37" s="1"/>
  <c r="O33" i="40"/>
  <c r="C810" i="33"/>
  <c r="D245" i="43" s="1"/>
  <c r="C198" i="39"/>
  <c r="C199" i="39" s="1"/>
  <c r="C147" i="39"/>
  <c r="C148" i="39" s="1"/>
  <c r="C788" i="33"/>
  <c r="D229" i="43" s="1"/>
  <c r="K229" i="43" s="1"/>
  <c r="D48" i="35"/>
  <c r="C335" i="35" s="1"/>
  <c r="D51" i="35"/>
  <c r="D49" i="35"/>
  <c r="D53" i="35"/>
  <c r="C312" i="35" s="1"/>
  <c r="D50" i="35"/>
  <c r="D52" i="35"/>
  <c r="AB29" i="38"/>
  <c r="Z29" i="38"/>
  <c r="Q32" i="40"/>
  <c r="E16" i="36"/>
  <c r="E15" i="37"/>
  <c r="F117" i="37" s="1"/>
  <c r="AB48" i="38"/>
  <c r="Z48" i="38"/>
  <c r="AB57" i="38"/>
  <c r="Z57" i="38"/>
  <c r="L226" i="48"/>
  <c r="K226" i="48"/>
  <c r="K211" i="48"/>
  <c r="L211" i="48"/>
  <c r="G9" i="36"/>
  <c r="S33" i="40"/>
  <c r="G8" i="37"/>
  <c r="H26" i="37" s="1"/>
  <c r="D569" i="33"/>
  <c r="C817" i="33" s="1"/>
  <c r="D252" i="43" s="1"/>
  <c r="C803" i="33"/>
  <c r="D570" i="33"/>
  <c r="D571" i="33"/>
  <c r="D568" i="33"/>
  <c r="AB52" i="38"/>
  <c r="Z52" i="38"/>
  <c r="D150" i="36"/>
  <c r="D147" i="36"/>
  <c r="C552" i="36" s="1"/>
  <c r="D149" i="36"/>
  <c r="D148" i="36"/>
  <c r="D11" i="36"/>
  <c r="D10" i="37"/>
  <c r="E68" i="37" s="1"/>
  <c r="D12" i="36"/>
  <c r="D11" i="37"/>
  <c r="E92" i="37" s="1"/>
  <c r="D45" i="38"/>
  <c r="X45" i="38"/>
  <c r="A148" i="39"/>
  <c r="B147" i="39" s="1"/>
  <c r="B148" i="39" s="1"/>
  <c r="E147" i="39"/>
  <c r="E148" i="39" s="1"/>
  <c r="C163" i="36"/>
  <c r="C165" i="36"/>
  <c r="C164" i="36"/>
  <c r="C162" i="36"/>
  <c r="G12" i="36"/>
  <c r="G11" i="37"/>
  <c r="H92" i="37" s="1"/>
  <c r="C90" i="39"/>
  <c r="C91" i="39" s="1"/>
  <c r="D23" i="48"/>
  <c r="L23" i="48" s="1"/>
  <c r="K215" i="48"/>
  <c r="L215" i="48"/>
  <c r="AB50" i="38"/>
  <c r="Z50" i="38"/>
  <c r="D22" i="45"/>
  <c r="M22" i="45"/>
  <c r="K22" i="45"/>
  <c r="C793" i="33"/>
  <c r="D234" i="43" s="1"/>
  <c r="AB27" i="38"/>
  <c r="Z27" i="38"/>
  <c r="C272" i="37"/>
  <c r="C593" i="36" s="1"/>
  <c r="C720" i="36" s="1"/>
  <c r="D82" i="43" s="1"/>
  <c r="K228" i="43"/>
  <c r="L228" i="43"/>
  <c r="F8" i="37"/>
  <c r="G26" i="37" s="1"/>
  <c r="R33" i="40"/>
  <c r="F9" i="36"/>
  <c r="L257" i="48"/>
  <c r="K257" i="48"/>
  <c r="C848" i="33"/>
  <c r="D218" i="48" s="1"/>
  <c r="D22" i="38"/>
  <c r="X22" i="38"/>
  <c r="F165" i="36"/>
  <c r="F164" i="36"/>
  <c r="F162" i="36"/>
  <c r="C548" i="36" s="1"/>
  <c r="F163" i="36"/>
  <c r="Z31" i="38"/>
  <c r="AB31" i="38"/>
  <c r="C144" i="39"/>
  <c r="C145" i="39" s="1"/>
  <c r="F10" i="37"/>
  <c r="G68" i="37" s="1"/>
  <c r="F11" i="36"/>
  <c r="A94" i="39"/>
  <c r="B93" i="39" s="1"/>
  <c r="B94" i="39" s="1"/>
  <c r="E93" i="39"/>
  <c r="E94" i="39" s="1"/>
  <c r="E192" i="39"/>
  <c r="E193" i="39" s="1"/>
  <c r="A193" i="39"/>
  <c r="AQ95" i="40"/>
  <c r="AU50" i="40"/>
  <c r="B64" i="39"/>
  <c r="AU90" i="40"/>
  <c r="B172" i="39"/>
  <c r="AO95" i="40"/>
  <c r="D144" i="37"/>
  <c r="D141" i="37"/>
  <c r="D139" i="37"/>
  <c r="C300" i="37" s="1"/>
  <c r="C621" i="36" s="1"/>
  <c r="D142" i="37"/>
  <c r="D140" i="37"/>
  <c r="A139" i="39"/>
  <c r="Q36" i="38"/>
  <c r="X36" i="38"/>
  <c r="AB54" i="38"/>
  <c r="Z54" i="38"/>
  <c r="L228" i="48"/>
  <c r="K228" i="48"/>
  <c r="L262" i="43"/>
  <c r="K262" i="43"/>
  <c r="AB35" i="38"/>
  <c r="Z35" i="38"/>
  <c r="AB38" i="38"/>
  <c r="Z38" i="38"/>
  <c r="C815" i="33"/>
  <c r="D250" i="43" s="1"/>
  <c r="AR95" i="40"/>
  <c r="Z46" i="38"/>
  <c r="AB46" i="38"/>
  <c r="L103" i="43"/>
  <c r="K103" i="43"/>
  <c r="Z24" i="38"/>
  <c r="AB24" i="38"/>
  <c r="C39" i="39"/>
  <c r="C40" i="39" s="1"/>
  <c r="C11" i="36"/>
  <c r="C10" i="37"/>
  <c r="D68" i="37" s="1"/>
  <c r="B9" i="36"/>
  <c r="B8" i="37"/>
  <c r="C26" i="37" s="1"/>
  <c r="N33" i="40"/>
  <c r="N144" i="40"/>
  <c r="N96" i="40"/>
  <c r="C795" i="33"/>
  <c r="D236" i="43" s="1"/>
  <c r="I242" i="35"/>
  <c r="I241" i="35"/>
  <c r="I238" i="35"/>
  <c r="AU29" i="40"/>
  <c r="F150" i="36"/>
  <c r="F149" i="36"/>
  <c r="F147" i="36"/>
  <c r="C554" i="36" s="1"/>
  <c r="F148" i="36"/>
  <c r="C177" i="39"/>
  <c r="C210" i="39" s="1"/>
  <c r="C211" i="39" s="1"/>
  <c r="I211" i="39" s="1"/>
  <c r="AU92" i="40"/>
  <c r="C141" i="37"/>
  <c r="C139" i="37"/>
  <c r="C142" i="37"/>
  <c r="C140" i="37"/>
  <c r="C144" i="37"/>
  <c r="F18" i="36"/>
  <c r="F17" i="37"/>
  <c r="G132" i="37" s="1"/>
  <c r="E10" i="36"/>
  <c r="E9" i="37"/>
  <c r="F45" i="37" s="1"/>
  <c r="AO18" i="41"/>
  <c r="AP55" i="41" s="1"/>
  <c r="AP56" i="41" s="1"/>
  <c r="H155" i="36"/>
  <c r="L271" i="43"/>
  <c r="K271" i="43"/>
  <c r="L209" i="48"/>
  <c r="K209" i="48"/>
  <c r="G150" i="36"/>
  <c r="G148" i="36"/>
  <c r="G147" i="36"/>
  <c r="C555" i="36" s="1"/>
  <c r="G149" i="36"/>
  <c r="D97" i="37"/>
  <c r="D112" i="37"/>
  <c r="D104" i="37"/>
  <c r="D107" i="37"/>
  <c r="D94" i="37"/>
  <c r="D105" i="37"/>
  <c r="D98" i="37"/>
  <c r="D96" i="37"/>
  <c r="D111" i="37"/>
  <c r="D106" i="37"/>
  <c r="D108" i="37"/>
  <c r="C312" i="37" s="1"/>
  <c r="C633" i="36" s="1"/>
  <c r="D95" i="37"/>
  <c r="D100" i="37"/>
  <c r="D99" i="37"/>
  <c r="D109" i="37"/>
  <c r="D101" i="37"/>
  <c r="D93" i="37"/>
  <c r="D110" i="37"/>
  <c r="D103" i="37"/>
  <c r="D102" i="37"/>
  <c r="C52" i="37"/>
  <c r="C59" i="37"/>
  <c r="C48" i="37"/>
  <c r="C51" i="37"/>
  <c r="C49" i="37"/>
  <c r="C60" i="37"/>
  <c r="C47" i="37"/>
  <c r="C53" i="37"/>
  <c r="C62" i="37"/>
  <c r="C46" i="37"/>
  <c r="C58" i="37"/>
  <c r="C50" i="37"/>
  <c r="C61" i="37"/>
  <c r="C56" i="37"/>
  <c r="C57" i="37"/>
  <c r="C54" i="37"/>
  <c r="C55" i="37"/>
  <c r="AB37" i="38"/>
  <c r="Z37" i="38"/>
  <c r="C806" i="33"/>
  <c r="D241" i="43" s="1"/>
  <c r="C10" i="36"/>
  <c r="C9" i="37"/>
  <c r="D45" i="37" s="1"/>
  <c r="D9" i="36"/>
  <c r="D8" i="37"/>
  <c r="E26" i="37" s="1"/>
  <c r="P33" i="40"/>
  <c r="B10" i="37"/>
  <c r="C68" i="37" s="1"/>
  <c r="B11" i="36"/>
  <c r="C30" i="39"/>
  <c r="C31" i="39" s="1"/>
  <c r="E144" i="39"/>
  <c r="E145" i="39" s="1"/>
  <c r="A145" i="39"/>
  <c r="B144" i="39" s="1"/>
  <c r="B145" i="39" s="1"/>
  <c r="B12" i="36"/>
  <c r="B11" i="37"/>
  <c r="C92" i="37" s="1"/>
  <c r="E155" i="36"/>
  <c r="AL18" i="41"/>
  <c r="AM55" i="41" s="1"/>
  <c r="AM56" i="41" s="1"/>
  <c r="E163" i="36"/>
  <c r="E162" i="36"/>
  <c r="C547" i="36" s="1"/>
  <c r="E165" i="36"/>
  <c r="E164" i="36"/>
  <c r="H147" i="36"/>
  <c r="C556" i="36" s="1"/>
  <c r="H149" i="36"/>
  <c r="H150" i="36"/>
  <c r="H148" i="36"/>
  <c r="Z51" i="38"/>
  <c r="AB51" i="38"/>
  <c r="F12" i="36"/>
  <c r="F11" i="37"/>
  <c r="G92" i="37" s="1"/>
  <c r="AG68" i="40"/>
  <c r="X142" i="40" s="1"/>
  <c r="AB28" i="38"/>
  <c r="Z28" i="38"/>
  <c r="L261" i="43"/>
  <c r="K261" i="43"/>
  <c r="K22" i="48" l="1"/>
  <c r="L22" i="48"/>
  <c r="C819" i="33"/>
  <c r="C799" i="33"/>
  <c r="D240" i="43" s="1"/>
  <c r="L240" i="43" s="1"/>
  <c r="L106" i="43"/>
  <c r="K239" i="43"/>
  <c r="D36" i="43"/>
  <c r="L36" i="43" s="1"/>
  <c r="D29" i="43"/>
  <c r="K29" i="43" s="1"/>
  <c r="AZ89" i="9"/>
  <c r="D35" i="43"/>
  <c r="L35" i="43" s="1"/>
  <c r="F139" i="37"/>
  <c r="C302" i="37" s="1"/>
  <c r="C623" i="36" s="1"/>
  <c r="C765" i="36" s="1"/>
  <c r="G129" i="37"/>
  <c r="D116" i="36"/>
  <c r="D118" i="36" s="1"/>
  <c r="AY138" i="9"/>
  <c r="L26" i="43"/>
  <c r="H121" i="37"/>
  <c r="AS138" i="9"/>
  <c r="AP140" i="9"/>
  <c r="AZ138" i="9"/>
  <c r="AP142" i="9"/>
  <c r="CY143" i="9"/>
  <c r="AY140" i="9"/>
  <c r="F141" i="37"/>
  <c r="I141" i="37" s="1"/>
  <c r="G126" i="37"/>
  <c r="AW140" i="9"/>
  <c r="AY136" i="9"/>
  <c r="CR144" i="9"/>
  <c r="CR145" i="9" s="1"/>
  <c r="CR146" i="9" s="1"/>
  <c r="CH143" i="9"/>
  <c r="CK144" i="9"/>
  <c r="CK145" i="9" s="1"/>
  <c r="CK146" i="9" s="1"/>
  <c r="AR132" i="9"/>
  <c r="K27" i="45"/>
  <c r="E139" i="37"/>
  <c r="C301" i="37" s="1"/>
  <c r="C622" i="36" s="1"/>
  <c r="C764" i="36" s="1"/>
  <c r="D33" i="43"/>
  <c r="L33" i="43" s="1"/>
  <c r="F142" i="37"/>
  <c r="G124" i="37"/>
  <c r="C309" i="37" s="1"/>
  <c r="C630" i="36" s="1"/>
  <c r="C772" i="36" s="1"/>
  <c r="F144" i="37"/>
  <c r="I144" i="37" s="1"/>
  <c r="G127" i="37"/>
  <c r="D22" i="43"/>
  <c r="K22" i="43" s="1"/>
  <c r="D21" i="43"/>
  <c r="L21" i="43" s="1"/>
  <c r="AW132" i="9"/>
  <c r="BA140" i="9"/>
  <c r="AX134" i="9"/>
  <c r="AT89" i="9"/>
  <c r="E140" i="37"/>
  <c r="I140" i="37" s="1"/>
  <c r="AN16" i="41"/>
  <c r="AO51" i="41" s="1"/>
  <c r="AO52" i="41" s="1"/>
  <c r="D40" i="43"/>
  <c r="K40" i="43" s="1"/>
  <c r="AW138" i="9"/>
  <c r="AS132" i="9"/>
  <c r="E144" i="37"/>
  <c r="AZ140" i="9"/>
  <c r="AQ89" i="9"/>
  <c r="AU89" i="9"/>
  <c r="Q4" i="45"/>
  <c r="CS143" i="9"/>
  <c r="CN144" i="9"/>
  <c r="CN145" i="9" s="1"/>
  <c r="CN146" i="9" s="1"/>
  <c r="CJ143" i="9"/>
  <c r="CE144" i="9"/>
  <c r="CE145" i="9" s="1"/>
  <c r="CE146" i="9" s="1"/>
  <c r="CC144" i="9"/>
  <c r="CC145" i="9" s="1"/>
  <c r="CC146" i="9" s="1"/>
  <c r="AP134" i="9"/>
  <c r="K35" i="43"/>
  <c r="D39" i="43"/>
  <c r="L39" i="43" s="1"/>
  <c r="E142" i="37"/>
  <c r="CK143" i="9"/>
  <c r="P189" i="9"/>
  <c r="AZ134" i="9"/>
  <c r="AU134" i="9"/>
  <c r="BA134" i="9"/>
  <c r="D19" i="43"/>
  <c r="K19" i="43" s="1"/>
  <c r="AS134" i="9"/>
  <c r="AU132" i="9"/>
  <c r="AR140" i="9"/>
  <c r="H118" i="37"/>
  <c r="AR142" i="9"/>
  <c r="AP136" i="9"/>
  <c r="AZ142" i="9"/>
  <c r="AX132" i="9"/>
  <c r="AZ132" i="9"/>
  <c r="BA138" i="9"/>
  <c r="AQ132" i="9"/>
  <c r="CE143" i="9"/>
  <c r="H119" i="37"/>
  <c r="G121" i="37"/>
  <c r="K18" i="45"/>
  <c r="AX142" i="9"/>
  <c r="AQ138" i="9"/>
  <c r="AS136" i="9"/>
  <c r="AV138" i="9"/>
  <c r="AU140" i="9"/>
  <c r="D25" i="43"/>
  <c r="K25" i="43" s="1"/>
  <c r="BA132" i="9"/>
  <c r="AT140" i="9"/>
  <c r="CP144" i="9"/>
  <c r="CP145" i="9" s="1"/>
  <c r="CP146" i="9" s="1"/>
  <c r="CZ144" i="9"/>
  <c r="CZ145" i="9" s="1"/>
  <c r="CZ146" i="9" s="1"/>
  <c r="AU136" i="9"/>
  <c r="AS89" i="9"/>
  <c r="CD144" i="9"/>
  <c r="CD145" i="9" s="1"/>
  <c r="CD146" i="9" s="1"/>
  <c r="CL144" i="9"/>
  <c r="CL145" i="9" s="1"/>
  <c r="CL146" i="9" s="1"/>
  <c r="H210" i="9"/>
  <c r="CI144" i="9"/>
  <c r="CI145" i="9" s="1"/>
  <c r="CI146" i="9" s="1"/>
  <c r="CM144" i="9"/>
  <c r="CM145" i="9" s="1"/>
  <c r="CM146" i="9" s="1"/>
  <c r="CG144" i="9"/>
  <c r="CG145" i="9" s="1"/>
  <c r="CG146" i="9" s="1"/>
  <c r="AV136" i="9"/>
  <c r="I40" i="39"/>
  <c r="AU138" i="9"/>
  <c r="H133" i="37"/>
  <c r="H218" i="9"/>
  <c r="AW89" i="9"/>
  <c r="M20" i="45"/>
  <c r="CI143" i="9"/>
  <c r="AP138" i="9"/>
  <c r="AT138" i="9"/>
  <c r="CF143" i="9"/>
  <c r="CQ143" i="9"/>
  <c r="AX140" i="9"/>
  <c r="CJ144" i="9"/>
  <c r="CJ145" i="9" s="1"/>
  <c r="CJ146" i="9" s="1"/>
  <c r="AU142" i="9"/>
  <c r="BA89" i="9"/>
  <c r="CG143" i="9"/>
  <c r="D163" i="36"/>
  <c r="I163" i="36" s="1"/>
  <c r="H134" i="37"/>
  <c r="CW143" i="9"/>
  <c r="CN143" i="9"/>
  <c r="CC143" i="9"/>
  <c r="CH144" i="9"/>
  <c r="DA143" i="9"/>
  <c r="BA142" i="9"/>
  <c r="D41" i="43"/>
  <c r="I202" i="39"/>
  <c r="AT142" i="9"/>
  <c r="AY134" i="9"/>
  <c r="AV140" i="9"/>
  <c r="D27" i="43"/>
  <c r="K27" i="43" s="1"/>
  <c r="D20" i="43"/>
  <c r="K20" i="43" s="1"/>
  <c r="CD143" i="9"/>
  <c r="AY89" i="9"/>
  <c r="CX144" i="9"/>
  <c r="CX145" i="9" s="1"/>
  <c r="CX146" i="9" s="1"/>
  <c r="CP143" i="9"/>
  <c r="CM143" i="9"/>
  <c r="D165" i="36"/>
  <c r="I165" i="36" s="1"/>
  <c r="DA144" i="9"/>
  <c r="DA145" i="9" s="1"/>
  <c r="DA146" i="9" s="1"/>
  <c r="CW144" i="9"/>
  <c r="CW145" i="9" s="1"/>
  <c r="CW146" i="9" s="1"/>
  <c r="CZ143" i="9"/>
  <c r="CS144" i="9"/>
  <c r="CS145" i="9" s="1"/>
  <c r="CS146" i="9" s="1"/>
  <c r="CV144" i="9"/>
  <c r="CV145" i="9" s="1"/>
  <c r="CV146" i="9" s="1"/>
  <c r="D162" i="36"/>
  <c r="C546" i="36" s="1"/>
  <c r="C763" i="36" s="1"/>
  <c r="CL143" i="9"/>
  <c r="CT144" i="9"/>
  <c r="CT145" i="9" s="1"/>
  <c r="CT146" i="9" s="1"/>
  <c r="AR134" i="9"/>
  <c r="AY132" i="9"/>
  <c r="CU144" i="9"/>
  <c r="CU145" i="9" s="1"/>
  <c r="CU146" i="9" s="1"/>
  <c r="M25" i="45"/>
  <c r="M26" i="45" s="1"/>
  <c r="CF144" i="9"/>
  <c r="CF145" i="9" s="1"/>
  <c r="CF146" i="9" s="1"/>
  <c r="AV142" i="9"/>
  <c r="AZ136" i="9"/>
  <c r="AW142" i="9"/>
  <c r="D23" i="43"/>
  <c r="L23" i="43" s="1"/>
  <c r="F124" i="37"/>
  <c r="C308" i="37" s="1"/>
  <c r="C629" i="36" s="1"/>
  <c r="C771" i="36" s="1"/>
  <c r="AP132" i="9"/>
  <c r="AR89" i="9"/>
  <c r="M30" i="45"/>
  <c r="BA136" i="9"/>
  <c r="D30" i="43"/>
  <c r="L30" i="43" s="1"/>
  <c r="D37" i="43"/>
  <c r="L37" i="43" s="1"/>
  <c r="H222" i="9"/>
  <c r="D221" i="9" s="1"/>
  <c r="CY144" i="9"/>
  <c r="CY145" i="9" s="1"/>
  <c r="CY146" i="9" s="1"/>
  <c r="AQ134" i="9"/>
  <c r="M29" i="45"/>
  <c r="CR143" i="9"/>
  <c r="AX138" i="9"/>
  <c r="L38" i="43"/>
  <c r="K38" i="43"/>
  <c r="K29" i="45"/>
  <c r="AQ142" i="9"/>
  <c r="K17" i="45"/>
  <c r="CX143" i="9"/>
  <c r="CQ144" i="9"/>
  <c r="CQ145" i="9" s="1"/>
  <c r="CQ146" i="9" s="1"/>
  <c r="AJ10" i="41"/>
  <c r="AK33" i="41" s="1"/>
  <c r="AW136" i="9"/>
  <c r="AT134" i="9"/>
  <c r="D24" i="43"/>
  <c r="L24" i="43" s="1"/>
  <c r="K28" i="45"/>
  <c r="H214" i="9"/>
  <c r="CV143" i="9"/>
  <c r="CZ91" i="9"/>
  <c r="CZ92" i="9" s="1"/>
  <c r="G120" i="37"/>
  <c r="O189" i="9"/>
  <c r="D16" i="45" s="1"/>
  <c r="CU143" i="9"/>
  <c r="AT132" i="9"/>
  <c r="AR138" i="9"/>
  <c r="AV132" i="9"/>
  <c r="K36" i="43"/>
  <c r="AX89" i="9"/>
  <c r="D42" i="43"/>
  <c r="H136" i="37"/>
  <c r="AS140" i="9"/>
  <c r="G118" i="37"/>
  <c r="CT143" i="9"/>
  <c r="AT136" i="9"/>
  <c r="AQ136" i="9"/>
  <c r="AQ140" i="9"/>
  <c r="AR136" i="9"/>
  <c r="AV134" i="9"/>
  <c r="D34" i="43"/>
  <c r="K34" i="43" s="1"/>
  <c r="F546" i="44"/>
  <c r="U16" i="5" s="1"/>
  <c r="D273" i="48" s="1"/>
  <c r="K273" i="48" s="1"/>
  <c r="E136" i="37"/>
  <c r="BS144" i="9"/>
  <c r="BS145" i="9" s="1"/>
  <c r="BS146" i="9" s="1"/>
  <c r="AW134" i="9"/>
  <c r="BX144" i="9"/>
  <c r="BX145" i="9" s="1"/>
  <c r="BX146" i="9" s="1"/>
  <c r="AY142" i="9"/>
  <c r="D31" i="43"/>
  <c r="AP89" i="9"/>
  <c r="D32" i="43"/>
  <c r="E135" i="37"/>
  <c r="CX91" i="9"/>
  <c r="CX92" i="9" s="1"/>
  <c r="E134" i="37"/>
  <c r="F127" i="37"/>
  <c r="L18" i="43"/>
  <c r="C158" i="36"/>
  <c r="C157" i="36"/>
  <c r="C159" i="36"/>
  <c r="C156" i="36"/>
  <c r="C497" i="36" s="1"/>
  <c r="C704" i="36" s="1"/>
  <c r="I37" i="39"/>
  <c r="L238" i="35"/>
  <c r="C343" i="35" s="1"/>
  <c r="L242" i="35"/>
  <c r="AO97" i="40"/>
  <c r="L241" i="35"/>
  <c r="C353" i="35" s="1"/>
  <c r="F126" i="37"/>
  <c r="B192" i="39"/>
  <c r="B193" i="39" s="1"/>
  <c r="I193" i="39" s="1"/>
  <c r="K39" i="43"/>
  <c r="AV89" i="9"/>
  <c r="F129" i="37"/>
  <c r="I145" i="39"/>
  <c r="H129" i="37"/>
  <c r="I94" i="39"/>
  <c r="BJ145" i="9"/>
  <c r="BJ146" i="9" s="1"/>
  <c r="BY143" i="9"/>
  <c r="BY144" i="9"/>
  <c r="BY145" i="9" s="1"/>
  <c r="BY146" i="9" s="1"/>
  <c r="BX91" i="9"/>
  <c r="BX92" i="9" s="1"/>
  <c r="H127" i="37"/>
  <c r="C766" i="36"/>
  <c r="AX136" i="9"/>
  <c r="BG145" i="9"/>
  <c r="BG146" i="9" s="1"/>
  <c r="BR144" i="9"/>
  <c r="BR145" i="9" s="1"/>
  <c r="BR146" i="9" s="1"/>
  <c r="BR143" i="9"/>
  <c r="BT144" i="9"/>
  <c r="BT143" i="9"/>
  <c r="BW143" i="9"/>
  <c r="BW144" i="9"/>
  <c r="BW145" i="9" s="1"/>
  <c r="BW146" i="9" s="1"/>
  <c r="N101" i="40"/>
  <c r="H126" i="37"/>
  <c r="I91" i="39"/>
  <c r="BQ144" i="9"/>
  <c r="BQ145" i="9" s="1"/>
  <c r="BQ146" i="9" s="1"/>
  <c r="BQ143" i="9"/>
  <c r="BZ144" i="9"/>
  <c r="BZ143" i="9"/>
  <c r="AS142" i="9"/>
  <c r="BP144" i="9"/>
  <c r="BP143" i="9"/>
  <c r="H125" i="37"/>
  <c r="I148" i="39"/>
  <c r="M21" i="45"/>
  <c r="BX143" i="9"/>
  <c r="BV143" i="9"/>
  <c r="BW91" i="9"/>
  <c r="BW92" i="9" s="1"/>
  <c r="BC145" i="9"/>
  <c r="BC146" i="9" s="1"/>
  <c r="BS143" i="9"/>
  <c r="BV91" i="9"/>
  <c r="BV92" i="9" s="1"/>
  <c r="C773" i="36"/>
  <c r="CA144" i="9"/>
  <c r="CA143" i="9"/>
  <c r="BU144" i="9"/>
  <c r="BU145" i="9" s="1"/>
  <c r="BU146" i="9" s="1"/>
  <c r="C769" i="36"/>
  <c r="BL145" i="9"/>
  <c r="BL146" i="9" s="1"/>
  <c r="BU143" i="9"/>
  <c r="BV144" i="9"/>
  <c r="BV145" i="9" s="1"/>
  <c r="BV146" i="9" s="1"/>
  <c r="BS91" i="9"/>
  <c r="BS92" i="9" s="1"/>
  <c r="BE145" i="9"/>
  <c r="BE146" i="9" s="1"/>
  <c r="H116" i="36"/>
  <c r="AO12" i="41"/>
  <c r="AP45" i="41" s="1"/>
  <c r="AP47" i="41" s="1"/>
  <c r="AK18" i="41"/>
  <c r="AL55" i="41" s="1"/>
  <c r="AL56" i="41" s="1"/>
  <c r="D155" i="36"/>
  <c r="L236" i="43"/>
  <c r="K236" i="43"/>
  <c r="C99" i="37"/>
  <c r="C107" i="37"/>
  <c r="C102" i="37"/>
  <c r="C98" i="37"/>
  <c r="C101" i="37"/>
  <c r="C96" i="37"/>
  <c r="C104" i="37"/>
  <c r="C100" i="37"/>
  <c r="C93" i="37"/>
  <c r="C106" i="37"/>
  <c r="C95" i="37"/>
  <c r="C111" i="37"/>
  <c r="C108" i="37"/>
  <c r="C94" i="37"/>
  <c r="C105" i="37"/>
  <c r="C97" i="37"/>
  <c r="C112" i="37"/>
  <c r="C103" i="37"/>
  <c r="C109" i="37"/>
  <c r="C110" i="37"/>
  <c r="K250" i="43"/>
  <c r="L250" i="43"/>
  <c r="AB45" i="38"/>
  <c r="Z45" i="38"/>
  <c r="F141" i="36"/>
  <c r="AM16" i="41"/>
  <c r="AN51" i="41" s="1"/>
  <c r="AN52" i="41" s="1"/>
  <c r="AO11" i="41"/>
  <c r="AP39" i="41" s="1"/>
  <c r="AP40" i="41" s="1"/>
  <c r="H93" i="36"/>
  <c r="E156" i="36"/>
  <c r="C499" i="36" s="1"/>
  <c r="C706" i="36" s="1"/>
  <c r="E158" i="36"/>
  <c r="E157" i="36"/>
  <c r="E159" i="36"/>
  <c r="F70" i="36"/>
  <c r="AM10" i="41"/>
  <c r="AN33" i="41" s="1"/>
  <c r="H34" i="37"/>
  <c r="H38" i="37"/>
  <c r="H30" i="37"/>
  <c r="H37" i="37"/>
  <c r="H28" i="37"/>
  <c r="H27" i="37"/>
  <c r="H35" i="37"/>
  <c r="H29" i="37"/>
  <c r="H33" i="37"/>
  <c r="H36" i="37"/>
  <c r="H39" i="37"/>
  <c r="H31" i="37"/>
  <c r="H40" i="37"/>
  <c r="H32" i="37"/>
  <c r="C119" i="37"/>
  <c r="C120" i="37"/>
  <c r="C118" i="37"/>
  <c r="C121" i="37"/>
  <c r="H84" i="37"/>
  <c r="H78" i="37"/>
  <c r="H82" i="37"/>
  <c r="H75" i="37"/>
  <c r="H79" i="37"/>
  <c r="H85" i="37"/>
  <c r="H76" i="37"/>
  <c r="H77" i="37"/>
  <c r="H72" i="37"/>
  <c r="H73" i="37"/>
  <c r="H80" i="37"/>
  <c r="H83" i="37"/>
  <c r="H74" i="37"/>
  <c r="H71" i="37"/>
  <c r="H69" i="37"/>
  <c r="H81" i="37"/>
  <c r="C298" i="37" s="1"/>
  <c r="C619" i="36" s="1"/>
  <c r="H70" i="37"/>
  <c r="AB43" i="38"/>
  <c r="Z43" i="38"/>
  <c r="C770" i="36"/>
  <c r="E50" i="37"/>
  <c r="E56" i="37"/>
  <c r="E57" i="37"/>
  <c r="E61" i="37"/>
  <c r="E49" i="37"/>
  <c r="E52" i="37"/>
  <c r="E46" i="37"/>
  <c r="E54" i="37"/>
  <c r="E59" i="37"/>
  <c r="E47" i="37"/>
  <c r="E62" i="37"/>
  <c r="E53" i="37"/>
  <c r="E48" i="37"/>
  <c r="E55" i="37"/>
  <c r="E58" i="37"/>
  <c r="C289" i="37" s="1"/>
  <c r="C610" i="36" s="1"/>
  <c r="C746" i="36" s="1"/>
  <c r="E51" i="37"/>
  <c r="E60" i="37"/>
  <c r="AL9" i="41"/>
  <c r="AM27" i="41" s="1"/>
  <c r="AM28" i="41" s="1"/>
  <c r="E50" i="36"/>
  <c r="H157" i="36"/>
  <c r="H156" i="36"/>
  <c r="C502" i="36" s="1"/>
  <c r="C709" i="36" s="1"/>
  <c r="H158" i="36"/>
  <c r="H159" i="36"/>
  <c r="G133" i="37"/>
  <c r="G136" i="37"/>
  <c r="G134" i="37"/>
  <c r="G135" i="37"/>
  <c r="Z36" i="38"/>
  <c r="AB36" i="38"/>
  <c r="B84" i="39"/>
  <c r="B85" i="39" s="1"/>
  <c r="I85" i="39" s="1"/>
  <c r="G69" i="37"/>
  <c r="G79" i="37"/>
  <c r="G85" i="37"/>
  <c r="G72" i="37"/>
  <c r="G70" i="37"/>
  <c r="G84" i="37"/>
  <c r="G71" i="37"/>
  <c r="G77" i="37"/>
  <c r="G81" i="37"/>
  <c r="C297" i="37" s="1"/>
  <c r="C618" i="36" s="1"/>
  <c r="G78" i="37"/>
  <c r="G82" i="37"/>
  <c r="G73" i="37"/>
  <c r="G83" i="37"/>
  <c r="G75" i="37"/>
  <c r="G74" i="37"/>
  <c r="G80" i="37"/>
  <c r="G76" i="37"/>
  <c r="I164" i="36"/>
  <c r="K258" i="48"/>
  <c r="L258" i="48"/>
  <c r="D30" i="37"/>
  <c r="D29" i="37"/>
  <c r="D37" i="37"/>
  <c r="D27" i="37"/>
  <c r="D31" i="37"/>
  <c r="D34" i="37"/>
  <c r="D35" i="37"/>
  <c r="D39" i="37"/>
  <c r="D28" i="37"/>
  <c r="D40" i="37"/>
  <c r="D36" i="37"/>
  <c r="D38" i="37"/>
  <c r="D32" i="37"/>
  <c r="D33" i="37"/>
  <c r="I151" i="39"/>
  <c r="F29" i="37"/>
  <c r="F34" i="37"/>
  <c r="F28" i="37"/>
  <c r="F36" i="37"/>
  <c r="F40" i="37"/>
  <c r="F38" i="37"/>
  <c r="F30" i="37"/>
  <c r="F39" i="37"/>
  <c r="F37" i="37"/>
  <c r="F35" i="37"/>
  <c r="F31" i="37"/>
  <c r="F27" i="37"/>
  <c r="F32" i="37"/>
  <c r="F33" i="37"/>
  <c r="F112" i="37"/>
  <c r="F111" i="37"/>
  <c r="F110" i="37"/>
  <c r="F98" i="37"/>
  <c r="F104" i="37"/>
  <c r="F96" i="37"/>
  <c r="F109" i="37"/>
  <c r="F93" i="37"/>
  <c r="F108" i="37"/>
  <c r="C314" i="37" s="1"/>
  <c r="C635" i="36" s="1"/>
  <c r="F95" i="37"/>
  <c r="F99" i="37"/>
  <c r="F100" i="37"/>
  <c r="F103" i="37"/>
  <c r="F94" i="37"/>
  <c r="F105" i="37"/>
  <c r="F107" i="37"/>
  <c r="F97" i="37"/>
  <c r="F101" i="37"/>
  <c r="F102" i="37"/>
  <c r="F106" i="37"/>
  <c r="K83" i="43"/>
  <c r="L83" i="43"/>
  <c r="AN10" i="41"/>
  <c r="AO33" i="41" s="1"/>
  <c r="G70" i="36"/>
  <c r="C79" i="36"/>
  <c r="C80" i="36"/>
  <c r="C82" i="36"/>
  <c r="C72" i="36"/>
  <c r="C77" i="36"/>
  <c r="C76" i="36"/>
  <c r="C81" i="36"/>
  <c r="C75" i="36"/>
  <c r="C83" i="36"/>
  <c r="C74" i="36"/>
  <c r="C71" i="36"/>
  <c r="C85" i="36"/>
  <c r="C86" i="36"/>
  <c r="C84" i="36"/>
  <c r="H145" i="36"/>
  <c r="H143" i="36"/>
  <c r="H144" i="36"/>
  <c r="H142" i="36"/>
  <c r="C508" i="36" s="1"/>
  <c r="C715" i="36" s="1"/>
  <c r="C76" i="37"/>
  <c r="C80" i="37"/>
  <c r="C85" i="37"/>
  <c r="C75" i="37"/>
  <c r="C69" i="37"/>
  <c r="C79" i="37"/>
  <c r="C78" i="37"/>
  <c r="C72" i="37"/>
  <c r="C70" i="37"/>
  <c r="C82" i="37"/>
  <c r="C81" i="37"/>
  <c r="C71" i="37"/>
  <c r="C73" i="37"/>
  <c r="C84" i="37"/>
  <c r="C77" i="37"/>
  <c r="C74" i="37"/>
  <c r="C83" i="37"/>
  <c r="F121" i="37"/>
  <c r="F119" i="37"/>
  <c r="F120" i="37"/>
  <c r="F118" i="37"/>
  <c r="I199" i="39"/>
  <c r="AM9" i="41"/>
  <c r="AN27" i="41" s="1"/>
  <c r="AN28" i="41" s="1"/>
  <c r="F50" i="36"/>
  <c r="G145" i="36"/>
  <c r="G142" i="36"/>
  <c r="C507" i="36" s="1"/>
  <c r="C714" i="36" s="1"/>
  <c r="G144" i="36"/>
  <c r="G143" i="36"/>
  <c r="E39" i="37"/>
  <c r="E35" i="37"/>
  <c r="E36" i="37"/>
  <c r="E31" i="37"/>
  <c r="E38" i="37"/>
  <c r="E27" i="37"/>
  <c r="E30" i="37"/>
  <c r="E33" i="37"/>
  <c r="E34" i="37"/>
  <c r="E40" i="37"/>
  <c r="E37" i="37"/>
  <c r="E28" i="37"/>
  <c r="E32" i="37"/>
  <c r="E29" i="37"/>
  <c r="K234" i="43"/>
  <c r="L234" i="43"/>
  <c r="AN18" i="41"/>
  <c r="AO55" i="41" s="1"/>
  <c r="AO56" i="41" s="1"/>
  <c r="G155" i="36"/>
  <c r="G36" i="37"/>
  <c r="G29" i="37"/>
  <c r="G28" i="37"/>
  <c r="G40" i="37"/>
  <c r="G35" i="37"/>
  <c r="G39" i="37"/>
  <c r="G37" i="37"/>
  <c r="G30" i="37"/>
  <c r="G38" i="37"/>
  <c r="G27" i="37"/>
  <c r="G33" i="37"/>
  <c r="G34" i="37"/>
  <c r="G32" i="37"/>
  <c r="G31" i="37"/>
  <c r="E96" i="37"/>
  <c r="E109" i="37"/>
  <c r="E94" i="37"/>
  <c r="E93" i="37"/>
  <c r="E103" i="37"/>
  <c r="E102" i="37"/>
  <c r="E100" i="37"/>
  <c r="E112" i="37"/>
  <c r="E107" i="37"/>
  <c r="E110" i="37"/>
  <c r="E101" i="37"/>
  <c r="E106" i="37"/>
  <c r="E108" i="37"/>
  <c r="C313" i="37" s="1"/>
  <c r="C634" i="36" s="1"/>
  <c r="E104" i="37"/>
  <c r="E95" i="37"/>
  <c r="E111" i="37"/>
  <c r="E105" i="37"/>
  <c r="E99" i="37"/>
  <c r="E98" i="37"/>
  <c r="E97" i="37"/>
  <c r="H50" i="36"/>
  <c r="AO9" i="41"/>
  <c r="AP27" i="41" s="1"/>
  <c r="AP28" i="41" s="1"/>
  <c r="AK9" i="41"/>
  <c r="AL27" i="41" s="1"/>
  <c r="AL28" i="41" s="1"/>
  <c r="D50" i="36"/>
  <c r="Z23" i="38"/>
  <c r="AB23" i="38"/>
  <c r="F134" i="37"/>
  <c r="F133" i="37"/>
  <c r="F135" i="37"/>
  <c r="F136" i="37"/>
  <c r="F116" i="36"/>
  <c r="AM12" i="41"/>
  <c r="AN45" i="41" s="1"/>
  <c r="AN47" i="41" s="1"/>
  <c r="G46" i="37"/>
  <c r="G54" i="37"/>
  <c r="G57" i="37"/>
  <c r="G52" i="37"/>
  <c r="G53" i="37"/>
  <c r="G61" i="37"/>
  <c r="G56" i="37"/>
  <c r="G59" i="37"/>
  <c r="G51" i="37"/>
  <c r="G50" i="37"/>
  <c r="G55" i="37"/>
  <c r="G49" i="37"/>
  <c r="G48" i="37"/>
  <c r="G60" i="37"/>
  <c r="G47" i="37"/>
  <c r="G62" i="37"/>
  <c r="G58" i="37"/>
  <c r="C291" i="37" s="1"/>
  <c r="C612" i="36" s="1"/>
  <c r="C748" i="36" s="1"/>
  <c r="D84" i="37"/>
  <c r="D74" i="37"/>
  <c r="D69" i="37"/>
  <c r="D78" i="37"/>
  <c r="D71" i="37"/>
  <c r="D73" i="37"/>
  <c r="D76" i="37"/>
  <c r="D70" i="37"/>
  <c r="D83" i="37"/>
  <c r="D82" i="37"/>
  <c r="D77" i="37"/>
  <c r="D85" i="37"/>
  <c r="D79" i="37"/>
  <c r="D75" i="37"/>
  <c r="D80" i="37"/>
  <c r="D72" i="37"/>
  <c r="D81" i="37"/>
  <c r="C294" i="37" s="1"/>
  <c r="C615" i="36" s="1"/>
  <c r="L82" i="43"/>
  <c r="K82" i="43"/>
  <c r="K252" i="43"/>
  <c r="L252" i="43"/>
  <c r="D135" i="36"/>
  <c r="C299" i="37"/>
  <c r="C620" i="36" s="1"/>
  <c r="AK11" i="41"/>
  <c r="AL39" i="41" s="1"/>
  <c r="AL40" i="41" s="1"/>
  <c r="D93" i="36"/>
  <c r="F59" i="37"/>
  <c r="F57" i="37"/>
  <c r="F58" i="37"/>
  <c r="C290" i="37" s="1"/>
  <c r="C611" i="36" s="1"/>
  <c r="C747" i="36" s="1"/>
  <c r="F56" i="37"/>
  <c r="F48" i="37"/>
  <c r="F50" i="37"/>
  <c r="F61" i="37"/>
  <c r="F51" i="37"/>
  <c r="F52" i="37"/>
  <c r="F47" i="37"/>
  <c r="F46" i="37"/>
  <c r="F49" i="37"/>
  <c r="F62" i="37"/>
  <c r="F55" i="37"/>
  <c r="F53" i="37"/>
  <c r="F54" i="37"/>
  <c r="F60" i="37"/>
  <c r="L233" i="43"/>
  <c r="K233" i="43"/>
  <c r="AJ16" i="41"/>
  <c r="AK51" i="41" s="1"/>
  <c r="AK52" i="41" s="1"/>
  <c r="C141" i="36"/>
  <c r="AJ12" i="41"/>
  <c r="AK45" i="41" s="1"/>
  <c r="AK47" i="41" s="1"/>
  <c r="C116" i="36"/>
  <c r="G50" i="36"/>
  <c r="AN9" i="41"/>
  <c r="AO27" i="41" s="1"/>
  <c r="AO28" i="41" s="1"/>
  <c r="C545" i="36"/>
  <c r="D59" i="37"/>
  <c r="D60" i="37"/>
  <c r="D58" i="37"/>
  <c r="C288" i="37" s="1"/>
  <c r="C609" i="36" s="1"/>
  <c r="C745" i="36" s="1"/>
  <c r="D46" i="37"/>
  <c r="D62" i="37"/>
  <c r="D47" i="37"/>
  <c r="D53" i="37"/>
  <c r="D50" i="37"/>
  <c r="D56" i="37"/>
  <c r="D49" i="37"/>
  <c r="D57" i="37"/>
  <c r="D61" i="37"/>
  <c r="D55" i="37"/>
  <c r="D52" i="37"/>
  <c r="D51" i="37"/>
  <c r="D48" i="37"/>
  <c r="D54" i="37"/>
  <c r="G95" i="37"/>
  <c r="G96" i="37"/>
  <c r="G101" i="37"/>
  <c r="G99" i="37"/>
  <c r="G109" i="37"/>
  <c r="G103" i="37"/>
  <c r="G93" i="37"/>
  <c r="G102" i="37"/>
  <c r="G97" i="37"/>
  <c r="G110" i="37"/>
  <c r="G94" i="37"/>
  <c r="G100" i="37"/>
  <c r="G111" i="37"/>
  <c r="G106" i="37"/>
  <c r="G107" i="37"/>
  <c r="G105" i="37"/>
  <c r="G112" i="37"/>
  <c r="G104" i="37"/>
  <c r="G98" i="37"/>
  <c r="G108" i="37"/>
  <c r="C315" i="37" s="1"/>
  <c r="C636" i="36" s="1"/>
  <c r="D70" i="36"/>
  <c r="AK10" i="41"/>
  <c r="AL33" i="41" s="1"/>
  <c r="C287" i="37"/>
  <c r="C608" i="36" s="1"/>
  <c r="C744" i="36" s="1"/>
  <c r="C38" i="37"/>
  <c r="C31" i="37"/>
  <c r="C32" i="37"/>
  <c r="C28" i="37"/>
  <c r="C30" i="37"/>
  <c r="C40" i="37"/>
  <c r="C35" i="37"/>
  <c r="C33" i="37"/>
  <c r="C34" i="37"/>
  <c r="C27" i="37"/>
  <c r="C29" i="37"/>
  <c r="C37" i="37"/>
  <c r="C36" i="37"/>
  <c r="C39" i="37"/>
  <c r="X58" i="38"/>
  <c r="J17" i="38" s="1"/>
  <c r="AB22" i="38"/>
  <c r="AB58" i="38" s="1"/>
  <c r="J16" i="38" s="1"/>
  <c r="Z22" i="38"/>
  <c r="Z58" i="38" s="1"/>
  <c r="J14" i="38" s="1"/>
  <c r="D102" i="43" s="1"/>
  <c r="AL12" i="41"/>
  <c r="AM45" i="41" s="1"/>
  <c r="AM47" i="41" s="1"/>
  <c r="E116" i="36"/>
  <c r="H70" i="36"/>
  <c r="AO10" i="41"/>
  <c r="AP33" i="41" s="1"/>
  <c r="Q58" i="38"/>
  <c r="J10" i="38" s="1"/>
  <c r="D96" i="43" s="1"/>
  <c r="E142" i="36"/>
  <c r="C505" i="36" s="1"/>
  <c r="C712" i="36" s="1"/>
  <c r="E145" i="36"/>
  <c r="E143" i="36"/>
  <c r="E144" i="36"/>
  <c r="AM18" i="41"/>
  <c r="AN55" i="41" s="1"/>
  <c r="AN56" i="41" s="1"/>
  <c r="F155" i="36"/>
  <c r="F93" i="36"/>
  <c r="AM11" i="41"/>
  <c r="AN39" i="41" s="1"/>
  <c r="AN40" i="41" s="1"/>
  <c r="K267" i="43"/>
  <c r="L267" i="43"/>
  <c r="C93" i="36"/>
  <c r="AJ11" i="41"/>
  <c r="AK39" i="41" s="1"/>
  <c r="AK40" i="41" s="1"/>
  <c r="AL11" i="41"/>
  <c r="AM39" i="41" s="1"/>
  <c r="AM40" i="41" s="1"/>
  <c r="E93" i="36"/>
  <c r="AB39" i="38"/>
  <c r="Z39" i="38"/>
  <c r="C148" i="36"/>
  <c r="I148" i="36" s="1"/>
  <c r="C150" i="36"/>
  <c r="I150" i="36" s="1"/>
  <c r="C149" i="36"/>
  <c r="I149" i="36" s="1"/>
  <c r="C147" i="36"/>
  <c r="D135" i="37"/>
  <c r="D136" i="37"/>
  <c r="D134" i="37"/>
  <c r="D133" i="37"/>
  <c r="C126" i="37"/>
  <c r="C129" i="37"/>
  <c r="C127" i="37"/>
  <c r="C125" i="37"/>
  <c r="C124" i="37"/>
  <c r="B138" i="39"/>
  <c r="B139" i="39" s="1"/>
  <c r="I139" i="39" s="1"/>
  <c r="K245" i="43"/>
  <c r="L245" i="43"/>
  <c r="E70" i="36"/>
  <c r="AL10" i="41"/>
  <c r="AM33" i="41" s="1"/>
  <c r="G93" i="36"/>
  <c r="AN11" i="41"/>
  <c r="AO39" i="41" s="1"/>
  <c r="AO40" i="41" s="1"/>
  <c r="AN12" i="41"/>
  <c r="AO45" i="41" s="1"/>
  <c r="AO47" i="41" s="1"/>
  <c r="G116" i="36"/>
  <c r="K241" i="43"/>
  <c r="L241" i="43"/>
  <c r="C50" i="36"/>
  <c r="AJ9" i="41"/>
  <c r="AK27" i="41" s="1"/>
  <c r="AK28" i="41" s="1"/>
  <c r="D58" i="38"/>
  <c r="L218" i="48"/>
  <c r="K218" i="48"/>
  <c r="H109" i="37"/>
  <c r="H110" i="37"/>
  <c r="H101" i="37"/>
  <c r="H93" i="37"/>
  <c r="H106" i="37"/>
  <c r="H100" i="37"/>
  <c r="H96" i="37"/>
  <c r="H105" i="37"/>
  <c r="H112" i="37"/>
  <c r="H98" i="37"/>
  <c r="H97" i="37"/>
  <c r="H102" i="37"/>
  <c r="H107" i="37"/>
  <c r="H111" i="37"/>
  <c r="H108" i="37"/>
  <c r="C316" i="37" s="1"/>
  <c r="C637" i="36" s="1"/>
  <c r="H94" i="37"/>
  <c r="H99" i="37"/>
  <c r="H95" i="37"/>
  <c r="H103" i="37"/>
  <c r="H104" i="37"/>
  <c r="I31" i="39"/>
  <c r="E75" i="37"/>
  <c r="E69" i="37"/>
  <c r="E71" i="37"/>
  <c r="E70" i="37"/>
  <c r="E72" i="37"/>
  <c r="E79" i="37"/>
  <c r="E83" i="37"/>
  <c r="E82" i="37"/>
  <c r="E84" i="37"/>
  <c r="E78" i="37"/>
  <c r="E73" i="37"/>
  <c r="E80" i="37"/>
  <c r="E81" i="37"/>
  <c r="C295" i="37" s="1"/>
  <c r="C616" i="36" s="1"/>
  <c r="E74" i="37"/>
  <c r="E77" i="37"/>
  <c r="E76" i="37"/>
  <c r="E85" i="37"/>
  <c r="H53" i="37"/>
  <c r="H60" i="37"/>
  <c r="H62" i="37"/>
  <c r="H55" i="37"/>
  <c r="H59" i="37"/>
  <c r="H61" i="37"/>
  <c r="H50" i="37"/>
  <c r="H52" i="37"/>
  <c r="H46" i="37"/>
  <c r="H48" i="37"/>
  <c r="H56" i="37"/>
  <c r="H54" i="37"/>
  <c r="H58" i="37"/>
  <c r="C292" i="37" s="1"/>
  <c r="C613" i="36" s="1"/>
  <c r="C749" i="36" s="1"/>
  <c r="H51" i="37"/>
  <c r="H49" i="37"/>
  <c r="H47" i="37"/>
  <c r="H57" i="37"/>
  <c r="F75" i="37"/>
  <c r="F71" i="37"/>
  <c r="F77" i="37"/>
  <c r="F69" i="37"/>
  <c r="F74" i="37"/>
  <c r="F70" i="37"/>
  <c r="F72" i="37"/>
  <c r="F84" i="37"/>
  <c r="F82" i="37"/>
  <c r="F83" i="37"/>
  <c r="F78" i="37"/>
  <c r="F80" i="37"/>
  <c r="F85" i="37"/>
  <c r="F73" i="37"/>
  <c r="F76" i="37"/>
  <c r="F79" i="37"/>
  <c r="F81" i="37"/>
  <c r="C296" i="37" s="1"/>
  <c r="C617" i="36" s="1"/>
  <c r="L29" i="43" l="1"/>
  <c r="I139" i="37"/>
  <c r="D121" i="36"/>
  <c r="D131" i="36"/>
  <c r="D129" i="36"/>
  <c r="D125" i="36"/>
  <c r="D117" i="36"/>
  <c r="C492" i="36" s="1"/>
  <c r="C699" i="36" s="1"/>
  <c r="D127" i="36"/>
  <c r="D123" i="36"/>
  <c r="D120" i="36"/>
  <c r="D122" i="36"/>
  <c r="D130" i="36"/>
  <c r="D126" i="36"/>
  <c r="D134" i="36"/>
  <c r="L19" i="43"/>
  <c r="D132" i="36"/>
  <c r="C558" i="36" s="1"/>
  <c r="C775" i="36" s="1"/>
  <c r="K21" i="43"/>
  <c r="L22" i="43"/>
  <c r="AP143" i="9"/>
  <c r="I142" i="37"/>
  <c r="L25" i="43"/>
  <c r="K33" i="43"/>
  <c r="L40" i="43"/>
  <c r="AZ143" i="9"/>
  <c r="K24" i="43"/>
  <c r="BA143" i="9"/>
  <c r="AT143" i="9"/>
  <c r="AU143" i="9"/>
  <c r="I53" i="39"/>
  <c r="F2" i="39" s="1"/>
  <c r="C381" i="39" s="1"/>
  <c r="D134" i="43" s="1"/>
  <c r="L134" i="43" s="1"/>
  <c r="AQ143" i="9"/>
  <c r="AS143" i="9"/>
  <c r="K23" i="43"/>
  <c r="L20" i="43"/>
  <c r="K30" i="43"/>
  <c r="CH145" i="9"/>
  <c r="CH146" i="9" s="1"/>
  <c r="A101" i="40"/>
  <c r="B6" i="40" s="1"/>
  <c r="I125" i="37"/>
  <c r="C275" i="37" s="1"/>
  <c r="C596" i="36" s="1"/>
  <c r="AY143" i="9"/>
  <c r="K16" i="45"/>
  <c r="K43" i="45" s="1"/>
  <c r="M16" i="45"/>
  <c r="Q3" i="45"/>
  <c r="M14" i="45"/>
  <c r="M15" i="45" s="1"/>
  <c r="AW143" i="9"/>
  <c r="K37" i="43"/>
  <c r="L27" i="43"/>
  <c r="I134" i="37"/>
  <c r="AV143" i="9"/>
  <c r="L41" i="43"/>
  <c r="K41" i="43"/>
  <c r="I162" i="36"/>
  <c r="AR143" i="9"/>
  <c r="I53" i="37"/>
  <c r="K32" i="43"/>
  <c r="L32" i="43"/>
  <c r="L273" i="48"/>
  <c r="AX143" i="9"/>
  <c r="K31" i="43"/>
  <c r="L31" i="43"/>
  <c r="C522" i="36"/>
  <c r="L34" i="43"/>
  <c r="K42" i="43"/>
  <c r="L42" i="43"/>
  <c r="I126" i="37"/>
  <c r="I51" i="37"/>
  <c r="I47" i="37"/>
  <c r="I133" i="37"/>
  <c r="C320" i="37"/>
  <c r="C641" i="36" s="1"/>
  <c r="C783" i="36" s="1"/>
  <c r="D18" i="48" s="1"/>
  <c r="L18" i="48" s="1"/>
  <c r="I59" i="37"/>
  <c r="I127" i="37"/>
  <c r="I129" i="37"/>
  <c r="I107" i="39"/>
  <c r="F56" i="39" s="1"/>
  <c r="C382" i="39" s="1"/>
  <c r="D135" i="43" s="1"/>
  <c r="K135" i="43" s="1"/>
  <c r="I120" i="37"/>
  <c r="AQ56" i="41"/>
  <c r="I52" i="37"/>
  <c r="I74" i="37"/>
  <c r="I29" i="37"/>
  <c r="I46" i="37"/>
  <c r="I27" i="37"/>
  <c r="BT145" i="9"/>
  <c r="BT146" i="9" s="1"/>
  <c r="CA145" i="9"/>
  <c r="CA146" i="9" s="1"/>
  <c r="I61" i="37"/>
  <c r="I84" i="37"/>
  <c r="I49" i="37"/>
  <c r="I60" i="37"/>
  <c r="I55" i="37"/>
  <c r="I32" i="37"/>
  <c r="I57" i="37"/>
  <c r="I161" i="39"/>
  <c r="F110" i="39" s="1"/>
  <c r="C383" i="39" s="1"/>
  <c r="D136" i="43" s="1"/>
  <c r="K136" i="43" s="1"/>
  <c r="I136" i="37"/>
  <c r="I54" i="37"/>
  <c r="I56" i="37"/>
  <c r="I121" i="37"/>
  <c r="BP145" i="9"/>
  <c r="BP146" i="9" s="1"/>
  <c r="I72" i="37"/>
  <c r="I62" i="37"/>
  <c r="AQ28" i="41"/>
  <c r="C322" i="37"/>
  <c r="C643" i="36" s="1"/>
  <c r="C785" i="36" s="1"/>
  <c r="D20" i="48" s="1"/>
  <c r="L20" i="48" s="1"/>
  <c r="I135" i="37"/>
  <c r="I48" i="37"/>
  <c r="I50" i="37"/>
  <c r="I118" i="37"/>
  <c r="BO75" i="9"/>
  <c r="D45" i="43" s="1"/>
  <c r="K45" i="43" s="1"/>
  <c r="BZ145" i="9"/>
  <c r="BZ146" i="9" s="1"/>
  <c r="G103" i="36"/>
  <c r="G100" i="36"/>
  <c r="G98" i="36"/>
  <c r="G97" i="36"/>
  <c r="G94" i="36"/>
  <c r="C487" i="36" s="1"/>
  <c r="C694" i="36" s="1"/>
  <c r="G108" i="36"/>
  <c r="G99" i="36"/>
  <c r="G95" i="36"/>
  <c r="G106" i="36"/>
  <c r="C543" i="36" s="1"/>
  <c r="C760" i="36" s="1"/>
  <c r="G102" i="36"/>
  <c r="G109" i="36"/>
  <c r="G107" i="36"/>
  <c r="G104" i="36"/>
  <c r="I78" i="37"/>
  <c r="D159" i="36"/>
  <c r="D157" i="36"/>
  <c r="D156" i="36"/>
  <c r="D158" i="36"/>
  <c r="AQ40" i="41"/>
  <c r="I34" i="37"/>
  <c r="I100" i="37"/>
  <c r="C142" i="36"/>
  <c r="C144" i="36"/>
  <c r="C145" i="36"/>
  <c r="C143" i="36"/>
  <c r="I73" i="37"/>
  <c r="I69" i="37"/>
  <c r="G80" i="36"/>
  <c r="G79" i="36"/>
  <c r="G75" i="36"/>
  <c r="G72" i="36"/>
  <c r="G83" i="36"/>
  <c r="C537" i="36" s="1"/>
  <c r="C754" i="36" s="1"/>
  <c r="G74" i="36"/>
  <c r="G77" i="36"/>
  <c r="G71" i="36"/>
  <c r="G86" i="36"/>
  <c r="G84" i="36"/>
  <c r="G85" i="36"/>
  <c r="G81" i="36"/>
  <c r="G82" i="36"/>
  <c r="G76" i="36"/>
  <c r="I105" i="37"/>
  <c r="C265" i="37" s="1"/>
  <c r="C586" i="36" s="1"/>
  <c r="I104" i="37"/>
  <c r="H80" i="36"/>
  <c r="H74" i="36"/>
  <c r="H82" i="36"/>
  <c r="H72" i="36"/>
  <c r="H77" i="36"/>
  <c r="H84" i="36"/>
  <c r="H85" i="36"/>
  <c r="H79" i="36"/>
  <c r="H86" i="36"/>
  <c r="H83" i="36"/>
  <c r="C538" i="36" s="1"/>
  <c r="C755" i="36" s="1"/>
  <c r="H76" i="36"/>
  <c r="H71" i="36"/>
  <c r="H75" i="36"/>
  <c r="H81" i="36"/>
  <c r="I35" i="37"/>
  <c r="G55" i="36"/>
  <c r="G54" i="36"/>
  <c r="G57" i="36"/>
  <c r="G53" i="36"/>
  <c r="G60" i="36"/>
  <c r="G51" i="36"/>
  <c r="C481" i="36" s="1"/>
  <c r="C688" i="36" s="1"/>
  <c r="G56" i="36"/>
  <c r="G52" i="36"/>
  <c r="AQ52" i="41"/>
  <c r="H53" i="36"/>
  <c r="H60" i="36"/>
  <c r="H51" i="36"/>
  <c r="C482" i="36" s="1"/>
  <c r="C689" i="36" s="1"/>
  <c r="H52" i="36"/>
  <c r="H57" i="36"/>
  <c r="H54" i="36"/>
  <c r="H56" i="36"/>
  <c r="H55" i="36"/>
  <c r="I71" i="37"/>
  <c r="I75" i="37"/>
  <c r="I119" i="37"/>
  <c r="H104" i="36"/>
  <c r="H108" i="36"/>
  <c r="H98" i="36"/>
  <c r="H107" i="36"/>
  <c r="H100" i="36"/>
  <c r="H109" i="36"/>
  <c r="H95" i="36"/>
  <c r="H103" i="36"/>
  <c r="H94" i="36"/>
  <c r="C488" i="36" s="1"/>
  <c r="C695" i="36" s="1"/>
  <c r="H106" i="36"/>
  <c r="C544" i="36" s="1"/>
  <c r="C761" i="36" s="1"/>
  <c r="H97" i="36"/>
  <c r="H99" i="36"/>
  <c r="H102" i="36"/>
  <c r="I94" i="37"/>
  <c r="I96" i="37"/>
  <c r="H131" i="36"/>
  <c r="H118" i="36"/>
  <c r="H130" i="36"/>
  <c r="H120" i="36"/>
  <c r="H123" i="36"/>
  <c r="H122" i="36"/>
  <c r="H135" i="36"/>
  <c r="H125" i="36"/>
  <c r="H121" i="36"/>
  <c r="H129" i="36"/>
  <c r="H132" i="36"/>
  <c r="C562" i="36" s="1"/>
  <c r="C779" i="36" s="1"/>
  <c r="H134" i="36"/>
  <c r="H127" i="36"/>
  <c r="H117" i="36"/>
  <c r="C496" i="36" s="1"/>
  <c r="C703" i="36" s="1"/>
  <c r="H126" i="36"/>
  <c r="C551" i="36"/>
  <c r="I147" i="36"/>
  <c r="D77" i="36"/>
  <c r="D72" i="36"/>
  <c r="D86" i="36"/>
  <c r="D83" i="36"/>
  <c r="C534" i="36" s="1"/>
  <c r="C751" i="36" s="1"/>
  <c r="D71" i="36"/>
  <c r="D74" i="36"/>
  <c r="D85" i="36"/>
  <c r="D75" i="36"/>
  <c r="D84" i="36"/>
  <c r="D81" i="36"/>
  <c r="D80" i="36"/>
  <c r="D76" i="36"/>
  <c r="D79" i="36"/>
  <c r="D82" i="36"/>
  <c r="I103" i="37"/>
  <c r="C52" i="36"/>
  <c r="C60" i="36"/>
  <c r="C56" i="36"/>
  <c r="C54" i="36"/>
  <c r="C57" i="36"/>
  <c r="C55" i="36"/>
  <c r="C51" i="36"/>
  <c r="C53" i="36"/>
  <c r="C305" i="37"/>
  <c r="C626" i="36" s="1"/>
  <c r="I124" i="37"/>
  <c r="I99" i="37"/>
  <c r="F157" i="36"/>
  <c r="F158" i="36"/>
  <c r="F159" i="36"/>
  <c r="F156" i="36"/>
  <c r="C500" i="36" s="1"/>
  <c r="C707" i="36" s="1"/>
  <c r="E122" i="36"/>
  <c r="E129" i="36"/>
  <c r="E121" i="36"/>
  <c r="E125" i="36"/>
  <c r="E120" i="36"/>
  <c r="E127" i="36"/>
  <c r="E135" i="36"/>
  <c r="E131" i="36"/>
  <c r="E117" i="36"/>
  <c r="C493" i="36" s="1"/>
  <c r="C700" i="36" s="1"/>
  <c r="E130" i="36"/>
  <c r="E134" i="36"/>
  <c r="E118" i="36"/>
  <c r="E126" i="36"/>
  <c r="E123" i="36"/>
  <c r="E132" i="36"/>
  <c r="C559" i="36" s="1"/>
  <c r="C776" i="36" s="1"/>
  <c r="I39" i="37"/>
  <c r="I40" i="37"/>
  <c r="I58" i="37"/>
  <c r="D107" i="36"/>
  <c r="D102" i="36"/>
  <c r="D103" i="36"/>
  <c r="D108" i="36"/>
  <c r="D97" i="36"/>
  <c r="D109" i="36"/>
  <c r="D94" i="36"/>
  <c r="C484" i="36" s="1"/>
  <c r="C691" i="36" s="1"/>
  <c r="D95" i="36"/>
  <c r="D106" i="36"/>
  <c r="C540" i="36" s="1"/>
  <c r="C757" i="36" s="1"/>
  <c r="D99" i="36"/>
  <c r="D98" i="36"/>
  <c r="D100" i="36"/>
  <c r="D104" i="36"/>
  <c r="I81" i="37"/>
  <c r="C293" i="37"/>
  <c r="C614" i="36" s="1"/>
  <c r="I85" i="37"/>
  <c r="E57" i="36"/>
  <c r="E53" i="36"/>
  <c r="E51" i="36"/>
  <c r="C479" i="36" s="1"/>
  <c r="C686" i="36" s="1"/>
  <c r="E52" i="36"/>
  <c r="E55" i="36"/>
  <c r="E54" i="36"/>
  <c r="E56" i="36"/>
  <c r="E60" i="36"/>
  <c r="F77" i="36"/>
  <c r="F72" i="36"/>
  <c r="F85" i="36"/>
  <c r="F76" i="36"/>
  <c r="F83" i="36"/>
  <c r="C536" i="36" s="1"/>
  <c r="C753" i="36" s="1"/>
  <c r="F86" i="36"/>
  <c r="F71" i="36"/>
  <c r="F80" i="36"/>
  <c r="F82" i="36"/>
  <c r="F79" i="36"/>
  <c r="F74" i="36"/>
  <c r="F75" i="36"/>
  <c r="F81" i="36"/>
  <c r="F84" i="36"/>
  <c r="I108" i="37"/>
  <c r="C311" i="37"/>
  <c r="C632" i="36" s="1"/>
  <c r="I101" i="37"/>
  <c r="K102" i="43"/>
  <c r="L102" i="43"/>
  <c r="F60" i="36"/>
  <c r="F51" i="36"/>
  <c r="C480" i="36" s="1"/>
  <c r="C687" i="36" s="1"/>
  <c r="F54" i="36"/>
  <c r="F56" i="36"/>
  <c r="F53" i="36"/>
  <c r="F52" i="36"/>
  <c r="F55" i="36"/>
  <c r="F57" i="36"/>
  <c r="I106" i="37"/>
  <c r="C280" i="37" s="1"/>
  <c r="C601" i="36" s="1"/>
  <c r="G127" i="36"/>
  <c r="G120" i="36"/>
  <c r="G132" i="36"/>
  <c r="C561" i="36" s="1"/>
  <c r="C778" i="36" s="1"/>
  <c r="G123" i="36"/>
  <c r="G129" i="36"/>
  <c r="G126" i="36"/>
  <c r="G117" i="36"/>
  <c r="C495" i="36" s="1"/>
  <c r="C702" i="36" s="1"/>
  <c r="G131" i="36"/>
  <c r="G130" i="36"/>
  <c r="G118" i="36"/>
  <c r="G125" i="36"/>
  <c r="G121" i="36"/>
  <c r="G122" i="36"/>
  <c r="G135" i="36"/>
  <c r="G134" i="36"/>
  <c r="D53" i="36"/>
  <c r="D60" i="36"/>
  <c r="D54" i="36"/>
  <c r="D55" i="36"/>
  <c r="D56" i="36"/>
  <c r="D51" i="36"/>
  <c r="C478" i="36" s="1"/>
  <c r="C685" i="36" s="1"/>
  <c r="D52" i="36"/>
  <c r="D57" i="36"/>
  <c r="I112" i="37"/>
  <c r="L96" i="43"/>
  <c r="K96" i="43"/>
  <c r="C762" i="36"/>
  <c r="G159" i="36"/>
  <c r="G157" i="36"/>
  <c r="G156" i="36"/>
  <c r="C501" i="36" s="1"/>
  <c r="C708" i="36" s="1"/>
  <c r="G158" i="36"/>
  <c r="I97" i="37"/>
  <c r="C106" i="36"/>
  <c r="C102" i="36"/>
  <c r="C98" i="36"/>
  <c r="C100" i="36"/>
  <c r="C99" i="36"/>
  <c r="C109" i="36"/>
  <c r="C108" i="36"/>
  <c r="C95" i="36"/>
  <c r="C103" i="36"/>
  <c r="C107" i="36"/>
  <c r="C97" i="36"/>
  <c r="C104" i="36"/>
  <c r="C94" i="36"/>
  <c r="I36" i="37"/>
  <c r="I30" i="37"/>
  <c r="C118" i="36"/>
  <c r="C121" i="36"/>
  <c r="C134" i="36"/>
  <c r="C129" i="36"/>
  <c r="C131" i="36"/>
  <c r="C122" i="36"/>
  <c r="C127" i="36"/>
  <c r="C135" i="36"/>
  <c r="C123" i="36"/>
  <c r="C132" i="36"/>
  <c r="C117" i="36"/>
  <c r="C125" i="36"/>
  <c r="C126" i="36"/>
  <c r="C120" i="36"/>
  <c r="C130" i="36"/>
  <c r="F135" i="36"/>
  <c r="F117" i="36"/>
  <c r="C494" i="36" s="1"/>
  <c r="C701" i="36" s="1"/>
  <c r="F131" i="36"/>
  <c r="F130" i="36"/>
  <c r="F118" i="36"/>
  <c r="F132" i="36"/>
  <c r="C560" i="36" s="1"/>
  <c r="C777" i="36" s="1"/>
  <c r="F125" i="36"/>
  <c r="F122" i="36"/>
  <c r="F121" i="36"/>
  <c r="F127" i="36"/>
  <c r="F120" i="36"/>
  <c r="F129" i="36"/>
  <c r="F134" i="36"/>
  <c r="F123" i="36"/>
  <c r="F126" i="36"/>
  <c r="I82" i="37"/>
  <c r="I80" i="37"/>
  <c r="I110" i="37"/>
  <c r="I111" i="37"/>
  <c r="I98" i="37"/>
  <c r="E94" i="36"/>
  <c r="C485" i="36" s="1"/>
  <c r="C692" i="36" s="1"/>
  <c r="E102" i="36"/>
  <c r="E99" i="36"/>
  <c r="E97" i="36"/>
  <c r="E108" i="36"/>
  <c r="E104" i="36"/>
  <c r="E100" i="36"/>
  <c r="E98" i="36"/>
  <c r="E107" i="36"/>
  <c r="E103" i="36"/>
  <c r="E109" i="36"/>
  <c r="E106" i="36"/>
  <c r="C541" i="36" s="1"/>
  <c r="C758" i="36" s="1"/>
  <c r="E95" i="36"/>
  <c r="I107" i="37"/>
  <c r="C267" i="37" s="1"/>
  <c r="C588" i="36" s="1"/>
  <c r="I31" i="37"/>
  <c r="I77" i="37"/>
  <c r="C533" i="36"/>
  <c r="C750" i="36" s="1"/>
  <c r="I93" i="37"/>
  <c r="E74" i="36"/>
  <c r="E79" i="36"/>
  <c r="E85" i="36"/>
  <c r="E75" i="36"/>
  <c r="E71" i="36"/>
  <c r="E84" i="36"/>
  <c r="E80" i="36"/>
  <c r="E77" i="36"/>
  <c r="E81" i="36"/>
  <c r="E83" i="36"/>
  <c r="C535" i="36" s="1"/>
  <c r="C752" i="36" s="1"/>
  <c r="E82" i="36"/>
  <c r="E76" i="36"/>
  <c r="E72" i="36"/>
  <c r="E86" i="36"/>
  <c r="I38" i="37"/>
  <c r="I79" i="37"/>
  <c r="C321" i="37"/>
  <c r="C642" i="36" s="1"/>
  <c r="C784" i="36" s="1"/>
  <c r="D19" i="48" s="1"/>
  <c r="I33" i="37"/>
  <c r="J15" i="38"/>
  <c r="J3" i="38"/>
  <c r="D90" i="43" s="1"/>
  <c r="I215" i="39"/>
  <c r="F164" i="39" s="1"/>
  <c r="C384" i="39" s="1"/>
  <c r="D137" i="43" s="1"/>
  <c r="F94" i="36"/>
  <c r="C486" i="36" s="1"/>
  <c r="C693" i="36" s="1"/>
  <c r="F102" i="36"/>
  <c r="F108" i="36"/>
  <c r="F107" i="36"/>
  <c r="F98" i="36"/>
  <c r="F103" i="36"/>
  <c r="F106" i="36"/>
  <c r="C542" i="36" s="1"/>
  <c r="C759" i="36" s="1"/>
  <c r="F97" i="36"/>
  <c r="F104" i="36"/>
  <c r="F109" i="36"/>
  <c r="F99" i="36"/>
  <c r="F95" i="36"/>
  <c r="F100" i="36"/>
  <c r="C318" i="37"/>
  <c r="C639" i="36" s="1"/>
  <c r="C781" i="36" s="1"/>
  <c r="D16" i="48" s="1"/>
  <c r="I37" i="37"/>
  <c r="I28" i="37"/>
  <c r="AQ47" i="41"/>
  <c r="I83" i="37"/>
  <c r="I70" i="37"/>
  <c r="I76" i="37"/>
  <c r="C319" i="37"/>
  <c r="C640" i="36" s="1"/>
  <c r="C782" i="36" s="1"/>
  <c r="D17" i="48" s="1"/>
  <c r="C323" i="37"/>
  <c r="C644" i="36" s="1"/>
  <c r="C786" i="36" s="1"/>
  <c r="D21" i="48" s="1"/>
  <c r="F143" i="36"/>
  <c r="F144" i="36"/>
  <c r="F142" i="36"/>
  <c r="C506" i="36" s="1"/>
  <c r="C713" i="36" s="1"/>
  <c r="F145" i="36"/>
  <c r="I109" i="37"/>
  <c r="I95" i="37"/>
  <c r="I102" i="37"/>
  <c r="C261" i="37" l="1"/>
  <c r="C582" i="36" s="1"/>
  <c r="C663" i="36" s="1"/>
  <c r="D51" i="43" s="1"/>
  <c r="L51" i="43" s="1"/>
  <c r="K134" i="43"/>
  <c r="L135" i="43"/>
  <c r="D17" i="43"/>
  <c r="L17" i="43" s="1"/>
  <c r="L136" i="43"/>
  <c r="L45" i="43"/>
  <c r="K18" i="48"/>
  <c r="C730" i="36"/>
  <c r="D85" i="43" s="1"/>
  <c r="K85" i="43" s="1"/>
  <c r="C260" i="37"/>
  <c r="C581" i="36" s="1"/>
  <c r="I77" i="36"/>
  <c r="C257" i="37"/>
  <c r="C578" i="36" s="1"/>
  <c r="C659" i="36" s="1"/>
  <c r="C262" i="37"/>
  <c r="C583" i="36" s="1"/>
  <c r="C664" i="36" s="1"/>
  <c r="D52" i="43" s="1"/>
  <c r="L52" i="43" s="1"/>
  <c r="I98" i="36"/>
  <c r="I85" i="36"/>
  <c r="I80" i="36"/>
  <c r="C276" i="37"/>
  <c r="C597" i="36" s="1"/>
  <c r="C731" i="36" s="1"/>
  <c r="D86" i="43" s="1"/>
  <c r="K86" i="43" s="1"/>
  <c r="I107" i="36"/>
  <c r="I102" i="36"/>
  <c r="C463" i="36"/>
  <c r="C669" i="36" s="1"/>
  <c r="C464" i="36"/>
  <c r="C670" i="36" s="1"/>
  <c r="I84" i="36"/>
  <c r="I81" i="36"/>
  <c r="K20" i="48"/>
  <c r="I86" i="36"/>
  <c r="I83" i="36"/>
  <c r="I103" i="36"/>
  <c r="I75" i="36"/>
  <c r="C255" i="37"/>
  <c r="C576" i="36" s="1"/>
  <c r="C656" i="36" s="1"/>
  <c r="D49" i="43" s="1"/>
  <c r="K49" i="43" s="1"/>
  <c r="AK79" i="41"/>
  <c r="D55" i="43" s="1"/>
  <c r="K55" i="43" s="1"/>
  <c r="I134" i="36"/>
  <c r="C270" i="37"/>
  <c r="C591" i="36" s="1"/>
  <c r="I82" i="36"/>
  <c r="I74" i="36"/>
  <c r="C256" i="37"/>
  <c r="C577" i="36" s="1"/>
  <c r="C657" i="36" s="1"/>
  <c r="I72" i="36"/>
  <c r="I95" i="36"/>
  <c r="I79" i="36"/>
  <c r="I71" i="36"/>
  <c r="C266" i="37"/>
  <c r="C282" i="36" s="1"/>
  <c r="C283" i="36" s="1"/>
  <c r="I122" i="36"/>
  <c r="I57" i="36"/>
  <c r="I76" i="36"/>
  <c r="C466" i="36"/>
  <c r="C672" i="36" s="1"/>
  <c r="K137" i="43"/>
  <c r="L137" i="43"/>
  <c r="I106" i="36"/>
  <c r="C539" i="36"/>
  <c r="C756" i="36" s="1"/>
  <c r="C284" i="37"/>
  <c r="C605" i="36" s="1"/>
  <c r="C741" i="36" s="1"/>
  <c r="K90" i="43"/>
  <c r="L90" i="43"/>
  <c r="D100" i="43"/>
  <c r="D89" i="43" s="1"/>
  <c r="L89" i="43" s="1"/>
  <c r="I118" i="36"/>
  <c r="C465" i="36"/>
  <c r="C671" i="36" s="1"/>
  <c r="I54" i="36"/>
  <c r="C462" i="36"/>
  <c r="C668" i="36" s="1"/>
  <c r="K51" i="43"/>
  <c r="K16" i="48"/>
  <c r="L16" i="48"/>
  <c r="I135" i="36"/>
  <c r="C263" i="37"/>
  <c r="C584" i="36" s="1"/>
  <c r="C665" i="36" s="1"/>
  <c r="D262" i="48" s="1"/>
  <c r="I108" i="36"/>
  <c r="C281" i="37"/>
  <c r="C602" i="36" s="1"/>
  <c r="I56" i="36"/>
  <c r="C283" i="37"/>
  <c r="C604" i="36" s="1"/>
  <c r="I130" i="36"/>
  <c r="C528" i="36" s="1"/>
  <c r="C737" i="36" s="1"/>
  <c r="D267" i="48" s="1"/>
  <c r="I127" i="36"/>
  <c r="C317" i="37"/>
  <c r="C638" i="36" s="1"/>
  <c r="C780" i="36" s="1"/>
  <c r="D88" i="43" s="1"/>
  <c r="I109" i="36"/>
  <c r="C286" i="37"/>
  <c r="C607" i="36" s="1"/>
  <c r="I60" i="36"/>
  <c r="I143" i="36"/>
  <c r="I158" i="36"/>
  <c r="I123" i="36"/>
  <c r="K19" i="48"/>
  <c r="L19" i="48"/>
  <c r="I120" i="36"/>
  <c r="I94" i="36"/>
  <c r="C483" i="36"/>
  <c r="C690" i="36" s="1"/>
  <c r="I99" i="36"/>
  <c r="I52" i="36"/>
  <c r="I145" i="36"/>
  <c r="C498" i="36"/>
  <c r="C705" i="36" s="1"/>
  <c r="I156" i="36"/>
  <c r="I55" i="36"/>
  <c r="C467" i="36"/>
  <c r="C673" i="36" s="1"/>
  <c r="I132" i="36"/>
  <c r="C557" i="36"/>
  <c r="C774" i="36" s="1"/>
  <c r="D132" i="43"/>
  <c r="L132" i="43" s="1"/>
  <c r="I126" i="36"/>
  <c r="I131" i="36"/>
  <c r="C473" i="36" s="1"/>
  <c r="C679" i="36" s="1"/>
  <c r="D54" i="43" s="1"/>
  <c r="I104" i="36"/>
  <c r="I100" i="36"/>
  <c r="I53" i="36"/>
  <c r="I144" i="36"/>
  <c r="I157" i="36"/>
  <c r="C491" i="36"/>
  <c r="C698" i="36" s="1"/>
  <c r="I117" i="36"/>
  <c r="K21" i="48"/>
  <c r="L21" i="48"/>
  <c r="I121" i="36"/>
  <c r="L17" i="48"/>
  <c r="K17" i="48"/>
  <c r="I125" i="36"/>
  <c r="I129" i="36"/>
  <c r="C470" i="36" s="1"/>
  <c r="C675" i="36" s="1"/>
  <c r="I97" i="36"/>
  <c r="C477" i="36"/>
  <c r="C684" i="36" s="1"/>
  <c r="I51" i="36"/>
  <c r="C768" i="36"/>
  <c r="C285" i="37"/>
  <c r="C606" i="36" s="1"/>
  <c r="C742" i="36" s="1"/>
  <c r="C503" i="36"/>
  <c r="C710" i="36" s="1"/>
  <c r="I142" i="36"/>
  <c r="I159" i="36"/>
  <c r="C587" i="36" l="1"/>
  <c r="C678" i="36" s="1"/>
  <c r="D265" i="48" s="1"/>
  <c r="K265" i="48" s="1"/>
  <c r="K52" i="43"/>
  <c r="D16" i="43"/>
  <c r="L16" i="43" s="1"/>
  <c r="K17" i="43"/>
  <c r="L85" i="43"/>
  <c r="L49" i="43"/>
  <c r="L86" i="43"/>
  <c r="C458" i="36"/>
  <c r="C662" i="36" s="1"/>
  <c r="C511" i="36"/>
  <c r="C718" i="36" s="1"/>
  <c r="C510" i="36"/>
  <c r="C717" i="36" s="1"/>
  <c r="D56" i="43"/>
  <c r="L56" i="43" s="1"/>
  <c r="C531" i="36"/>
  <c r="C740" i="36" s="1"/>
  <c r="D280" i="43" s="1"/>
  <c r="L280" i="43" s="1"/>
  <c r="C532" i="36"/>
  <c r="C743" i="36" s="1"/>
  <c r="L55" i="43"/>
  <c r="C284" i="36"/>
  <c r="C461" i="36"/>
  <c r="C667" i="36" s="1"/>
  <c r="U22" i="5"/>
  <c r="K267" i="48"/>
  <c r="L267" i="48"/>
  <c r="L262" i="48"/>
  <c r="K262" i="48"/>
  <c r="C515" i="36"/>
  <c r="C722" i="36" s="1"/>
  <c r="D84" i="43" s="1"/>
  <c r="C469" i="36"/>
  <c r="C674" i="36" s="1"/>
  <c r="D53" i="43" s="1"/>
  <c r="L100" i="43"/>
  <c r="K100" i="43"/>
  <c r="L265" i="48" l="1"/>
  <c r="K56" i="43"/>
  <c r="D278" i="43"/>
  <c r="L278" i="43" s="1"/>
  <c r="L53" i="43"/>
  <c r="K53" i="43"/>
  <c r="D47" i="43"/>
  <c r="L47" i="43" s="1"/>
  <c r="L84" i="43"/>
  <c r="K84" i="43"/>
  <c r="C289" i="36"/>
  <c r="C529" i="36" s="1"/>
  <c r="C738" i="36" s="1"/>
  <c r="D268" i="48" s="1"/>
  <c r="C527" i="36"/>
  <c r="C736" i="36" s="1"/>
  <c r="K268" i="48" l="1"/>
  <c r="K450" i="48" s="1"/>
  <c r="L268" i="48"/>
  <c r="D260" i="48"/>
  <c r="L260" i="48" s="1"/>
  <c r="K307" i="43"/>
</calcChain>
</file>

<file path=xl/sharedStrings.xml><?xml version="1.0" encoding="utf-8"?>
<sst xmlns="http://schemas.openxmlformats.org/spreadsheetml/2006/main" count="5658" uniqueCount="1313">
  <si>
    <t>PISO TECHO</t>
  </si>
  <si>
    <t>DESCRIPCION</t>
  </si>
  <si>
    <t>CANTIDAD</t>
  </si>
  <si>
    <t>SUPERFICIES</t>
  </si>
  <si>
    <t>ACABADO</t>
  </si>
  <si>
    <t>COLOR</t>
  </si>
  <si>
    <t>ESPECIFICACION DE ACABADOS</t>
  </si>
  <si>
    <t>SIGLA</t>
  </si>
  <si>
    <t>ANCHO</t>
  </si>
  <si>
    <t>El ancho  de las puertas en cm. es:  DEPANEL (80. 5), FACE ( 80.6) y PORTAFREEDOM.</t>
  </si>
  <si>
    <t>ALTURA</t>
  </si>
  <si>
    <t>OBSERVACIONES</t>
  </si>
  <si>
    <t>TIPOLOGIA</t>
  </si>
  <si>
    <t xml:space="preserve">ALMACEN </t>
  </si>
  <si>
    <t>MEDIA ALTURA</t>
  </si>
  <si>
    <t>Para solicitar gabinetes, repisas y revisteros de la linea FACE, recuerde solicitarlos especificando si van a la estructura o pared.</t>
  </si>
  <si>
    <t>No olvide la tornilleria para instalacion, partes plasticas y herrajes.</t>
  </si>
  <si>
    <t>HERRAJES METALICOS</t>
  </si>
  <si>
    <t>REFERENCIA</t>
  </si>
  <si>
    <t>CANT(P)</t>
  </si>
  <si>
    <t>CANT(E)</t>
  </si>
  <si>
    <t xml:space="preserve">AMARRE FALDA </t>
  </si>
  <si>
    <t>REPISA 56</t>
  </si>
  <si>
    <t>REPISA 70</t>
  </si>
  <si>
    <t>REPISA 84</t>
  </si>
  <si>
    <t>REPISA 112</t>
  </si>
  <si>
    <t>CANT.</t>
  </si>
  <si>
    <t>PAPELERA ESCRITORIO CURVA</t>
  </si>
  <si>
    <t>BASE DIAMETRO 90</t>
  </si>
  <si>
    <t>BASE DIAMETRO 120</t>
  </si>
  <si>
    <t>BASURERA PENTAGONAL</t>
  </si>
  <si>
    <t>PASACABLES SUPERFICIE</t>
  </si>
  <si>
    <t>COSTADOS</t>
  </si>
  <si>
    <t>FALDAS</t>
  </si>
  <si>
    <t xml:space="preserve">ARCH. METAL.B 11 </t>
  </si>
  <si>
    <t xml:space="preserve">ARCH. METAL.B 111 </t>
  </si>
  <si>
    <t>ARCH. METAL.B 1111</t>
  </si>
  <si>
    <t>ARCH. MAD.B 12</t>
  </si>
  <si>
    <t>ARCH. METAL.B 122 EXTEN.</t>
  </si>
  <si>
    <t xml:space="preserve">ARCH. METAL.C 11 </t>
  </si>
  <si>
    <t>ESTRUCTURA TALON 130</t>
  </si>
  <si>
    <t xml:space="preserve">ARCH. METAL. C 111 </t>
  </si>
  <si>
    <t xml:space="preserve">ARCHIVO METAL. BIBLIOTECA </t>
  </si>
  <si>
    <t xml:space="preserve">CAJON SEN.METAL. B3 </t>
  </si>
  <si>
    <t>PORTATECLADO</t>
  </si>
  <si>
    <t>CANT</t>
  </si>
  <si>
    <t>MADERA PORTA MOUSE</t>
  </si>
  <si>
    <t>PEDESTAL</t>
  </si>
  <si>
    <t>PUERTAS</t>
  </si>
  <si>
    <t>AMARRE COSTADO</t>
  </si>
  <si>
    <t>E M D</t>
  </si>
  <si>
    <t xml:space="preserve">E M S </t>
  </si>
  <si>
    <t>E - 42 IZQ</t>
  </si>
  <si>
    <t xml:space="preserve">E - 42 DER </t>
  </si>
  <si>
    <t>E L 28</t>
  </si>
  <si>
    <t xml:space="preserve">E L 56 </t>
  </si>
  <si>
    <t>E L 70</t>
  </si>
  <si>
    <t xml:space="preserve">E L 84 </t>
  </si>
  <si>
    <t xml:space="preserve">E L 112 </t>
  </si>
  <si>
    <t>BISAGRAS</t>
  </si>
  <si>
    <t>BASE MESA CENTRO</t>
  </si>
  <si>
    <t>CHAZO  DE EXPANSIÓN</t>
  </si>
  <si>
    <t>CHAZO PLASTICO</t>
  </si>
  <si>
    <t>PVC TERMINAL</t>
  </si>
  <si>
    <t>LISO 56</t>
  </si>
  <si>
    <t>LISO 28</t>
  </si>
  <si>
    <t>LISO 70</t>
  </si>
  <si>
    <t>LISO 84</t>
  </si>
  <si>
    <t>LISO 112</t>
  </si>
  <si>
    <t>LISO 140</t>
  </si>
  <si>
    <t>POSTE CUADRADO</t>
  </si>
  <si>
    <t>SALIDAS</t>
  </si>
  <si>
    <t>PARALELOS</t>
  </si>
  <si>
    <t>VIRTUAL +</t>
  </si>
  <si>
    <t>VIRTUAL T</t>
  </si>
  <si>
    <t>VIRTUAL L</t>
  </si>
  <si>
    <t>TERMINAL SIN PVC</t>
  </si>
  <si>
    <t>TERMINAL</t>
  </si>
  <si>
    <t>E L 140</t>
  </si>
  <si>
    <t>TRIPLEX NATURAL</t>
  </si>
  <si>
    <t>PAPELERA IMPRESORA</t>
  </si>
  <si>
    <t>ARCHIVADOR ROPERO</t>
  </si>
  <si>
    <t>PARTES PLASTICAS</t>
  </si>
  <si>
    <t>OTROS</t>
  </si>
  <si>
    <t>LONG.</t>
  </si>
  <si>
    <t>NRO. PANELES</t>
  </si>
  <si>
    <t>NRO. SUPERFICIES</t>
  </si>
  <si>
    <t>PASARELA</t>
  </si>
  <si>
    <t>U DE TECHO</t>
  </si>
  <si>
    <t xml:space="preserve">                                                                                                                                                                                       </t>
  </si>
  <si>
    <t xml:space="preserve"> </t>
  </si>
  <si>
    <t>CHAZO DRY WALL</t>
  </si>
  <si>
    <t>TAPON DE 10 MM</t>
  </si>
  <si>
    <t>MARCO PUERTA</t>
  </si>
  <si>
    <t>ACABADOS</t>
  </si>
  <si>
    <t>CANTO</t>
  </si>
  <si>
    <t xml:space="preserve">    CLIENTE:</t>
  </si>
  <si>
    <t>PROYECTO:</t>
  </si>
  <si>
    <t>ORDEN DE PRODUCCION</t>
  </si>
  <si>
    <t>CLIENTE:</t>
  </si>
  <si>
    <t>NUEVA</t>
  </si>
  <si>
    <t xml:space="preserve">  LOS   DUCTOS  SON  DE :</t>
  </si>
  <si>
    <t>LOS GABINETES SON :</t>
  </si>
  <si>
    <t>U TELESCOPICA</t>
  </si>
  <si>
    <t>VIDRIO</t>
  </si>
  <si>
    <t>ANTEPECHO</t>
  </si>
  <si>
    <t>MONTANTE</t>
  </si>
  <si>
    <t>PROYECTO :</t>
  </si>
  <si>
    <t>OBSERVACION</t>
  </si>
  <si>
    <t>UNIDAD</t>
  </si>
  <si>
    <t>Caucho 11 X 11</t>
  </si>
  <si>
    <t>Lam</t>
  </si>
  <si>
    <t>HONEICOM</t>
  </si>
  <si>
    <t>Tornillo 8 X 1/2 Pav Pan Ph</t>
  </si>
  <si>
    <t>FORMICA</t>
  </si>
  <si>
    <t>Lam.</t>
  </si>
  <si>
    <t>BALANCE</t>
  </si>
  <si>
    <t>Mts.</t>
  </si>
  <si>
    <t>Uni</t>
  </si>
  <si>
    <t>PAÑOS</t>
  </si>
  <si>
    <t>PORTA</t>
  </si>
  <si>
    <t>PEDIDO</t>
  </si>
  <si>
    <t>UNIDAD PRINCIPAL BADE MADECOR</t>
  </si>
  <si>
    <t>UNIDAD PRINCIPAL  MADECOR</t>
  </si>
  <si>
    <t>UNIDAD RETORNO DOBLE CURVA MADECOR</t>
  </si>
  <si>
    <t>UNIDAD RETORNO DERECHA  MADECOR</t>
  </si>
  <si>
    <t>UNIDAD RETORNO IZQUIERDA  MADECOR</t>
  </si>
  <si>
    <t>UNIDAD OVAL  MADECOR</t>
  </si>
  <si>
    <t>UNIDAD OVAL  NEUMATICA  MADECOR</t>
  </si>
  <si>
    <t>UNIDAD PRINCIPAL BADE FORMICA</t>
  </si>
  <si>
    <t>UNIDAD PRINCIPAL  FORMICA</t>
  </si>
  <si>
    <t>UNIDAD RETONO DOBLE CURVA FORMICA</t>
  </si>
  <si>
    <t>PORTA  20 X 117</t>
  </si>
  <si>
    <t>PORTA  20 X 144</t>
  </si>
  <si>
    <t>UNIDAD RETORNO DERECHA  FORMICA</t>
  </si>
  <si>
    <t>UNIDAD RETORNO IZQUIERDA  FORMICA</t>
  </si>
  <si>
    <t>UNIDAD OVAL  FORMICA</t>
  </si>
  <si>
    <t>UNIDAD OVAL NEUMATICA FORMICA</t>
  </si>
  <si>
    <t>UNIDAD PRINCIPAL BADE CHAPILLA</t>
  </si>
  <si>
    <t>UNIDAD PRINCIPAL  CHAPILLA</t>
  </si>
  <si>
    <t>UNIDAD RETORNO DOBLE CURVA CHAPILLA</t>
  </si>
  <si>
    <t>UNIDAD RETORNO DERECHA  CHAPILLA</t>
  </si>
  <si>
    <t>UNIDAD RETORNO IZQUIERDA  CHAPILLA</t>
  </si>
  <si>
    <t>UNIDAD OVAL  CHAPILLA</t>
  </si>
  <si>
    <t>UNIDAD OVAL  NEUMATICA  CHAPILLA</t>
  </si>
  <si>
    <t>PANTALLA PLANA DE 140 X 50 PAÑO</t>
  </si>
  <si>
    <t>PANTALLA PLANA DE 100 X 50 PAÑO</t>
  </si>
  <si>
    <t>PANTALLA PLANA DE 45 X 50 PAÑO</t>
  </si>
  <si>
    <t>PANTALLA CURVA DE 78 X 50 PAÑO</t>
  </si>
  <si>
    <t>PANTALLA PLANA DE 140 X 50 CORDOBAN NEGRO</t>
  </si>
  <si>
    <t>PANTALLA PLANA DE 100 X 50 CORDOBAN NEGRO</t>
  </si>
  <si>
    <t>PANTALLA PLANA DE 45 X 50 CORDOBAN NEGRO</t>
  </si>
  <si>
    <t>PANTALLA CURVA DE 78 X 50 CORDOBAN NEGRO</t>
  </si>
  <si>
    <t>MOSTRADOR FORMICA</t>
  </si>
  <si>
    <t>Jue.</t>
  </si>
  <si>
    <t>REPISA FORMICA</t>
  </si>
  <si>
    <t>CUBIERTA COSTADO CHAPILLA PAR</t>
  </si>
  <si>
    <t>ARCHIVADOR MADERA PLANO  B12 RED PORTA</t>
  </si>
  <si>
    <t>PORTA C.P.U. PORTA</t>
  </si>
  <si>
    <t>MULTITOMA SIN TOMAS</t>
  </si>
  <si>
    <t>ORGANIZADOR DE CABLES DE 137 PORTA</t>
  </si>
  <si>
    <t>ORGANIZADOR DE CABLES DE 110 PORTA</t>
  </si>
  <si>
    <t>ORGANIZADOR DE CABLES RETORNO 20 (2) PORTA</t>
  </si>
  <si>
    <t>CONEXIÓN A DUCTOS PORTA</t>
  </si>
  <si>
    <t>DUCTO A PISO PORTA</t>
  </si>
  <si>
    <t>CUBIERTA COSTADO MALLA PAR</t>
  </si>
  <si>
    <t>CUBIERTA VIGA 134</t>
  </si>
  <si>
    <t>CUBIERTA VIGA 107</t>
  </si>
  <si>
    <t>CUBIERTA VIGA 64</t>
  </si>
  <si>
    <t>PORTATECLADO CURVO</t>
  </si>
  <si>
    <t>RIEL DE ACCESORIOS + 4 ACCESORIOS</t>
  </si>
  <si>
    <t>FALDA PORTA 144</t>
  </si>
  <si>
    <t>FALDA PORTA 117</t>
  </si>
  <si>
    <t>FALDA PORTA 74</t>
  </si>
  <si>
    <t>COSTADO TUBO PAR</t>
  </si>
  <si>
    <t>BADE PORTA</t>
  </si>
  <si>
    <t>SUPERFICIE PRINCIPAL BADE MADECOR</t>
  </si>
  <si>
    <t>SUPERFICIE PRINCIPAL MADECOR</t>
  </si>
  <si>
    <t>SUPERFICIE RETORNO DOBLE CURVA MADECOR</t>
  </si>
  <si>
    <t>SUPERFICIE RETORNO DERECHA MADECOR</t>
  </si>
  <si>
    <t>SUPERFICIE RETORNO IZQUIERDA MADECOR</t>
  </si>
  <si>
    <t>SUPERFICIE OVAL MADECOR</t>
  </si>
  <si>
    <t>SUPERFICIE PRINCIPAL BADE FORMICA</t>
  </si>
  <si>
    <t>SUPERFICIE PRINCIPAL FORMICA</t>
  </si>
  <si>
    <t>SUPERFICIE RETORNO DOBLE CURVA FORMICA</t>
  </si>
  <si>
    <t>SUPERFICIE RETORNO DERECHA FORMICA</t>
  </si>
  <si>
    <t>SUPERFICIE RETORNO IZQUIERDA FORMICA</t>
  </si>
  <si>
    <t>SUPERFICIE OVAL FORMICA</t>
  </si>
  <si>
    <t>SUPERFICIE PRINCIPAL BADE CHAPILLA</t>
  </si>
  <si>
    <t>SUPERFICIE PRINCIPAL CHAPILLA</t>
  </si>
  <si>
    <t>SUPERFICIE RETORNO DOBLE CURVA CHAPILLA</t>
  </si>
  <si>
    <t>SUPERFICIE RETORNO DERECHA CHAPILLA</t>
  </si>
  <si>
    <t>SUPERFICIE RETORNO IZQUIERDA CHAPILLA</t>
  </si>
  <si>
    <t>SUPERFICIE OVAL CHAPILLA</t>
  </si>
  <si>
    <t>ACCESORIO TABLERO AFICHABLE</t>
  </si>
  <si>
    <t>ACCESORIO PORTA  LAPIZ</t>
  </si>
  <si>
    <t>ACCESORIO REPISA  DISQUETTES</t>
  </si>
  <si>
    <t>ACCESORIO ARCHIVADOR ZIGZAG</t>
  </si>
  <si>
    <t>ESTRUCTURA PRINCIPAL BADE</t>
  </si>
  <si>
    <t>ESTRUCTURA PRINCIPAL</t>
  </si>
  <si>
    <t>ESTRUCTURA RETORNOS</t>
  </si>
  <si>
    <t>BASE DIAMETRO NEUMATICA</t>
  </si>
  <si>
    <t>SOPORTE REPISA</t>
  </si>
  <si>
    <t>SOPORTE MOSTRADOR PAR</t>
  </si>
  <si>
    <t>CANALETA CUBIERTA VIGA 124</t>
  </si>
  <si>
    <t>CANALETA CUBIERTA VIGA 97</t>
  </si>
  <si>
    <t>CANALETA CUBIERTA VIGA 54</t>
  </si>
  <si>
    <t>SOPORTE CENTRAL</t>
  </si>
  <si>
    <t>PASACABLES PORTA 25MM.</t>
  </si>
  <si>
    <t>SUPLEMENTO PRENSA PORTA</t>
  </si>
  <si>
    <t>HERRAJE PLINARES</t>
  </si>
  <si>
    <t>INSERTO METALICO / TECLADO 5/32"</t>
  </si>
  <si>
    <t>INSERTO METALICO / COSTADO 1/4"</t>
  </si>
  <si>
    <t>PATIN VERTICAL</t>
  </si>
  <si>
    <t>PATIN HORIZONTAL</t>
  </si>
  <si>
    <t>PRENSA</t>
  </si>
  <si>
    <t>PUNTERA PLASTICA</t>
  </si>
  <si>
    <t>TIRAFONDOS</t>
  </si>
  <si>
    <t>TORNILLO BRISTOL 3/4  1/4 R.O.</t>
  </si>
  <si>
    <t>TORNILLO NIVELADOR 5/16</t>
  </si>
  <si>
    <t>TORNILLO PHILLIPS DE 8 X 5/8 AVEL</t>
  </si>
  <si>
    <t>LLAVE BRISTOL 3/16</t>
  </si>
  <si>
    <t>KIT ESTRUCTURA PRINCIPAL BADE</t>
  </si>
  <si>
    <t>KIT ESTRUCTURA PRINCIPAL</t>
  </si>
  <si>
    <t>KIT ESTRUCTURA RETORNO RECTO CURVO</t>
  </si>
  <si>
    <t>KIT ESTRUCTURA RETORNO CURVO CURVO</t>
  </si>
  <si>
    <t xml:space="preserve">VIRTUAL 135º </t>
  </si>
  <si>
    <t>VALOR METRO</t>
  </si>
  <si>
    <t>HOJA 3</t>
  </si>
  <si>
    <t>CIRCULAR</t>
  </si>
  <si>
    <t>CUADRADO</t>
  </si>
  <si>
    <t>SIN PVC</t>
  </si>
  <si>
    <t>U</t>
  </si>
  <si>
    <t>MEDIDAS</t>
  </si>
  <si>
    <t>CANTO PLANO O PVC</t>
  </si>
  <si>
    <t>ALMACEN :</t>
  </si>
  <si>
    <t>MEDIDAS EN CENTIMETROS</t>
  </si>
  <si>
    <t>KIT ESTRUCTURA OVAL FIJO</t>
  </si>
  <si>
    <t>KIT ESTRUCTURA OVAL NEUMATICO</t>
  </si>
  <si>
    <t>AGLOMERADO 122*244*3mm</t>
  </si>
  <si>
    <t>MODULO LAMINA BADE</t>
  </si>
  <si>
    <t>BANNIK (GENERICO) NEGRO</t>
  </si>
  <si>
    <t>FORMICA/FORMALITE (GENERICO) DE 122X244</t>
  </si>
  <si>
    <t>INSERTO METALICO DE 1/4</t>
  </si>
  <si>
    <t>INSERTO METALICO DE 5/32</t>
  </si>
  <si>
    <t>MADECRAFT DE 153X244X2.5cm (GENERICO)</t>
  </si>
  <si>
    <t>PVC T-28 (SUPERFICIE)</t>
  </si>
  <si>
    <t>TABLEX 19mm 153*244</t>
  </si>
  <si>
    <t>TORNILLO BRISTOL DE 3/4 X 1/4" ROSCA ORD.</t>
  </si>
  <si>
    <t>ESTRUCTURAS</t>
  </si>
  <si>
    <t>BASE IRLANDA PRESIDENTE D.660 NYLON</t>
  </si>
  <si>
    <t>COLUMNA A GAS TIPO CAJERO</t>
  </si>
  <si>
    <t>FLEJE NEGRO</t>
  </si>
  <si>
    <t>MADELAM DOBLE FAZ NEGRO 25</t>
  </si>
  <si>
    <t>PLATO TIPO BUTACO</t>
  </si>
  <si>
    <t>DESLIZADOR O RODACHINA JUEGO DE 5 UNI.</t>
  </si>
  <si>
    <t>TORNILLO BRISTOL DE 1/4 X 2"</t>
  </si>
  <si>
    <t>TUBO CON CRUCETA BASE DIAMETRO</t>
  </si>
  <si>
    <t>ACCESORIOS</t>
  </si>
  <si>
    <t>BASTIDOR COSTADO CHAPILLA</t>
  </si>
  <si>
    <t xml:space="preserve">ACCESORIO PORTA  LAPIZ </t>
  </si>
  <si>
    <t>TABLERO AFICH RIEL ACCESORIOS PORTA CRUDO</t>
  </si>
  <si>
    <t>PLATINA SOPORTE CENTRAL</t>
  </si>
  <si>
    <t>CINTA VELCRO</t>
  </si>
  <si>
    <t>FORMICA GENERICA</t>
  </si>
  <si>
    <t>TORNILLO 8X1/2 PAN ZINC. RAN</t>
  </si>
  <si>
    <t>LAMINA FANTASIA</t>
  </si>
  <si>
    <t>MDF 153*244*12mm</t>
  </si>
  <si>
    <t>MDF DE 25 MM (153 X 244)</t>
  </si>
  <si>
    <t>PEGANTE AMARILLO</t>
  </si>
  <si>
    <t>Gal.</t>
  </si>
  <si>
    <t>REMACHE 5 X 6</t>
  </si>
  <si>
    <t>T-22 GRIS LISO</t>
  </si>
  <si>
    <t>TABLEX 12mm 153*244</t>
  </si>
  <si>
    <t>TAPA POSTE ESQUINERO GRIS</t>
  </si>
  <si>
    <t>TORNILLO 8X1/2 PAN PAVONADO PHILIPS</t>
  </si>
  <si>
    <t>TORNILLO PHILLIPS DE 6 X 1 AVEL SPA</t>
  </si>
  <si>
    <t>TORNILLO PHILLIPS DE 7X 2 AVEL SPA</t>
  </si>
  <si>
    <t>TORNILLO PHILLIPS DE 8 X 3/8 PAV</t>
  </si>
  <si>
    <t>PANTALLAS</t>
  </si>
  <si>
    <t>BASTIDOR PANTALLA CURVA</t>
  </si>
  <si>
    <t>CORDOBAN MERCURIO NEGRO</t>
  </si>
  <si>
    <t>GUATA 002</t>
  </si>
  <si>
    <t>PAÑO PROTELA CAMBRELLE</t>
  </si>
  <si>
    <t>TABLEX 15mm 153 X 244</t>
  </si>
  <si>
    <t>CABLEADO</t>
  </si>
  <si>
    <t>ACCESORIO CONTRAPESO TEJO</t>
  </si>
  <si>
    <t>BROCHE RAPIDO DE UNION</t>
  </si>
  <si>
    <t>CHAQUIRA DUCTO PORTA</t>
  </si>
  <si>
    <t>MULTITOMA PORTA PLASTICO</t>
  </si>
  <si>
    <t>ORGANIZADOR DE CABLES</t>
  </si>
  <si>
    <t>PERFIL SPAGUETTI DUCTO PORTA</t>
  </si>
  <si>
    <t>HERRAJES PLASTICOS</t>
  </si>
  <si>
    <t>ABRAZADERA PASARELA</t>
  </si>
  <si>
    <t xml:space="preserve">HOMBRO TERMINAL </t>
  </si>
  <si>
    <t xml:space="preserve">HOMBRO CIRCULAR </t>
  </si>
  <si>
    <t>PASACABLES SUP. 30</t>
  </si>
  <si>
    <t>TORNILLOS Y CAUCHOS</t>
  </si>
  <si>
    <t>8 X 1/2 PAV.</t>
  </si>
  <si>
    <t>8 X 1/2 ZIN.</t>
  </si>
  <si>
    <t>8 X 1 1/4 PAV. AVE.</t>
  </si>
  <si>
    <t>10 X 1 1/4</t>
  </si>
  <si>
    <t>ANCLAJE DE EXPANSION</t>
  </si>
  <si>
    <t>CAUCHO 11 X 11</t>
  </si>
  <si>
    <t>SISTEMA DE ARCHIVO</t>
  </si>
  <si>
    <t>ARCHI. MAD. PLA. B122 SEN.</t>
  </si>
  <si>
    <t>ARCHI. MAD. PLA. B12 RED.</t>
  </si>
  <si>
    <t>ARCHI. MAD. PLA. B11</t>
  </si>
  <si>
    <t>ARCHI. MAD. PLA. B122.</t>
  </si>
  <si>
    <t>ARCHI. METAL. BIBLIOTECA</t>
  </si>
  <si>
    <t>ARCHI. METAL.PLA.B11</t>
  </si>
  <si>
    <t>ARCHI. METAL.PLA.B1111</t>
  </si>
  <si>
    <t>ARCHI. METAL. PLA. B122 EXT.</t>
  </si>
  <si>
    <t xml:space="preserve">ARCHI. METAL. PLA. B122 </t>
  </si>
  <si>
    <t>ARCHI. METAL. PLA. B12 RE.</t>
  </si>
  <si>
    <t>ARCHI. METAL.PLA. C11</t>
  </si>
  <si>
    <t>ARCHI. METAL. B111</t>
  </si>
  <si>
    <t>ARCHI. METAL. C11 SIN PUERTAS</t>
  </si>
  <si>
    <t>ARCHI. METAL. C111</t>
  </si>
  <si>
    <t>ARCHI. METAL. ROPERO</t>
  </si>
  <si>
    <t>CAJON METAL. LLAVE B3</t>
  </si>
  <si>
    <t>FALDA 20 * 74 PORTA</t>
  </si>
  <si>
    <t>FALDA 20 * 117 PORTA</t>
  </si>
  <si>
    <t>FALDA 20 * 144 PORTA</t>
  </si>
  <si>
    <t>BASURERA METAL. RED.</t>
  </si>
  <si>
    <t>GANCHO ROPA DOBLE</t>
  </si>
  <si>
    <t>PAPELERA ESCRI. REC.</t>
  </si>
  <si>
    <t>PAPELERA ESCRI. CUR.</t>
  </si>
  <si>
    <t>PERCHERO GRANDE</t>
  </si>
  <si>
    <t>PERCHERO PEQUEÑO</t>
  </si>
  <si>
    <t>PERCHERO METAL. BASE TRIANG.</t>
  </si>
  <si>
    <t>PORTA TECLADO CURVO PLASTICO</t>
  </si>
  <si>
    <t>BASURERA METAL. PENTAGONAL.</t>
  </si>
  <si>
    <t xml:space="preserve">HERRAJES </t>
  </si>
  <si>
    <t>AMARRE FALDA</t>
  </si>
  <si>
    <t>E. M. D.</t>
  </si>
  <si>
    <t xml:space="preserve">E. M. S. </t>
  </si>
  <si>
    <t>E. 42 DER.</t>
  </si>
  <si>
    <t>E. 42 IZQ.</t>
  </si>
  <si>
    <t>E.L. * 28</t>
  </si>
  <si>
    <t>E.L. * 56</t>
  </si>
  <si>
    <t>E.L. * 70</t>
  </si>
  <si>
    <t>E.L. * 84</t>
  </si>
  <si>
    <t>E.L. * 112</t>
  </si>
  <si>
    <t>PLATINA AMARRE</t>
  </si>
  <si>
    <t>REPISAS</t>
  </si>
  <si>
    <t>REPISA AUX. 56</t>
  </si>
  <si>
    <t>REPISA AUX. 70</t>
  </si>
  <si>
    <t>REPISA AUX. 84</t>
  </si>
  <si>
    <t>REPISA AUX. 112</t>
  </si>
  <si>
    <t>REVISTEROS 56</t>
  </si>
  <si>
    <t>REVISTEROS 84</t>
  </si>
  <si>
    <t>REVISTEROS 112</t>
  </si>
  <si>
    <t>PEDESTALES</t>
  </si>
  <si>
    <t>PEDESTAL HEXAGONAL</t>
  </si>
  <si>
    <t>TRIPLEX DUCO</t>
  </si>
  <si>
    <t>COSTADO H TUBO OVAL</t>
  </si>
  <si>
    <t>DIVISOR METALICO DUCTO X 30</t>
  </si>
  <si>
    <t>DIVISOR METALICO DUCTO X 56</t>
  </si>
  <si>
    <t>DIVISOR METALICO DUCTO X 60</t>
  </si>
  <si>
    <t>DIVISOR METALICO DUCTO X 70</t>
  </si>
  <si>
    <t>DIVISOR METALICO DUCTO X 28</t>
  </si>
  <si>
    <t>DIVISOR METALICO DUCTO X 75</t>
  </si>
  <si>
    <t>DIVISOR METALICO DUCTO X 84</t>
  </si>
  <si>
    <t>DIVISOR METALICO DUCTO X 90</t>
  </si>
  <si>
    <t>DIVISOR METALICO DUCTO X 112</t>
  </si>
  <si>
    <t>DIVISOR METALICO DUCTO X 120</t>
  </si>
  <si>
    <t>DIVISOR METALICO DUCTO X 140</t>
  </si>
  <si>
    <t>DIVISOR METALICO DUCTO X 150</t>
  </si>
  <si>
    <t>MDF 15MM X 153</t>
  </si>
  <si>
    <t>EVA 6MM X 90 X 140</t>
  </si>
  <si>
    <t>MDF 4MM X 153</t>
  </si>
  <si>
    <t>???????????</t>
  </si>
  <si>
    <t>GABINETES</t>
  </si>
  <si>
    <t>GABINETE TIPO A - 56</t>
  </si>
  <si>
    <t>GABINETE TIPO A - 70</t>
  </si>
  <si>
    <t>GABINETE TIPO A - 84</t>
  </si>
  <si>
    <t>GABINETE TIPO A - 112</t>
  </si>
  <si>
    <t>GABINETE TIPO B - 56</t>
  </si>
  <si>
    <t>MIXTO 60</t>
  </si>
  <si>
    <t>MIXTO 75</t>
  </si>
  <si>
    <t>MIXTO 90</t>
  </si>
  <si>
    <t>MIXTO 120</t>
  </si>
  <si>
    <t>MIXTO 150</t>
  </si>
  <si>
    <t>GABINETE TIPO B - 70</t>
  </si>
  <si>
    <t>GABINETE TIPO B - 84</t>
  </si>
  <si>
    <t>GABINETE TIPO B - 112</t>
  </si>
  <si>
    <t>GABINETE CURVO - 56</t>
  </si>
  <si>
    <t>GABINETE CURVO - 70</t>
  </si>
  <si>
    <t>GABINETE CURVO - 84</t>
  </si>
  <si>
    <t>GABINETE CURVO - 112</t>
  </si>
  <si>
    <t>CARPETEROS</t>
  </si>
  <si>
    <t>CARTELERAS</t>
  </si>
  <si>
    <t>TOTAL</t>
  </si>
  <si>
    <t>ALTURA UNO DEL PROYECTO</t>
  </si>
  <si>
    <t>ALTURA DOS DEL PROYECTO</t>
  </si>
  <si>
    <t>DESPIECE DE VIDRIOS</t>
  </si>
  <si>
    <t xml:space="preserve">O.P.     </t>
  </si>
  <si>
    <t>FECHA:</t>
  </si>
  <si>
    <t>TIPO DE VIDRIO</t>
  </si>
  <si>
    <t>DESPIECE  DE  ALUMINIO</t>
  </si>
  <si>
    <t>COLOR :</t>
  </si>
  <si>
    <t>TRAMOS</t>
  </si>
  <si>
    <t>PARALELO</t>
  </si>
  <si>
    <t>PISO  TECHO</t>
  </si>
  <si>
    <t>PFH</t>
  </si>
  <si>
    <t>PEINAZO</t>
  </si>
  <si>
    <t>PISA VIDRIO</t>
  </si>
  <si>
    <t>P,T</t>
  </si>
  <si>
    <t>M.A</t>
  </si>
  <si>
    <t>HERRAJES</t>
  </si>
  <si>
    <t>VARIOS</t>
  </si>
  <si>
    <t>ALUM. ATORNILLAR</t>
  </si>
  <si>
    <t>PISAVIDRIO ALUMINIO</t>
  </si>
  <si>
    <t>VIEJA</t>
  </si>
  <si>
    <t>ALUM. ALAMO</t>
  </si>
  <si>
    <t>EMPAQUE PISAVIDRIO CUÑA</t>
  </si>
  <si>
    <t>CERRADURA SAFE 111</t>
  </si>
  <si>
    <t>ANCHOS</t>
  </si>
  <si>
    <t>SILICONA BARRA</t>
  </si>
  <si>
    <t>R  -  60</t>
  </si>
  <si>
    <t>TUERCA DE SEGURIDAD 3/16</t>
  </si>
  <si>
    <t>M  -  2</t>
  </si>
  <si>
    <t>ARANDELA 3/16</t>
  </si>
  <si>
    <t>M  -  6</t>
  </si>
  <si>
    <t>TORNILLO 3/16 X 1/2</t>
  </si>
  <si>
    <t>M  -  8</t>
  </si>
  <si>
    <t>COSTADO MET VOLUMEN</t>
  </si>
  <si>
    <t>TORNILLO 6 X 1/2 AVE.</t>
  </si>
  <si>
    <t>V  -  3</t>
  </si>
  <si>
    <t>TORNILLO 8 X 3/4 PAV.</t>
  </si>
  <si>
    <t>P  -  1</t>
  </si>
  <si>
    <t>Tornillo 6X1 " Spax</t>
  </si>
  <si>
    <t>COSTADO TUBO REMATE UNI.</t>
  </si>
  <si>
    <t>COSTADO TUBO PORTA PAR</t>
  </si>
  <si>
    <t>OMEGAS</t>
  </si>
  <si>
    <t>MONTANTES</t>
  </si>
  <si>
    <t>TORNILLOS 8 X 3/8</t>
  </si>
  <si>
    <t>PAÑO    HASTA 2.50</t>
  </si>
  <si>
    <t>PAÑO    HASTA 3.00</t>
  </si>
  <si>
    <t>EMPAQUE 11 X 11</t>
  </si>
  <si>
    <t>CONJUNTO PRISIONERO COMPLETO</t>
  </si>
  <si>
    <t>SISTEMAS DE ARCHIVO</t>
  </si>
  <si>
    <t>M - 2</t>
  </si>
  <si>
    <t>Modulacion</t>
  </si>
  <si>
    <t>Ancho del Modulo</t>
  </si>
  <si>
    <t>Sub Total</t>
  </si>
  <si>
    <t>MADEFLEX</t>
  </si>
  <si>
    <t>M - 6</t>
  </si>
  <si>
    <t>PORTATECLADO MADERA SENCILLO</t>
  </si>
  <si>
    <t>Aglomerado 19 mm x 153</t>
  </si>
  <si>
    <t>M - 8</t>
  </si>
  <si>
    <t>FALDAS PORTA</t>
  </si>
  <si>
    <t>HASTA  2.5</t>
  </si>
  <si>
    <t>MONTANTE PAÑO</t>
  </si>
  <si>
    <t>HASTA 3.0</t>
  </si>
  <si>
    <t xml:space="preserve">R - 60 </t>
  </si>
  <si>
    <t>M-2</t>
  </si>
  <si>
    <t>M-6</t>
  </si>
  <si>
    <t>M-8</t>
  </si>
  <si>
    <t>Madeflex</t>
  </si>
  <si>
    <t>HASTA 2.5</t>
  </si>
  <si>
    <t xml:space="preserve">Para iniciar un despiece </t>
  </si>
  <si>
    <t xml:space="preserve">la celda debe estar en </t>
  </si>
  <si>
    <t>cero</t>
  </si>
  <si>
    <t>OP</t>
  </si>
  <si>
    <t>MEDIA   ALTURA</t>
  </si>
  <si>
    <t>PISO   TECHO</t>
  </si>
  <si>
    <t>PAÑOS PLANOS</t>
  </si>
  <si>
    <t>PAÑOS ESTAMPADOS</t>
  </si>
  <si>
    <t>NORMAL</t>
  </si>
  <si>
    <t>PLANO</t>
  </si>
  <si>
    <t>CODIGO</t>
  </si>
  <si>
    <t>ESTAMPADO</t>
  </si>
  <si>
    <t>Coloque 1 en la casilla</t>
  </si>
  <si>
    <t xml:space="preserve">COLOR     1   </t>
  </si>
  <si>
    <t>COLOR     5</t>
  </si>
  <si>
    <t>de la Piso Techo</t>
  </si>
  <si>
    <t>PLANOS</t>
  </si>
  <si>
    <t>MEDIA  ALTURA</t>
  </si>
  <si>
    <t>ALTO   175</t>
  </si>
  <si>
    <t>a despiesar</t>
  </si>
  <si>
    <t>ALTO   155</t>
  </si>
  <si>
    <t>MODULO   40</t>
  </si>
  <si>
    <t>ALTO   135</t>
  </si>
  <si>
    <t>MODULO   28</t>
  </si>
  <si>
    <t>ALTO   115</t>
  </si>
  <si>
    <t>MODULO   20</t>
  </si>
  <si>
    <t>ALTO   95</t>
  </si>
  <si>
    <t>CANTIDAD DE MODULOS</t>
  </si>
  <si>
    <t>DOBLE  DUCTO</t>
  </si>
  <si>
    <t>ESTAMPADOS</t>
  </si>
  <si>
    <t>ANTEPECHO   M - 2</t>
  </si>
  <si>
    <t>ANTEPECHO   M - 6</t>
  </si>
  <si>
    <t>ANTEPECHO   M - 8</t>
  </si>
  <si>
    <t>ANTEPECHO   V - 3</t>
  </si>
  <si>
    <t>ALUM</t>
  </si>
  <si>
    <t>MAD</t>
  </si>
  <si>
    <t>MONTANTE - 2.5</t>
  </si>
  <si>
    <t>MONTANTE - 3.0</t>
  </si>
  <si>
    <t>GABINETE   CURVO</t>
  </si>
  <si>
    <t>VIDRIO HASTA 2.50</t>
  </si>
  <si>
    <t>COLORES</t>
  </si>
  <si>
    <t>GABINETE   PLANO</t>
  </si>
  <si>
    <t>CANTIDAD DE ANTEPECHOS</t>
  </si>
  <si>
    <t>VIDRIO HASTA 3.00</t>
  </si>
  <si>
    <t>DIM.</t>
  </si>
  <si>
    <t>CANTIDAD DE MONTANTES</t>
  </si>
  <si>
    <t>30 X 57.5</t>
  </si>
  <si>
    <t>CANTIDAD DE GABINETES</t>
  </si>
  <si>
    <t>30 X 71.5</t>
  </si>
  <si>
    <t>ALUMINIOS</t>
  </si>
  <si>
    <t>30 X 85.5</t>
  </si>
  <si>
    <t xml:space="preserve">COLOR     2   </t>
  </si>
  <si>
    <t>COLOR     6</t>
  </si>
  <si>
    <t>30 X 113.5</t>
  </si>
  <si>
    <t>30 X 141.5</t>
  </si>
  <si>
    <t>45 X 57.5</t>
  </si>
  <si>
    <t>45 X 71.5</t>
  </si>
  <si>
    <t>45 X 85.5</t>
  </si>
  <si>
    <t>TERMINALES</t>
  </si>
  <si>
    <t>45 X 113.5</t>
  </si>
  <si>
    <t>POS. CUADRADO</t>
  </si>
  <si>
    <t>45 X 121</t>
  </si>
  <si>
    <t>POS. REDONDO</t>
  </si>
  <si>
    <t>57.5 X 57.5</t>
  </si>
  <si>
    <t>POS. ESQUINERO</t>
  </si>
  <si>
    <t>TRAMOS DE P.T.</t>
  </si>
  <si>
    <t>57.5 X 71.5</t>
  </si>
  <si>
    <t>POSTES VIRTUALES</t>
  </si>
  <si>
    <t>57.5 X 85.5</t>
  </si>
  <si>
    <t>57.5 X 113.5</t>
  </si>
  <si>
    <t>VIRTUAL  EN +</t>
  </si>
  <si>
    <t>57.5 X 121.5</t>
  </si>
  <si>
    <t>VIRTUAL EN T</t>
  </si>
  <si>
    <t>57.5 X 127.5</t>
  </si>
  <si>
    <t>VIRTUAL 90°</t>
  </si>
  <si>
    <t>57.5 X 135</t>
  </si>
  <si>
    <t>VIRTUAL 135°</t>
  </si>
  <si>
    <t>57.5 X 141.5</t>
  </si>
  <si>
    <t>57.5 X 149</t>
  </si>
  <si>
    <t>57.5 X 155.5</t>
  </si>
  <si>
    <t>57.5 X 163</t>
  </si>
  <si>
    <t>57.5 X 180</t>
  </si>
  <si>
    <t>71.5 X 71.5</t>
  </si>
  <si>
    <t>COLOR     3</t>
  </si>
  <si>
    <t>71.5 X 85.5</t>
  </si>
  <si>
    <t>COLOR     7</t>
  </si>
  <si>
    <t>71.5 X 113.5</t>
  </si>
  <si>
    <t>71.5 X 141</t>
  </si>
  <si>
    <t>71.5 X 149</t>
  </si>
  <si>
    <t>71.5 X 163</t>
  </si>
  <si>
    <t>71.5 X 180</t>
  </si>
  <si>
    <t>Micro Der</t>
  </si>
  <si>
    <t>Micro Izq.</t>
  </si>
  <si>
    <t>Micro Sencilla</t>
  </si>
  <si>
    <t>Diametro 90</t>
  </si>
  <si>
    <t>Diametro 120</t>
  </si>
  <si>
    <t>Mostra. R-60</t>
  </si>
  <si>
    <t>PITO</t>
  </si>
  <si>
    <t>COLOR     4</t>
  </si>
  <si>
    <t>POSTE CIRCULAR</t>
  </si>
  <si>
    <t>ORDEN DE ALMACEN DEPANEL</t>
  </si>
  <si>
    <t>COD</t>
  </si>
  <si>
    <t>DESCRIPICION</t>
  </si>
  <si>
    <t>SI</t>
  </si>
  <si>
    <t>NO</t>
  </si>
  <si>
    <t>estructuras</t>
  </si>
  <si>
    <t>kit estructura</t>
  </si>
  <si>
    <t>pantalla</t>
  </si>
  <si>
    <t>PLASTICO CALIBRE 2</t>
  </si>
  <si>
    <t>mostrador</t>
  </si>
  <si>
    <t>repiza</t>
  </si>
  <si>
    <t>costado cha.</t>
  </si>
  <si>
    <t>porta cpu</t>
  </si>
  <si>
    <t>multitoma</t>
  </si>
  <si>
    <t>organizador</t>
  </si>
  <si>
    <t>costado malla</t>
  </si>
  <si>
    <t>CUBIERTA COSTADO MALLA</t>
  </si>
  <si>
    <t>cubierta viga</t>
  </si>
  <si>
    <t>riel accesorios</t>
  </si>
  <si>
    <t>falda</t>
  </si>
  <si>
    <t>costado tubo</t>
  </si>
  <si>
    <t>COSTADO TUBULAR</t>
  </si>
  <si>
    <t>bade</t>
  </si>
  <si>
    <t>Superficie</t>
  </si>
  <si>
    <t>riel accesorio</t>
  </si>
  <si>
    <t>soporte repisa</t>
  </si>
  <si>
    <t>soporte mos.</t>
  </si>
  <si>
    <t>soporte central</t>
  </si>
  <si>
    <t>repisa</t>
  </si>
  <si>
    <t>R - 60</t>
  </si>
  <si>
    <t>MEDIA   ALTURA   DE   1.75</t>
  </si>
  <si>
    <t>modulo corte paño</t>
  </si>
  <si>
    <t>CANTIDADES 175</t>
  </si>
  <si>
    <t>Mod. Fortec 40</t>
  </si>
  <si>
    <t>Tornillo 8 X 11/4 Spax</t>
  </si>
  <si>
    <t>Patin</t>
  </si>
  <si>
    <t>Banda PVC</t>
  </si>
  <si>
    <t>Pasarela</t>
  </si>
  <si>
    <t>Ducto</t>
  </si>
  <si>
    <t>MEDIA   ALTURA   DE   1.55</t>
  </si>
  <si>
    <t>CANTIDADES 155</t>
  </si>
  <si>
    <t>Mod. Fortec 20</t>
  </si>
  <si>
    <t>MEDIA   ALTURA   DE   1.35</t>
  </si>
  <si>
    <t>TORNILLO 6 x 1" SPAX</t>
  </si>
  <si>
    <t>CANTIDADES 135</t>
  </si>
  <si>
    <t>MEDIA   ALTURA   DE   1.15</t>
  </si>
  <si>
    <t>CANTIDADES 115</t>
  </si>
  <si>
    <t>MEDIA   ALTURA   DE   95</t>
  </si>
  <si>
    <t>CANTIDADES 95</t>
  </si>
  <si>
    <t>M.  A. DOBLE DUCTO   DE   1.75</t>
  </si>
  <si>
    <t>CANTIDADES DN 175</t>
  </si>
  <si>
    <t>Mod. Fortec 28</t>
  </si>
  <si>
    <t>M.  A. DOBLE DUCTO   DE   1.55</t>
  </si>
  <si>
    <t>CANTIDADES DN 155</t>
  </si>
  <si>
    <t>M.  A. DOBLE DUCTO   DE   1.35</t>
  </si>
  <si>
    <t>CANTIDADES DN 135</t>
  </si>
  <si>
    <t>M.  A. DOBLE DUCTO   DE   1.15</t>
  </si>
  <si>
    <t>CANTIDADES DN 115</t>
  </si>
  <si>
    <t>M.  A. DOBLE DUCTO  DE   95</t>
  </si>
  <si>
    <t>CANTIDADES DN 95</t>
  </si>
  <si>
    <t>MEDIA   ALTURA  NORMAL  R  -  60</t>
  </si>
  <si>
    <t>Altura</t>
  </si>
  <si>
    <t>CANTIDADES</t>
  </si>
  <si>
    <t>Mod. Fortec 40 R - 60</t>
  </si>
  <si>
    <t>Mod. Fortec 20 R - 60</t>
  </si>
  <si>
    <t>Tornillo 8 X 1/2 Pan Pav Ran</t>
  </si>
  <si>
    <t>Pasarela Curva</t>
  </si>
  <si>
    <t>MEDIA   ALTURA  DOBLE   DUCTO  R  -  60</t>
  </si>
  <si>
    <t>Mod. Fortec 28 R - 60</t>
  </si>
  <si>
    <t xml:space="preserve">Vidrio 40 X </t>
  </si>
  <si>
    <t>11 X  11</t>
  </si>
  <si>
    <t>Vidrio 20 X</t>
  </si>
  <si>
    <t>SALIDA</t>
  </si>
  <si>
    <t>Paralelo</t>
  </si>
  <si>
    <t>Tornillos 10 x 1 1/4 Zinc Ran</t>
  </si>
  <si>
    <t>Chasos plasticos</t>
  </si>
  <si>
    <t>Remache 5-6</t>
  </si>
  <si>
    <t>PARALELO .</t>
  </si>
  <si>
    <t xml:space="preserve">Paralelo </t>
  </si>
  <si>
    <t>Soporte paralelo</t>
  </si>
  <si>
    <t>Nivelador 3/8</t>
  </si>
  <si>
    <t>Soporte terminal</t>
  </si>
  <si>
    <t>PVC terminal</t>
  </si>
  <si>
    <t>Poste Cuadrado</t>
  </si>
  <si>
    <t>Soporte Poste Cuad.</t>
  </si>
  <si>
    <t>Poste Circular</t>
  </si>
  <si>
    <t>Soporte Circular</t>
  </si>
  <si>
    <t>Poste Esquinero</t>
  </si>
  <si>
    <t>Soporte Esquinero</t>
  </si>
  <si>
    <t>MODULOS DE ACRILICO  R  -  60</t>
  </si>
  <si>
    <t>Acrilico R - 60    H 40 X</t>
  </si>
  <si>
    <t>Pasarela Ranurada</t>
  </si>
  <si>
    <t>VIRTUAL EN " + "</t>
  </si>
  <si>
    <t>Fichas Poste virtual 90°</t>
  </si>
  <si>
    <t>Tapa Poste Virtual  " + "</t>
  </si>
  <si>
    <t>VIRTUAL EN " T "</t>
  </si>
  <si>
    <t>Perfil Poste virtual en " T "</t>
  </si>
  <si>
    <t>Tapa Poste Virtual  " T "</t>
  </si>
  <si>
    <t>VIRTUAL EN 90°</t>
  </si>
  <si>
    <t>Perfil Poste Virtual 90 °</t>
  </si>
  <si>
    <t>Tapa Poste Virtual  90°</t>
  </si>
  <si>
    <t>VIRTUAL EN 135°</t>
  </si>
  <si>
    <t>Perfil Poste Virtual 135 °</t>
  </si>
  <si>
    <t>Fichas Poste virtual 135°</t>
  </si>
  <si>
    <t>Tapa Poste Virtual  135°</t>
  </si>
  <si>
    <t>Mts</t>
  </si>
  <si>
    <t>R -60</t>
  </si>
  <si>
    <t>Modulo antepecho M-2</t>
  </si>
  <si>
    <t>Patin Plastico</t>
  </si>
  <si>
    <t>Ducto PT</t>
  </si>
  <si>
    <t xml:space="preserve">P F H </t>
  </si>
  <si>
    <t>Tornillo 8 X 11/4 SPAX</t>
  </si>
  <si>
    <t xml:space="preserve">Nivelador 3/8 </t>
  </si>
  <si>
    <t>Empaque PT en T</t>
  </si>
  <si>
    <t>U Techo</t>
  </si>
  <si>
    <t>Vidrio M-6  186.3 X</t>
  </si>
  <si>
    <t>Modulo antepecho M-8</t>
  </si>
  <si>
    <t>Vidrio M-8    110 X</t>
  </si>
  <si>
    <t>Modulo antepecho V-3</t>
  </si>
  <si>
    <t>Enganche V  -  3</t>
  </si>
  <si>
    <t>Tornillo 8  X  3/4</t>
  </si>
  <si>
    <t>Levas</t>
  </si>
  <si>
    <t xml:space="preserve">Vidrio V - 3     43  X </t>
  </si>
  <si>
    <t>Modulo Montante 50 H.</t>
  </si>
  <si>
    <t>MONTANTE VIDRIO</t>
  </si>
  <si>
    <t>Vidrio montante 50 H.</t>
  </si>
  <si>
    <t>Remache 4 X 4</t>
  </si>
  <si>
    <t>ACABADO (SIGLAS)</t>
  </si>
  <si>
    <t>CANTO (SIGLA)</t>
  </si>
  <si>
    <t>Caucho 14 X 14</t>
  </si>
  <si>
    <t>Modulo Montante 100 H.</t>
  </si>
  <si>
    <t>Vidrio montante 100 H.</t>
  </si>
  <si>
    <t>P - 1</t>
  </si>
  <si>
    <t>Puertas</t>
  </si>
  <si>
    <t>Marco  puerta</t>
  </si>
  <si>
    <t>Tornillo nivelador 5/16</t>
  </si>
  <si>
    <t>Tornillo 8 X 11/4 Pav RanAve</t>
  </si>
  <si>
    <t>Bisagras  Uni.</t>
  </si>
  <si>
    <t>Ceradura</t>
  </si>
  <si>
    <t>Tornillo 10 X 11/4 Zinc Ran</t>
  </si>
  <si>
    <t>Pirlan</t>
  </si>
  <si>
    <t>Modulo Antepecho R - 60</t>
  </si>
  <si>
    <t>Acrilico Antepecho R - 60</t>
  </si>
  <si>
    <t>Remache 5 X 6</t>
  </si>
  <si>
    <t>Zocalo R - 60</t>
  </si>
  <si>
    <t>Mo. Montante R- 60 / 2.5</t>
  </si>
  <si>
    <t>Remate superior R-60</t>
  </si>
  <si>
    <t>Acrilico montante 50 H.</t>
  </si>
  <si>
    <t>Pasarela Doble Ranura</t>
  </si>
  <si>
    <t>Mo. Montante R- 60 / 3.0</t>
  </si>
  <si>
    <t>Acrilico montante 100 H.</t>
  </si>
  <si>
    <t>Angulos</t>
  </si>
  <si>
    <t>ANCLAJE PARA PISO</t>
  </si>
  <si>
    <t>GUIA DE PISO</t>
  </si>
  <si>
    <t>ANCLAJE PARA TECHO</t>
  </si>
  <si>
    <t>TRAMOS DE PARED EN PISO TECHO</t>
  </si>
  <si>
    <t>ROJO</t>
  </si>
  <si>
    <t>Aluminio H</t>
  </si>
  <si>
    <t>Arandela 5/16</t>
  </si>
  <si>
    <t>Camones</t>
  </si>
  <si>
    <t>Caucho 9 X 9</t>
  </si>
  <si>
    <t>Caucho doble Y</t>
  </si>
  <si>
    <t>Tiras</t>
  </si>
  <si>
    <t>Guia de piso</t>
  </si>
  <si>
    <t>Tornillo  nivelador 5/16</t>
  </si>
  <si>
    <t xml:space="preserve">Tornillo nivelador 5/16 </t>
  </si>
  <si>
    <t>Tuerca 5/16</t>
  </si>
  <si>
    <t>Vidrio M-6  1.72 X</t>
  </si>
  <si>
    <t>Wasa 5/16</t>
  </si>
  <si>
    <t>Zocalo</t>
  </si>
  <si>
    <t>Vidrio M-8    1.10 X</t>
  </si>
  <si>
    <t>TABLEX 25 mm</t>
  </si>
  <si>
    <t>TABLEX 3 mm</t>
  </si>
  <si>
    <t>3mm</t>
  </si>
  <si>
    <t>PVC  34  mm</t>
  </si>
  <si>
    <t>TOTAL SUPERFICIES</t>
  </si>
  <si>
    <t>COLORES PLANOS</t>
  </si>
  <si>
    <t>COLORES ESTAMPADOS</t>
  </si>
  <si>
    <t>COLOR  1</t>
  </si>
  <si>
    <t>COLOR  2</t>
  </si>
  <si>
    <t>COLOR  3</t>
  </si>
  <si>
    <t>COLOR  4</t>
  </si>
  <si>
    <t>COLOR  5</t>
  </si>
  <si>
    <t>FOR. EST</t>
  </si>
  <si>
    <t>COLOR  6</t>
  </si>
  <si>
    <t>COLOR  7</t>
  </si>
  <si>
    <t>COLOR  8</t>
  </si>
  <si>
    <t>COLOR  9</t>
  </si>
  <si>
    <t>COLOR  10</t>
  </si>
  <si>
    <t>SUB</t>
  </si>
  <si>
    <t>TABLEX</t>
  </si>
  <si>
    <t>PVC</t>
  </si>
  <si>
    <t>CONSUMO</t>
  </si>
  <si>
    <t xml:space="preserve">COLOR     </t>
  </si>
  <si>
    <t>MTS - LIN.</t>
  </si>
  <si>
    <t>R  - 60</t>
  </si>
  <si>
    <t>ANTEPECHOS</t>
  </si>
  <si>
    <t>MON - 2.5</t>
  </si>
  <si>
    <t>MON - 3.0</t>
  </si>
  <si>
    <t>GAB. CUR</t>
  </si>
  <si>
    <t>GAB. PLA</t>
  </si>
  <si>
    <t>V-3</t>
  </si>
  <si>
    <t>2.5  -  MTS</t>
  </si>
  <si>
    <t>3 -  MTS</t>
  </si>
  <si>
    <t>GAB. CUR.</t>
  </si>
  <si>
    <t>GAB. PLAN.</t>
  </si>
  <si>
    <t>COLOR 1</t>
  </si>
  <si>
    <t>COLOR 2</t>
  </si>
  <si>
    <t>COLOR 3</t>
  </si>
  <si>
    <t>COLOR 4</t>
  </si>
  <si>
    <t>COLOR 5</t>
  </si>
  <si>
    <t>COLOR 6</t>
  </si>
  <si>
    <t>COLOR 7</t>
  </si>
  <si>
    <t>VIDRIOS</t>
  </si>
  <si>
    <t>GABINETE</t>
  </si>
  <si>
    <t>PLATINA DE AMARRE</t>
  </si>
  <si>
    <t>INT / EXT</t>
  </si>
  <si>
    <t xml:space="preserve">30 X </t>
  </si>
  <si>
    <t xml:space="preserve">57,5 X </t>
  </si>
  <si>
    <t xml:space="preserve">71,5 X </t>
  </si>
  <si>
    <t xml:space="preserve">45 X </t>
  </si>
  <si>
    <t>MICRO DER</t>
  </si>
  <si>
    <t>MICRO IZQ</t>
  </si>
  <si>
    <t>MICRO SEN</t>
  </si>
  <si>
    <t>DIAM DE 90</t>
  </si>
  <si>
    <t>MSTRADOR R60</t>
  </si>
  <si>
    <t>SUP PRINCIPAL</t>
  </si>
  <si>
    <t>SUP BADE</t>
  </si>
  <si>
    <t>RETORNOS</t>
  </si>
  <si>
    <t>PITOS</t>
  </si>
  <si>
    <t>OVAL</t>
  </si>
  <si>
    <t>TIPOLOGIAS</t>
  </si>
  <si>
    <t>,</t>
  </si>
  <si>
    <t>ARCH METAL.C 11 SIN PUERTAS</t>
  </si>
  <si>
    <t xml:space="preserve">BASE DIA. 90  </t>
  </si>
  <si>
    <t>RIEL ACCESORIOS</t>
  </si>
  <si>
    <t>PORTATECLADO PLASTICO PORTA MOUSE</t>
  </si>
  <si>
    <t>PORTATECLADO MADERA PORTA MOUSE</t>
  </si>
  <si>
    <t>MIXTO  70</t>
  </si>
  <si>
    <t>MIXTO  84</t>
  </si>
  <si>
    <t>MIXTO  112</t>
  </si>
  <si>
    <t>MATERIA PRIMA</t>
  </si>
  <si>
    <t>PRODUCTO TERMINADO</t>
  </si>
  <si>
    <t>F. LISA</t>
  </si>
  <si>
    <t>F. BETA</t>
  </si>
  <si>
    <t>CURVOS</t>
  </si>
  <si>
    <t>TIPO B</t>
  </si>
  <si>
    <t>GABINETE TIPO A - DE</t>
  </si>
  <si>
    <t>GABINETE TIPO B - DE</t>
  </si>
  <si>
    <t>GABINETE CURVO - DE</t>
  </si>
  <si>
    <t>FICHA POSTE VIRTUAL 135º</t>
  </si>
  <si>
    <t>TAPA POSTE CIRCULAR</t>
  </si>
  <si>
    <t>TAPA POSTE VIRTUAL EN "+"</t>
  </si>
  <si>
    <t>TAPA POSTE VIRTUAL EN "T"</t>
  </si>
  <si>
    <t>TAPA POSTE VIRTUAL DE 135º</t>
  </si>
  <si>
    <t>CAUCHO DOBLE "Y"</t>
  </si>
  <si>
    <t>CERRADURA POMO MADERA</t>
  </si>
  <si>
    <t>BANDA PVC</t>
  </si>
  <si>
    <t>PASARELA CURVA</t>
  </si>
  <si>
    <t>PASAREA RANURADA</t>
  </si>
  <si>
    <t>PATIN RIGIDO</t>
  </si>
  <si>
    <t>REMACHE 5-6</t>
  </si>
  <si>
    <t>SOPORTE CIRCULAR</t>
  </si>
  <si>
    <t>SOPORTE PARALELO</t>
  </si>
  <si>
    <t>SOPORTE TERMINAL</t>
  </si>
  <si>
    <t>TAPA POSTE CUADRADO</t>
  </si>
  <si>
    <t>AGLOMERADO 19MM X 153</t>
  </si>
  <si>
    <t>CAMONES</t>
  </si>
  <si>
    <t>CAUCHO 14 X 14</t>
  </si>
  <si>
    <t>CAUCHO 9 X 9</t>
  </si>
  <si>
    <t>PASARELA DOBLE RANURADA</t>
  </si>
  <si>
    <t>PASARELA RANURADA</t>
  </si>
  <si>
    <t>PATIN PRESION PANEL</t>
  </si>
  <si>
    <t>plantilla de union por giovanny velandia ultima modificacion 2-1-8</t>
  </si>
  <si>
    <t>COLOR 2 SIN BETA</t>
  </si>
  <si>
    <t>TRIPLEX DE 4 MM</t>
  </si>
  <si>
    <t>LISO 27</t>
  </si>
  <si>
    <t>LISO 13</t>
  </si>
  <si>
    <t>LISO 14</t>
  </si>
  <si>
    <t>LISO 15</t>
  </si>
  <si>
    <t>LISO 16</t>
  </si>
  <si>
    <t>LISO 17</t>
  </si>
  <si>
    <t>LISO 18</t>
  </si>
  <si>
    <t>LISO 19</t>
  </si>
  <si>
    <t>LISO 20</t>
  </si>
  <si>
    <t>LISO 21</t>
  </si>
  <si>
    <t>LISO 22</t>
  </si>
  <si>
    <t>LISO 23</t>
  </si>
  <si>
    <t>LISO 24</t>
  </si>
  <si>
    <t>LISO 25</t>
  </si>
  <si>
    <t>LISO 26</t>
  </si>
  <si>
    <t>LISO 8</t>
  </si>
  <si>
    <t>LISO 9</t>
  </si>
  <si>
    <t>LISO 10</t>
  </si>
  <si>
    <t>LISO 11</t>
  </si>
  <si>
    <t>LISO 12</t>
  </si>
  <si>
    <t>LISO 29</t>
  </si>
  <si>
    <t>LISO 30</t>
  </si>
  <si>
    <t>LISO 31</t>
  </si>
  <si>
    <t>LISO 32</t>
  </si>
  <si>
    <t>LISO 33</t>
  </si>
  <si>
    <t>LISO 34</t>
  </si>
  <si>
    <t>LISO 35</t>
  </si>
  <si>
    <t>LISO 36</t>
  </si>
  <si>
    <t>LISO 37</t>
  </si>
  <si>
    <t>LISO 38</t>
  </si>
  <si>
    <t>LISO 39</t>
  </si>
  <si>
    <t>LISO 40</t>
  </si>
  <si>
    <t>LISO 41</t>
  </si>
  <si>
    <t>LISO 42</t>
  </si>
  <si>
    <t>LISO 43</t>
  </si>
  <si>
    <t>LISO 44</t>
  </si>
  <si>
    <t>LISO 45</t>
  </si>
  <si>
    <t>LISO 46</t>
  </si>
  <si>
    <t>LISO 47</t>
  </si>
  <si>
    <t>LISO 48</t>
  </si>
  <si>
    <t>LISO 49</t>
  </si>
  <si>
    <t>LISO 50</t>
  </si>
  <si>
    <t>LISO 51</t>
  </si>
  <si>
    <t>LISO 52</t>
  </si>
  <si>
    <t>LISO 53</t>
  </si>
  <si>
    <t>LISO 54</t>
  </si>
  <si>
    <t>LISO 55</t>
  </si>
  <si>
    <t>LISO 57</t>
  </si>
  <si>
    <t>LISO 58</t>
  </si>
  <si>
    <t>LISO 59</t>
  </si>
  <si>
    <t>LISO 60</t>
  </si>
  <si>
    <t>LISO 61</t>
  </si>
  <si>
    <t>LISO 62</t>
  </si>
  <si>
    <t>LISO 63</t>
  </si>
  <si>
    <t>LISO 64</t>
  </si>
  <si>
    <t>LISO 65</t>
  </si>
  <si>
    <t>LISO 66</t>
  </si>
  <si>
    <t>LISO 67</t>
  </si>
  <si>
    <t>LISO 68</t>
  </si>
  <si>
    <t>LISO 69</t>
  </si>
  <si>
    <t>LISO 71</t>
  </si>
  <si>
    <t>LISO 72</t>
  </si>
  <si>
    <t>LISO 73</t>
  </si>
  <si>
    <t>LISO 74</t>
  </si>
  <si>
    <t>LISO 75</t>
  </si>
  <si>
    <t>LISO 76</t>
  </si>
  <si>
    <t>LISO 77</t>
  </si>
  <si>
    <t>LISO 78</t>
  </si>
  <si>
    <t>LISO 79</t>
  </si>
  <si>
    <t>LISO 80</t>
  </si>
  <si>
    <t>LISO 81</t>
  </si>
  <si>
    <t>LISO 82</t>
  </si>
  <si>
    <t>LISO 83</t>
  </si>
  <si>
    <t>LISO 85</t>
  </si>
  <si>
    <t>LISO 86</t>
  </si>
  <si>
    <t>LISO 87</t>
  </si>
  <si>
    <t>LISO 88</t>
  </si>
  <si>
    <t>LISO 89</t>
  </si>
  <si>
    <t>LISO 90</t>
  </si>
  <si>
    <t>LISO 91</t>
  </si>
  <si>
    <t>LISO 92</t>
  </si>
  <si>
    <t>LISO 93</t>
  </si>
  <si>
    <t>LISO 94</t>
  </si>
  <si>
    <t>LISO 95</t>
  </si>
  <si>
    <t>LISO 96</t>
  </si>
  <si>
    <t>LISO 97</t>
  </si>
  <si>
    <t>LISO 98</t>
  </si>
  <si>
    <t>LISO 99</t>
  </si>
  <si>
    <t>LISO 100</t>
  </si>
  <si>
    <t>LISO 101</t>
  </si>
  <si>
    <t>LISO 102</t>
  </si>
  <si>
    <t>LISO 103</t>
  </si>
  <si>
    <t>LISO 104</t>
  </si>
  <si>
    <t>LISO 105</t>
  </si>
  <si>
    <t>LISO 106</t>
  </si>
  <si>
    <t>LISO 107</t>
  </si>
  <si>
    <t>LISO 108</t>
  </si>
  <si>
    <t>LISO 109</t>
  </si>
  <si>
    <t>LISO 110</t>
  </si>
  <si>
    <t>LISO 111</t>
  </si>
  <si>
    <t>LISO 113</t>
  </si>
  <si>
    <t>LISO 114</t>
  </si>
  <si>
    <t>LISO 115</t>
  </si>
  <si>
    <t>LISO 116</t>
  </si>
  <si>
    <t>LISO 117</t>
  </si>
  <si>
    <t>LISO 118</t>
  </si>
  <si>
    <t>LISO 119</t>
  </si>
  <si>
    <t>LISO 120</t>
  </si>
  <si>
    <t>LISO 121</t>
  </si>
  <si>
    <t>LISO 122</t>
  </si>
  <si>
    <t>LISO 123</t>
  </si>
  <si>
    <t>LISO 124</t>
  </si>
  <si>
    <t>LISO 125</t>
  </si>
  <si>
    <t>LISO 126</t>
  </si>
  <si>
    <t>LISO 127</t>
  </si>
  <si>
    <t>LISO 128</t>
  </si>
  <si>
    <t>LISO 129</t>
  </si>
  <si>
    <t>LISO 130</t>
  </si>
  <si>
    <t>LISO 131</t>
  </si>
  <si>
    <t>LISO 132</t>
  </si>
  <si>
    <t>LISO 133</t>
  </si>
  <si>
    <t>LISO 134</t>
  </si>
  <si>
    <t>LISO 135</t>
  </si>
  <si>
    <t>LISO 136</t>
  </si>
  <si>
    <t>LISO 137</t>
  </si>
  <si>
    <t>LISO 138</t>
  </si>
  <si>
    <t>LISO 139</t>
  </si>
  <si>
    <t>LISO 141</t>
  </si>
  <si>
    <t>LISO 142</t>
  </si>
  <si>
    <t>LISO 143</t>
  </si>
  <si>
    <t>LISO 144</t>
  </si>
  <si>
    <t>LISO 145</t>
  </si>
  <si>
    <t>LISO 146</t>
  </si>
  <si>
    <t>LISO 147</t>
  </si>
  <si>
    <t>LISO 148</t>
  </si>
  <si>
    <t>LISO 149</t>
  </si>
  <si>
    <t>LISO 150</t>
  </si>
  <si>
    <t>MIXTO  56</t>
  </si>
  <si>
    <t>MIXTO  60</t>
  </si>
  <si>
    <t>MIXTO  75</t>
  </si>
  <si>
    <t>MIXTO  90</t>
  </si>
  <si>
    <t>MIXTO  120</t>
  </si>
  <si>
    <t>MIXTO  150</t>
  </si>
  <si>
    <t>TABLEX DE 30 MM X 183</t>
  </si>
  <si>
    <t>SILLAS - MUEBLES ESP - ARCHIVO RODANTE - SCANFORM</t>
  </si>
  <si>
    <t>PFH 1 PISO TECHO</t>
  </si>
  <si>
    <t>I.C.1</t>
  </si>
  <si>
    <t>I.C.2</t>
  </si>
  <si>
    <t>BANDA</t>
  </si>
  <si>
    <t>MADEFLEX, M/A</t>
  </si>
  <si>
    <t>MONTANTE LLENO HASTA 250</t>
  </si>
  <si>
    <t>MONTANTE LLENO HASTA 300</t>
  </si>
  <si>
    <t>MONTANTE VIDRIO HASTA 250</t>
  </si>
  <si>
    <t>60 X 60</t>
  </si>
  <si>
    <t>PASACABLES</t>
  </si>
  <si>
    <t>TORNILLO 6 X 1 SPAX</t>
  </si>
  <si>
    <t>MT - LIN.</t>
  </si>
  <si>
    <t>ONIX DE 12 MM</t>
  </si>
  <si>
    <t>ONIX DE 15 MM</t>
  </si>
  <si>
    <t>MODULOS LAMINA PERFORADA</t>
  </si>
  <si>
    <t>UND</t>
  </si>
  <si>
    <t>LAMINA</t>
  </si>
  <si>
    <t>MONTANTE LAMINA PERFORADA</t>
  </si>
  <si>
    <t>LAMINA DE 40 X 28</t>
  </si>
  <si>
    <t>LAMINA DE 20 X 28</t>
  </si>
  <si>
    <t>LAMINA DE 40 X 30</t>
  </si>
  <si>
    <t>LAMINA DE 40 X 56</t>
  </si>
  <si>
    <t>LAMINA DE 20 X 56</t>
  </si>
  <si>
    <t>LAMINA DE 40 X 60</t>
  </si>
  <si>
    <t>LAMINA DE 20 X 60</t>
  </si>
  <si>
    <t>LAMINA DE 40 X 70</t>
  </si>
  <si>
    <t>LAMINA DE 20 X 70</t>
  </si>
  <si>
    <t>LAMINA DE 40 X 75</t>
  </si>
  <si>
    <t>LAMINA DE 20 X 75</t>
  </si>
  <si>
    <t>LAMINA DE 20  X 30</t>
  </si>
  <si>
    <t>LAMINA DE 40 X 84</t>
  </si>
  <si>
    <t>LAMINA DE 20 X 84</t>
  </si>
  <si>
    <t>LAMINA DE 40 X 90</t>
  </si>
  <si>
    <t>LAMINA DE 20 X 90</t>
  </si>
  <si>
    <t>LAMINA DE 40 X 112</t>
  </si>
  <si>
    <t>LAMINA DE 20 X 112</t>
  </si>
  <si>
    <t>LAMINA DE 40 X 120</t>
  </si>
  <si>
    <t>LAMINA DE 20 X 120</t>
  </si>
  <si>
    <t>LAMINA DE 40 X 140</t>
  </si>
  <si>
    <t>LAMINA DE 20 X 140</t>
  </si>
  <si>
    <t>LAMINA DE 40 X 150</t>
  </si>
  <si>
    <t>LAMINA DE 20 X 150</t>
  </si>
  <si>
    <t>LAM</t>
  </si>
  <si>
    <t>MT</t>
  </si>
  <si>
    <t>ALMACEN:</t>
  </si>
  <si>
    <t>STK</t>
  </si>
  <si>
    <t>CMP</t>
  </si>
  <si>
    <t>FECHA :</t>
  </si>
  <si>
    <t>CIUDAD :</t>
  </si>
  <si>
    <t>ASESOR :</t>
  </si>
  <si>
    <t xml:space="preserve">     ACABADO :</t>
  </si>
  <si>
    <t>JUE</t>
  </si>
  <si>
    <t>PAR</t>
  </si>
  <si>
    <t>TIRAS</t>
  </si>
  <si>
    <t>CHAZO DE EXPANSION</t>
  </si>
  <si>
    <t>I</t>
  </si>
  <si>
    <t>C</t>
  </si>
  <si>
    <t>D</t>
  </si>
  <si>
    <t xml:space="preserve">ARCH. METAL B122 </t>
  </si>
  <si>
    <t>COSTADO H METALICO</t>
  </si>
  <si>
    <t>COSTADOS PORTA PAR</t>
  </si>
  <si>
    <t>DESPIECE</t>
  </si>
  <si>
    <t>VALOR TOTAL</t>
  </si>
  <si>
    <t>VALOR UNIDAD</t>
  </si>
  <si>
    <t>HOMBRO TERMINAL</t>
  </si>
  <si>
    <t>HOMBRO CIRCULAR</t>
  </si>
  <si>
    <t>ABRAZADERA</t>
  </si>
  <si>
    <t>FORMICA MONTANTE</t>
  </si>
  <si>
    <t>BASE DIAMETRO 5 PATAS 120</t>
  </si>
  <si>
    <t>MODULO FORMICA X 30</t>
  </si>
  <si>
    <t>MODULO FORMICA X 60</t>
  </si>
  <si>
    <t>MODULO FORMICA X 75</t>
  </si>
  <si>
    <t>ESTRUCTURA TALON 107</t>
  </si>
  <si>
    <t>TORNILLO 8 X 3/4</t>
  </si>
  <si>
    <t>TORNILLO 10 X 1 1/4 ZIN RAN</t>
  </si>
  <si>
    <t>CONTRA</t>
  </si>
  <si>
    <t>PRISIONERO PLASTICO</t>
  </si>
  <si>
    <t>VIRTUALES</t>
  </si>
  <si>
    <t>PERFIL VIRTUAL EN "T"</t>
  </si>
  <si>
    <t>PERFIL VIRTUAL 135º</t>
  </si>
  <si>
    <t>PERFIL VIRTUAL 90º</t>
  </si>
  <si>
    <t>SOPORTES</t>
  </si>
  <si>
    <t>SOPORTE CUADRADO</t>
  </si>
  <si>
    <t>ALUMINIO ANGULO CRUDO</t>
  </si>
  <si>
    <t>TAPON PASACABLE DUCTO</t>
  </si>
  <si>
    <t>FORMICA DE 120 X 240</t>
  </si>
  <si>
    <t>FICHA VIRTUAL 135º</t>
  </si>
  <si>
    <t>FICHA VIRTUAL 90º</t>
  </si>
  <si>
    <t>COSTADO TIPO A</t>
  </si>
  <si>
    <t>PEDESTAL TUBULAR 3"</t>
  </si>
  <si>
    <t>MADEFLEX 153 X 244</t>
  </si>
  <si>
    <t>PITO Q</t>
  </si>
  <si>
    <t>DIAMETRO</t>
  </si>
  <si>
    <t>PITO P</t>
  </si>
  <si>
    <t>MOSTRADOR</t>
  </si>
  <si>
    <t>R60</t>
  </si>
  <si>
    <t>R 60</t>
  </si>
  <si>
    <t>LARGOS</t>
  </si>
  <si>
    <t>V</t>
  </si>
  <si>
    <t>VT</t>
  </si>
  <si>
    <t>VSB</t>
  </si>
  <si>
    <t>VTT</t>
  </si>
  <si>
    <t>SIGLASV</t>
  </si>
  <si>
    <t>VPT</t>
  </si>
  <si>
    <t>TORNILLOS Y PARTES PLASTICAS</t>
  </si>
  <si>
    <t>MEPLE CHAPILLA</t>
  </si>
  <si>
    <t>DE 60 X 240</t>
  </si>
  <si>
    <t>TIRA</t>
  </si>
  <si>
    <t xml:space="preserve">OP </t>
  </si>
  <si>
    <t xml:space="preserve">         OP </t>
  </si>
  <si>
    <t>BASURERA METALICA RED</t>
  </si>
  <si>
    <t>TORNILLO 10  X  1 1/4</t>
  </si>
  <si>
    <t>MODULO</t>
  </si>
  <si>
    <t>ALUMINIO</t>
  </si>
  <si>
    <t>NIVELADOR 3/8 X1 1/2"</t>
  </si>
  <si>
    <t>KIT PORTA CPU FLEX FRAME</t>
  </si>
  <si>
    <t>TORNILLO NIVELANOR 5/16</t>
  </si>
  <si>
    <t>RODACHINA PLATAFORMA MET. RN -018 -38</t>
  </si>
  <si>
    <t>TORNILLO 8*1/2 PAV / ZINC</t>
  </si>
  <si>
    <t>ALTO</t>
  </si>
  <si>
    <t>Total general</t>
  </si>
  <si>
    <t>TAPA  POSTE VIRTUAL EN "L"</t>
  </si>
  <si>
    <t>TAPA  POSTE VIRTUAL EN "T"</t>
  </si>
  <si>
    <t>EMPAQUE FLEJE TAPA LUZ</t>
  </si>
  <si>
    <t>CANTO  PLANO</t>
  </si>
  <si>
    <t>SILLAS - MUEBLES ESPECIALES - ARCHIVO RODANTE - SCANFORM - PROGRESS IT</t>
  </si>
  <si>
    <t>REMACHE POP 5 * 6</t>
  </si>
  <si>
    <t>MODULO 
LAMINA</t>
  </si>
  <si>
    <t xml:space="preserve">TORNILLO 8 X 1/2 </t>
  </si>
  <si>
    <r>
      <t xml:space="preserve">TAPA  POSTE VIRTUAL EN </t>
    </r>
    <r>
      <rPr>
        <sz val="10"/>
        <rFont val="Arial"/>
        <family val="2"/>
      </rPr>
      <t>+</t>
    </r>
  </si>
  <si>
    <t>TAPA  POSTE VIRTUAL EN  "I"</t>
  </si>
  <si>
    <t>FICHA POSTE VIRTUAL 90º</t>
  </si>
  <si>
    <t>TAPA POSTE VIRTUAL DE 90º</t>
  </si>
  <si>
    <t>TAPA POSTE VIRTUAL EN "I"</t>
  </si>
  <si>
    <t>PAPELERA TROQUELADA</t>
  </si>
  <si>
    <t>SIGLAS</t>
  </si>
  <si>
    <t>EQUILATERO</t>
  </si>
  <si>
    <t>MDF 9MM X 153</t>
  </si>
  <si>
    <t>FUNDA PVC DE 1/4"</t>
  </si>
  <si>
    <t>TORNILLO BRISTOL PRISIONERO DE 1/4" X 1/2"</t>
  </si>
  <si>
    <t>MARCO PANTALLA METAL DE 40 X 45 X 2,54</t>
  </si>
  <si>
    <t>PISA PANTALLA</t>
  </si>
  <si>
    <t>MARCO FALDA METALICO DE 100 X 27 X 25,4</t>
  </si>
  <si>
    <t>TUERCA REMACHABLE DE 1/4"</t>
  </si>
  <si>
    <t xml:space="preserve">TORNILLO NIVELADOR 5/16" X 1 1/2" </t>
  </si>
  <si>
    <t>SOPORTE TUERCA "U"</t>
  </si>
  <si>
    <t>PANEL ALTURA</t>
  </si>
  <si>
    <t>ALUMINIO PISO TECHO</t>
  </si>
  <si>
    <t>COSTADO TUBO UNIDAD</t>
  </si>
  <si>
    <t>MODULO
7</t>
  </si>
  <si>
    <t>MODULO
1</t>
  </si>
  <si>
    <t>MODULO
5</t>
  </si>
  <si>
    <t>MODULO
4</t>
  </si>
  <si>
    <t>MODULO
3</t>
  </si>
  <si>
    <t>MODULO
2</t>
  </si>
  <si>
    <t>MODULO
6</t>
  </si>
  <si>
    <t>MEDIA ALTURA O PISO TECHO MODULAR</t>
  </si>
  <si>
    <t>MTS</t>
  </si>
  <si>
    <t>PAPELERA IMPRESORA PORTA</t>
  </si>
  <si>
    <t>BASE DIAMETRO 5 PATAS   90</t>
  </si>
  <si>
    <t>PORTA  20 X  74</t>
  </si>
  <si>
    <t>SOPORTE TECLADO FIJO</t>
  </si>
  <si>
    <t>ESTRUCTURA TALON   86</t>
  </si>
  <si>
    <t>MIXTO 140</t>
  </si>
  <si>
    <t>porta</t>
  </si>
  <si>
    <t>PORTATECLADOS</t>
  </si>
  <si>
    <t>ARCH. METAL.B 11  F. FORMICA</t>
  </si>
  <si>
    <t>ARCH. METAL.B 111  . F. FORMICA</t>
  </si>
  <si>
    <t>ARCH. METAL.B 1111 .F. FORMICA</t>
  </si>
  <si>
    <t>ARCH. MAD.B 12 .F. FORMICA</t>
  </si>
  <si>
    <t>ARCH. METAL B122  .F. FORMICA</t>
  </si>
  <si>
    <t>ARCH. METAL.B 122 EXTEN. .F. FORMICA</t>
  </si>
  <si>
    <t>ARCH. METAL.C 11  .F. FORMICA</t>
  </si>
  <si>
    <t>ARCH. METAL. C 111  .F. FORMICA</t>
  </si>
  <si>
    <t>PERCHERO METAL TRIANGULAR</t>
  </si>
  <si>
    <t>LOS DUCTOS SON DE :</t>
  </si>
  <si>
    <t>OP .</t>
  </si>
  <si>
    <t>color 1</t>
  </si>
  <si>
    <t>color 4</t>
  </si>
  <si>
    <t>color 3</t>
  </si>
  <si>
    <t>color 2</t>
  </si>
  <si>
    <t>M8</t>
  </si>
  <si>
    <t>M2</t>
  </si>
  <si>
    <t>V3</t>
  </si>
  <si>
    <t>M6</t>
  </si>
  <si>
    <t>1 PISO TECHO</t>
  </si>
  <si>
    <t>1 P-T +</t>
  </si>
  <si>
    <t>2 MEDIA ALTURA</t>
  </si>
  <si>
    <t>2 M-A +</t>
  </si>
  <si>
    <t>DUCTOS</t>
  </si>
  <si>
    <t>TIPO</t>
  </si>
  <si>
    <t>MEDIDA DUCTO</t>
  </si>
  <si>
    <t>MEDIDA PAÑO</t>
  </si>
  <si>
    <t>PANEL
ALTURA</t>
  </si>
  <si>
    <t>NRO.
PANELES</t>
  </si>
  <si>
    <t>PVC 1</t>
  </si>
  <si>
    <t>PVC 2</t>
  </si>
  <si>
    <t>CANTO 1</t>
  </si>
  <si>
    <t>CANTO 2</t>
  </si>
  <si>
    <t>P1</t>
  </si>
  <si>
    <t>M1</t>
  </si>
  <si>
    <t>PT MODULAR</t>
  </si>
  <si>
    <t>TABLERO COMPLETO</t>
  </si>
  <si>
    <t>=+'2 M-A +'!C29</t>
  </si>
  <si>
    <t>=+'2 M-A +'!C30</t>
  </si>
  <si>
    <t>=+'2 M-A +'!C31</t>
  </si>
  <si>
    <t>=+'2 M-A +'!C32</t>
  </si>
  <si>
    <t>=+'2 M-A +'!C33</t>
  </si>
  <si>
    <t>=+'2 M-A +'!C34</t>
  </si>
  <si>
    <t>=+'2 M-A +'!C35</t>
  </si>
  <si>
    <t>=+'2 M-A +'!C36</t>
  </si>
  <si>
    <t>=+'2 M-A +'!C37</t>
  </si>
  <si>
    <t>=+'2 M-A +'!C38</t>
  </si>
  <si>
    <t>=+'2 M-A +'!C39</t>
  </si>
  <si>
    <t>=+'2 M-A +'!C40</t>
  </si>
  <si>
    <t>FORMICA :</t>
  </si>
  <si>
    <t>TABLEX DE 12 MM X 183</t>
  </si>
  <si>
    <t>TABLEX DE 19 MM X 183</t>
  </si>
  <si>
    <t>TABLEX DE 15 MM X 183</t>
  </si>
  <si>
    <t>MADERAS SUPERFICIES</t>
  </si>
  <si>
    <t>CLOR 1</t>
  </si>
  <si>
    <t>CLOR 2</t>
  </si>
  <si>
    <t>CLOR 3</t>
  </si>
  <si>
    <t>CLOR 4</t>
  </si>
  <si>
    <t>MANIJA MEDIA LUNA</t>
  </si>
  <si>
    <t>TORNILLO 8 * 3/8</t>
  </si>
  <si>
    <t>ARCHIVADORES FRENTE EN FORMICA</t>
  </si>
  <si>
    <t xml:space="preserve">PUERTA TRIPLEX </t>
  </si>
  <si>
    <t>CUBRE CANTO</t>
  </si>
  <si>
    <t>BISAGRA DE PARCHE</t>
  </si>
  <si>
    <t>SIN FRENTE</t>
  </si>
  <si>
    <t>SIN PUERTAS</t>
  </si>
  <si>
    <t>TORNILLO M4X20 MM.PH.CC.ZINC</t>
  </si>
  <si>
    <t>F8 STD</t>
  </si>
  <si>
    <t>FALDAS EN FORMICA</t>
  </si>
  <si>
    <t>LARGO</t>
  </si>
  <si>
    <t>JGOS</t>
  </si>
  <si>
    <t>COSTADOS EQUILATERO</t>
  </si>
  <si>
    <t>PANTALLA CON PIVOTES DE 35X60</t>
  </si>
  <si>
    <t>CAJONERAS</t>
  </si>
  <si>
    <t>FALDAS PORTA Y FALDA COSTADO</t>
  </si>
  <si>
    <t>FALDA COSTADO DE 26 X 60</t>
  </si>
  <si>
    <t>FALDA COSTADO DE 26 X 100</t>
  </si>
  <si>
    <t>CAJONERA 2MS-1AE-F38MET-NIV.</t>
  </si>
  <si>
    <t>CAJONERA 2ME-1AE-F38MET-NIV.</t>
  </si>
  <si>
    <t>CAJONERA 1MS-1AE-F38MET-ROD.</t>
  </si>
  <si>
    <t>CAJONERA 2AE-F38MET-NIV.</t>
  </si>
  <si>
    <t>CAJONERA 2AE-F30MET-NIV.</t>
  </si>
  <si>
    <t>CAJONERA 2AE-F47MET-NIV.</t>
  </si>
  <si>
    <t>CAJONERA 2MS-1AE-F47MET-NIV.</t>
  </si>
  <si>
    <t>CAJONERA 2ME-1AE-F47MET-NIV.</t>
  </si>
  <si>
    <t>CAJONERA 3AE-F47MET-NIV.</t>
  </si>
  <si>
    <t>CAJONERA 4AE-F47MET-NIV.</t>
  </si>
  <si>
    <t>CAJONERAS F-FOR</t>
  </si>
  <si>
    <t>CAJONERA 2MS-1AE-F30MET-NIV.</t>
  </si>
  <si>
    <t>CURVO PLASTICO PORTA MOUSE</t>
  </si>
  <si>
    <t>COSTADO EN "A" TIPO PROGRESS-IT</t>
  </si>
  <si>
    <t>ARCHIVADORES Y BIBLIOTECAS</t>
  </si>
  <si>
    <t>ARCHIIVADOR 2AE-F75-MET-NIV.</t>
  </si>
  <si>
    <t>ARCHIIVADOR 2AE-F90-MET-NIV.</t>
  </si>
  <si>
    <t>BIBLIOTECA A75-H70-1E-PMET.</t>
  </si>
  <si>
    <t>BIBLIOTECA A90-H70-1E-PMET.</t>
  </si>
  <si>
    <t>BIBLIOTECA A75-H100-2E-PMET.</t>
  </si>
  <si>
    <t>BIBLIOTECA A90-H100-2E-PMET.</t>
  </si>
  <si>
    <t>BIBLIOTECA A75-H130-3E-PMET.</t>
  </si>
  <si>
    <t xml:space="preserve">PUERTA DUCO </t>
  </si>
  <si>
    <t>CAJONERA 2AE-F38-FOR-NIV.</t>
  </si>
  <si>
    <t>CAJONERA 2MS-1AE-F38-FOR.NIV.</t>
  </si>
  <si>
    <t>ARCHIVADOR 2AE-F90-FOR-NIV.</t>
  </si>
  <si>
    <t>BIBLIOTECA A90-H70-1E-PFOR.</t>
  </si>
  <si>
    <t>COSTADO EQUILA PIE DE AMIGO SEN. 71X50</t>
  </si>
  <si>
    <t>COSTADO EQUILA PIE DE AMIGO SEN. 71X57</t>
  </si>
  <si>
    <t>COSTADO EQUILA PIE DE AMIGO SEN. 71X60</t>
  </si>
  <si>
    <t>COSTADO EQUILA PIE DE AMIGO SEN. 71X70</t>
  </si>
  <si>
    <t>COSTADO EQUILA PIE DE AMIGO SEN. 71X90</t>
  </si>
  <si>
    <t>COSTADO EQUILA PIE DE AMIGO SEN. 71X120</t>
  </si>
  <si>
    <t>COSTADO EQUILA PIE DE AMIGO DOBLE 71X50</t>
  </si>
  <si>
    <t>COSTADO EQUILA PIE DE AMIGO DOBLE 71X57</t>
  </si>
  <si>
    <t>COSTADO EQUILA PIE DE AMIGO DOBLE 71X60</t>
  </si>
  <si>
    <t>COSTADO EQUILA PIE DE AMIGO DOBLE 71X70</t>
  </si>
  <si>
    <t>COSTADO EQUILA PIE DE AMIGO DOBLE 71X90</t>
  </si>
  <si>
    <t>COSTADO EQUILA PIE DE AMIGO DOBLE 71X120</t>
  </si>
  <si>
    <t>COSTADO EQUILA CON TAPAS EN FOR. 71X50</t>
  </si>
  <si>
    <t>COSTADO EQUILA CON TAPAS EN FOR. 71X57</t>
  </si>
  <si>
    <t>COSTADO EQUILA CON TAPAS EN FOR. 71X60</t>
  </si>
  <si>
    <t>COSTADO EQUILA CON TAPAS EN FOR. 71X70</t>
  </si>
  <si>
    <t>COSTADO EQUILA CON TAPAS EN FOR. 71X90</t>
  </si>
  <si>
    <t>COSTADO EQUILA CON TAPAS EN MEL. 71X50</t>
  </si>
  <si>
    <t>COSTADO EQUILA CON TAPAS EN MEL. 71X57</t>
  </si>
  <si>
    <t>COSTADO EQUILA CON TAPAS EN MEL. 71X60</t>
  </si>
  <si>
    <t>COSTADO EQUILA CON TAPAS EN MEL. 71X70</t>
  </si>
  <si>
    <t>COSTADO EQUILA CON TAPAS EN MEL. 71X90</t>
  </si>
  <si>
    <t>Canto</t>
  </si>
  <si>
    <t>Cant.</t>
  </si>
  <si>
    <t>BIBLIOTECA A90-H130-3E-PMET.</t>
  </si>
  <si>
    <t xml:space="preserve">JUEGO DE HERRAJES MET  EN "Z" PARA FALDAS    </t>
  </si>
  <si>
    <t>PTA ALUMINIO ATORNILLAR 198.5*80.5</t>
  </si>
  <si>
    <t>PORTATECLADO CURVO PLASTICO</t>
  </si>
  <si>
    <t>PORTATECLADO MADERA EXT.</t>
  </si>
  <si>
    <t>REPISAS MET.</t>
  </si>
  <si>
    <t>TORNILLO DE 8X1-1/4  ZIN PH AVE</t>
  </si>
  <si>
    <t>MATERIAL PARA PUERTAS</t>
  </si>
  <si>
    <t>X</t>
  </si>
  <si>
    <t xml:space="preserve">POSTE ALUMINIO CIRCULAR </t>
  </si>
  <si>
    <t>POSTE ALUMINIO CUADRADO</t>
  </si>
  <si>
    <t>JUEGO DE MARCO PUERTA</t>
  </si>
  <si>
    <t>JUEGO DE ALUMINIO PISAVIDRIO</t>
  </si>
  <si>
    <t>ESTRUC. FLIT-IT</t>
  </si>
  <si>
    <t>FALDA MET. PERFOR. DE 26 X 60</t>
  </si>
  <si>
    <t>FALDA MET. PERFOR. DE 26 X 100</t>
  </si>
  <si>
    <t>FALDA MET. PERFOR. DE 26 X 120</t>
  </si>
  <si>
    <t>FALDA MET. PERFOR. DE 26 X 150</t>
  </si>
  <si>
    <t>PORTA CPU RODANTE MEDIA LUNA</t>
  </si>
  <si>
    <t>MASTIL EN X</t>
  </si>
  <si>
    <t>MATERIAL DUCTO A PISO</t>
  </si>
  <si>
    <t>ORGANIZADOR DE CABLES X 4 MTS</t>
  </si>
  <si>
    <t xml:space="preserve">PERFIL ESPAGUETY DUCTO </t>
  </si>
  <si>
    <t>CHAQUIRA DUCTO A PISO</t>
  </si>
  <si>
    <t>COLOR ALUMINIO</t>
  </si>
  <si>
    <r>
      <t xml:space="preserve">LAS </t>
    </r>
    <r>
      <rPr>
        <b/>
        <sz val="10"/>
        <rFont val="Arial"/>
        <family val="2"/>
      </rPr>
      <t xml:space="preserve">FACHADAS </t>
    </r>
    <r>
      <rPr>
        <sz val="10"/>
        <rFont val="Arial"/>
        <family val="2"/>
      </rPr>
      <t>SON DISTINTIVOS (LETRA, NÚMERO, ETC) QUE SE UTILIZARÁN PARA IDENTIFICAR UN PANEL EN EL PLANO DE INSTALACIÓN DE ACUERDO A SU MODULACIÓN</t>
    </r>
  </si>
  <si>
    <t>CM</t>
  </si>
  <si>
    <t>DEFINIR CANTIDAD Y ESQ. DE DUCTOS MIXTOS</t>
  </si>
  <si>
    <r>
      <rPr>
        <b/>
        <sz val="12"/>
        <rFont val="Century Gothic"/>
        <family val="2"/>
      </rPr>
      <t xml:space="preserve">TIPOLOGÍAS Y FACHADAS DE PANELES PISO TECHO
</t>
    </r>
    <r>
      <rPr>
        <sz val="12"/>
        <rFont val="Century Gothic"/>
        <family val="2"/>
      </rPr>
      <t>F-GP-07 Rev 1 / Octubre 2018</t>
    </r>
  </si>
  <si>
    <t>CLIENTE</t>
  </si>
  <si>
    <t>PROYECTO</t>
  </si>
  <si>
    <t>FECHA</t>
  </si>
  <si>
    <t>FIRMA</t>
  </si>
  <si>
    <r>
      <rPr>
        <b/>
        <sz val="12"/>
        <rFont val="Century Gothic"/>
        <family val="2"/>
      </rPr>
      <t>TIPOLOGÍAS Y FACHADAS EN PANELES MEDIA ALTURA</t>
    </r>
    <r>
      <rPr>
        <sz val="12"/>
        <rFont val="Century Gothic"/>
        <family val="2"/>
      </rPr>
      <t xml:space="preserve">
F-GP-08 Rev. 1/ Octubre 2018</t>
    </r>
  </si>
  <si>
    <r>
      <rPr>
        <b/>
        <sz val="16"/>
        <rFont val="Century Gothic"/>
        <family val="2"/>
      </rPr>
      <t>ORDEN DE PRODUCCIÓN ALUMINIO</t>
    </r>
    <r>
      <rPr>
        <sz val="16"/>
        <rFont val="Century Gothic"/>
        <family val="2"/>
      </rPr>
      <t xml:space="preserve">
F-GP-10 REV 1 / Octubre 2018</t>
    </r>
  </si>
  <si>
    <t>LÍNEA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</si>
</sst>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3" formatCode="_(* #,##0.00_);_(* \(#,##0.00\);_(* &quot;-&quot;??_);_(@_)"/>
    <numFmt numFmtId="164" formatCode="_(&quot;$&quot;* #,##0.00_);_(&quot;$&quot;* \(#,##0.00\);_(&quot;$&quot;* &quot;-&quot;??_);_(@_)"/>
    <numFmt numFmtId="165" formatCode="0.000"/>
    <numFmt numFmtId="166" formatCode="0.00000"/>
    <numFmt numFmtId="167" formatCode="0.0"/>
    <numFmt numFmtId="168" formatCode="_(&quot;$&quot;* #,##0_);_(&quot;$&quot;* \(#,##0\);_(&quot;$&quot;* &quot;-&quot;_);_(@_)"/>
    <numFmt numFmtId="169" formatCode="[$$-340A]\ #,##0"/>
    <numFmt numFmtId="170" formatCode="_(* #,##0_);_(* \(#,##0\);_(* &quot;-&quot;??_);_(@_)"/>
    <numFmt numFmtId="171" formatCode="_(&quot;$&quot;* #,##0_);_(&quot;$&quot;* \(#,##0\);_(&quot;$&quot;* &quot;-&quot;??_);_(@_)"/>
    <numFmt numFmtId="172" formatCode="0.0%"/>
    <numFmt numFmtId="173" formatCode="[$$-240A]\ #,##0"/>
    <numFmt numFmtId="174" formatCode="[$$-409]#,##0"/>
    <numFmt numFmtId="175" formatCode="[$-F800]dddd\,\ mmmm\ dd\,\ yyyy"/>
    <numFmt numFmtId="176" formatCode="0.0000"/>
  </numFmts>
  <fonts count="130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8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sz val="17"/>
      <name val="Arial"/>
      <family val="2"/>
    </font>
    <font>
      <sz val="12"/>
      <name val="Arial"/>
      <family val="2"/>
    </font>
    <font>
      <sz val="20"/>
      <name val="Arial"/>
      <family val="2"/>
    </font>
    <font>
      <b/>
      <sz val="20"/>
      <name val="Arial"/>
      <family val="2"/>
    </font>
    <font>
      <b/>
      <sz val="12"/>
      <name val="Arial"/>
      <family val="2"/>
    </font>
    <font>
      <sz val="24"/>
      <name val="Arial"/>
      <family val="2"/>
    </font>
    <font>
      <sz val="26"/>
      <name val="Arial"/>
      <family val="2"/>
    </font>
    <font>
      <b/>
      <sz val="26"/>
      <name val="Arial"/>
      <family val="2"/>
    </font>
    <font>
      <b/>
      <sz val="20"/>
      <color indexed="8"/>
      <name val="Arial"/>
      <family val="2"/>
    </font>
    <font>
      <sz val="32"/>
      <name val="Arial"/>
      <family val="2"/>
    </font>
    <font>
      <sz val="32"/>
      <name val="Arial"/>
      <family val="2"/>
    </font>
    <font>
      <b/>
      <sz val="36"/>
      <name val="Arial"/>
      <family val="2"/>
    </font>
    <font>
      <sz val="5"/>
      <name val="Arial"/>
      <family val="2"/>
    </font>
    <font>
      <sz val="8"/>
      <name val="Arial"/>
      <family val="2"/>
    </font>
    <font>
      <sz val="26"/>
      <name val="Arial"/>
      <family val="2"/>
    </font>
    <font>
      <sz val="10"/>
      <color indexed="9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color indexed="8"/>
      <name val="Arial"/>
      <family val="2"/>
    </font>
    <font>
      <b/>
      <sz val="12"/>
      <name val="Tahoma"/>
      <family val="2"/>
    </font>
    <font>
      <sz val="12"/>
      <name val="Tahoma"/>
      <family val="2"/>
    </font>
    <font>
      <b/>
      <sz val="10"/>
      <name val="Tahoma"/>
      <family val="2"/>
    </font>
    <font>
      <b/>
      <sz val="12"/>
      <name val="Arial"/>
      <family val="2"/>
    </font>
    <font>
      <b/>
      <sz val="11"/>
      <name val="Tahoma"/>
      <family val="2"/>
    </font>
    <font>
      <b/>
      <sz val="10"/>
      <color indexed="53"/>
      <name val="Arial"/>
      <family val="2"/>
    </font>
    <font>
      <b/>
      <sz val="10"/>
      <color indexed="10"/>
      <name val="Arial"/>
      <family val="2"/>
    </font>
    <font>
      <b/>
      <sz val="12"/>
      <color indexed="57"/>
      <name val="Arial"/>
      <family val="2"/>
    </font>
    <font>
      <b/>
      <sz val="10"/>
      <color indexed="57"/>
      <name val="Arial"/>
      <family val="2"/>
    </font>
    <font>
      <b/>
      <sz val="14"/>
      <name val="Arial"/>
      <family val="2"/>
    </font>
    <font>
      <b/>
      <sz val="12"/>
      <color indexed="10"/>
      <name val="Arial"/>
      <family val="2"/>
    </font>
    <font>
      <b/>
      <sz val="12"/>
      <color indexed="35"/>
      <name val="Arial"/>
      <family val="2"/>
    </font>
    <font>
      <sz val="10"/>
      <color indexed="13"/>
      <name val="Arial"/>
      <family val="2"/>
    </font>
    <font>
      <b/>
      <sz val="12"/>
      <color indexed="21"/>
      <name val="Arial"/>
      <family val="2"/>
    </font>
    <font>
      <b/>
      <sz val="12"/>
      <color indexed="51"/>
      <name val="Arial"/>
      <family val="2"/>
    </font>
    <font>
      <b/>
      <sz val="10"/>
      <color indexed="35"/>
      <name val="Arial"/>
      <family val="2"/>
    </font>
    <font>
      <sz val="10"/>
      <color indexed="21"/>
      <name val="Arial"/>
      <family val="2"/>
    </font>
    <font>
      <sz val="10"/>
      <color indexed="51"/>
      <name val="Arial"/>
      <family val="2"/>
    </font>
    <font>
      <sz val="16"/>
      <color indexed="9"/>
      <name val="Arial"/>
      <family val="2"/>
    </font>
    <font>
      <b/>
      <sz val="18"/>
      <name val="Arial"/>
      <family val="2"/>
    </font>
    <font>
      <b/>
      <sz val="20"/>
      <color indexed="10"/>
      <name val="Arial"/>
      <family val="2"/>
    </font>
    <font>
      <sz val="10"/>
      <color indexed="57"/>
      <name val="Arial"/>
      <family val="2"/>
    </font>
    <font>
      <sz val="26"/>
      <color indexed="57"/>
      <name val="Arial"/>
      <family val="2"/>
    </font>
    <font>
      <sz val="36"/>
      <color indexed="8"/>
      <name val="Arial"/>
      <family val="2"/>
    </font>
    <font>
      <b/>
      <sz val="36"/>
      <color indexed="8"/>
      <name val="Arial"/>
      <family val="2"/>
    </font>
    <font>
      <sz val="36"/>
      <color indexed="57"/>
      <name val="Arial"/>
      <family val="2"/>
    </font>
    <font>
      <sz val="36"/>
      <name val="Arial"/>
      <family val="2"/>
    </font>
    <font>
      <b/>
      <sz val="16"/>
      <color indexed="53"/>
      <name val="Arial"/>
      <family val="2"/>
    </font>
    <font>
      <b/>
      <sz val="16"/>
      <color indexed="11"/>
      <name val="Arial"/>
      <family val="2"/>
    </font>
    <font>
      <sz val="14"/>
      <color indexed="57"/>
      <name val="Arial"/>
      <family val="2"/>
    </font>
    <font>
      <b/>
      <sz val="14"/>
      <color indexed="10"/>
      <name val="Arial"/>
      <family val="2"/>
    </font>
    <font>
      <b/>
      <sz val="18"/>
      <color indexed="53"/>
      <name val="Arial"/>
      <family val="2"/>
    </font>
    <font>
      <b/>
      <sz val="16"/>
      <color indexed="10"/>
      <name val="Arial"/>
      <family val="2"/>
    </font>
    <font>
      <b/>
      <sz val="14"/>
      <color indexed="57"/>
      <name val="Arial"/>
      <family val="2"/>
    </font>
    <font>
      <b/>
      <sz val="14"/>
      <color indexed="53"/>
      <name val="Arial"/>
      <family val="2"/>
    </font>
    <font>
      <sz val="10"/>
      <color indexed="42"/>
      <name val="Arial"/>
      <family val="2"/>
    </font>
    <font>
      <b/>
      <sz val="12"/>
      <color indexed="53"/>
      <name val="Arial"/>
      <family val="2"/>
    </font>
    <font>
      <b/>
      <sz val="14"/>
      <color indexed="52"/>
      <name val="Arial"/>
      <family val="2"/>
    </font>
    <font>
      <sz val="10"/>
      <color indexed="8"/>
      <name val="MS Sans Serif"/>
      <family val="2"/>
    </font>
    <font>
      <sz val="10"/>
      <color indexed="8"/>
      <name val="Arial"/>
      <family val="2"/>
    </font>
    <font>
      <sz val="10"/>
      <color indexed="17"/>
      <name val="Arial"/>
      <family val="2"/>
    </font>
    <font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sz val="10"/>
      <color indexed="41"/>
      <name val="Arial"/>
      <family val="2"/>
    </font>
    <font>
      <b/>
      <sz val="14"/>
      <color indexed="56"/>
      <name val="Arial"/>
      <family val="2"/>
    </font>
    <font>
      <b/>
      <sz val="10"/>
      <color indexed="13"/>
      <name val="Arial"/>
      <family val="2"/>
    </font>
    <font>
      <sz val="10"/>
      <color indexed="10"/>
      <name val="Arial"/>
      <family val="2"/>
    </font>
    <font>
      <sz val="10"/>
      <color indexed="48"/>
      <name val="Arial"/>
      <family val="2"/>
    </font>
    <font>
      <sz val="10"/>
      <color indexed="12"/>
      <name val="Arial"/>
      <family val="2"/>
    </font>
    <font>
      <sz val="14"/>
      <color indexed="13"/>
      <name val="Arial"/>
      <family val="2"/>
    </font>
    <font>
      <sz val="10"/>
      <color indexed="16"/>
      <name val="Arial"/>
      <family val="2"/>
    </font>
    <font>
      <sz val="10"/>
      <color indexed="20"/>
      <name val="Arial"/>
      <family val="2"/>
    </font>
    <font>
      <sz val="10"/>
      <color indexed="56"/>
      <name val="Arial"/>
      <family val="2"/>
    </font>
    <font>
      <b/>
      <sz val="12"/>
      <color indexed="20"/>
      <name val="Arial"/>
      <family val="2"/>
    </font>
    <font>
      <sz val="10"/>
      <color indexed="62"/>
      <name val="Arial"/>
      <family val="2"/>
    </font>
    <font>
      <sz val="8"/>
      <name val="Arial"/>
      <family val="2"/>
    </font>
    <font>
      <sz val="8"/>
      <color indexed="10"/>
      <name val="Arial"/>
      <family val="2"/>
    </font>
    <font>
      <sz val="8"/>
      <color indexed="62"/>
      <name val="Arial"/>
      <family val="2"/>
    </font>
    <font>
      <b/>
      <sz val="10"/>
      <color indexed="46"/>
      <name val="Arial"/>
      <family val="2"/>
    </font>
    <font>
      <sz val="16"/>
      <name val="Arial"/>
      <family val="2"/>
    </font>
    <font>
      <sz val="10"/>
      <name val="Arial"/>
      <family val="2"/>
    </font>
    <font>
      <sz val="2"/>
      <name val="Arial"/>
      <family val="2"/>
    </font>
    <font>
      <sz val="20"/>
      <name val="Tahoma"/>
      <family val="2"/>
    </font>
    <font>
      <b/>
      <sz val="14"/>
      <color indexed="17"/>
      <name val="Arial"/>
      <family val="2"/>
    </font>
    <font>
      <sz val="20"/>
      <name val="Arial"/>
      <family val="2"/>
    </font>
    <font>
      <b/>
      <sz val="10"/>
      <color indexed="9"/>
      <name val="Arial"/>
      <family val="2"/>
    </font>
    <font>
      <sz val="9"/>
      <color indexed="8"/>
      <name val="Calibri"/>
      <family val="2"/>
    </font>
    <font>
      <b/>
      <sz val="10"/>
      <color indexed="8"/>
      <name val="Calibri"/>
      <family val="2"/>
    </font>
    <font>
      <b/>
      <sz val="9"/>
      <color indexed="8"/>
      <name val="Calibri"/>
      <family val="2"/>
    </font>
    <font>
      <b/>
      <sz val="10"/>
      <color indexed="8"/>
      <name val="Calibri"/>
      <family val="2"/>
    </font>
    <font>
      <b/>
      <sz val="10"/>
      <color indexed="8"/>
      <name val="Calibri"/>
      <family val="2"/>
    </font>
    <font>
      <b/>
      <sz val="7"/>
      <name val="Arial"/>
      <family val="2"/>
    </font>
    <font>
      <b/>
      <sz val="9"/>
      <color indexed="8"/>
      <name val="Calibri"/>
      <family val="2"/>
    </font>
    <font>
      <b/>
      <sz val="20"/>
      <name val="Arial"/>
      <family val="2"/>
    </font>
    <font>
      <sz val="20"/>
      <color indexed="43"/>
      <name val="Arial"/>
      <family val="2"/>
    </font>
    <font>
      <b/>
      <sz val="20"/>
      <color indexed="57"/>
      <name val="Arial"/>
      <family val="2"/>
    </font>
    <font>
      <b/>
      <sz val="20"/>
      <color indexed="10"/>
      <name val="Arial"/>
      <family val="2"/>
    </font>
    <font>
      <sz val="6"/>
      <name val="Arial"/>
      <family val="2"/>
    </font>
    <font>
      <sz val="7"/>
      <name val="Arial"/>
      <family val="2"/>
    </font>
    <font>
      <sz val="5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b/>
      <sz val="5"/>
      <name val="Arial"/>
      <family val="2"/>
    </font>
    <font>
      <b/>
      <sz val="8"/>
      <name val="Arial"/>
      <family val="2"/>
    </font>
    <font>
      <sz val="10"/>
      <color indexed="9"/>
      <name val="Arial"/>
      <family val="2"/>
    </font>
    <font>
      <sz val="8"/>
      <name val="Arial"/>
      <family val="2"/>
    </font>
    <font>
      <b/>
      <sz val="4"/>
      <color indexed="8"/>
      <name val="Arial"/>
      <family val="2"/>
    </font>
    <font>
      <sz val="2"/>
      <color indexed="9"/>
      <name val="Arial"/>
      <family val="2"/>
    </font>
    <font>
      <b/>
      <sz val="11"/>
      <color indexed="9"/>
      <name val="Arial"/>
      <family val="2"/>
    </font>
    <font>
      <b/>
      <sz val="6"/>
      <name val="Arial"/>
      <family val="2"/>
    </font>
    <font>
      <b/>
      <sz val="24"/>
      <name val="Arial"/>
      <family val="2"/>
    </font>
    <font>
      <sz val="12"/>
      <name val="Century Gothic"/>
      <family val="2"/>
    </font>
    <font>
      <b/>
      <sz val="12"/>
      <name val="Century Gothic"/>
      <family val="2"/>
    </font>
    <font>
      <sz val="16"/>
      <name val="Century Gothic"/>
      <family val="2"/>
    </font>
    <font>
      <b/>
      <sz val="16"/>
      <name val="Century Gothic"/>
      <family val="2"/>
    </font>
  </fonts>
  <fills count="3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5"/>
        <bgColor indexed="8"/>
      </patternFill>
    </fill>
    <fill>
      <patternFill patternType="solid">
        <fgColor indexed="47"/>
        <bgColor indexed="64"/>
      </patternFill>
    </fill>
    <fill>
      <patternFill patternType="solid">
        <fgColor indexed="47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50"/>
        <bgColor indexed="64"/>
      </patternFill>
    </fill>
    <fill>
      <patternFill patternType="solid">
        <fgColor indexed="50"/>
        <bgColor indexed="8"/>
      </patternFill>
    </fill>
    <fill>
      <patternFill patternType="solid">
        <fgColor indexed="57"/>
        <bgColor indexed="8"/>
      </patternFill>
    </fill>
    <fill>
      <patternFill patternType="solid">
        <fgColor indexed="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6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dashDot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 style="dashDot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69" fillId="0" borderId="0"/>
    <xf numFmtId="9" fontId="1" fillId="0" borderId="0" applyFont="0" applyFill="0" applyBorder="0" applyAlignment="0" applyProtection="0"/>
  </cellStyleXfs>
  <cellXfs count="1742">
    <xf numFmtId="0" fontId="0" fillId="0" borderId="0" xfId="0"/>
    <xf numFmtId="0" fontId="0" fillId="0" borderId="0" xfId="0" applyAlignment="1"/>
    <xf numFmtId="0" fontId="5" fillId="0" borderId="0" xfId="0" applyFont="1"/>
    <xf numFmtId="0" fontId="0" fillId="0" borderId="0" xfId="0" applyBorder="1"/>
    <xf numFmtId="0" fontId="5" fillId="0" borderId="0" xfId="0" applyFont="1" applyAlignment="1">
      <alignment vertical="center"/>
    </xf>
    <xf numFmtId="0" fontId="7" fillId="0" borderId="0" xfId="0" applyFont="1"/>
    <xf numFmtId="0" fontId="0" fillId="0" borderId="0" xfId="0" applyAlignment="1">
      <alignment horizontal="center"/>
    </xf>
    <xf numFmtId="0" fontId="0" fillId="0" borderId="0" xfId="0" applyFill="1"/>
    <xf numFmtId="0" fontId="0" fillId="0" borderId="0" xfId="0" applyFill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0" fillId="0" borderId="0" xfId="0" applyBorder="1" applyAlignment="1">
      <alignment horizontal="center"/>
    </xf>
    <xf numFmtId="0" fontId="0" fillId="0" borderId="0" xfId="0" applyFill="1" applyBorder="1" applyAlignment="1"/>
    <xf numFmtId="0" fontId="6" fillId="0" borderId="0" xfId="0" applyFont="1" applyFill="1" applyBorder="1" applyAlignment="1">
      <alignment horizontal="center"/>
    </xf>
    <xf numFmtId="0" fontId="0" fillId="0" borderId="0" xfId="0" applyFill="1" applyBorder="1"/>
    <xf numFmtId="0" fontId="5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justify"/>
    </xf>
    <xf numFmtId="0" fontId="0" fillId="0" borderId="2" xfId="0" applyBorder="1"/>
    <xf numFmtId="0" fontId="7" fillId="2" borderId="3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6" fillId="0" borderId="0" xfId="0" applyFont="1" applyBorder="1"/>
    <xf numFmtId="0" fontId="14" fillId="0" borderId="2" xfId="0" applyFont="1" applyBorder="1"/>
    <xf numFmtId="0" fontId="12" fillId="0" borderId="4" xfId="0" applyFont="1" applyFill="1" applyBorder="1" applyAlignment="1">
      <alignment horizontal="left" vertical="center"/>
    </xf>
    <xf numFmtId="0" fontId="5" fillId="0" borderId="0" xfId="0" applyFont="1" applyBorder="1" applyAlignment="1">
      <alignment vertical="justify"/>
    </xf>
    <xf numFmtId="0" fontId="6" fillId="0" borderId="2" xfId="0" applyFont="1" applyBorder="1" applyAlignment="1"/>
    <xf numFmtId="0" fontId="6" fillId="0" borderId="2" xfId="0" applyFont="1" applyFill="1" applyBorder="1" applyAlignment="1">
      <alignment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5" fillId="0" borderId="0" xfId="0" applyFont="1" applyAlignment="1" applyProtection="1">
      <alignment vertical="center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0" fontId="6" fillId="0" borderId="3" xfId="0" applyFont="1" applyFill="1" applyBorder="1" applyAlignment="1" applyProtection="1">
      <alignment horizontal="center"/>
      <protection locked="0"/>
    </xf>
    <xf numFmtId="0" fontId="0" fillId="0" borderId="0" xfId="0" applyFill="1" applyBorder="1" applyProtection="1">
      <protection locked="0"/>
    </xf>
    <xf numFmtId="0" fontId="6" fillId="0" borderId="0" xfId="0" applyFont="1" applyFill="1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0" fontId="6" fillId="0" borderId="3" xfId="0" applyFont="1" applyBorder="1" applyAlignment="1" applyProtection="1">
      <alignment horizontal="center" vertical="center" wrapText="1"/>
      <protection locked="0"/>
    </xf>
    <xf numFmtId="0" fontId="6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protection locked="0"/>
    </xf>
    <xf numFmtId="0" fontId="6" fillId="0" borderId="0" xfId="0" applyFont="1" applyBorder="1" applyAlignment="1" applyProtection="1"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6" fillId="0" borderId="0" xfId="0" applyFont="1" applyBorder="1" applyProtection="1">
      <protection locked="0"/>
    </xf>
    <xf numFmtId="0" fontId="6" fillId="0" borderId="0" xfId="0" applyFont="1" applyFill="1" applyBorder="1" applyProtection="1">
      <protection locked="0"/>
    </xf>
    <xf numFmtId="0" fontId="6" fillId="0" borderId="0" xfId="0" applyFont="1" applyBorder="1" applyAlignment="1" applyProtection="1">
      <alignment horizontal="center"/>
      <protection locked="0"/>
    </xf>
    <xf numFmtId="0" fontId="5" fillId="0" borderId="0" xfId="0" applyFont="1" applyProtection="1">
      <protection locked="0"/>
    </xf>
    <xf numFmtId="0" fontId="8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0" fillId="0" borderId="0" xfId="0" applyFill="1" applyProtection="1">
      <protection locked="0"/>
    </xf>
    <xf numFmtId="0" fontId="5" fillId="0" borderId="0" xfId="0" applyFont="1" applyFill="1" applyBorder="1" applyAlignment="1" applyProtection="1">
      <alignment horizontal="left" vertical="justify"/>
      <protection locked="0"/>
    </xf>
    <xf numFmtId="0" fontId="5" fillId="0" borderId="0" xfId="0" applyFont="1" applyFill="1" applyBorder="1" applyAlignment="1" applyProtection="1">
      <alignment vertical="justify"/>
      <protection locked="0"/>
    </xf>
    <xf numFmtId="0" fontId="11" fillId="0" borderId="0" xfId="0" applyFont="1" applyFill="1" applyBorder="1" applyAlignment="1" applyProtection="1">
      <alignment horizontal="center" vertical="top"/>
      <protection locked="0"/>
    </xf>
    <xf numFmtId="0" fontId="13" fillId="0" borderId="0" xfId="0" applyFont="1" applyAlignment="1" applyProtection="1">
      <alignment vertical="center"/>
      <protection locked="0"/>
    </xf>
    <xf numFmtId="0" fontId="14" fillId="0" borderId="0" xfId="0" applyFont="1" applyAlignment="1" applyProtection="1">
      <alignment vertical="center"/>
      <protection locked="0"/>
    </xf>
    <xf numFmtId="0" fontId="13" fillId="0" borderId="0" xfId="0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13" fillId="0" borderId="0" xfId="0" applyFont="1" applyBorder="1" applyAlignment="1" applyProtection="1">
      <alignment horizontal="center" vertical="center"/>
      <protection locked="0"/>
    </xf>
    <xf numFmtId="0" fontId="13" fillId="0" borderId="0" xfId="0" applyFont="1" applyBorder="1" applyAlignment="1" applyProtection="1">
      <alignment horizontal="left" vertical="center" wrapText="1"/>
      <protection locked="0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0" fontId="13" fillId="0" borderId="0" xfId="0" applyFont="1" applyBorder="1" applyAlignment="1" applyProtection="1">
      <alignment horizontal="left" vertical="center"/>
      <protection locked="0"/>
    </xf>
    <xf numFmtId="0" fontId="16" fillId="0" borderId="0" xfId="0" applyFont="1" applyFill="1" applyBorder="1" applyAlignment="1" applyProtection="1">
      <alignment horizontal="center" vertical="center"/>
      <protection locked="0"/>
    </xf>
    <xf numFmtId="0" fontId="13" fillId="0" borderId="0" xfId="0" applyFont="1" applyFill="1" applyBorder="1" applyAlignment="1" applyProtection="1">
      <alignment horizontal="left" vertical="center" wrapText="1" indent="11"/>
      <protection locked="0"/>
    </xf>
    <xf numFmtId="0" fontId="13" fillId="0" borderId="0" xfId="0" applyFont="1" applyAlignment="1" applyProtection="1">
      <alignment horizontal="right" vertical="center"/>
      <protection locked="0"/>
    </xf>
    <xf numFmtId="0" fontId="7" fillId="0" borderId="0" xfId="0" applyFont="1" applyProtection="1">
      <protection locked="0"/>
    </xf>
    <xf numFmtId="0" fontId="6" fillId="0" borderId="3" xfId="0" applyFont="1" applyBorder="1" applyAlignment="1" applyProtection="1">
      <alignment horizontal="center"/>
      <protection locked="0"/>
    </xf>
    <xf numFmtId="0" fontId="7" fillId="3" borderId="0" xfId="0" applyFont="1" applyFill="1" applyBorder="1" applyAlignment="1">
      <alignment horizontal="center"/>
    </xf>
    <xf numFmtId="0" fontId="26" fillId="0" borderId="0" xfId="0" applyFont="1" applyAlignment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center"/>
      <protection locked="0"/>
    </xf>
    <xf numFmtId="0" fontId="10" fillId="0" borderId="0" xfId="0" applyFont="1" applyAlignment="1" applyProtection="1">
      <protection locked="0"/>
    </xf>
    <xf numFmtId="0" fontId="6" fillId="0" borderId="3" xfId="0" applyNumberFormat="1" applyFont="1" applyFill="1" applyBorder="1" applyAlignment="1" applyProtection="1">
      <alignment horizontal="center"/>
      <protection locked="0"/>
    </xf>
    <xf numFmtId="0" fontId="14" fillId="0" borderId="0" xfId="0" applyFont="1" applyBorder="1" applyProtection="1">
      <protection locked="0"/>
    </xf>
    <xf numFmtId="0" fontId="14" fillId="0" borderId="2" xfId="0" applyFont="1" applyBorder="1" applyProtection="1">
      <protection locked="0"/>
    </xf>
    <xf numFmtId="0" fontId="7" fillId="0" borderId="0" xfId="0" applyFont="1" applyBorder="1" applyAlignment="1" applyProtection="1">
      <protection locked="0"/>
    </xf>
    <xf numFmtId="0" fontId="5" fillId="0" borderId="0" xfId="0" applyFont="1" applyFill="1" applyBorder="1" applyAlignment="1" applyProtection="1">
      <protection locked="0"/>
    </xf>
    <xf numFmtId="0" fontId="5" fillId="0" borderId="0" xfId="0" applyFont="1" applyFill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justify"/>
      <protection locked="0"/>
    </xf>
    <xf numFmtId="0" fontId="0" fillId="0" borderId="0" xfId="0" applyAlignment="1" applyProtection="1">
      <protection locked="0"/>
    </xf>
    <xf numFmtId="0" fontId="5" fillId="0" borderId="0" xfId="0" applyFont="1" applyAlignment="1" applyProtection="1">
      <alignment horizontal="right" vertical="center"/>
      <protection locked="0"/>
    </xf>
    <xf numFmtId="0" fontId="6" fillId="0" borderId="3" xfId="0" applyFont="1" applyBorder="1" applyAlignment="1" applyProtection="1">
      <alignment horizontal="center"/>
      <protection hidden="1"/>
    </xf>
    <xf numFmtId="0" fontId="2" fillId="0" borderId="0" xfId="0" applyFont="1" applyFill="1" applyBorder="1" applyAlignment="1">
      <alignment horizontal="center"/>
    </xf>
    <xf numFmtId="0" fontId="0" fillId="0" borderId="0" xfId="0" applyProtection="1"/>
    <xf numFmtId="0" fontId="0" fillId="0" borderId="0" xfId="0" applyAlignment="1" applyProtection="1">
      <alignment horizontal="center"/>
    </xf>
    <xf numFmtId="2" fontId="0" fillId="0" borderId="0" xfId="0" applyNumberFormat="1" applyProtection="1"/>
    <xf numFmtId="0" fontId="27" fillId="4" borderId="0" xfId="0" applyFont="1" applyFill="1" applyAlignment="1" applyProtection="1">
      <alignment horizontal="center"/>
      <protection locked="0" hidden="1"/>
    </xf>
    <xf numFmtId="0" fontId="3" fillId="0" borderId="5" xfId="0" applyFont="1" applyBorder="1" applyAlignment="1" applyProtection="1">
      <alignment horizontal="center"/>
    </xf>
    <xf numFmtId="0" fontId="27" fillId="4" borderId="0" xfId="0" applyFont="1" applyFill="1" applyAlignment="1" applyProtection="1">
      <alignment horizontal="center"/>
    </xf>
    <xf numFmtId="0" fontId="0" fillId="0" borderId="6" xfId="0" applyBorder="1" applyProtection="1"/>
    <xf numFmtId="0" fontId="0" fillId="0" borderId="7" xfId="0" applyBorder="1" applyAlignment="1" applyProtection="1">
      <alignment horizontal="center"/>
    </xf>
    <xf numFmtId="0" fontId="0" fillId="0" borderId="3" xfId="0" applyBorder="1" applyAlignment="1" applyProtection="1">
      <alignment horizontal="center"/>
    </xf>
    <xf numFmtId="2" fontId="0" fillId="0" borderId="3" xfId="0" applyNumberFormat="1" applyBorder="1" applyAlignment="1" applyProtection="1">
      <alignment horizontal="center"/>
    </xf>
    <xf numFmtId="0" fontId="0" fillId="0" borderId="8" xfId="0" applyBorder="1" applyAlignment="1" applyProtection="1">
      <alignment horizontal="center"/>
    </xf>
    <xf numFmtId="0" fontId="0" fillId="0" borderId="7" xfId="0" applyBorder="1" applyProtection="1"/>
    <xf numFmtId="0" fontId="0" fillId="0" borderId="8" xfId="0" applyBorder="1" applyProtection="1"/>
    <xf numFmtId="0" fontId="0" fillId="0" borderId="9" xfId="0" applyBorder="1" applyProtection="1"/>
    <xf numFmtId="0" fontId="0" fillId="0" borderId="10" xfId="0" applyBorder="1" applyProtection="1"/>
    <xf numFmtId="0" fontId="1" fillId="0" borderId="11" xfId="0" applyFont="1" applyFill="1" applyBorder="1"/>
    <xf numFmtId="0" fontId="0" fillId="0" borderId="11" xfId="0" applyBorder="1" applyProtection="1"/>
    <xf numFmtId="0" fontId="30" fillId="0" borderId="12" xfId="0" applyFont="1" applyBorder="1" applyAlignment="1">
      <alignment horizontal="center"/>
    </xf>
    <xf numFmtId="0" fontId="30" fillId="0" borderId="3" xfId="0" applyFont="1" applyBorder="1" applyAlignment="1">
      <alignment horizontal="center"/>
    </xf>
    <xf numFmtId="0" fontId="0" fillId="0" borderId="4" xfId="0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0" fillId="0" borderId="0" xfId="0" applyAlignment="1">
      <alignment horizontal="right"/>
    </xf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31" fillId="0" borderId="16" xfId="0" applyFont="1" applyBorder="1" applyAlignment="1">
      <alignment horizontal="center"/>
    </xf>
    <xf numFmtId="0" fontId="32" fillId="0" borderId="0" xfId="0" applyFont="1" applyBorder="1"/>
    <xf numFmtId="0" fontId="31" fillId="0" borderId="16" xfId="0" applyFont="1" applyBorder="1"/>
    <xf numFmtId="0" fontId="31" fillId="0" borderId="0" xfId="0" applyFont="1" applyBorder="1"/>
    <xf numFmtId="0" fontId="0" fillId="0" borderId="18" xfId="0" applyBorder="1"/>
    <xf numFmtId="0" fontId="36" fillId="0" borderId="0" xfId="0" applyFont="1" applyFill="1" applyAlignment="1">
      <alignment horizontal="center" vertical="center" wrapText="1"/>
    </xf>
    <xf numFmtId="0" fontId="37" fillId="0" borderId="0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/>
    </xf>
    <xf numFmtId="0" fontId="2" fillId="0" borderId="0" xfId="0" applyFont="1" applyFill="1" applyAlignment="1">
      <alignment vertical="center"/>
    </xf>
    <xf numFmtId="0" fontId="2" fillId="0" borderId="0" xfId="0" applyFont="1" applyFill="1"/>
    <xf numFmtId="0" fontId="37" fillId="0" borderId="3" xfId="0" applyFont="1" applyFill="1" applyBorder="1" applyAlignment="1">
      <alignment horizontal="center" vertical="center"/>
    </xf>
    <xf numFmtId="0" fontId="38" fillId="0" borderId="0" xfId="0" applyFont="1" applyFill="1" applyAlignment="1">
      <alignment horizontal="center"/>
    </xf>
    <xf numFmtId="0" fontId="36" fillId="0" borderId="0" xfId="0" applyFont="1" applyFill="1" applyAlignment="1">
      <alignment horizontal="center" vertical="center"/>
    </xf>
    <xf numFmtId="0" fontId="39" fillId="0" borderId="0" xfId="0" applyFont="1" applyFill="1" applyAlignment="1">
      <alignment horizontal="center"/>
    </xf>
    <xf numFmtId="2" fontId="39" fillId="0" borderId="0" xfId="0" applyNumberFormat="1" applyFont="1" applyFill="1" applyAlignment="1">
      <alignment horizontal="center"/>
    </xf>
    <xf numFmtId="0" fontId="37" fillId="0" borderId="3" xfId="0" applyFont="1" applyFill="1" applyBorder="1" applyAlignment="1" applyProtection="1">
      <alignment horizontal="center" vertical="center"/>
      <protection locked="0" hidden="1"/>
    </xf>
    <xf numFmtId="0" fontId="37" fillId="5" borderId="3" xfId="0" applyFont="1" applyFill="1" applyBorder="1" applyAlignment="1" applyProtection="1">
      <alignment horizontal="center" vertical="center"/>
      <protection locked="0" hidden="1"/>
    </xf>
    <xf numFmtId="0" fontId="39" fillId="0" borderId="0" xfId="0" applyFont="1" applyFill="1" applyBorder="1" applyAlignment="1">
      <alignment horizontal="center"/>
    </xf>
    <xf numFmtId="0" fontId="37" fillId="0" borderId="0" xfId="0" applyFont="1" applyFill="1" applyBorder="1" applyAlignment="1" applyProtection="1">
      <alignment horizontal="center" vertical="center"/>
      <protection locked="0" hidden="1"/>
    </xf>
    <xf numFmtId="0" fontId="36" fillId="0" borderId="0" xfId="0" applyFont="1" applyFill="1" applyBorder="1" applyAlignment="1">
      <alignment horizontal="center" vertical="center"/>
    </xf>
    <xf numFmtId="0" fontId="39" fillId="0" borderId="0" xfId="0" applyFont="1" applyFill="1" applyAlignment="1">
      <alignment vertical="center"/>
    </xf>
    <xf numFmtId="0" fontId="2" fillId="0" borderId="0" xfId="0" applyFont="1" applyFill="1" applyAlignment="1"/>
    <xf numFmtId="0" fontId="36" fillId="0" borderId="0" xfId="0" applyFont="1" applyFill="1" applyBorder="1" applyAlignment="1">
      <alignment horizontal="left" vertical="center" wrapText="1"/>
    </xf>
    <xf numFmtId="0" fontId="39" fillId="0" borderId="0" xfId="0" applyFont="1" applyFill="1" applyAlignment="1">
      <alignment horizontal="center" vertical="center"/>
    </xf>
    <xf numFmtId="0" fontId="34" fillId="0" borderId="0" xfId="0" applyFont="1" applyFill="1" applyAlignment="1"/>
    <xf numFmtId="0" fontId="34" fillId="0" borderId="0" xfId="0" applyFont="1" applyFill="1"/>
    <xf numFmtId="0" fontId="40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16" fillId="0" borderId="0" xfId="0" applyFont="1"/>
    <xf numFmtId="0" fontId="41" fillId="6" borderId="0" xfId="0" applyFont="1" applyFill="1"/>
    <xf numFmtId="0" fontId="42" fillId="6" borderId="0" xfId="0" applyFont="1" applyFill="1"/>
    <xf numFmtId="0" fontId="1" fillId="0" borderId="0" xfId="0" applyFont="1"/>
    <xf numFmtId="0" fontId="43" fillId="7" borderId="0" xfId="0" applyFont="1" applyFill="1" applyBorder="1" applyAlignment="1">
      <alignment horizontal="center"/>
    </xf>
    <xf numFmtId="0" fontId="2" fillId="0" borderId="0" xfId="0" applyFont="1"/>
    <xf numFmtId="0" fontId="47" fillId="0" borderId="0" xfId="0" applyFont="1"/>
    <xf numFmtId="0" fontId="2" fillId="8" borderId="0" xfId="0" applyFont="1" applyFill="1"/>
    <xf numFmtId="0" fontId="2" fillId="9" borderId="0" xfId="0" applyFont="1" applyFill="1"/>
    <xf numFmtId="0" fontId="29" fillId="9" borderId="0" xfId="0" applyFont="1" applyFill="1" applyAlignment="1">
      <alignment horizontal="right"/>
    </xf>
    <xf numFmtId="0" fontId="29" fillId="9" borderId="0" xfId="0" applyFont="1" applyFill="1" applyAlignment="1">
      <alignment horizontal="left"/>
    </xf>
    <xf numFmtId="0" fontId="52" fillId="9" borderId="0" xfId="0" applyFont="1" applyFill="1"/>
    <xf numFmtId="0" fontId="53" fillId="9" borderId="0" xfId="0" applyFont="1" applyFill="1"/>
    <xf numFmtId="0" fontId="54" fillId="9" borderId="0" xfId="0" applyFont="1" applyFill="1"/>
    <xf numFmtId="0" fontId="54" fillId="8" borderId="0" xfId="0" applyFont="1" applyFill="1"/>
    <xf numFmtId="0" fontId="56" fillId="9" borderId="0" xfId="0" applyFont="1" applyFill="1"/>
    <xf numFmtId="0" fontId="57" fillId="8" borderId="0" xfId="0" applyFont="1" applyFill="1"/>
    <xf numFmtId="0" fontId="54" fillId="0" borderId="0" xfId="0" applyFont="1" applyFill="1"/>
    <xf numFmtId="0" fontId="49" fillId="7" borderId="0" xfId="0" applyFont="1" applyFill="1" applyAlignment="1">
      <alignment horizontal="center" vertical="center"/>
    </xf>
    <xf numFmtId="0" fontId="52" fillId="9" borderId="0" xfId="0" applyFont="1" applyFill="1" applyBorder="1"/>
    <xf numFmtId="0" fontId="53" fillId="9" borderId="0" xfId="0" applyFont="1" applyFill="1" applyBorder="1"/>
    <xf numFmtId="0" fontId="59" fillId="9" borderId="0" xfId="0" applyFont="1" applyFill="1" applyAlignment="1">
      <alignment horizontal="center" vertical="center"/>
    </xf>
    <xf numFmtId="0" fontId="60" fillId="9" borderId="0" xfId="0" applyFont="1" applyFill="1" applyBorder="1" applyAlignment="1">
      <alignment horizontal="center" vertical="center" wrapText="1"/>
    </xf>
    <xf numFmtId="0" fontId="59" fillId="9" borderId="0" xfId="0" applyFont="1" applyFill="1" applyAlignment="1">
      <alignment horizontal="center"/>
    </xf>
    <xf numFmtId="0" fontId="38" fillId="9" borderId="3" xfId="0" applyNumberFormat="1" applyFont="1" applyFill="1" applyBorder="1" applyAlignment="1">
      <alignment horizontal="left" vertical="center"/>
    </xf>
    <xf numFmtId="0" fontId="61" fillId="9" borderId="3" xfId="0" applyFont="1" applyFill="1" applyBorder="1" applyAlignment="1" applyProtection="1">
      <alignment horizontal="center" vertical="center"/>
      <protection locked="0" hidden="1"/>
    </xf>
    <xf numFmtId="0" fontId="62" fillId="9" borderId="0" xfId="0" applyFont="1" applyFill="1" applyAlignment="1">
      <alignment horizontal="center" vertical="center" wrapText="1"/>
    </xf>
    <xf numFmtId="0" fontId="63" fillId="9" borderId="3" xfId="0" applyFont="1" applyFill="1" applyBorder="1" applyAlignment="1" applyProtection="1">
      <alignment horizontal="center" vertical="center"/>
      <protection locked="0" hidden="1"/>
    </xf>
    <xf numFmtId="0" fontId="58" fillId="9" borderId="0" xfId="0" applyFont="1" applyFill="1" applyAlignment="1">
      <alignment wrapText="1"/>
    </xf>
    <xf numFmtId="0" fontId="58" fillId="9" borderId="0" xfId="0" applyFont="1" applyFill="1" applyAlignment="1">
      <alignment horizontal="center" vertical="center"/>
    </xf>
    <xf numFmtId="0" fontId="64" fillId="9" borderId="0" xfId="0" applyFont="1" applyFill="1" applyAlignment="1">
      <alignment horizontal="center"/>
    </xf>
    <xf numFmtId="0" fontId="2" fillId="9" borderId="0" xfId="0" applyFont="1" applyFill="1" applyAlignment="1" applyProtection="1">
      <alignment vertical="center"/>
      <protection locked="0" hidden="1"/>
    </xf>
    <xf numFmtId="0" fontId="58" fillId="9" borderId="0" xfId="0" applyFont="1" applyFill="1" applyAlignment="1">
      <alignment horizontal="center" vertical="center" wrapText="1"/>
    </xf>
    <xf numFmtId="0" fontId="38" fillId="9" borderId="0" xfId="0" applyFont="1" applyFill="1"/>
    <xf numFmtId="0" fontId="61" fillId="9" borderId="3" xfId="0" applyFont="1" applyFill="1" applyBorder="1" applyAlignment="1" applyProtection="1">
      <alignment horizontal="center" vertical="center" wrapText="1"/>
      <protection locked="0" hidden="1"/>
    </xf>
    <xf numFmtId="0" fontId="38" fillId="9" borderId="0" xfId="0" applyFont="1" applyFill="1" applyAlignment="1">
      <alignment horizontal="left" vertical="center"/>
    </xf>
    <xf numFmtId="0" fontId="61" fillId="9" borderId="19" xfId="0" applyFont="1" applyFill="1" applyBorder="1" applyAlignment="1" applyProtection="1">
      <alignment horizontal="right" vertical="center" wrapText="1"/>
      <protection locked="0" hidden="1"/>
    </xf>
    <xf numFmtId="0" fontId="61" fillId="9" borderId="20" xfId="0" applyFont="1" applyFill="1" applyBorder="1" applyAlignment="1" applyProtection="1">
      <alignment horizontal="right" vertical="center" wrapText="1"/>
      <protection locked="0" hidden="1"/>
    </xf>
    <xf numFmtId="0" fontId="61" fillId="9" borderId="21" xfId="0" applyFont="1" applyFill="1" applyBorder="1" applyAlignment="1" applyProtection="1">
      <alignment horizontal="right" vertical="center" wrapText="1"/>
      <protection locked="0" hidden="1"/>
    </xf>
    <xf numFmtId="0" fontId="9" fillId="9" borderId="0" xfId="0" applyFont="1" applyFill="1"/>
    <xf numFmtId="0" fontId="61" fillId="9" borderId="11" xfId="0" applyFont="1" applyFill="1" applyBorder="1" applyAlignment="1" applyProtection="1">
      <alignment horizontal="right" vertical="center" wrapText="1"/>
      <protection locked="0" hidden="1"/>
    </xf>
    <xf numFmtId="0" fontId="61" fillId="9" borderId="7" xfId="0" applyFont="1" applyFill="1" applyBorder="1" applyAlignment="1" applyProtection="1">
      <alignment horizontal="right" vertical="center" wrapText="1"/>
      <protection locked="0" hidden="1"/>
    </xf>
    <xf numFmtId="0" fontId="61" fillId="9" borderId="22" xfId="0" applyFont="1" applyFill="1" applyBorder="1" applyAlignment="1" applyProtection="1">
      <alignment horizontal="right" vertical="center" wrapText="1"/>
      <protection locked="0" hidden="1"/>
    </xf>
    <xf numFmtId="0" fontId="38" fillId="9" borderId="0" xfId="0" applyFont="1" applyFill="1" applyAlignment="1">
      <alignment horizontal="center"/>
    </xf>
    <xf numFmtId="0" fontId="38" fillId="9" borderId="0" xfId="0" applyFont="1" applyFill="1" applyAlignment="1">
      <alignment horizontal="right"/>
    </xf>
    <xf numFmtId="0" fontId="65" fillId="9" borderId="0" xfId="0" applyFont="1" applyFill="1" applyAlignment="1">
      <alignment horizontal="center" vertical="center" wrapText="1"/>
    </xf>
    <xf numFmtId="0" fontId="61" fillId="9" borderId="8" xfId="0" applyFont="1" applyFill="1" applyBorder="1" applyAlignment="1" applyProtection="1">
      <alignment horizontal="center" vertical="center" wrapText="1"/>
      <protection locked="0" hidden="1"/>
    </xf>
    <xf numFmtId="0" fontId="38" fillId="9" borderId="0" xfId="0" applyFont="1" applyFill="1" applyAlignment="1">
      <alignment horizontal="left"/>
    </xf>
    <xf numFmtId="0" fontId="61" fillId="9" borderId="0" xfId="0" applyFont="1" applyFill="1" applyBorder="1" applyAlignment="1" applyProtection="1">
      <alignment horizontal="center" vertical="center" wrapText="1"/>
      <protection locked="0" hidden="1"/>
    </xf>
    <xf numFmtId="0" fontId="38" fillId="9" borderId="0" xfId="0" applyFont="1" applyFill="1" applyBorder="1" applyAlignment="1">
      <alignment horizontal="center"/>
    </xf>
    <xf numFmtId="0" fontId="65" fillId="9" borderId="0" xfId="0" applyFont="1" applyFill="1" applyBorder="1" applyAlignment="1">
      <alignment horizontal="center" vertical="center" wrapText="1"/>
    </xf>
    <xf numFmtId="0" fontId="38" fillId="9" borderId="0" xfId="0" applyFont="1" applyFill="1" applyAlignment="1">
      <alignment vertical="center"/>
    </xf>
    <xf numFmtId="0" fontId="66" fillId="9" borderId="0" xfId="0" applyFont="1" applyFill="1" applyBorder="1"/>
    <xf numFmtId="0" fontId="1" fillId="9" borderId="0" xfId="0" applyFont="1" applyFill="1" applyBorder="1"/>
    <xf numFmtId="0" fontId="0" fillId="9" borderId="0" xfId="0" applyFill="1" applyBorder="1"/>
    <xf numFmtId="2" fontId="2" fillId="9" borderId="0" xfId="0" applyNumberFormat="1" applyFont="1" applyFill="1"/>
    <xf numFmtId="2" fontId="2" fillId="8" borderId="0" xfId="0" applyNumberFormat="1" applyFont="1" applyFill="1"/>
    <xf numFmtId="0" fontId="29" fillId="9" borderId="0" xfId="0" applyFont="1" applyFill="1" applyAlignment="1">
      <alignment horizontal="center"/>
    </xf>
    <xf numFmtId="0" fontId="34" fillId="9" borderId="0" xfId="0" applyFont="1" applyFill="1"/>
    <xf numFmtId="0" fontId="34" fillId="9" borderId="0" xfId="0" applyFont="1" applyFill="1" applyAlignment="1">
      <alignment horizontal="center"/>
    </xf>
    <xf numFmtId="0" fontId="64" fillId="9" borderId="0" xfId="0" applyFont="1" applyFill="1" applyBorder="1" applyAlignment="1">
      <alignment horizontal="center"/>
    </xf>
    <xf numFmtId="0" fontId="64" fillId="9" borderId="3" xfId="0" applyFont="1" applyFill="1" applyBorder="1" applyAlignment="1">
      <alignment horizontal="center" vertical="center"/>
    </xf>
    <xf numFmtId="0" fontId="52" fillId="9" borderId="0" xfId="0" applyFont="1" applyFill="1" applyAlignment="1">
      <alignment vertical="center"/>
    </xf>
    <xf numFmtId="0" fontId="64" fillId="9" borderId="0" xfId="0" applyFont="1" applyFill="1" applyBorder="1" applyAlignment="1">
      <alignment vertical="center"/>
    </xf>
    <xf numFmtId="0" fontId="38" fillId="9" borderId="0" xfId="0" applyFont="1" applyFill="1" applyAlignment="1">
      <alignment horizontal="center" vertical="center"/>
    </xf>
    <xf numFmtId="0" fontId="38" fillId="9" borderId="0" xfId="0" applyFont="1" applyFill="1" applyBorder="1"/>
    <xf numFmtId="0" fontId="58" fillId="9" borderId="0" xfId="0" applyFont="1" applyFill="1" applyAlignment="1">
      <alignment vertical="center" wrapText="1"/>
    </xf>
    <xf numFmtId="0" fontId="0" fillId="9" borderId="0" xfId="0" applyFill="1" applyBorder="1" applyAlignment="1" applyProtection="1">
      <alignment vertical="center" wrapText="1"/>
      <protection locked="0" hidden="1"/>
    </xf>
    <xf numFmtId="0" fontId="1" fillId="9" borderId="0" xfId="0" applyFont="1" applyFill="1" applyBorder="1" applyAlignment="1">
      <alignment vertical="center"/>
    </xf>
    <xf numFmtId="0" fontId="0" fillId="9" borderId="0" xfId="0" applyFill="1" applyBorder="1" applyAlignment="1">
      <alignment vertical="center"/>
    </xf>
    <xf numFmtId="0" fontId="64" fillId="9" borderId="0" xfId="0" applyFont="1" applyFill="1" applyAlignment="1">
      <alignment horizontal="center" vertical="center"/>
    </xf>
    <xf numFmtId="0" fontId="64" fillId="9" borderId="0" xfId="0" applyFont="1" applyFill="1" applyBorder="1" applyAlignment="1">
      <alignment horizontal="center" vertical="center"/>
    </xf>
    <xf numFmtId="0" fontId="2" fillId="9" borderId="0" xfId="0" applyFont="1" applyFill="1" applyBorder="1"/>
    <xf numFmtId="0" fontId="64" fillId="9" borderId="0" xfId="0" applyFont="1" applyFill="1" applyAlignment="1">
      <alignment horizontal="centerContinuous"/>
    </xf>
    <xf numFmtId="0" fontId="67" fillId="9" borderId="0" xfId="0" applyFont="1" applyFill="1" applyBorder="1" applyAlignment="1">
      <alignment horizontal="center" wrapText="1"/>
    </xf>
    <xf numFmtId="0" fontId="39" fillId="9" borderId="0" xfId="0" applyFont="1" applyFill="1"/>
    <xf numFmtId="0" fontId="61" fillId="9" borderId="0" xfId="0" applyFont="1" applyFill="1" applyBorder="1" applyAlignment="1" applyProtection="1">
      <alignment horizontal="center" vertical="center" wrapText="1"/>
      <protection locked="0"/>
    </xf>
    <xf numFmtId="0" fontId="64" fillId="9" borderId="0" xfId="0" applyFont="1" applyFill="1" applyAlignment="1" applyProtection="1">
      <alignment horizontal="center" vertical="center"/>
      <protection locked="0" hidden="1"/>
    </xf>
    <xf numFmtId="0" fontId="2" fillId="9" borderId="0" xfId="0" applyFont="1" applyFill="1" applyAlignment="1">
      <alignment wrapText="1"/>
    </xf>
    <xf numFmtId="0" fontId="3" fillId="9" borderId="0" xfId="0" applyFont="1" applyFill="1" applyAlignment="1">
      <alignment wrapText="1"/>
    </xf>
    <xf numFmtId="0" fontId="65" fillId="9" borderId="0" xfId="0" applyFont="1" applyFill="1" applyBorder="1" applyAlignment="1">
      <alignment horizontal="left" vertical="center" wrapText="1"/>
    </xf>
    <xf numFmtId="0" fontId="65" fillId="9" borderId="0" xfId="0" applyFont="1" applyFill="1" applyBorder="1" applyAlignment="1" applyProtection="1">
      <alignment horizontal="left" vertical="center" wrapText="1"/>
      <protection locked="0" hidden="1"/>
    </xf>
    <xf numFmtId="0" fontId="38" fillId="9" borderId="0" xfId="0" applyFont="1" applyFill="1" applyBorder="1" applyAlignment="1">
      <alignment horizontal="left"/>
    </xf>
    <xf numFmtId="0" fontId="65" fillId="9" borderId="0" xfId="0" applyFont="1" applyFill="1" applyBorder="1" applyAlignment="1" applyProtection="1">
      <alignment horizontal="center" vertical="center" wrapText="1"/>
      <protection locked="0" hidden="1"/>
    </xf>
    <xf numFmtId="0" fontId="61" fillId="9" borderId="0" xfId="0" applyFont="1" applyFill="1" applyBorder="1" applyAlignment="1" applyProtection="1">
      <alignment horizontal="center" vertical="center"/>
      <protection locked="0" hidden="1"/>
    </xf>
    <xf numFmtId="0" fontId="67" fillId="9" borderId="0" xfId="0" applyFont="1" applyFill="1" applyBorder="1" applyAlignment="1">
      <alignment horizontal="left" vertical="center" wrapText="1"/>
    </xf>
    <xf numFmtId="0" fontId="2" fillId="0" borderId="0" xfId="0" applyFont="1" applyFill="1" applyBorder="1"/>
    <xf numFmtId="0" fontId="2" fillId="0" borderId="0" xfId="0" applyFont="1" applyFill="1" applyAlignment="1">
      <alignment horizontal="left"/>
    </xf>
    <xf numFmtId="2" fontId="2" fillId="0" borderId="0" xfId="0" applyNumberFormat="1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0" fontId="34" fillId="0" borderId="0" xfId="0" applyFont="1" applyFill="1" applyBorder="1" applyAlignment="1">
      <alignment horizontal="center"/>
    </xf>
    <xf numFmtId="165" fontId="2" fillId="0" borderId="0" xfId="0" applyNumberFormat="1" applyFont="1" applyFill="1" applyBorder="1" applyAlignment="1">
      <alignment horizontal="center"/>
    </xf>
    <xf numFmtId="166" fontId="2" fillId="0" borderId="0" xfId="0" applyNumberFormat="1" applyFont="1" applyFill="1" applyBorder="1" applyAlignment="1">
      <alignment horizontal="center"/>
    </xf>
    <xf numFmtId="2" fontId="2" fillId="0" borderId="0" xfId="0" applyNumberFormat="1" applyFont="1" applyFill="1" applyBorder="1" applyAlignment="1" applyProtection="1">
      <alignment horizontal="center"/>
      <protection locked="0" hidden="1"/>
    </xf>
    <xf numFmtId="15" fontId="35" fillId="0" borderId="17" xfId="0" applyNumberFormat="1" applyFont="1" applyBorder="1"/>
    <xf numFmtId="0" fontId="0" fillId="10" borderId="0" xfId="0" applyFill="1"/>
    <xf numFmtId="0" fontId="29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 applyAlignment="1"/>
    <xf numFmtId="14" fontId="2" fillId="0" borderId="0" xfId="0" applyNumberFormat="1" applyFont="1" applyFill="1" applyBorder="1" applyAlignment="1">
      <alignment horizontal="left"/>
    </xf>
    <xf numFmtId="170" fontId="2" fillId="0" borderId="0" xfId="1" applyNumberFormat="1" applyFont="1" applyFill="1" applyBorder="1" applyAlignment="1"/>
    <xf numFmtId="15" fontId="2" fillId="0" borderId="0" xfId="0" applyNumberFormat="1" applyFont="1" applyFill="1" applyBorder="1" applyAlignment="1">
      <alignment horizontal="left"/>
    </xf>
    <xf numFmtId="169" fontId="2" fillId="0" borderId="0" xfId="0" applyNumberFormat="1" applyFont="1" applyFill="1" applyBorder="1"/>
    <xf numFmtId="0" fontId="2" fillId="11" borderId="0" xfId="0" applyFont="1" applyFill="1" applyBorder="1" applyAlignment="1"/>
    <xf numFmtId="43" fontId="2" fillId="0" borderId="0" xfId="1" applyFont="1" applyFill="1" applyBorder="1"/>
    <xf numFmtId="10" fontId="2" fillId="0" borderId="0" xfId="5" applyNumberFormat="1" applyFont="1" applyFill="1" applyBorder="1"/>
    <xf numFmtId="0" fontId="2" fillId="0" borderId="0" xfId="0" applyFont="1" applyFill="1" applyBorder="1" applyAlignment="1">
      <alignment horizontal="right"/>
    </xf>
    <xf numFmtId="0" fontId="2" fillId="0" borderId="0" xfId="3" applyNumberFormat="1" applyFont="1" applyFill="1" applyBorder="1" applyAlignment="1">
      <alignment horizontal="left"/>
    </xf>
    <xf numFmtId="171" fontId="2" fillId="0" borderId="0" xfId="3" applyNumberFormat="1" applyFont="1" applyFill="1" applyBorder="1"/>
    <xf numFmtId="0" fontId="2" fillId="0" borderId="0" xfId="3" applyNumberFormat="1" applyFont="1" applyFill="1" applyBorder="1"/>
    <xf numFmtId="168" fontId="2" fillId="0" borderId="0" xfId="2" applyFont="1" applyFill="1" applyBorder="1" applyAlignment="1">
      <alignment horizontal="left"/>
    </xf>
    <xf numFmtId="0" fontId="70" fillId="0" borderId="1" xfId="4" applyFont="1" applyFill="1" applyBorder="1" applyAlignment="1">
      <alignment horizontal="left" wrapText="1"/>
    </xf>
    <xf numFmtId="0" fontId="2" fillId="12" borderId="0" xfId="0" applyFont="1" applyFill="1" applyBorder="1" applyAlignment="1">
      <alignment horizontal="center"/>
    </xf>
    <xf numFmtId="169" fontId="2" fillId="12" borderId="0" xfId="0" applyNumberFormat="1" applyFont="1" applyFill="1" applyBorder="1"/>
    <xf numFmtId="0" fontId="2" fillId="12" borderId="0" xfId="0" applyFont="1" applyFill="1" applyBorder="1" applyAlignment="1"/>
    <xf numFmtId="0" fontId="2" fillId="6" borderId="0" xfId="0" applyFont="1" applyFill="1" applyBorder="1" applyAlignment="1">
      <alignment horizontal="center"/>
    </xf>
    <xf numFmtId="169" fontId="2" fillId="6" borderId="0" xfId="0" applyNumberFormat="1" applyFont="1" applyFill="1" applyBorder="1"/>
    <xf numFmtId="0" fontId="2" fillId="4" borderId="0" xfId="0" applyFont="1" applyFill="1" applyBorder="1"/>
    <xf numFmtId="1" fontId="43" fillId="7" borderId="0" xfId="1" applyNumberFormat="1" applyFont="1" applyFill="1" applyBorder="1" applyAlignment="1">
      <alignment horizontal="center" vertical="center"/>
    </xf>
    <xf numFmtId="9" fontId="2" fillId="0" borderId="0" xfId="5" applyFont="1" applyFill="1" applyBorder="1"/>
    <xf numFmtId="167" fontId="71" fillId="6" borderId="0" xfId="1" applyNumberFormat="1" applyFont="1" applyFill="1" applyBorder="1" applyAlignment="1">
      <alignment horizontal="center" vertical="center"/>
    </xf>
    <xf numFmtId="172" fontId="2" fillId="0" borderId="0" xfId="5" applyNumberFormat="1" applyFont="1" applyFill="1" applyBorder="1"/>
    <xf numFmtId="0" fontId="72" fillId="0" borderId="1" xfId="4" applyFont="1" applyFill="1" applyBorder="1" applyAlignment="1">
      <alignment horizontal="left" wrapText="1"/>
    </xf>
    <xf numFmtId="0" fontId="72" fillId="0" borderId="0" xfId="4" applyFont="1" applyFill="1" applyBorder="1" applyAlignment="1">
      <alignment horizontal="left" wrapText="1"/>
    </xf>
    <xf numFmtId="0" fontId="2" fillId="4" borderId="0" xfId="0" applyFont="1" applyFill="1" applyBorder="1" applyAlignment="1"/>
    <xf numFmtId="169" fontId="2" fillId="0" borderId="1" xfId="0" applyNumberFormat="1" applyFont="1" applyFill="1" applyBorder="1"/>
    <xf numFmtId="2" fontId="72" fillId="0" borderId="1" xfId="4" applyNumberFormat="1" applyFont="1" applyFill="1" applyBorder="1" applyAlignment="1">
      <alignment horizontal="right" wrapText="1"/>
    </xf>
    <xf numFmtId="2" fontId="72" fillId="0" borderId="0" xfId="4" applyNumberFormat="1" applyFont="1" applyFill="1" applyBorder="1" applyAlignment="1">
      <alignment horizontal="right" wrapText="1"/>
    </xf>
    <xf numFmtId="0" fontId="2" fillId="6" borderId="0" xfId="0" applyFont="1" applyFill="1" applyBorder="1" applyAlignment="1"/>
    <xf numFmtId="0" fontId="70" fillId="0" borderId="0" xfId="4" applyFont="1" applyFill="1" applyBorder="1" applyAlignment="1">
      <alignment horizontal="left" wrapText="1"/>
    </xf>
    <xf numFmtId="169" fontId="2" fillId="6" borderId="1" xfId="0" applyNumberFormat="1" applyFont="1" applyFill="1" applyBorder="1"/>
    <xf numFmtId="0" fontId="2" fillId="2" borderId="0" xfId="0" applyFont="1" applyFill="1" applyBorder="1" applyAlignment="1">
      <alignment horizontal="center"/>
    </xf>
    <xf numFmtId="169" fontId="2" fillId="2" borderId="0" xfId="0" applyNumberFormat="1" applyFont="1" applyFill="1" applyBorder="1"/>
    <xf numFmtId="0" fontId="2" fillId="2" borderId="0" xfId="0" applyFont="1" applyFill="1" applyBorder="1" applyAlignment="1"/>
    <xf numFmtId="0" fontId="34" fillId="0" borderId="0" xfId="0" applyFont="1" applyFill="1" applyBorder="1" applyAlignment="1">
      <alignment horizontal="left"/>
    </xf>
    <xf numFmtId="1" fontId="2" fillId="0" borderId="0" xfId="0" applyNumberFormat="1" applyFont="1" applyFill="1" applyBorder="1" applyAlignment="1"/>
    <xf numFmtId="0" fontId="2" fillId="13" borderId="0" xfId="0" applyFont="1" applyFill="1" applyBorder="1" applyAlignment="1">
      <alignment horizontal="center"/>
    </xf>
    <xf numFmtId="169" fontId="2" fillId="13" borderId="0" xfId="0" applyNumberFormat="1" applyFont="1" applyFill="1" applyBorder="1"/>
    <xf numFmtId="1" fontId="2" fillId="12" borderId="0" xfId="0" applyNumberFormat="1" applyFont="1" applyFill="1" applyBorder="1"/>
    <xf numFmtId="167" fontId="2" fillId="12" borderId="0" xfId="0" applyNumberFormat="1" applyFont="1" applyFill="1" applyBorder="1"/>
    <xf numFmtId="0" fontId="70" fillId="14" borderId="0" xfId="4" applyFont="1" applyFill="1" applyBorder="1" applyAlignment="1">
      <alignment horizontal="left" wrapText="1"/>
    </xf>
    <xf numFmtId="0" fontId="70" fillId="14" borderId="1" xfId="4" applyFont="1" applyFill="1" applyBorder="1" applyAlignment="1">
      <alignment horizontal="left" wrapText="1"/>
    </xf>
    <xf numFmtId="0" fontId="73" fillId="14" borderId="1" xfId="4" applyFont="1" applyFill="1" applyBorder="1" applyAlignment="1">
      <alignment horizontal="left" wrapText="1"/>
    </xf>
    <xf numFmtId="0" fontId="2" fillId="15" borderId="0" xfId="0" applyFont="1" applyFill="1" applyBorder="1" applyAlignment="1">
      <alignment horizontal="center"/>
    </xf>
    <xf numFmtId="169" fontId="2" fillId="15" borderId="1" xfId="0" applyNumberFormat="1" applyFont="1" applyFill="1" applyBorder="1"/>
    <xf numFmtId="0" fontId="70" fillId="16" borderId="1" xfId="4" applyFont="1" applyFill="1" applyBorder="1" applyAlignment="1">
      <alignment horizontal="left" wrapText="1"/>
    </xf>
    <xf numFmtId="0" fontId="70" fillId="16" borderId="0" xfId="4" applyFont="1" applyFill="1" applyBorder="1" applyAlignment="1">
      <alignment horizontal="left" wrapText="1"/>
    </xf>
    <xf numFmtId="0" fontId="73" fillId="16" borderId="0" xfId="4" applyFont="1" applyFill="1" applyBorder="1" applyAlignment="1">
      <alignment horizontal="left" wrapText="1"/>
    </xf>
    <xf numFmtId="0" fontId="2" fillId="10" borderId="0" xfId="0" applyFont="1" applyFill="1" applyBorder="1" applyAlignment="1">
      <alignment horizontal="center"/>
    </xf>
    <xf numFmtId="169" fontId="2" fillId="10" borderId="0" xfId="0" applyNumberFormat="1" applyFont="1" applyFill="1" applyBorder="1"/>
    <xf numFmtId="169" fontId="2" fillId="10" borderId="1" xfId="0" applyNumberFormat="1" applyFont="1" applyFill="1" applyBorder="1"/>
    <xf numFmtId="0" fontId="70" fillId="17" borderId="0" xfId="4" applyFont="1" applyFill="1" applyBorder="1" applyAlignment="1">
      <alignment horizontal="left" wrapText="1"/>
    </xf>
    <xf numFmtId="0" fontId="70" fillId="17" borderId="1" xfId="4" applyFont="1" applyFill="1" applyBorder="1" applyAlignment="1">
      <alignment horizontal="left" wrapText="1"/>
    </xf>
    <xf numFmtId="0" fontId="2" fillId="10" borderId="0" xfId="0" applyFont="1" applyFill="1" applyBorder="1" applyAlignment="1">
      <alignment horizontal="left"/>
    </xf>
    <xf numFmtId="0" fontId="74" fillId="17" borderId="0" xfId="4" applyFont="1" applyFill="1" applyBorder="1" applyAlignment="1">
      <alignment horizontal="left" wrapText="1"/>
    </xf>
    <xf numFmtId="0" fontId="2" fillId="18" borderId="0" xfId="0" applyFont="1" applyFill="1" applyBorder="1" applyAlignment="1">
      <alignment horizontal="center"/>
    </xf>
    <xf numFmtId="169" fontId="2" fillId="18" borderId="1" xfId="0" applyNumberFormat="1" applyFont="1" applyFill="1" applyBorder="1"/>
    <xf numFmtId="0" fontId="70" fillId="19" borderId="1" xfId="4" applyFont="1" applyFill="1" applyBorder="1" applyAlignment="1">
      <alignment horizontal="left" wrapText="1"/>
    </xf>
    <xf numFmtId="169" fontId="2" fillId="18" borderId="0" xfId="0" applyNumberFormat="1" applyFont="1" applyFill="1" applyBorder="1"/>
    <xf numFmtId="0" fontId="70" fillId="19" borderId="0" xfId="4" applyFont="1" applyFill="1" applyBorder="1" applyAlignment="1">
      <alignment horizontal="left" wrapText="1"/>
    </xf>
    <xf numFmtId="0" fontId="73" fillId="19" borderId="0" xfId="4" applyFont="1" applyFill="1" applyBorder="1" applyAlignment="1">
      <alignment horizontal="left" wrapText="1"/>
    </xf>
    <xf numFmtId="0" fontId="2" fillId="7" borderId="0" xfId="0" applyFont="1" applyFill="1" applyBorder="1" applyAlignment="1">
      <alignment horizontal="center"/>
    </xf>
    <xf numFmtId="169" fontId="2" fillId="7" borderId="0" xfId="0" applyNumberFormat="1" applyFont="1" applyFill="1" applyBorder="1"/>
    <xf numFmtId="169" fontId="2" fillId="7" borderId="1" xfId="0" applyNumberFormat="1" applyFont="1" applyFill="1" applyBorder="1"/>
    <xf numFmtId="0" fontId="70" fillId="20" borderId="0" xfId="4" applyFont="1" applyFill="1" applyBorder="1" applyAlignment="1">
      <alignment horizontal="left" wrapText="1"/>
    </xf>
    <xf numFmtId="0" fontId="70" fillId="20" borderId="1" xfId="4" applyFont="1" applyFill="1" applyBorder="1" applyAlignment="1">
      <alignment horizontal="left" wrapText="1"/>
    </xf>
    <xf numFmtId="0" fontId="34" fillId="3" borderId="0" xfId="0" applyFont="1" applyFill="1" applyBorder="1" applyAlignment="1">
      <alignment horizontal="left"/>
    </xf>
    <xf numFmtId="0" fontId="2" fillId="3" borderId="0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left"/>
    </xf>
    <xf numFmtId="0" fontId="0" fillId="21" borderId="0" xfId="0" applyFill="1"/>
    <xf numFmtId="0" fontId="3" fillId="0" borderId="0" xfId="0" applyFont="1" applyFill="1" applyAlignment="1">
      <alignment horizontal="left"/>
    </xf>
    <xf numFmtId="0" fontId="39" fillId="0" borderId="0" xfId="0" applyFont="1" applyFill="1"/>
    <xf numFmtId="0" fontId="37" fillId="0" borderId="3" xfId="0" applyFont="1" applyFill="1" applyBorder="1" applyAlignment="1" applyProtection="1">
      <alignment horizontal="center" vertical="center" wrapText="1"/>
      <protection locked="0" hidden="1"/>
    </xf>
    <xf numFmtId="0" fontId="29" fillId="0" borderId="0" xfId="0" applyFont="1" applyFill="1" applyBorder="1"/>
    <xf numFmtId="0" fontId="3" fillId="0" borderId="0" xfId="0" applyFont="1" applyFill="1" applyBorder="1" applyAlignment="1">
      <alignment horizontal="centerContinuous"/>
    </xf>
    <xf numFmtId="0" fontId="2" fillId="0" borderId="0" xfId="0" applyFont="1" applyFill="1" applyBorder="1" applyAlignment="1">
      <alignment horizontal="centerContinuous"/>
    </xf>
    <xf numFmtId="0" fontId="1" fillId="0" borderId="0" xfId="0" applyFont="1" applyFill="1"/>
    <xf numFmtId="0" fontId="42" fillId="0" borderId="0" xfId="0" applyFont="1" applyFill="1"/>
    <xf numFmtId="0" fontId="34" fillId="0" borderId="0" xfId="0" applyFont="1" applyFill="1" applyBorder="1"/>
    <xf numFmtId="0" fontId="0" fillId="0" borderId="0" xfId="0" applyFill="1" applyAlignment="1">
      <alignment horizontal="centerContinuous"/>
    </xf>
    <xf numFmtId="0" fontId="52" fillId="0" borderId="0" xfId="0" applyFont="1" applyFill="1" applyBorder="1"/>
    <xf numFmtId="0" fontId="0" fillId="0" borderId="0" xfId="0" applyFill="1" applyBorder="1" applyAlignment="1">
      <alignment horizontal="centerContinuous"/>
    </xf>
    <xf numFmtId="0" fontId="39" fillId="0" borderId="0" xfId="0" applyFont="1" applyFill="1" applyBorder="1"/>
    <xf numFmtId="0" fontId="1" fillId="0" borderId="0" xfId="0" applyFont="1" applyFill="1" applyBorder="1"/>
    <xf numFmtId="0" fontId="37" fillId="0" borderId="0" xfId="0" applyFont="1" applyFill="1" applyBorder="1" applyAlignment="1" applyProtection="1">
      <alignment horizontal="center" vertical="center" wrapText="1"/>
      <protection locked="0" hidden="1"/>
    </xf>
    <xf numFmtId="0" fontId="39" fillId="0" borderId="0" xfId="0" applyFont="1" applyFill="1" applyAlignment="1">
      <alignment horizontal="centerContinuous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3" fillId="0" borderId="0" xfId="0" applyFont="1" applyFill="1" applyAlignment="1">
      <alignment wrapText="1"/>
    </xf>
    <xf numFmtId="0" fontId="39" fillId="0" borderId="0" xfId="0" applyFont="1" applyFill="1" applyBorder="1" applyAlignment="1">
      <alignment horizontal="left"/>
    </xf>
    <xf numFmtId="0" fontId="39" fillId="0" borderId="0" xfId="0" applyFont="1" applyFill="1" applyAlignment="1">
      <alignment horizontal="left" vertical="center"/>
    </xf>
    <xf numFmtId="0" fontId="16" fillId="0" borderId="0" xfId="0" applyFont="1" applyFill="1" applyBorder="1" applyAlignment="1">
      <alignment horizontal="center"/>
    </xf>
    <xf numFmtId="0" fontId="43" fillId="7" borderId="0" xfId="0" applyFont="1" applyFill="1"/>
    <xf numFmtId="2" fontId="75" fillId="0" borderId="0" xfId="0" applyNumberFormat="1" applyFont="1" applyFill="1" applyBorder="1" applyAlignment="1">
      <alignment horizontal="center"/>
    </xf>
    <xf numFmtId="167" fontId="0" fillId="0" borderId="0" xfId="0" applyNumberFormat="1"/>
    <xf numFmtId="2" fontId="0" fillId="0" borderId="0" xfId="0" applyNumberFormat="1"/>
    <xf numFmtId="0" fontId="29" fillId="0" borderId="0" xfId="0" applyFont="1" applyFill="1" applyAlignment="1">
      <alignment horizontal="centerContinuous"/>
    </xf>
    <xf numFmtId="0" fontId="2" fillId="0" borderId="0" xfId="0" applyFont="1" applyFill="1" applyAlignment="1">
      <alignment horizontal="centerContinuous"/>
    </xf>
    <xf numFmtId="0" fontId="40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 applyBorder="1" applyAlignment="1">
      <alignment horizontal="right"/>
    </xf>
    <xf numFmtId="0" fontId="76" fillId="0" borderId="0" xfId="0" applyFont="1"/>
    <xf numFmtId="2" fontId="76" fillId="0" borderId="0" xfId="0" applyNumberFormat="1" applyFont="1" applyFill="1" applyBorder="1" applyAlignment="1">
      <alignment horizontal="center"/>
    </xf>
    <xf numFmtId="0" fontId="76" fillId="0" borderId="0" xfId="0" applyFont="1" applyFill="1" applyBorder="1" applyAlignment="1">
      <alignment horizontal="center"/>
    </xf>
    <xf numFmtId="0" fontId="76" fillId="0" borderId="0" xfId="0" applyFont="1" applyFill="1" applyAlignment="1">
      <alignment horizontal="center"/>
    </xf>
    <xf numFmtId="0" fontId="77" fillId="7" borderId="0" xfId="0" applyFont="1" applyFill="1" applyBorder="1" applyAlignment="1">
      <alignment horizontal="center"/>
    </xf>
    <xf numFmtId="0" fontId="16" fillId="10" borderId="0" xfId="0" applyFont="1" applyFill="1"/>
    <xf numFmtId="0" fontId="41" fillId="6" borderId="0" xfId="0" applyFont="1" applyFill="1" applyBorder="1" applyAlignment="1">
      <alignment horizontal="center"/>
    </xf>
    <xf numFmtId="0" fontId="2" fillId="10" borderId="0" xfId="0" applyFont="1" applyFill="1" applyBorder="1"/>
    <xf numFmtId="1" fontId="2" fillId="10" borderId="0" xfId="0" applyNumberFormat="1" applyFont="1" applyFill="1" applyBorder="1" applyAlignment="1">
      <alignment horizontal="right"/>
    </xf>
    <xf numFmtId="2" fontId="43" fillId="7" borderId="0" xfId="0" applyNumberFormat="1" applyFont="1" applyFill="1" applyBorder="1" applyAlignment="1">
      <alignment horizontal="center"/>
    </xf>
    <xf numFmtId="0" fontId="78" fillId="0" borderId="0" xfId="0" applyFont="1" applyFill="1" applyBorder="1" applyAlignment="1">
      <alignment horizontal="center"/>
    </xf>
    <xf numFmtId="0" fontId="79" fillId="6" borderId="0" xfId="0" applyFont="1" applyFill="1" applyBorder="1" applyAlignment="1">
      <alignment horizontal="center"/>
    </xf>
    <xf numFmtId="0" fontId="2" fillId="10" borderId="0" xfId="0" applyFont="1" applyFill="1"/>
    <xf numFmtId="1" fontId="79" fillId="6" borderId="0" xfId="0" applyNumberFormat="1" applyFont="1" applyFill="1" applyBorder="1" applyAlignment="1">
      <alignment horizontal="center"/>
    </xf>
    <xf numFmtId="0" fontId="2" fillId="10" borderId="0" xfId="0" applyFont="1" applyFill="1" applyBorder="1" applyAlignment="1">
      <alignment horizontal="right"/>
    </xf>
    <xf numFmtId="1" fontId="2" fillId="10" borderId="0" xfId="0" applyNumberFormat="1" applyFont="1" applyFill="1"/>
    <xf numFmtId="1" fontId="2" fillId="0" borderId="0" xfId="0" applyNumberFormat="1" applyFont="1" applyFill="1" applyBorder="1" applyAlignment="1">
      <alignment horizontal="center"/>
    </xf>
    <xf numFmtId="2" fontId="2" fillId="10" borderId="0" xfId="0" applyNumberFormat="1" applyFont="1" applyFill="1" applyBorder="1"/>
    <xf numFmtId="2" fontId="2" fillId="10" borderId="0" xfId="0" applyNumberFormat="1" applyFont="1" applyFill="1" applyBorder="1" applyAlignment="1">
      <alignment horizontal="right"/>
    </xf>
    <xf numFmtId="2" fontId="79" fillId="6" borderId="0" xfId="0" applyNumberFormat="1" applyFont="1" applyFill="1" applyBorder="1" applyAlignment="1">
      <alignment horizontal="center"/>
    </xf>
    <xf numFmtId="0" fontId="2" fillId="10" borderId="0" xfId="0" applyFont="1" applyFill="1" applyAlignment="1">
      <alignment horizontal="right"/>
    </xf>
    <xf numFmtId="2" fontId="77" fillId="7" borderId="0" xfId="0" applyNumberFormat="1" applyFont="1" applyFill="1" applyBorder="1" applyAlignment="1">
      <alignment horizontal="center"/>
    </xf>
    <xf numFmtId="0" fontId="41" fillId="10" borderId="0" xfId="0" applyFont="1" applyFill="1" applyBorder="1" applyAlignment="1">
      <alignment horizontal="center"/>
    </xf>
    <xf numFmtId="0" fontId="41" fillId="10" borderId="0" xfId="0" applyFont="1" applyFill="1" applyAlignment="1">
      <alignment horizontal="center"/>
    </xf>
    <xf numFmtId="0" fontId="34" fillId="0" borderId="0" xfId="0" applyFont="1" applyAlignment="1">
      <alignment horizontal="center"/>
    </xf>
    <xf numFmtId="0" fontId="61" fillId="6" borderId="0" xfId="0" applyFont="1" applyFill="1" applyAlignment="1">
      <alignment horizontal="center"/>
    </xf>
    <xf numFmtId="0" fontId="0" fillId="22" borderId="0" xfId="0" applyFill="1"/>
    <xf numFmtId="0" fontId="80" fillId="23" borderId="0" xfId="0" applyFont="1" applyFill="1" applyAlignment="1">
      <alignment horizontal="center"/>
    </xf>
    <xf numFmtId="0" fontId="80" fillId="23" borderId="0" xfId="0" applyFont="1" applyFill="1" applyBorder="1" applyAlignment="1">
      <alignment horizontal="center"/>
    </xf>
    <xf numFmtId="0" fontId="0" fillId="22" borderId="0" xfId="0" applyFill="1" applyBorder="1" applyAlignment="1">
      <alignment horizontal="center"/>
    </xf>
    <xf numFmtId="0" fontId="2" fillId="22" borderId="0" xfId="0" applyFont="1" applyFill="1" applyBorder="1" applyAlignment="1">
      <alignment horizontal="center"/>
    </xf>
    <xf numFmtId="2" fontId="0" fillId="22" borderId="0" xfId="0" applyNumberFormat="1" applyFill="1"/>
    <xf numFmtId="2" fontId="2" fillId="22" borderId="0" xfId="0" applyNumberFormat="1" applyFont="1" applyFill="1" applyBorder="1" applyAlignment="1">
      <alignment horizontal="center"/>
    </xf>
    <xf numFmtId="2" fontId="80" fillId="23" borderId="0" xfId="0" applyNumberFormat="1" applyFont="1" applyFill="1" applyBorder="1" applyAlignment="1">
      <alignment horizontal="center"/>
    </xf>
    <xf numFmtId="0" fontId="37" fillId="6" borderId="0" xfId="0" applyFont="1" applyFill="1" applyBorder="1" applyAlignment="1">
      <alignment horizontal="center"/>
    </xf>
    <xf numFmtId="0" fontId="29" fillId="0" borderId="0" xfId="0" applyFont="1"/>
    <xf numFmtId="2" fontId="34" fillId="0" borderId="0" xfId="0" applyNumberFormat="1" applyFont="1" applyAlignment="1">
      <alignment horizontal="center"/>
    </xf>
    <xf numFmtId="2" fontId="34" fillId="0" borderId="0" xfId="0" applyNumberFormat="1" applyFont="1" applyFill="1" applyBorder="1" applyAlignment="1">
      <alignment horizontal="center"/>
    </xf>
    <xf numFmtId="0" fontId="78" fillId="0" borderId="0" xfId="0" applyFont="1"/>
    <xf numFmtId="0" fontId="0" fillId="22" borderId="0" xfId="0" applyFill="1" applyAlignment="1">
      <alignment horizontal="center"/>
    </xf>
    <xf numFmtId="2" fontId="0" fillId="22" borderId="0" xfId="0" applyNumberFormat="1" applyFill="1" applyAlignment="1">
      <alignment horizontal="center"/>
    </xf>
    <xf numFmtId="1" fontId="2" fillId="22" borderId="0" xfId="0" applyNumberFormat="1" applyFont="1" applyFill="1" applyBorder="1" applyAlignment="1">
      <alignment horizontal="center"/>
    </xf>
    <xf numFmtId="0" fontId="29" fillId="0" borderId="0" xfId="0" applyFont="1" applyFill="1"/>
    <xf numFmtId="0" fontId="34" fillId="0" borderId="0" xfId="0" applyFont="1" applyFill="1" applyAlignment="1">
      <alignment horizontal="center"/>
    </xf>
    <xf numFmtId="2" fontId="3" fillId="0" borderId="0" xfId="0" applyNumberFormat="1" applyFont="1" applyFill="1" applyBorder="1" applyAlignment="1">
      <alignment horizontal="center"/>
    </xf>
    <xf numFmtId="0" fontId="29" fillId="0" borderId="0" xfId="0" applyFont="1" applyFill="1" applyAlignment="1">
      <alignment horizontal="center"/>
    </xf>
    <xf numFmtId="0" fontId="81" fillId="7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52" fillId="0" borderId="0" xfId="0" applyFont="1"/>
    <xf numFmtId="2" fontId="43" fillId="24" borderId="0" xfId="0" applyNumberFormat="1" applyFont="1" applyFill="1"/>
    <xf numFmtId="2" fontId="43" fillId="24" borderId="0" xfId="0" applyNumberFormat="1" applyFont="1" applyFill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36" fillId="0" borderId="0" xfId="0" applyFont="1" applyFill="1" applyAlignment="1">
      <alignment vertical="center"/>
    </xf>
    <xf numFmtId="0" fontId="36" fillId="0" borderId="0" xfId="0" applyFont="1" applyFill="1" applyAlignment="1">
      <alignment horizontal="center"/>
    </xf>
    <xf numFmtId="0" fontId="39" fillId="0" borderId="0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/>
    </xf>
    <xf numFmtId="0" fontId="40" fillId="0" borderId="0" xfId="0" applyFont="1" applyFill="1" applyAlignment="1">
      <alignment horizontal="centerContinuous"/>
    </xf>
    <xf numFmtId="1" fontId="0" fillId="0" borderId="0" xfId="0" applyNumberFormat="1"/>
    <xf numFmtId="0" fontId="29" fillId="0" borderId="0" xfId="0" applyFont="1" applyFill="1" applyBorder="1" applyAlignment="1"/>
    <xf numFmtId="0" fontId="3" fillId="0" borderId="0" xfId="0" applyFont="1" applyFill="1" applyBorder="1"/>
    <xf numFmtId="2" fontId="2" fillId="0" borderId="0" xfId="0" applyNumberFormat="1" applyFont="1" applyFill="1" applyBorder="1"/>
    <xf numFmtId="167" fontId="3" fillId="0" borderId="0" xfId="0" applyNumberFormat="1" applyFont="1" applyFill="1" applyBorder="1"/>
    <xf numFmtId="1" fontId="2" fillId="0" borderId="0" xfId="0" applyNumberFormat="1" applyFont="1" applyFill="1" applyBorder="1"/>
    <xf numFmtId="0" fontId="29" fillId="0" borderId="0" xfId="0" applyFont="1" applyAlignment="1">
      <alignment horizontal="center"/>
    </xf>
    <xf numFmtId="0" fontId="46" fillId="6" borderId="0" xfId="0" applyFont="1" applyFill="1"/>
    <xf numFmtId="0" fontId="10" fillId="0" borderId="0" xfId="0" applyFont="1" applyFill="1" applyBorder="1" applyAlignment="1">
      <alignment horizontal="center"/>
    </xf>
    <xf numFmtId="0" fontId="40" fillId="0" borderId="0" xfId="0" applyFont="1" applyAlignment="1"/>
    <xf numFmtId="0" fontId="16" fillId="0" borderId="0" xfId="0" applyFont="1" applyAlignment="1">
      <alignment horizontal="center"/>
    </xf>
    <xf numFmtId="0" fontId="3" fillId="0" borderId="0" xfId="0" applyFont="1" applyFill="1"/>
    <xf numFmtId="0" fontId="10" fillId="0" borderId="0" xfId="0" applyFont="1"/>
    <xf numFmtId="1" fontId="3" fillId="0" borderId="0" xfId="0" applyNumberFormat="1" applyFont="1" applyFill="1"/>
    <xf numFmtId="0" fontId="10" fillId="0" borderId="0" xfId="0" applyFont="1" applyAlignment="1">
      <alignment horizontal="center"/>
    </xf>
    <xf numFmtId="0" fontId="80" fillId="0" borderId="0" xfId="0" applyFont="1" applyAlignment="1">
      <alignment horizontal="center"/>
    </xf>
    <xf numFmtId="0" fontId="3" fillId="0" borderId="0" xfId="0" applyFont="1"/>
    <xf numFmtId="2" fontId="0" fillId="0" borderId="0" xfId="0" applyNumberFormat="1" applyAlignment="1">
      <alignment horizontal="center"/>
    </xf>
    <xf numFmtId="0" fontId="41" fillId="6" borderId="0" xfId="0" applyFont="1" applyFill="1" applyAlignment="1">
      <alignment horizontal="center"/>
    </xf>
    <xf numFmtId="167" fontId="3" fillId="0" borderId="0" xfId="0" applyNumberFormat="1" applyFont="1" applyFill="1"/>
    <xf numFmtId="0" fontId="82" fillId="0" borderId="0" xfId="0" applyFont="1"/>
    <xf numFmtId="0" fontId="82" fillId="0" borderId="0" xfId="0" applyFont="1" applyAlignment="1">
      <alignment horizontal="center"/>
    </xf>
    <xf numFmtId="2" fontId="48" fillId="25" borderId="0" xfId="0" applyNumberFormat="1" applyFont="1" applyFill="1"/>
    <xf numFmtId="2" fontId="48" fillId="25" borderId="0" xfId="0" applyNumberFormat="1" applyFont="1" applyFill="1" applyAlignment="1">
      <alignment horizontal="center"/>
    </xf>
    <xf numFmtId="0" fontId="47" fillId="0" borderId="0" xfId="0" applyFont="1" applyFill="1" applyBorder="1"/>
    <xf numFmtId="0" fontId="47" fillId="2" borderId="0" xfId="0" applyFont="1" applyFill="1"/>
    <xf numFmtId="0" fontId="80" fillId="0" borderId="0" xfId="0" applyFont="1"/>
    <xf numFmtId="2" fontId="80" fillId="22" borderId="0" xfId="0" applyNumberFormat="1" applyFont="1" applyFill="1"/>
    <xf numFmtId="2" fontId="80" fillId="22" borderId="0" xfId="0" applyNumberFormat="1" applyFont="1" applyFill="1" applyAlignment="1">
      <alignment horizontal="center"/>
    </xf>
    <xf numFmtId="0" fontId="80" fillId="22" borderId="0" xfId="0" applyFont="1" applyFill="1" applyAlignment="1">
      <alignment horizontal="center"/>
    </xf>
    <xf numFmtId="0" fontId="80" fillId="22" borderId="0" xfId="0" applyFont="1" applyFill="1"/>
    <xf numFmtId="0" fontId="80" fillId="0" borderId="0" xfId="0" applyFont="1" applyFill="1" applyBorder="1"/>
    <xf numFmtId="0" fontId="29" fillId="0" borderId="0" xfId="0" applyFont="1" applyFill="1" applyAlignment="1"/>
    <xf numFmtId="0" fontId="78" fillId="6" borderId="23" xfId="0" applyFont="1" applyFill="1" applyBorder="1"/>
    <xf numFmtId="0" fontId="78" fillId="6" borderId="20" xfId="0" applyFont="1" applyFill="1" applyBorder="1"/>
    <xf numFmtId="0" fontId="2" fillId="26" borderId="20" xfId="0" applyFont="1" applyFill="1" applyBorder="1"/>
    <xf numFmtId="0" fontId="2" fillId="26" borderId="21" xfId="0" applyFont="1" applyFill="1" applyBorder="1"/>
    <xf numFmtId="0" fontId="83" fillId="6" borderId="16" xfId="0" applyFont="1" applyFill="1" applyBorder="1"/>
    <xf numFmtId="0" fontId="83" fillId="6" borderId="0" xfId="0" applyFont="1" applyFill="1" applyBorder="1"/>
    <xf numFmtId="0" fontId="2" fillId="26" borderId="0" xfId="0" applyFont="1" applyFill="1" applyBorder="1"/>
    <xf numFmtId="1" fontId="85" fillId="9" borderId="17" xfId="0" applyNumberFormat="1" applyFont="1" applyFill="1" applyBorder="1" applyAlignment="1">
      <alignment horizontal="center"/>
    </xf>
    <xf numFmtId="0" fontId="83" fillId="6" borderId="6" xfId="0" applyFont="1" applyFill="1" applyBorder="1"/>
    <xf numFmtId="0" fontId="83" fillId="6" borderId="7" xfId="0" applyFont="1" applyFill="1" applyBorder="1"/>
    <xf numFmtId="0" fontId="2" fillId="26" borderId="7" xfId="0" applyFont="1" applyFill="1" applyBorder="1"/>
    <xf numFmtId="1" fontId="85" fillId="9" borderId="22" xfId="0" applyNumberFormat="1" applyFont="1" applyFill="1" applyBorder="1" applyAlignment="1">
      <alignment horizontal="center"/>
    </xf>
    <xf numFmtId="1" fontId="83" fillId="0" borderId="0" xfId="0" applyNumberFormat="1" applyFont="1" applyFill="1" applyBorder="1"/>
    <xf numFmtId="0" fontId="78" fillId="6" borderId="6" xfId="0" applyFont="1" applyFill="1" applyBorder="1"/>
    <xf numFmtId="0" fontId="78" fillId="6" borderId="7" xfId="0" applyFont="1" applyFill="1" applyBorder="1"/>
    <xf numFmtId="0" fontId="85" fillId="9" borderId="22" xfId="0" applyFont="1" applyFill="1" applyBorder="1" applyAlignment="1">
      <alignment horizontal="center"/>
    </xf>
    <xf numFmtId="0" fontId="2" fillId="6" borderId="6" xfId="0" applyFont="1" applyFill="1" applyBorder="1"/>
    <xf numFmtId="0" fontId="2" fillId="6" borderId="7" xfId="0" applyFont="1" applyFill="1" applyBorder="1"/>
    <xf numFmtId="0" fontId="2" fillId="6" borderId="16" xfId="0" applyFont="1" applyFill="1" applyBorder="1"/>
    <xf numFmtId="0" fontId="2" fillId="6" borderId="0" xfId="0" applyFont="1" applyFill="1" applyBorder="1"/>
    <xf numFmtId="0" fontId="78" fillId="6" borderId="0" xfId="0" applyFont="1" applyFill="1" applyBorder="1"/>
    <xf numFmtId="0" fontId="2" fillId="6" borderId="24" xfId="0" applyFont="1" applyFill="1" applyBorder="1"/>
    <xf numFmtId="0" fontId="2" fillId="6" borderId="18" xfId="0" applyFont="1" applyFill="1" applyBorder="1"/>
    <xf numFmtId="0" fontId="78" fillId="6" borderId="18" xfId="0" applyFont="1" applyFill="1" applyBorder="1"/>
    <xf numFmtId="0" fontId="2" fillId="26" borderId="18" xfId="0" applyFont="1" applyFill="1" applyBorder="1"/>
    <xf numFmtId="1" fontId="85" fillId="9" borderId="25" xfId="0" applyNumberFormat="1" applyFont="1" applyFill="1" applyBorder="1" applyAlignment="1">
      <alignment horizontal="center"/>
    </xf>
    <xf numFmtId="0" fontId="2" fillId="0" borderId="0" xfId="0" applyNumberFormat="1" applyFont="1" applyFill="1" applyBorder="1"/>
    <xf numFmtId="0" fontId="2" fillId="2" borderId="0" xfId="0" applyFont="1" applyFill="1" applyBorder="1"/>
    <xf numFmtId="0" fontId="78" fillId="6" borderId="14" xfId="0" applyFont="1" applyFill="1" applyBorder="1" applyAlignment="1">
      <alignment horizontal="center"/>
    </xf>
    <xf numFmtId="0" fontId="87" fillId="0" borderId="0" xfId="0" applyFont="1" applyFill="1" applyBorder="1"/>
    <xf numFmtId="0" fontId="87" fillId="2" borderId="0" xfId="0" applyFont="1" applyFill="1" applyBorder="1" applyAlignment="1">
      <alignment horizontal="center"/>
    </xf>
    <xf numFmtId="0" fontId="88" fillId="6" borderId="16" xfId="0" applyFont="1" applyFill="1" applyBorder="1" applyAlignment="1">
      <alignment horizontal="center"/>
    </xf>
    <xf numFmtId="0" fontId="89" fillId="18" borderId="0" xfId="0" applyFont="1" applyFill="1" applyBorder="1" applyAlignment="1">
      <alignment horizontal="center"/>
    </xf>
    <xf numFmtId="0" fontId="89" fillId="18" borderId="17" xfId="0" applyFont="1" applyFill="1" applyBorder="1" applyAlignment="1">
      <alignment horizontal="center"/>
    </xf>
    <xf numFmtId="0" fontId="88" fillId="6" borderId="0" xfId="0" applyFont="1" applyFill="1" applyBorder="1" applyAlignment="1">
      <alignment horizontal="center"/>
    </xf>
    <xf numFmtId="0" fontId="87" fillId="2" borderId="16" xfId="0" applyNumberFormat="1" applyFont="1" applyFill="1" applyBorder="1"/>
    <xf numFmtId="0" fontId="87" fillId="2" borderId="17" xfId="0" applyFont="1" applyFill="1" applyBorder="1"/>
    <xf numFmtId="0" fontId="87" fillId="2" borderId="16" xfId="0" applyFont="1" applyFill="1" applyBorder="1" applyAlignment="1">
      <alignment horizontal="center"/>
    </xf>
    <xf numFmtId="0" fontId="87" fillId="2" borderId="17" xfId="0" applyFont="1" applyFill="1" applyBorder="1" applyAlignment="1">
      <alignment horizontal="center"/>
    </xf>
    <xf numFmtId="2" fontId="2" fillId="2" borderId="0" xfId="0" applyNumberFormat="1" applyFont="1" applyFill="1" applyBorder="1" applyAlignment="1">
      <alignment horizontal="center"/>
    </xf>
    <xf numFmtId="0" fontId="78" fillId="6" borderId="16" xfId="0" applyFont="1" applyFill="1" applyBorder="1" applyAlignment="1">
      <alignment horizontal="center"/>
    </xf>
    <xf numFmtId="2" fontId="86" fillId="18" borderId="0" xfId="0" applyNumberFormat="1" applyFont="1" applyFill="1" applyBorder="1" applyAlignment="1">
      <alignment horizontal="center"/>
    </xf>
    <xf numFmtId="2" fontId="86" fillId="18" borderId="17" xfId="0" applyNumberFormat="1" applyFont="1" applyFill="1" applyBorder="1" applyAlignment="1">
      <alignment horizontal="center"/>
    </xf>
    <xf numFmtId="0" fontId="78" fillId="6" borderId="0" xfId="0" applyFont="1" applyFill="1" applyBorder="1" applyAlignment="1">
      <alignment horizontal="center"/>
    </xf>
    <xf numFmtId="0" fontId="2" fillId="2" borderId="16" xfId="0" applyNumberFormat="1" applyFont="1" applyFill="1" applyBorder="1" applyAlignment="1">
      <alignment horizontal="center"/>
    </xf>
    <xf numFmtId="167" fontId="80" fillId="18" borderId="17" xfId="0" applyNumberFormat="1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1" fontId="84" fillId="18" borderId="17" xfId="0" applyNumberFormat="1" applyFont="1" applyFill="1" applyBorder="1" applyAlignment="1">
      <alignment horizontal="center"/>
    </xf>
    <xf numFmtId="2" fontId="2" fillId="2" borderId="16" xfId="0" applyNumberFormat="1" applyFont="1" applyFill="1" applyBorder="1" applyAlignment="1">
      <alignment horizontal="center"/>
    </xf>
    <xf numFmtId="2" fontId="86" fillId="18" borderId="18" xfId="0" applyNumberFormat="1" applyFont="1" applyFill="1" applyBorder="1" applyAlignment="1">
      <alignment horizontal="center"/>
    </xf>
    <xf numFmtId="2" fontId="86" fillId="18" borderId="25" xfId="0" applyNumberFormat="1" applyFont="1" applyFill="1" applyBorder="1" applyAlignment="1">
      <alignment horizontal="center"/>
    </xf>
    <xf numFmtId="2" fontId="2" fillId="2" borderId="24" xfId="0" applyNumberFormat="1" applyFont="1" applyFill="1" applyBorder="1" applyAlignment="1">
      <alignment horizontal="center"/>
    </xf>
    <xf numFmtId="167" fontId="80" fillId="18" borderId="25" xfId="0" applyNumberFormat="1" applyFont="1" applyFill="1" applyBorder="1" applyAlignment="1">
      <alignment horizontal="center"/>
    </xf>
    <xf numFmtId="0" fontId="2" fillId="2" borderId="24" xfId="0" applyFont="1" applyFill="1" applyBorder="1" applyAlignment="1">
      <alignment horizontal="center"/>
    </xf>
    <xf numFmtId="1" fontId="84" fillId="18" borderId="25" xfId="0" applyNumberFormat="1" applyFont="1" applyFill="1" applyBorder="1" applyAlignment="1">
      <alignment horizontal="center"/>
    </xf>
    <xf numFmtId="1" fontId="38" fillId="6" borderId="5" xfId="0" applyNumberFormat="1" applyFont="1" applyFill="1" applyBorder="1" applyAlignment="1">
      <alignment horizontal="center"/>
    </xf>
    <xf numFmtId="0" fontId="29" fillId="0" borderId="0" xfId="0" applyFont="1" applyAlignment="1"/>
    <xf numFmtId="0" fontId="2" fillId="3" borderId="0" xfId="0" applyFont="1" applyFill="1"/>
    <xf numFmtId="0" fontId="64" fillId="2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Alignment="1">
      <alignment horizontal="left"/>
    </xf>
    <xf numFmtId="0" fontId="2" fillId="5" borderId="3" xfId="0" applyFont="1" applyFill="1" applyBorder="1" applyAlignment="1">
      <alignment horizontal="center"/>
    </xf>
    <xf numFmtId="0" fontId="3" fillId="0" borderId="26" xfId="0" applyFont="1" applyBorder="1"/>
    <xf numFmtId="0" fontId="0" fillId="6" borderId="14" xfId="0" applyFill="1" applyBorder="1" applyAlignment="1">
      <alignment horizontal="center"/>
    </xf>
    <xf numFmtId="0" fontId="16" fillId="6" borderId="15" xfId="0" applyFont="1" applyFill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78" fillId="0" borderId="0" xfId="0" applyFont="1" applyBorder="1" applyAlignment="1">
      <alignment horizontal="center"/>
    </xf>
    <xf numFmtId="0" fontId="0" fillId="6" borderId="17" xfId="0" applyFill="1" applyBorder="1" applyAlignment="1">
      <alignment horizontal="center"/>
    </xf>
    <xf numFmtId="0" fontId="3" fillId="0" borderId="28" xfId="0" applyFont="1" applyBorder="1" applyAlignment="1">
      <alignment horizontal="center"/>
    </xf>
    <xf numFmtId="2" fontId="75" fillId="6" borderId="18" xfId="0" applyNumberFormat="1" applyFont="1" applyFill="1" applyBorder="1" applyAlignment="1">
      <alignment horizontal="center"/>
    </xf>
    <xf numFmtId="2" fontId="75" fillId="6" borderId="25" xfId="0" applyNumberFormat="1" applyFont="1" applyFill="1" applyBorder="1" applyAlignment="1">
      <alignment horizontal="center"/>
    </xf>
    <xf numFmtId="2" fontId="75" fillId="6" borderId="17" xfId="0" applyNumberFormat="1" applyFont="1" applyFill="1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78" fillId="0" borderId="14" xfId="0" applyFont="1" applyFill="1" applyBorder="1" applyAlignment="1">
      <alignment horizontal="center"/>
    </xf>
    <xf numFmtId="0" fontId="0" fillId="6" borderId="15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90" fillId="0" borderId="28" xfId="0" applyFont="1" applyBorder="1" applyAlignment="1">
      <alignment horizontal="center"/>
    </xf>
    <xf numFmtId="0" fontId="90" fillId="0" borderId="27" xfId="0" applyFont="1" applyBorder="1" applyAlignment="1">
      <alignment horizontal="center"/>
    </xf>
    <xf numFmtId="0" fontId="90" fillId="0" borderId="26" xfId="0" applyFont="1" applyBorder="1" applyAlignment="1">
      <alignment horizontal="center"/>
    </xf>
    <xf numFmtId="0" fontId="3" fillId="0" borderId="27" xfId="0" applyFont="1" applyBorder="1"/>
    <xf numFmtId="0" fontId="3" fillId="0" borderId="28" xfId="0" applyFont="1" applyBorder="1"/>
    <xf numFmtId="2" fontId="80" fillId="6" borderId="18" xfId="0" applyNumberFormat="1" applyFont="1" applyFill="1" applyBorder="1" applyAlignment="1">
      <alignment horizontal="center"/>
    </xf>
    <xf numFmtId="0" fontId="78" fillId="0" borderId="16" xfId="0" applyFont="1" applyBorder="1" applyAlignment="1">
      <alignment horizontal="center"/>
    </xf>
    <xf numFmtId="2" fontId="75" fillId="6" borderId="24" xfId="0" applyNumberFormat="1" applyFont="1" applyFill="1" applyBorder="1" applyAlignment="1">
      <alignment horizontal="center"/>
    </xf>
    <xf numFmtId="2" fontId="75" fillId="6" borderId="5" xfId="0" applyNumberFormat="1" applyFont="1" applyFill="1" applyBorder="1" applyAlignment="1">
      <alignment horizontal="center"/>
    </xf>
    <xf numFmtId="1" fontId="2" fillId="0" borderId="0" xfId="0" applyNumberFormat="1" applyFont="1" applyFill="1"/>
    <xf numFmtId="0" fontId="0" fillId="0" borderId="29" xfId="0" applyBorder="1"/>
    <xf numFmtId="0" fontId="6" fillId="0" borderId="8" xfId="0" applyFont="1" applyFill="1" applyBorder="1" applyAlignment="1" applyProtection="1">
      <alignment horizontal="center"/>
      <protection locked="0"/>
    </xf>
    <xf numFmtId="0" fontId="14" fillId="0" borderId="0" xfId="0" applyFont="1" applyFill="1"/>
    <xf numFmtId="0" fontId="6" fillId="0" borderId="11" xfId="0" applyFont="1" applyBorder="1" applyAlignment="1" applyProtection="1">
      <alignment horizontal="center"/>
      <protection locked="0"/>
    </xf>
    <xf numFmtId="0" fontId="6" fillId="0" borderId="11" xfId="0" applyNumberFormat="1" applyFont="1" applyFill="1" applyBorder="1" applyAlignment="1" applyProtection="1">
      <alignment horizontal="center"/>
      <protection locked="0"/>
    </xf>
    <xf numFmtId="0" fontId="6" fillId="0" borderId="30" xfId="0" applyFont="1" applyFill="1" applyBorder="1" applyAlignment="1" applyProtection="1">
      <alignment horizontal="center"/>
      <protection locked="0"/>
    </xf>
    <xf numFmtId="0" fontId="6" fillId="0" borderId="30" xfId="0" applyFont="1" applyFill="1" applyBorder="1" applyAlignment="1" applyProtection="1">
      <alignment horizontal="center" vertical="center"/>
      <protection locked="0"/>
    </xf>
    <xf numFmtId="0" fontId="6" fillId="0" borderId="30" xfId="0" applyFont="1" applyFill="1" applyBorder="1" applyAlignment="1" applyProtection="1">
      <alignment horizontal="center" wrapText="1"/>
      <protection locked="0"/>
    </xf>
    <xf numFmtId="0" fontId="6" fillId="0" borderId="30" xfId="0" applyFont="1" applyFill="1" applyBorder="1" applyAlignment="1" applyProtection="1">
      <alignment horizontal="center" vertical="center" wrapText="1"/>
      <protection locked="0"/>
    </xf>
    <xf numFmtId="0" fontId="18" fillId="0" borderId="0" xfId="0" applyFont="1" applyBorder="1" applyAlignment="1" applyProtection="1">
      <protection locked="0"/>
    </xf>
    <xf numFmtId="0" fontId="19" fillId="0" borderId="0" xfId="0" applyFont="1" applyBorder="1" applyAlignment="1" applyProtection="1">
      <alignment vertical="center"/>
      <protection locked="0"/>
    </xf>
    <xf numFmtId="0" fontId="7" fillId="0" borderId="3" xfId="0" applyFont="1" applyBorder="1" applyAlignment="1" applyProtection="1">
      <alignment horizontal="right"/>
      <protection locked="0"/>
    </xf>
    <xf numFmtId="0" fontId="7" fillId="0" borderId="3" xfId="0" applyNumberFormat="1" applyFont="1" applyFill="1" applyBorder="1" applyAlignment="1" applyProtection="1">
      <alignment horizontal="right"/>
      <protection locked="0"/>
    </xf>
    <xf numFmtId="0" fontId="7" fillId="0" borderId="3" xfId="0" applyFont="1" applyBorder="1" applyAlignment="1" applyProtection="1">
      <alignment horizontal="right" vertical="center" wrapText="1"/>
      <protection locked="0"/>
    </xf>
    <xf numFmtId="0" fontId="0" fillId="0" borderId="31" xfId="0" applyBorder="1" applyAlignment="1" applyProtection="1">
      <alignment horizontal="center"/>
    </xf>
    <xf numFmtId="0" fontId="0" fillId="0" borderId="32" xfId="0" applyBorder="1" applyAlignment="1" applyProtection="1">
      <alignment horizontal="center"/>
    </xf>
    <xf numFmtId="0" fontId="0" fillId="0" borderId="4" xfId="0" applyBorder="1" applyProtection="1"/>
    <xf numFmtId="0" fontId="0" fillId="0" borderId="10" xfId="0" applyBorder="1" applyAlignment="1" applyProtection="1">
      <alignment horizontal="center"/>
    </xf>
    <xf numFmtId="2" fontId="27" fillId="0" borderId="33" xfId="0" applyNumberFormat="1" applyFont="1" applyBorder="1" applyProtection="1"/>
    <xf numFmtId="0" fontId="1" fillId="0" borderId="34" xfId="0" applyFont="1" applyFill="1" applyBorder="1"/>
    <xf numFmtId="0" fontId="14" fillId="0" borderId="0" xfId="0" applyFont="1" applyAlignment="1" applyProtection="1">
      <alignment horizontal="center" vertical="center"/>
      <protection locked="0"/>
    </xf>
    <xf numFmtId="0" fontId="7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 wrapText="1"/>
    </xf>
    <xf numFmtId="1" fontId="0" fillId="0" borderId="3" xfId="0" applyNumberFormat="1" applyBorder="1" applyProtection="1"/>
    <xf numFmtId="1" fontId="0" fillId="0" borderId="31" xfId="0" applyNumberFormat="1" applyBorder="1" applyProtection="1"/>
    <xf numFmtId="1" fontId="27" fillId="0" borderId="7" xfId="0" applyNumberFormat="1" applyFont="1" applyBorder="1" applyProtection="1"/>
    <xf numFmtId="1" fontId="0" fillId="0" borderId="32" xfId="0" applyNumberFormat="1" applyBorder="1" applyProtection="1"/>
    <xf numFmtId="1" fontId="0" fillId="0" borderId="33" xfId="0" applyNumberFormat="1" applyBorder="1" applyProtection="1"/>
    <xf numFmtId="1" fontId="0" fillId="0" borderId="4" xfId="0" applyNumberFormat="1" applyBorder="1" applyProtection="1"/>
    <xf numFmtId="1" fontId="0" fillId="0" borderId="7" xfId="0" applyNumberFormat="1" applyBorder="1" applyProtection="1"/>
    <xf numFmtId="0" fontId="3" fillId="0" borderId="7" xfId="0" applyFont="1" applyBorder="1" applyAlignment="1" applyProtection="1">
      <alignment horizontal="left"/>
    </xf>
    <xf numFmtId="0" fontId="3" fillId="0" borderId="0" xfId="0" applyFont="1" applyBorder="1"/>
    <xf numFmtId="0" fontId="28" fillId="0" borderId="0" xfId="0" applyFont="1"/>
    <xf numFmtId="0" fontId="18" fillId="0" borderId="4" xfId="0" applyFont="1" applyBorder="1" applyAlignment="1">
      <alignment horizontal="center" shrinkToFit="1"/>
    </xf>
    <xf numFmtId="0" fontId="6" fillId="0" borderId="3" xfId="0" applyFont="1" applyFill="1" applyBorder="1" applyAlignment="1">
      <alignment horizontal="center" shrinkToFit="1"/>
    </xf>
    <xf numFmtId="0" fontId="19" fillId="0" borderId="0" xfId="0" applyFont="1" applyBorder="1" applyAlignment="1">
      <alignment vertical="center" shrinkToFit="1"/>
    </xf>
    <xf numFmtId="0" fontId="7" fillId="9" borderId="7" xfId="0" applyFont="1" applyFill="1" applyBorder="1" applyAlignment="1" applyProtection="1">
      <alignment horizontal="right" vertical="center" wrapText="1"/>
      <protection locked="0"/>
    </xf>
    <xf numFmtId="0" fontId="14" fillId="0" borderId="0" xfId="0" applyFont="1" applyProtection="1">
      <protection locked="0"/>
    </xf>
    <xf numFmtId="0" fontId="18" fillId="0" borderId="0" xfId="0" applyFont="1" applyProtection="1">
      <protection locked="0"/>
    </xf>
    <xf numFmtId="0" fontId="7" fillId="2" borderId="3" xfId="0" applyFont="1" applyFill="1" applyBorder="1" applyAlignment="1" applyProtection="1">
      <alignment horizontal="center" vertical="center" wrapText="1"/>
      <protection locked="0"/>
    </xf>
    <xf numFmtId="0" fontId="7" fillId="2" borderId="11" xfId="0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vertical="center"/>
      <protection locked="0"/>
    </xf>
    <xf numFmtId="0" fontId="6" fillId="0" borderId="3" xfId="0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Border="1" applyAlignment="1" applyProtection="1">
      <alignment horizontal="center" vertical="center"/>
      <protection locked="0"/>
    </xf>
    <xf numFmtId="0" fontId="14" fillId="0" borderId="0" xfId="0" applyFont="1" applyFill="1" applyBorder="1" applyAlignment="1" applyProtection="1">
      <alignment horizontal="center" vertical="center"/>
      <protection locked="0"/>
    </xf>
    <xf numFmtId="0" fontId="14" fillId="0" borderId="0" xfId="0" applyFont="1" applyAlignment="1" applyProtection="1">
      <alignment wrapText="1"/>
      <protection locked="0"/>
    </xf>
    <xf numFmtId="0" fontId="14" fillId="0" borderId="0" xfId="0" applyFont="1" applyFill="1" applyBorder="1" applyProtection="1">
      <protection locked="0"/>
    </xf>
    <xf numFmtId="0" fontId="18" fillId="0" borderId="0" xfId="0" applyFont="1" applyBorder="1" applyProtection="1">
      <protection locked="0"/>
    </xf>
    <xf numFmtId="0" fontId="0" fillId="0" borderId="0" xfId="0" applyAlignment="1" applyProtection="1">
      <alignment wrapText="1"/>
      <protection locked="0"/>
    </xf>
    <xf numFmtId="0" fontId="3" fillId="0" borderId="0" xfId="0" applyFont="1" applyProtection="1"/>
    <xf numFmtId="1" fontId="0" fillId="0" borderId="8" xfId="0" applyNumberFormat="1" applyBorder="1" applyProtection="1"/>
    <xf numFmtId="0" fontId="7" fillId="0" borderId="0" xfId="0" applyFont="1" applyFill="1" applyAlignment="1">
      <alignment vertical="center"/>
    </xf>
    <xf numFmtId="0" fontId="19" fillId="0" borderId="0" xfId="0" applyFont="1" applyBorder="1" applyAlignment="1" applyProtection="1">
      <protection locked="0"/>
    </xf>
    <xf numFmtId="0" fontId="28" fillId="0" borderId="0" xfId="0" applyFont="1" applyBorder="1" applyAlignment="1">
      <alignment horizontal="center"/>
    </xf>
    <xf numFmtId="0" fontId="11" fillId="0" borderId="0" xfId="0" applyFont="1" applyBorder="1" applyAlignment="1" applyProtection="1">
      <alignment horizontal="center"/>
    </xf>
    <xf numFmtId="0" fontId="3" fillId="0" borderId="0" xfId="0" applyFont="1" applyBorder="1" applyAlignment="1" applyProtection="1">
      <alignment horizontal="center"/>
    </xf>
    <xf numFmtId="0" fontId="0" fillId="0" borderId="0" xfId="0" applyBorder="1" applyProtection="1"/>
    <xf numFmtId="2" fontId="0" fillId="0" borderId="0" xfId="0" applyNumberFormat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91" fillId="0" borderId="0" xfId="0" applyFont="1" applyBorder="1" applyAlignment="1" applyProtection="1">
      <alignment horizontal="center"/>
    </xf>
    <xf numFmtId="1" fontId="0" fillId="0" borderId="11" xfId="0" applyNumberFormat="1" applyBorder="1" applyProtection="1"/>
    <xf numFmtId="1" fontId="0" fillId="0" borderId="29" xfId="0" applyNumberFormat="1" applyBorder="1" applyProtection="1"/>
    <xf numFmtId="1" fontId="0" fillId="0" borderId="34" xfId="0" applyNumberFormat="1" applyBorder="1" applyProtection="1"/>
    <xf numFmtId="2" fontId="0" fillId="0" borderId="32" xfId="0" applyNumberFormat="1" applyBorder="1" applyAlignment="1" applyProtection="1">
      <alignment horizontal="center"/>
    </xf>
    <xf numFmtId="0" fontId="0" fillId="4" borderId="0" xfId="0" applyFill="1"/>
    <xf numFmtId="0" fontId="0" fillId="0" borderId="3" xfId="0" applyBorder="1" applyProtection="1"/>
    <xf numFmtId="0" fontId="28" fillId="0" borderId="0" xfId="0" applyFont="1" applyBorder="1" applyAlignment="1"/>
    <xf numFmtId="0" fontId="28" fillId="0" borderId="0" xfId="0" applyFont="1" applyBorder="1" applyAlignment="1">
      <alignment horizontal="right"/>
    </xf>
    <xf numFmtId="0" fontId="28" fillId="0" borderId="0" xfId="0" applyFont="1" applyBorder="1"/>
    <xf numFmtId="2" fontId="0" fillId="0" borderId="0" xfId="0" applyNumberFormat="1" applyBorder="1" applyProtection="1"/>
    <xf numFmtId="0" fontId="0" fillId="0" borderId="20" xfId="0" applyBorder="1" applyProtection="1"/>
    <xf numFmtId="0" fontId="5" fillId="0" borderId="0" xfId="0" applyFont="1" applyFill="1"/>
    <xf numFmtId="0" fontId="7" fillId="0" borderId="0" xfId="0" applyFont="1" applyFill="1" applyAlignment="1" applyProtection="1">
      <alignment vertical="center"/>
      <protection locked="0"/>
    </xf>
    <xf numFmtId="0" fontId="5" fillId="0" borderId="0" xfId="0" applyFont="1" applyFill="1" applyProtection="1">
      <protection locked="0"/>
    </xf>
    <xf numFmtId="0" fontId="13" fillId="0" borderId="0" xfId="0" applyFont="1" applyProtection="1"/>
    <xf numFmtId="0" fontId="36" fillId="0" borderId="0" xfId="0" applyFont="1" applyFill="1" applyAlignment="1" applyProtection="1">
      <alignment horizontal="center" vertical="center" wrapText="1"/>
    </xf>
    <xf numFmtId="0" fontId="37" fillId="0" borderId="0" xfId="0" applyFont="1" applyFill="1" applyBorder="1" applyAlignment="1" applyProtection="1">
      <alignment horizontal="center" vertical="center"/>
    </xf>
    <xf numFmtId="0" fontId="0" fillId="0" borderId="0" xfId="0" applyFill="1" applyProtection="1"/>
    <xf numFmtId="0" fontId="3" fillId="0" borderId="3" xfId="0" applyFont="1" applyBorder="1" applyAlignment="1" applyProtection="1">
      <alignment horizontal="center"/>
    </xf>
    <xf numFmtId="0" fontId="2" fillId="0" borderId="0" xfId="0" applyFont="1" applyFill="1" applyAlignment="1" applyProtection="1">
      <alignment vertical="center"/>
    </xf>
    <xf numFmtId="0" fontId="2" fillId="0" borderId="0" xfId="0" applyFont="1" applyFill="1" applyProtection="1"/>
    <xf numFmtId="0" fontId="1" fillId="0" borderId="3" xfId="0" applyFont="1" applyBorder="1" applyProtection="1"/>
    <xf numFmtId="0" fontId="1" fillId="2" borderId="3" xfId="0" applyFont="1" applyFill="1" applyBorder="1" applyProtection="1"/>
    <xf numFmtId="0" fontId="1" fillId="27" borderId="3" xfId="0" applyFont="1" applyFill="1" applyBorder="1" applyProtection="1"/>
    <xf numFmtId="0" fontId="37" fillId="0" borderId="3" xfId="0" applyFont="1" applyFill="1" applyBorder="1" applyAlignment="1" applyProtection="1">
      <alignment horizontal="center" vertical="center"/>
    </xf>
    <xf numFmtId="0" fontId="38" fillId="0" borderId="0" xfId="0" applyFont="1" applyFill="1" applyAlignment="1" applyProtection="1">
      <alignment horizontal="center"/>
    </xf>
    <xf numFmtId="0" fontId="1" fillId="0" borderId="31" xfId="0" applyFont="1" applyBorder="1" applyProtection="1"/>
    <xf numFmtId="0" fontId="1" fillId="2" borderId="31" xfId="0" applyFont="1" applyFill="1" applyBorder="1" applyProtection="1"/>
    <xf numFmtId="0" fontId="1" fillId="0" borderId="3" xfId="0" applyFont="1" applyFill="1" applyBorder="1" applyProtection="1"/>
    <xf numFmtId="0" fontId="36" fillId="0" borderId="0" xfId="0" applyFont="1" applyFill="1" applyAlignment="1" applyProtection="1">
      <alignment horizontal="center" vertical="center"/>
    </xf>
    <xf numFmtId="0" fontId="39" fillId="0" borderId="0" xfId="0" applyFont="1" applyFill="1" applyAlignment="1" applyProtection="1">
      <alignment horizontal="center"/>
    </xf>
    <xf numFmtId="2" fontId="39" fillId="0" borderId="0" xfId="0" applyNumberFormat="1" applyFont="1" applyFill="1" applyAlignment="1" applyProtection="1">
      <alignment horizontal="center"/>
    </xf>
    <xf numFmtId="0" fontId="37" fillId="5" borderId="3" xfId="0" applyFont="1" applyFill="1" applyBorder="1" applyAlignment="1" applyProtection="1">
      <alignment horizontal="center" vertical="center"/>
    </xf>
    <xf numFmtId="0" fontId="39" fillId="0" borderId="0" xfId="0" applyFont="1" applyFill="1" applyBorder="1" applyAlignment="1" applyProtection="1">
      <alignment horizontal="center"/>
    </xf>
    <xf numFmtId="0" fontId="36" fillId="0" borderId="0" xfId="0" applyFont="1" applyFill="1" applyBorder="1" applyAlignment="1" applyProtection="1">
      <alignment horizontal="center" vertical="center"/>
    </xf>
    <xf numFmtId="0" fontId="39" fillId="0" borderId="0" xfId="0" applyFont="1" applyFill="1" applyAlignment="1" applyProtection="1">
      <alignment vertical="center"/>
    </xf>
    <xf numFmtId="0" fontId="2" fillId="0" borderId="0" xfId="0" applyFont="1" applyFill="1" applyAlignment="1" applyProtection="1"/>
    <xf numFmtId="0" fontId="36" fillId="0" borderId="0" xfId="0" applyFont="1" applyFill="1" applyBorder="1" applyAlignment="1" applyProtection="1">
      <alignment horizontal="left" vertical="center" wrapText="1"/>
    </xf>
    <xf numFmtId="0" fontId="39" fillId="0" borderId="0" xfId="0" applyFont="1" applyFill="1" applyAlignment="1" applyProtection="1">
      <alignment horizontal="center" vertical="center"/>
    </xf>
    <xf numFmtId="0" fontId="34" fillId="0" borderId="0" xfId="0" applyFont="1" applyFill="1" applyAlignment="1" applyProtection="1"/>
    <xf numFmtId="0" fontId="34" fillId="0" borderId="0" xfId="0" applyFont="1" applyFill="1" applyProtection="1"/>
    <xf numFmtId="0" fontId="40" fillId="0" borderId="0" xfId="0" applyFont="1" applyAlignment="1" applyProtection="1">
      <alignment horizontal="centerContinuous"/>
    </xf>
    <xf numFmtId="0" fontId="0" fillId="0" borderId="0" xfId="0" applyAlignment="1" applyProtection="1">
      <alignment horizontal="centerContinuous"/>
    </xf>
    <xf numFmtId="0" fontId="16" fillId="0" borderId="3" xfId="0" applyFont="1" applyBorder="1" applyProtection="1"/>
    <xf numFmtId="0" fontId="41" fillId="6" borderId="3" xfId="0" applyFont="1" applyFill="1" applyBorder="1" applyProtection="1"/>
    <xf numFmtId="0" fontId="42" fillId="6" borderId="3" xfId="0" applyFont="1" applyFill="1" applyBorder="1" applyProtection="1"/>
    <xf numFmtId="0" fontId="43" fillId="7" borderId="3" xfId="0" applyFont="1" applyFill="1" applyBorder="1" applyAlignment="1" applyProtection="1">
      <alignment horizontal="center"/>
    </xf>
    <xf numFmtId="0" fontId="0" fillId="9" borderId="3" xfId="0" applyFill="1" applyBorder="1" applyProtection="1"/>
    <xf numFmtId="0" fontId="43" fillId="9" borderId="3" xfId="0" applyFont="1" applyFill="1" applyBorder="1" applyAlignment="1" applyProtection="1">
      <alignment horizontal="center"/>
    </xf>
    <xf numFmtId="0" fontId="40" fillId="0" borderId="3" xfId="0" applyFont="1" applyBorder="1" applyAlignment="1" applyProtection="1">
      <alignment horizontal="centerContinuous"/>
    </xf>
    <xf numFmtId="0" fontId="0" fillId="0" borderId="3" xfId="0" applyBorder="1" applyAlignment="1" applyProtection="1">
      <alignment horizontal="centerContinuous"/>
    </xf>
    <xf numFmtId="0" fontId="1" fillId="0" borderId="3" xfId="0" applyFont="1" applyBorder="1" applyAlignment="1" applyProtection="1">
      <alignment horizontal="center"/>
    </xf>
    <xf numFmtId="0" fontId="13" fillId="0" borderId="3" xfId="0" applyFont="1" applyBorder="1" applyProtection="1"/>
    <xf numFmtId="0" fontId="29" fillId="0" borderId="3" xfId="0" applyFont="1" applyBorder="1" applyAlignment="1" applyProtection="1">
      <alignment horizontal="center"/>
    </xf>
    <xf numFmtId="0" fontId="16" fillId="0" borderId="0" xfId="0" applyFont="1" applyProtection="1"/>
    <xf numFmtId="0" fontId="41" fillId="6" borderId="0" xfId="0" applyFont="1" applyFill="1" applyProtection="1"/>
    <xf numFmtId="0" fontId="42" fillId="6" borderId="0" xfId="0" applyFont="1" applyFill="1" applyProtection="1"/>
    <xf numFmtId="0" fontId="1" fillId="0" borderId="0" xfId="0" applyFont="1" applyProtection="1"/>
    <xf numFmtId="0" fontId="43" fillId="7" borderId="0" xfId="0" applyFont="1" applyFill="1" applyBorder="1" applyAlignment="1" applyProtection="1">
      <alignment horizontal="center"/>
    </xf>
    <xf numFmtId="0" fontId="0" fillId="9" borderId="8" xfId="0" applyFill="1" applyBorder="1" applyProtection="1"/>
    <xf numFmtId="0" fontId="2" fillId="0" borderId="3" xfId="0" applyFont="1" applyFill="1" applyBorder="1" applyProtection="1"/>
    <xf numFmtId="0" fontId="43" fillId="9" borderId="8" xfId="0" applyFont="1" applyFill="1" applyBorder="1" applyAlignment="1" applyProtection="1">
      <alignment horizontal="center"/>
    </xf>
    <xf numFmtId="0" fontId="16" fillId="0" borderId="3" xfId="0" applyFont="1" applyBorder="1" applyAlignment="1" applyProtection="1">
      <alignment horizontal="center"/>
    </xf>
    <xf numFmtId="0" fontId="41" fillId="9" borderId="3" xfId="0" applyFont="1" applyFill="1" applyBorder="1" applyProtection="1"/>
    <xf numFmtId="0" fontId="42" fillId="9" borderId="3" xfId="0" applyFont="1" applyFill="1" applyBorder="1" applyProtection="1"/>
    <xf numFmtId="0" fontId="40" fillId="0" borderId="3" xfId="0" applyFont="1" applyBorder="1" applyAlignment="1" applyProtection="1"/>
    <xf numFmtId="0" fontId="0" fillId="0" borderId="3" xfId="0" applyBorder="1" applyAlignment="1" applyProtection="1"/>
    <xf numFmtId="2" fontId="0" fillId="0" borderId="3" xfId="0" applyNumberFormat="1" applyBorder="1" applyProtection="1"/>
    <xf numFmtId="0" fontId="13" fillId="9" borderId="3" xfId="0" applyFont="1" applyFill="1" applyBorder="1" applyProtection="1"/>
    <xf numFmtId="0" fontId="13" fillId="9" borderId="8" xfId="0" applyFont="1" applyFill="1" applyBorder="1" applyProtection="1"/>
    <xf numFmtId="2" fontId="0" fillId="9" borderId="3" xfId="0" applyNumberFormat="1" applyFill="1" applyBorder="1" applyProtection="1"/>
    <xf numFmtId="0" fontId="44" fillId="0" borderId="0" xfId="0" applyFont="1" applyProtection="1"/>
    <xf numFmtId="2" fontId="45" fillId="25" borderId="0" xfId="0" applyNumberFormat="1" applyFont="1" applyFill="1" applyProtection="1"/>
    <xf numFmtId="2" fontId="45" fillId="25" borderId="0" xfId="0" applyNumberFormat="1" applyFont="1" applyFill="1" applyAlignment="1" applyProtection="1">
      <alignment horizontal="center"/>
    </xf>
    <xf numFmtId="0" fontId="34" fillId="0" borderId="0" xfId="0" applyFont="1" applyProtection="1"/>
    <xf numFmtId="0" fontId="16" fillId="9" borderId="3" xfId="0" applyFont="1" applyFill="1" applyBorder="1" applyProtection="1"/>
    <xf numFmtId="0" fontId="2" fillId="9" borderId="3" xfId="0" applyFont="1" applyFill="1" applyBorder="1" applyProtection="1"/>
    <xf numFmtId="0" fontId="0" fillId="9" borderId="3" xfId="0" applyFill="1" applyBorder="1" applyAlignment="1" applyProtection="1">
      <alignment horizontal="center"/>
    </xf>
    <xf numFmtId="0" fontId="2" fillId="0" borderId="0" xfId="0" applyFont="1" applyProtection="1"/>
    <xf numFmtId="0" fontId="2" fillId="9" borderId="3" xfId="0" applyFont="1" applyFill="1" applyBorder="1" applyAlignment="1" applyProtection="1">
      <alignment horizontal="centerContinuous"/>
    </xf>
    <xf numFmtId="0" fontId="2" fillId="9" borderId="3" xfId="0" applyFont="1" applyFill="1" applyBorder="1" applyAlignment="1" applyProtection="1"/>
    <xf numFmtId="0" fontId="34" fillId="9" borderId="3" xfId="0" applyFont="1" applyFill="1" applyBorder="1" applyProtection="1"/>
    <xf numFmtId="0" fontId="3" fillId="9" borderId="3" xfId="0" applyFont="1" applyFill="1" applyBorder="1" applyProtection="1"/>
    <xf numFmtId="0" fontId="37" fillId="9" borderId="3" xfId="0" applyFont="1" applyFill="1" applyBorder="1" applyProtection="1"/>
    <xf numFmtId="1" fontId="3" fillId="9" borderId="3" xfId="0" applyNumberFormat="1" applyFont="1" applyFill="1" applyBorder="1" applyProtection="1"/>
    <xf numFmtId="0" fontId="46" fillId="9" borderId="3" xfId="0" applyFont="1" applyFill="1" applyBorder="1" applyProtection="1"/>
    <xf numFmtId="0" fontId="16" fillId="9" borderId="3" xfId="0" applyFont="1" applyFill="1" applyBorder="1" applyAlignment="1" applyProtection="1">
      <alignment horizontal="center"/>
    </xf>
    <xf numFmtId="0" fontId="47" fillId="0" borderId="0" xfId="0" applyFont="1" applyProtection="1"/>
    <xf numFmtId="0" fontId="47" fillId="9" borderId="3" xfId="0" applyFont="1" applyFill="1" applyBorder="1" applyProtection="1"/>
    <xf numFmtId="2" fontId="48" fillId="9" borderId="3" xfId="0" applyNumberFormat="1" applyFont="1" applyFill="1" applyBorder="1" applyProtection="1"/>
    <xf numFmtId="2" fontId="48" fillId="9" borderId="3" xfId="0" applyNumberFormat="1" applyFont="1" applyFill="1" applyBorder="1" applyAlignment="1" applyProtection="1">
      <alignment horizontal="center"/>
    </xf>
    <xf numFmtId="2" fontId="3" fillId="0" borderId="3" xfId="0" applyNumberFormat="1" applyFont="1" applyBorder="1" applyAlignment="1" applyProtection="1">
      <alignment horizontal="center"/>
    </xf>
    <xf numFmtId="0" fontId="19" fillId="0" borderId="0" xfId="0" applyFont="1" applyBorder="1" applyAlignment="1">
      <alignment horizontal="center"/>
    </xf>
    <xf numFmtId="22" fontId="28" fillId="0" borderId="0" xfId="0" applyNumberFormat="1" applyFont="1" applyBorder="1" applyAlignment="1">
      <alignment horizontal="right"/>
    </xf>
    <xf numFmtId="2" fontId="3" fillId="0" borderId="0" xfId="0" applyNumberFormat="1" applyFont="1" applyBorder="1" applyAlignment="1" applyProtection="1">
      <alignment horizontal="center"/>
    </xf>
    <xf numFmtId="0" fontId="65" fillId="9" borderId="0" xfId="0" applyFont="1" applyFill="1" applyAlignment="1">
      <alignment horizontal="center"/>
    </xf>
    <xf numFmtId="1" fontId="43" fillId="7" borderId="0" xfId="0" applyNumberFormat="1" applyFont="1" applyFill="1" applyBorder="1" applyAlignment="1">
      <alignment horizontal="center"/>
    </xf>
    <xf numFmtId="0" fontId="68" fillId="9" borderId="0" xfId="0" applyFont="1" applyFill="1" applyBorder="1"/>
    <xf numFmtId="0" fontId="95" fillId="0" borderId="0" xfId="0" applyFont="1" applyFill="1" applyAlignment="1">
      <alignment horizontal="center"/>
    </xf>
    <xf numFmtId="0" fontId="96" fillId="0" borderId="0" xfId="0" applyFont="1" applyAlignment="1" applyProtection="1">
      <protection hidden="1"/>
    </xf>
    <xf numFmtId="2" fontId="0" fillId="0" borderId="8" xfId="0" applyNumberFormat="1" applyBorder="1" applyProtection="1"/>
    <xf numFmtId="0" fontId="3" fillId="0" borderId="0" xfId="0" applyFont="1" applyBorder="1" applyProtection="1"/>
    <xf numFmtId="0" fontId="74" fillId="0" borderId="0" xfId="0" applyFont="1" applyBorder="1" applyAlignment="1">
      <alignment horizontal="center"/>
    </xf>
    <xf numFmtId="0" fontId="96" fillId="0" borderId="0" xfId="0" applyFont="1" applyProtection="1">
      <protection locked="0"/>
    </xf>
    <xf numFmtId="0" fontId="96" fillId="0" borderId="0" xfId="0" applyFont="1" applyAlignment="1" applyProtection="1">
      <alignment vertical="center"/>
      <protection locked="0"/>
    </xf>
    <xf numFmtId="0" fontId="96" fillId="0" borderId="0" xfId="0" applyFont="1" applyFill="1" applyBorder="1" applyAlignment="1" applyProtection="1">
      <protection locked="0"/>
    </xf>
    <xf numFmtId="2" fontId="96" fillId="0" borderId="0" xfId="0" applyNumberFormat="1" applyFont="1" applyFill="1" applyBorder="1" applyAlignment="1" applyProtection="1">
      <protection locked="0"/>
    </xf>
    <xf numFmtId="0" fontId="2" fillId="0" borderId="0" xfId="0" applyFont="1" applyBorder="1" applyAlignment="1" applyProtection="1">
      <alignment shrinkToFit="1"/>
      <protection locked="0"/>
    </xf>
    <xf numFmtId="0" fontId="2" fillId="0" borderId="0" xfId="0" applyFont="1" applyBorder="1" applyAlignment="1" applyProtection="1">
      <alignment vertical="center" shrinkToFit="1"/>
      <protection locked="0"/>
    </xf>
    <xf numFmtId="0" fontId="93" fillId="0" borderId="0" xfId="0" applyFont="1" applyBorder="1"/>
    <xf numFmtId="14" fontId="32" fillId="0" borderId="17" xfId="0" applyNumberFormat="1" applyFont="1" applyBorder="1"/>
    <xf numFmtId="0" fontId="0" fillId="0" borderId="3" xfId="0" applyBorder="1" applyAlignment="1" applyProtection="1">
      <alignment horizontal="center" shrinkToFit="1"/>
    </xf>
    <xf numFmtId="0" fontId="7" fillId="0" borderId="3" xfId="0" applyFont="1" applyFill="1" applyBorder="1" applyAlignment="1" applyProtection="1">
      <alignment horizontal="right" vertical="center" wrapText="1"/>
      <protection locked="0"/>
    </xf>
    <xf numFmtId="0" fontId="2" fillId="0" borderId="3" xfId="0" applyFont="1" applyBorder="1" applyAlignment="1" applyProtection="1"/>
    <xf numFmtId="0" fontId="96" fillId="0" borderId="34" xfId="0" applyFont="1" applyBorder="1" applyProtection="1">
      <protection hidden="1"/>
    </xf>
    <xf numFmtId="0" fontId="96" fillId="0" borderId="4" xfId="0" applyFont="1" applyBorder="1" applyProtection="1">
      <protection hidden="1"/>
    </xf>
    <xf numFmtId="0" fontId="96" fillId="0" borderId="35" xfId="0" applyFont="1" applyBorder="1" applyProtection="1">
      <protection hidden="1"/>
    </xf>
    <xf numFmtId="0" fontId="96" fillId="0" borderId="29" xfId="0" applyFont="1" applyBorder="1" applyProtection="1">
      <protection hidden="1"/>
    </xf>
    <xf numFmtId="0" fontId="96" fillId="0" borderId="33" xfId="0" applyFont="1" applyBorder="1" applyProtection="1">
      <protection hidden="1"/>
    </xf>
    <xf numFmtId="0" fontId="18" fillId="0" borderId="0" xfId="0" applyFont="1" applyFill="1" applyProtection="1">
      <protection locked="0"/>
    </xf>
    <xf numFmtId="0" fontId="14" fillId="0" borderId="0" xfId="0" applyFont="1" applyFill="1" applyProtection="1">
      <protection locked="0"/>
    </xf>
    <xf numFmtId="0" fontId="14" fillId="0" borderId="0" xfId="0" applyFont="1" applyFill="1" applyAlignment="1" applyProtection="1">
      <alignment vertical="center"/>
      <protection locked="0"/>
    </xf>
    <xf numFmtId="0" fontId="96" fillId="0" borderId="0" xfId="0" applyFont="1" applyFill="1" applyProtection="1">
      <protection locked="0"/>
    </xf>
    <xf numFmtId="0" fontId="96" fillId="0" borderId="0" xfId="0" applyFont="1" applyFill="1"/>
    <xf numFmtId="0" fontId="96" fillId="0" borderId="0" xfId="0" applyFont="1" applyFill="1" applyAlignment="1" applyProtection="1">
      <alignment vertical="center"/>
      <protection locked="0"/>
    </xf>
    <xf numFmtId="0" fontId="96" fillId="0" borderId="0" xfId="0" applyFont="1" applyFill="1" applyBorder="1" applyProtection="1">
      <protection locked="0"/>
    </xf>
    <xf numFmtId="0" fontId="96" fillId="0" borderId="0" xfId="0" applyFont="1" applyFill="1" applyBorder="1"/>
    <xf numFmtId="0" fontId="96" fillId="27" borderId="0" xfId="0" applyFont="1" applyFill="1"/>
    <xf numFmtId="2" fontId="97" fillId="0" borderId="0" xfId="0" applyNumberFormat="1" applyFont="1" applyBorder="1" applyProtection="1"/>
    <xf numFmtId="0" fontId="5" fillId="0" borderId="0" xfId="0" applyFont="1" applyFill="1" applyBorder="1"/>
    <xf numFmtId="0" fontId="5" fillId="0" borderId="0" xfId="0" applyFont="1" applyFill="1" applyBorder="1" applyProtection="1">
      <protection locked="0"/>
    </xf>
    <xf numFmtId="0" fontId="3" fillId="0" borderId="0" xfId="0" applyFont="1" applyBorder="1" applyAlignment="1">
      <alignment horizontal="center"/>
    </xf>
    <xf numFmtId="0" fontId="3" fillId="0" borderId="3" xfId="0" applyFont="1" applyBorder="1" applyAlignment="1" applyProtection="1">
      <alignment horizontal="left"/>
    </xf>
    <xf numFmtId="0" fontId="19" fillId="0" borderId="0" xfId="0" applyFont="1" applyFill="1" applyBorder="1" applyAlignment="1" applyProtection="1">
      <alignment horizontal="center" vertical="center" shrinkToFit="1"/>
      <protection locked="0"/>
    </xf>
    <xf numFmtId="0" fontId="19" fillId="0" borderId="0" xfId="0" applyFont="1" applyFill="1" applyBorder="1" applyAlignment="1" applyProtection="1">
      <alignment vertical="center" shrinkToFit="1"/>
      <protection locked="0"/>
    </xf>
    <xf numFmtId="0" fontId="9" fillId="0" borderId="0" xfId="0" applyFont="1" applyAlignment="1" applyProtection="1">
      <alignment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16" fillId="0" borderId="0" xfId="0" applyFont="1" applyBorder="1"/>
    <xf numFmtId="0" fontId="33" fillId="0" borderId="0" xfId="0" applyFont="1" applyBorder="1" applyAlignment="1"/>
    <xf numFmtId="0" fontId="31" fillId="0" borderId="0" xfId="0" applyFont="1" applyBorder="1" applyAlignment="1"/>
    <xf numFmtId="22" fontId="28" fillId="0" borderId="0" xfId="0" applyNumberFormat="1" applyFont="1" applyBorder="1" applyAlignment="1">
      <alignment horizontal="center"/>
    </xf>
    <xf numFmtId="0" fontId="31" fillId="0" borderId="0" xfId="0" applyFont="1" applyBorder="1" applyAlignment="1">
      <alignment horizontal="left"/>
    </xf>
    <xf numFmtId="173" fontId="3" fillId="0" borderId="3" xfId="0" applyNumberFormat="1" applyFont="1" applyBorder="1" applyAlignment="1" applyProtection="1">
      <alignment horizontal="center"/>
    </xf>
    <xf numFmtId="173" fontId="3" fillId="0" borderId="0" xfId="0" applyNumberFormat="1" applyFont="1" applyBorder="1" applyAlignment="1" applyProtection="1">
      <alignment horizontal="center"/>
    </xf>
    <xf numFmtId="173" fontId="3" fillId="0" borderId="0" xfId="0" applyNumberFormat="1" applyFont="1" applyBorder="1" applyProtection="1"/>
    <xf numFmtId="173" fontId="97" fillId="0" borderId="0" xfId="0" applyNumberFormat="1" applyFont="1" applyBorder="1" applyProtection="1"/>
    <xf numFmtId="173" fontId="74" fillId="0" borderId="0" xfId="0" applyNumberFormat="1" applyFont="1" applyBorder="1" applyAlignment="1">
      <alignment horizontal="center"/>
    </xf>
    <xf numFmtId="173" fontId="98" fillId="0" borderId="3" xfId="0" applyNumberFormat="1" applyFont="1" applyFill="1" applyBorder="1" applyAlignment="1">
      <alignment horizontal="right"/>
    </xf>
    <xf numFmtId="0" fontId="3" fillId="0" borderId="3" xfId="0" applyFont="1" applyBorder="1" applyProtection="1"/>
    <xf numFmtId="1" fontId="2" fillId="0" borderId="3" xfId="0" applyNumberFormat="1" applyFont="1" applyBorder="1" applyProtection="1"/>
    <xf numFmtId="0" fontId="13" fillId="0" borderId="0" xfId="0" applyFont="1" applyFill="1" applyBorder="1" applyAlignment="1" applyProtection="1">
      <alignment horizontal="left" vertical="center"/>
      <protection locked="0"/>
    </xf>
    <xf numFmtId="0" fontId="14" fillId="0" borderId="0" xfId="0" applyFont="1" applyFill="1" applyBorder="1" applyAlignment="1" applyProtection="1">
      <alignment vertical="center"/>
      <protection locked="0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vertical="center"/>
      <protection locked="0"/>
    </xf>
    <xf numFmtId="0" fontId="13" fillId="0" borderId="0" xfId="0" applyFont="1" applyFill="1" applyBorder="1" applyAlignment="1" applyProtection="1">
      <alignment vertical="center"/>
      <protection locked="0"/>
    </xf>
    <xf numFmtId="173" fontId="99" fillId="0" borderId="3" xfId="0" applyNumberFormat="1" applyFont="1" applyFill="1" applyBorder="1" applyAlignment="1">
      <alignment horizontal="center"/>
    </xf>
    <xf numFmtId="173" fontId="100" fillId="0" borderId="3" xfId="0" applyNumberFormat="1" applyFont="1" applyFill="1" applyBorder="1" applyAlignment="1">
      <alignment horizontal="center"/>
    </xf>
    <xf numFmtId="173" fontId="101" fillId="0" borderId="3" xfId="0" applyNumberFormat="1" applyFont="1" applyFill="1" applyBorder="1" applyAlignment="1">
      <alignment horizontal="center"/>
    </xf>
    <xf numFmtId="0" fontId="0" fillId="0" borderId="3" xfId="0" applyBorder="1"/>
    <xf numFmtId="0" fontId="0" fillId="0" borderId="3" xfId="0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34" fillId="0" borderId="3" xfId="0" applyFont="1" applyBorder="1"/>
    <xf numFmtId="0" fontId="34" fillId="0" borderId="3" xfId="0" applyFont="1" applyBorder="1" applyAlignment="1">
      <alignment horizontal="right"/>
    </xf>
    <xf numFmtId="173" fontId="3" fillId="0" borderId="3" xfId="0" applyNumberFormat="1" applyFont="1" applyBorder="1" applyAlignment="1">
      <alignment horizontal="center"/>
    </xf>
    <xf numFmtId="173" fontId="16" fillId="0" borderId="0" xfId="0" applyNumberFormat="1" applyFont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0" xfId="0" applyFill="1" applyBorder="1" applyProtection="1"/>
    <xf numFmtId="174" fontId="3" fillId="0" borderId="36" xfId="0" applyNumberFormat="1" applyFont="1" applyBorder="1" applyAlignment="1">
      <alignment horizontal="center"/>
    </xf>
    <xf numFmtId="173" fontId="16" fillId="0" borderId="0" xfId="0" applyNumberFormat="1" applyFont="1" applyAlignment="1" applyProtection="1">
      <alignment horizontal="center"/>
    </xf>
    <xf numFmtId="1" fontId="0" fillId="0" borderId="0" xfId="0" applyNumberFormat="1" applyBorder="1" applyProtection="1"/>
    <xf numFmtId="173" fontId="3" fillId="0" borderId="8" xfId="0" applyNumberFormat="1" applyFont="1" applyBorder="1" applyAlignment="1" applyProtection="1">
      <alignment horizontal="center"/>
    </xf>
    <xf numFmtId="174" fontId="3" fillId="0" borderId="3" xfId="0" applyNumberFormat="1" applyFont="1" applyBorder="1" applyAlignment="1">
      <alignment horizontal="center"/>
    </xf>
    <xf numFmtId="173" fontId="102" fillId="0" borderId="3" xfId="0" applyNumberFormat="1" applyFont="1" applyFill="1" applyBorder="1" applyAlignment="1">
      <alignment horizontal="center"/>
    </xf>
    <xf numFmtId="2" fontId="38" fillId="6" borderId="5" xfId="0" applyNumberFormat="1" applyFont="1" applyFill="1" applyBorder="1" applyAlignment="1">
      <alignment horizontal="center"/>
    </xf>
    <xf numFmtId="2" fontId="41" fillId="0" borderId="0" xfId="0" applyNumberFormat="1" applyFont="1" applyFill="1" applyBorder="1" applyAlignment="1">
      <alignment horizontal="center"/>
    </xf>
    <xf numFmtId="2" fontId="0" fillId="0" borderId="32" xfId="0" applyNumberFormat="1" applyBorder="1" applyProtection="1"/>
    <xf numFmtId="0" fontId="2" fillId="0" borderId="13" xfId="0" applyFont="1" applyFill="1" applyBorder="1" applyAlignment="1"/>
    <xf numFmtId="0" fontId="2" fillId="0" borderId="14" xfId="0" applyFont="1" applyFill="1" applyBorder="1" applyAlignment="1"/>
    <xf numFmtId="0" fontId="2" fillId="0" borderId="15" xfId="0" applyFont="1" applyFill="1" applyBorder="1" applyAlignment="1"/>
    <xf numFmtId="0" fontId="2" fillId="0" borderId="16" xfId="0" applyFont="1" applyFill="1" applyBorder="1" applyAlignment="1"/>
    <xf numFmtId="0" fontId="2" fillId="0" borderId="17" xfId="0" applyFont="1" applyFill="1" applyBorder="1" applyAlignment="1"/>
    <xf numFmtId="0" fontId="2" fillId="0" borderId="24" xfId="0" applyFont="1" applyFill="1" applyBorder="1" applyAlignment="1"/>
    <xf numFmtId="0" fontId="2" fillId="0" borderId="18" xfId="0" applyFont="1" applyFill="1" applyBorder="1" applyAlignment="1"/>
    <xf numFmtId="0" fontId="2" fillId="0" borderId="25" xfId="0" applyFont="1" applyFill="1" applyBorder="1" applyAlignment="1"/>
    <xf numFmtId="173" fontId="3" fillId="0" borderId="11" xfId="0" applyNumberFormat="1" applyFont="1" applyBorder="1" applyAlignment="1" applyProtection="1">
      <alignment horizontal="center"/>
    </xf>
    <xf numFmtId="0" fontId="6" fillId="0" borderId="3" xfId="0" applyFont="1" applyBorder="1" applyAlignment="1">
      <alignment horizontal="center"/>
    </xf>
    <xf numFmtId="2" fontId="0" fillId="0" borderId="7" xfId="0" applyNumberFormat="1" applyBorder="1" applyProtection="1"/>
    <xf numFmtId="2" fontId="0" fillId="0" borderId="35" xfId="0" applyNumberFormat="1" applyBorder="1" applyProtection="1"/>
    <xf numFmtId="165" fontId="0" fillId="0" borderId="0" xfId="0" applyNumberFormat="1"/>
    <xf numFmtId="0" fontId="96" fillId="0" borderId="0" xfId="0" applyNumberFormat="1" applyFont="1" applyProtection="1">
      <protection locked="0"/>
    </xf>
    <xf numFmtId="0" fontId="96" fillId="0" borderId="0" xfId="0" applyNumberFormat="1" applyFont="1" applyFill="1" applyBorder="1" applyProtection="1">
      <protection locked="0"/>
    </xf>
    <xf numFmtId="2" fontId="16" fillId="0" borderId="3" xfId="0" applyNumberFormat="1" applyFont="1" applyBorder="1" applyAlignment="1" applyProtection="1">
      <alignment horizontal="center"/>
    </xf>
    <xf numFmtId="1" fontId="16" fillId="0" borderId="3" xfId="0" applyNumberFormat="1" applyFont="1" applyBorder="1" applyAlignment="1" applyProtection="1">
      <alignment horizontal="center"/>
    </xf>
    <xf numFmtId="1" fontId="16" fillId="0" borderId="11" xfId="0" applyNumberFormat="1" applyFont="1" applyBorder="1" applyAlignment="1" applyProtection="1">
      <alignment horizontal="center"/>
    </xf>
    <xf numFmtId="2" fontId="16" fillId="0" borderId="3" xfId="0" applyNumberFormat="1" applyFont="1" applyBorder="1" applyAlignment="1">
      <alignment horizontal="center"/>
    </xf>
    <xf numFmtId="0" fontId="32" fillId="0" borderId="3" xfId="0" applyNumberFormat="1" applyFont="1" applyBorder="1" applyAlignment="1">
      <alignment horizontal="center"/>
    </xf>
    <xf numFmtId="14" fontId="31" fillId="0" borderId="17" xfId="0" applyNumberFormat="1" applyFont="1" applyBorder="1"/>
    <xf numFmtId="0" fontId="96" fillId="0" borderId="0" xfId="0" applyFont="1" applyProtection="1">
      <protection hidden="1"/>
    </xf>
    <xf numFmtId="175" fontId="103" fillId="0" borderId="0" xfId="0" applyNumberFormat="1" applyFont="1" applyBorder="1" applyAlignment="1"/>
    <xf numFmtId="0" fontId="16" fillId="0" borderId="24" xfId="0" applyFont="1" applyBorder="1" applyAlignment="1">
      <alignment horizontal="left"/>
    </xf>
    <xf numFmtId="2" fontId="31" fillId="0" borderId="18" xfId="0" applyNumberFormat="1" applyFont="1" applyBorder="1" applyAlignment="1">
      <alignment horizontal="left"/>
    </xf>
    <xf numFmtId="0" fontId="3" fillId="0" borderId="18" xfId="0" applyFont="1" applyBorder="1" applyAlignment="1">
      <alignment horizontal="right"/>
    </xf>
    <xf numFmtId="0" fontId="3" fillId="0" borderId="18" xfId="0" applyFont="1" applyBorder="1"/>
    <xf numFmtId="14" fontId="0" fillId="0" borderId="25" xfId="0" applyNumberFormat="1" applyBorder="1"/>
    <xf numFmtId="22" fontId="3" fillId="0" borderId="0" xfId="0" applyNumberFormat="1" applyFont="1" applyBorder="1" applyAlignment="1"/>
    <xf numFmtId="173" fontId="104" fillId="0" borderId="3" xfId="0" applyNumberFormat="1" applyFont="1" applyFill="1" applyBorder="1" applyAlignment="1">
      <alignment horizontal="center"/>
    </xf>
    <xf numFmtId="174" fontId="3" fillId="0" borderId="0" xfId="0" applyNumberFormat="1" applyFont="1" applyBorder="1" applyAlignment="1">
      <alignment horizontal="center"/>
    </xf>
    <xf numFmtId="0" fontId="7" fillId="0" borderId="3" xfId="0" applyFont="1" applyBorder="1" applyAlignment="1" applyProtection="1">
      <protection hidden="1"/>
    </xf>
    <xf numFmtId="0" fontId="27" fillId="0" borderId="0" xfId="0" applyFont="1" applyFill="1"/>
    <xf numFmtId="0" fontId="27" fillId="0" borderId="0" xfId="0" applyFont="1" applyFill="1" applyProtection="1">
      <protection locked="0" hidden="1"/>
    </xf>
    <xf numFmtId="0" fontId="50" fillId="0" borderId="0" xfId="0" applyFont="1" applyFill="1"/>
    <xf numFmtId="0" fontId="6" fillId="0" borderId="0" xfId="0" applyFont="1" applyFill="1" applyBorder="1" applyProtection="1">
      <protection locked="0" hidden="1"/>
    </xf>
    <xf numFmtId="0" fontId="2" fillId="0" borderId="0" xfId="0" applyFont="1" applyFill="1" applyBorder="1" applyProtection="1">
      <protection locked="0" hidden="1"/>
    </xf>
    <xf numFmtId="0" fontId="2" fillId="0" borderId="0" xfId="0" applyFont="1" applyFill="1" applyBorder="1" applyProtection="1">
      <protection locked="0"/>
    </xf>
    <xf numFmtId="0" fontId="2" fillId="0" borderId="0" xfId="0" applyFont="1" applyFill="1" applyProtection="1">
      <protection locked="0"/>
    </xf>
    <xf numFmtId="0" fontId="49" fillId="0" borderId="0" xfId="0" applyFont="1" applyFill="1"/>
    <xf numFmtId="0" fontId="6" fillId="0" borderId="0" xfId="0" quotePrefix="1" applyFont="1" applyFill="1" applyBorder="1" applyAlignment="1" applyProtection="1">
      <alignment horizontal="left"/>
      <protection locked="0" hidden="1"/>
    </xf>
    <xf numFmtId="0" fontId="6" fillId="0" borderId="4" xfId="0" applyFont="1" applyFill="1" applyBorder="1" applyAlignment="1" applyProtection="1">
      <alignment horizontal="left"/>
      <protection locked="0" hidden="1"/>
    </xf>
    <xf numFmtId="0" fontId="34" fillId="0" borderId="0" xfId="0" applyFont="1" applyFill="1" applyBorder="1" applyProtection="1">
      <protection locked="0"/>
    </xf>
    <xf numFmtId="0" fontId="6" fillId="0" borderId="7" xfId="0" applyFont="1" applyFill="1" applyBorder="1" applyAlignment="1" applyProtection="1">
      <alignment horizontal="left"/>
      <protection locked="0" hidden="1"/>
    </xf>
    <xf numFmtId="0" fontId="6" fillId="0" borderId="0" xfId="0" applyFont="1" applyFill="1" applyBorder="1" applyAlignment="1" applyProtection="1">
      <alignment horizontal="left"/>
      <protection locked="0" hidden="1"/>
    </xf>
    <xf numFmtId="0" fontId="67" fillId="0" borderId="0" xfId="0" applyFont="1" applyFill="1" applyBorder="1" applyAlignment="1">
      <alignment horizontal="left" vertical="center" wrapText="1"/>
    </xf>
    <xf numFmtId="0" fontId="52" fillId="0" borderId="0" xfId="0" applyFont="1" applyFill="1"/>
    <xf numFmtId="0" fontId="38" fillId="0" borderId="0" xfId="0" applyFont="1" applyFill="1"/>
    <xf numFmtId="0" fontId="61" fillId="0" borderId="3" xfId="0" applyFont="1" applyFill="1" applyBorder="1" applyAlignment="1" applyProtection="1">
      <alignment horizontal="center" vertical="center" wrapText="1"/>
      <protection locked="0" hidden="1"/>
    </xf>
    <xf numFmtId="0" fontId="52" fillId="0" borderId="0" xfId="0" applyFont="1" applyFill="1" applyAlignment="1">
      <alignment vertical="center"/>
    </xf>
    <xf numFmtId="0" fontId="38" fillId="0" borderId="0" xfId="0" applyFont="1" applyFill="1" applyAlignment="1">
      <alignment vertical="center"/>
    </xf>
    <xf numFmtId="0" fontId="53" fillId="0" borderId="0" xfId="0" applyFont="1" applyFill="1"/>
    <xf numFmtId="0" fontId="61" fillId="0" borderId="3" xfId="0" applyFont="1" applyFill="1" applyBorder="1" applyAlignment="1" applyProtection="1">
      <alignment horizontal="center" vertical="center"/>
      <protection locked="0" hidden="1"/>
    </xf>
    <xf numFmtId="0" fontId="9" fillId="0" borderId="0" xfId="0" applyFont="1" applyFill="1"/>
    <xf numFmtId="0" fontId="64" fillId="0" borderId="0" xfId="0" applyFont="1" applyFill="1" applyAlignment="1">
      <alignment horizontal="center"/>
    </xf>
    <xf numFmtId="0" fontId="38" fillId="0" borderId="3" xfId="0" applyNumberFormat="1" applyFont="1" applyFill="1" applyBorder="1" applyAlignment="1">
      <alignment horizontal="left" vertical="center"/>
    </xf>
    <xf numFmtId="0" fontId="38" fillId="0" borderId="0" xfId="0" applyFont="1" applyFill="1" applyAlignment="1">
      <alignment horizontal="right"/>
    </xf>
    <xf numFmtId="0" fontId="38" fillId="0" borderId="0" xfId="0" applyFont="1" applyFill="1" applyAlignment="1">
      <alignment horizontal="left"/>
    </xf>
    <xf numFmtId="0" fontId="61" fillId="0" borderId="0" xfId="0" applyFont="1" applyFill="1" applyBorder="1" applyAlignment="1" applyProtection="1">
      <alignment horizontal="center" vertical="center" wrapText="1"/>
      <protection locked="0" hidden="1"/>
    </xf>
    <xf numFmtId="0" fontId="61" fillId="0" borderId="0" xfId="0" applyFont="1" applyFill="1" applyBorder="1" applyAlignment="1" applyProtection="1">
      <alignment horizontal="center" vertical="center"/>
      <protection locked="0" hidden="1"/>
    </xf>
    <xf numFmtId="0" fontId="59" fillId="0" borderId="0" xfId="0" applyFont="1" applyFill="1" applyAlignment="1">
      <alignment horizontal="center"/>
    </xf>
    <xf numFmtId="0" fontId="60" fillId="0" borderId="0" xfId="0" applyFont="1" applyFill="1" applyBorder="1" applyAlignment="1">
      <alignment horizontal="center" vertical="center" wrapText="1"/>
    </xf>
    <xf numFmtId="0" fontId="68" fillId="0" borderId="0" xfId="0" applyFont="1" applyFill="1" applyAlignment="1">
      <alignment horizontal="center"/>
    </xf>
    <xf numFmtId="0" fontId="1" fillId="0" borderId="0" xfId="0" applyFont="1" applyFill="1" applyProtection="1"/>
    <xf numFmtId="0" fontId="13" fillId="0" borderId="0" xfId="0" applyFont="1" applyFill="1" applyProtection="1"/>
    <xf numFmtId="0" fontId="1" fillId="0" borderId="0" xfId="0" applyFont="1" applyFill="1" applyBorder="1" applyProtection="1"/>
    <xf numFmtId="0" fontId="16" fillId="0" borderId="0" xfId="0" applyFont="1" applyFill="1"/>
    <xf numFmtId="2" fontId="0" fillId="0" borderId="0" xfId="0" applyNumberFormat="1" applyFill="1"/>
    <xf numFmtId="0" fontId="0" fillId="0" borderId="0" xfId="0" applyFill="1" applyAlignment="1">
      <alignment horizontal="center"/>
    </xf>
    <xf numFmtId="0" fontId="0" fillId="0" borderId="0" xfId="0" applyFill="1" applyAlignment="1"/>
    <xf numFmtId="0" fontId="41" fillId="0" borderId="0" xfId="0" applyFont="1" applyFill="1"/>
    <xf numFmtId="0" fontId="16" fillId="0" borderId="0" xfId="0" applyFont="1" applyFill="1" applyAlignment="1">
      <alignment horizontal="center"/>
    </xf>
    <xf numFmtId="0" fontId="40" fillId="0" borderId="0" xfId="0" applyFont="1" applyFill="1" applyAlignment="1"/>
    <xf numFmtId="0" fontId="82" fillId="0" borderId="0" xfId="0" applyFont="1" applyFill="1"/>
    <xf numFmtId="0" fontId="82" fillId="0" borderId="0" xfId="0" applyFont="1" applyFill="1" applyAlignment="1">
      <alignment horizontal="center"/>
    </xf>
    <xf numFmtId="1" fontId="0" fillId="0" borderId="0" xfId="0" applyNumberFormat="1" applyFill="1"/>
    <xf numFmtId="0" fontId="37" fillId="0" borderId="0" xfId="0" applyFont="1" applyFill="1"/>
    <xf numFmtId="0" fontId="46" fillId="0" borderId="0" xfId="0" applyFont="1" applyFill="1"/>
    <xf numFmtId="0" fontId="47" fillId="0" borderId="0" xfId="0" applyFont="1" applyFill="1"/>
    <xf numFmtId="2" fontId="48" fillId="0" borderId="0" xfId="0" applyNumberFormat="1" applyFont="1" applyFill="1"/>
    <xf numFmtId="2" fontId="48" fillId="0" borderId="0" xfId="0" applyNumberFormat="1" applyFont="1" applyFill="1" applyAlignment="1">
      <alignment horizontal="center"/>
    </xf>
    <xf numFmtId="0" fontId="96" fillId="0" borderId="0" xfId="0" applyFont="1" applyAlignment="1" applyProtection="1">
      <alignment horizontal="center"/>
      <protection hidden="1"/>
    </xf>
    <xf numFmtId="0" fontId="96" fillId="0" borderId="0" xfId="0" applyFont="1" applyFill="1" applyProtection="1">
      <protection hidden="1"/>
    </xf>
    <xf numFmtId="0" fontId="96" fillId="15" borderId="0" xfId="0" applyFont="1" applyFill="1" applyProtection="1">
      <protection hidden="1"/>
    </xf>
    <xf numFmtId="0" fontId="105" fillId="0" borderId="0" xfId="0" applyFont="1" applyFill="1" applyBorder="1" applyAlignment="1" applyProtection="1">
      <alignment horizontal="center" vertical="center"/>
      <protection hidden="1"/>
    </xf>
    <xf numFmtId="0" fontId="96" fillId="0" borderId="33" xfId="0" applyFont="1" applyBorder="1" applyAlignment="1" applyProtection="1">
      <alignment vertical="center"/>
      <protection hidden="1"/>
    </xf>
    <xf numFmtId="0" fontId="96" fillId="15" borderId="7" xfId="0" applyFont="1" applyFill="1" applyBorder="1" applyProtection="1">
      <protection hidden="1"/>
    </xf>
    <xf numFmtId="0" fontId="96" fillId="0" borderId="29" xfId="0" applyFont="1" applyBorder="1" applyAlignment="1" applyProtection="1">
      <alignment vertical="center"/>
      <protection hidden="1"/>
    </xf>
    <xf numFmtId="0" fontId="96" fillId="15" borderId="0" xfId="0" applyFont="1" applyFill="1" applyAlignment="1" applyProtection="1">
      <alignment vertical="center"/>
      <protection hidden="1"/>
    </xf>
    <xf numFmtId="0" fontId="96" fillId="0" borderId="0" xfId="0" applyFont="1" applyAlignment="1" applyProtection="1">
      <alignment vertical="center"/>
      <protection hidden="1"/>
    </xf>
    <xf numFmtId="0" fontId="96" fillId="0" borderId="2" xfId="0" applyFont="1" applyBorder="1" applyProtection="1">
      <protection hidden="1"/>
    </xf>
    <xf numFmtId="0" fontId="96" fillId="0" borderId="0" xfId="0" applyFont="1" applyBorder="1" applyProtection="1">
      <protection hidden="1"/>
    </xf>
    <xf numFmtId="0" fontId="96" fillId="0" borderId="2" xfId="0" applyFont="1" applyBorder="1" applyAlignment="1" applyProtection="1">
      <alignment vertical="center"/>
      <protection hidden="1"/>
    </xf>
    <xf numFmtId="0" fontId="96" fillId="0" borderId="0" xfId="0" applyFont="1" applyBorder="1" applyAlignment="1" applyProtection="1">
      <alignment vertical="center"/>
      <protection hidden="1"/>
    </xf>
    <xf numFmtId="0" fontId="96" fillId="0" borderId="34" xfId="0" applyFont="1" applyBorder="1" applyAlignment="1" applyProtection="1">
      <alignment vertical="center"/>
      <protection hidden="1"/>
    </xf>
    <xf numFmtId="0" fontId="96" fillId="0" borderId="4" xfId="0" applyFont="1" applyBorder="1" applyAlignment="1" applyProtection="1">
      <alignment vertical="center"/>
      <protection hidden="1"/>
    </xf>
    <xf numFmtId="0" fontId="96" fillId="0" borderId="0" xfId="0" applyFont="1" applyFill="1" applyBorder="1" applyProtection="1">
      <protection hidden="1"/>
    </xf>
    <xf numFmtId="0" fontId="96" fillId="0" borderId="0" xfId="0" applyFont="1" applyFill="1" applyBorder="1" applyAlignment="1" applyProtection="1">
      <alignment horizontal="center"/>
      <protection hidden="1"/>
    </xf>
    <xf numFmtId="0" fontId="96" fillId="0" borderId="0" xfId="0" applyFont="1" applyFill="1" applyBorder="1" applyAlignment="1" applyProtection="1">
      <alignment horizontal="center" vertical="center"/>
      <protection hidden="1"/>
    </xf>
    <xf numFmtId="0" fontId="96" fillId="0" borderId="0" xfId="0" applyFont="1" applyFill="1" applyAlignment="1" applyProtection="1">
      <alignment vertical="center"/>
      <protection hidden="1"/>
    </xf>
    <xf numFmtId="0" fontId="106" fillId="0" borderId="0" xfId="0" applyFont="1" applyFill="1" applyBorder="1" applyProtection="1">
      <protection hidden="1"/>
    </xf>
    <xf numFmtId="0" fontId="106" fillId="0" borderId="0" xfId="0" applyFont="1" applyFill="1" applyBorder="1" applyAlignment="1" applyProtection="1">
      <alignment horizontal="center"/>
      <protection hidden="1"/>
    </xf>
    <xf numFmtId="0" fontId="96" fillId="0" borderId="0" xfId="0" applyFont="1" applyFill="1" applyAlignment="1" applyProtection="1">
      <alignment horizontal="center"/>
      <protection hidden="1"/>
    </xf>
    <xf numFmtId="0" fontId="96" fillId="0" borderId="0" xfId="0" applyFont="1" applyFill="1" applyAlignment="1" applyProtection="1">
      <protection hidden="1"/>
    </xf>
    <xf numFmtId="0" fontId="96" fillId="0" borderId="0" xfId="0" applyFont="1" applyAlignment="1" applyProtection="1">
      <alignment horizontal="center" vertical="center"/>
      <protection hidden="1"/>
    </xf>
    <xf numFmtId="0" fontId="96" fillId="27" borderId="0" xfId="0" applyFont="1" applyFill="1" applyBorder="1"/>
    <xf numFmtId="0" fontId="96" fillId="0" borderId="0" xfId="0" applyFont="1" applyAlignment="1" applyProtection="1">
      <alignment horizontal="center" vertical="center"/>
      <protection locked="0"/>
    </xf>
    <xf numFmtId="0" fontId="96" fillId="0" borderId="0" xfId="0" applyFont="1" applyFill="1" applyBorder="1" applyAlignment="1" applyProtection="1">
      <alignment vertical="center"/>
      <protection locked="0"/>
    </xf>
    <xf numFmtId="0" fontId="96" fillId="0" borderId="0" xfId="0" applyFont="1" applyAlignment="1" applyProtection="1">
      <alignment horizontal="center"/>
      <protection locked="0"/>
    </xf>
    <xf numFmtId="0" fontId="96" fillId="0" borderId="0" xfId="0" applyFont="1" applyBorder="1" applyAlignment="1" applyProtection="1">
      <protection hidden="1"/>
    </xf>
    <xf numFmtId="0" fontId="96" fillId="0" borderId="0" xfId="0" applyNumberFormat="1" applyFont="1" applyBorder="1" applyAlignment="1" applyProtection="1">
      <protection hidden="1"/>
    </xf>
    <xf numFmtId="0" fontId="105" fillId="0" borderId="0" xfId="0" applyFont="1" applyBorder="1" applyAlignment="1" applyProtection="1">
      <protection hidden="1"/>
    </xf>
    <xf numFmtId="0" fontId="105" fillId="0" borderId="0" xfId="0" applyFont="1" applyAlignment="1" applyProtection="1">
      <protection hidden="1"/>
    </xf>
    <xf numFmtId="0" fontId="107" fillId="9" borderId="0" xfId="0" applyFont="1" applyFill="1" applyProtection="1">
      <protection hidden="1"/>
    </xf>
    <xf numFmtId="0" fontId="96" fillId="0" borderId="3" xfId="0" applyFont="1" applyBorder="1" applyProtection="1">
      <protection hidden="1"/>
    </xf>
    <xf numFmtId="0" fontId="107" fillId="9" borderId="0" xfId="0" applyFont="1" applyFill="1" applyBorder="1" applyProtection="1">
      <protection hidden="1"/>
    </xf>
    <xf numFmtId="0" fontId="96" fillId="0" borderId="0" xfId="0" applyFont="1" applyAlignment="1" applyProtection="1">
      <alignment horizontal="right" vertical="center"/>
      <protection hidden="1"/>
    </xf>
    <xf numFmtId="0" fontId="96" fillId="0" borderId="10" xfId="0" applyFont="1" applyBorder="1" applyAlignment="1" applyProtection="1">
      <alignment vertical="center"/>
      <protection hidden="1"/>
    </xf>
    <xf numFmtId="0" fontId="96" fillId="0" borderId="37" xfId="0" applyFont="1" applyBorder="1" applyAlignment="1" applyProtection="1">
      <alignment vertical="center"/>
      <protection hidden="1"/>
    </xf>
    <xf numFmtId="0" fontId="96" fillId="0" borderId="35" xfId="0" applyFont="1" applyBorder="1" applyAlignment="1" applyProtection="1">
      <alignment vertical="center"/>
      <protection hidden="1"/>
    </xf>
    <xf numFmtId="0" fontId="105" fillId="0" borderId="2" xfId="0" applyFont="1" applyBorder="1" applyAlignment="1" applyProtection="1">
      <alignment horizontal="center" vertical="center"/>
      <protection hidden="1"/>
    </xf>
    <xf numFmtId="0" fontId="107" fillId="9" borderId="0" xfId="0" applyFont="1" applyFill="1" applyBorder="1" applyAlignment="1" applyProtection="1">
      <alignment horizontal="left"/>
      <protection hidden="1"/>
    </xf>
    <xf numFmtId="0" fontId="108" fillId="9" borderId="0" xfId="0" applyFont="1" applyFill="1" applyBorder="1" applyAlignment="1" applyProtection="1">
      <alignment horizontal="center" vertical="center" wrapText="1"/>
      <protection hidden="1"/>
    </xf>
    <xf numFmtId="0" fontId="108" fillId="9" borderId="3" xfId="0" applyFont="1" applyFill="1" applyBorder="1" applyAlignment="1" applyProtection="1">
      <alignment horizontal="center" vertical="center" wrapText="1"/>
      <protection hidden="1"/>
    </xf>
    <xf numFmtId="0" fontId="105" fillId="0" borderId="0" xfId="0" applyFont="1" applyFill="1" applyBorder="1" applyAlignment="1" applyProtection="1">
      <alignment vertical="center" shrinkToFit="1"/>
      <protection hidden="1"/>
    </xf>
    <xf numFmtId="0" fontId="96" fillId="0" borderId="2" xfId="0" applyFont="1" applyBorder="1" applyAlignment="1" applyProtection="1">
      <alignment vertical="center" shrinkToFit="1"/>
      <protection hidden="1"/>
    </xf>
    <xf numFmtId="0" fontId="96" fillId="0" borderId="0" xfId="0" applyFont="1" applyBorder="1" applyAlignment="1" applyProtection="1">
      <alignment vertical="center" shrinkToFit="1"/>
      <protection hidden="1"/>
    </xf>
    <xf numFmtId="0" fontId="105" fillId="0" borderId="2" xfId="0" applyFont="1" applyBorder="1" applyAlignment="1" applyProtection="1">
      <alignment horizontal="center" vertical="center" shrinkToFit="1"/>
      <protection hidden="1"/>
    </xf>
    <xf numFmtId="0" fontId="107" fillId="9" borderId="0" xfId="0" applyFont="1" applyFill="1" applyBorder="1" applyAlignment="1" applyProtection="1">
      <alignment horizontal="left" shrinkToFit="1"/>
      <protection hidden="1"/>
    </xf>
    <xf numFmtId="0" fontId="108" fillId="9" borderId="0" xfId="0" applyFont="1" applyFill="1" applyBorder="1" applyAlignment="1" applyProtection="1">
      <alignment horizontal="center" vertical="center" shrinkToFit="1"/>
      <protection hidden="1"/>
    </xf>
    <xf numFmtId="0" fontId="108" fillId="9" borderId="3" xfId="0" applyFont="1" applyFill="1" applyBorder="1" applyAlignment="1" applyProtection="1">
      <alignment horizontal="center" vertical="center" shrinkToFit="1"/>
      <protection hidden="1"/>
    </xf>
    <xf numFmtId="0" fontId="107" fillId="9" borderId="4" xfId="0" applyFont="1" applyFill="1" applyBorder="1" applyAlignment="1" applyProtection="1">
      <alignment horizontal="left"/>
      <protection hidden="1"/>
    </xf>
    <xf numFmtId="0" fontId="108" fillId="9" borderId="4" xfId="0" applyFont="1" applyFill="1" applyBorder="1" applyAlignment="1" applyProtection="1">
      <alignment horizontal="center" vertical="center" wrapText="1"/>
      <protection hidden="1"/>
    </xf>
    <xf numFmtId="3" fontId="6" fillId="0" borderId="37" xfId="0" applyNumberFormat="1" applyFont="1" applyFill="1" applyBorder="1" applyAlignment="1" applyProtection="1">
      <alignment horizontal="center" vertical="center"/>
      <protection locked="0"/>
    </xf>
    <xf numFmtId="0" fontId="6" fillId="0" borderId="37" xfId="0" applyNumberFormat="1" applyFont="1" applyFill="1" applyBorder="1" applyAlignment="1" applyProtection="1">
      <alignment horizontal="center"/>
      <protection locked="0"/>
    </xf>
    <xf numFmtId="0" fontId="6" fillId="0" borderId="37" xfId="0" applyFont="1" applyFill="1" applyBorder="1" applyAlignment="1" applyProtection="1">
      <alignment horizontal="center"/>
      <protection locked="0"/>
    </xf>
    <xf numFmtId="165" fontId="3" fillId="0" borderId="3" xfId="0" applyNumberFormat="1" applyFont="1" applyBorder="1" applyAlignment="1">
      <alignment horizontal="center"/>
    </xf>
    <xf numFmtId="2" fontId="1" fillId="9" borderId="0" xfId="0" applyNumberFormat="1" applyFont="1" applyFill="1" applyBorder="1" applyAlignment="1">
      <alignment vertical="center"/>
    </xf>
    <xf numFmtId="2" fontId="43" fillId="7" borderId="0" xfId="0" applyNumberFormat="1" applyFont="1" applyFill="1"/>
    <xf numFmtId="0" fontId="96" fillId="0" borderId="0" xfId="0" applyFont="1" applyProtection="1">
      <protection locked="0" hidden="1"/>
    </xf>
    <xf numFmtId="0" fontId="34" fillId="0" borderId="0" xfId="0" applyFont="1" applyBorder="1" applyAlignment="1">
      <alignment horizontal="center"/>
    </xf>
    <xf numFmtId="0" fontId="9" fillId="0" borderId="0" xfId="0" applyFont="1" applyBorder="1"/>
    <xf numFmtId="3" fontId="3" fillId="0" borderId="0" xfId="0" applyNumberFormat="1" applyFont="1" applyBorder="1" applyAlignment="1">
      <alignment horizontal="center"/>
    </xf>
    <xf numFmtId="2" fontId="0" fillId="0" borderId="0" xfId="0" applyNumberFormat="1" applyBorder="1"/>
    <xf numFmtId="0" fontId="110" fillId="0" borderId="7" xfId="0" applyFont="1" applyFill="1" applyBorder="1" applyAlignment="1" applyProtection="1">
      <alignment horizontal="center" vertical="center"/>
      <protection locked="0"/>
    </xf>
    <xf numFmtId="0" fontId="3" fillId="0" borderId="7" xfId="0" applyFont="1" applyFill="1" applyBorder="1" applyAlignment="1" applyProtection="1">
      <alignment horizontal="center" vertical="center"/>
      <protection locked="0"/>
    </xf>
    <xf numFmtId="0" fontId="111" fillId="28" borderId="3" xfId="0" applyFont="1" applyFill="1" applyBorder="1" applyAlignment="1">
      <alignment horizontal="center" vertical="center" wrapText="1"/>
    </xf>
    <xf numFmtId="0" fontId="111" fillId="28" borderId="31" xfId="0" applyFont="1" applyFill="1" applyBorder="1" applyAlignment="1">
      <alignment horizontal="center" vertical="center" wrapText="1"/>
    </xf>
    <xf numFmtId="0" fontId="112" fillId="0" borderId="3" xfId="0" applyFont="1" applyBorder="1" applyAlignment="1" applyProtection="1">
      <alignment horizontal="center" vertical="center"/>
      <protection locked="0"/>
    </xf>
    <xf numFmtId="0" fontId="3" fillId="0" borderId="2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35" xfId="0" applyFont="1" applyBorder="1" applyAlignment="1">
      <alignment vertical="center"/>
    </xf>
    <xf numFmtId="0" fontId="3" fillId="0" borderId="37" xfId="0" applyFont="1" applyBorder="1" applyAlignment="1">
      <alignment horizontal="center"/>
    </xf>
    <xf numFmtId="0" fontId="3" fillId="0" borderId="2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37" xfId="0" applyFont="1" applyBorder="1" applyAlignment="1">
      <alignment vertical="center"/>
    </xf>
    <xf numFmtId="0" fontId="3" fillId="0" borderId="34" xfId="0" applyFont="1" applyFill="1" applyBorder="1" applyAlignment="1">
      <alignment vertical="center"/>
    </xf>
    <xf numFmtId="0" fontId="3" fillId="0" borderId="4" xfId="0" applyFont="1" applyFill="1" applyBorder="1" applyAlignment="1">
      <alignment vertical="center"/>
    </xf>
    <xf numFmtId="0" fontId="3" fillId="0" borderId="4" xfId="0" applyFont="1" applyBorder="1" applyAlignment="1">
      <alignment vertical="center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0" fontId="3" fillId="0" borderId="3" xfId="0" applyFont="1" applyFill="1" applyBorder="1" applyAlignment="1" applyProtection="1">
      <alignment horizontal="center" vertical="center" wrapText="1"/>
      <protection locked="0"/>
    </xf>
    <xf numFmtId="0" fontId="3" fillId="0" borderId="3" xfId="0" applyFont="1" applyFill="1" applyBorder="1" applyAlignment="1" applyProtection="1">
      <alignment horizontal="center" vertical="center" wrapText="1"/>
      <protection hidden="1"/>
    </xf>
    <xf numFmtId="0" fontId="3" fillId="0" borderId="2" xfId="0" applyFont="1" applyFill="1" applyBorder="1" applyAlignment="1" applyProtection="1">
      <alignment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0" fontId="1" fillId="0" borderId="0" xfId="0" applyFont="1" applyProtection="1">
      <protection locked="0"/>
    </xf>
    <xf numFmtId="0" fontId="3" fillId="0" borderId="7" xfId="0" applyFont="1" applyBorder="1" applyAlignment="1" applyProtection="1">
      <alignment horizontal="left" vertical="center" shrinkToFit="1"/>
      <protection locked="0"/>
    </xf>
    <xf numFmtId="0" fontId="3" fillId="0" borderId="3" xfId="0" applyFont="1" applyFill="1" applyBorder="1" applyAlignment="1" applyProtection="1">
      <alignment horizontal="center" vertical="center" shrinkToFit="1"/>
      <protection locked="0"/>
    </xf>
    <xf numFmtId="0" fontId="3" fillId="0" borderId="3" xfId="0" applyFont="1" applyBorder="1" applyAlignment="1" applyProtection="1">
      <alignment horizontal="center" vertical="center" shrinkToFit="1"/>
      <protection locked="0"/>
    </xf>
    <xf numFmtId="0" fontId="7" fillId="0" borderId="0" xfId="0" applyFont="1" applyFill="1" applyBorder="1" applyAlignment="1" applyProtection="1">
      <alignment vertical="center"/>
      <protection locked="0"/>
    </xf>
    <xf numFmtId="0" fontId="18" fillId="0" borderId="0" xfId="0" applyFont="1" applyFill="1" applyAlignment="1" applyProtection="1">
      <alignment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109" fillId="0" borderId="32" xfId="0" applyFont="1" applyBorder="1" applyAlignment="1" applyProtection="1">
      <alignment horizontal="center" vertical="center"/>
      <protection locked="0"/>
    </xf>
    <xf numFmtId="0" fontId="109" fillId="0" borderId="3" xfId="0" applyFont="1" applyBorder="1" applyAlignment="1" applyProtection="1">
      <alignment horizontal="left" vertical="center"/>
      <protection locked="0"/>
    </xf>
    <xf numFmtId="0" fontId="109" fillId="0" borderId="3" xfId="0" applyFont="1" applyBorder="1" applyAlignment="1" applyProtection="1">
      <alignment horizontal="center" vertical="center"/>
      <protection locked="0"/>
    </xf>
    <xf numFmtId="0" fontId="109" fillId="0" borderId="0" xfId="0" applyFont="1" applyBorder="1" applyAlignment="1" applyProtection="1">
      <alignment horizontal="center" vertical="center"/>
      <protection locked="0"/>
    </xf>
    <xf numFmtId="0" fontId="109" fillId="0" borderId="31" xfId="0" applyFont="1" applyBorder="1" applyAlignment="1" applyProtection="1">
      <alignment horizontal="center" vertical="center"/>
      <protection locked="0"/>
    </xf>
    <xf numFmtId="0" fontId="109" fillId="0" borderId="0" xfId="0" applyFont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31" xfId="0" applyFont="1" applyBorder="1" applyAlignment="1" applyProtection="1">
      <alignment horizontal="center" vertical="center"/>
      <protection locked="0"/>
    </xf>
    <xf numFmtId="0" fontId="116" fillId="0" borderId="3" xfId="0" applyFont="1" applyFill="1" applyBorder="1" applyAlignment="1" applyProtection="1">
      <alignment horizontal="center" vertical="center" wrapText="1"/>
      <protection locked="0"/>
    </xf>
    <xf numFmtId="2" fontId="3" fillId="0" borderId="32" xfId="0" applyNumberFormat="1" applyFont="1" applyBorder="1" applyAlignment="1" applyProtection="1">
      <alignment horizontal="center"/>
    </xf>
    <xf numFmtId="0" fontId="74" fillId="0" borderId="3" xfId="0" applyFont="1" applyBorder="1" applyAlignment="1">
      <alignment horizontal="center"/>
    </xf>
    <xf numFmtId="0" fontId="2" fillId="0" borderId="3" xfId="0" applyFont="1" applyBorder="1" applyAlignment="1" applyProtection="1">
      <alignment horizontal="center"/>
    </xf>
    <xf numFmtId="2" fontId="2" fillId="0" borderId="3" xfId="0" applyNumberFormat="1" applyFont="1" applyBorder="1" applyAlignment="1" applyProtection="1">
      <alignment horizontal="center"/>
    </xf>
    <xf numFmtId="0" fontId="2" fillId="0" borderId="31" xfId="0" applyFont="1" applyBorder="1" applyAlignment="1" applyProtection="1">
      <alignment horizontal="center"/>
    </xf>
    <xf numFmtId="2" fontId="3" fillId="0" borderId="31" xfId="0" applyNumberFormat="1" applyFont="1" applyBorder="1" applyAlignment="1" applyProtection="1">
      <alignment horizontal="center"/>
    </xf>
    <xf numFmtId="0" fontId="3" fillId="0" borderId="0" xfId="0" applyFont="1" applyFill="1" applyBorder="1" applyAlignment="1" applyProtection="1">
      <alignment vertical="center" shrinkToFit="1"/>
      <protection locked="0"/>
    </xf>
    <xf numFmtId="0" fontId="117" fillId="0" borderId="0" xfId="0" applyFont="1" applyFill="1" applyBorder="1" applyAlignment="1" applyProtection="1">
      <alignment vertical="center" wrapText="1" shrinkToFit="1"/>
      <protection locked="0"/>
    </xf>
    <xf numFmtId="0" fontId="3" fillId="0" borderId="7" xfId="0" applyFont="1" applyBorder="1" applyAlignment="1" applyProtection="1">
      <alignment horizontal="center" vertical="center" shrinkToFit="1"/>
    </xf>
    <xf numFmtId="0" fontId="1" fillId="0" borderId="0" xfId="0" applyFont="1" applyFill="1" applyProtection="1">
      <protection locked="0"/>
    </xf>
    <xf numFmtId="0" fontId="1" fillId="0" borderId="0" xfId="0" applyFont="1" applyFill="1" applyAlignment="1" applyProtection="1">
      <alignment vertical="center"/>
      <protection locked="0"/>
    </xf>
    <xf numFmtId="0" fontId="1" fillId="0" borderId="0" xfId="0" applyFont="1" applyFill="1" applyBorder="1" applyProtection="1">
      <protection locked="0"/>
    </xf>
    <xf numFmtId="0" fontId="111" fillId="28" borderId="32" xfId="0" applyFont="1" applyFill="1" applyBorder="1" applyAlignment="1">
      <alignment horizontal="center" vertical="center" wrapText="1"/>
    </xf>
    <xf numFmtId="0" fontId="3" fillId="0" borderId="30" xfId="0" applyFont="1" applyBorder="1" applyAlignment="1" applyProtection="1">
      <alignment horizontal="center" vertical="center"/>
      <protection locked="0"/>
    </xf>
    <xf numFmtId="0" fontId="118" fillId="0" borderId="11" xfId="0" applyFont="1" applyFill="1" applyBorder="1" applyAlignment="1" applyProtection="1">
      <alignment horizontal="center" vertical="center" wrapText="1"/>
      <protection hidden="1"/>
    </xf>
    <xf numFmtId="0" fontId="118" fillId="0" borderId="7" xfId="0" applyFont="1" applyFill="1" applyBorder="1" applyAlignment="1" applyProtection="1">
      <alignment horizontal="center" vertical="center" wrapText="1"/>
      <protection hidden="1"/>
    </xf>
    <xf numFmtId="0" fontId="118" fillId="0" borderId="2" xfId="0" applyFont="1" applyFill="1" applyBorder="1" applyAlignment="1" applyProtection="1">
      <alignment horizontal="center" vertical="center" wrapText="1"/>
      <protection hidden="1"/>
    </xf>
    <xf numFmtId="0" fontId="118" fillId="0" borderId="0" xfId="0" applyFont="1" applyFill="1" applyBorder="1" applyAlignment="1" applyProtection="1">
      <alignment horizontal="center" vertical="center" wrapText="1"/>
      <protection hidden="1"/>
    </xf>
    <xf numFmtId="0" fontId="118" fillId="0" borderId="8" xfId="0" applyFont="1" applyFill="1" applyBorder="1" applyAlignment="1" applyProtection="1">
      <alignment horizontal="center" vertical="center" wrapText="1"/>
      <protection hidden="1"/>
    </xf>
    <xf numFmtId="0" fontId="118" fillId="0" borderId="34" xfId="0" applyFont="1" applyFill="1" applyBorder="1" applyAlignment="1" applyProtection="1">
      <alignment horizontal="center" vertical="center" wrapText="1"/>
      <protection hidden="1"/>
    </xf>
    <xf numFmtId="0" fontId="118" fillId="0" borderId="4" xfId="0" applyFont="1" applyFill="1" applyBorder="1" applyAlignment="1" applyProtection="1">
      <alignment horizontal="center" vertical="center" wrapText="1"/>
      <protection hidden="1"/>
    </xf>
    <xf numFmtId="0" fontId="3" fillId="0" borderId="3" xfId="0" applyFont="1" applyFill="1" applyBorder="1" applyAlignment="1" applyProtection="1">
      <alignment horizontal="center" vertical="center" shrinkToFit="1"/>
    </xf>
    <xf numFmtId="173" fontId="119" fillId="0" borderId="3" xfId="0" applyNumberFormat="1" applyFont="1" applyBorder="1" applyAlignment="1">
      <alignment horizontal="center"/>
    </xf>
    <xf numFmtId="0" fontId="31" fillId="0" borderId="0" xfId="0" applyFont="1" applyBorder="1" applyAlignment="1">
      <alignment horizontal="center"/>
    </xf>
    <xf numFmtId="167" fontId="0" fillId="0" borderId="0" xfId="0" applyNumberFormat="1" applyBorder="1" applyAlignment="1">
      <alignment horizontal="center"/>
    </xf>
    <xf numFmtId="167" fontId="0" fillId="0" borderId="0" xfId="0" applyNumberFormat="1" applyAlignment="1">
      <alignment horizontal="center"/>
    </xf>
    <xf numFmtId="0" fontId="3" fillId="0" borderId="0" xfId="0" applyFont="1" applyAlignment="1">
      <alignment horizontal="right"/>
    </xf>
    <xf numFmtId="0" fontId="105" fillId="0" borderId="0" xfId="0" applyFont="1" applyFill="1" applyBorder="1" applyProtection="1">
      <protection hidden="1"/>
    </xf>
    <xf numFmtId="2" fontId="96" fillId="0" borderId="0" xfId="0" applyNumberFormat="1" applyFont="1" applyFill="1" applyBorder="1" applyAlignment="1" applyProtection="1">
      <alignment horizontal="left" vertical="center" indent="1"/>
      <protection locked="0"/>
    </xf>
    <xf numFmtId="0" fontId="109" fillId="0" borderId="31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109" fillId="0" borderId="0" xfId="0" applyFont="1" applyFill="1" applyBorder="1" applyAlignment="1" applyProtection="1">
      <alignment horizontal="center" vertical="center"/>
      <protection locked="0"/>
    </xf>
    <xf numFmtId="0" fontId="2" fillId="0" borderId="31" xfId="0" applyFont="1" applyFill="1" applyBorder="1"/>
    <xf numFmtId="1" fontId="1" fillId="0" borderId="3" xfId="0" applyNumberFormat="1" applyFont="1" applyBorder="1" applyAlignment="1" applyProtection="1">
      <alignment horizontal="center"/>
    </xf>
    <xf numFmtId="1" fontId="1" fillId="0" borderId="3" xfId="0" applyNumberFormat="1" applyFont="1" applyBorder="1" applyProtection="1"/>
    <xf numFmtId="0" fontId="96" fillId="0" borderId="0" xfId="0" applyFont="1" applyBorder="1" applyAlignment="1" applyProtection="1">
      <alignment horizontal="center"/>
      <protection hidden="1"/>
    </xf>
    <xf numFmtId="2" fontId="2" fillId="0" borderId="0" xfId="0" applyNumberFormat="1" applyFont="1" applyFill="1"/>
    <xf numFmtId="0" fontId="21" fillId="0" borderId="0" xfId="0" applyFont="1" applyAlignment="1" applyProtection="1">
      <alignment horizontal="center" vertical="center"/>
      <protection locked="0"/>
    </xf>
    <xf numFmtId="0" fontId="14" fillId="2" borderId="0" xfId="0" applyFont="1" applyFill="1" applyProtection="1">
      <protection locked="0"/>
    </xf>
    <xf numFmtId="0" fontId="14" fillId="0" borderId="0" xfId="0" applyFont="1" applyFill="1" applyAlignment="1" applyProtection="1">
      <alignment horizontal="center"/>
      <protection locked="0"/>
    </xf>
    <xf numFmtId="0" fontId="14" fillId="0" borderId="3" xfId="0" applyFont="1" applyFill="1" applyBorder="1" applyProtection="1">
      <protection locked="0"/>
    </xf>
    <xf numFmtId="0" fontId="5" fillId="0" borderId="0" xfId="0" applyFont="1" applyFill="1" applyBorder="1" applyAlignment="1" applyProtection="1">
      <alignment horizontal="center" vertical="center"/>
      <protection locked="0"/>
    </xf>
    <xf numFmtId="0" fontId="0" fillId="0" borderId="7" xfId="0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Border="1" applyAlignment="1" applyProtection="1">
      <alignment horizontal="right" vertical="center" wrapText="1"/>
      <protection locked="0"/>
    </xf>
    <xf numFmtId="0" fontId="6" fillId="0" borderId="0" xfId="0" applyFont="1" applyFill="1" applyBorder="1" applyAlignment="1" applyProtection="1">
      <alignment vertical="center"/>
      <protection locked="0"/>
    </xf>
    <xf numFmtId="0" fontId="0" fillId="0" borderId="2" xfId="0" applyBorder="1" applyProtection="1">
      <protection locked="0"/>
    </xf>
    <xf numFmtId="0" fontId="3" fillId="0" borderId="29" xfId="0" applyFont="1" applyBorder="1" applyProtection="1"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37" xfId="0" applyFont="1" applyBorder="1" applyAlignment="1" applyProtection="1">
      <alignment vertical="center"/>
      <protection locked="0"/>
    </xf>
    <xf numFmtId="0" fontId="111" fillId="28" borderId="3" xfId="0" applyFont="1" applyFill="1" applyBorder="1" applyAlignment="1" applyProtection="1">
      <alignment horizontal="center" vertical="center" wrapText="1"/>
      <protection locked="0"/>
    </xf>
    <xf numFmtId="0" fontId="6" fillId="0" borderId="2" xfId="0" applyFont="1" applyBorder="1" applyAlignment="1" applyProtection="1">
      <protection locked="0"/>
    </xf>
    <xf numFmtId="0" fontId="3" fillId="0" borderId="2" xfId="0" applyFont="1" applyBorder="1" applyAlignment="1" applyProtection="1">
      <alignment vertical="center"/>
      <protection locked="0"/>
    </xf>
    <xf numFmtId="0" fontId="6" fillId="0" borderId="2" xfId="0" applyFont="1" applyFill="1" applyBorder="1" applyAlignment="1" applyProtection="1">
      <alignment vertical="center"/>
      <protection locked="0"/>
    </xf>
    <xf numFmtId="0" fontId="111" fillId="28" borderId="30" xfId="0" applyFont="1" applyFill="1" applyBorder="1" applyAlignment="1" applyProtection="1">
      <alignment horizontal="center" vertical="center" wrapText="1"/>
      <protection locked="0"/>
    </xf>
    <xf numFmtId="0" fontId="6" fillId="0" borderId="2" xfId="0" applyFont="1" applyFill="1" applyBorder="1" applyAlignment="1" applyProtection="1">
      <alignment horizontal="center" vertical="center"/>
      <protection locked="0"/>
    </xf>
    <xf numFmtId="0" fontId="6" fillId="0" borderId="2" xfId="0" applyFont="1" applyFill="1" applyBorder="1" applyAlignment="1" applyProtection="1">
      <alignment horizontal="center"/>
      <protection locked="0"/>
    </xf>
    <xf numFmtId="0" fontId="0" fillId="0" borderId="0" xfId="0" applyFill="1" applyBorder="1" applyAlignment="1" applyProtection="1">
      <alignment vertical="center" wrapText="1"/>
      <protection locked="0"/>
    </xf>
    <xf numFmtId="0" fontId="5" fillId="0" borderId="0" xfId="0" applyFont="1" applyBorder="1" applyAlignment="1" applyProtection="1">
      <alignment vertical="justify"/>
      <protection locked="0"/>
    </xf>
    <xf numFmtId="0" fontId="12" fillId="0" borderId="4" xfId="0" applyFont="1" applyFill="1" applyBorder="1" applyAlignment="1" applyProtection="1">
      <alignment horizontal="left" vertical="center"/>
      <protection locked="0"/>
    </xf>
    <xf numFmtId="0" fontId="3" fillId="0" borderId="34" xfId="0" applyFont="1" applyFill="1" applyBorder="1" applyAlignment="1" applyProtection="1">
      <alignment vertical="center"/>
      <protection locked="0"/>
    </xf>
    <xf numFmtId="0" fontId="3" fillId="0" borderId="4" xfId="0" applyFont="1" applyFill="1" applyBorder="1" applyAlignment="1" applyProtection="1">
      <alignment vertical="center"/>
      <protection locked="0"/>
    </xf>
    <xf numFmtId="0" fontId="3" fillId="0" borderId="4" xfId="0" applyFont="1" applyBorder="1" applyAlignment="1" applyProtection="1">
      <alignment vertical="center"/>
      <protection locked="0"/>
    </xf>
    <xf numFmtId="0" fontId="3" fillId="0" borderId="35" xfId="0" applyFont="1" applyBorder="1" applyAlignment="1" applyProtection="1">
      <alignment vertical="center"/>
      <protection locked="0"/>
    </xf>
    <xf numFmtId="0" fontId="96" fillId="0" borderId="0" xfId="0" applyFont="1" applyFill="1" applyBorder="1" applyAlignment="1" applyProtection="1">
      <alignment vertical="center"/>
      <protection hidden="1"/>
    </xf>
    <xf numFmtId="2" fontId="75" fillId="6" borderId="0" xfId="0" applyNumberFormat="1" applyFont="1" applyFill="1" applyBorder="1" applyAlignment="1">
      <alignment horizontal="center"/>
    </xf>
    <xf numFmtId="0" fontId="105" fillId="0" borderId="0" xfId="0" applyFont="1" applyBorder="1" applyAlignment="1" applyProtection="1">
      <alignment horizontal="center"/>
      <protection hidden="1"/>
    </xf>
    <xf numFmtId="0" fontId="14" fillId="0" borderId="0" xfId="0" applyFont="1" applyAlignment="1" applyProtection="1">
      <protection locked="0"/>
    </xf>
    <xf numFmtId="0" fontId="3" fillId="0" borderId="4" xfId="0" applyFont="1" applyFill="1" applyBorder="1" applyAlignment="1" applyProtection="1">
      <alignment horizontal="center" vertical="center"/>
      <protection locked="0"/>
    </xf>
    <xf numFmtId="0" fontId="92" fillId="0" borderId="4" xfId="0" applyFont="1" applyFill="1" applyBorder="1"/>
    <xf numFmtId="1" fontId="122" fillId="0" borderId="7" xfId="0" applyNumberFormat="1" applyFont="1" applyBorder="1" applyProtection="1"/>
    <xf numFmtId="1" fontId="119" fillId="0" borderId="7" xfId="0" applyNumberFormat="1" applyFont="1" applyBorder="1" applyProtection="1"/>
    <xf numFmtId="1" fontId="119" fillId="0" borderId="0" xfId="0" applyNumberFormat="1" applyFont="1" applyBorder="1" applyProtection="1"/>
    <xf numFmtId="1" fontId="119" fillId="0" borderId="4" xfId="0" applyNumberFormat="1" applyFont="1" applyBorder="1" applyProtection="1"/>
    <xf numFmtId="1" fontId="119" fillId="0" borderId="20" xfId="0" applyNumberFormat="1" applyFont="1" applyBorder="1" applyProtection="1"/>
    <xf numFmtId="2" fontId="119" fillId="0" borderId="0" xfId="0" applyNumberFormat="1" applyFont="1" applyBorder="1" applyAlignment="1" applyProtection="1">
      <alignment horizontal="center"/>
    </xf>
    <xf numFmtId="0" fontId="119" fillId="0" borderId="33" xfId="0" applyFont="1" applyBorder="1" applyProtection="1"/>
    <xf numFmtId="0" fontId="119" fillId="0" borderId="0" xfId="0" applyFont="1" applyBorder="1" applyAlignment="1" applyProtection="1">
      <alignment horizontal="center"/>
    </xf>
    <xf numFmtId="0" fontId="119" fillId="0" borderId="0" xfId="0" applyFont="1"/>
    <xf numFmtId="0" fontId="119" fillId="0" borderId="7" xfId="0" applyFont="1" applyBorder="1" applyAlignment="1" applyProtection="1">
      <alignment horizontal="center"/>
    </xf>
    <xf numFmtId="0" fontId="119" fillId="0" borderId="33" xfId="0" applyFont="1" applyBorder="1" applyAlignment="1">
      <alignment horizontal="center"/>
    </xf>
    <xf numFmtId="0" fontId="109" fillId="0" borderId="3" xfId="0" applyFont="1" applyBorder="1" applyAlignment="1" applyProtection="1">
      <alignment vertical="center" shrinkToFit="1"/>
      <protection locked="0"/>
    </xf>
    <xf numFmtId="0" fontId="109" fillId="0" borderId="31" xfId="0" applyFont="1" applyBorder="1" applyAlignment="1" applyProtection="1">
      <alignment vertical="center" shrinkToFit="1"/>
      <protection locked="0"/>
    </xf>
    <xf numFmtId="0" fontId="0" fillId="0" borderId="11" xfId="0" applyBorder="1"/>
    <xf numFmtId="1" fontId="96" fillId="0" borderId="0" xfId="0" applyNumberFormat="1" applyFont="1" applyProtection="1">
      <protection hidden="1"/>
    </xf>
    <xf numFmtId="49" fontId="96" fillId="0" borderId="0" xfId="0" applyNumberFormat="1" applyFont="1" applyProtection="1">
      <protection hidden="1"/>
    </xf>
    <xf numFmtId="1" fontId="0" fillId="0" borderId="3" xfId="0" applyNumberFormat="1" applyBorder="1"/>
    <xf numFmtId="176" fontId="96" fillId="0" borderId="29" xfId="0" applyNumberFormat="1" applyFont="1" applyBorder="1" applyAlignment="1" applyProtection="1">
      <alignment vertical="center"/>
      <protection hidden="1"/>
    </xf>
    <xf numFmtId="176" fontId="96" fillId="0" borderId="4" xfId="0" applyNumberFormat="1" applyFont="1" applyBorder="1" applyAlignment="1" applyProtection="1">
      <alignment vertical="center"/>
      <protection hidden="1"/>
    </xf>
    <xf numFmtId="176" fontId="96" fillId="0" borderId="35" xfId="0" applyNumberFormat="1" applyFont="1" applyBorder="1" applyAlignment="1" applyProtection="1">
      <alignment vertical="center"/>
      <protection hidden="1"/>
    </xf>
    <xf numFmtId="0" fontId="109" fillId="0" borderId="3" xfId="0" applyFont="1" applyBorder="1" applyAlignment="1" applyProtection="1">
      <alignment horizontal="left" vertical="center" shrinkToFit="1"/>
      <protection locked="0"/>
    </xf>
    <xf numFmtId="0" fontId="109" fillId="0" borderId="3" xfId="0" applyFont="1" applyFill="1" applyBorder="1" applyAlignment="1" applyProtection="1">
      <alignment horizontal="left" vertical="center" shrinkToFit="1"/>
      <protection locked="0"/>
    </xf>
    <xf numFmtId="0" fontId="3" fillId="0" borderId="8" xfId="0" applyFont="1" applyBorder="1" applyAlignment="1" applyProtection="1">
      <alignment horizontal="center" vertical="center"/>
      <protection locked="0"/>
    </xf>
    <xf numFmtId="0" fontId="30" fillId="0" borderId="38" xfId="0" applyFont="1" applyBorder="1" applyAlignment="1">
      <alignment horizontal="center"/>
    </xf>
    <xf numFmtId="0" fontId="109" fillId="0" borderId="0" xfId="0" applyFont="1" applyBorder="1" applyAlignment="1" applyProtection="1">
      <alignment vertical="center" shrinkToFit="1"/>
      <protection locked="0"/>
    </xf>
    <xf numFmtId="0" fontId="3" fillId="0" borderId="10" xfId="0" applyFont="1" applyBorder="1" applyAlignment="1" applyProtection="1">
      <alignment horizontal="center" vertical="center"/>
      <protection locked="0"/>
    </xf>
    <xf numFmtId="0" fontId="109" fillId="0" borderId="30" xfId="0" applyFont="1" applyBorder="1" applyAlignment="1" applyProtection="1">
      <alignment horizontal="left" vertical="center"/>
      <protection locked="0"/>
    </xf>
    <xf numFmtId="0" fontId="109" fillId="0" borderId="29" xfId="0" applyFont="1" applyBorder="1" applyAlignment="1" applyProtection="1">
      <alignment vertical="center" shrinkToFit="1"/>
      <protection locked="0"/>
    </xf>
    <xf numFmtId="0" fontId="109" fillId="0" borderId="33" xfId="0" applyFont="1" applyBorder="1" applyAlignment="1" applyProtection="1">
      <alignment vertical="center" shrinkToFit="1"/>
      <protection locked="0"/>
    </xf>
    <xf numFmtId="0" fontId="109" fillId="0" borderId="10" xfId="0" applyFont="1" applyBorder="1" applyAlignment="1" applyProtection="1">
      <alignment vertical="center" shrinkToFit="1"/>
      <protection locked="0"/>
    </xf>
    <xf numFmtId="0" fontId="3" fillId="2" borderId="8" xfId="0" applyFont="1" applyFill="1" applyBorder="1" applyAlignment="1" applyProtection="1">
      <alignment horizontal="center" vertical="center"/>
      <protection locked="0"/>
    </xf>
    <xf numFmtId="1" fontId="3" fillId="0" borderId="31" xfId="0" applyNumberFormat="1" applyFont="1" applyBorder="1" applyAlignment="1" applyProtection="1">
      <alignment horizontal="center"/>
      <protection locked="0"/>
    </xf>
    <xf numFmtId="0" fontId="3" fillId="0" borderId="3" xfId="0" applyFont="1" applyBorder="1" applyAlignment="1" applyProtection="1">
      <alignment horizontal="center" vertical="center" wrapText="1"/>
      <protection locked="0"/>
    </xf>
    <xf numFmtId="0" fontId="109" fillId="0" borderId="31" xfId="0" applyFont="1" applyBorder="1" applyAlignment="1" applyProtection="1">
      <alignment horizontal="left" vertical="center" shrinkToFit="1"/>
    </xf>
    <xf numFmtId="0" fontId="109" fillId="0" borderId="31" xfId="0" applyFont="1" applyBorder="1" applyAlignment="1" applyProtection="1">
      <alignment vertical="center" shrinkToFit="1"/>
    </xf>
    <xf numFmtId="0" fontId="109" fillId="0" borderId="3" xfId="0" applyFont="1" applyBorder="1" applyAlignment="1" applyProtection="1">
      <alignment horizontal="left" vertical="center" shrinkToFit="1"/>
    </xf>
    <xf numFmtId="0" fontId="109" fillId="0" borderId="3" xfId="0" applyFont="1" applyBorder="1" applyAlignment="1" applyProtection="1">
      <alignment vertical="center" shrinkToFit="1"/>
    </xf>
    <xf numFmtId="0" fontId="109" fillId="0" borderId="3" xfId="0" applyFont="1" applyBorder="1" applyAlignment="1" applyProtection="1">
      <alignment vertical="center"/>
    </xf>
    <xf numFmtId="0" fontId="109" fillId="0" borderId="31" xfId="0" applyFont="1" applyBorder="1" applyAlignment="1" applyProtection="1">
      <alignment vertical="center"/>
    </xf>
    <xf numFmtId="0" fontId="3" fillId="0" borderId="3" xfId="0" applyFont="1" applyBorder="1" applyAlignment="1" applyProtection="1">
      <alignment horizontal="center" vertical="center"/>
    </xf>
    <xf numFmtId="1" fontId="3" fillId="0" borderId="3" xfId="0" applyNumberFormat="1" applyFont="1" applyBorder="1" applyAlignment="1" applyProtection="1">
      <alignment horizontal="center"/>
    </xf>
    <xf numFmtId="1" fontId="3" fillId="0" borderId="3" xfId="0" applyNumberFormat="1" applyFont="1" applyBorder="1" applyAlignment="1" applyProtection="1">
      <alignment horizontal="center" vertical="center"/>
    </xf>
    <xf numFmtId="0" fontId="3" fillId="0" borderId="3" xfId="0" applyFont="1" applyBorder="1" applyAlignment="1" applyProtection="1">
      <alignment horizontal="center" vertical="center" wrapText="1"/>
    </xf>
    <xf numFmtId="176" fontId="96" fillId="0" borderId="0" xfId="0" applyNumberFormat="1" applyFont="1" applyProtection="1">
      <protection hidden="1"/>
    </xf>
    <xf numFmtId="0" fontId="112" fillId="0" borderId="0" xfId="0" applyFont="1" applyBorder="1" applyAlignment="1" applyProtection="1">
      <alignment horizontal="center" vertical="center" shrinkToFit="1"/>
      <protection hidden="1"/>
    </xf>
    <xf numFmtId="0" fontId="112" fillId="0" borderId="0" xfId="0" applyFont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/>
      <protection locked="0"/>
    </xf>
    <xf numFmtId="49" fontId="3" fillId="0" borderId="11" xfId="0" applyNumberFormat="1" applyFont="1" applyBorder="1" applyAlignment="1" applyProtection="1">
      <alignment horizontal="center" vertical="center" shrinkToFit="1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1" fontId="3" fillId="0" borderId="11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right"/>
      <protection locked="0"/>
    </xf>
    <xf numFmtId="0" fontId="121" fillId="0" borderId="29" xfId="0" applyFont="1" applyBorder="1" applyAlignment="1" applyProtection="1">
      <alignment horizontal="center"/>
      <protection locked="0"/>
    </xf>
    <xf numFmtId="0" fontId="3" fillId="0" borderId="3" xfId="0" applyFont="1" applyFill="1" applyBorder="1" applyAlignment="1" applyProtection="1">
      <alignment horizontal="center" vertical="center"/>
      <protection locked="0"/>
    </xf>
    <xf numFmtId="0" fontId="3" fillId="23" borderId="29" xfId="0" applyFont="1" applyFill="1" applyBorder="1" applyAlignment="1" applyProtection="1">
      <alignment horizontal="center" vertical="center"/>
      <protection locked="0"/>
    </xf>
    <xf numFmtId="0" fontId="20" fillId="0" borderId="29" xfId="0" applyFont="1" applyBorder="1" applyAlignment="1" applyProtection="1">
      <alignment horizontal="center"/>
      <protection locked="0"/>
    </xf>
    <xf numFmtId="0" fontId="0" fillId="0" borderId="33" xfId="0" applyBorder="1"/>
    <xf numFmtId="49" fontId="3" fillId="0" borderId="3" xfId="0" applyNumberFormat="1" applyFont="1" applyBorder="1" applyAlignment="1" applyProtection="1">
      <alignment horizontal="center" vertical="center" shrinkToFit="1"/>
      <protection locked="0"/>
    </xf>
    <xf numFmtId="1" fontId="3" fillId="0" borderId="3" xfId="0" applyNumberFormat="1" applyFont="1" applyBorder="1" applyAlignment="1" applyProtection="1">
      <alignment horizontal="center" vertical="center"/>
      <protection locked="0"/>
    </xf>
    <xf numFmtId="0" fontId="3" fillId="0" borderId="32" xfId="0" applyFont="1" applyFill="1" applyBorder="1" applyAlignment="1" applyProtection="1">
      <alignment horizontal="center" vertical="center"/>
      <protection locked="0"/>
    </xf>
    <xf numFmtId="0" fontId="2" fillId="0" borderId="7" xfId="0" applyFont="1" applyFill="1" applyBorder="1" applyAlignment="1" applyProtection="1">
      <alignment horizontal="center" vertical="center"/>
      <protection locked="0"/>
    </xf>
    <xf numFmtId="0" fontId="3" fillId="23" borderId="34" xfId="0" applyFont="1" applyFill="1" applyBorder="1" applyAlignment="1" applyProtection="1">
      <alignment horizontal="center" vertical="center"/>
      <protection locked="0"/>
    </xf>
    <xf numFmtId="1" fontId="3" fillId="0" borderId="8" xfId="0" applyNumberFormat="1" applyFont="1" applyFill="1" applyBorder="1" applyAlignment="1" applyProtection="1">
      <alignment horizontal="center" vertical="center"/>
      <protection locked="0"/>
    </xf>
    <xf numFmtId="1" fontId="3" fillId="0" borderId="3" xfId="0" applyNumberFormat="1" applyFont="1" applyFill="1" applyBorder="1" applyAlignment="1" applyProtection="1">
      <alignment horizontal="center" vertical="center"/>
      <protection locked="0"/>
    </xf>
    <xf numFmtId="0" fontId="112" fillId="0" borderId="0" xfId="0" applyFont="1" applyBorder="1" applyAlignment="1" applyProtection="1">
      <alignment horizontal="center" vertical="center" shrinkToFit="1"/>
      <protection locked="0"/>
    </xf>
    <xf numFmtId="0" fontId="2" fillId="0" borderId="0" xfId="0" applyFont="1" applyAlignment="1" applyProtection="1">
      <alignment horizontal="center"/>
      <protection locked="0"/>
    </xf>
    <xf numFmtId="0" fontId="19" fillId="0" borderId="0" xfId="0" applyFont="1" applyBorder="1" applyAlignment="1" applyProtection="1">
      <alignment horizontal="center" vertical="center"/>
      <protection locked="0"/>
    </xf>
    <xf numFmtId="0" fontId="19" fillId="0" borderId="0" xfId="0" applyFont="1" applyBorder="1" applyAlignment="1" applyProtection="1">
      <alignment horizontal="center" vertical="center" shrinkToFit="1"/>
      <protection locked="0"/>
    </xf>
    <xf numFmtId="0" fontId="2" fillId="3" borderId="7" xfId="0" applyFont="1" applyFill="1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vertical="center"/>
      <protection locked="0"/>
    </xf>
    <xf numFmtId="1" fontId="3" fillId="0" borderId="7" xfId="0" applyNumberFormat="1" applyFont="1" applyFill="1" applyBorder="1" applyAlignment="1" applyProtection="1">
      <alignment horizontal="center" vertical="center"/>
      <protection locked="0"/>
    </xf>
    <xf numFmtId="0" fontId="3" fillId="23" borderId="31" xfId="0" applyFont="1" applyFill="1" applyBorder="1" applyAlignment="1" applyProtection="1">
      <alignment horizontal="center" vertical="center"/>
      <protection locked="0"/>
    </xf>
    <xf numFmtId="0" fontId="3" fillId="23" borderId="32" xfId="0" applyFont="1" applyFill="1" applyBorder="1" applyAlignment="1" applyProtection="1">
      <alignment horizontal="center" vertical="center"/>
      <protection locked="0"/>
    </xf>
    <xf numFmtId="0" fontId="3" fillId="0" borderId="33" xfId="0" applyFont="1" applyBorder="1" applyProtection="1">
      <protection locked="0"/>
    </xf>
    <xf numFmtId="0" fontId="6" fillId="0" borderId="11" xfId="0" applyFont="1" applyFill="1" applyBorder="1" applyAlignment="1">
      <alignment horizontal="center" shrinkToFit="1"/>
    </xf>
    <xf numFmtId="0" fontId="5" fillId="2" borderId="11" xfId="0" applyFont="1" applyFill="1" applyBorder="1" applyAlignment="1">
      <alignment horizontal="center" vertical="center"/>
    </xf>
    <xf numFmtId="0" fontId="113" fillId="0" borderId="0" xfId="0" applyFont="1" applyBorder="1" applyAlignment="1" applyProtection="1">
      <alignment horizontal="center" vertical="center"/>
      <protection locked="0"/>
    </xf>
    <xf numFmtId="0" fontId="105" fillId="0" borderId="0" xfId="0" applyFont="1" applyFill="1" applyAlignment="1" applyProtection="1">
      <protection hidden="1"/>
    </xf>
    <xf numFmtId="0" fontId="96" fillId="0" borderId="10" xfId="0" applyFont="1" applyBorder="1" applyProtection="1">
      <protection hidden="1"/>
    </xf>
    <xf numFmtId="0" fontId="96" fillId="0" borderId="37" xfId="0" applyFont="1" applyBorder="1" applyProtection="1">
      <protection hidden="1"/>
    </xf>
    <xf numFmtId="0" fontId="96" fillId="0" borderId="0" xfId="0" applyFont="1" applyFill="1" applyAlignment="1" applyProtection="1">
      <alignment horizontal="center" vertical="center"/>
      <protection hidden="1"/>
    </xf>
    <xf numFmtId="0" fontId="105" fillId="0" borderId="0" xfId="0" applyFont="1" applyFill="1" applyBorder="1" applyAlignment="1" applyProtection="1">
      <alignment horizontal="center"/>
      <protection hidden="1"/>
    </xf>
    <xf numFmtId="0" fontId="96" fillId="0" borderId="29" xfId="0" applyFont="1" applyBorder="1" applyAlignment="1" applyProtection="1">
      <alignment horizontal="center"/>
      <protection hidden="1"/>
    </xf>
    <xf numFmtId="0" fontId="96" fillId="0" borderId="33" xfId="0" applyFont="1" applyBorder="1" applyAlignment="1" applyProtection="1">
      <alignment horizontal="center"/>
      <protection hidden="1"/>
    </xf>
    <xf numFmtId="0" fontId="96" fillId="0" borderId="10" xfId="0" applyFont="1" applyBorder="1" applyAlignment="1" applyProtection="1">
      <alignment horizontal="center"/>
      <protection hidden="1"/>
    </xf>
    <xf numFmtId="0" fontId="107" fillId="9" borderId="37" xfId="0" applyFont="1" applyFill="1" applyBorder="1" applyAlignment="1" applyProtection="1">
      <alignment horizontal="left" shrinkToFit="1"/>
      <protection hidden="1"/>
    </xf>
    <xf numFmtId="0" fontId="96" fillId="0" borderId="29" xfId="0" applyFont="1" applyBorder="1" applyAlignment="1" applyProtection="1">
      <alignment horizontal="center" vertical="center"/>
      <protection hidden="1"/>
    </xf>
    <xf numFmtId="0" fontId="96" fillId="0" borderId="33" xfId="0" applyFont="1" applyBorder="1" applyAlignment="1" applyProtection="1">
      <alignment horizontal="center" vertical="center"/>
      <protection hidden="1"/>
    </xf>
    <xf numFmtId="0" fontId="96" fillId="0" borderId="10" xfId="0" applyFont="1" applyBorder="1" applyAlignment="1" applyProtection="1">
      <alignment horizontal="center" vertical="center"/>
      <protection hidden="1"/>
    </xf>
    <xf numFmtId="0" fontId="96" fillId="0" borderId="11" xfId="0" applyFont="1" applyBorder="1" applyAlignment="1" applyProtection="1">
      <alignment horizontal="center" vertical="center"/>
      <protection hidden="1"/>
    </xf>
    <xf numFmtId="0" fontId="96" fillId="0" borderId="7" xfId="0" applyFont="1" applyBorder="1" applyAlignment="1" applyProtection="1">
      <alignment horizontal="center" vertical="center"/>
      <protection hidden="1"/>
    </xf>
    <xf numFmtId="0" fontId="96" fillId="0" borderId="8" xfId="0" applyFont="1" applyBorder="1" applyAlignment="1" applyProtection="1">
      <alignment horizontal="center" vertical="center"/>
      <protection hidden="1"/>
    </xf>
    <xf numFmtId="0" fontId="96" fillId="0" borderId="0" xfId="0" applyNumberFormat="1" applyFont="1" applyFill="1" applyBorder="1" applyAlignment="1" applyProtection="1">
      <protection hidden="1"/>
    </xf>
    <xf numFmtId="0" fontId="96" fillId="0" borderId="0" xfId="0" applyFont="1" applyFill="1" applyBorder="1" applyAlignment="1" applyProtection="1">
      <protection hidden="1"/>
    </xf>
    <xf numFmtId="0" fontId="105" fillId="0" borderId="0" xfId="0" applyFont="1" applyFill="1" applyBorder="1" applyAlignment="1" applyProtection="1">
      <protection hidden="1"/>
    </xf>
    <xf numFmtId="0" fontId="109" fillId="27" borderId="11" xfId="0" applyFont="1" applyFill="1" applyBorder="1" applyAlignment="1" applyProtection="1">
      <alignment horizontal="center" vertical="center"/>
      <protection locked="0"/>
    </xf>
    <xf numFmtId="0" fontId="24" fillId="28" borderId="11" xfId="0" applyFont="1" applyFill="1" applyBorder="1" applyAlignment="1" applyProtection="1">
      <alignment horizontal="center" vertical="center" wrapText="1"/>
      <protection locked="0"/>
    </xf>
    <xf numFmtId="0" fontId="3" fillId="0" borderId="11" xfId="0" applyFont="1" applyFill="1" applyBorder="1" applyAlignment="1" applyProtection="1">
      <alignment horizontal="center" vertical="center"/>
      <protection locked="0"/>
    </xf>
    <xf numFmtId="0" fontId="24" fillId="28" borderId="11" xfId="0" applyFont="1" applyFill="1" applyBorder="1" applyAlignment="1" applyProtection="1">
      <alignment horizontal="center" vertical="center"/>
      <protection locked="0"/>
    </xf>
    <xf numFmtId="0" fontId="3" fillId="0" borderId="11" xfId="0" applyFont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96" fillId="0" borderId="29" xfId="0" applyFont="1" applyFill="1" applyBorder="1" applyAlignment="1" applyProtection="1">
      <alignment vertical="center"/>
      <protection hidden="1"/>
    </xf>
    <xf numFmtId="0" fontId="96" fillId="0" borderId="33" xfId="0" applyFont="1" applyFill="1" applyBorder="1" applyAlignment="1" applyProtection="1">
      <alignment vertical="center"/>
      <protection hidden="1"/>
    </xf>
    <xf numFmtId="0" fontId="96" fillId="0" borderId="10" xfId="0" applyFont="1" applyFill="1" applyBorder="1" applyAlignment="1" applyProtection="1">
      <alignment vertical="center"/>
      <protection hidden="1"/>
    </xf>
    <xf numFmtId="0" fontId="96" fillId="0" borderId="2" xfId="0" applyFont="1" applyFill="1" applyBorder="1" applyAlignment="1" applyProtection="1">
      <alignment vertical="center"/>
      <protection hidden="1"/>
    </xf>
    <xf numFmtId="0" fontId="96" fillId="0" borderId="37" xfId="0" applyFont="1" applyFill="1" applyBorder="1" applyAlignment="1" applyProtection="1">
      <alignment vertical="center"/>
      <protection hidden="1"/>
    </xf>
    <xf numFmtId="1" fontId="96" fillId="0" borderId="2" xfId="0" applyNumberFormat="1" applyFont="1" applyBorder="1" applyProtection="1">
      <protection hidden="1"/>
    </xf>
    <xf numFmtId="1" fontId="96" fillId="0" borderId="0" xfId="0" applyNumberFormat="1" applyFont="1" applyBorder="1" applyProtection="1">
      <protection hidden="1"/>
    </xf>
    <xf numFmtId="1" fontId="96" fillId="0" borderId="37" xfId="0" applyNumberFormat="1" applyFont="1" applyBorder="1" applyProtection="1">
      <protection hidden="1"/>
    </xf>
    <xf numFmtId="49" fontId="96" fillId="0" borderId="2" xfId="0" applyNumberFormat="1" applyFont="1" applyBorder="1" applyProtection="1">
      <protection hidden="1"/>
    </xf>
    <xf numFmtId="49" fontId="96" fillId="0" borderId="0" xfId="0" applyNumberFormat="1" applyFont="1" applyBorder="1" applyProtection="1">
      <protection hidden="1"/>
    </xf>
    <xf numFmtId="49" fontId="96" fillId="0" borderId="37" xfId="0" applyNumberFormat="1" applyFont="1" applyBorder="1" applyProtection="1">
      <protection hidden="1"/>
    </xf>
    <xf numFmtId="0" fontId="7" fillId="0" borderId="0" xfId="0" applyFont="1" applyFill="1" applyBorder="1" applyAlignment="1" applyProtection="1">
      <protection locked="0"/>
    </xf>
    <xf numFmtId="0" fontId="19" fillId="0" borderId="3" xfId="0" applyFont="1" applyBorder="1" applyAlignment="1" applyProtection="1">
      <alignment horizontal="center" vertical="center"/>
      <protection locked="0"/>
    </xf>
    <xf numFmtId="0" fontId="6" fillId="0" borderId="31" xfId="0" applyFont="1" applyBorder="1" applyAlignment="1" applyProtection="1">
      <alignment horizontal="center"/>
      <protection locked="0"/>
    </xf>
    <xf numFmtId="0" fontId="17" fillId="0" borderId="0" xfId="0" applyFont="1" applyBorder="1" applyAlignment="1" applyProtection="1">
      <alignment horizontal="center"/>
      <protection locked="0"/>
    </xf>
    <xf numFmtId="0" fontId="6" fillId="0" borderId="0" xfId="0" applyFont="1" applyBorder="1" applyAlignment="1" applyProtection="1">
      <alignment horizontal="center" vertical="center"/>
      <protection locked="0"/>
    </xf>
    <xf numFmtId="0" fontId="6" fillId="0" borderId="29" xfId="0" applyFont="1" applyBorder="1" applyAlignment="1" applyProtection="1">
      <alignment horizontal="center" vertical="center"/>
      <protection locked="0"/>
    </xf>
    <xf numFmtId="0" fontId="6" fillId="0" borderId="8" xfId="0" applyFont="1" applyBorder="1" applyAlignment="1" applyProtection="1">
      <alignment horizontal="center"/>
      <protection locked="0"/>
    </xf>
    <xf numFmtId="0" fontId="17" fillId="0" borderId="30" xfId="0" applyFont="1" applyBorder="1" applyAlignment="1" applyProtection="1">
      <alignment horizontal="center"/>
      <protection locked="0"/>
    </xf>
    <xf numFmtId="0" fontId="96" fillId="15" borderId="0" xfId="0" applyFont="1" applyFill="1" applyBorder="1" applyAlignment="1" applyProtection="1">
      <protection locked="0"/>
    </xf>
    <xf numFmtId="0" fontId="43" fillId="0" borderId="0" xfId="0" applyFont="1" applyFill="1"/>
    <xf numFmtId="0" fontId="61" fillId="9" borderId="31" xfId="0" applyFont="1" applyFill="1" applyBorder="1" applyAlignment="1" applyProtection="1">
      <alignment horizontal="center" vertical="center"/>
      <protection locked="0" hidden="1"/>
    </xf>
    <xf numFmtId="0" fontId="61" fillId="0" borderId="31" xfId="0" applyFont="1" applyFill="1" applyBorder="1" applyAlignment="1" applyProtection="1">
      <alignment horizontal="center" vertical="center"/>
      <protection locked="0" hidden="1"/>
    </xf>
    <xf numFmtId="0" fontId="38" fillId="0" borderId="0" xfId="0" applyFont="1" applyFill="1" applyBorder="1" applyAlignment="1">
      <alignment horizontal="center"/>
    </xf>
    <xf numFmtId="0" fontId="42" fillId="0" borderId="0" xfId="0" applyFont="1" applyFill="1" applyBorder="1"/>
    <xf numFmtId="0" fontId="37" fillId="0" borderId="0" xfId="0" applyFont="1" applyFill="1" applyBorder="1" applyAlignment="1" applyProtection="1">
      <alignment vertical="center" wrapText="1"/>
      <protection locked="0" hidden="1"/>
    </xf>
    <xf numFmtId="2" fontId="43" fillId="0" borderId="0" xfId="0" applyNumberFormat="1" applyFont="1" applyFill="1" applyBorder="1"/>
    <xf numFmtId="2" fontId="43" fillId="0" borderId="0" xfId="0" applyNumberFormat="1" applyFont="1" applyFill="1" applyBorder="1" applyAlignment="1">
      <alignment horizontal="center"/>
    </xf>
    <xf numFmtId="2" fontId="37" fillId="0" borderId="0" xfId="0" applyNumberFormat="1" applyFont="1" applyFill="1" applyBorder="1" applyAlignment="1">
      <alignment horizontal="center"/>
    </xf>
    <xf numFmtId="0" fontId="61" fillId="0" borderId="0" xfId="0" applyFont="1" applyFill="1" applyBorder="1" applyAlignment="1">
      <alignment horizontal="center"/>
    </xf>
    <xf numFmtId="0" fontId="80" fillId="0" borderId="0" xfId="0" applyFont="1" applyFill="1" applyBorder="1" applyAlignment="1">
      <alignment horizontal="center"/>
    </xf>
    <xf numFmtId="2" fontId="0" fillId="0" borderId="0" xfId="0" applyNumberFormat="1" applyFill="1" applyBorder="1"/>
    <xf numFmtId="2" fontId="80" fillId="0" borderId="0" xfId="0" applyNumberFormat="1" applyFont="1" applyFill="1" applyBorder="1" applyAlignment="1">
      <alignment horizontal="center"/>
    </xf>
    <xf numFmtId="0" fontId="37" fillId="0" borderId="0" xfId="0" applyFont="1" applyFill="1" applyBorder="1" applyAlignment="1">
      <alignment horizontal="center"/>
    </xf>
    <xf numFmtId="0" fontId="61" fillId="9" borderId="0" xfId="0" applyFont="1" applyFill="1" applyBorder="1" applyAlignment="1" applyProtection="1">
      <alignment vertical="center" wrapText="1"/>
      <protection locked="0" hidden="1"/>
    </xf>
    <xf numFmtId="2" fontId="61" fillId="9" borderId="0" xfId="0" applyNumberFormat="1" applyFont="1" applyFill="1" applyBorder="1" applyAlignment="1" applyProtection="1">
      <alignment vertical="center" wrapText="1"/>
      <protection locked="0" hidden="1"/>
    </xf>
    <xf numFmtId="0" fontId="58" fillId="9" borderId="0" xfId="0" applyFont="1" applyFill="1" applyBorder="1" applyAlignment="1">
      <alignment wrapText="1"/>
    </xf>
    <xf numFmtId="0" fontId="60" fillId="9" borderId="0" xfId="0" applyFont="1" applyFill="1" applyBorder="1" applyAlignment="1">
      <alignment wrapText="1"/>
    </xf>
    <xf numFmtId="0" fontId="47" fillId="0" borderId="0" xfId="0" applyFont="1" applyBorder="1"/>
    <xf numFmtId="2" fontId="48" fillId="25" borderId="0" xfId="0" applyNumberFormat="1" applyFont="1" applyFill="1" applyBorder="1"/>
    <xf numFmtId="2" fontId="48" fillId="25" borderId="0" xfId="0" applyNumberFormat="1" applyFont="1" applyFill="1" applyBorder="1" applyAlignment="1">
      <alignment horizontal="center"/>
    </xf>
    <xf numFmtId="0" fontId="80" fillId="0" borderId="0" xfId="0" applyFont="1" applyBorder="1" applyAlignment="1">
      <alignment horizontal="center"/>
    </xf>
    <xf numFmtId="0" fontId="41" fillId="6" borderId="0" xfId="0" applyFont="1" applyFill="1" applyBorder="1"/>
    <xf numFmtId="0" fontId="42" fillId="6" borderId="0" xfId="0" applyFont="1" applyFill="1" applyBorder="1"/>
    <xf numFmtId="0" fontId="39" fillId="0" borderId="0" xfId="0" applyFont="1" applyFill="1" applyBorder="1" applyAlignment="1">
      <alignment horizontal="left" vertical="center"/>
    </xf>
    <xf numFmtId="0" fontId="38" fillId="9" borderId="0" xfId="0" applyFont="1" applyFill="1" applyBorder="1" applyAlignment="1">
      <alignment horizontal="left" vertical="center"/>
    </xf>
    <xf numFmtId="0" fontId="64" fillId="9" borderId="0" xfId="0" applyFont="1" applyFill="1" applyBorder="1" applyAlignment="1" applyProtection="1">
      <alignment horizontal="center" vertical="center"/>
      <protection locked="0" hidden="1"/>
    </xf>
    <xf numFmtId="4" fontId="64" fillId="9" borderId="0" xfId="0" applyNumberFormat="1" applyFont="1" applyFill="1" applyBorder="1" applyAlignment="1" applyProtection="1">
      <alignment horizontal="center" vertical="center"/>
      <protection locked="0" hidden="1"/>
    </xf>
    <xf numFmtId="0" fontId="38" fillId="9" borderId="0" xfId="0" applyFont="1" applyFill="1" applyBorder="1" applyAlignment="1" applyProtection="1">
      <alignment horizontal="left" vertical="center"/>
      <protection locked="0"/>
    </xf>
    <xf numFmtId="0" fontId="96" fillId="15" borderId="0" xfId="0" applyFont="1" applyFill="1" applyProtection="1">
      <protection locked="0"/>
    </xf>
    <xf numFmtId="0" fontId="109" fillId="28" borderId="11" xfId="0" applyFont="1" applyFill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/>
      <protection locked="0"/>
    </xf>
    <xf numFmtId="0" fontId="11" fillId="0" borderId="29" xfId="0" applyFont="1" applyFill="1" applyBorder="1" applyAlignment="1" applyProtection="1">
      <alignment horizontal="left"/>
      <protection locked="0"/>
    </xf>
    <xf numFmtId="0" fontId="11" fillId="0" borderId="11" xfId="0" applyFont="1" applyFill="1" applyBorder="1" applyAlignment="1" applyProtection="1">
      <alignment horizontal="left"/>
      <protection locked="0"/>
    </xf>
    <xf numFmtId="0" fontId="7" fillId="0" borderId="3" xfId="0" applyFont="1" applyFill="1" applyBorder="1" applyAlignment="1" applyProtection="1">
      <alignment horizontal="left"/>
      <protection locked="0"/>
    </xf>
    <xf numFmtId="0" fontId="11" fillId="0" borderId="0" xfId="0" applyFont="1" applyFill="1" applyBorder="1" applyAlignment="1" applyProtection="1">
      <alignment horizontal="left"/>
      <protection locked="0"/>
    </xf>
    <xf numFmtId="0" fontId="24" fillId="28" borderId="11" xfId="0" applyFont="1" applyFill="1" applyBorder="1" applyAlignment="1" applyProtection="1">
      <alignment horizontal="center" vertical="center" shrinkToFit="1"/>
      <protection locked="0"/>
    </xf>
    <xf numFmtId="0" fontId="24" fillId="28" borderId="11" xfId="0" applyFont="1" applyFill="1" applyBorder="1" applyAlignment="1" applyProtection="1">
      <alignment horizontal="center" vertical="center" wrapText="1" shrinkToFit="1"/>
      <protection locked="0"/>
    </xf>
    <xf numFmtId="0" fontId="24" fillId="28" borderId="7" xfId="0" applyFont="1" applyFill="1" applyBorder="1" applyAlignment="1" applyProtection="1">
      <alignment horizontal="center" vertical="center" shrinkToFit="1"/>
      <protection locked="0"/>
    </xf>
    <xf numFmtId="0" fontId="110" fillId="0" borderId="33" xfId="0" applyFont="1" applyFill="1" applyBorder="1" applyAlignment="1" applyProtection="1">
      <alignment horizontal="center" vertical="center"/>
      <protection locked="0"/>
    </xf>
    <xf numFmtId="0" fontId="5" fillId="0" borderId="37" xfId="0" applyFont="1" applyFill="1" applyBorder="1" applyAlignment="1" applyProtection="1">
      <alignment horizontal="center" vertical="center"/>
      <protection locked="0"/>
    </xf>
    <xf numFmtId="49" fontId="3" fillId="0" borderId="7" xfId="0" applyNumberFormat="1" applyFont="1" applyBorder="1" applyAlignment="1" applyProtection="1">
      <alignment horizontal="center" vertical="center" shrinkToFit="1"/>
      <protection locked="0"/>
    </xf>
    <xf numFmtId="1" fontId="3" fillId="0" borderId="7" xfId="0" applyNumberFormat="1" applyFont="1" applyBorder="1" applyAlignment="1" applyProtection="1">
      <alignment horizontal="center" vertical="center"/>
      <protection locked="0"/>
    </xf>
    <xf numFmtId="0" fontId="96" fillId="15" borderId="8" xfId="0" applyFont="1" applyFill="1" applyBorder="1" applyAlignment="1" applyProtection="1">
      <alignment vertical="center"/>
      <protection hidden="1"/>
    </xf>
    <xf numFmtId="0" fontId="7" fillId="0" borderId="0" xfId="0" applyFont="1" applyProtection="1">
      <protection hidden="1"/>
    </xf>
    <xf numFmtId="0" fontId="3" fillId="0" borderId="11" xfId="0" applyFont="1" applyBorder="1" applyAlignment="1" applyProtection="1">
      <alignment horizontal="right" vertical="center" shrinkToFit="1"/>
      <protection locked="0"/>
    </xf>
    <xf numFmtId="0" fontId="109" fillId="0" borderId="31" xfId="0" applyFont="1" applyBorder="1" applyAlignment="1" applyProtection="1">
      <alignment shrinkToFit="1"/>
      <protection locked="0"/>
    </xf>
    <xf numFmtId="1" fontId="122" fillId="0" borderId="33" xfId="0" applyNumberFormat="1" applyFont="1" applyBorder="1" applyProtection="1"/>
    <xf numFmtId="1" fontId="122" fillId="0" borderId="0" xfId="0" applyNumberFormat="1" applyFont="1" applyBorder="1" applyProtection="1"/>
    <xf numFmtId="1" fontId="122" fillId="0" borderId="4" xfId="0" applyNumberFormat="1" applyFont="1" applyBorder="1" applyProtection="1"/>
    <xf numFmtId="2" fontId="119" fillId="0" borderId="0" xfId="0" applyNumberFormat="1" applyFont="1" applyProtection="1"/>
    <xf numFmtId="0" fontId="122" fillId="0" borderId="0" xfId="0" applyFont="1" applyBorder="1"/>
    <xf numFmtId="0" fontId="3" fillId="26" borderId="3" xfId="0" applyFont="1" applyFill="1" applyBorder="1" applyAlignment="1" applyProtection="1">
      <alignment horizontal="center" vertical="center"/>
      <protection locked="0"/>
    </xf>
    <xf numFmtId="0" fontId="3" fillId="0" borderId="29" xfId="0" applyFont="1" applyFill="1" applyBorder="1" applyAlignment="1" applyProtection="1">
      <alignment horizontal="left" vertical="center"/>
      <protection locked="0"/>
    </xf>
    <xf numFmtId="0" fontId="3" fillId="0" borderId="33" xfId="0" applyFont="1" applyFill="1" applyBorder="1" applyAlignment="1" applyProtection="1">
      <alignment horizontal="left" vertical="center"/>
      <protection locked="0"/>
    </xf>
    <xf numFmtId="0" fontId="3" fillId="0" borderId="10" xfId="0" applyFont="1" applyBorder="1" applyAlignment="1" applyProtection="1">
      <alignment horizontal="left" vertical="center"/>
      <protection locked="0"/>
    </xf>
    <xf numFmtId="0" fontId="3" fillId="0" borderId="2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0" fontId="3" fillId="0" borderId="37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3" fillId="0" borderId="37" xfId="0" applyFont="1" applyFill="1" applyBorder="1" applyAlignment="1" applyProtection="1">
      <alignment horizontal="left" vertical="center"/>
      <protection locked="0"/>
    </xf>
    <xf numFmtId="0" fontId="3" fillId="0" borderId="35" xfId="0" applyFont="1" applyFill="1" applyBorder="1" applyAlignment="1" applyProtection="1">
      <alignment horizontal="left" vertical="center"/>
      <protection locked="0"/>
    </xf>
    <xf numFmtId="0" fontId="3" fillId="0" borderId="37" xfId="0" applyFont="1" applyBorder="1" applyAlignment="1" applyProtection="1">
      <alignment horizontal="left"/>
      <protection locked="0"/>
    </xf>
    <xf numFmtId="0" fontId="92" fillId="0" borderId="0" xfId="0" applyFont="1" applyBorder="1" applyAlignment="1" applyProtection="1">
      <alignment horizontal="left"/>
      <protection locked="0"/>
    </xf>
    <xf numFmtId="0" fontId="92" fillId="0" borderId="37" xfId="0" applyFont="1" applyFill="1" applyBorder="1" applyAlignment="1" applyProtection="1">
      <alignment horizontal="left"/>
      <protection locked="0"/>
    </xf>
    <xf numFmtId="0" fontId="3" fillId="0" borderId="35" xfId="0" applyFont="1" applyBorder="1" applyAlignment="1" applyProtection="1">
      <alignment horizontal="left"/>
      <protection locked="0"/>
    </xf>
    <xf numFmtId="0" fontId="7" fillId="0" borderId="0" xfId="0" applyFont="1" applyFill="1" applyBorder="1" applyAlignment="1" applyProtection="1">
      <alignment horizontal="left" vertical="center"/>
      <protection locked="0"/>
    </xf>
    <xf numFmtId="0" fontId="7" fillId="0" borderId="29" xfId="0" applyFont="1" applyFill="1" applyBorder="1" applyAlignment="1" applyProtection="1">
      <alignment horizontal="left"/>
      <protection locked="0"/>
    </xf>
    <xf numFmtId="0" fontId="7" fillId="0" borderId="33" xfId="0" applyFont="1" applyFill="1" applyBorder="1" applyAlignment="1" applyProtection="1">
      <alignment horizontal="left" vertical="center" wrapText="1"/>
      <protection locked="0"/>
    </xf>
    <xf numFmtId="0" fontId="7" fillId="0" borderId="33" xfId="0" applyFont="1" applyFill="1" applyBorder="1" applyAlignment="1" applyProtection="1">
      <alignment horizontal="left"/>
      <protection locked="0"/>
    </xf>
    <xf numFmtId="0" fontId="7" fillId="0" borderId="33" xfId="0" applyFont="1" applyBorder="1" applyAlignment="1" applyProtection="1">
      <alignment horizontal="left"/>
      <protection locked="0"/>
    </xf>
    <xf numFmtId="0" fontId="7" fillId="0" borderId="10" xfId="0" applyFont="1" applyBorder="1" applyAlignment="1" applyProtection="1">
      <alignment horizontal="left"/>
      <protection locked="0"/>
    </xf>
    <xf numFmtId="0" fontId="7" fillId="0" borderId="2" xfId="0" applyFont="1" applyFill="1" applyBorder="1" applyAlignment="1" applyProtection="1">
      <alignment horizontal="left"/>
      <protection locked="0"/>
    </xf>
    <xf numFmtId="0" fontId="7" fillId="0" borderId="0" xfId="0" applyFont="1" applyFill="1" applyBorder="1" applyAlignment="1" applyProtection="1">
      <alignment horizontal="left"/>
      <protection locked="0"/>
    </xf>
    <xf numFmtId="0" fontId="7" fillId="0" borderId="37" xfId="0" applyFont="1" applyFill="1" applyBorder="1" applyAlignment="1" applyProtection="1">
      <alignment horizontal="left"/>
      <protection locked="0"/>
    </xf>
    <xf numFmtId="0" fontId="7" fillId="0" borderId="0" xfId="0" applyFont="1" applyFill="1" applyBorder="1" applyAlignment="1" applyProtection="1">
      <alignment horizontal="left" vertical="center" wrapText="1"/>
      <protection locked="0"/>
    </xf>
    <xf numFmtId="0" fontId="7" fillId="0" borderId="0" xfId="0" applyFont="1" applyBorder="1" applyAlignment="1" applyProtection="1">
      <alignment horizontal="left"/>
      <protection locked="0"/>
    </xf>
    <xf numFmtId="0" fontId="7" fillId="0" borderId="37" xfId="0" applyFont="1" applyBorder="1" applyAlignment="1" applyProtection="1">
      <alignment horizontal="left"/>
      <protection locked="0"/>
    </xf>
    <xf numFmtId="0" fontId="7" fillId="0" borderId="37" xfId="0" applyFont="1" applyFill="1" applyBorder="1" applyAlignment="1" applyProtection="1">
      <alignment horizontal="left" vertical="center"/>
      <protection locked="0"/>
    </xf>
    <xf numFmtId="0" fontId="7" fillId="0" borderId="2" xfId="0" applyFont="1" applyBorder="1" applyAlignment="1" applyProtection="1">
      <alignment horizontal="left"/>
      <protection locked="0"/>
    </xf>
    <xf numFmtId="0" fontId="7" fillId="0" borderId="34" xfId="0" applyFont="1" applyBorder="1" applyAlignment="1" applyProtection="1">
      <alignment horizontal="left"/>
      <protection locked="0"/>
    </xf>
    <xf numFmtId="0" fontId="7" fillId="0" borderId="4" xfId="0" applyFont="1" applyBorder="1" applyAlignment="1" applyProtection="1">
      <alignment horizontal="left"/>
      <protection locked="0"/>
    </xf>
    <xf numFmtId="0" fontId="7" fillId="0" borderId="35" xfId="0" applyFont="1" applyBorder="1" applyAlignment="1" applyProtection="1">
      <alignment horizontal="left"/>
      <protection locked="0"/>
    </xf>
    <xf numFmtId="0" fontId="25" fillId="0" borderId="0" xfId="0" applyFont="1" applyAlignment="1" applyProtection="1">
      <alignment vertical="center"/>
      <protection locked="0"/>
    </xf>
    <xf numFmtId="0" fontId="25" fillId="0" borderId="0" xfId="0" applyFont="1" applyBorder="1" applyAlignment="1" applyProtection="1">
      <alignment horizontal="left" vertical="center" wrapText="1" indent="8"/>
      <protection locked="0"/>
    </xf>
    <xf numFmtId="0" fontId="25" fillId="0" borderId="0" xfId="0" applyFont="1" applyBorder="1" applyAlignment="1" applyProtection="1">
      <alignment vertical="center"/>
      <protection locked="0"/>
    </xf>
    <xf numFmtId="0" fontId="25" fillId="0" borderId="3" xfId="0" applyFont="1" applyBorder="1" applyAlignment="1" applyProtection="1">
      <alignment vertical="center"/>
      <protection locked="0"/>
    </xf>
    <xf numFmtId="0" fontId="109" fillId="0" borderId="0" xfId="0" applyFont="1" applyBorder="1" applyAlignment="1" applyProtection="1">
      <alignment horizontal="left" vertical="center" indent="8" shrinkToFit="1"/>
      <protection locked="0"/>
    </xf>
    <xf numFmtId="0" fontId="109" fillId="0" borderId="11" xfId="0" applyFont="1" applyBorder="1" applyAlignment="1" applyProtection="1">
      <alignment horizontal="center" vertical="center"/>
      <protection locked="0"/>
    </xf>
    <xf numFmtId="0" fontId="3" fillId="0" borderId="39" xfId="0" applyFont="1" applyBorder="1" applyAlignment="1" applyProtection="1">
      <alignment horizontal="center" shrinkToFit="1"/>
    </xf>
    <xf numFmtId="0" fontId="3" fillId="0" borderId="5" xfId="0" applyFont="1" applyBorder="1" applyAlignment="1" applyProtection="1">
      <alignment horizontal="center" shrinkToFit="1"/>
    </xf>
    <xf numFmtId="2" fontId="3" fillId="0" borderId="5" xfId="0" applyNumberFormat="1" applyFont="1" applyBorder="1" applyAlignment="1" applyProtection="1">
      <alignment horizontal="center" shrinkToFit="1"/>
    </xf>
    <xf numFmtId="2" fontId="0" fillId="0" borderId="3" xfId="0" applyNumberFormat="1" applyBorder="1" applyAlignment="1" applyProtection="1">
      <alignment horizontal="center" shrinkToFit="1"/>
    </xf>
    <xf numFmtId="0" fontId="3" fillId="0" borderId="40" xfId="0" applyFont="1" applyBorder="1" applyAlignment="1">
      <alignment horizontal="center" shrinkToFit="1"/>
    </xf>
    <xf numFmtId="14" fontId="3" fillId="0" borderId="40" xfId="0" applyNumberFormat="1" applyFont="1" applyBorder="1" applyAlignment="1">
      <alignment horizontal="center" shrinkToFit="1"/>
    </xf>
    <xf numFmtId="14" fontId="0" fillId="0" borderId="0" xfId="0" applyNumberFormat="1" applyAlignment="1">
      <alignment horizontal="center"/>
    </xf>
    <xf numFmtId="0" fontId="6" fillId="0" borderId="31" xfId="0" applyFont="1" applyBorder="1" applyAlignment="1" applyProtection="1">
      <alignment horizontal="center"/>
      <protection hidden="1"/>
    </xf>
    <xf numFmtId="0" fontId="7" fillId="0" borderId="31" xfId="0" applyFont="1" applyBorder="1" applyAlignment="1" applyProtection="1">
      <protection hidden="1"/>
    </xf>
    <xf numFmtId="0" fontId="123" fillId="29" borderId="0" xfId="0" applyFont="1" applyFill="1" applyBorder="1"/>
    <xf numFmtId="0" fontId="123" fillId="29" borderId="0" xfId="0" applyFont="1" applyFill="1"/>
    <xf numFmtId="0" fontId="123" fillId="29" borderId="0" xfId="0" applyNumberFormat="1" applyFont="1" applyFill="1"/>
    <xf numFmtId="0" fontId="123" fillId="29" borderId="0" xfId="0" applyFont="1" applyFill="1" applyBorder="1" applyAlignment="1">
      <alignment horizontal="right"/>
    </xf>
    <xf numFmtId="0" fontId="25" fillId="0" borderId="0" xfId="0" applyFont="1" applyFill="1" applyAlignment="1" applyProtection="1">
      <alignment vertical="center"/>
      <protection locked="0"/>
    </xf>
    <xf numFmtId="0" fontId="109" fillId="2" borderId="11" xfId="0" applyFont="1" applyFill="1" applyBorder="1" applyAlignment="1" applyProtection="1">
      <alignment horizontal="center" vertical="center"/>
      <protection locked="0"/>
    </xf>
    <xf numFmtId="0" fontId="109" fillId="0" borderId="11" xfId="0" applyFont="1" applyBorder="1" applyAlignment="1" applyProtection="1">
      <alignment vertical="center" shrinkToFit="1"/>
      <protection locked="0"/>
    </xf>
    <xf numFmtId="0" fontId="109" fillId="0" borderId="11" xfId="0" applyFont="1" applyBorder="1" applyAlignment="1" applyProtection="1">
      <alignment horizontal="center" vertical="center" shrinkToFit="1"/>
      <protection locked="0"/>
    </xf>
    <xf numFmtId="0" fontId="109" fillId="0" borderId="3" xfId="0" applyFont="1" applyBorder="1" applyAlignment="1" applyProtection="1">
      <alignment horizontal="center" vertical="center" shrinkToFit="1"/>
      <protection locked="0"/>
    </xf>
    <xf numFmtId="0" fontId="109" fillId="0" borderId="32" xfId="0" applyFont="1" applyBorder="1" applyAlignment="1" applyProtection="1">
      <alignment horizontal="center" vertical="center" shrinkToFit="1"/>
      <protection locked="0"/>
    </xf>
    <xf numFmtId="0" fontId="3" fillId="0" borderId="0" xfId="0" applyFont="1" applyBorder="1" applyAlignment="1" applyProtection="1">
      <alignment horizontal="center" vertical="center" shrinkToFit="1"/>
      <protection locked="0"/>
    </xf>
    <xf numFmtId="0" fontId="28" fillId="0" borderId="2" xfId="0" applyFont="1" applyFill="1" applyBorder="1" applyAlignment="1" applyProtection="1">
      <alignment horizontal="left" vertical="center"/>
      <protection locked="0"/>
    </xf>
    <xf numFmtId="0" fontId="3" fillId="0" borderId="3" xfId="0" applyFont="1" applyFill="1" applyBorder="1" applyAlignment="1" applyProtection="1">
      <alignment horizontal="left" vertical="center"/>
      <protection locked="0"/>
    </xf>
    <xf numFmtId="0" fontId="3" fillId="2" borderId="3" xfId="0" applyFont="1" applyFill="1" applyBorder="1" applyAlignment="1" applyProtection="1">
      <alignment horizontal="left" vertical="center"/>
      <protection locked="0"/>
    </xf>
    <xf numFmtId="0" fontId="2" fillId="0" borderId="0" xfId="0" applyFont="1" applyBorder="1" applyAlignment="1">
      <alignment horizontal="left" vertical="center" shrinkToFit="1"/>
    </xf>
    <xf numFmtId="0" fontId="0" fillId="0" borderId="0" xfId="0" applyBorder="1" applyAlignment="1" applyProtection="1">
      <alignment horizontal="center" shrinkToFit="1"/>
    </xf>
    <xf numFmtId="0" fontId="109" fillId="0" borderId="0" xfId="0" applyFont="1" applyBorder="1" applyAlignment="1" applyProtection="1">
      <alignment horizontal="left" vertical="center"/>
      <protection locked="0"/>
    </xf>
    <xf numFmtId="0" fontId="109" fillId="0" borderId="0" xfId="0" applyFont="1" applyBorder="1" applyAlignment="1" applyProtection="1">
      <alignment horizontal="left" vertical="center" shrinkToFit="1"/>
      <protection locked="0"/>
    </xf>
    <xf numFmtId="0" fontId="2" fillId="0" borderId="3" xfId="0" applyFont="1" applyBorder="1" applyAlignment="1" applyProtection="1">
      <alignment horizontal="left"/>
    </xf>
    <xf numFmtId="0" fontId="124" fillId="2" borderId="11" xfId="0" applyFont="1" applyFill="1" applyBorder="1" applyAlignment="1" applyProtection="1">
      <alignment vertical="center"/>
      <protection locked="0"/>
    </xf>
    <xf numFmtId="0" fontId="124" fillId="2" borderId="11" xfId="0" applyFont="1" applyFill="1" applyBorder="1" applyAlignment="1" applyProtection="1">
      <alignment horizontal="center" vertical="center"/>
      <protection locked="0"/>
    </xf>
    <xf numFmtId="1" fontId="0" fillId="0" borderId="2" xfId="0" applyNumberFormat="1" applyBorder="1" applyProtection="1"/>
    <xf numFmtId="2" fontId="0" fillId="0" borderId="31" xfId="0" applyNumberFormat="1" applyBorder="1" applyAlignment="1" applyProtection="1">
      <alignment horizontal="center"/>
    </xf>
    <xf numFmtId="2" fontId="0" fillId="0" borderId="7" xfId="0" applyNumberFormat="1" applyBorder="1" applyAlignment="1" applyProtection="1">
      <alignment horizontal="center"/>
    </xf>
    <xf numFmtId="2" fontId="3" fillId="0" borderId="7" xfId="0" applyNumberFormat="1" applyFont="1" applyBorder="1" applyAlignment="1" applyProtection="1">
      <alignment horizontal="center"/>
    </xf>
    <xf numFmtId="2" fontId="3" fillId="0" borderId="8" xfId="0" applyNumberFormat="1" applyFont="1" applyBorder="1" applyAlignment="1" applyProtection="1">
      <alignment horizontal="center"/>
    </xf>
    <xf numFmtId="1" fontId="122" fillId="0" borderId="3" xfId="0" applyNumberFormat="1" applyFont="1" applyBorder="1" applyProtection="1"/>
    <xf numFmtId="0" fontId="2" fillId="0" borderId="0" xfId="0" applyFont="1" applyBorder="1" applyAlignment="1" applyProtection="1">
      <alignment horizontal="left"/>
      <protection locked="0"/>
    </xf>
    <xf numFmtId="0" fontId="2" fillId="0" borderId="37" xfId="0" applyFont="1" applyFill="1" applyBorder="1" applyAlignment="1" applyProtection="1">
      <alignment horizontal="left"/>
      <protection locked="0"/>
    </xf>
    <xf numFmtId="0" fontId="0" fillId="0" borderId="0" xfId="0" applyBorder="1" applyAlignment="1">
      <alignment shrinkToFit="1"/>
    </xf>
    <xf numFmtId="173" fontId="104" fillId="0" borderId="0" xfId="0" applyNumberFormat="1" applyFont="1" applyFill="1" applyBorder="1" applyAlignment="1">
      <alignment horizontal="center"/>
    </xf>
    <xf numFmtId="0" fontId="3" fillId="0" borderId="2" xfId="0" applyFont="1" applyFill="1" applyBorder="1"/>
    <xf numFmtId="0" fontId="28" fillId="31" borderId="2" xfId="0" applyFont="1" applyFill="1" applyBorder="1" applyAlignment="1" applyProtection="1">
      <alignment horizontal="left" vertical="center"/>
      <protection locked="0"/>
    </xf>
    <xf numFmtId="0" fontId="2" fillId="31" borderId="0" xfId="0" applyFont="1" applyFill="1" applyBorder="1" applyAlignment="1" applyProtection="1">
      <alignment horizontal="left"/>
      <protection locked="0"/>
    </xf>
    <xf numFmtId="0" fontId="28" fillId="32" borderId="2" xfId="0" applyFont="1" applyFill="1" applyBorder="1" applyAlignment="1" applyProtection="1">
      <alignment horizontal="left" vertical="center"/>
      <protection locked="0"/>
    </xf>
    <xf numFmtId="0" fontId="2" fillId="32" borderId="0" xfId="0" applyFont="1" applyFill="1" applyBorder="1" applyAlignment="1" applyProtection="1">
      <alignment horizontal="left"/>
      <protection locked="0"/>
    </xf>
    <xf numFmtId="0" fontId="3" fillId="32" borderId="0" xfId="0" applyFont="1" applyFill="1" applyBorder="1" applyAlignment="1" applyProtection="1">
      <alignment horizontal="left" vertical="center"/>
      <protection locked="0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0" fillId="0" borderId="4" xfId="0" applyBorder="1"/>
    <xf numFmtId="0" fontId="125" fillId="0" borderId="0" xfId="0" applyFont="1" applyAlignment="1" applyProtection="1">
      <alignment horizontal="center"/>
      <protection locked="0"/>
    </xf>
    <xf numFmtId="0" fontId="6" fillId="0" borderId="0" xfId="0" applyFont="1" applyProtection="1">
      <protection locked="0"/>
    </xf>
    <xf numFmtId="0" fontId="6" fillId="0" borderId="0" xfId="0" applyFont="1" applyAlignment="1" applyProtection="1">
      <protection locked="0"/>
    </xf>
    <xf numFmtId="0" fontId="14" fillId="0" borderId="33" xfId="0" applyFont="1" applyBorder="1" applyAlignment="1" applyProtection="1">
      <protection locked="0"/>
    </xf>
    <xf numFmtId="0" fontId="3" fillId="31" borderId="0" xfId="0" applyFont="1" applyFill="1" applyBorder="1" applyAlignment="1" applyProtection="1">
      <alignment horizontal="left" vertical="center"/>
      <protection locked="0"/>
    </xf>
    <xf numFmtId="0" fontId="3" fillId="31" borderId="0" xfId="0" applyFont="1" applyFill="1" applyBorder="1" applyAlignment="1" applyProtection="1">
      <alignment horizontal="center" vertical="center"/>
      <protection locked="0"/>
    </xf>
    <xf numFmtId="0" fontId="14" fillId="0" borderId="33" xfId="0" applyFont="1" applyBorder="1" applyProtection="1">
      <protection locked="0"/>
    </xf>
    <xf numFmtId="0" fontId="110" fillId="0" borderId="0" xfId="0" applyFont="1" applyFill="1" applyBorder="1" applyAlignment="1" applyProtection="1">
      <alignment horizontal="center" vertical="center"/>
      <protection locked="0"/>
    </xf>
    <xf numFmtId="0" fontId="20" fillId="0" borderId="54" xfId="0" applyFont="1" applyBorder="1" applyAlignment="1" applyProtection="1">
      <alignment horizontal="center"/>
      <protection locked="0"/>
    </xf>
    <xf numFmtId="0" fontId="3" fillId="26" borderId="56" xfId="0" applyFont="1" applyFill="1" applyBorder="1" applyAlignment="1" applyProtection="1">
      <alignment horizontal="center" vertical="center"/>
      <protection locked="0"/>
    </xf>
    <xf numFmtId="0" fontId="3" fillId="0" borderId="57" xfId="0" applyFont="1" applyFill="1" applyBorder="1" applyAlignment="1" applyProtection="1">
      <alignment horizontal="center" vertical="center"/>
      <protection locked="0"/>
    </xf>
    <xf numFmtId="0" fontId="3" fillId="0" borderId="58" xfId="0" applyFont="1" applyFill="1" applyBorder="1" applyAlignment="1" applyProtection="1">
      <alignment horizontal="center" vertical="center"/>
      <protection locked="0"/>
    </xf>
    <xf numFmtId="0" fontId="3" fillId="0" borderId="59" xfId="0" applyFont="1" applyFill="1" applyBorder="1" applyAlignment="1" applyProtection="1">
      <alignment horizontal="center" vertical="center"/>
      <protection locked="0"/>
    </xf>
    <xf numFmtId="0" fontId="111" fillId="33" borderId="3" xfId="0" applyFont="1" applyFill="1" applyBorder="1" applyAlignment="1">
      <alignment horizontal="center" vertical="center" wrapText="1"/>
    </xf>
    <xf numFmtId="0" fontId="111" fillId="33" borderId="31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3" fillId="0" borderId="0" xfId="0" applyFont="1" applyBorder="1" applyAlignment="1">
      <alignment horizontal="left"/>
    </xf>
    <xf numFmtId="0" fontId="112" fillId="0" borderId="7" xfId="0" applyFont="1" applyBorder="1" applyAlignment="1" applyProtection="1">
      <alignment horizontal="center" vertical="center"/>
      <protection locked="0"/>
    </xf>
    <xf numFmtId="0" fontId="112" fillId="0" borderId="7" xfId="0" applyFont="1" applyBorder="1" applyAlignment="1" applyProtection="1">
      <alignment horizontal="center" vertical="center" shrinkToFit="1"/>
      <protection hidden="1"/>
    </xf>
    <xf numFmtId="0" fontId="19" fillId="0" borderId="7" xfId="0" applyFont="1" applyFill="1" applyBorder="1" applyAlignment="1" applyProtection="1">
      <alignment horizontal="center" vertical="center" shrinkToFit="1"/>
      <protection locked="0"/>
    </xf>
    <xf numFmtId="0" fontId="2" fillId="0" borderId="0" xfId="0" applyFont="1" applyProtection="1">
      <protection locked="0"/>
    </xf>
    <xf numFmtId="0" fontId="0" fillId="0" borderId="7" xfId="0" applyBorder="1" applyProtection="1">
      <protection locked="0"/>
    </xf>
    <xf numFmtId="0" fontId="2" fillId="0" borderId="7" xfId="0" applyFont="1" applyBorder="1" applyAlignment="1" applyProtection="1">
      <protection locked="0"/>
    </xf>
    <xf numFmtId="0" fontId="113" fillId="0" borderId="4" xfId="0" applyFont="1" applyBorder="1" applyAlignment="1" applyProtection="1">
      <alignment shrinkToFit="1"/>
      <protection hidden="1"/>
    </xf>
    <xf numFmtId="0" fontId="113" fillId="0" borderId="7" xfId="0" applyFont="1" applyBorder="1" applyAlignment="1" applyProtection="1">
      <alignment horizontal="center" vertical="center"/>
      <protection locked="0"/>
    </xf>
    <xf numFmtId="0" fontId="0" fillId="0" borderId="7" xfId="0" applyFill="1" applyBorder="1"/>
    <xf numFmtId="0" fontId="21" fillId="0" borderId="7" xfId="0" applyFont="1" applyBorder="1" applyAlignment="1" applyProtection="1">
      <alignment horizontal="center" vertical="center"/>
      <protection locked="0"/>
    </xf>
    <xf numFmtId="0" fontId="9" fillId="0" borderId="0" xfId="0" applyFont="1" applyBorder="1" applyAlignment="1" applyProtection="1">
      <alignment horizontal="center" vertical="center"/>
      <protection locked="0"/>
    </xf>
    <xf numFmtId="0" fontId="11" fillId="0" borderId="7" xfId="0" applyFont="1" applyBorder="1" applyAlignment="1" applyProtection="1">
      <alignment horizontal="center" vertical="center"/>
      <protection locked="0"/>
    </xf>
    <xf numFmtId="0" fontId="2" fillId="0" borderId="33" xfId="0" applyFont="1" applyBorder="1" applyAlignment="1" applyProtection="1">
      <alignment horizontal="center" vertical="center"/>
      <protection locked="0"/>
    </xf>
    <xf numFmtId="0" fontId="0" fillId="0" borderId="33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09" fillId="33" borderId="11" xfId="0" applyFont="1" applyFill="1" applyBorder="1" applyAlignment="1" applyProtection="1">
      <alignment horizontal="center" vertical="center"/>
      <protection locked="0"/>
    </xf>
    <xf numFmtId="0" fontId="109" fillId="33" borderId="11" xfId="0" applyFont="1" applyFill="1" applyBorder="1" applyAlignment="1" applyProtection="1">
      <alignment horizontal="center" vertical="center" wrapText="1"/>
      <protection locked="0"/>
    </xf>
    <xf numFmtId="0" fontId="0" fillId="0" borderId="33" xfId="0" applyFill="1" applyBorder="1" applyAlignment="1" applyProtection="1">
      <alignment horizontal="center" vertical="center" wrapText="1"/>
      <protection locked="0"/>
    </xf>
    <xf numFmtId="0" fontId="111" fillId="33" borderId="3" xfId="0" applyFont="1" applyFill="1" applyBorder="1" applyAlignment="1" applyProtection="1">
      <alignment horizontal="center" vertical="center" wrapText="1"/>
      <protection locked="0"/>
    </xf>
    <xf numFmtId="0" fontId="111" fillId="33" borderId="30" xfId="0" applyFont="1" applyFill="1" applyBorder="1" applyAlignment="1" applyProtection="1">
      <alignment horizontal="center" vertical="center" wrapText="1"/>
      <protection locked="0"/>
    </xf>
    <xf numFmtId="0" fontId="11" fillId="33" borderId="11" xfId="0" applyFont="1" applyFill="1" applyBorder="1" applyAlignment="1" applyProtection="1">
      <alignment horizontal="left" vertical="center"/>
      <protection locked="0"/>
    </xf>
    <xf numFmtId="0" fontId="11" fillId="33" borderId="3" xfId="0" applyFont="1" applyFill="1" applyBorder="1" applyAlignment="1" applyProtection="1">
      <alignment horizontal="center" vertical="center" wrapText="1"/>
      <protection locked="0"/>
    </xf>
    <xf numFmtId="0" fontId="6" fillId="33" borderId="3" xfId="0" applyNumberFormat="1" applyFont="1" applyFill="1" applyBorder="1" applyAlignment="1" applyProtection="1">
      <alignment horizontal="center" vertical="center"/>
      <protection locked="0"/>
    </xf>
    <xf numFmtId="1" fontId="6" fillId="33" borderId="11" xfId="0" applyNumberFormat="1" applyFont="1" applyFill="1" applyBorder="1" applyAlignment="1" applyProtection="1">
      <alignment horizontal="center" vertical="center"/>
      <protection locked="0"/>
    </xf>
    <xf numFmtId="1" fontId="6" fillId="33" borderId="3" xfId="0" applyNumberFormat="1" applyFont="1" applyFill="1" applyBorder="1" applyAlignment="1" applyProtection="1">
      <alignment horizontal="center" vertical="center"/>
      <protection locked="0"/>
    </xf>
    <xf numFmtId="3" fontId="11" fillId="33" borderId="3" xfId="0" applyNumberFormat="1" applyFont="1" applyFill="1" applyBorder="1" applyAlignment="1" applyProtection="1">
      <alignment horizontal="center" vertical="center"/>
      <protection locked="0"/>
    </xf>
    <xf numFmtId="0" fontId="3" fillId="0" borderId="11" xfId="0" applyFont="1" applyFill="1" applyBorder="1" applyAlignment="1">
      <alignment horizontal="center" vertical="center" shrinkToFit="1"/>
    </xf>
    <xf numFmtId="0" fontId="3" fillId="0" borderId="7" xfId="0" applyFont="1" applyFill="1" applyBorder="1" applyAlignment="1">
      <alignment horizontal="center" vertical="center" shrinkToFit="1"/>
    </xf>
    <xf numFmtId="0" fontId="3" fillId="0" borderId="3" xfId="0" applyFont="1" applyFill="1" applyBorder="1" applyAlignment="1">
      <alignment horizontal="center" vertical="center" shrinkToFit="1"/>
    </xf>
    <xf numFmtId="0" fontId="3" fillId="0" borderId="8" xfId="0" applyFont="1" applyFill="1" applyBorder="1" applyAlignment="1">
      <alignment horizontal="center" vertical="center" shrinkToFit="1"/>
    </xf>
    <xf numFmtId="0" fontId="111" fillId="28" borderId="31" xfId="0" applyFont="1" applyFill="1" applyBorder="1" applyAlignment="1">
      <alignment horizontal="center" vertical="center" wrapText="1"/>
    </xf>
    <xf numFmtId="0" fontId="111" fillId="28" borderId="32" xfId="0" applyFont="1" applyFill="1" applyBorder="1" applyAlignment="1">
      <alignment horizontal="center" vertical="center" wrapText="1"/>
    </xf>
    <xf numFmtId="0" fontId="11" fillId="0" borderId="0" xfId="0" applyFont="1" applyAlignment="1" applyProtection="1">
      <alignment horizontal="center" vertical="center"/>
      <protection locked="0"/>
    </xf>
    <xf numFmtId="0" fontId="113" fillId="0" borderId="4" xfId="0" applyFont="1" applyBorder="1" applyAlignment="1" applyProtection="1">
      <alignment horizontal="center" shrinkToFit="1"/>
      <protection hidden="1"/>
    </xf>
    <xf numFmtId="0" fontId="5" fillId="28" borderId="29" xfId="0" applyFont="1" applyFill="1" applyBorder="1" applyAlignment="1" applyProtection="1">
      <alignment horizontal="center" vertical="center"/>
      <protection locked="0"/>
    </xf>
    <xf numFmtId="0" fontId="5" fillId="28" borderId="33" xfId="0" applyFont="1" applyFill="1" applyBorder="1" applyAlignment="1" applyProtection="1">
      <alignment horizontal="center" vertical="center"/>
      <protection locked="0"/>
    </xf>
    <xf numFmtId="0" fontId="5" fillId="28" borderId="2" xfId="0" applyFont="1" applyFill="1" applyBorder="1" applyAlignment="1" applyProtection="1">
      <alignment horizontal="center" vertical="center"/>
      <protection locked="0"/>
    </xf>
    <xf numFmtId="0" fontId="5" fillId="28" borderId="0" xfId="0" applyFont="1" applyFill="1" applyBorder="1" applyAlignment="1" applyProtection="1">
      <alignment horizontal="center" vertical="center"/>
      <protection locked="0"/>
    </xf>
    <xf numFmtId="0" fontId="6" fillId="0" borderId="33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2" fillId="3" borderId="4" xfId="0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0" fontId="2" fillId="2" borderId="34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109" fillId="28" borderId="29" xfId="0" applyFont="1" applyFill="1" applyBorder="1" applyAlignment="1" applyProtection="1">
      <alignment horizontal="center" vertical="center"/>
      <protection locked="0"/>
    </xf>
    <xf numFmtId="0" fontId="109" fillId="28" borderId="33" xfId="0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Alignment="1" applyProtection="1">
      <alignment horizontal="center" vertical="center"/>
      <protection locked="0"/>
    </xf>
    <xf numFmtId="0" fontId="16" fillId="3" borderId="4" xfId="0" applyFont="1" applyFill="1" applyBorder="1" applyAlignment="1" applyProtection="1">
      <alignment horizontal="center" vertical="center"/>
      <protection locked="0"/>
    </xf>
    <xf numFmtId="0" fontId="24" fillId="33" borderId="11" xfId="0" applyFont="1" applyFill="1" applyBorder="1" applyAlignment="1">
      <alignment horizontal="center" vertical="center" wrapText="1"/>
    </xf>
    <xf numFmtId="0" fontId="111" fillId="33" borderId="7" xfId="0" applyFont="1" applyFill="1" applyBorder="1" applyAlignment="1">
      <alignment horizontal="center" vertical="center" wrapText="1"/>
    </xf>
    <xf numFmtId="0" fontId="2" fillId="0" borderId="0" xfId="0" quotePrefix="1" applyFont="1" applyAlignment="1">
      <alignment horizontal="center" wrapText="1"/>
    </xf>
    <xf numFmtId="0" fontId="2" fillId="0" borderId="0" xfId="0" applyFont="1" applyAlignment="1">
      <alignment horizont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37" xfId="0" applyFont="1" applyBorder="1" applyAlignment="1">
      <alignment horizontal="center" vertical="center" wrapText="1"/>
    </xf>
    <xf numFmtId="0" fontId="2" fillId="0" borderId="33" xfId="0" applyFont="1" applyBorder="1" applyAlignment="1" applyProtection="1">
      <alignment horizontal="center"/>
      <protection locked="0"/>
    </xf>
    <xf numFmtId="0" fontId="126" fillId="0" borderId="29" xfId="0" quotePrefix="1" applyFont="1" applyBorder="1" applyAlignment="1">
      <alignment horizontal="right" vertical="top" wrapText="1"/>
    </xf>
    <xf numFmtId="0" fontId="0" fillId="0" borderId="33" xfId="0" applyBorder="1" applyAlignment="1">
      <alignment horizontal="right" vertical="top"/>
    </xf>
    <xf numFmtId="0" fontId="0" fillId="0" borderId="10" xfId="0" applyBorder="1" applyAlignment="1">
      <alignment horizontal="right" vertical="top"/>
    </xf>
    <xf numFmtId="0" fontId="0" fillId="0" borderId="34" xfId="0" applyBorder="1" applyAlignment="1">
      <alignment horizontal="right" vertical="top"/>
    </xf>
    <xf numFmtId="0" fontId="0" fillId="0" borderId="4" xfId="0" applyBorder="1" applyAlignment="1">
      <alignment horizontal="right" vertical="top"/>
    </xf>
    <xf numFmtId="0" fontId="0" fillId="0" borderId="35" xfId="0" applyBorder="1" applyAlignment="1">
      <alignment horizontal="right" vertical="top"/>
    </xf>
    <xf numFmtId="0" fontId="0" fillId="0" borderId="3" xfId="0" applyBorder="1" applyAlignment="1">
      <alignment horizontal="center"/>
    </xf>
    <xf numFmtId="0" fontId="4" fillId="33" borderId="3" xfId="0" applyFont="1" applyFill="1" applyBorder="1" applyAlignment="1" applyProtection="1">
      <alignment horizontal="center" vertical="center" wrapText="1"/>
      <protection locked="0"/>
    </xf>
    <xf numFmtId="0" fontId="4" fillId="33" borderId="3" xfId="0" applyFont="1" applyFill="1" applyBorder="1" applyAlignment="1" applyProtection="1">
      <alignment horizontal="center" vertical="center"/>
      <protection locked="0"/>
    </xf>
    <xf numFmtId="0" fontId="111" fillId="33" borderId="31" xfId="0" applyFont="1" applyFill="1" applyBorder="1" applyAlignment="1">
      <alignment horizontal="center" vertical="center" wrapText="1"/>
    </xf>
    <xf numFmtId="0" fontId="111" fillId="33" borderId="32" xfId="0" applyFont="1" applyFill="1" applyBorder="1" applyAlignment="1">
      <alignment horizontal="center" vertical="center" wrapText="1"/>
    </xf>
    <xf numFmtId="0" fontId="2" fillId="33" borderId="9" xfId="0" applyFont="1" applyFill="1" applyBorder="1" applyAlignment="1" applyProtection="1">
      <alignment horizontal="center" vertical="center"/>
      <protection locked="0"/>
    </xf>
    <xf numFmtId="0" fontId="2" fillId="33" borderId="33" xfId="0" applyFont="1" applyFill="1" applyBorder="1" applyAlignment="1" applyProtection="1">
      <alignment horizontal="center" vertical="center"/>
      <protection locked="0"/>
    </xf>
    <xf numFmtId="0" fontId="2" fillId="33" borderId="41" xfId="0" applyFont="1" applyFill="1" applyBorder="1" applyAlignment="1" applyProtection="1">
      <alignment horizontal="center" vertical="center"/>
      <protection locked="0"/>
    </xf>
    <xf numFmtId="0" fontId="2" fillId="33" borderId="42" xfId="0" applyFont="1" applyFill="1" applyBorder="1" applyAlignment="1" applyProtection="1">
      <alignment horizontal="center" vertical="center"/>
      <protection locked="0"/>
    </xf>
    <xf numFmtId="0" fontId="11" fillId="0" borderId="7" xfId="0" applyFont="1" applyBorder="1" applyAlignment="1" applyProtection="1">
      <alignment horizontal="center" vertical="center"/>
      <protection locked="0"/>
    </xf>
    <xf numFmtId="0" fontId="113" fillId="0" borderId="7" xfId="0" applyFont="1" applyBorder="1" applyAlignment="1" applyProtection="1">
      <alignment horizontal="center" shrinkToFit="1"/>
      <protection hidden="1"/>
    </xf>
    <xf numFmtId="0" fontId="16" fillId="3" borderId="23" xfId="0" applyFont="1" applyFill="1" applyBorder="1" applyAlignment="1" applyProtection="1">
      <alignment horizontal="center" vertical="center"/>
      <protection locked="0"/>
    </xf>
    <xf numFmtId="0" fontId="16" fillId="3" borderId="20" xfId="0" applyFont="1" applyFill="1" applyBorder="1" applyAlignment="1" applyProtection="1">
      <alignment horizontal="center" vertical="center"/>
      <protection locked="0"/>
    </xf>
    <xf numFmtId="0" fontId="16" fillId="3" borderId="21" xfId="0" applyFont="1" applyFill="1" applyBorder="1" applyAlignment="1" applyProtection="1">
      <alignment horizontal="center" vertical="center"/>
      <protection locked="0"/>
    </xf>
    <xf numFmtId="0" fontId="2" fillId="33" borderId="29" xfId="0" applyFont="1" applyFill="1" applyBorder="1" applyAlignment="1">
      <alignment horizontal="center" vertical="center"/>
    </xf>
    <xf numFmtId="0" fontId="2" fillId="33" borderId="34" xfId="0" applyFont="1" applyFill="1" applyBorder="1" applyAlignment="1">
      <alignment horizontal="center" vertical="center"/>
    </xf>
    <xf numFmtId="0" fontId="2" fillId="33" borderId="33" xfId="0" applyFont="1" applyFill="1" applyBorder="1" applyAlignment="1">
      <alignment horizontal="center" vertical="center"/>
    </xf>
    <xf numFmtId="0" fontId="2" fillId="33" borderId="4" xfId="0" applyFont="1" applyFill="1" applyBorder="1" applyAlignment="1">
      <alignment horizontal="center" vertical="center"/>
    </xf>
    <xf numFmtId="0" fontId="5" fillId="28" borderId="9" xfId="0" applyFont="1" applyFill="1" applyBorder="1" applyAlignment="1" applyProtection="1">
      <alignment horizontal="center" vertical="center"/>
      <protection locked="0"/>
    </xf>
    <xf numFmtId="0" fontId="5" fillId="28" borderId="16" xfId="0" applyFont="1" applyFill="1" applyBorder="1" applyAlignment="1" applyProtection="1">
      <alignment horizontal="center" vertical="center"/>
      <protection locked="0"/>
    </xf>
    <xf numFmtId="0" fontId="5" fillId="28" borderId="55" xfId="0" applyFont="1" applyFill="1" applyBorder="1" applyAlignment="1" applyProtection="1">
      <alignment horizontal="center" vertical="center"/>
      <protection locked="0"/>
    </xf>
    <xf numFmtId="0" fontId="5" fillId="28" borderId="4" xfId="0" applyFont="1" applyFill="1" applyBorder="1" applyAlignment="1" applyProtection="1">
      <alignment horizontal="center" vertic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126" fillId="0" borderId="29" xfId="0" applyFont="1" applyBorder="1" applyAlignment="1" applyProtection="1">
      <alignment horizontal="right" vertical="top" wrapText="1"/>
      <protection locked="0"/>
    </xf>
    <xf numFmtId="0" fontId="0" fillId="0" borderId="33" xfId="0" applyBorder="1" applyAlignment="1" applyProtection="1">
      <alignment horizontal="right" vertical="top"/>
      <protection locked="0"/>
    </xf>
    <xf numFmtId="0" fontId="0" fillId="0" borderId="10" xfId="0" applyBorder="1" applyAlignment="1" applyProtection="1">
      <alignment horizontal="right" vertical="top"/>
      <protection locked="0"/>
    </xf>
    <xf numFmtId="0" fontId="0" fillId="0" borderId="34" xfId="0" applyBorder="1" applyAlignment="1" applyProtection="1">
      <alignment horizontal="right" vertical="top"/>
      <protection locked="0"/>
    </xf>
    <xf numFmtId="0" fontId="0" fillId="0" borderId="4" xfId="0" applyBorder="1" applyAlignment="1" applyProtection="1">
      <alignment horizontal="right" vertical="top"/>
      <protection locked="0"/>
    </xf>
    <xf numFmtId="0" fontId="0" fillId="0" borderId="35" xfId="0" applyBorder="1" applyAlignment="1" applyProtection="1">
      <alignment horizontal="right" vertical="top"/>
      <protection locked="0"/>
    </xf>
    <xf numFmtId="0" fontId="113" fillId="0" borderId="0" xfId="0" applyFont="1" applyBorder="1" applyAlignment="1" applyProtection="1">
      <alignment horizontal="center" vertical="center" shrinkToFit="1"/>
      <protection locked="0"/>
    </xf>
    <xf numFmtId="0" fontId="112" fillId="0" borderId="33" xfId="0" applyFont="1" applyBorder="1" applyAlignment="1" applyProtection="1">
      <alignment horizontal="center" vertical="center"/>
      <protection locked="0"/>
    </xf>
    <xf numFmtId="0" fontId="4" fillId="33" borderId="3" xfId="0" applyFont="1" applyFill="1" applyBorder="1" applyAlignment="1" applyProtection="1">
      <alignment horizontal="center" vertical="center" shrinkToFit="1"/>
      <protection locked="0"/>
    </xf>
    <xf numFmtId="0" fontId="4" fillId="33" borderId="3" xfId="0" applyFont="1" applyFill="1" applyBorder="1" applyAlignment="1" applyProtection="1">
      <alignment horizontal="center" vertical="center" wrapText="1" shrinkToFit="1"/>
      <protection locked="0"/>
    </xf>
    <xf numFmtId="0" fontId="113" fillId="0" borderId="4" xfId="0" applyFont="1" applyBorder="1" applyAlignment="1" applyProtection="1">
      <alignment horizontal="center" vertical="center" shrinkToFit="1"/>
      <protection locked="0"/>
    </xf>
    <xf numFmtId="0" fontId="16" fillId="3" borderId="39" xfId="0" applyFont="1" applyFill="1" applyBorder="1" applyAlignment="1" applyProtection="1">
      <alignment horizontal="center" vertical="center"/>
      <protection locked="0"/>
    </xf>
    <xf numFmtId="0" fontId="16" fillId="3" borderId="60" xfId="0" applyFont="1" applyFill="1" applyBorder="1" applyAlignment="1" applyProtection="1">
      <alignment horizontal="center" vertical="center"/>
      <protection locked="0"/>
    </xf>
    <xf numFmtId="0" fontId="16" fillId="3" borderId="51" xfId="0" applyFont="1" applyFill="1" applyBorder="1" applyAlignment="1" applyProtection="1">
      <alignment horizontal="center" vertical="center"/>
      <protection locked="0"/>
    </xf>
    <xf numFmtId="0" fontId="103" fillId="33" borderId="3" xfId="0" applyFont="1" applyFill="1" applyBorder="1" applyAlignment="1" applyProtection="1">
      <alignment horizontal="center" vertical="center" wrapText="1"/>
      <protection locked="0"/>
    </xf>
    <xf numFmtId="0" fontId="103" fillId="33" borderId="3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14" fillId="0" borderId="3" xfId="0" applyFont="1" applyFill="1" applyBorder="1" applyAlignment="1" applyProtection="1">
      <alignment horizontal="center"/>
      <protection locked="0"/>
    </xf>
    <xf numFmtId="0" fontId="14" fillId="0" borderId="11" xfId="0" applyFont="1" applyFill="1" applyBorder="1" applyAlignment="1" applyProtection="1">
      <alignment horizontal="center"/>
      <protection locked="0"/>
    </xf>
    <xf numFmtId="0" fontId="14" fillId="0" borderId="7" xfId="0" applyFont="1" applyFill="1" applyBorder="1" applyAlignment="1" applyProtection="1">
      <alignment horizontal="center"/>
      <protection locked="0"/>
    </xf>
    <xf numFmtId="0" fontId="14" fillId="0" borderId="8" xfId="0" applyFont="1" applyFill="1" applyBorder="1" applyAlignment="1" applyProtection="1">
      <alignment horizontal="center"/>
      <protection locked="0"/>
    </xf>
    <xf numFmtId="0" fontId="2" fillId="3" borderId="4" xfId="0" applyFont="1" applyFill="1" applyBorder="1" applyAlignment="1" applyProtection="1">
      <alignment horizontal="center" vertical="center"/>
      <protection locked="0"/>
    </xf>
    <xf numFmtId="0" fontId="6" fillId="0" borderId="33" xfId="0" applyFont="1" applyBorder="1" applyAlignment="1" applyProtection="1">
      <alignment horizontal="center"/>
      <protection locked="0"/>
    </xf>
    <xf numFmtId="0" fontId="6" fillId="0" borderId="10" xfId="0" applyFont="1" applyBorder="1" applyAlignment="1" applyProtection="1">
      <alignment horizontal="center"/>
      <protection locked="0"/>
    </xf>
    <xf numFmtId="0" fontId="111" fillId="33" borderId="31" xfId="0" applyFont="1" applyFill="1" applyBorder="1" applyAlignment="1" applyProtection="1">
      <alignment horizontal="center" vertical="center" wrapText="1"/>
      <protection locked="0"/>
    </xf>
    <xf numFmtId="0" fontId="111" fillId="33" borderId="32" xfId="0" applyFont="1" applyFill="1" applyBorder="1" applyAlignment="1" applyProtection="1">
      <alignment horizontal="center" vertical="center" wrapText="1"/>
      <protection locked="0"/>
    </xf>
    <xf numFmtId="0" fontId="3" fillId="0" borderId="11" xfId="0" applyFont="1" applyFill="1" applyBorder="1" applyAlignment="1" applyProtection="1">
      <alignment horizontal="center" vertical="center" shrinkToFit="1"/>
      <protection locked="0"/>
    </xf>
    <xf numFmtId="0" fontId="3" fillId="0" borderId="7" xfId="0" applyFont="1" applyFill="1" applyBorder="1" applyAlignment="1" applyProtection="1">
      <alignment horizontal="center" vertical="center" shrinkToFit="1"/>
      <protection locked="0"/>
    </xf>
    <xf numFmtId="0" fontId="2" fillId="33" borderId="29" xfId="0" applyFont="1" applyFill="1" applyBorder="1" applyAlignment="1" applyProtection="1">
      <alignment horizontal="center" vertical="center"/>
      <protection locked="0"/>
    </xf>
    <xf numFmtId="0" fontId="2" fillId="33" borderId="34" xfId="0" applyFont="1" applyFill="1" applyBorder="1" applyAlignment="1" applyProtection="1">
      <alignment horizontal="center" vertical="center"/>
      <protection locked="0"/>
    </xf>
    <xf numFmtId="0" fontId="2" fillId="33" borderId="4" xfId="0" applyFont="1" applyFill="1" applyBorder="1" applyAlignment="1" applyProtection="1">
      <alignment horizontal="center" vertical="center"/>
      <protection locked="0"/>
    </xf>
    <xf numFmtId="0" fontId="113" fillId="0" borderId="4" xfId="0" applyFont="1" applyBorder="1" applyAlignment="1" applyProtection="1">
      <alignment horizontal="center" shrinkToFit="1"/>
      <protection locked="0"/>
    </xf>
    <xf numFmtId="0" fontId="16" fillId="3" borderId="0" xfId="0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  <protection locked="0"/>
    </xf>
    <xf numFmtId="0" fontId="2" fillId="3" borderId="33" xfId="0" applyFont="1" applyFill="1" applyBorder="1" applyAlignment="1" applyProtection="1">
      <alignment horizontal="center" vertical="center"/>
      <protection locked="0"/>
    </xf>
    <xf numFmtId="0" fontId="2" fillId="3" borderId="0" xfId="0" applyFont="1" applyFill="1" applyBorder="1" applyAlignment="1" applyProtection="1">
      <alignment horizontal="center" vertical="center"/>
      <protection locked="0"/>
    </xf>
    <xf numFmtId="0" fontId="103" fillId="28" borderId="3" xfId="0" applyFont="1" applyFill="1" applyBorder="1" applyAlignment="1" applyProtection="1">
      <alignment horizontal="center" vertical="center" wrapText="1"/>
      <protection locked="0"/>
    </xf>
    <xf numFmtId="0" fontId="103" fillId="28" borderId="3" xfId="0" applyFont="1" applyFill="1" applyBorder="1" applyAlignment="1" applyProtection="1">
      <alignment horizontal="center" vertical="center"/>
      <protection locked="0"/>
    </xf>
    <xf numFmtId="0" fontId="2" fillId="2" borderId="29" xfId="0" applyFont="1" applyFill="1" applyBorder="1" applyAlignment="1" applyProtection="1">
      <alignment horizontal="center" vertical="center"/>
      <protection locked="0"/>
    </xf>
    <xf numFmtId="0" fontId="2" fillId="2" borderId="34" xfId="0" applyFont="1" applyFill="1" applyBorder="1" applyAlignment="1" applyProtection="1">
      <alignment horizontal="center" vertical="center"/>
      <protection locked="0"/>
    </xf>
    <xf numFmtId="0" fontId="2" fillId="2" borderId="33" xfId="0" applyFont="1" applyFill="1" applyBorder="1" applyAlignment="1" applyProtection="1">
      <alignment horizontal="center" vertical="center"/>
      <protection locked="0"/>
    </xf>
    <xf numFmtId="0" fontId="2" fillId="2" borderId="4" xfId="0" applyFont="1" applyFill="1" applyBorder="1" applyAlignment="1" applyProtection="1">
      <alignment horizontal="center" vertical="center"/>
      <protection locked="0"/>
    </xf>
    <xf numFmtId="0" fontId="111" fillId="28" borderId="31" xfId="0" applyFont="1" applyFill="1" applyBorder="1" applyAlignment="1" applyProtection="1">
      <alignment horizontal="center" vertical="center" wrapText="1"/>
      <protection locked="0"/>
    </xf>
    <xf numFmtId="0" fontId="111" fillId="28" borderId="32" xfId="0" applyFont="1" applyFill="1" applyBorder="1" applyAlignment="1" applyProtection="1">
      <alignment horizontal="center" vertical="center" wrapText="1"/>
      <protection locked="0"/>
    </xf>
    <xf numFmtId="0" fontId="55" fillId="0" borderId="0" xfId="0" applyFont="1" applyFill="1" applyAlignment="1">
      <alignment horizontal="center"/>
    </xf>
    <xf numFmtId="0" fontId="61" fillId="9" borderId="11" xfId="0" applyFont="1" applyFill="1" applyBorder="1" applyAlignment="1" applyProtection="1">
      <alignment horizontal="right" vertical="center" wrapText="1"/>
      <protection locked="0" hidden="1"/>
    </xf>
    <xf numFmtId="0" fontId="61" fillId="9" borderId="7" xfId="0" applyFont="1" applyFill="1" applyBorder="1" applyAlignment="1" applyProtection="1">
      <alignment horizontal="right" vertical="center" wrapText="1"/>
      <protection locked="0" hidden="1"/>
    </xf>
    <xf numFmtId="0" fontId="61" fillId="9" borderId="22" xfId="0" applyFont="1" applyFill="1" applyBorder="1" applyAlignment="1" applyProtection="1">
      <alignment horizontal="right" vertical="center" wrapText="1"/>
      <protection locked="0" hidden="1"/>
    </xf>
    <xf numFmtId="0" fontId="23" fillId="9" borderId="0" xfId="0" applyFont="1" applyFill="1" applyAlignment="1">
      <alignment horizontal="center"/>
    </xf>
    <xf numFmtId="0" fontId="55" fillId="9" borderId="0" xfId="0" applyFont="1" applyFill="1" applyAlignment="1">
      <alignment horizontal="center"/>
    </xf>
    <xf numFmtId="0" fontId="60" fillId="9" borderId="4" xfId="0" applyFont="1" applyFill="1" applyBorder="1" applyAlignment="1">
      <alignment horizontal="center" vertical="center" wrapText="1"/>
    </xf>
    <xf numFmtId="0" fontId="61" fillId="9" borderId="19" xfId="0" applyFont="1" applyFill="1" applyBorder="1" applyAlignment="1" applyProtection="1">
      <alignment horizontal="right" vertical="center" wrapText="1"/>
      <protection locked="0" hidden="1"/>
    </xf>
    <xf numFmtId="0" fontId="61" fillId="9" borderId="20" xfId="0" applyFont="1" applyFill="1" applyBorder="1" applyAlignment="1" applyProtection="1">
      <alignment horizontal="right" vertical="center" wrapText="1"/>
      <protection locked="0" hidden="1"/>
    </xf>
    <xf numFmtId="0" fontId="61" fillId="9" borderId="21" xfId="0" applyFont="1" applyFill="1" applyBorder="1" applyAlignment="1" applyProtection="1">
      <alignment horizontal="right" vertical="center" wrapText="1"/>
      <protection locked="0" hidden="1"/>
    </xf>
    <xf numFmtId="0" fontId="23" fillId="0" borderId="0" xfId="0" applyFont="1" applyFill="1" applyAlignment="1">
      <alignment horizontal="center"/>
    </xf>
    <xf numFmtId="0" fontId="64" fillId="9" borderId="4" xfId="0" applyFont="1" applyFill="1" applyBorder="1" applyAlignment="1">
      <alignment horizontal="center"/>
    </xf>
    <xf numFmtId="0" fontId="61" fillId="9" borderId="41" xfId="0" applyFont="1" applyFill="1" applyBorder="1" applyAlignment="1" applyProtection="1">
      <alignment horizontal="left" vertical="center"/>
      <protection locked="0" hidden="1"/>
    </xf>
    <xf numFmtId="0" fontId="61" fillId="9" borderId="42" xfId="0" applyFont="1" applyFill="1" applyBorder="1" applyAlignment="1" applyProtection="1">
      <alignment horizontal="left" vertical="center"/>
      <protection locked="0" hidden="1"/>
    </xf>
    <xf numFmtId="0" fontId="61" fillId="9" borderId="43" xfId="0" applyFont="1" applyFill="1" applyBorder="1" applyAlignment="1" applyProtection="1">
      <alignment horizontal="left" vertical="center"/>
      <protection locked="0" hidden="1"/>
    </xf>
    <xf numFmtId="0" fontId="61" fillId="9" borderId="44" xfId="0" applyFont="1" applyFill="1" applyBorder="1" applyAlignment="1" applyProtection="1">
      <alignment horizontal="right" vertical="center" wrapText="1"/>
      <protection locked="0" hidden="1"/>
    </xf>
    <xf numFmtId="0" fontId="61" fillId="9" borderId="42" xfId="0" applyFont="1" applyFill="1" applyBorder="1" applyAlignment="1" applyProtection="1">
      <alignment horizontal="right" vertical="center" wrapText="1"/>
      <protection locked="0" hidden="1"/>
    </xf>
    <xf numFmtId="0" fontId="61" fillId="9" borderId="45" xfId="0" applyFont="1" applyFill="1" applyBorder="1" applyAlignment="1" applyProtection="1">
      <alignment horizontal="right" vertical="center" wrapText="1"/>
      <protection locked="0" hidden="1"/>
    </xf>
    <xf numFmtId="0" fontId="61" fillId="9" borderId="6" xfId="0" applyFont="1" applyFill="1" applyBorder="1" applyAlignment="1" applyProtection="1">
      <alignment horizontal="left" vertical="center"/>
      <protection locked="0" hidden="1"/>
    </xf>
    <xf numFmtId="0" fontId="61" fillId="9" borderId="7" xfId="0" applyFont="1" applyFill="1" applyBorder="1" applyAlignment="1" applyProtection="1">
      <alignment horizontal="left" vertical="center"/>
      <protection locked="0" hidden="1"/>
    </xf>
    <xf numFmtId="0" fontId="61" fillId="9" borderId="8" xfId="0" applyFont="1" applyFill="1" applyBorder="1" applyAlignment="1" applyProtection="1">
      <alignment horizontal="left" vertical="center"/>
      <protection locked="0" hidden="1"/>
    </xf>
    <xf numFmtId="0" fontId="60" fillId="9" borderId="0" xfId="0" applyFont="1" applyFill="1" applyBorder="1" applyAlignment="1">
      <alignment horizontal="center" vertical="center" wrapText="1"/>
    </xf>
    <xf numFmtId="0" fontId="60" fillId="9" borderId="0" xfId="0" applyFont="1" applyFill="1" applyBorder="1" applyAlignment="1">
      <alignment horizontal="center" vertical="center"/>
    </xf>
    <xf numFmtId="0" fontId="60" fillId="9" borderId="0" xfId="0" applyFont="1" applyFill="1" applyAlignment="1">
      <alignment horizontal="center" wrapText="1"/>
    </xf>
    <xf numFmtId="0" fontId="58" fillId="9" borderId="0" xfId="0" applyFont="1" applyFill="1" applyAlignment="1">
      <alignment horizontal="center" wrapText="1"/>
    </xf>
    <xf numFmtId="0" fontId="55" fillId="9" borderId="0" xfId="0" applyFont="1" applyFill="1" applyAlignment="1">
      <alignment horizontal="center" wrapText="1"/>
    </xf>
    <xf numFmtId="0" fontId="49" fillId="0" borderId="0" xfId="0" applyFont="1" applyFill="1" applyAlignment="1">
      <alignment horizontal="center"/>
    </xf>
    <xf numFmtId="0" fontId="51" fillId="0" borderId="0" xfId="0" applyFont="1" applyFill="1" applyAlignment="1">
      <alignment horizontal="center"/>
    </xf>
    <xf numFmtId="0" fontId="65" fillId="9" borderId="0" xfId="0" applyFont="1" applyFill="1" applyAlignment="1">
      <alignment horizontal="center"/>
    </xf>
    <xf numFmtId="0" fontId="61" fillId="9" borderId="11" xfId="0" applyFont="1" applyFill="1" applyBorder="1" applyAlignment="1" applyProtection="1">
      <alignment horizontal="left"/>
      <protection locked="0" hidden="1"/>
    </xf>
    <xf numFmtId="0" fontId="61" fillId="9" borderId="7" xfId="0" applyFont="1" applyFill="1" applyBorder="1" applyAlignment="1" applyProtection="1">
      <alignment horizontal="left"/>
      <protection locked="0" hidden="1"/>
    </xf>
    <xf numFmtId="0" fontId="61" fillId="9" borderId="0" xfId="0" applyFont="1" applyFill="1" applyBorder="1" applyAlignment="1" applyProtection="1">
      <alignment horizontal="right"/>
      <protection locked="0" hidden="1"/>
    </xf>
    <xf numFmtId="0" fontId="49" fillId="7" borderId="0" xfId="0" applyFont="1" applyFill="1" applyAlignment="1">
      <alignment horizontal="center" vertical="center"/>
    </xf>
    <xf numFmtId="0" fontId="58" fillId="9" borderId="0" xfId="0" applyFont="1" applyFill="1" applyBorder="1" applyAlignment="1">
      <alignment horizontal="center" wrapText="1"/>
    </xf>
    <xf numFmtId="0" fontId="60" fillId="9" borderId="0" xfId="0" applyFont="1" applyFill="1" applyBorder="1" applyAlignment="1">
      <alignment horizontal="center" wrapText="1"/>
    </xf>
    <xf numFmtId="0" fontId="60" fillId="9" borderId="18" xfId="0" applyFont="1" applyFill="1" applyBorder="1" applyAlignment="1">
      <alignment horizontal="center" vertical="center"/>
    </xf>
    <xf numFmtId="0" fontId="38" fillId="9" borderId="0" xfId="0" applyFont="1" applyFill="1" applyAlignment="1">
      <alignment horizontal="center"/>
    </xf>
    <xf numFmtId="0" fontId="61" fillId="9" borderId="23" xfId="0" applyFont="1" applyFill="1" applyBorder="1" applyAlignment="1" applyProtection="1">
      <alignment horizontal="left" vertical="center"/>
      <protection locked="0" hidden="1"/>
    </xf>
    <xf numFmtId="0" fontId="61" fillId="9" borderId="20" xfId="0" applyFont="1" applyFill="1" applyBorder="1" applyAlignment="1" applyProtection="1">
      <alignment horizontal="left" vertical="center"/>
      <protection locked="0" hidden="1"/>
    </xf>
    <xf numFmtId="0" fontId="61" fillId="9" borderId="46" xfId="0" applyFont="1" applyFill="1" applyBorder="1" applyAlignment="1" applyProtection="1">
      <alignment horizontal="left" vertical="center"/>
      <protection locked="0" hidden="1"/>
    </xf>
    <xf numFmtId="0" fontId="64" fillId="9" borderId="0" xfId="0" applyFont="1" applyFill="1" applyAlignment="1">
      <alignment horizontal="center"/>
    </xf>
    <xf numFmtId="0" fontId="61" fillId="9" borderId="8" xfId="0" applyFont="1" applyFill="1" applyBorder="1" applyAlignment="1" applyProtection="1">
      <alignment horizontal="left"/>
      <protection locked="0" hidden="1"/>
    </xf>
    <xf numFmtId="0" fontId="61" fillId="9" borderId="11" xfId="0" applyFont="1" applyFill="1" applyBorder="1" applyAlignment="1" applyProtection="1">
      <alignment horizontal="right"/>
      <protection locked="0" hidden="1"/>
    </xf>
    <xf numFmtId="0" fontId="61" fillId="9" borderId="7" xfId="0" applyFont="1" applyFill="1" applyBorder="1" applyAlignment="1" applyProtection="1">
      <alignment horizontal="right"/>
      <protection locked="0" hidden="1"/>
    </xf>
    <xf numFmtId="0" fontId="61" fillId="9" borderId="8" xfId="0" applyFont="1" applyFill="1" applyBorder="1" applyAlignment="1" applyProtection="1">
      <alignment horizontal="right"/>
      <protection locked="0" hidden="1"/>
    </xf>
    <xf numFmtId="0" fontId="65" fillId="0" borderId="0" xfId="0" applyFont="1" applyFill="1" applyAlignment="1">
      <alignment horizontal="center"/>
    </xf>
    <xf numFmtId="0" fontId="61" fillId="9" borderId="11" xfId="0" applyFont="1" applyFill="1" applyBorder="1" applyAlignment="1" applyProtection="1">
      <alignment horizontal="left" vertical="center" wrapText="1"/>
      <protection locked="0" hidden="1"/>
    </xf>
    <xf numFmtId="0" fontId="61" fillId="9" borderId="7" xfId="0" applyFont="1" applyFill="1" applyBorder="1" applyAlignment="1" applyProtection="1">
      <alignment horizontal="left" vertical="center" wrapText="1"/>
      <protection locked="0" hidden="1"/>
    </xf>
    <xf numFmtId="0" fontId="61" fillId="9" borderId="8" xfId="0" applyFont="1" applyFill="1" applyBorder="1" applyAlignment="1" applyProtection="1">
      <alignment horizontal="left" vertical="center" wrapText="1"/>
      <protection locked="0" hidden="1"/>
    </xf>
    <xf numFmtId="0" fontId="60" fillId="0" borderId="4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 applyProtection="1">
      <alignment horizontal="left"/>
      <protection locked="0" hidden="1"/>
    </xf>
    <xf numFmtId="0" fontId="61" fillId="0" borderId="7" xfId="0" applyFont="1" applyFill="1" applyBorder="1" applyAlignment="1" applyProtection="1">
      <alignment horizontal="left"/>
      <protection locked="0" hidden="1"/>
    </xf>
    <xf numFmtId="0" fontId="61" fillId="0" borderId="8" xfId="0" applyFont="1" applyFill="1" applyBorder="1" applyAlignment="1" applyProtection="1">
      <alignment horizontal="left"/>
      <protection locked="0" hidden="1"/>
    </xf>
    <xf numFmtId="0" fontId="61" fillId="0" borderId="11" xfId="0" applyFont="1" applyFill="1" applyBorder="1" applyAlignment="1" applyProtection="1">
      <alignment horizontal="right"/>
      <protection locked="0" hidden="1"/>
    </xf>
    <xf numFmtId="0" fontId="61" fillId="0" borderId="7" xfId="0" applyFont="1" applyFill="1" applyBorder="1" applyAlignment="1" applyProtection="1">
      <alignment horizontal="right"/>
      <protection locked="0" hidden="1"/>
    </xf>
    <xf numFmtId="0" fontId="61" fillId="0" borderId="8" xfId="0" applyFont="1" applyFill="1" applyBorder="1" applyAlignment="1" applyProtection="1">
      <alignment horizontal="right"/>
      <protection locked="0" hidden="1"/>
    </xf>
    <xf numFmtId="0" fontId="105" fillId="0" borderId="0" xfId="0" applyFont="1" applyFill="1" applyBorder="1" applyAlignment="1" applyProtection="1">
      <alignment horizontal="center"/>
      <protection hidden="1"/>
    </xf>
    <xf numFmtId="0" fontId="96" fillId="0" borderId="0" xfId="0" applyFont="1" applyAlignment="1" applyProtection="1">
      <alignment horizontal="center"/>
      <protection hidden="1"/>
    </xf>
    <xf numFmtId="0" fontId="105" fillId="0" borderId="0" xfId="0" applyFont="1" applyAlignment="1" applyProtection="1">
      <alignment horizontal="center"/>
      <protection hidden="1"/>
    </xf>
    <xf numFmtId="0" fontId="96" fillId="0" borderId="0" xfId="0" applyFont="1" applyFill="1" applyAlignment="1" applyProtection="1">
      <alignment horizontal="center"/>
      <protection hidden="1"/>
    </xf>
    <xf numFmtId="0" fontId="105" fillId="0" borderId="0" xfId="0" applyFont="1" applyFill="1" applyBorder="1" applyAlignment="1" applyProtection="1">
      <alignment horizontal="center" vertical="center"/>
      <protection hidden="1"/>
    </xf>
    <xf numFmtId="0" fontId="6" fillId="0" borderId="11" xfId="0" applyFont="1" applyFill="1" applyBorder="1" applyAlignment="1" applyProtection="1">
      <alignment horizontal="center" shrinkToFit="1"/>
      <protection locked="0"/>
    </xf>
    <xf numFmtId="0" fontId="6" fillId="0" borderId="7" xfId="0" applyFont="1" applyFill="1" applyBorder="1" applyAlignment="1" applyProtection="1">
      <alignment horizontal="center" shrinkToFit="1"/>
      <protection locked="0"/>
    </xf>
    <xf numFmtId="0" fontId="6" fillId="0" borderId="8" xfId="0" applyFont="1" applyFill="1" applyBorder="1" applyAlignment="1" applyProtection="1">
      <alignment horizontal="center" shrinkToFit="1"/>
      <protection locked="0"/>
    </xf>
    <xf numFmtId="0" fontId="7" fillId="33" borderId="11" xfId="0" applyFont="1" applyFill="1" applyBorder="1" applyAlignment="1" applyProtection="1">
      <alignment horizontal="center" vertical="center"/>
      <protection locked="0"/>
    </xf>
    <xf numFmtId="0" fontId="7" fillId="33" borderId="7" xfId="0" applyFont="1" applyFill="1" applyBorder="1" applyAlignment="1" applyProtection="1">
      <alignment horizontal="center" vertical="center"/>
      <protection locked="0"/>
    </xf>
    <xf numFmtId="0" fontId="7" fillId="33" borderId="8" xfId="0" applyFont="1" applyFill="1" applyBorder="1" applyAlignment="1" applyProtection="1">
      <alignment horizontal="center" vertical="center"/>
      <protection locked="0"/>
    </xf>
    <xf numFmtId="0" fontId="7" fillId="3" borderId="4" xfId="0" applyFont="1" applyFill="1" applyBorder="1" applyAlignment="1" applyProtection="1">
      <alignment horizontal="center"/>
      <protection locked="0"/>
    </xf>
    <xf numFmtId="0" fontId="128" fillId="0" borderId="29" xfId="0" quotePrefix="1" applyFont="1" applyBorder="1" applyAlignment="1" applyProtection="1">
      <alignment horizontal="right" vertical="top" wrapText="1"/>
      <protection locked="0"/>
    </xf>
    <xf numFmtId="0" fontId="11" fillId="0" borderId="33" xfId="0" applyFont="1" applyBorder="1" applyAlignment="1" applyProtection="1">
      <alignment horizontal="right" vertical="top"/>
      <protection locked="0"/>
    </xf>
    <xf numFmtId="0" fontId="11" fillId="0" borderId="10" xfId="0" applyFont="1" applyBorder="1" applyAlignment="1" applyProtection="1">
      <alignment horizontal="right" vertical="top"/>
      <protection locked="0"/>
    </xf>
    <xf numFmtId="0" fontId="11" fillId="0" borderId="34" xfId="0" applyFont="1" applyBorder="1" applyAlignment="1" applyProtection="1">
      <alignment horizontal="right" vertical="top"/>
      <protection locked="0"/>
    </xf>
    <xf numFmtId="0" fontId="11" fillId="0" borderId="4" xfId="0" applyFont="1" applyBorder="1" applyAlignment="1" applyProtection="1">
      <alignment horizontal="right" vertical="top"/>
      <protection locked="0"/>
    </xf>
    <xf numFmtId="0" fontId="11" fillId="0" borderId="35" xfId="0" applyFont="1" applyBorder="1" applyAlignment="1" applyProtection="1">
      <alignment horizontal="right" vertical="top"/>
      <protection locked="0"/>
    </xf>
    <xf numFmtId="0" fontId="19" fillId="0" borderId="0" xfId="0" applyFont="1" applyBorder="1" applyAlignment="1" applyProtection="1">
      <alignment horizontal="center" vertical="center" shrinkToFit="1"/>
      <protection hidden="1"/>
    </xf>
    <xf numFmtId="0" fontId="7" fillId="3" borderId="4" xfId="0" applyFont="1" applyFill="1" applyBorder="1" applyAlignment="1" applyProtection="1">
      <alignment horizontal="center" vertical="center"/>
      <protection locked="0"/>
    </xf>
    <xf numFmtId="0" fontId="7" fillId="3" borderId="0" xfId="0" applyFont="1" applyFill="1" applyBorder="1" applyAlignment="1" applyProtection="1">
      <alignment horizontal="center" vertical="center"/>
      <protection locked="0"/>
    </xf>
    <xf numFmtId="0" fontId="18" fillId="0" borderId="4" xfId="0" applyFont="1" applyBorder="1" applyAlignment="1" applyProtection="1">
      <alignment horizontal="center" shrinkToFit="1"/>
      <protection hidden="1"/>
    </xf>
    <xf numFmtId="0" fontId="3" fillId="31" borderId="2" xfId="0" applyFont="1" applyFill="1" applyBorder="1" applyAlignment="1" applyProtection="1">
      <alignment horizontal="center" vertical="center"/>
      <protection locked="0"/>
    </xf>
    <xf numFmtId="0" fontId="3" fillId="31" borderId="0" xfId="0" applyFont="1" applyFill="1" applyBorder="1" applyAlignment="1" applyProtection="1">
      <alignment horizontal="center" vertical="center"/>
      <protection locked="0"/>
    </xf>
    <xf numFmtId="0" fontId="124" fillId="31" borderId="2" xfId="0" applyFont="1" applyFill="1" applyBorder="1" applyAlignment="1" applyProtection="1">
      <alignment horizontal="center" vertical="center"/>
      <protection locked="0"/>
    </xf>
    <xf numFmtId="0" fontId="124" fillId="31" borderId="0" xfId="0" applyFont="1" applyFill="1" applyBorder="1" applyAlignment="1" applyProtection="1">
      <alignment horizontal="center" vertical="center"/>
      <protection locked="0"/>
    </xf>
    <xf numFmtId="0" fontId="103" fillId="31" borderId="0" xfId="0" applyFont="1" applyFill="1" applyBorder="1" applyAlignment="1" applyProtection="1">
      <alignment horizontal="center" vertical="center"/>
      <protection locked="0"/>
    </xf>
    <xf numFmtId="0" fontId="110" fillId="2" borderId="11" xfId="0" applyFont="1" applyFill="1" applyBorder="1" applyAlignment="1" applyProtection="1">
      <alignment horizontal="center" vertical="center" shrinkToFit="1"/>
      <protection locked="0"/>
    </xf>
    <xf numFmtId="0" fontId="110" fillId="2" borderId="7" xfId="0" applyFont="1" applyFill="1" applyBorder="1" applyAlignment="1" applyProtection="1">
      <alignment horizontal="center" vertical="center" shrinkToFit="1"/>
      <protection locked="0"/>
    </xf>
    <xf numFmtId="0" fontId="110" fillId="2" borderId="8" xfId="0" applyFont="1" applyFill="1" applyBorder="1" applyAlignment="1" applyProtection="1">
      <alignment horizontal="center" vertical="center" shrinkToFit="1"/>
      <protection locked="0"/>
    </xf>
    <xf numFmtId="0" fontId="25" fillId="2" borderId="31" xfId="0" applyFont="1" applyFill="1" applyBorder="1" applyAlignment="1" applyProtection="1">
      <alignment horizontal="center" vertical="center" wrapText="1"/>
      <protection locked="0"/>
    </xf>
    <xf numFmtId="0" fontId="25" fillId="2" borderId="32" xfId="0" applyFont="1" applyFill="1" applyBorder="1" applyAlignment="1" applyProtection="1">
      <alignment horizontal="center" vertical="center" wrapText="1"/>
      <protection locked="0"/>
    </xf>
    <xf numFmtId="0" fontId="2" fillId="2" borderId="31" xfId="0" applyFont="1" applyFill="1" applyBorder="1" applyAlignment="1" applyProtection="1">
      <alignment horizontal="center" vertical="center" wrapText="1"/>
      <protection locked="0"/>
    </xf>
    <xf numFmtId="0" fontId="2" fillId="2" borderId="32" xfId="0" applyFont="1" applyFill="1" applyBorder="1" applyAlignment="1" applyProtection="1">
      <alignment horizontal="center" vertical="center" wrapText="1"/>
      <protection locked="0"/>
    </xf>
    <xf numFmtId="0" fontId="2" fillId="2" borderId="29" xfId="0" applyFont="1" applyFill="1" applyBorder="1" applyAlignment="1" applyProtection="1">
      <alignment horizontal="center" vertical="center" wrapText="1"/>
      <protection locked="0"/>
    </xf>
    <xf numFmtId="0" fontId="2" fillId="2" borderId="33" xfId="0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2" fillId="2" borderId="0" xfId="0" applyFont="1" applyFill="1" applyBorder="1" applyAlignment="1" applyProtection="1">
      <alignment horizontal="center" vertical="center" wrapText="1"/>
      <protection locked="0"/>
    </xf>
    <xf numFmtId="0" fontId="114" fillId="0" borderId="3" xfId="0" applyFont="1" applyBorder="1" applyAlignment="1" applyProtection="1">
      <alignment horizontal="center" vertical="center"/>
      <protection locked="0"/>
    </xf>
    <xf numFmtId="0" fontId="16" fillId="3" borderId="0" xfId="0" applyFont="1" applyFill="1" applyAlignment="1" applyProtection="1">
      <alignment horizontal="center" vertical="center"/>
      <protection locked="0"/>
    </xf>
    <xf numFmtId="0" fontId="4" fillId="2" borderId="31" xfId="0" applyFont="1" applyFill="1" applyBorder="1" applyAlignment="1" applyProtection="1">
      <alignment horizontal="center" vertical="center" shrinkToFit="1"/>
      <protection locked="0"/>
    </xf>
    <xf numFmtId="0" fontId="4" fillId="2" borderId="32" xfId="0" applyFont="1" applyFill="1" applyBorder="1" applyAlignment="1" applyProtection="1">
      <alignment horizontal="center" vertical="center" shrinkToFit="1"/>
      <protection locked="0"/>
    </xf>
    <xf numFmtId="0" fontId="11" fillId="0" borderId="0" xfId="0" applyFont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right"/>
      <protection locked="0"/>
    </xf>
    <xf numFmtId="0" fontId="113" fillId="0" borderId="4" xfId="0" applyFont="1" applyBorder="1" applyAlignment="1" applyProtection="1">
      <alignment horizontal="center" vertical="center" shrinkToFit="1"/>
    </xf>
    <xf numFmtId="0" fontId="2" fillId="0" borderId="0" xfId="0" applyFont="1" applyBorder="1" applyAlignment="1" applyProtection="1">
      <alignment horizontal="center" vertical="center" shrinkToFit="1"/>
      <protection locked="0"/>
    </xf>
    <xf numFmtId="0" fontId="113" fillId="0" borderId="0" xfId="0" applyFont="1" applyAlignment="1" applyProtection="1">
      <alignment horizontal="center" vertical="center"/>
      <protection locked="0"/>
    </xf>
    <xf numFmtId="0" fontId="112" fillId="0" borderId="0" xfId="0" applyFont="1" applyBorder="1" applyAlignment="1" applyProtection="1">
      <alignment horizontal="center" vertical="center" shrinkToFit="1"/>
      <protection locked="0"/>
    </xf>
    <xf numFmtId="0" fontId="114" fillId="0" borderId="3" xfId="0" applyFont="1" applyFill="1" applyBorder="1" applyAlignment="1" applyProtection="1">
      <alignment horizontal="center" vertical="center" shrinkToFit="1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3" borderId="0" xfId="0" applyFont="1" applyFill="1" applyBorder="1" applyAlignment="1" applyProtection="1">
      <alignment horizontal="center" vertical="center"/>
      <protection locked="0"/>
    </xf>
    <xf numFmtId="0" fontId="1" fillId="28" borderId="3" xfId="0" applyFont="1" applyFill="1" applyBorder="1" applyAlignment="1" applyProtection="1">
      <alignment horizontal="center" vertical="center" wrapText="1"/>
      <protection locked="0"/>
    </xf>
    <xf numFmtId="0" fontId="115" fillId="28" borderId="3" xfId="0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Border="1" applyAlignment="1" applyProtection="1">
      <alignment horizontal="center" vertical="center"/>
      <protection locked="0"/>
    </xf>
    <xf numFmtId="0" fontId="0" fillId="0" borderId="0" xfId="0"/>
    <xf numFmtId="0" fontId="0" fillId="0" borderId="37" xfId="0" applyBorder="1"/>
    <xf numFmtId="0" fontId="0" fillId="0" borderId="4" xfId="0" applyBorder="1"/>
    <xf numFmtId="0" fontId="0" fillId="0" borderId="35" xfId="0" applyBorder="1"/>
    <xf numFmtId="0" fontId="115" fillId="28" borderId="3" xfId="0" applyFont="1" applyFill="1" applyBorder="1" applyAlignment="1" applyProtection="1">
      <alignment horizontal="center" vertical="center" shrinkToFit="1"/>
      <protection locked="0"/>
    </xf>
    <xf numFmtId="0" fontId="1" fillId="3" borderId="4" xfId="0" applyFont="1" applyFill="1" applyBorder="1" applyAlignment="1" applyProtection="1">
      <alignment horizontal="center" vertical="center"/>
      <protection locked="0"/>
    </xf>
    <xf numFmtId="0" fontId="114" fillId="0" borderId="11" xfId="0" applyFont="1" applyBorder="1" applyAlignment="1" applyProtection="1">
      <alignment horizontal="center" vertical="center"/>
      <protection locked="0"/>
    </xf>
    <xf numFmtId="0" fontId="114" fillId="0" borderId="8" xfId="0" applyFont="1" applyBorder="1" applyAlignment="1" applyProtection="1">
      <alignment horizontal="center" vertical="center"/>
      <protection locked="0"/>
    </xf>
    <xf numFmtId="0" fontId="114" fillId="0" borderId="11" xfId="0" applyFont="1" applyFill="1" applyBorder="1" applyAlignment="1" applyProtection="1">
      <alignment horizontal="center" vertical="center" shrinkToFit="1"/>
      <protection locked="0"/>
    </xf>
    <xf numFmtId="0" fontId="114" fillId="0" borderId="7" xfId="0" applyFont="1" applyFill="1" applyBorder="1" applyAlignment="1" applyProtection="1">
      <alignment horizontal="center" vertical="center" shrinkToFit="1"/>
      <protection locked="0"/>
    </xf>
    <xf numFmtId="0" fontId="114" fillId="0" borderId="8" xfId="0" applyFont="1" applyFill="1" applyBorder="1" applyAlignment="1" applyProtection="1">
      <alignment horizontal="center" vertical="center" shrinkToFit="1"/>
      <protection locked="0"/>
    </xf>
    <xf numFmtId="0" fontId="112" fillId="0" borderId="0" xfId="0" applyFont="1" applyBorder="1" applyAlignment="1" applyProtection="1">
      <alignment horizontal="center" vertical="center" shrinkToFit="1"/>
    </xf>
    <xf numFmtId="0" fontId="2" fillId="0" borderId="0" xfId="0" applyFont="1" applyAlignment="1" applyProtection="1">
      <alignment horizontal="center"/>
      <protection locked="0"/>
    </xf>
    <xf numFmtId="0" fontId="1" fillId="2" borderId="29" xfId="0" applyFont="1" applyFill="1" applyBorder="1" applyAlignment="1" applyProtection="1">
      <alignment horizontal="center" vertical="center"/>
      <protection locked="0"/>
    </xf>
    <xf numFmtId="0" fontId="1" fillId="2" borderId="33" xfId="0" applyFont="1" applyFill="1" applyBorder="1" applyAlignment="1" applyProtection="1">
      <alignment horizontal="center" vertical="center"/>
      <protection locked="0"/>
    </xf>
    <xf numFmtId="0" fontId="1" fillId="2" borderId="10" xfId="0" applyFont="1" applyFill="1" applyBorder="1" applyAlignment="1" applyProtection="1">
      <alignment horizontal="center" vertical="center"/>
      <protection locked="0"/>
    </xf>
    <xf numFmtId="0" fontId="1" fillId="2" borderId="34" xfId="0" applyFont="1" applyFill="1" applyBorder="1" applyAlignment="1" applyProtection="1">
      <alignment horizontal="center" vertical="center"/>
      <protection locked="0"/>
    </xf>
    <xf numFmtId="0" fontId="1" fillId="2" borderId="4" xfId="0" applyFont="1" applyFill="1" applyBorder="1" applyAlignment="1" applyProtection="1">
      <alignment horizontal="center" vertical="center"/>
      <protection locked="0"/>
    </xf>
    <xf numFmtId="0" fontId="1" fillId="2" borderId="35" xfId="0" applyFont="1" applyFill="1" applyBorder="1" applyAlignment="1" applyProtection="1">
      <alignment horizontal="center" vertical="center"/>
      <protection locked="0"/>
    </xf>
    <xf numFmtId="0" fontId="115" fillId="28" borderId="11" xfId="0" applyFont="1" applyFill="1" applyBorder="1" applyAlignment="1" applyProtection="1">
      <alignment horizontal="center" vertical="center" wrapText="1"/>
      <protection locked="0"/>
    </xf>
    <xf numFmtId="0" fontId="115" fillId="28" borderId="7" xfId="0" applyFont="1" applyFill="1" applyBorder="1" applyAlignment="1" applyProtection="1">
      <alignment horizontal="center" vertical="center" wrapText="1"/>
      <protection locked="0"/>
    </xf>
    <xf numFmtId="0" fontId="115" fillId="28" borderId="8" xfId="0" applyFont="1" applyFill="1" applyBorder="1" applyAlignment="1" applyProtection="1">
      <alignment horizontal="center" vertical="center" wrapText="1"/>
      <protection locked="0"/>
    </xf>
    <xf numFmtId="0" fontId="1" fillId="28" borderId="11" xfId="0" applyFont="1" applyFill="1" applyBorder="1" applyAlignment="1" applyProtection="1">
      <alignment horizontal="center" vertical="center" wrapText="1"/>
      <protection locked="0"/>
    </xf>
    <xf numFmtId="0" fontId="1" fillId="28" borderId="7" xfId="0" applyFont="1" applyFill="1" applyBorder="1" applyAlignment="1" applyProtection="1">
      <alignment horizontal="center" vertical="center" wrapText="1"/>
      <protection locked="0"/>
    </xf>
    <xf numFmtId="0" fontId="1" fillId="28" borderId="8" xfId="0" applyFont="1" applyFill="1" applyBorder="1" applyAlignment="1" applyProtection="1">
      <alignment horizontal="center" vertical="center" wrapText="1"/>
      <protection locked="0"/>
    </xf>
    <xf numFmtId="0" fontId="115" fillId="28" borderId="11" xfId="0" applyFont="1" applyFill="1" applyBorder="1" applyAlignment="1" applyProtection="1">
      <alignment horizontal="center" vertical="center" shrinkToFit="1"/>
      <protection locked="0"/>
    </xf>
    <xf numFmtId="0" fontId="115" fillId="28" borderId="7" xfId="0" applyFont="1" applyFill="1" applyBorder="1" applyAlignment="1" applyProtection="1">
      <alignment horizontal="center" vertical="center" shrinkToFit="1"/>
      <protection locked="0"/>
    </xf>
    <xf numFmtId="0" fontId="115" fillId="28" borderId="8" xfId="0" applyFont="1" applyFill="1" applyBorder="1" applyAlignment="1" applyProtection="1">
      <alignment horizontal="center" vertical="center" shrinkToFit="1"/>
      <protection locked="0"/>
    </xf>
    <xf numFmtId="0" fontId="3" fillId="0" borderId="3" xfId="0" applyFont="1" applyFill="1" applyBorder="1" applyAlignment="1" applyProtection="1">
      <alignment horizontal="center" vertical="center"/>
      <protection locked="0"/>
    </xf>
    <xf numFmtId="0" fontId="3" fillId="0" borderId="11" xfId="0" applyFont="1" applyFill="1" applyBorder="1" applyAlignment="1" applyProtection="1">
      <alignment horizontal="center" vertical="center"/>
      <protection locked="0"/>
    </xf>
    <xf numFmtId="0" fontId="3" fillId="0" borderId="8" xfId="0" applyFont="1" applyFill="1" applyBorder="1" applyAlignment="1" applyProtection="1">
      <alignment horizontal="center" vertical="center"/>
      <protection locked="0"/>
    </xf>
    <xf numFmtId="0" fontId="1" fillId="3" borderId="7" xfId="0" applyFont="1" applyFill="1" applyBorder="1" applyAlignment="1" applyProtection="1">
      <alignment horizontal="center" vertical="center"/>
      <protection locked="0"/>
    </xf>
    <xf numFmtId="0" fontId="1" fillId="3" borderId="8" xfId="0" applyFont="1" applyFill="1" applyBorder="1" applyAlignment="1" applyProtection="1">
      <alignment horizontal="center" vertical="center"/>
      <protection locked="0"/>
    </xf>
    <xf numFmtId="0" fontId="124" fillId="2" borderId="3" xfId="0" applyFont="1" applyFill="1" applyBorder="1" applyAlignment="1" applyProtection="1">
      <alignment horizontal="center" vertical="center"/>
      <protection locked="0"/>
    </xf>
    <xf numFmtId="0" fontId="103" fillId="2" borderId="3" xfId="0" applyFont="1" applyFill="1" applyBorder="1" applyAlignment="1" applyProtection="1">
      <alignment horizontal="center" vertical="center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 applyProtection="1">
      <alignment horizontal="center" vertical="center"/>
      <protection locked="0"/>
    </xf>
    <xf numFmtId="0" fontId="3" fillId="0" borderId="8" xfId="0" applyFont="1" applyBorder="1" applyAlignment="1" applyProtection="1">
      <alignment horizontal="center" vertical="center"/>
      <protection locked="0"/>
    </xf>
    <xf numFmtId="0" fontId="109" fillId="0" borderId="3" xfId="0" applyFont="1" applyBorder="1" applyAlignment="1" applyProtection="1">
      <alignment horizontal="left" vertical="center" shrinkToFit="1"/>
      <protection locked="0"/>
    </xf>
    <xf numFmtId="0" fontId="109" fillId="0" borderId="3" xfId="0" applyFont="1" applyBorder="1" applyAlignment="1" applyProtection="1">
      <alignment horizontal="center" vertical="center"/>
      <protection locked="0"/>
    </xf>
    <xf numFmtId="0" fontId="110" fillId="0" borderId="3" xfId="0" applyFont="1" applyBorder="1" applyAlignment="1" applyProtection="1">
      <alignment horizontal="left" vertical="center" shrinkToFit="1"/>
      <protection locked="0"/>
    </xf>
    <xf numFmtId="0" fontId="3" fillId="0" borderId="2" xfId="0" applyFont="1" applyBorder="1" applyAlignment="1" applyProtection="1">
      <alignment horizontal="center" vertical="center" shrinkToFit="1"/>
      <protection locked="0"/>
    </xf>
    <xf numFmtId="0" fontId="92" fillId="0" borderId="0" xfId="0" applyFont="1" applyAlignment="1" applyProtection="1">
      <alignment shrinkToFit="1"/>
      <protection locked="0"/>
    </xf>
    <xf numFmtId="0" fontId="92" fillId="0" borderId="37" xfId="0" applyFont="1" applyBorder="1" applyAlignment="1" applyProtection="1">
      <alignment shrinkToFit="1"/>
      <protection locked="0"/>
    </xf>
    <xf numFmtId="0" fontId="3" fillId="0" borderId="3" xfId="0" applyFont="1" applyBorder="1" applyAlignment="1" applyProtection="1">
      <alignment horizontal="center" vertical="center" shrinkToFit="1"/>
      <protection locked="0"/>
    </xf>
    <xf numFmtId="0" fontId="109" fillId="0" borderId="11" xfId="0" applyFont="1" applyBorder="1" applyAlignment="1" applyProtection="1">
      <alignment horizontal="left" vertical="center" shrinkToFit="1"/>
      <protection locked="0"/>
    </xf>
    <xf numFmtId="0" fontId="109" fillId="0" borderId="7" xfId="0" applyFont="1" applyBorder="1" applyAlignment="1" applyProtection="1">
      <alignment horizontal="left" vertical="center" shrinkToFit="1"/>
      <protection locked="0"/>
    </xf>
    <xf numFmtId="0" fontId="109" fillId="0" borderId="8" xfId="0" applyFont="1" applyBorder="1" applyAlignment="1" applyProtection="1">
      <alignment horizontal="left" vertical="center" shrinkToFit="1"/>
      <protection locked="0"/>
    </xf>
    <xf numFmtId="0" fontId="124" fillId="2" borderId="11" xfId="0" applyFont="1" applyFill="1" applyBorder="1" applyAlignment="1" applyProtection="1">
      <alignment horizontal="center" vertical="center"/>
      <protection locked="0"/>
    </xf>
    <xf numFmtId="0" fontId="124" fillId="2" borderId="7" xfId="0" applyFont="1" applyFill="1" applyBorder="1" applyAlignment="1" applyProtection="1">
      <alignment horizontal="center" vertical="center"/>
      <protection locked="0"/>
    </xf>
    <xf numFmtId="0" fontId="124" fillId="2" borderId="8" xfId="0" applyFont="1" applyFill="1" applyBorder="1" applyAlignment="1" applyProtection="1">
      <alignment horizontal="center" vertical="center"/>
      <protection locked="0"/>
    </xf>
    <xf numFmtId="0" fontId="109" fillId="0" borderId="29" xfId="0" applyFont="1" applyBorder="1" applyAlignment="1" applyProtection="1">
      <alignment horizontal="left" vertical="center" shrinkToFit="1"/>
      <protection locked="0"/>
    </xf>
    <xf numFmtId="0" fontId="109" fillId="0" borderId="33" xfId="0" applyFont="1" applyBorder="1" applyAlignment="1" applyProtection="1">
      <alignment horizontal="left" vertical="center" shrinkToFit="1"/>
      <protection locked="0"/>
    </xf>
    <xf numFmtId="0" fontId="109" fillId="0" borderId="10" xfId="0" applyFont="1" applyBorder="1" applyAlignment="1" applyProtection="1">
      <alignment horizontal="left" vertical="center" shrinkToFit="1"/>
      <protection locked="0"/>
    </xf>
    <xf numFmtId="0" fontId="109" fillId="0" borderId="11" xfId="0" applyFont="1" applyBorder="1" applyAlignment="1" applyProtection="1">
      <alignment horizontal="center" vertical="center"/>
      <protection locked="0"/>
    </xf>
    <xf numFmtId="0" fontId="109" fillId="0" borderId="7" xfId="0" applyFont="1" applyBorder="1" applyAlignment="1" applyProtection="1">
      <alignment horizontal="center" vertical="center"/>
      <protection locked="0"/>
    </xf>
    <xf numFmtId="0" fontId="109" fillId="0" borderId="8" xfId="0" applyFont="1" applyBorder="1" applyAlignment="1" applyProtection="1">
      <alignment horizontal="center" vertical="center"/>
      <protection locked="0"/>
    </xf>
    <xf numFmtId="0" fontId="124" fillId="2" borderId="11" xfId="0" applyFont="1" applyFill="1" applyBorder="1" applyAlignment="1" applyProtection="1">
      <alignment horizontal="center" vertical="center"/>
    </xf>
    <xf numFmtId="0" fontId="124" fillId="2" borderId="7" xfId="0" applyFont="1" applyFill="1" applyBorder="1" applyAlignment="1" applyProtection="1">
      <alignment horizontal="center" vertical="center"/>
    </xf>
    <xf numFmtId="0" fontId="103" fillId="2" borderId="32" xfId="0" applyFont="1" applyFill="1" applyBorder="1" applyAlignment="1" applyProtection="1">
      <alignment horizontal="center" vertical="center"/>
      <protection locked="0"/>
    </xf>
    <xf numFmtId="0" fontId="3" fillId="2" borderId="33" xfId="0" applyFont="1" applyFill="1" applyBorder="1" applyAlignment="1" applyProtection="1">
      <alignment horizontal="center" vertical="center"/>
      <protection locked="0"/>
    </xf>
    <xf numFmtId="0" fontId="3" fillId="2" borderId="10" xfId="0" applyFont="1" applyFill="1" applyBorder="1" applyAlignment="1" applyProtection="1">
      <alignment horizontal="center" vertical="center"/>
      <protection locked="0"/>
    </xf>
    <xf numFmtId="0" fontId="92" fillId="0" borderId="0" xfId="0" applyFont="1" applyAlignment="1" applyProtection="1">
      <alignment vertical="center" shrinkToFit="1"/>
      <protection locked="0"/>
    </xf>
    <xf numFmtId="0" fontId="92" fillId="0" borderId="37" xfId="0" applyFont="1" applyBorder="1" applyAlignment="1" applyProtection="1">
      <alignment vertical="center" shrinkToFit="1"/>
      <protection locked="0"/>
    </xf>
    <xf numFmtId="0" fontId="124" fillId="2" borderId="34" xfId="0" applyFont="1" applyFill="1" applyBorder="1" applyAlignment="1" applyProtection="1">
      <alignment horizontal="center" vertical="center"/>
      <protection locked="0"/>
    </xf>
    <xf numFmtId="0" fontId="124" fillId="2" borderId="4" xfId="0" applyFont="1" applyFill="1" applyBorder="1" applyAlignment="1" applyProtection="1">
      <alignment horizontal="center" vertical="center"/>
      <protection locked="0"/>
    </xf>
    <xf numFmtId="0" fontId="124" fillId="2" borderId="35" xfId="0" applyFont="1" applyFill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right"/>
      <protection locked="0"/>
    </xf>
    <xf numFmtId="0" fontId="29" fillId="0" borderId="0" xfId="0" applyFont="1" applyAlignment="1" applyProtection="1">
      <alignment horizontal="right" vertical="center"/>
      <protection locked="0"/>
    </xf>
    <xf numFmtId="0" fontId="3" fillId="0" borderId="0" xfId="0" applyFont="1" applyAlignment="1" applyProtection="1">
      <alignment horizontal="right"/>
      <protection locked="0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0" fontId="16" fillId="3" borderId="34" xfId="0" applyFont="1" applyFill="1" applyBorder="1" applyAlignment="1" applyProtection="1">
      <alignment horizontal="center" vertical="center"/>
      <protection locked="0"/>
    </xf>
    <xf numFmtId="0" fontId="16" fillId="3" borderId="35" xfId="0" applyFont="1" applyFill="1" applyBorder="1" applyAlignment="1" applyProtection="1">
      <alignment horizontal="center" vertical="center"/>
      <protection locked="0"/>
    </xf>
    <xf numFmtId="0" fontId="124" fillId="2" borderId="32" xfId="0" applyFont="1" applyFill="1" applyBorder="1" applyAlignment="1" applyProtection="1">
      <alignment horizontal="center" vertical="center"/>
      <protection locked="0"/>
    </xf>
    <xf numFmtId="0" fontId="113" fillId="0" borderId="29" xfId="0" applyFont="1" applyFill="1" applyBorder="1" applyAlignment="1" applyProtection="1">
      <alignment horizontal="center" vertical="center"/>
      <protection locked="0"/>
    </xf>
    <xf numFmtId="0" fontId="113" fillId="0" borderId="33" xfId="0" applyFont="1" applyFill="1" applyBorder="1" applyAlignment="1" applyProtection="1">
      <alignment horizontal="center" vertical="center"/>
      <protection locked="0"/>
    </xf>
    <xf numFmtId="0" fontId="113" fillId="0" borderId="10" xfId="0" applyFont="1" applyFill="1" applyBorder="1" applyAlignment="1" applyProtection="1">
      <alignment horizontal="center" vertical="center"/>
      <protection locked="0"/>
    </xf>
    <xf numFmtId="0" fontId="113" fillId="0" borderId="47" xfId="0" applyFont="1" applyFill="1" applyBorder="1" applyAlignment="1" applyProtection="1">
      <alignment horizontal="center" vertical="center"/>
      <protection locked="0"/>
    </xf>
    <xf numFmtId="0" fontId="113" fillId="0" borderId="48" xfId="0" applyFont="1" applyFill="1" applyBorder="1" applyAlignment="1" applyProtection="1">
      <alignment horizontal="center" vertical="center"/>
      <protection locked="0"/>
    </xf>
    <xf numFmtId="0" fontId="113" fillId="0" borderId="49" xfId="0" applyFont="1" applyFill="1" applyBorder="1" applyAlignment="1" applyProtection="1">
      <alignment horizontal="center" vertical="center"/>
      <protection locked="0"/>
    </xf>
    <xf numFmtId="0" fontId="92" fillId="0" borderId="0" xfId="0" applyFont="1" applyBorder="1" applyAlignment="1" applyProtection="1">
      <alignment shrinkToFit="1"/>
      <protection locked="0"/>
    </xf>
    <xf numFmtId="0" fontId="3" fillId="0" borderId="0" xfId="0" applyFont="1" applyBorder="1" applyAlignment="1" applyProtection="1">
      <alignment horizontal="center" vertical="center" shrinkToFit="1"/>
      <protection locked="0"/>
    </xf>
    <xf numFmtId="0" fontId="3" fillId="0" borderId="37" xfId="0" applyFont="1" applyBorder="1" applyAlignment="1" applyProtection="1">
      <alignment horizontal="center" vertical="center" shrinkToFit="1"/>
      <protection locked="0"/>
    </xf>
    <xf numFmtId="0" fontId="109" fillId="0" borderId="31" xfId="0" applyFont="1" applyBorder="1" applyAlignment="1" applyProtection="1">
      <alignment horizontal="left" vertical="center" shrinkToFit="1"/>
      <protection locked="0"/>
    </xf>
    <xf numFmtId="0" fontId="25" fillId="0" borderId="0" xfId="0" applyFont="1" applyBorder="1" applyAlignment="1" applyProtection="1">
      <alignment horizontal="center" vertical="center"/>
      <protection locked="0"/>
    </xf>
    <xf numFmtId="0" fontId="25" fillId="0" borderId="0" xfId="0" applyFont="1" applyBorder="1" applyAlignment="1" applyProtection="1">
      <alignment horizontal="left" vertical="center"/>
      <protection locked="0"/>
    </xf>
    <xf numFmtId="0" fontId="25" fillId="0" borderId="3" xfId="0" applyFont="1" applyBorder="1" applyAlignment="1" applyProtection="1">
      <alignment horizontal="left" vertical="center"/>
      <protection locked="0"/>
    </xf>
    <xf numFmtId="0" fontId="25" fillId="0" borderId="3" xfId="0" applyFont="1" applyBorder="1" applyAlignment="1" applyProtection="1">
      <alignment horizontal="center" vertical="center"/>
      <protection locked="0"/>
    </xf>
    <xf numFmtId="0" fontId="3" fillId="0" borderId="34" xfId="0" applyFont="1" applyBorder="1" applyAlignment="1" applyProtection="1">
      <alignment horizontal="center" vertical="center" shrinkToFit="1"/>
      <protection locked="0"/>
    </xf>
    <xf numFmtId="0" fontId="92" fillId="0" borderId="4" xfId="0" applyFont="1" applyBorder="1" applyAlignment="1" applyProtection="1">
      <alignment shrinkToFit="1"/>
      <protection locked="0"/>
    </xf>
    <xf numFmtId="0" fontId="92" fillId="0" borderId="35" xfId="0" applyFont="1" applyBorder="1" applyAlignment="1" applyProtection="1">
      <alignment shrinkToFit="1"/>
      <protection locked="0"/>
    </xf>
    <xf numFmtId="0" fontId="118" fillId="2" borderId="3" xfId="0" applyFont="1" applyFill="1" applyBorder="1" applyAlignment="1" applyProtection="1">
      <alignment horizontal="center" vertical="center"/>
      <protection locked="0"/>
    </xf>
    <xf numFmtId="0" fontId="109" fillId="0" borderId="11" xfId="0" applyFont="1" applyBorder="1" applyAlignment="1" applyProtection="1">
      <alignment horizontal="center" vertical="center" shrinkToFit="1"/>
      <protection locked="0"/>
    </xf>
    <xf numFmtId="0" fontId="109" fillId="0" borderId="7" xfId="0" applyFont="1" applyBorder="1" applyAlignment="1" applyProtection="1">
      <alignment horizontal="center" vertical="center" shrinkToFit="1"/>
      <protection locked="0"/>
    </xf>
    <xf numFmtId="0" fontId="7" fillId="0" borderId="11" xfId="0" applyFont="1" applyBorder="1" applyAlignment="1">
      <alignment horizontal="left" shrinkToFit="1"/>
    </xf>
    <xf numFmtId="0" fontId="7" fillId="0" borderId="7" xfId="0" applyFont="1" applyBorder="1" applyAlignment="1">
      <alignment horizontal="left" shrinkToFit="1"/>
    </xf>
    <xf numFmtId="0" fontId="7" fillId="0" borderId="8" xfId="0" applyFont="1" applyBorder="1" applyAlignment="1">
      <alignment horizontal="left" shrinkToFit="1"/>
    </xf>
    <xf numFmtId="0" fontId="14" fillId="0" borderId="0" xfId="0" applyFont="1" applyAlignment="1">
      <alignment horizontal="center"/>
    </xf>
    <xf numFmtId="0" fontId="5" fillId="2" borderId="29" xfId="0" applyFont="1" applyFill="1" applyBorder="1" applyAlignment="1">
      <alignment horizontal="center" vertical="center"/>
    </xf>
    <xf numFmtId="0" fontId="5" fillId="2" borderId="33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center" shrinkToFit="1"/>
    </xf>
    <xf numFmtId="0" fontId="18" fillId="0" borderId="4" xfId="0" applyFont="1" applyBorder="1" applyAlignment="1">
      <alignment horizontal="center" shrinkToFit="1"/>
    </xf>
    <xf numFmtId="0" fontId="34" fillId="0" borderId="32" xfId="0" applyFont="1" applyBorder="1" applyAlignment="1" applyProtection="1">
      <alignment horizontal="center"/>
    </xf>
    <xf numFmtId="0" fontId="14" fillId="30" borderId="0" xfId="0" applyFont="1" applyFill="1" applyAlignment="1" applyProtection="1">
      <alignment horizontal="center"/>
    </xf>
    <xf numFmtId="0" fontId="34" fillId="0" borderId="3" xfId="0" applyFont="1" applyBorder="1" applyAlignment="1" applyProtection="1">
      <alignment horizontal="center"/>
    </xf>
    <xf numFmtId="0" fontId="84" fillId="2" borderId="7" xfId="0" applyFont="1" applyFill="1" applyBorder="1" applyAlignment="1">
      <alignment horizontal="left" vertical="center" wrapText="1"/>
    </xf>
    <xf numFmtId="0" fontId="29" fillId="0" borderId="39" xfId="0" applyFont="1" applyFill="1" applyBorder="1" applyAlignment="1">
      <alignment horizontal="center"/>
    </xf>
    <xf numFmtId="0" fontId="29" fillId="0" borderId="14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/>
    </xf>
    <xf numFmtId="0" fontId="84" fillId="2" borderId="7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/>
    </xf>
    <xf numFmtId="0" fontId="86" fillId="18" borderId="13" xfId="0" applyFont="1" applyFill="1" applyBorder="1" applyAlignment="1">
      <alignment horizontal="center"/>
    </xf>
    <xf numFmtId="0" fontId="86" fillId="18" borderId="14" xfId="0" applyFont="1" applyFill="1" applyBorder="1" applyAlignment="1">
      <alignment horizontal="center"/>
    </xf>
    <xf numFmtId="0" fontId="86" fillId="18" borderId="15" xfId="0" applyFont="1" applyFill="1" applyBorder="1" applyAlignment="1">
      <alignment horizontal="center"/>
    </xf>
    <xf numFmtId="0" fontId="2" fillId="2" borderId="13" xfId="0" applyNumberFormat="1" applyFont="1" applyFill="1" applyBorder="1" applyAlignment="1">
      <alignment horizontal="center"/>
    </xf>
    <xf numFmtId="0" fontId="2" fillId="2" borderId="15" xfId="0" applyNumberFormat="1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28" fillId="0" borderId="50" xfId="0" applyFont="1" applyBorder="1" applyAlignment="1">
      <alignment horizontal="center" shrinkToFit="1"/>
    </xf>
    <xf numFmtId="0" fontId="28" fillId="0" borderId="40" xfId="0" applyFont="1" applyBorder="1" applyAlignment="1">
      <alignment horizontal="center" shrinkToFit="1"/>
    </xf>
    <xf numFmtId="0" fontId="3" fillId="0" borderId="7" xfId="0" applyFont="1" applyBorder="1" applyAlignment="1" applyProtection="1">
      <alignment horizontal="left"/>
    </xf>
    <xf numFmtId="0" fontId="3" fillId="0" borderId="0" xfId="0" applyFont="1" applyBorder="1" applyAlignment="1" applyProtection="1">
      <alignment horizontal="left"/>
    </xf>
    <xf numFmtId="0" fontId="2" fillId="0" borderId="11" xfId="0" applyFont="1" applyBorder="1" applyAlignment="1" applyProtection="1">
      <alignment horizontal="left"/>
    </xf>
    <xf numFmtId="0" fontId="2" fillId="0" borderId="8" xfId="0" applyFont="1" applyBorder="1" applyAlignment="1" applyProtection="1">
      <alignment horizontal="left"/>
    </xf>
    <xf numFmtId="14" fontId="28" fillId="0" borderId="50" xfId="0" applyNumberFormat="1" applyFont="1" applyBorder="1" applyAlignment="1">
      <alignment horizontal="center" shrinkToFit="1"/>
    </xf>
    <xf numFmtId="14" fontId="28" fillId="0" borderId="40" xfId="0" applyNumberFormat="1" applyFont="1" applyBorder="1" applyAlignment="1">
      <alignment horizontal="center" shrinkToFit="1"/>
    </xf>
    <xf numFmtId="175" fontId="28" fillId="0" borderId="50" xfId="0" applyNumberFormat="1" applyFont="1" applyBorder="1" applyAlignment="1">
      <alignment horizontal="center" shrinkToFit="1"/>
    </xf>
    <xf numFmtId="175" fontId="28" fillId="0" borderId="40" xfId="0" applyNumberFormat="1" applyFont="1" applyBorder="1" applyAlignment="1">
      <alignment horizontal="center" shrinkToFit="1"/>
    </xf>
    <xf numFmtId="0" fontId="2" fillId="0" borderId="11" xfId="0" applyFont="1" applyBorder="1" applyAlignment="1">
      <alignment horizontal="left" vertical="center" shrinkToFit="1"/>
    </xf>
    <xf numFmtId="0" fontId="2" fillId="0" borderId="8" xfId="0" applyFont="1" applyBorder="1" applyAlignment="1">
      <alignment horizontal="left" vertical="center" shrinkToFit="1"/>
    </xf>
    <xf numFmtId="0" fontId="0" fillId="0" borderId="8" xfId="0" applyBorder="1" applyAlignment="1">
      <alignment shrinkToFit="1"/>
    </xf>
    <xf numFmtId="0" fontId="1" fillId="0" borderId="11" xfId="0" applyFont="1" applyFill="1" applyBorder="1" applyAlignment="1">
      <alignment horizontal="left"/>
    </xf>
    <xf numFmtId="0" fontId="1" fillId="0" borderId="8" xfId="0" applyFont="1" applyFill="1" applyBorder="1" applyAlignment="1">
      <alignment horizontal="left"/>
    </xf>
    <xf numFmtId="0" fontId="2" fillId="0" borderId="11" xfId="0" applyFont="1" applyBorder="1" applyAlignment="1" applyProtection="1">
      <alignment horizontal="left" shrinkToFit="1"/>
    </xf>
    <xf numFmtId="0" fontId="2" fillId="0" borderId="8" xfId="0" applyFont="1" applyBorder="1" applyAlignment="1" applyProtection="1">
      <alignment horizontal="left" shrinkToFit="1"/>
    </xf>
    <xf numFmtId="0" fontId="1" fillId="0" borderId="11" xfId="0" applyFont="1" applyFill="1" applyBorder="1" applyAlignment="1">
      <alignment horizontal="left" shrinkToFit="1"/>
    </xf>
    <xf numFmtId="0" fontId="1" fillId="0" borderId="8" xfId="0" applyFont="1" applyFill="1" applyBorder="1" applyAlignment="1">
      <alignment horizontal="left" shrinkToFit="1"/>
    </xf>
    <xf numFmtId="0" fontId="2" fillId="0" borderId="3" xfId="0" applyFont="1" applyBorder="1" applyAlignment="1">
      <alignment horizontal="left" vertical="center" shrinkToFit="1"/>
    </xf>
    <xf numFmtId="0" fontId="2" fillId="0" borderId="3" xfId="0" applyFont="1" applyBorder="1" applyAlignment="1" applyProtection="1">
      <alignment horizontal="left"/>
    </xf>
    <xf numFmtId="0" fontId="0" fillId="0" borderId="3" xfId="0" applyBorder="1" applyAlignment="1" applyProtection="1">
      <alignment horizontal="left"/>
    </xf>
    <xf numFmtId="0" fontId="3" fillId="0" borderId="4" xfId="0" applyFont="1" applyBorder="1" applyAlignment="1" applyProtection="1">
      <alignment horizontal="left"/>
    </xf>
    <xf numFmtId="14" fontId="28" fillId="0" borderId="50" xfId="0" applyNumberFormat="1" applyFont="1" applyBorder="1" applyAlignment="1">
      <alignment horizontal="center"/>
    </xf>
    <xf numFmtId="14" fontId="28" fillId="0" borderId="40" xfId="0" applyNumberFormat="1" applyFont="1" applyBorder="1" applyAlignment="1">
      <alignment horizontal="center"/>
    </xf>
    <xf numFmtId="0" fontId="11" fillId="0" borderId="18" xfId="0" applyFont="1" applyBorder="1" applyAlignment="1" applyProtection="1">
      <alignment horizontal="center"/>
    </xf>
    <xf numFmtId="0" fontId="16" fillId="0" borderId="0" xfId="0" applyFont="1" applyAlignment="1" applyProtection="1">
      <alignment horizontal="center"/>
    </xf>
    <xf numFmtId="0" fontId="6" fillId="0" borderId="0" xfId="0" applyFont="1" applyBorder="1" applyAlignment="1">
      <alignment horizontal="center" shrinkToFit="1"/>
    </xf>
    <xf numFmtId="0" fontId="3" fillId="0" borderId="0" xfId="0" applyFont="1" applyBorder="1" applyAlignment="1">
      <alignment horizontal="center"/>
    </xf>
    <xf numFmtId="175" fontId="103" fillId="0" borderId="0" xfId="0" applyNumberFormat="1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0" fillId="0" borderId="0" xfId="0" applyAlignment="1" applyProtection="1">
      <alignment horizontal="center"/>
    </xf>
    <xf numFmtId="0" fontId="3" fillId="0" borderId="39" xfId="0" applyFont="1" applyBorder="1" applyAlignment="1" applyProtection="1">
      <alignment horizontal="center" shrinkToFit="1"/>
    </xf>
    <xf numFmtId="0" fontId="3" fillId="0" borderId="51" xfId="0" applyFont="1" applyBorder="1" applyAlignment="1" applyProtection="1">
      <alignment horizontal="center" shrinkToFit="1"/>
    </xf>
    <xf numFmtId="0" fontId="2" fillId="0" borderId="7" xfId="0" applyFont="1" applyBorder="1" applyAlignment="1" applyProtection="1">
      <alignment horizontal="left"/>
    </xf>
    <xf numFmtId="0" fontId="2" fillId="0" borderId="3" xfId="0" applyFont="1" applyBorder="1" applyAlignment="1" applyProtection="1">
      <alignment horizontal="left" vertical="center"/>
      <protection locked="0"/>
    </xf>
    <xf numFmtId="0" fontId="3" fillId="0" borderId="33" xfId="0" applyFont="1" applyBorder="1" applyAlignment="1" applyProtection="1">
      <alignment horizontal="left"/>
    </xf>
    <xf numFmtId="0" fontId="3" fillId="0" borderId="3" xfId="0" applyFont="1" applyBorder="1" applyAlignment="1" applyProtection="1">
      <alignment horizontal="left"/>
    </xf>
    <xf numFmtId="0" fontId="3" fillId="0" borderId="11" xfId="0" applyFont="1" applyBorder="1" applyAlignment="1" applyProtection="1">
      <alignment horizontal="left"/>
    </xf>
    <xf numFmtId="0" fontId="91" fillId="0" borderId="18" xfId="0" applyFont="1" applyBorder="1" applyAlignment="1" applyProtection="1">
      <alignment horizontal="center"/>
    </xf>
    <xf numFmtId="0" fontId="2" fillId="0" borderId="0" xfId="0" applyFont="1" applyBorder="1" applyAlignment="1" applyProtection="1">
      <alignment shrinkToFit="1"/>
      <protection locked="0"/>
    </xf>
    <xf numFmtId="0" fontId="2" fillId="0" borderId="11" xfId="0" applyFont="1" applyBorder="1" applyAlignment="1" applyProtection="1">
      <alignment horizontal="left" vertical="center" shrinkToFit="1"/>
      <protection locked="0"/>
    </xf>
    <xf numFmtId="0" fontId="2" fillId="0" borderId="8" xfId="0" applyFont="1" applyBorder="1" applyAlignment="1" applyProtection="1">
      <alignment horizontal="left" vertical="center" shrinkToFit="1"/>
      <protection locked="0"/>
    </xf>
    <xf numFmtId="0" fontId="2" fillId="0" borderId="29" xfId="0" applyFont="1" applyBorder="1" applyAlignment="1" applyProtection="1">
      <alignment horizontal="left" vertical="center" shrinkToFit="1"/>
      <protection locked="0"/>
    </xf>
    <xf numFmtId="0" fontId="2" fillId="0" borderId="52" xfId="0" applyFont="1" applyBorder="1" applyAlignment="1" applyProtection="1">
      <alignment horizontal="left" vertical="center" shrinkToFit="1"/>
      <protection locked="0"/>
    </xf>
    <xf numFmtId="0" fontId="2" fillId="0" borderId="29" xfId="0" applyFont="1" applyBorder="1" applyAlignment="1">
      <alignment horizontal="left" vertical="center" shrinkToFit="1"/>
    </xf>
    <xf numFmtId="0" fontId="0" fillId="0" borderId="10" xfId="0" applyBorder="1" applyAlignment="1">
      <alignment shrinkToFit="1"/>
    </xf>
    <xf numFmtId="0" fontId="0" fillId="0" borderId="3" xfId="0" applyBorder="1" applyAlignment="1">
      <alignment shrinkToFit="1"/>
    </xf>
    <xf numFmtId="1" fontId="119" fillId="0" borderId="7" xfId="0" applyNumberFormat="1" applyFont="1" applyBorder="1" applyAlignment="1" applyProtection="1">
      <alignment horizontal="center"/>
    </xf>
    <xf numFmtId="0" fontId="0" fillId="0" borderId="53" xfId="0" applyBorder="1" applyAlignment="1">
      <alignment shrinkToFit="1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6" fillId="0" borderId="0" xfId="0" applyFont="1" applyAlignment="1">
      <alignment horizontal="center" vertical="center" shrinkToFit="1"/>
    </xf>
    <xf numFmtId="0" fontId="3" fillId="0" borderId="40" xfId="0" applyFont="1" applyBorder="1" applyAlignment="1">
      <alignment horizontal="center" shrinkToFit="1"/>
    </xf>
    <xf numFmtId="0" fontId="32" fillId="0" borderId="0" xfId="0" applyFont="1" applyBorder="1" applyAlignment="1">
      <alignment horizontal="center" vertical="center"/>
    </xf>
    <xf numFmtId="0" fontId="31" fillId="0" borderId="16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17" xfId="0" applyFont="1" applyBorder="1" applyAlignment="1">
      <alignment horizontal="center" vertical="center"/>
    </xf>
    <xf numFmtId="0" fontId="32" fillId="0" borderId="24" xfId="0" applyFont="1" applyBorder="1" applyAlignment="1">
      <alignment horizontal="center"/>
    </xf>
    <xf numFmtId="0" fontId="32" fillId="0" borderId="18" xfId="0" applyFont="1" applyBorder="1" applyAlignment="1">
      <alignment horizontal="center"/>
    </xf>
    <xf numFmtId="0" fontId="32" fillId="0" borderId="25" xfId="0" applyFont="1" applyBorder="1" applyAlignment="1">
      <alignment horizontal="center"/>
    </xf>
    <xf numFmtId="49" fontId="94" fillId="0" borderId="16" xfId="0" applyNumberFormat="1" applyFont="1" applyBorder="1" applyAlignment="1">
      <alignment horizontal="center" vertical="center" shrinkToFit="1"/>
    </xf>
    <xf numFmtId="49" fontId="94" fillId="0" borderId="0" xfId="0" applyNumberFormat="1" applyFont="1" applyBorder="1" applyAlignment="1">
      <alignment horizontal="center" vertical="center" shrinkToFit="1"/>
    </xf>
    <xf numFmtId="49" fontId="94" fillId="0" borderId="17" xfId="0" applyNumberFormat="1" applyFont="1" applyBorder="1" applyAlignment="1">
      <alignment horizontal="center" vertical="center" shrinkToFit="1"/>
    </xf>
    <xf numFmtId="0" fontId="31" fillId="0" borderId="16" xfId="0" applyFont="1" applyBorder="1" applyAlignment="1">
      <alignment horizontal="left"/>
    </xf>
    <xf numFmtId="0" fontId="31" fillId="0" borderId="0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11" xfId="0" applyBorder="1" applyAlignment="1">
      <alignment horizontal="left"/>
    </xf>
    <xf numFmtId="0" fontId="28" fillId="3" borderId="48" xfId="0" applyFont="1" applyFill="1" applyBorder="1" applyAlignment="1">
      <alignment horizontal="center"/>
    </xf>
    <xf numFmtId="0" fontId="33" fillId="0" borderId="0" xfId="0" applyFont="1" applyBorder="1" applyAlignment="1">
      <alignment horizontal="center"/>
    </xf>
    <xf numFmtId="15" fontId="94" fillId="0" borderId="16" xfId="0" applyNumberFormat="1" applyFont="1" applyBorder="1" applyAlignment="1">
      <alignment horizontal="center" shrinkToFit="1"/>
    </xf>
    <xf numFmtId="15" fontId="94" fillId="0" borderId="0" xfId="0" applyNumberFormat="1" applyFont="1" applyBorder="1" applyAlignment="1">
      <alignment horizontal="center" shrinkToFit="1"/>
    </xf>
    <xf numFmtId="15" fontId="94" fillId="0" borderId="17" xfId="0" applyNumberFormat="1" applyFont="1" applyBorder="1" applyAlignment="1">
      <alignment horizontal="center" shrinkToFit="1"/>
    </xf>
    <xf numFmtId="0" fontId="31" fillId="0" borderId="0" xfId="0" applyFont="1" applyBorder="1" applyAlignment="1">
      <alignment horizontal="center" shrinkToFit="1"/>
    </xf>
    <xf numFmtId="0" fontId="31" fillId="0" borderId="17" xfId="0" applyFont="1" applyBorder="1" applyAlignment="1">
      <alignment horizontal="center" shrinkToFit="1"/>
    </xf>
    <xf numFmtId="0" fontId="0" fillId="0" borderId="32" xfId="0" applyBorder="1" applyAlignment="1">
      <alignment horizontal="left"/>
    </xf>
    <xf numFmtId="0" fontId="0" fillId="0" borderId="34" xfId="0" applyBorder="1" applyAlignment="1">
      <alignment horizontal="left"/>
    </xf>
    <xf numFmtId="0" fontId="0" fillId="2" borderId="32" xfId="0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0" fontId="0" fillId="0" borderId="11" xfId="0" applyBorder="1" applyAlignment="1" applyProtection="1">
      <alignment horizontal="left" shrinkToFit="1"/>
    </xf>
    <xf numFmtId="0" fontId="0" fillId="0" borderId="8" xfId="0" applyBorder="1" applyAlignment="1" applyProtection="1">
      <alignment horizontal="left" shrinkToFit="1"/>
    </xf>
    <xf numFmtId="0" fontId="0" fillId="0" borderId="3" xfId="0" applyBorder="1" applyAlignment="1" applyProtection="1">
      <alignment horizontal="left" shrinkToFit="1"/>
    </xf>
    <xf numFmtId="0" fontId="0" fillId="0" borderId="11" xfId="0" applyBorder="1" applyAlignment="1" applyProtection="1">
      <alignment horizontal="left"/>
    </xf>
    <xf numFmtId="0" fontId="0" fillId="0" borderId="8" xfId="0" applyBorder="1" applyAlignment="1" applyProtection="1">
      <alignment horizontal="left"/>
    </xf>
    <xf numFmtId="0" fontId="0" fillId="0" borderId="11" xfId="0" applyBorder="1" applyAlignment="1">
      <alignment horizontal="left" shrinkToFit="1"/>
    </xf>
    <xf numFmtId="0" fontId="0" fillId="0" borderId="8" xfId="0" applyBorder="1" applyAlignment="1">
      <alignment horizontal="left" shrinkToFit="1"/>
    </xf>
    <xf numFmtId="0" fontId="36" fillId="0" borderId="0" xfId="0" applyFont="1" applyFill="1" applyAlignment="1">
      <alignment horizontal="center" wrapText="1"/>
    </xf>
    <xf numFmtId="0" fontId="52" fillId="0" borderId="0" xfId="0" applyFont="1" applyFill="1" applyAlignment="1">
      <alignment horizontal="center" wrapText="1"/>
    </xf>
    <xf numFmtId="0" fontId="36" fillId="0" borderId="0" xfId="0" applyFont="1" applyFill="1" applyBorder="1" applyAlignment="1">
      <alignment horizontal="center" wrapText="1"/>
    </xf>
    <xf numFmtId="0" fontId="52" fillId="0" borderId="0" xfId="0" applyFont="1" applyFill="1" applyBorder="1" applyAlignment="1">
      <alignment horizontal="center" wrapText="1"/>
    </xf>
    <xf numFmtId="0" fontId="29" fillId="0" borderId="0" xfId="0" applyFont="1" applyFill="1" applyAlignment="1">
      <alignment horizontal="center"/>
    </xf>
    <xf numFmtId="0" fontId="0" fillId="0" borderId="7" xfId="0" applyBorder="1" applyAlignment="1" applyProtection="1">
      <protection locked="0"/>
    </xf>
    <xf numFmtId="0" fontId="21" fillId="0" borderId="7" xfId="0" applyFont="1" applyBorder="1" applyAlignment="1" applyProtection="1">
      <alignment horizontal="center" vertical="center"/>
      <protection locked="0"/>
    </xf>
    <xf numFmtId="0" fontId="50" fillId="0" borderId="0" xfId="0" quotePrefix="1" applyFont="1" applyAlignment="1" applyProtection="1">
      <alignment horizontal="right"/>
      <protection locked="0"/>
    </xf>
    <xf numFmtId="0" fontId="6" fillId="0" borderId="0" xfId="0" applyFont="1" applyAlignment="1" applyProtection="1">
      <alignment horizontal="center" vertical="center"/>
      <protection locked="0"/>
    </xf>
  </cellXfs>
  <cellStyles count="6">
    <cellStyle name="Millares_Despiece Depanel  ROLANDOxlt211" xfId="1"/>
    <cellStyle name="Moneda [0]_Despiece Depanel  ROLANDOxlt211" xfId="2"/>
    <cellStyle name="Moneda_Despiece Depanel  ROLANDOxlt211" xfId="3"/>
    <cellStyle name="Normal" xfId="0" builtinId="0"/>
    <cellStyle name="Normal_Hoja2" xfId="4"/>
    <cellStyle name="Porcentaje" xfId="5" builtinId="5"/>
  </cellStyles>
  <dxfs count="23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9"/>
        </patternFill>
      </fill>
    </dxf>
    <dxf>
      <fill>
        <patternFill>
          <bgColor indexed="9"/>
        </patternFill>
      </fill>
    </dxf>
    <dxf>
      <fill>
        <patternFill>
          <bgColor indexed="9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indexed="9"/>
        </patternFill>
      </fill>
    </dxf>
    <dxf>
      <fill>
        <patternFill>
          <bgColor indexed="23"/>
        </patternFill>
      </fill>
      <border>
        <left style="thin">
          <color indexed="64"/>
        </left>
        <right style="thin">
          <color indexed="64"/>
        </right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indexed="2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indexed="2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3"/>
        </patternFill>
      </fill>
      <border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ill>
        <patternFill>
          <bgColor indexed="9"/>
        </patternFill>
      </fill>
      <border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condense val="0"/>
        <extend val="0"/>
        <color indexed="23"/>
      </font>
      <fill>
        <patternFill>
          <bgColor indexed="2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indexed="9"/>
        </patternFill>
      </fill>
    </dxf>
    <dxf>
      <fill>
        <patternFill>
          <bgColor indexed="23"/>
        </patternFill>
      </fill>
      <border>
        <left style="thin">
          <color indexed="64"/>
        </left>
        <right style="thin">
          <color indexed="64"/>
        </right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indexed="2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indexed="2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3"/>
        </patternFill>
      </fill>
      <border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ill>
        <patternFill>
          <bgColor indexed="9"/>
        </patternFill>
      </fill>
      <border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ill>
        <patternFill>
          <bgColor indexed="43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5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38100</xdr:rowOff>
    </xdr:from>
    <xdr:to>
      <xdr:col>2</xdr:col>
      <xdr:colOff>0</xdr:colOff>
      <xdr:row>3</xdr:row>
      <xdr:rowOff>0</xdr:rowOff>
    </xdr:to>
    <xdr:sp macro="" textlink="">
      <xdr:nvSpPr>
        <xdr:cNvPr id="79778" name="AutoShape 81"/>
        <xdr:cNvSpPr>
          <a:spLocks noChangeArrowheads="1"/>
        </xdr:cNvSpPr>
      </xdr:nvSpPr>
      <xdr:spPr bwMode="auto">
        <a:xfrm>
          <a:off x="0" y="495300"/>
          <a:ext cx="819150" cy="266700"/>
        </a:xfrm>
        <a:prstGeom prst="parallelogram">
          <a:avLst>
            <a:gd name="adj" fmla="val 150912"/>
          </a:avLst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323850</xdr:colOff>
      <xdr:row>41</xdr:row>
      <xdr:rowOff>5196</xdr:rowOff>
    </xdr:from>
    <xdr:to>
      <xdr:col>5</xdr:col>
      <xdr:colOff>457200</xdr:colOff>
      <xdr:row>44</xdr:row>
      <xdr:rowOff>24246</xdr:rowOff>
    </xdr:to>
    <xdr:sp macro="" textlink="">
      <xdr:nvSpPr>
        <xdr:cNvPr id="9549" name="Text Box 333"/>
        <xdr:cNvSpPr txBox="1">
          <a:spLocks noChangeArrowheads="1"/>
        </xdr:cNvSpPr>
      </xdr:nvSpPr>
      <xdr:spPr bwMode="auto">
        <a:xfrm>
          <a:off x="3333750" y="14211300"/>
          <a:ext cx="34194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400" b="0" i="0" strike="noStrike">
              <a:solidFill>
                <a:srgbClr val="000000"/>
              </a:solidFill>
              <a:latin typeface="Arial"/>
              <a:cs typeface="Arial"/>
            </a:rPr>
            <a:t> FECHA DE ENTREGA DEL  PROYECTO A DESPACHOS</a:t>
          </a:r>
        </a:p>
        <a:p>
          <a:pPr algn="ctr" rtl="0">
            <a:defRPr sz="1000"/>
          </a:pPr>
          <a:r>
            <a:rPr lang="es-ES" sz="1400" b="0" i="0" strike="noStrike">
              <a:solidFill>
                <a:srgbClr val="000000"/>
              </a:solidFill>
              <a:latin typeface="Arial"/>
              <a:cs typeface="Arial"/>
            </a:rPr>
            <a:t>dd / mm / aa</a:t>
          </a:r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409575</xdr:colOff>
      <xdr:row>0</xdr:row>
      <xdr:rowOff>438150</xdr:rowOff>
    </xdr:to>
    <xdr:pic>
      <xdr:nvPicPr>
        <xdr:cNvPr id="79780" name="Picture 237" descr="LOGOnegr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0"/>
          <a:ext cx="11906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161925</xdr:colOff>
      <xdr:row>0</xdr:row>
      <xdr:rowOff>38100</xdr:rowOff>
    </xdr:from>
    <xdr:to>
      <xdr:col>9</xdr:col>
      <xdr:colOff>57150</xdr:colOff>
      <xdr:row>1</xdr:row>
      <xdr:rowOff>0</xdr:rowOff>
    </xdr:to>
    <xdr:pic>
      <xdr:nvPicPr>
        <xdr:cNvPr id="79781" name="Picture 18" descr="DEPANEL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325" y="38100"/>
          <a:ext cx="14573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0</xdr:row>
      <xdr:rowOff>180975</xdr:rowOff>
    </xdr:from>
    <xdr:to>
      <xdr:col>2</xdr:col>
      <xdr:colOff>114300</xdr:colOff>
      <xdr:row>4</xdr:row>
      <xdr:rowOff>0</xdr:rowOff>
    </xdr:to>
    <xdr:sp macro="" textlink="">
      <xdr:nvSpPr>
        <xdr:cNvPr id="78631" name="Text Box 82"/>
        <xdr:cNvSpPr txBox="1">
          <a:spLocks noChangeArrowheads="1"/>
        </xdr:cNvSpPr>
      </xdr:nvSpPr>
      <xdr:spPr bwMode="auto">
        <a:xfrm>
          <a:off x="123825" y="180975"/>
          <a:ext cx="8096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37160" tIns="109728" rIns="137160" bIns="0" anchor="t" upright="1"/>
        <a:lstStyle/>
        <a:p>
          <a:pPr algn="ctr" rtl="0">
            <a:defRPr sz="1000"/>
          </a:pPr>
          <a:r>
            <a:rPr lang="es-CO" sz="3600" b="0" i="0" strike="noStrike">
              <a:solidFill>
                <a:srgbClr val="000000"/>
              </a:solidFill>
              <a:latin typeface="Arial"/>
              <a:cs typeface="Arial"/>
            </a:rPr>
            <a:t>1</a:t>
          </a:r>
        </a:p>
      </xdr:txBody>
    </xdr:sp>
    <xdr:clientData/>
  </xdr:twoCellAnchor>
  <xdr:twoCellAnchor editAs="oneCell">
    <xdr:from>
      <xdr:col>8</xdr:col>
      <xdr:colOff>0</xdr:colOff>
      <xdr:row>14</xdr:row>
      <xdr:rowOff>190500</xdr:rowOff>
    </xdr:from>
    <xdr:to>
      <xdr:col>8</xdr:col>
      <xdr:colOff>104775</xdr:colOff>
      <xdr:row>15</xdr:row>
      <xdr:rowOff>838200</xdr:rowOff>
    </xdr:to>
    <xdr:sp macro="" textlink="">
      <xdr:nvSpPr>
        <xdr:cNvPr id="79783" name="Text Box 13"/>
        <xdr:cNvSpPr txBox="1">
          <a:spLocks noChangeArrowheads="1"/>
        </xdr:cNvSpPr>
      </xdr:nvSpPr>
      <xdr:spPr bwMode="auto">
        <a:xfrm>
          <a:off x="5505450" y="1524000"/>
          <a:ext cx="104775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314325</xdr:rowOff>
    </xdr:from>
    <xdr:to>
      <xdr:col>1</xdr:col>
      <xdr:colOff>419100</xdr:colOff>
      <xdr:row>3</xdr:row>
      <xdr:rowOff>247650</xdr:rowOff>
    </xdr:to>
    <xdr:pic>
      <xdr:nvPicPr>
        <xdr:cNvPr id="45911" name="Picture 10" descr="LOGOnegr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14325"/>
          <a:ext cx="18383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228600</xdr:colOff>
      <xdr:row>0</xdr:row>
      <xdr:rowOff>381000</xdr:rowOff>
    </xdr:from>
    <xdr:to>
      <xdr:col>8</xdr:col>
      <xdr:colOff>285750</xdr:colOff>
      <xdr:row>3</xdr:row>
      <xdr:rowOff>123825</xdr:rowOff>
    </xdr:to>
    <xdr:pic>
      <xdr:nvPicPr>
        <xdr:cNvPr id="45912" name="Picture 18" descr="DEPANE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75" y="381000"/>
          <a:ext cx="12954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228600</xdr:colOff>
      <xdr:row>0</xdr:row>
      <xdr:rowOff>381000</xdr:rowOff>
    </xdr:from>
    <xdr:to>
      <xdr:col>8</xdr:col>
      <xdr:colOff>285750</xdr:colOff>
      <xdr:row>3</xdr:row>
      <xdr:rowOff>123825</xdr:rowOff>
    </xdr:to>
    <xdr:pic>
      <xdr:nvPicPr>
        <xdr:cNvPr id="60333" name="Picture 18" descr="DEPANE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75" y="381000"/>
          <a:ext cx="12954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0</xdr:row>
      <xdr:rowOff>314325</xdr:rowOff>
    </xdr:from>
    <xdr:to>
      <xdr:col>1</xdr:col>
      <xdr:colOff>419100</xdr:colOff>
      <xdr:row>3</xdr:row>
      <xdr:rowOff>247650</xdr:rowOff>
    </xdr:to>
    <xdr:pic>
      <xdr:nvPicPr>
        <xdr:cNvPr id="60334" name="Picture 10" descr="LOGOnegr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14325"/>
          <a:ext cx="18383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76200</xdr:rowOff>
    </xdr:from>
    <xdr:to>
      <xdr:col>0</xdr:col>
      <xdr:colOff>1800225</xdr:colOff>
      <xdr:row>4</xdr:row>
      <xdr:rowOff>9525</xdr:rowOff>
    </xdr:to>
    <xdr:pic>
      <xdr:nvPicPr>
        <xdr:cNvPr id="88098" name="Picture 10" descr="LOGOnegr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76200"/>
          <a:ext cx="15525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0</xdr:row>
      <xdr:rowOff>123825</xdr:rowOff>
    </xdr:from>
    <xdr:to>
      <xdr:col>3</xdr:col>
      <xdr:colOff>1533525</xdr:colOff>
      <xdr:row>3</xdr:row>
      <xdr:rowOff>133350</xdr:rowOff>
    </xdr:to>
    <xdr:pic>
      <xdr:nvPicPr>
        <xdr:cNvPr id="88099" name="Picture 18" descr="DEPANE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0" y="123825"/>
          <a:ext cx="790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47625</xdr:rowOff>
    </xdr:from>
    <xdr:to>
      <xdr:col>3</xdr:col>
      <xdr:colOff>381000</xdr:colOff>
      <xdr:row>3</xdr:row>
      <xdr:rowOff>104775</xdr:rowOff>
    </xdr:to>
    <xdr:pic>
      <xdr:nvPicPr>
        <xdr:cNvPr id="47335" name="Picture 2" descr="LOGOnegr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19075"/>
          <a:ext cx="18383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209550</xdr:colOff>
      <xdr:row>1</xdr:row>
      <xdr:rowOff>0</xdr:rowOff>
    </xdr:from>
    <xdr:to>
      <xdr:col>10</xdr:col>
      <xdr:colOff>1038225</xdr:colOff>
      <xdr:row>4</xdr:row>
      <xdr:rowOff>19050</xdr:rowOff>
    </xdr:to>
    <xdr:pic>
      <xdr:nvPicPr>
        <xdr:cNvPr id="47336" name="Picture 18" descr="DEPANEL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171450"/>
          <a:ext cx="16764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0</xdr:rowOff>
    </xdr:from>
    <xdr:to>
      <xdr:col>0</xdr:col>
      <xdr:colOff>104775</xdr:colOff>
      <xdr:row>15</xdr:row>
      <xdr:rowOff>257175</xdr:rowOff>
    </xdr:to>
    <xdr:sp macro="" textlink="">
      <xdr:nvSpPr>
        <xdr:cNvPr id="86399" name="Text Box 1"/>
        <xdr:cNvSpPr txBox="1">
          <a:spLocks noChangeArrowheads="1"/>
        </xdr:cNvSpPr>
      </xdr:nvSpPr>
      <xdr:spPr bwMode="auto">
        <a:xfrm>
          <a:off x="0" y="971550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16</xdr:row>
      <xdr:rowOff>190500</xdr:rowOff>
    </xdr:from>
    <xdr:to>
      <xdr:col>8</xdr:col>
      <xdr:colOff>104775</xdr:colOff>
      <xdr:row>21</xdr:row>
      <xdr:rowOff>16669</xdr:rowOff>
    </xdr:to>
    <xdr:sp macro="" textlink="">
      <xdr:nvSpPr>
        <xdr:cNvPr id="86400" name="Text Box 13"/>
        <xdr:cNvSpPr txBox="1">
          <a:spLocks noChangeArrowheads="1"/>
        </xdr:cNvSpPr>
      </xdr:nvSpPr>
      <xdr:spPr bwMode="auto">
        <a:xfrm>
          <a:off x="5505450" y="1524000"/>
          <a:ext cx="104775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17</xdr:row>
      <xdr:rowOff>0</xdr:rowOff>
    </xdr:from>
    <xdr:to>
      <xdr:col>8</xdr:col>
      <xdr:colOff>104775</xdr:colOff>
      <xdr:row>17</xdr:row>
      <xdr:rowOff>257175</xdr:rowOff>
    </xdr:to>
    <xdr:sp macro="" textlink="">
      <xdr:nvSpPr>
        <xdr:cNvPr id="86401" name="Text Box 14"/>
        <xdr:cNvSpPr txBox="1">
          <a:spLocks noChangeArrowheads="1"/>
        </xdr:cNvSpPr>
      </xdr:nvSpPr>
      <xdr:spPr bwMode="auto">
        <a:xfrm>
          <a:off x="5505450" y="2724150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17</xdr:row>
      <xdr:rowOff>0</xdr:rowOff>
    </xdr:from>
    <xdr:to>
      <xdr:col>8</xdr:col>
      <xdr:colOff>104775</xdr:colOff>
      <xdr:row>17</xdr:row>
      <xdr:rowOff>257175</xdr:rowOff>
    </xdr:to>
    <xdr:sp macro="" textlink="">
      <xdr:nvSpPr>
        <xdr:cNvPr id="86402" name="Text Box 15"/>
        <xdr:cNvSpPr txBox="1">
          <a:spLocks noChangeArrowheads="1"/>
        </xdr:cNvSpPr>
      </xdr:nvSpPr>
      <xdr:spPr bwMode="auto">
        <a:xfrm>
          <a:off x="5505450" y="2724150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17</xdr:row>
      <xdr:rowOff>0</xdr:rowOff>
    </xdr:from>
    <xdr:to>
      <xdr:col>8</xdr:col>
      <xdr:colOff>104775</xdr:colOff>
      <xdr:row>17</xdr:row>
      <xdr:rowOff>257175</xdr:rowOff>
    </xdr:to>
    <xdr:sp macro="" textlink="">
      <xdr:nvSpPr>
        <xdr:cNvPr id="86403" name="Text Box 16"/>
        <xdr:cNvSpPr txBox="1">
          <a:spLocks noChangeArrowheads="1"/>
        </xdr:cNvSpPr>
      </xdr:nvSpPr>
      <xdr:spPr bwMode="auto">
        <a:xfrm>
          <a:off x="5505450" y="2724150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17</xdr:row>
      <xdr:rowOff>0</xdr:rowOff>
    </xdr:from>
    <xdr:to>
      <xdr:col>8</xdr:col>
      <xdr:colOff>104775</xdr:colOff>
      <xdr:row>17</xdr:row>
      <xdr:rowOff>257175</xdr:rowOff>
    </xdr:to>
    <xdr:sp macro="" textlink="">
      <xdr:nvSpPr>
        <xdr:cNvPr id="86404" name="Text Box 17"/>
        <xdr:cNvSpPr txBox="1">
          <a:spLocks noChangeArrowheads="1"/>
        </xdr:cNvSpPr>
      </xdr:nvSpPr>
      <xdr:spPr bwMode="auto">
        <a:xfrm>
          <a:off x="5505450" y="2724150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104775</xdr:colOff>
      <xdr:row>15</xdr:row>
      <xdr:rowOff>257175</xdr:rowOff>
    </xdr:to>
    <xdr:sp macro="" textlink="">
      <xdr:nvSpPr>
        <xdr:cNvPr id="86405" name="Text Box 24"/>
        <xdr:cNvSpPr txBox="1">
          <a:spLocks noChangeArrowheads="1"/>
        </xdr:cNvSpPr>
      </xdr:nvSpPr>
      <xdr:spPr bwMode="auto">
        <a:xfrm>
          <a:off x="0" y="971550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104775</xdr:colOff>
      <xdr:row>15</xdr:row>
      <xdr:rowOff>257175</xdr:rowOff>
    </xdr:to>
    <xdr:sp macro="" textlink="">
      <xdr:nvSpPr>
        <xdr:cNvPr id="86406" name="Text Box 25"/>
        <xdr:cNvSpPr txBox="1">
          <a:spLocks noChangeArrowheads="1"/>
        </xdr:cNvSpPr>
      </xdr:nvSpPr>
      <xdr:spPr bwMode="auto">
        <a:xfrm>
          <a:off x="0" y="971550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190500</xdr:rowOff>
    </xdr:from>
    <xdr:to>
      <xdr:col>0</xdr:col>
      <xdr:colOff>104775</xdr:colOff>
      <xdr:row>15</xdr:row>
      <xdr:rowOff>442913</xdr:rowOff>
    </xdr:to>
    <xdr:sp macro="" textlink="">
      <xdr:nvSpPr>
        <xdr:cNvPr id="86407" name="Text Box 26"/>
        <xdr:cNvSpPr txBox="1">
          <a:spLocks noChangeArrowheads="1"/>
        </xdr:cNvSpPr>
      </xdr:nvSpPr>
      <xdr:spPr bwMode="auto">
        <a:xfrm>
          <a:off x="0" y="1162050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104775</xdr:colOff>
      <xdr:row>16</xdr:row>
      <xdr:rowOff>257175</xdr:rowOff>
    </xdr:to>
    <xdr:sp macro="" textlink="">
      <xdr:nvSpPr>
        <xdr:cNvPr id="86408" name="Text Box 27"/>
        <xdr:cNvSpPr txBox="1">
          <a:spLocks noChangeArrowheads="1"/>
        </xdr:cNvSpPr>
      </xdr:nvSpPr>
      <xdr:spPr bwMode="auto">
        <a:xfrm>
          <a:off x="0" y="1333500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16</xdr:row>
      <xdr:rowOff>190500</xdr:rowOff>
    </xdr:from>
    <xdr:to>
      <xdr:col>0</xdr:col>
      <xdr:colOff>104775</xdr:colOff>
      <xdr:row>21</xdr:row>
      <xdr:rowOff>16669</xdr:rowOff>
    </xdr:to>
    <xdr:sp macro="" textlink="">
      <xdr:nvSpPr>
        <xdr:cNvPr id="86409" name="Text Box 28"/>
        <xdr:cNvSpPr txBox="1">
          <a:spLocks noChangeArrowheads="1"/>
        </xdr:cNvSpPr>
      </xdr:nvSpPr>
      <xdr:spPr bwMode="auto">
        <a:xfrm>
          <a:off x="0" y="1524000"/>
          <a:ext cx="104775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104775</xdr:colOff>
      <xdr:row>17</xdr:row>
      <xdr:rowOff>257175</xdr:rowOff>
    </xdr:to>
    <xdr:sp macro="" textlink="">
      <xdr:nvSpPr>
        <xdr:cNvPr id="86410" name="Text Box 29"/>
        <xdr:cNvSpPr txBox="1">
          <a:spLocks noChangeArrowheads="1"/>
        </xdr:cNvSpPr>
      </xdr:nvSpPr>
      <xdr:spPr bwMode="auto">
        <a:xfrm>
          <a:off x="0" y="2724150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104775</xdr:colOff>
      <xdr:row>17</xdr:row>
      <xdr:rowOff>257175</xdr:rowOff>
    </xdr:to>
    <xdr:sp macro="" textlink="">
      <xdr:nvSpPr>
        <xdr:cNvPr id="86411" name="Text Box 30"/>
        <xdr:cNvSpPr txBox="1">
          <a:spLocks noChangeArrowheads="1"/>
        </xdr:cNvSpPr>
      </xdr:nvSpPr>
      <xdr:spPr bwMode="auto">
        <a:xfrm>
          <a:off x="0" y="2724150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104775</xdr:colOff>
      <xdr:row>17</xdr:row>
      <xdr:rowOff>257175</xdr:rowOff>
    </xdr:to>
    <xdr:sp macro="" textlink="">
      <xdr:nvSpPr>
        <xdr:cNvPr id="86412" name="Text Box 31"/>
        <xdr:cNvSpPr txBox="1">
          <a:spLocks noChangeArrowheads="1"/>
        </xdr:cNvSpPr>
      </xdr:nvSpPr>
      <xdr:spPr bwMode="auto">
        <a:xfrm>
          <a:off x="0" y="2724150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104775</xdr:colOff>
      <xdr:row>17</xdr:row>
      <xdr:rowOff>257175</xdr:rowOff>
    </xdr:to>
    <xdr:sp macro="" textlink="">
      <xdr:nvSpPr>
        <xdr:cNvPr id="86413" name="Text Box 32"/>
        <xdr:cNvSpPr txBox="1">
          <a:spLocks noChangeArrowheads="1"/>
        </xdr:cNvSpPr>
      </xdr:nvSpPr>
      <xdr:spPr bwMode="auto">
        <a:xfrm>
          <a:off x="0" y="2724150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104775</xdr:colOff>
      <xdr:row>15</xdr:row>
      <xdr:rowOff>257175</xdr:rowOff>
    </xdr:to>
    <xdr:sp macro="" textlink="">
      <xdr:nvSpPr>
        <xdr:cNvPr id="86414" name="Text Box 33"/>
        <xdr:cNvSpPr txBox="1">
          <a:spLocks noChangeArrowheads="1"/>
        </xdr:cNvSpPr>
      </xdr:nvSpPr>
      <xdr:spPr bwMode="auto">
        <a:xfrm>
          <a:off x="0" y="971550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104775</xdr:colOff>
      <xdr:row>15</xdr:row>
      <xdr:rowOff>257175</xdr:rowOff>
    </xdr:to>
    <xdr:sp macro="" textlink="">
      <xdr:nvSpPr>
        <xdr:cNvPr id="86415" name="Text Box 34"/>
        <xdr:cNvSpPr txBox="1">
          <a:spLocks noChangeArrowheads="1"/>
        </xdr:cNvSpPr>
      </xdr:nvSpPr>
      <xdr:spPr bwMode="auto">
        <a:xfrm>
          <a:off x="0" y="971550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104775</xdr:colOff>
      <xdr:row>15</xdr:row>
      <xdr:rowOff>257175</xdr:rowOff>
    </xdr:to>
    <xdr:sp macro="" textlink="">
      <xdr:nvSpPr>
        <xdr:cNvPr id="86416" name="Text Box 35"/>
        <xdr:cNvSpPr txBox="1">
          <a:spLocks noChangeArrowheads="1"/>
        </xdr:cNvSpPr>
      </xdr:nvSpPr>
      <xdr:spPr bwMode="auto">
        <a:xfrm>
          <a:off x="0" y="971550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104775</xdr:colOff>
      <xdr:row>15</xdr:row>
      <xdr:rowOff>257175</xdr:rowOff>
    </xdr:to>
    <xdr:sp macro="" textlink="">
      <xdr:nvSpPr>
        <xdr:cNvPr id="86417" name="Text Box 36"/>
        <xdr:cNvSpPr txBox="1">
          <a:spLocks noChangeArrowheads="1"/>
        </xdr:cNvSpPr>
      </xdr:nvSpPr>
      <xdr:spPr bwMode="auto">
        <a:xfrm>
          <a:off x="0" y="971550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104775</xdr:colOff>
      <xdr:row>15</xdr:row>
      <xdr:rowOff>257175</xdr:rowOff>
    </xdr:to>
    <xdr:sp macro="" textlink="">
      <xdr:nvSpPr>
        <xdr:cNvPr id="86418" name="Text Box 40"/>
        <xdr:cNvSpPr txBox="1">
          <a:spLocks noChangeArrowheads="1"/>
        </xdr:cNvSpPr>
      </xdr:nvSpPr>
      <xdr:spPr bwMode="auto">
        <a:xfrm>
          <a:off x="0" y="971550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104775</xdr:colOff>
      <xdr:row>15</xdr:row>
      <xdr:rowOff>257175</xdr:rowOff>
    </xdr:to>
    <xdr:sp macro="" textlink="">
      <xdr:nvSpPr>
        <xdr:cNvPr id="86421" name="Text Box 2"/>
        <xdr:cNvSpPr txBox="1">
          <a:spLocks noChangeArrowheads="1"/>
        </xdr:cNvSpPr>
      </xdr:nvSpPr>
      <xdr:spPr bwMode="auto">
        <a:xfrm>
          <a:off x="0" y="971550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358775</xdr:colOff>
      <xdr:row>0</xdr:row>
      <xdr:rowOff>47625</xdr:rowOff>
    </xdr:from>
    <xdr:to>
      <xdr:col>4</xdr:col>
      <xdr:colOff>530225</xdr:colOff>
      <xdr:row>2</xdr:row>
      <xdr:rowOff>0</xdr:rowOff>
    </xdr:to>
    <xdr:pic>
      <xdr:nvPicPr>
        <xdr:cNvPr id="29" name="28 Imagen" descr="Y:\3.DOCUMENTOS SGCA\Sistema Integrado de Gestión Famoc Depanel\LETRAS-03.pn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42" t="10591" r="7258" b="7328"/>
        <a:stretch/>
      </xdr:blipFill>
      <xdr:spPr bwMode="auto">
        <a:xfrm>
          <a:off x="358775" y="47625"/>
          <a:ext cx="2679700" cy="6508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0</xdr:col>
      <xdr:colOff>95250</xdr:colOff>
      <xdr:row>6</xdr:row>
      <xdr:rowOff>0</xdr:rowOff>
    </xdr:to>
    <xdr:sp macro="" textlink="">
      <xdr:nvSpPr>
        <xdr:cNvPr id="82536" name="Text Box 2"/>
        <xdr:cNvSpPr txBox="1">
          <a:spLocks noChangeArrowheads="1"/>
        </xdr:cNvSpPr>
      </xdr:nvSpPr>
      <xdr:spPr bwMode="auto">
        <a:xfrm>
          <a:off x="0" y="723900"/>
          <a:ext cx="952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116417</xdr:colOff>
      <xdr:row>0</xdr:row>
      <xdr:rowOff>10584</xdr:rowOff>
    </xdr:from>
    <xdr:to>
      <xdr:col>4</xdr:col>
      <xdr:colOff>234950</xdr:colOff>
      <xdr:row>2</xdr:row>
      <xdr:rowOff>5292</xdr:rowOff>
    </xdr:to>
    <xdr:pic>
      <xdr:nvPicPr>
        <xdr:cNvPr id="8" name="7 Imagen" descr="Y:\3.DOCUMENTOS SGCA\Sistema Integrado de Gestión Famoc Depanel\LETRAS-03.pn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42" t="10591" r="7258" b="7328"/>
        <a:stretch/>
      </xdr:blipFill>
      <xdr:spPr bwMode="auto">
        <a:xfrm>
          <a:off x="116417" y="10584"/>
          <a:ext cx="2679700" cy="6508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104775</xdr:colOff>
      <xdr:row>13</xdr:row>
      <xdr:rowOff>9525</xdr:rowOff>
    </xdr:to>
    <xdr:sp macro="" textlink="">
      <xdr:nvSpPr>
        <xdr:cNvPr id="83625" name="Text Box 2"/>
        <xdr:cNvSpPr txBox="1">
          <a:spLocks noChangeArrowheads="1"/>
        </xdr:cNvSpPr>
      </xdr:nvSpPr>
      <xdr:spPr bwMode="auto">
        <a:xfrm>
          <a:off x="0" y="723900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104775</xdr:colOff>
      <xdr:row>13</xdr:row>
      <xdr:rowOff>9525</xdr:rowOff>
    </xdr:to>
    <xdr:sp macro="" textlink="">
      <xdr:nvSpPr>
        <xdr:cNvPr id="83626" name="Text Box 10"/>
        <xdr:cNvSpPr txBox="1">
          <a:spLocks noChangeArrowheads="1"/>
        </xdr:cNvSpPr>
      </xdr:nvSpPr>
      <xdr:spPr bwMode="auto">
        <a:xfrm>
          <a:off x="0" y="723900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104775</xdr:colOff>
      <xdr:row>4</xdr:row>
      <xdr:rowOff>0</xdr:rowOff>
    </xdr:to>
    <xdr:sp macro="" textlink="">
      <xdr:nvSpPr>
        <xdr:cNvPr id="83627" name="Text Box 2"/>
        <xdr:cNvSpPr txBox="1">
          <a:spLocks noChangeArrowheads="1"/>
        </xdr:cNvSpPr>
      </xdr:nvSpPr>
      <xdr:spPr bwMode="auto">
        <a:xfrm>
          <a:off x="0" y="723900"/>
          <a:ext cx="1047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561975</xdr:colOff>
      <xdr:row>51</xdr:row>
      <xdr:rowOff>9525</xdr:rowOff>
    </xdr:from>
    <xdr:to>
      <xdr:col>5</xdr:col>
      <xdr:colOff>133350</xdr:colOff>
      <xdr:row>56</xdr:row>
      <xdr:rowOff>85725</xdr:rowOff>
    </xdr:to>
    <xdr:sp macro="" textlink="">
      <xdr:nvSpPr>
        <xdr:cNvPr id="11449" name="Text Box 185"/>
        <xdr:cNvSpPr txBox="1">
          <a:spLocks noChangeArrowheads="1"/>
        </xdr:cNvSpPr>
      </xdr:nvSpPr>
      <xdr:spPr bwMode="auto">
        <a:xfrm>
          <a:off x="2619375" y="13630275"/>
          <a:ext cx="3676650" cy="198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36576" bIns="27432" anchor="ctr" upright="1"/>
        <a:lstStyle/>
        <a:p>
          <a:pPr algn="ctr" rtl="0">
            <a:lnSpc>
              <a:spcPts val="1400"/>
            </a:lnSpc>
            <a:defRPr sz="1000"/>
          </a:pPr>
          <a:r>
            <a:rPr lang="es-ES" sz="1400" b="0" i="0" strike="noStrike">
              <a:solidFill>
                <a:srgbClr val="000000"/>
              </a:solidFill>
              <a:latin typeface="Arial"/>
              <a:cs typeface="Arial"/>
            </a:rPr>
            <a:t> FECHA DE ENTREGA DEL  PROYECTO A DESPACHOS</a:t>
          </a:r>
        </a:p>
        <a:p>
          <a:pPr algn="ctr" rtl="0">
            <a:lnSpc>
              <a:spcPts val="1700"/>
            </a:lnSpc>
            <a:defRPr sz="1000"/>
          </a:pPr>
          <a:r>
            <a:rPr lang="es-ES" sz="1400" b="0" i="0" strike="noStrike">
              <a:solidFill>
                <a:srgbClr val="000000"/>
              </a:solidFill>
              <a:latin typeface="Arial"/>
              <a:cs typeface="Arial"/>
            </a:rPr>
            <a:t>dd / mm / aa</a:t>
          </a:r>
        </a:p>
      </xdr:txBody>
    </xdr:sp>
    <xdr:clientData/>
  </xdr:twoCellAnchor>
  <xdr:twoCellAnchor>
    <xdr:from>
      <xdr:col>0</xdr:col>
      <xdr:colOff>0</xdr:colOff>
      <xdr:row>1</xdr:row>
      <xdr:rowOff>38100</xdr:rowOff>
    </xdr:from>
    <xdr:to>
      <xdr:col>2</xdr:col>
      <xdr:colOff>0</xdr:colOff>
      <xdr:row>3</xdr:row>
      <xdr:rowOff>0</xdr:rowOff>
    </xdr:to>
    <xdr:sp macro="" textlink="">
      <xdr:nvSpPr>
        <xdr:cNvPr id="83629" name="AutoShape 85"/>
        <xdr:cNvSpPr>
          <a:spLocks noChangeArrowheads="1"/>
        </xdr:cNvSpPr>
      </xdr:nvSpPr>
      <xdr:spPr bwMode="auto">
        <a:xfrm>
          <a:off x="0" y="495300"/>
          <a:ext cx="1000125" cy="266700"/>
        </a:xfrm>
        <a:prstGeom prst="parallelogram">
          <a:avLst>
            <a:gd name="adj" fmla="val 184253"/>
          </a:avLst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171450</xdr:colOff>
      <xdr:row>0</xdr:row>
      <xdr:rowOff>171450</xdr:rowOff>
    </xdr:from>
    <xdr:to>
      <xdr:col>1</xdr:col>
      <xdr:colOff>180975</xdr:colOff>
      <xdr:row>3</xdr:row>
      <xdr:rowOff>104775</xdr:rowOff>
    </xdr:to>
    <xdr:sp macro="" textlink="">
      <xdr:nvSpPr>
        <xdr:cNvPr id="83084" name="Text Box 48"/>
        <xdr:cNvSpPr txBox="1">
          <a:spLocks noChangeArrowheads="1"/>
        </xdr:cNvSpPr>
      </xdr:nvSpPr>
      <xdr:spPr bwMode="auto">
        <a:xfrm>
          <a:off x="171450" y="171450"/>
          <a:ext cx="6000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37160" tIns="109728" rIns="137160" bIns="0" anchor="t" upright="1"/>
        <a:lstStyle/>
        <a:p>
          <a:pPr algn="ctr" rtl="0">
            <a:defRPr sz="1000"/>
          </a:pPr>
          <a:r>
            <a:rPr lang="es-CO" sz="3600" b="0" i="0" strike="noStrike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409575</xdr:colOff>
      <xdr:row>0</xdr:row>
      <xdr:rowOff>428625</xdr:rowOff>
    </xdr:to>
    <xdr:pic>
      <xdr:nvPicPr>
        <xdr:cNvPr id="83631" name="Picture 237" descr="LOGOnegr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0"/>
          <a:ext cx="11906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95250</xdr:colOff>
      <xdr:row>0</xdr:row>
      <xdr:rowOff>38100</xdr:rowOff>
    </xdr:from>
    <xdr:to>
      <xdr:col>9</xdr:col>
      <xdr:colOff>0</xdr:colOff>
      <xdr:row>1</xdr:row>
      <xdr:rowOff>0</xdr:rowOff>
    </xdr:to>
    <xdr:pic>
      <xdr:nvPicPr>
        <xdr:cNvPr id="83632" name="Picture 18" descr="DEPANEL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38100"/>
          <a:ext cx="14668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95250</xdr:colOff>
      <xdr:row>4</xdr:row>
      <xdr:rowOff>0</xdr:rowOff>
    </xdr:to>
    <xdr:sp macro="" textlink="">
      <xdr:nvSpPr>
        <xdr:cNvPr id="83633" name="Text Box 2"/>
        <xdr:cNvSpPr txBox="1">
          <a:spLocks noChangeArrowheads="1"/>
        </xdr:cNvSpPr>
      </xdr:nvSpPr>
      <xdr:spPr bwMode="auto">
        <a:xfrm>
          <a:off x="0" y="723900"/>
          <a:ext cx="952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0</xdr:col>
      <xdr:colOff>104775</xdr:colOff>
      <xdr:row>4</xdr:row>
      <xdr:rowOff>257175</xdr:rowOff>
    </xdr:to>
    <xdr:sp macro="" textlink="">
      <xdr:nvSpPr>
        <xdr:cNvPr id="61422" name="Text Box 92"/>
        <xdr:cNvSpPr txBox="1">
          <a:spLocks noChangeArrowheads="1"/>
        </xdr:cNvSpPr>
      </xdr:nvSpPr>
      <xdr:spPr bwMode="auto">
        <a:xfrm>
          <a:off x="0" y="1419225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104775</xdr:colOff>
      <xdr:row>4</xdr:row>
      <xdr:rowOff>257175</xdr:rowOff>
    </xdr:to>
    <xdr:sp macro="" textlink="">
      <xdr:nvSpPr>
        <xdr:cNvPr id="61424" name="Text Box 92"/>
        <xdr:cNvSpPr txBox="1">
          <a:spLocks noChangeArrowheads="1"/>
        </xdr:cNvSpPr>
      </xdr:nvSpPr>
      <xdr:spPr bwMode="auto">
        <a:xfrm>
          <a:off x="0" y="1419225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326571</xdr:colOff>
      <xdr:row>0</xdr:row>
      <xdr:rowOff>13607</xdr:rowOff>
    </xdr:from>
    <xdr:to>
      <xdr:col>1</xdr:col>
      <xdr:colOff>775607</xdr:colOff>
      <xdr:row>2</xdr:row>
      <xdr:rowOff>54429</xdr:rowOff>
    </xdr:to>
    <xdr:pic>
      <xdr:nvPicPr>
        <xdr:cNvPr id="8" name="7 Imagen" descr="Y:\3.DOCUMENTOS SGCA\Sistema Integrado de Gestión Famoc Depanel\LETRAS-03.pn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42" t="10591" r="7258" b="7328"/>
        <a:stretch/>
      </xdr:blipFill>
      <xdr:spPr bwMode="auto">
        <a:xfrm>
          <a:off x="326571" y="13607"/>
          <a:ext cx="4449536" cy="91167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0</xdr:col>
      <xdr:colOff>0</xdr:colOff>
      <xdr:row>2</xdr:row>
      <xdr:rowOff>0</xdr:rowOff>
    </xdr:from>
    <xdr:ext cx="104775" cy="257175"/>
    <xdr:sp macro="" textlink="">
      <xdr:nvSpPr>
        <xdr:cNvPr id="5" name="Text Box 92"/>
        <xdr:cNvSpPr txBox="1">
          <a:spLocks noChangeArrowheads="1"/>
        </xdr:cNvSpPr>
      </xdr:nvSpPr>
      <xdr:spPr bwMode="auto">
        <a:xfrm>
          <a:off x="0" y="1524000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</xdr:row>
      <xdr:rowOff>0</xdr:rowOff>
    </xdr:from>
    <xdr:ext cx="104775" cy="257175"/>
    <xdr:sp macro="" textlink="">
      <xdr:nvSpPr>
        <xdr:cNvPr id="6" name="Text Box 92"/>
        <xdr:cNvSpPr txBox="1">
          <a:spLocks noChangeArrowheads="1"/>
        </xdr:cNvSpPr>
      </xdr:nvSpPr>
      <xdr:spPr bwMode="auto">
        <a:xfrm>
          <a:off x="0" y="1524000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312530</xdr:colOff>
      <xdr:row>41</xdr:row>
      <xdr:rowOff>9525</xdr:rowOff>
    </xdr:from>
    <xdr:to>
      <xdr:col>26</xdr:col>
      <xdr:colOff>312530</xdr:colOff>
      <xdr:row>47</xdr:row>
      <xdr:rowOff>9525</xdr:rowOff>
    </xdr:to>
    <xdr:sp macro="" textlink="">
      <xdr:nvSpPr>
        <xdr:cNvPr id="72962" name="Text Box 198"/>
        <xdr:cNvSpPr txBox="1">
          <a:spLocks noChangeArrowheads="1"/>
        </xdr:cNvSpPr>
      </xdr:nvSpPr>
      <xdr:spPr bwMode="auto">
        <a:xfrm>
          <a:off x="6657975" y="7267575"/>
          <a:ext cx="13144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CO" sz="700" b="0" i="0" strike="noStrike">
              <a:solidFill>
                <a:srgbClr val="000000"/>
              </a:solidFill>
              <a:latin typeface="Arial"/>
              <a:cs typeface="Arial"/>
            </a:rPr>
            <a:t> FECHA DE ENTREGA DEL  PROYECTO A DESPACHOS</a:t>
          </a:r>
        </a:p>
        <a:p>
          <a:pPr algn="ctr" rtl="0">
            <a:defRPr sz="1000"/>
          </a:pPr>
          <a:r>
            <a:rPr lang="es-CO" sz="700" b="0" i="0" strike="noStrike">
              <a:solidFill>
                <a:srgbClr val="000000"/>
              </a:solidFill>
              <a:latin typeface="Arial"/>
              <a:cs typeface="Arial"/>
            </a:rPr>
            <a:t>dd / mm / aa</a:t>
          </a:r>
        </a:p>
      </xdr:txBody>
    </xdr:sp>
    <xdr:clientData/>
  </xdr:twoCellAnchor>
  <xdr:twoCellAnchor>
    <xdr:from>
      <xdr:col>29</xdr:col>
      <xdr:colOff>5383</xdr:colOff>
      <xdr:row>38</xdr:row>
      <xdr:rowOff>0</xdr:rowOff>
    </xdr:from>
    <xdr:to>
      <xdr:col>29</xdr:col>
      <xdr:colOff>5383</xdr:colOff>
      <xdr:row>43</xdr:row>
      <xdr:rowOff>187147</xdr:rowOff>
    </xdr:to>
    <xdr:sp macro="" textlink="">
      <xdr:nvSpPr>
        <xdr:cNvPr id="5335" name="Text Box 215"/>
        <xdr:cNvSpPr txBox="1">
          <a:spLocks noChangeArrowheads="1"/>
        </xdr:cNvSpPr>
      </xdr:nvSpPr>
      <xdr:spPr bwMode="auto">
        <a:xfrm>
          <a:off x="15697200" y="13296900"/>
          <a:ext cx="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es-ES" sz="1200" b="0" i="0" strike="noStrike">
              <a:solidFill>
                <a:srgbClr val="000000"/>
              </a:solidFill>
              <a:latin typeface="Arial"/>
              <a:cs typeface="Arial"/>
            </a:rPr>
            <a:t>L    =  LIBERACIÓN  (Autorización -</a:t>
          </a:r>
        </a:p>
        <a:p>
          <a:pPr algn="l" rtl="0">
            <a:defRPr sz="1000"/>
          </a:pPr>
          <a:r>
            <a:rPr lang="es-ES" sz="1200" b="0" i="0" strike="noStrike">
              <a:solidFill>
                <a:srgbClr val="000000"/>
              </a:solidFill>
              <a:latin typeface="Arial"/>
              <a:cs typeface="Arial"/>
            </a:rPr>
            <a:t>            recibir producto sin inspección)</a:t>
          </a:r>
        </a:p>
        <a:p>
          <a:pPr algn="l" rtl="0">
            <a:defRPr sz="1000"/>
          </a:pPr>
          <a:r>
            <a:rPr lang="es-ES" sz="1200" b="0" i="0" strike="noStrike">
              <a:solidFill>
                <a:srgbClr val="000000"/>
              </a:solidFill>
              <a:latin typeface="Arial"/>
              <a:cs typeface="Arial"/>
            </a:rPr>
            <a:t>Cn = CONCESIÓN   (Autorización - </a:t>
          </a:r>
        </a:p>
        <a:p>
          <a:pPr algn="l" rtl="0">
            <a:defRPr sz="1000"/>
          </a:pPr>
          <a:r>
            <a:rPr lang="es-ES" sz="1200" b="0" i="0" strike="noStrike">
              <a:solidFill>
                <a:srgbClr val="000000"/>
              </a:solidFill>
              <a:latin typeface="Arial"/>
              <a:cs typeface="Arial"/>
            </a:rPr>
            <a:t>           utilizar producto no conforme)</a:t>
          </a:r>
        </a:p>
      </xdr:txBody>
    </xdr:sp>
    <xdr:clientData/>
  </xdr:twoCellAnchor>
  <xdr:twoCellAnchor>
    <xdr:from>
      <xdr:col>41</xdr:col>
      <xdr:colOff>0</xdr:colOff>
      <xdr:row>19</xdr:row>
      <xdr:rowOff>228600</xdr:rowOff>
    </xdr:from>
    <xdr:to>
      <xdr:col>41</xdr:col>
      <xdr:colOff>0</xdr:colOff>
      <xdr:row>19</xdr:row>
      <xdr:rowOff>228600</xdr:rowOff>
    </xdr:to>
    <xdr:sp macro="" textlink="">
      <xdr:nvSpPr>
        <xdr:cNvPr id="73579" name="Line 340"/>
        <xdr:cNvSpPr>
          <a:spLocks noChangeShapeType="1"/>
        </xdr:cNvSpPr>
      </xdr:nvSpPr>
      <xdr:spPr bwMode="auto">
        <a:xfrm>
          <a:off x="11696700" y="346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381000</xdr:colOff>
      <xdr:row>24</xdr:row>
      <xdr:rowOff>0</xdr:rowOff>
    </xdr:from>
    <xdr:to>
      <xdr:col>3</xdr:col>
      <xdr:colOff>485775</xdr:colOff>
      <xdr:row>25</xdr:row>
      <xdr:rowOff>66675</xdr:rowOff>
    </xdr:to>
    <xdr:sp macro="" textlink="">
      <xdr:nvSpPr>
        <xdr:cNvPr id="73580" name="Text Box 381"/>
        <xdr:cNvSpPr txBox="1">
          <a:spLocks noChangeArrowheads="1"/>
        </xdr:cNvSpPr>
      </xdr:nvSpPr>
      <xdr:spPr bwMode="auto">
        <a:xfrm>
          <a:off x="1704975" y="4229100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2</xdr:col>
      <xdr:colOff>438150</xdr:colOff>
      <xdr:row>2</xdr:row>
      <xdr:rowOff>171450</xdr:rowOff>
    </xdr:to>
    <xdr:sp macro="" textlink="">
      <xdr:nvSpPr>
        <xdr:cNvPr id="73581" name="AutoShape 241"/>
        <xdr:cNvSpPr>
          <a:spLocks noChangeArrowheads="1"/>
        </xdr:cNvSpPr>
      </xdr:nvSpPr>
      <xdr:spPr bwMode="auto">
        <a:xfrm>
          <a:off x="0" y="504825"/>
          <a:ext cx="1323975" cy="381000"/>
        </a:xfrm>
        <a:prstGeom prst="parallelogram">
          <a:avLst>
            <a:gd name="adj" fmla="val 170742"/>
          </a:avLst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190500</xdr:colOff>
      <xdr:row>0</xdr:row>
      <xdr:rowOff>209550</xdr:rowOff>
    </xdr:from>
    <xdr:to>
      <xdr:col>1</xdr:col>
      <xdr:colOff>75884</xdr:colOff>
      <xdr:row>2</xdr:row>
      <xdr:rowOff>264583</xdr:rowOff>
    </xdr:to>
    <xdr:sp macro="" textlink="">
      <xdr:nvSpPr>
        <xdr:cNvPr id="72985" name="Text Box 48"/>
        <xdr:cNvSpPr txBox="1">
          <a:spLocks noChangeArrowheads="1"/>
        </xdr:cNvSpPr>
      </xdr:nvSpPr>
      <xdr:spPr bwMode="auto">
        <a:xfrm>
          <a:off x="190500" y="209550"/>
          <a:ext cx="668551" cy="774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37160" tIns="109728" rIns="137160" bIns="0" anchor="t" upright="1"/>
        <a:lstStyle/>
        <a:p>
          <a:pPr algn="ctr" rtl="0">
            <a:defRPr sz="1000"/>
          </a:pPr>
          <a:r>
            <a:rPr lang="es-CO" sz="3600" b="0" i="0" strike="noStrike">
              <a:solidFill>
                <a:srgbClr val="000000"/>
              </a:solidFill>
              <a:latin typeface="Arial"/>
              <a:cs typeface="Arial"/>
            </a:rPr>
            <a:t>4</a:t>
          </a:r>
        </a:p>
      </xdr:txBody>
    </xdr:sp>
    <xdr:clientData/>
  </xdr:twoCellAnchor>
  <xdr:twoCellAnchor editAs="oneCell">
    <xdr:from>
      <xdr:col>0</xdr:col>
      <xdr:colOff>638175</xdr:colOff>
      <xdr:row>0</xdr:row>
      <xdr:rowOff>0</xdr:rowOff>
    </xdr:from>
    <xdr:to>
      <xdr:col>3</xdr:col>
      <xdr:colOff>609600</xdr:colOff>
      <xdr:row>0</xdr:row>
      <xdr:rowOff>438150</xdr:rowOff>
    </xdr:to>
    <xdr:pic>
      <xdr:nvPicPr>
        <xdr:cNvPr id="73583" name="Picture 237" descr="LOGOnegr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0"/>
          <a:ext cx="12954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95250</xdr:colOff>
      <xdr:row>0</xdr:row>
      <xdr:rowOff>0</xdr:rowOff>
    </xdr:from>
    <xdr:to>
      <xdr:col>23</xdr:col>
      <xdr:colOff>171450</xdr:colOff>
      <xdr:row>0</xdr:row>
      <xdr:rowOff>419100</xdr:rowOff>
    </xdr:to>
    <xdr:pic>
      <xdr:nvPicPr>
        <xdr:cNvPr id="73584" name="Picture 18" descr="DEPANE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0350" y="0"/>
          <a:ext cx="13335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312530</xdr:colOff>
      <xdr:row>41</xdr:row>
      <xdr:rowOff>9525</xdr:rowOff>
    </xdr:from>
    <xdr:to>
      <xdr:col>26</xdr:col>
      <xdr:colOff>312530</xdr:colOff>
      <xdr:row>46</xdr:row>
      <xdr:rowOff>9525</xdr:rowOff>
    </xdr:to>
    <xdr:sp macro="" textlink="">
      <xdr:nvSpPr>
        <xdr:cNvPr id="72962" name="Text Box 198"/>
        <xdr:cNvSpPr txBox="1">
          <a:spLocks noChangeArrowheads="1"/>
        </xdr:cNvSpPr>
      </xdr:nvSpPr>
      <xdr:spPr bwMode="auto">
        <a:xfrm>
          <a:off x="6657975" y="7267575"/>
          <a:ext cx="13144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CO" sz="700" b="0" i="0" strike="noStrike">
              <a:solidFill>
                <a:srgbClr val="000000"/>
              </a:solidFill>
              <a:latin typeface="Arial"/>
              <a:cs typeface="Arial"/>
            </a:rPr>
            <a:t> FECHA DE ENTREGA DEL  PROYECTO A DESPACHOS</a:t>
          </a:r>
        </a:p>
        <a:p>
          <a:pPr algn="ctr" rtl="0">
            <a:defRPr sz="1000"/>
          </a:pPr>
          <a:r>
            <a:rPr lang="es-CO" sz="700" b="0" i="0" strike="noStrike">
              <a:solidFill>
                <a:srgbClr val="000000"/>
              </a:solidFill>
              <a:latin typeface="Arial"/>
              <a:cs typeface="Arial"/>
            </a:rPr>
            <a:t>dd / mm / aa</a:t>
          </a:r>
        </a:p>
      </xdr:txBody>
    </xdr:sp>
    <xdr:clientData/>
  </xdr:twoCellAnchor>
  <xdr:twoCellAnchor>
    <xdr:from>
      <xdr:col>29</xdr:col>
      <xdr:colOff>5383</xdr:colOff>
      <xdr:row>38</xdr:row>
      <xdr:rowOff>0</xdr:rowOff>
    </xdr:from>
    <xdr:to>
      <xdr:col>29</xdr:col>
      <xdr:colOff>5383</xdr:colOff>
      <xdr:row>43</xdr:row>
      <xdr:rowOff>187147</xdr:rowOff>
    </xdr:to>
    <xdr:sp macro="" textlink="">
      <xdr:nvSpPr>
        <xdr:cNvPr id="5335" name="Text Box 215"/>
        <xdr:cNvSpPr txBox="1">
          <a:spLocks noChangeArrowheads="1"/>
        </xdr:cNvSpPr>
      </xdr:nvSpPr>
      <xdr:spPr bwMode="auto">
        <a:xfrm>
          <a:off x="15697200" y="13296900"/>
          <a:ext cx="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es-ES" sz="1200" b="0" i="0" strike="noStrike">
              <a:solidFill>
                <a:srgbClr val="000000"/>
              </a:solidFill>
              <a:latin typeface="Arial"/>
              <a:cs typeface="Arial"/>
            </a:rPr>
            <a:t>L    =  LIBERACIÓN  (Autorización -</a:t>
          </a:r>
        </a:p>
        <a:p>
          <a:pPr algn="l" rtl="0">
            <a:defRPr sz="1000"/>
          </a:pPr>
          <a:r>
            <a:rPr lang="es-ES" sz="1200" b="0" i="0" strike="noStrike">
              <a:solidFill>
                <a:srgbClr val="000000"/>
              </a:solidFill>
              <a:latin typeface="Arial"/>
              <a:cs typeface="Arial"/>
            </a:rPr>
            <a:t>            recibir producto sin inspección)</a:t>
          </a:r>
        </a:p>
        <a:p>
          <a:pPr algn="l" rtl="0">
            <a:defRPr sz="1000"/>
          </a:pPr>
          <a:r>
            <a:rPr lang="es-ES" sz="1200" b="0" i="0" strike="noStrike">
              <a:solidFill>
                <a:srgbClr val="000000"/>
              </a:solidFill>
              <a:latin typeface="Arial"/>
              <a:cs typeface="Arial"/>
            </a:rPr>
            <a:t>Cn = CONCESIÓN   (Autorización - </a:t>
          </a:r>
        </a:p>
        <a:p>
          <a:pPr algn="l" rtl="0">
            <a:defRPr sz="1000"/>
          </a:pPr>
          <a:r>
            <a:rPr lang="es-ES" sz="1200" b="0" i="0" strike="noStrike">
              <a:solidFill>
                <a:srgbClr val="000000"/>
              </a:solidFill>
              <a:latin typeface="Arial"/>
              <a:cs typeface="Arial"/>
            </a:rPr>
            <a:t>           utilizar producto no conforme)</a:t>
          </a:r>
        </a:p>
      </xdr:txBody>
    </xdr:sp>
    <xdr:clientData/>
  </xdr:twoCellAnchor>
  <xdr:twoCellAnchor>
    <xdr:from>
      <xdr:col>41</xdr:col>
      <xdr:colOff>0</xdr:colOff>
      <xdr:row>19</xdr:row>
      <xdr:rowOff>228600</xdr:rowOff>
    </xdr:from>
    <xdr:to>
      <xdr:col>41</xdr:col>
      <xdr:colOff>0</xdr:colOff>
      <xdr:row>19</xdr:row>
      <xdr:rowOff>228600</xdr:rowOff>
    </xdr:to>
    <xdr:sp macro="" textlink="">
      <xdr:nvSpPr>
        <xdr:cNvPr id="89227" name="Line 340"/>
        <xdr:cNvSpPr>
          <a:spLocks noChangeShapeType="1"/>
        </xdr:cNvSpPr>
      </xdr:nvSpPr>
      <xdr:spPr bwMode="auto">
        <a:xfrm>
          <a:off x="11372850" y="3457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0</xdr:colOff>
      <xdr:row>25</xdr:row>
      <xdr:rowOff>76200</xdr:rowOff>
    </xdr:to>
    <xdr:sp macro="" textlink="">
      <xdr:nvSpPr>
        <xdr:cNvPr id="89228" name="Text Box 381"/>
        <xdr:cNvSpPr txBox="1">
          <a:spLocks noChangeArrowheads="1"/>
        </xdr:cNvSpPr>
      </xdr:nvSpPr>
      <xdr:spPr bwMode="auto">
        <a:xfrm>
          <a:off x="1323975" y="4219575"/>
          <a:ext cx="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266700</xdr:colOff>
      <xdr:row>0</xdr:row>
      <xdr:rowOff>209550</xdr:rowOff>
    </xdr:from>
    <xdr:to>
      <xdr:col>0</xdr:col>
      <xdr:colOff>266700</xdr:colOff>
      <xdr:row>2</xdr:row>
      <xdr:rowOff>199297</xdr:rowOff>
    </xdr:to>
    <xdr:sp macro="" textlink="">
      <xdr:nvSpPr>
        <xdr:cNvPr id="72985" name="Text Box 48"/>
        <xdr:cNvSpPr txBox="1">
          <a:spLocks noChangeArrowheads="1"/>
        </xdr:cNvSpPr>
      </xdr:nvSpPr>
      <xdr:spPr bwMode="auto">
        <a:xfrm>
          <a:off x="266700" y="209550"/>
          <a:ext cx="5905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37160" tIns="109728" rIns="137160" bIns="0" anchor="t" upright="1"/>
        <a:lstStyle/>
        <a:p>
          <a:pPr algn="ctr" rtl="0">
            <a:defRPr sz="1000"/>
          </a:pPr>
          <a:r>
            <a:rPr lang="es-CO" sz="3600" b="0" i="0" strike="noStrike">
              <a:solidFill>
                <a:srgbClr val="000000"/>
              </a:solidFill>
              <a:latin typeface="Arial"/>
              <a:cs typeface="Arial"/>
            </a:rPr>
            <a:t>4</a:t>
          </a:r>
        </a:p>
      </xdr:txBody>
    </xdr:sp>
    <xdr:clientData/>
  </xdr:twoCellAnchor>
  <xdr:twoCellAnchor>
    <xdr:from>
      <xdr:col>19</xdr:col>
      <xdr:colOff>95250</xdr:colOff>
      <xdr:row>0</xdr:row>
      <xdr:rowOff>0</xdr:rowOff>
    </xdr:from>
    <xdr:to>
      <xdr:col>23</xdr:col>
      <xdr:colOff>171450</xdr:colOff>
      <xdr:row>0</xdr:row>
      <xdr:rowOff>419100</xdr:rowOff>
    </xdr:to>
    <xdr:pic>
      <xdr:nvPicPr>
        <xdr:cNvPr id="89230" name="Picture 18" descr="DEPANE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0350" y="0"/>
          <a:ext cx="13335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0</xdr:row>
      <xdr:rowOff>0</xdr:rowOff>
    </xdr:from>
    <xdr:to>
      <xdr:col>3</xdr:col>
      <xdr:colOff>504825</xdr:colOff>
      <xdr:row>0</xdr:row>
      <xdr:rowOff>438150</xdr:rowOff>
    </xdr:to>
    <xdr:pic>
      <xdr:nvPicPr>
        <xdr:cNvPr id="89231" name="Picture 237" descr="LOGOnegr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0"/>
          <a:ext cx="11906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26</xdr:col>
      <xdr:colOff>312530</xdr:colOff>
      <xdr:row>41</xdr:row>
      <xdr:rowOff>9525</xdr:rowOff>
    </xdr:from>
    <xdr:to>
      <xdr:col>26</xdr:col>
      <xdr:colOff>312530</xdr:colOff>
      <xdr:row>47</xdr:row>
      <xdr:rowOff>9525</xdr:rowOff>
    </xdr:to>
    <xdr:sp macro="" textlink="">
      <xdr:nvSpPr>
        <xdr:cNvPr id="3" name="Text Box 198"/>
        <xdr:cNvSpPr txBox="1">
          <a:spLocks noChangeArrowheads="1"/>
        </xdr:cNvSpPr>
      </xdr:nvSpPr>
      <xdr:spPr bwMode="auto">
        <a:xfrm>
          <a:off x="6657975" y="7267575"/>
          <a:ext cx="13144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CO" sz="700" b="0" i="0" strike="noStrike">
              <a:solidFill>
                <a:srgbClr val="000000"/>
              </a:solidFill>
              <a:latin typeface="Arial"/>
              <a:cs typeface="Arial"/>
            </a:rPr>
            <a:t> FECHA DE ENTREGA DEL  PROYECTO A DESPACHOS</a:t>
          </a:r>
        </a:p>
        <a:p>
          <a:pPr algn="ctr" rtl="0">
            <a:defRPr sz="1000"/>
          </a:pPr>
          <a:r>
            <a:rPr lang="es-CO" sz="700" b="0" i="0" strike="noStrike">
              <a:solidFill>
                <a:srgbClr val="000000"/>
              </a:solidFill>
              <a:latin typeface="Arial"/>
              <a:cs typeface="Arial"/>
            </a:rPr>
            <a:t>dd / mm / aa</a:t>
          </a:r>
        </a:p>
      </xdr:txBody>
    </xdr:sp>
    <xdr:clientData/>
  </xdr:twoCellAnchor>
  <xdr:twoCellAnchor>
    <xdr:from>
      <xdr:col>29</xdr:col>
      <xdr:colOff>5383</xdr:colOff>
      <xdr:row>38</xdr:row>
      <xdr:rowOff>0</xdr:rowOff>
    </xdr:from>
    <xdr:to>
      <xdr:col>29</xdr:col>
      <xdr:colOff>5383</xdr:colOff>
      <xdr:row>43</xdr:row>
      <xdr:rowOff>187147</xdr:rowOff>
    </xdr:to>
    <xdr:sp macro="" textlink="">
      <xdr:nvSpPr>
        <xdr:cNvPr id="4" name="Text Box 215"/>
        <xdr:cNvSpPr txBox="1">
          <a:spLocks noChangeArrowheads="1"/>
        </xdr:cNvSpPr>
      </xdr:nvSpPr>
      <xdr:spPr bwMode="auto">
        <a:xfrm>
          <a:off x="15697200" y="13296900"/>
          <a:ext cx="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es-ES" sz="1200" b="0" i="0" strike="noStrike">
              <a:solidFill>
                <a:srgbClr val="000000"/>
              </a:solidFill>
              <a:latin typeface="Arial"/>
              <a:cs typeface="Arial"/>
            </a:rPr>
            <a:t>L    =  LIBERACIÓN  (Autorización -</a:t>
          </a:r>
        </a:p>
        <a:p>
          <a:pPr algn="l" rtl="0">
            <a:defRPr sz="1000"/>
          </a:pPr>
          <a:r>
            <a:rPr lang="es-ES" sz="1200" b="0" i="0" strike="noStrike">
              <a:solidFill>
                <a:srgbClr val="000000"/>
              </a:solidFill>
              <a:latin typeface="Arial"/>
              <a:cs typeface="Arial"/>
            </a:rPr>
            <a:t>            recibir producto sin inspección)</a:t>
          </a:r>
        </a:p>
        <a:p>
          <a:pPr algn="l" rtl="0">
            <a:defRPr sz="1000"/>
          </a:pPr>
          <a:r>
            <a:rPr lang="es-ES" sz="1200" b="0" i="0" strike="noStrike">
              <a:solidFill>
                <a:srgbClr val="000000"/>
              </a:solidFill>
              <a:latin typeface="Arial"/>
              <a:cs typeface="Arial"/>
            </a:rPr>
            <a:t>Cn = CONCESIÓN   (Autorización - </a:t>
          </a:r>
        </a:p>
        <a:p>
          <a:pPr algn="l" rtl="0">
            <a:defRPr sz="1000"/>
          </a:pPr>
          <a:r>
            <a:rPr lang="es-ES" sz="1200" b="0" i="0" strike="noStrike">
              <a:solidFill>
                <a:srgbClr val="000000"/>
              </a:solidFill>
              <a:latin typeface="Arial"/>
              <a:cs typeface="Arial"/>
            </a:rPr>
            <a:t>           utilizar producto no conforme)</a:t>
          </a: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3</xdr:col>
      <xdr:colOff>0</xdr:colOff>
      <xdr:row>2</xdr:row>
      <xdr:rowOff>171450</xdr:rowOff>
    </xdr:to>
    <xdr:sp macro="" textlink="">
      <xdr:nvSpPr>
        <xdr:cNvPr id="89234" name="AutoShape 241"/>
        <xdr:cNvSpPr>
          <a:spLocks noChangeArrowheads="1"/>
        </xdr:cNvSpPr>
      </xdr:nvSpPr>
      <xdr:spPr bwMode="auto">
        <a:xfrm>
          <a:off x="0" y="504825"/>
          <a:ext cx="1323975" cy="381000"/>
        </a:xfrm>
        <a:prstGeom prst="parallelogram">
          <a:avLst>
            <a:gd name="adj" fmla="val 214790"/>
          </a:avLst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243409</xdr:colOff>
      <xdr:row>0</xdr:row>
      <xdr:rowOff>317506</xdr:rowOff>
    </xdr:from>
    <xdr:to>
      <xdr:col>1</xdr:col>
      <xdr:colOff>52593</xdr:colOff>
      <xdr:row>7</xdr:row>
      <xdr:rowOff>21503</xdr:rowOff>
    </xdr:to>
    <xdr:sp macro="" textlink="">
      <xdr:nvSpPr>
        <xdr:cNvPr id="14" name="Text Box 48"/>
        <xdr:cNvSpPr txBox="1">
          <a:spLocks noChangeArrowheads="1"/>
        </xdr:cNvSpPr>
      </xdr:nvSpPr>
      <xdr:spPr bwMode="auto">
        <a:xfrm>
          <a:off x="243409" y="317506"/>
          <a:ext cx="592351" cy="7094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37160" tIns="109728" rIns="137160" bIns="0" anchor="t" upright="1"/>
        <a:lstStyle/>
        <a:p>
          <a:pPr algn="ctr" rtl="0">
            <a:defRPr sz="1000"/>
          </a:pPr>
          <a:r>
            <a:rPr lang="es-CO" sz="3600" b="0" i="0" strike="noStrike">
              <a:solidFill>
                <a:srgbClr val="000000"/>
              </a:solidFill>
              <a:latin typeface="Arial"/>
              <a:cs typeface="Arial"/>
            </a:rPr>
            <a:t>4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1866900</xdr:colOff>
      <xdr:row>0</xdr:row>
      <xdr:rowOff>238125</xdr:rowOff>
    </xdr:from>
    <xdr:to>
      <xdr:col>1</xdr:col>
      <xdr:colOff>104775</xdr:colOff>
      <xdr:row>1</xdr:row>
      <xdr:rowOff>123825</xdr:rowOff>
    </xdr:to>
    <xdr:sp macro="" textlink="">
      <xdr:nvSpPr>
        <xdr:cNvPr id="85256" name="Text Box 1"/>
        <xdr:cNvSpPr txBox="1">
          <a:spLocks noChangeArrowheads="1"/>
        </xdr:cNvSpPr>
      </xdr:nvSpPr>
      <xdr:spPr bwMode="auto">
        <a:xfrm>
          <a:off x="952500" y="238125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1866900</xdr:colOff>
      <xdr:row>0</xdr:row>
      <xdr:rowOff>571500</xdr:rowOff>
    </xdr:from>
    <xdr:to>
      <xdr:col>1</xdr:col>
      <xdr:colOff>104775</xdr:colOff>
      <xdr:row>1</xdr:row>
      <xdr:rowOff>257175</xdr:rowOff>
    </xdr:to>
    <xdr:sp macro="" textlink="">
      <xdr:nvSpPr>
        <xdr:cNvPr id="85257" name="Text Box 2"/>
        <xdr:cNvSpPr txBox="1">
          <a:spLocks noChangeArrowheads="1"/>
        </xdr:cNvSpPr>
      </xdr:nvSpPr>
      <xdr:spPr bwMode="auto">
        <a:xfrm>
          <a:off x="952500" y="371475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1866900</xdr:colOff>
      <xdr:row>0</xdr:row>
      <xdr:rowOff>238125</xdr:rowOff>
    </xdr:from>
    <xdr:to>
      <xdr:col>1</xdr:col>
      <xdr:colOff>104775</xdr:colOff>
      <xdr:row>1</xdr:row>
      <xdr:rowOff>123825</xdr:rowOff>
    </xdr:to>
    <xdr:sp macro="" textlink="">
      <xdr:nvSpPr>
        <xdr:cNvPr id="85258" name="Text Box 1"/>
        <xdr:cNvSpPr txBox="1">
          <a:spLocks noChangeArrowheads="1"/>
        </xdr:cNvSpPr>
      </xdr:nvSpPr>
      <xdr:spPr bwMode="auto">
        <a:xfrm>
          <a:off x="952500" y="238125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1866900</xdr:colOff>
      <xdr:row>0</xdr:row>
      <xdr:rowOff>571500</xdr:rowOff>
    </xdr:from>
    <xdr:to>
      <xdr:col>1</xdr:col>
      <xdr:colOff>104775</xdr:colOff>
      <xdr:row>1</xdr:row>
      <xdr:rowOff>257175</xdr:rowOff>
    </xdr:to>
    <xdr:sp macro="" textlink="">
      <xdr:nvSpPr>
        <xdr:cNvPr id="85259" name="Text Box 2"/>
        <xdr:cNvSpPr txBox="1">
          <a:spLocks noChangeArrowheads="1"/>
        </xdr:cNvSpPr>
      </xdr:nvSpPr>
      <xdr:spPr bwMode="auto">
        <a:xfrm>
          <a:off x="952500" y="371475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1866900</xdr:colOff>
      <xdr:row>0</xdr:row>
      <xdr:rowOff>238125</xdr:rowOff>
    </xdr:from>
    <xdr:to>
      <xdr:col>1</xdr:col>
      <xdr:colOff>104775</xdr:colOff>
      <xdr:row>1</xdr:row>
      <xdr:rowOff>123825</xdr:rowOff>
    </xdr:to>
    <xdr:sp macro="" textlink="">
      <xdr:nvSpPr>
        <xdr:cNvPr id="85260" name="Text Box 1"/>
        <xdr:cNvSpPr txBox="1">
          <a:spLocks noChangeArrowheads="1"/>
        </xdr:cNvSpPr>
      </xdr:nvSpPr>
      <xdr:spPr bwMode="auto">
        <a:xfrm>
          <a:off x="952500" y="238125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1866900</xdr:colOff>
      <xdr:row>0</xdr:row>
      <xdr:rowOff>571500</xdr:rowOff>
    </xdr:from>
    <xdr:to>
      <xdr:col>1</xdr:col>
      <xdr:colOff>104775</xdr:colOff>
      <xdr:row>1</xdr:row>
      <xdr:rowOff>257175</xdr:rowOff>
    </xdr:to>
    <xdr:sp macro="" textlink="">
      <xdr:nvSpPr>
        <xdr:cNvPr id="85261" name="Text Box 2"/>
        <xdr:cNvSpPr txBox="1">
          <a:spLocks noChangeArrowheads="1"/>
        </xdr:cNvSpPr>
      </xdr:nvSpPr>
      <xdr:spPr bwMode="auto">
        <a:xfrm>
          <a:off x="952500" y="371475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1</xdr:row>
      <xdr:rowOff>142875</xdr:rowOff>
    </xdr:from>
    <xdr:to>
      <xdr:col>0</xdr:col>
      <xdr:colOff>2190750</xdr:colOff>
      <xdr:row>3</xdr:row>
      <xdr:rowOff>9525</xdr:rowOff>
    </xdr:to>
    <xdr:sp macro="" textlink="">
      <xdr:nvSpPr>
        <xdr:cNvPr id="85262" name="AutoShape 5"/>
        <xdr:cNvSpPr>
          <a:spLocks noChangeArrowheads="1"/>
        </xdr:cNvSpPr>
      </xdr:nvSpPr>
      <xdr:spPr bwMode="auto">
        <a:xfrm>
          <a:off x="0" y="514350"/>
          <a:ext cx="952500" cy="266700"/>
        </a:xfrm>
        <a:prstGeom prst="parallelogram">
          <a:avLst>
            <a:gd name="adj" fmla="val 175479"/>
          </a:avLst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0</xdr:row>
      <xdr:rowOff>161925</xdr:rowOff>
    </xdr:from>
    <xdr:to>
      <xdr:col>0</xdr:col>
      <xdr:colOff>847725</xdr:colOff>
      <xdr:row>3</xdr:row>
      <xdr:rowOff>85725</xdr:rowOff>
    </xdr:to>
    <xdr:sp macro="" textlink="">
      <xdr:nvSpPr>
        <xdr:cNvPr id="14987" name="Text Box 48"/>
        <xdr:cNvSpPr txBox="1">
          <a:spLocks noChangeArrowheads="1"/>
        </xdr:cNvSpPr>
      </xdr:nvSpPr>
      <xdr:spPr bwMode="auto">
        <a:xfrm>
          <a:off x="257175" y="161925"/>
          <a:ext cx="5905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37160" tIns="109728" rIns="137160" bIns="0" anchor="t" upright="1"/>
        <a:lstStyle/>
        <a:p>
          <a:pPr algn="ctr" rtl="0">
            <a:defRPr sz="1000"/>
          </a:pPr>
          <a:r>
            <a:rPr lang="es-CO" sz="3600" b="0" i="0" strike="noStrike">
              <a:solidFill>
                <a:srgbClr val="000000"/>
              </a:solidFill>
              <a:latin typeface="Arial"/>
              <a:cs typeface="Arial"/>
            </a:rPr>
            <a:t>5</a:t>
          </a:r>
        </a:p>
      </xdr:txBody>
    </xdr:sp>
    <xdr:clientData/>
  </xdr:twoCellAnchor>
  <xdr:twoCellAnchor editAs="oneCell">
    <xdr:from>
      <xdr:col>0</xdr:col>
      <xdr:colOff>638175</xdr:colOff>
      <xdr:row>0</xdr:row>
      <xdr:rowOff>0</xdr:rowOff>
    </xdr:from>
    <xdr:to>
      <xdr:col>4</xdr:col>
      <xdr:colOff>38100</xdr:colOff>
      <xdr:row>1</xdr:row>
      <xdr:rowOff>66675</xdr:rowOff>
    </xdr:to>
    <xdr:pic>
      <xdr:nvPicPr>
        <xdr:cNvPr id="85264" name="Picture 237" descr="LOGOnegr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0"/>
          <a:ext cx="11906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219075</xdr:colOff>
      <xdr:row>0</xdr:row>
      <xdr:rowOff>0</xdr:rowOff>
    </xdr:from>
    <xdr:to>
      <xdr:col>19</xdr:col>
      <xdr:colOff>219075</xdr:colOff>
      <xdr:row>1</xdr:row>
      <xdr:rowOff>133350</xdr:rowOff>
    </xdr:to>
    <xdr:pic>
      <xdr:nvPicPr>
        <xdr:cNvPr id="85265" name="Picture 18" descr="DEPANEL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5" y="0"/>
          <a:ext cx="15335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628650</xdr:colOff>
      <xdr:row>4</xdr:row>
      <xdr:rowOff>372340</xdr:rowOff>
    </xdr:from>
    <xdr:to>
      <xdr:col>6</xdr:col>
      <xdr:colOff>447675</xdr:colOff>
      <xdr:row>4</xdr:row>
      <xdr:rowOff>372340</xdr:rowOff>
    </xdr:to>
    <xdr:sp macro="" textlink="">
      <xdr:nvSpPr>
        <xdr:cNvPr id="13369" name="Text Box 57"/>
        <xdr:cNvSpPr txBox="1">
          <a:spLocks noChangeArrowheads="1"/>
        </xdr:cNvSpPr>
      </xdr:nvSpPr>
      <xdr:spPr bwMode="auto">
        <a:xfrm>
          <a:off x="1352550" y="11649075"/>
          <a:ext cx="3438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400" b="0" i="0" strike="noStrike">
              <a:solidFill>
                <a:srgbClr val="000000"/>
              </a:solidFill>
              <a:latin typeface="Arial"/>
              <a:cs typeface="Arial"/>
            </a:rPr>
            <a:t> FECHA DE ENTREGA DEL  PROYECTO A DESPACHOS</a:t>
          </a:r>
        </a:p>
        <a:p>
          <a:pPr algn="ctr" rtl="0">
            <a:defRPr sz="1000"/>
          </a:pPr>
          <a:r>
            <a:rPr lang="es-ES" sz="1400" b="0" i="0" strike="noStrike">
              <a:solidFill>
                <a:srgbClr val="000000"/>
              </a:solidFill>
              <a:latin typeface="Arial"/>
              <a:cs typeface="Arial"/>
            </a:rPr>
            <a:t>dd / mm / aa</a:t>
          </a:r>
        </a:p>
      </xdr:txBody>
    </xdr:sp>
    <xdr:clientData/>
  </xdr:twoCellAnchor>
  <xdr:twoCellAnchor>
    <xdr:from>
      <xdr:col>7</xdr:col>
      <xdr:colOff>0</xdr:colOff>
      <xdr:row>4</xdr:row>
      <xdr:rowOff>372340</xdr:rowOff>
    </xdr:from>
    <xdr:to>
      <xdr:col>8</xdr:col>
      <xdr:colOff>2438400</xdr:colOff>
      <xdr:row>4</xdr:row>
      <xdr:rowOff>372340</xdr:rowOff>
    </xdr:to>
    <xdr:sp macro="" textlink="">
      <xdr:nvSpPr>
        <xdr:cNvPr id="13371" name="Text Box 59"/>
        <xdr:cNvSpPr txBox="1">
          <a:spLocks noChangeArrowheads="1"/>
        </xdr:cNvSpPr>
      </xdr:nvSpPr>
      <xdr:spPr bwMode="auto">
        <a:xfrm>
          <a:off x="6115050" y="11649075"/>
          <a:ext cx="4000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0" rIns="0" bIns="22860" anchor="b" upright="1"/>
        <a:lstStyle/>
        <a:p>
          <a:pPr algn="l" rtl="0">
            <a:defRPr sz="1000"/>
          </a:pPr>
          <a:r>
            <a:rPr lang="es-ES" sz="1100" b="0" i="0" strike="noStrike">
              <a:solidFill>
                <a:srgbClr val="000000"/>
              </a:solidFill>
              <a:latin typeface="Arial"/>
              <a:cs typeface="Arial"/>
            </a:rPr>
            <a:t>M = MUESTRA (nro. de partes)</a:t>
          </a:r>
        </a:p>
        <a:p>
          <a:pPr algn="l" rtl="0">
            <a:defRPr sz="1000"/>
          </a:pPr>
          <a:endParaRPr lang="es-E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1100" b="0" i="0" strike="noStrike">
              <a:solidFill>
                <a:srgbClr val="000000"/>
              </a:solidFill>
              <a:latin typeface="Arial"/>
              <a:cs typeface="Arial"/>
            </a:rPr>
            <a:t>E  =  ENSAMBLE </a:t>
          </a:r>
        </a:p>
        <a:p>
          <a:pPr algn="l" rtl="0">
            <a:defRPr sz="1000"/>
          </a:pPr>
          <a:r>
            <a:rPr lang="es-ES" sz="1100" b="0" i="0" strike="noStrike">
              <a:solidFill>
                <a:srgbClr val="000000"/>
              </a:solidFill>
              <a:latin typeface="Arial"/>
              <a:cs typeface="Arial"/>
            </a:rPr>
            <a:t>A  = ACABADO</a:t>
          </a:r>
        </a:p>
        <a:p>
          <a:pPr algn="l" rtl="0">
            <a:defRPr sz="1000"/>
          </a:pPr>
          <a:r>
            <a:rPr lang="es-ES" sz="1100" b="0" i="0" strike="noStrike">
              <a:solidFill>
                <a:srgbClr val="000000"/>
              </a:solidFill>
              <a:latin typeface="Arial"/>
              <a:cs typeface="Arial"/>
            </a:rPr>
            <a:t>F  = FUNCIONALIDAD</a:t>
          </a:r>
        </a:p>
        <a:p>
          <a:pPr algn="l" rtl="0">
            <a:defRPr sz="1000"/>
          </a:pPr>
          <a:endParaRPr lang="es-E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1100" b="0" i="0" strike="noStrike">
              <a:solidFill>
                <a:srgbClr val="000000"/>
              </a:solidFill>
              <a:latin typeface="Arial"/>
              <a:cs typeface="Arial"/>
            </a:rPr>
            <a:t>D    = DEVOLUCIÓN (nro. de partes)</a:t>
          </a:r>
        </a:p>
        <a:p>
          <a:pPr algn="l" rtl="0">
            <a:defRPr sz="1000"/>
          </a:pPr>
          <a:r>
            <a:rPr lang="es-ES" sz="1100" b="0" i="0" strike="noStrike">
              <a:solidFill>
                <a:srgbClr val="000000"/>
              </a:solidFill>
              <a:latin typeface="Arial"/>
              <a:cs typeface="Arial"/>
            </a:rPr>
            <a:t>Ac = ACEPTACIÓN</a:t>
          </a:r>
        </a:p>
        <a:p>
          <a:pPr algn="l" rtl="0">
            <a:defRPr sz="1000"/>
          </a:pPr>
          <a:endParaRPr lang="es-ES" sz="11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7</xdr:col>
      <xdr:colOff>0</xdr:colOff>
      <xdr:row>4</xdr:row>
      <xdr:rowOff>372340</xdr:rowOff>
    </xdr:from>
    <xdr:to>
      <xdr:col>8</xdr:col>
      <xdr:colOff>809625</xdr:colOff>
      <xdr:row>4</xdr:row>
      <xdr:rowOff>372340</xdr:rowOff>
    </xdr:to>
    <xdr:sp macro="" textlink="">
      <xdr:nvSpPr>
        <xdr:cNvPr id="13384" name="Text Box 72"/>
        <xdr:cNvSpPr txBox="1">
          <a:spLocks noChangeArrowheads="1"/>
        </xdr:cNvSpPr>
      </xdr:nvSpPr>
      <xdr:spPr bwMode="auto">
        <a:xfrm>
          <a:off x="6115050" y="11649075"/>
          <a:ext cx="2371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es-ES" sz="1600" b="0" i="0" strike="noStrike">
              <a:solidFill>
                <a:srgbClr val="000000"/>
              </a:solidFill>
              <a:latin typeface="Arial"/>
              <a:cs typeface="Arial"/>
            </a:rPr>
            <a:t>PROVEEDOR :</a:t>
          </a:r>
        </a:p>
      </xdr:txBody>
    </xdr:sp>
    <xdr:clientData/>
  </xdr:twoCellAnchor>
  <xdr:twoCellAnchor>
    <xdr:from>
      <xdr:col>9</xdr:col>
      <xdr:colOff>1360</xdr:colOff>
      <xdr:row>4</xdr:row>
      <xdr:rowOff>372340</xdr:rowOff>
    </xdr:from>
    <xdr:to>
      <xdr:col>9</xdr:col>
      <xdr:colOff>1360</xdr:colOff>
      <xdr:row>4</xdr:row>
      <xdr:rowOff>372340</xdr:rowOff>
    </xdr:to>
    <xdr:sp macro="" textlink="">
      <xdr:nvSpPr>
        <xdr:cNvPr id="13398" name="Text Box 86"/>
        <xdr:cNvSpPr txBox="1">
          <a:spLocks noChangeArrowheads="1"/>
        </xdr:cNvSpPr>
      </xdr:nvSpPr>
      <xdr:spPr bwMode="auto">
        <a:xfrm>
          <a:off x="13430250" y="11649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es-ES" sz="1200" b="0" i="0" strike="noStrike">
              <a:solidFill>
                <a:srgbClr val="000000"/>
              </a:solidFill>
              <a:latin typeface="Arial"/>
              <a:cs typeface="Arial"/>
            </a:rPr>
            <a:t>L    =  LIBERACIÓN  (Autorización -</a:t>
          </a:r>
        </a:p>
        <a:p>
          <a:pPr algn="l" rtl="0">
            <a:defRPr sz="1000"/>
          </a:pPr>
          <a:r>
            <a:rPr lang="es-ES" sz="1200" b="0" i="0" strike="noStrike">
              <a:solidFill>
                <a:srgbClr val="000000"/>
              </a:solidFill>
              <a:latin typeface="Arial"/>
              <a:cs typeface="Arial"/>
            </a:rPr>
            <a:t>            recibir producto sin inspección)</a:t>
          </a:r>
        </a:p>
        <a:p>
          <a:pPr algn="l" rtl="0">
            <a:defRPr sz="1000"/>
          </a:pPr>
          <a:r>
            <a:rPr lang="es-ES" sz="1200" b="0" i="0" strike="noStrike">
              <a:solidFill>
                <a:srgbClr val="000000"/>
              </a:solidFill>
              <a:latin typeface="Arial"/>
              <a:cs typeface="Arial"/>
            </a:rPr>
            <a:t>Cn = CONCESIÓN   (Autorización - </a:t>
          </a:r>
        </a:p>
        <a:p>
          <a:pPr algn="l" rtl="0">
            <a:defRPr sz="1000"/>
          </a:pPr>
          <a:r>
            <a:rPr lang="es-ES" sz="1200" b="0" i="0" strike="noStrike">
              <a:solidFill>
                <a:srgbClr val="000000"/>
              </a:solidFill>
              <a:latin typeface="Arial"/>
              <a:cs typeface="Arial"/>
            </a:rPr>
            <a:t>           utilizar producto no conforme)</a:t>
          </a:r>
        </a:p>
      </xdr:txBody>
    </xdr:sp>
    <xdr:clientData/>
  </xdr:twoCellAnchor>
  <xdr:twoCellAnchor>
    <xdr:from>
      <xdr:col>0</xdr:col>
      <xdr:colOff>0</xdr:colOff>
      <xdr:row>0</xdr:row>
      <xdr:rowOff>676275</xdr:rowOff>
    </xdr:from>
    <xdr:to>
      <xdr:col>3</xdr:col>
      <xdr:colOff>19050</xdr:colOff>
      <xdr:row>3</xdr:row>
      <xdr:rowOff>0</xdr:rowOff>
    </xdr:to>
    <xdr:sp macro="" textlink="">
      <xdr:nvSpPr>
        <xdr:cNvPr id="75740" name="AutoShape 89"/>
        <xdr:cNvSpPr>
          <a:spLocks noChangeArrowheads="1"/>
        </xdr:cNvSpPr>
      </xdr:nvSpPr>
      <xdr:spPr bwMode="auto">
        <a:xfrm>
          <a:off x="0" y="676275"/>
          <a:ext cx="2190750" cy="1066800"/>
        </a:xfrm>
        <a:prstGeom prst="parallelogram">
          <a:avLst>
            <a:gd name="adj" fmla="val 100901"/>
          </a:avLst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0</xdr:row>
      <xdr:rowOff>571500</xdr:rowOff>
    </xdr:from>
    <xdr:to>
      <xdr:col>2</xdr:col>
      <xdr:colOff>438150</xdr:colOff>
      <xdr:row>3</xdr:row>
      <xdr:rowOff>76200</xdr:rowOff>
    </xdr:to>
    <xdr:sp macro="" textlink="">
      <xdr:nvSpPr>
        <xdr:cNvPr id="13402" name="Text Box 90"/>
        <xdr:cNvSpPr txBox="1">
          <a:spLocks noChangeArrowheads="1"/>
        </xdr:cNvSpPr>
      </xdr:nvSpPr>
      <xdr:spPr bwMode="auto">
        <a:xfrm>
          <a:off x="0" y="571500"/>
          <a:ext cx="188595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37160" tIns="109728" rIns="137160" bIns="0" anchor="t" upright="1"/>
        <a:lstStyle/>
        <a:p>
          <a:pPr algn="ctr" rtl="0">
            <a:defRPr sz="1000"/>
          </a:pPr>
          <a:r>
            <a:rPr lang="es-ES" sz="7200" b="0" i="0" strike="noStrike">
              <a:solidFill>
                <a:srgbClr val="000000"/>
              </a:solidFill>
              <a:latin typeface="Arial"/>
              <a:cs typeface="Arial"/>
            </a:rPr>
            <a:t>6</a:t>
          </a:r>
        </a:p>
      </xdr:txBody>
    </xdr:sp>
    <xdr:clientData/>
  </xdr:twoCellAnchor>
  <xdr:twoCellAnchor>
    <xdr:from>
      <xdr:col>13</xdr:col>
      <xdr:colOff>342900</xdr:colOff>
      <xdr:row>0</xdr:row>
      <xdr:rowOff>190500</xdr:rowOff>
    </xdr:from>
    <xdr:to>
      <xdr:col>16</xdr:col>
      <xdr:colOff>2619375</xdr:colOff>
      <xdr:row>1</xdr:row>
      <xdr:rowOff>247650</xdr:rowOff>
    </xdr:to>
    <xdr:grpSp>
      <xdr:nvGrpSpPr>
        <xdr:cNvPr id="75742" name="Group 91"/>
        <xdr:cNvGrpSpPr>
          <a:grpSpLocks/>
        </xdr:cNvGrpSpPr>
      </xdr:nvGrpSpPr>
      <xdr:grpSpPr bwMode="auto">
        <a:xfrm>
          <a:off x="22440900" y="190500"/>
          <a:ext cx="0" cy="933450"/>
          <a:chOff x="1381" y="0"/>
          <a:chExt cx="457" cy="84"/>
        </a:xfrm>
      </xdr:grpSpPr>
      <xdr:sp macro="" textlink="">
        <xdr:nvSpPr>
          <xdr:cNvPr id="13404" name="Text Box 92"/>
          <xdr:cNvSpPr txBox="1">
            <a:spLocks noChangeArrowheads="1"/>
          </xdr:cNvSpPr>
        </xdr:nvSpPr>
        <xdr:spPr bwMode="auto">
          <a:xfrm>
            <a:off x="22440900" y="2011279950"/>
            <a:ext cx="0" cy="0"/>
          </a:xfrm>
          <a:prstGeom prst="rect">
            <a:avLst/>
          </a:prstGeom>
          <a:solidFill>
            <a:srgbClr val="99CC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45720" tIns="41148" rIns="0" bIns="0" anchor="t" upright="1"/>
          <a:lstStyle/>
          <a:p>
            <a:pPr algn="l" rtl="0">
              <a:defRPr sz="1000"/>
            </a:pPr>
            <a:endParaRPr lang="es-ES" sz="200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r>
              <a:rPr lang="es-ES" sz="2000" b="1" i="0" strike="noStrike">
                <a:solidFill>
                  <a:srgbClr val="000000"/>
                </a:solidFill>
                <a:latin typeface="Arial"/>
                <a:cs typeface="Arial"/>
              </a:rPr>
              <a:t>LINEA: ________________________</a:t>
            </a:r>
          </a:p>
        </xdr:txBody>
      </xdr:sp>
      <xdr:sp macro="" textlink="">
        <xdr:nvSpPr>
          <xdr:cNvPr id="75748" name="AutoShape 93"/>
          <xdr:cNvSpPr>
            <a:spLocks noChangeArrowheads="1"/>
          </xdr:cNvSpPr>
        </xdr:nvSpPr>
        <xdr:spPr bwMode="auto">
          <a:xfrm>
            <a:off x="1381" y="0"/>
            <a:ext cx="454" cy="83"/>
          </a:xfrm>
          <a:prstGeom prst="roundRect">
            <a:avLst>
              <a:gd name="adj" fmla="val 4764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13</xdr:col>
      <xdr:colOff>0</xdr:colOff>
      <xdr:row>1</xdr:row>
      <xdr:rowOff>342900</xdr:rowOff>
    </xdr:from>
    <xdr:to>
      <xdr:col>13</xdr:col>
      <xdr:colOff>0</xdr:colOff>
      <xdr:row>2</xdr:row>
      <xdr:rowOff>209550</xdr:rowOff>
    </xdr:to>
    <xdr:sp macro="" textlink="">
      <xdr:nvSpPr>
        <xdr:cNvPr id="13406" name="Text Box 94"/>
        <xdr:cNvSpPr txBox="1">
          <a:spLocks noChangeArrowheads="1"/>
        </xdr:cNvSpPr>
      </xdr:nvSpPr>
      <xdr:spPr bwMode="auto">
        <a:xfrm>
          <a:off x="21412200" y="1219200"/>
          <a:ext cx="0" cy="4476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s-ES" sz="1400" b="0" i="0" strike="noStrike">
              <a:solidFill>
                <a:srgbClr val="000000"/>
              </a:solidFill>
              <a:latin typeface="Arial"/>
              <a:cs typeface="Arial"/>
            </a:rPr>
            <a:t> FECHAY NOMBRE DE RECEPCION  DEL  PROYECTO POR DESPIECE</a:t>
          </a:r>
        </a:p>
        <a:p>
          <a:pPr algn="ctr" rtl="0">
            <a:defRPr sz="1000"/>
          </a:pPr>
          <a:r>
            <a:rPr lang="es-ES" sz="1400" b="0" i="0" strike="noStrike">
              <a:solidFill>
                <a:srgbClr val="000000"/>
              </a:solidFill>
              <a:latin typeface="Arial"/>
              <a:cs typeface="Arial"/>
            </a:rPr>
            <a:t>dd / mm / aa</a:t>
          </a:r>
        </a:p>
      </xdr:txBody>
    </xdr:sp>
    <xdr:clientData/>
  </xdr:twoCellAnchor>
  <xdr:twoCellAnchor>
    <xdr:from>
      <xdr:col>13</xdr:col>
      <xdr:colOff>657225</xdr:colOff>
      <xdr:row>2</xdr:row>
      <xdr:rowOff>85725</xdr:rowOff>
    </xdr:from>
    <xdr:to>
      <xdr:col>16</xdr:col>
      <xdr:colOff>2409825</xdr:colOff>
      <xdr:row>2</xdr:row>
      <xdr:rowOff>95250</xdr:rowOff>
    </xdr:to>
    <xdr:sp macro="" textlink="">
      <xdr:nvSpPr>
        <xdr:cNvPr id="75744" name="Line 95"/>
        <xdr:cNvSpPr>
          <a:spLocks noChangeShapeType="1"/>
        </xdr:cNvSpPr>
      </xdr:nvSpPr>
      <xdr:spPr bwMode="auto">
        <a:xfrm>
          <a:off x="22440900" y="154305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723900</xdr:colOff>
      <xdr:row>33</xdr:row>
      <xdr:rowOff>25112</xdr:rowOff>
    </xdr:from>
    <xdr:to>
      <xdr:col>9</xdr:col>
      <xdr:colOff>4300</xdr:colOff>
      <xdr:row>33</xdr:row>
      <xdr:rowOff>25112</xdr:rowOff>
    </xdr:to>
    <xdr:sp macro="" textlink="">
      <xdr:nvSpPr>
        <xdr:cNvPr id="13409" name="Text Box 97"/>
        <xdr:cNvSpPr txBox="1">
          <a:spLocks noChangeArrowheads="1"/>
        </xdr:cNvSpPr>
      </xdr:nvSpPr>
      <xdr:spPr bwMode="auto">
        <a:xfrm>
          <a:off x="8058150" y="13801725"/>
          <a:ext cx="351472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400" b="0" i="0" strike="noStrike">
              <a:solidFill>
                <a:srgbClr val="000000"/>
              </a:solidFill>
              <a:latin typeface="Arial"/>
              <a:cs typeface="Arial"/>
            </a:rPr>
            <a:t> FECHA DE ENTREGA DEL  PROYECTO A DESPACHOS</a:t>
          </a:r>
        </a:p>
        <a:p>
          <a:pPr algn="ctr" rtl="0">
            <a:defRPr sz="1000"/>
          </a:pPr>
          <a:r>
            <a:rPr lang="es-ES" sz="1400" b="0" i="0" strike="noStrike">
              <a:solidFill>
                <a:srgbClr val="000000"/>
              </a:solidFill>
              <a:latin typeface="Arial"/>
              <a:cs typeface="Arial"/>
            </a:rPr>
            <a:t>dd / mm / aa</a:t>
          </a:r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6</xdr:col>
      <xdr:colOff>133350</xdr:colOff>
      <xdr:row>0</xdr:row>
      <xdr:rowOff>857250</xdr:rowOff>
    </xdr:to>
    <xdr:pic>
      <xdr:nvPicPr>
        <xdr:cNvPr id="75746" name="Picture 100" descr="LOGOnegr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0"/>
          <a:ext cx="30289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invalid="1" saveData="0" refreshedBy="Rolando Arias" refreshedDate="41544.288250810183" createdVersion="1" refreshedVersion="4" recordCount="529" upgradeOnRefresh="1">
  <cacheSource type="worksheet">
    <worksheetSource ref="B16:E545" sheet="CUADRO VIDRIOS"/>
  </cacheSource>
  <cacheFields count="4">
    <cacheField name="TIPO DE VIDRIO" numFmtId="0">
      <sharedItems containsString="0" containsBlank="1" containsNumber="1" containsInteger="1" minValue="0" maxValue="0" count="2">
        <n v="0"/>
        <m/>
      </sharedItems>
    </cacheField>
    <cacheField name="CANTIDAD" numFmtId="0">
      <sharedItems containsString="0" containsNumber="1" containsInteger="1"/>
    </cacheField>
    <cacheField name="ALTO" numFmtId="0">
      <sharedItems containsString="0" containsBlank="1" containsNumber="1" minValue="-202" maxValue="198" count="52">
        <n v="-0.5"/>
        <m/>
        <n v="-202"/>
        <n v="0"/>
        <n v="181.8"/>
        <n v="0.5" u="1"/>
        <n v="22.5" u="1"/>
        <n v="59.5" u="1"/>
        <n v="39.5" u="1"/>
        <n v="94.5" u="1"/>
        <n v="80.5" u="1"/>
        <n v="32" u="1"/>
        <n v="119.5" u="1"/>
        <n v="58" u="1"/>
        <n v="38" u="1"/>
        <n v="10.5" u="1"/>
        <n v="91.5" u="1"/>
        <n v="78" u="1"/>
        <n v="134.5" u="1"/>
        <n v="31.5" u="1"/>
        <n v="21.5" u="1"/>
        <n v="64.5" u="1"/>
        <n v="159.5" u="1"/>
        <n v="186" u="1"/>
        <n v="50.5" u="1"/>
        <n v="24.5" u="1"/>
        <n v="63.5" u="1"/>
        <n v="63" u="1"/>
        <n v="43" u="1"/>
        <n v="49.5" u="1"/>
        <n v="56" u="1"/>
        <n v="35.5" u="1"/>
        <n v="27" u="1"/>
        <n v="23.5" u="1"/>
        <n v="61.5" u="1"/>
        <n v="149.5" u="1"/>
        <n v="48" u="1"/>
        <n v="34.5" u="1"/>
        <n v="26.5" u="1"/>
        <n v="147.5" u="1"/>
        <n v="97.5" u="1"/>
        <n v="14.5" u="1"/>
        <n v="9.5" u="1"/>
        <n v="40.5" u="1"/>
        <n v="83.5" u="1"/>
        <n v="110" u="1"/>
        <n v="19.5" u="1"/>
        <n v="96.5" u="1"/>
        <n v="198" u="1"/>
        <n v="53.5" u="1"/>
        <n v="144.5" u="1"/>
        <n v="109.5" u="1"/>
      </sharedItems>
    </cacheField>
    <cacheField name="ANCHO" numFmtId="0">
      <sharedItems containsString="0" containsBlank="1" containsNumber="1" minValue="-0.5" maxValue="149.5" count="29">
        <n v="-0.5"/>
        <m/>
        <n v="63.8"/>
        <n v="149.5" u="1"/>
        <n v="89.5" u="1"/>
        <n v="23.5" u="1"/>
        <n v="50.5" u="1"/>
        <n v="139.5" u="1"/>
        <n v="84.5" u="1"/>
        <n v="27.5" u="1"/>
        <n v="29.5" u="1"/>
        <n v="121.5" u="1"/>
        <n v="83.5" u="1"/>
        <n v="47.5" u="1"/>
        <n v="49.5" u="1"/>
        <n v="74.5" u="1"/>
        <n v="53.5" u="1"/>
        <n v="55.5" u="1"/>
        <n v="86.5" u="1"/>
        <n v="111.5" u="1"/>
        <n v="59.5" u="1"/>
        <n v="90.5" u="1"/>
        <n v="69.5" u="1"/>
        <n v="94.5" u="1"/>
        <n v="119.5" u="1"/>
        <n v="63.5" u="1"/>
        <n v="98.5" u="1"/>
        <n v="11.5" u="1"/>
        <n v="19.5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2" cacheId="1" autoFormatId="4104" applyNumberFormats="1" applyBorderFormats="1" applyFontFormats="1" applyPatternFormats="1" applyAlignmentFormats="1" applyWidthHeightFormats="1" dataCaption="Datos" updatedVersion="4" asteriskTotals="1" showMemberPropertyTips="0" useAutoFormatting="1" colGrandTotals="0" itemPrintTitles="1" createdVersion="1" indent="0" compact="0" compactData="0" gridDropZones="1">
  <location ref="A14:D15" firstHeaderRow="1" firstDataRow="1" firstDataCol="3"/>
  <pivotFields count="4">
    <pivotField axis="axisRow" compact="0" showAll="0" insertBlankRow="1" includeNewItemsInFilter="1" rankBy="0" defaultSubtotal="0">
      <items count="2">
        <item h="1" x="0"/>
        <item x="1"/>
      </items>
    </pivotField>
    <pivotField dataField="1" compact="0" showAll="0" includeNewItemsInFilter="1"/>
    <pivotField axis="axisRow" compact="0" showAll="0" includeNewItemsInFilter="1" defaultSubtotal="0">
      <items count="52">
        <item x="2"/>
        <item h="1" x="0"/>
        <item h="1" x="3"/>
        <item m="1" x="36"/>
        <item x="4"/>
        <item x="1"/>
        <item m="1" x="50"/>
        <item m="1" x="22"/>
        <item h="1" m="1" x="5"/>
        <item m="1" x="29"/>
        <item m="1" x="18"/>
        <item m="1" x="13"/>
        <item m="1" x="48"/>
        <item m="1" x="45"/>
        <item m="1" x="35"/>
        <item m="1" x="23"/>
        <item m="1" x="8"/>
        <item m="1" x="46"/>
        <item m="1" x="37"/>
        <item m="1" x="19"/>
        <item m="1" x="39"/>
        <item m="1" x="30"/>
        <item m="1" x="28"/>
        <item m="1" x="12"/>
        <item m="1" x="25"/>
        <item m="1" x="32"/>
        <item m="1" x="51"/>
        <item m="1" x="20"/>
        <item m="1" x="38"/>
        <item m="1" x="11"/>
        <item m="1" x="15"/>
        <item m="1" x="43"/>
        <item m="1" x="7"/>
        <item m="1" x="14"/>
        <item m="1" x="27"/>
        <item m="1" x="17"/>
        <item m="1" x="9"/>
        <item m="1" x="40"/>
        <item m="1" x="34"/>
        <item m="1" x="26"/>
        <item m="1" x="24"/>
        <item m="1" x="47"/>
        <item m="1" x="44"/>
        <item m="1" x="41"/>
        <item m="1" x="21"/>
        <item m="1" x="42"/>
        <item m="1" x="16"/>
        <item m="1" x="33"/>
        <item m="1" x="49"/>
        <item m="1" x="31"/>
        <item m="1" x="6"/>
        <item m="1" x="10"/>
      </items>
    </pivotField>
    <pivotField axis="axisRow" compact="0" showAll="0" includeNewItemsInFilter="1">
      <items count="30">
        <item h="1" x="0"/>
        <item x="2"/>
        <item m="1" x="12"/>
        <item h="1" x="1"/>
        <item m="1" x="20"/>
        <item m="1" x="10"/>
        <item m="1" x="15"/>
        <item m="1" x="4"/>
        <item m="1" x="24"/>
        <item m="1" x="3"/>
        <item m="1" x="17"/>
        <item m="1" x="28"/>
        <item m="1" x="11"/>
        <item m="1" x="22"/>
        <item m="1" x="9"/>
        <item m="1" x="7"/>
        <item m="1" x="14"/>
        <item m="1" x="26"/>
        <item m="1" x="19"/>
        <item m="1" x="13"/>
        <item m="1" x="8"/>
        <item m="1" x="21"/>
        <item m="1" x="27"/>
        <item m="1" x="23"/>
        <item m="1" x="5"/>
        <item m="1" x="16"/>
        <item m="1" x="25"/>
        <item m="1" x="6"/>
        <item m="1" x="18"/>
        <item t="default"/>
      </items>
    </pivotField>
  </pivotFields>
  <rowFields count="3">
    <field x="0"/>
    <field x="2"/>
    <field x="3"/>
  </rowFields>
  <rowItems count="1">
    <i t="grand">
      <x/>
    </i>
  </rowItems>
  <colItems count="1">
    <i/>
  </colItems>
  <dataFields count="1">
    <dataField name="Suma de CANTIDAD" fld="1" baseField="0" baseItem="0"/>
  </dataFields>
  <formats count="1">
    <format dxfId="22">
      <pivotArea dataOnly="0" fieldPosition="0">
        <references count="1">
          <reference field="2" count="3">
            <x v="33"/>
            <x v="34"/>
            <x v="35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6" Type="http://schemas.openxmlformats.org/officeDocument/2006/relationships/drawing" Target="../drawings/drawing8.xml"/><Relationship Id="rId5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6" Type="http://schemas.openxmlformats.org/officeDocument/2006/relationships/drawing" Target="../drawings/drawing9.xml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8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39.bin"/><Relationship Id="rId1" Type="http://schemas.openxmlformats.org/officeDocument/2006/relationships/pivotTable" Target="../pivotTables/pivotTable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11.bin"/><Relationship Id="rId4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18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Relationship Id="rId6" Type="http://schemas.openxmlformats.org/officeDocument/2006/relationships/drawing" Target="../drawings/drawing6.xml"/><Relationship Id="rId5" Type="http://schemas.openxmlformats.org/officeDocument/2006/relationships/printerSettings" Target="../printerSettings/printerSettings24.bin"/><Relationship Id="rId4" Type="http://schemas.openxmlformats.org/officeDocument/2006/relationships/printerSettings" Target="../printerSettings/printerSettings2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 enableFormatConditionsCalculation="0">
    <tabColor indexed="22"/>
    <pageSetUpPr autoPageBreaks="0"/>
  </sheetPr>
  <dimension ref="A1:GZ68"/>
  <sheetViews>
    <sheetView showGridLines="0" showZeros="0" zoomScaleNormal="115" workbookViewId="0">
      <selection activeCell="H20" sqref="H20"/>
    </sheetView>
  </sheetViews>
  <sheetFormatPr baseColWidth="10" defaultColWidth="0" defaultRowHeight="25.5" zeroHeight="1" x14ac:dyDescent="0.35"/>
  <cols>
    <col min="1" max="2" width="6.140625" style="30" customWidth="1"/>
    <col min="3" max="14" width="11.7109375" style="30" customWidth="1"/>
    <col min="15" max="15" width="0.140625" style="50" customWidth="1"/>
    <col min="16" max="16" width="4" style="945" hidden="1" customWidth="1"/>
    <col min="17" max="27" width="3.7109375" style="945" hidden="1" customWidth="1"/>
    <col min="28" max="28" width="10.85546875" style="945" hidden="1" customWidth="1"/>
    <col min="29" max="29" width="4.140625" style="945" hidden="1" customWidth="1"/>
    <col min="30" max="30" width="10.85546875" style="945" hidden="1" customWidth="1"/>
    <col min="31" max="31" width="4" style="945" hidden="1" customWidth="1"/>
    <col min="32" max="32" width="10.85546875" style="945" hidden="1" customWidth="1"/>
    <col min="33" max="33" width="4" style="945" hidden="1" customWidth="1"/>
    <col min="34" max="34" width="10.85546875" style="945" hidden="1" customWidth="1"/>
    <col min="35" max="35" width="4" style="945" hidden="1" customWidth="1"/>
    <col min="36" max="36" width="10.85546875" style="945" hidden="1" customWidth="1"/>
    <col min="37" max="37" width="4" style="945" hidden="1" customWidth="1"/>
    <col min="38" max="38" width="10.85546875" style="945" hidden="1" customWidth="1"/>
    <col min="39" max="39" width="4" style="945" hidden="1" customWidth="1"/>
    <col min="40" max="40" width="10.85546875" style="945" hidden="1" customWidth="1"/>
    <col min="41" max="41" width="4" style="945" hidden="1" customWidth="1"/>
    <col min="42" max="42" width="10.85546875" style="945" hidden="1" customWidth="1"/>
    <col min="43" max="43" width="4" style="945" hidden="1" customWidth="1"/>
    <col min="44" max="44" width="10.85546875" style="945" hidden="1" customWidth="1"/>
    <col min="45" max="45" width="4" style="945" hidden="1" customWidth="1"/>
    <col min="46" max="46" width="10.85546875" style="945" hidden="1" customWidth="1"/>
    <col min="47" max="47" width="4" style="945" hidden="1" customWidth="1"/>
    <col min="48" max="48" width="10.85546875" style="945" hidden="1" customWidth="1"/>
    <col min="49" max="49" width="4" style="945" hidden="1" customWidth="1"/>
    <col min="50" max="50" width="10.85546875" style="945" hidden="1" customWidth="1"/>
    <col min="51" max="51" width="4" style="945" hidden="1" customWidth="1"/>
    <col min="52" max="54" width="10.85546875" style="945" hidden="1" customWidth="1"/>
    <col min="55" max="55" width="10.85546875" style="701" hidden="1" customWidth="1"/>
    <col min="56" max="56" width="14.85546875" style="701" hidden="1" customWidth="1"/>
    <col min="57" max="62" width="10.85546875" style="701" hidden="1" customWidth="1"/>
    <col min="63" max="208" width="10.85546875" style="50" hidden="1" customWidth="1"/>
    <col min="209" max="16384" width="0" style="50" hidden="1"/>
  </cols>
  <sheetData>
    <row r="1" spans="1:62" ht="36" customHeight="1" x14ac:dyDescent="0.35">
      <c r="A1" s="29"/>
      <c r="D1" s="1314" t="s">
        <v>98</v>
      </c>
      <c r="E1" s="1314"/>
      <c r="F1" s="1314"/>
      <c r="G1" s="1314"/>
      <c r="H1" s="1314"/>
      <c r="K1" s="1080" t="s">
        <v>1159</v>
      </c>
      <c r="L1" s="1050">
        <f>+'1 P-T +'!L3</f>
        <v>0</v>
      </c>
      <c r="M1" s="1049"/>
      <c r="N1" s="712"/>
    </row>
    <row r="2" spans="1:62" ht="21" customHeight="1" x14ac:dyDescent="0.35">
      <c r="C2" s="1055" t="s">
        <v>96</v>
      </c>
      <c r="D2" s="1315">
        <f>+'5 ALMACEN '!D2</f>
        <v>0</v>
      </c>
      <c r="E2" s="1315"/>
      <c r="F2" s="1315"/>
      <c r="G2" s="1315"/>
      <c r="H2" s="1315"/>
      <c r="I2" s="1051" t="s">
        <v>107</v>
      </c>
      <c r="J2" s="1315">
        <f>+'5 ALMACEN '!S2</f>
        <v>0</v>
      </c>
      <c r="K2" s="1315"/>
      <c r="L2" s="1315"/>
      <c r="M2" s="1315"/>
      <c r="N2" s="1315"/>
    </row>
    <row r="3" spans="1:62" ht="3" customHeight="1" x14ac:dyDescent="0.35"/>
    <row r="4" spans="1:62" s="591" customFormat="1" ht="16.5" customHeight="1" x14ac:dyDescent="0.2">
      <c r="A4" s="1329" t="s">
        <v>0</v>
      </c>
      <c r="B4" s="1329"/>
      <c r="C4" s="1329"/>
      <c r="D4" s="1329"/>
      <c r="E4" s="1329"/>
      <c r="F4" s="1329"/>
      <c r="G4" s="1329"/>
      <c r="H4" s="1329"/>
      <c r="I4" s="1329"/>
      <c r="J4" s="1329"/>
      <c r="K4" s="1329"/>
      <c r="L4" s="1329"/>
      <c r="M4" s="1329"/>
      <c r="N4" s="1329"/>
      <c r="P4" s="1328" t="s">
        <v>1050</v>
      </c>
      <c r="Q4" s="1328"/>
      <c r="R4" s="1328"/>
      <c r="S4" s="1328"/>
      <c r="T4" s="1328"/>
      <c r="U4" s="1328"/>
      <c r="V4" s="1328"/>
      <c r="W4" s="1328"/>
      <c r="X4" s="1328"/>
      <c r="Y4" s="1328"/>
      <c r="Z4" s="1328"/>
      <c r="AA4" s="1328"/>
      <c r="AB4" s="946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946"/>
      <c r="AP4" s="946"/>
      <c r="AQ4" s="946"/>
      <c r="AR4" s="946"/>
      <c r="AS4" s="946"/>
      <c r="AT4" s="946"/>
      <c r="AU4" s="946"/>
      <c r="AV4" s="946"/>
      <c r="AW4" s="946"/>
      <c r="AX4" s="946"/>
      <c r="AY4" s="946"/>
      <c r="AZ4" s="946"/>
      <c r="BA4" s="946"/>
      <c r="BB4" s="946"/>
      <c r="BC4" s="703"/>
      <c r="BD4" s="703"/>
      <c r="BE4" s="703"/>
      <c r="BF4" s="703"/>
      <c r="BG4" s="703"/>
      <c r="BH4" s="703"/>
      <c r="BI4" s="703"/>
      <c r="BJ4" s="703"/>
    </row>
    <row r="5" spans="1:62" ht="9.9499999999999993" hidden="1" customHeight="1" x14ac:dyDescent="0.35">
      <c r="A5" s="1316" t="s">
        <v>1118</v>
      </c>
      <c r="B5" s="1317"/>
      <c r="C5" s="1056">
        <f>+$B27</f>
        <v>0</v>
      </c>
      <c r="D5" s="1056">
        <f>+$B27</f>
        <v>0</v>
      </c>
      <c r="E5" s="1056">
        <f t="shared" ref="E5:E13" si="0">+$B27</f>
        <v>0</v>
      </c>
      <c r="F5" s="1056">
        <f t="shared" ref="F5:F13" si="1">+$B27</f>
        <v>0</v>
      </c>
      <c r="G5" s="1056">
        <f t="shared" ref="G5:G13" si="2">+$B27</f>
        <v>0</v>
      </c>
      <c r="H5" s="1056">
        <f t="shared" ref="H5:H13" si="3">+$B27</f>
        <v>0</v>
      </c>
      <c r="I5" s="1056">
        <f t="shared" ref="I5:I13" si="4">+$B27</f>
        <v>0</v>
      </c>
      <c r="J5" s="1056">
        <f t="shared" ref="J5:J13" si="5">+$B27</f>
        <v>0</v>
      </c>
      <c r="K5" s="1056">
        <f t="shared" ref="K5:K13" si="6">+$B27</f>
        <v>0</v>
      </c>
      <c r="L5" s="1056">
        <f t="shared" ref="L5:L13" si="7">+$B27</f>
        <v>0</v>
      </c>
      <c r="M5" s="1056">
        <f t="shared" ref="M5:M13" si="8">+$B27</f>
        <v>0</v>
      </c>
      <c r="N5" s="1056">
        <f t="shared" ref="N5:N13" si="9">+$B27</f>
        <v>0</v>
      </c>
    </row>
    <row r="6" spans="1:62" ht="9.9499999999999993" hidden="1" customHeight="1" x14ac:dyDescent="0.35">
      <c r="A6" s="1318"/>
      <c r="B6" s="1319"/>
      <c r="C6" s="1056">
        <f>+$B28</f>
        <v>0</v>
      </c>
      <c r="D6" s="1056">
        <f>+$B28</f>
        <v>0</v>
      </c>
      <c r="E6" s="1056">
        <f t="shared" si="0"/>
        <v>0</v>
      </c>
      <c r="F6" s="1056">
        <f t="shared" si="1"/>
        <v>0</v>
      </c>
      <c r="G6" s="1056">
        <f t="shared" si="2"/>
        <v>0</v>
      </c>
      <c r="H6" s="1056">
        <f t="shared" si="3"/>
        <v>0</v>
      </c>
      <c r="I6" s="1056">
        <f t="shared" si="4"/>
        <v>0</v>
      </c>
      <c r="J6" s="1056">
        <f t="shared" si="5"/>
        <v>0</v>
      </c>
      <c r="K6" s="1056">
        <f t="shared" si="6"/>
        <v>0</v>
      </c>
      <c r="L6" s="1056">
        <f t="shared" si="7"/>
        <v>0</v>
      </c>
      <c r="M6" s="1056">
        <f t="shared" si="8"/>
        <v>0</v>
      </c>
      <c r="N6" s="1056">
        <f t="shared" si="9"/>
        <v>0</v>
      </c>
    </row>
    <row r="7" spans="1:62" ht="9.9499999999999993" hidden="1" customHeight="1" x14ac:dyDescent="0.35">
      <c r="A7" s="1318"/>
      <c r="B7" s="1319"/>
      <c r="C7" s="1056">
        <f t="shared" ref="C7:D13" si="10">+$B29</f>
        <v>0</v>
      </c>
      <c r="D7" s="1056">
        <f t="shared" si="10"/>
        <v>0</v>
      </c>
      <c r="E7" s="1056">
        <f t="shared" si="0"/>
        <v>0</v>
      </c>
      <c r="F7" s="1056">
        <f t="shared" si="1"/>
        <v>0</v>
      </c>
      <c r="G7" s="1056">
        <f t="shared" si="2"/>
        <v>0</v>
      </c>
      <c r="H7" s="1056">
        <f t="shared" si="3"/>
        <v>0</v>
      </c>
      <c r="I7" s="1056">
        <f t="shared" si="4"/>
        <v>0</v>
      </c>
      <c r="J7" s="1056">
        <f t="shared" si="5"/>
        <v>0</v>
      </c>
      <c r="K7" s="1056">
        <f t="shared" si="6"/>
        <v>0</v>
      </c>
      <c r="L7" s="1056">
        <f t="shared" si="7"/>
        <v>0</v>
      </c>
      <c r="M7" s="1056">
        <f t="shared" si="8"/>
        <v>0</v>
      </c>
      <c r="N7" s="1056">
        <f t="shared" si="9"/>
        <v>0</v>
      </c>
    </row>
    <row r="8" spans="1:62" ht="9.9499999999999993" hidden="1" customHeight="1" x14ac:dyDescent="0.35">
      <c r="A8" s="1318"/>
      <c r="B8" s="1319"/>
      <c r="C8" s="1056">
        <f t="shared" si="10"/>
        <v>0</v>
      </c>
      <c r="D8" s="1056">
        <f t="shared" si="10"/>
        <v>0</v>
      </c>
      <c r="E8" s="1056">
        <f t="shared" si="0"/>
        <v>0</v>
      </c>
      <c r="F8" s="1056">
        <f t="shared" si="1"/>
        <v>0</v>
      </c>
      <c r="G8" s="1056">
        <f t="shared" si="2"/>
        <v>0</v>
      </c>
      <c r="H8" s="1056">
        <f t="shared" si="3"/>
        <v>0</v>
      </c>
      <c r="I8" s="1056">
        <f t="shared" si="4"/>
        <v>0</v>
      </c>
      <c r="J8" s="1056">
        <f t="shared" si="5"/>
        <v>0</v>
      </c>
      <c r="K8" s="1056">
        <f t="shared" si="6"/>
        <v>0</v>
      </c>
      <c r="L8" s="1056">
        <f t="shared" si="7"/>
        <v>0</v>
      </c>
      <c r="M8" s="1056">
        <f t="shared" si="8"/>
        <v>0</v>
      </c>
      <c r="N8" s="1056">
        <f t="shared" si="9"/>
        <v>0</v>
      </c>
    </row>
    <row r="9" spans="1:62" ht="9.9499999999999993" hidden="1" customHeight="1" x14ac:dyDescent="0.35">
      <c r="A9" s="1318"/>
      <c r="B9" s="1319"/>
      <c r="C9" s="1056">
        <f t="shared" si="10"/>
        <v>0</v>
      </c>
      <c r="D9" s="1056">
        <f t="shared" si="10"/>
        <v>0</v>
      </c>
      <c r="E9" s="1056">
        <f t="shared" si="0"/>
        <v>0</v>
      </c>
      <c r="F9" s="1056">
        <f t="shared" si="1"/>
        <v>0</v>
      </c>
      <c r="G9" s="1056">
        <f t="shared" si="2"/>
        <v>0</v>
      </c>
      <c r="H9" s="1056">
        <f t="shared" si="3"/>
        <v>0</v>
      </c>
      <c r="I9" s="1056">
        <f t="shared" si="4"/>
        <v>0</v>
      </c>
      <c r="J9" s="1056">
        <f t="shared" si="5"/>
        <v>0</v>
      </c>
      <c r="K9" s="1056">
        <f t="shared" si="6"/>
        <v>0</v>
      </c>
      <c r="L9" s="1056">
        <f t="shared" si="7"/>
        <v>0</v>
      </c>
      <c r="M9" s="1056">
        <f t="shared" si="8"/>
        <v>0</v>
      </c>
      <c r="N9" s="1056">
        <f t="shared" si="9"/>
        <v>0</v>
      </c>
    </row>
    <row r="10" spans="1:62" ht="9.9499999999999993" hidden="1" customHeight="1" x14ac:dyDescent="0.35">
      <c r="A10" s="1318"/>
      <c r="B10" s="1319"/>
      <c r="C10" s="1056">
        <f t="shared" si="10"/>
        <v>0</v>
      </c>
      <c r="D10" s="1056">
        <f t="shared" si="10"/>
        <v>0</v>
      </c>
      <c r="E10" s="1056">
        <f t="shared" si="0"/>
        <v>0</v>
      </c>
      <c r="F10" s="1056">
        <f t="shared" si="1"/>
        <v>0</v>
      </c>
      <c r="G10" s="1056">
        <f t="shared" si="2"/>
        <v>0</v>
      </c>
      <c r="H10" s="1056">
        <f t="shared" si="3"/>
        <v>0</v>
      </c>
      <c r="I10" s="1056">
        <f t="shared" si="4"/>
        <v>0</v>
      </c>
      <c r="J10" s="1056">
        <f t="shared" si="5"/>
        <v>0</v>
      </c>
      <c r="K10" s="1056">
        <f t="shared" si="6"/>
        <v>0</v>
      </c>
      <c r="L10" s="1056">
        <f t="shared" si="7"/>
        <v>0</v>
      </c>
      <c r="M10" s="1056">
        <f t="shared" si="8"/>
        <v>0</v>
      </c>
      <c r="N10" s="1056">
        <f t="shared" si="9"/>
        <v>0</v>
      </c>
    </row>
    <row r="11" spans="1:62" ht="9.9499999999999993" hidden="1" customHeight="1" x14ac:dyDescent="0.35">
      <c r="A11" s="1318"/>
      <c r="B11" s="1319"/>
      <c r="C11" s="1056">
        <f t="shared" si="10"/>
        <v>0</v>
      </c>
      <c r="D11" s="1056">
        <f t="shared" si="10"/>
        <v>0</v>
      </c>
      <c r="E11" s="1056">
        <f t="shared" si="0"/>
        <v>0</v>
      </c>
      <c r="F11" s="1056">
        <f t="shared" si="1"/>
        <v>0</v>
      </c>
      <c r="G11" s="1056">
        <f t="shared" si="2"/>
        <v>0</v>
      </c>
      <c r="H11" s="1056">
        <f t="shared" si="3"/>
        <v>0</v>
      </c>
      <c r="I11" s="1056">
        <f t="shared" si="4"/>
        <v>0</v>
      </c>
      <c r="J11" s="1056">
        <f t="shared" si="5"/>
        <v>0</v>
      </c>
      <c r="K11" s="1056">
        <f t="shared" si="6"/>
        <v>0</v>
      </c>
      <c r="L11" s="1056">
        <f t="shared" si="7"/>
        <v>0</v>
      </c>
      <c r="M11" s="1056">
        <f t="shared" si="8"/>
        <v>0</v>
      </c>
      <c r="N11" s="1056">
        <f t="shared" si="9"/>
        <v>0</v>
      </c>
    </row>
    <row r="12" spans="1:62" ht="9.9499999999999993" hidden="1" customHeight="1" x14ac:dyDescent="0.35">
      <c r="A12" s="1318"/>
      <c r="B12" s="1319"/>
      <c r="C12" s="1056">
        <f t="shared" si="10"/>
        <v>0</v>
      </c>
      <c r="D12" s="1056">
        <f t="shared" si="10"/>
        <v>0</v>
      </c>
      <c r="E12" s="1056">
        <f t="shared" si="0"/>
        <v>0</v>
      </c>
      <c r="F12" s="1056">
        <f t="shared" si="1"/>
        <v>0</v>
      </c>
      <c r="G12" s="1056">
        <f t="shared" si="2"/>
        <v>0</v>
      </c>
      <c r="H12" s="1056">
        <f t="shared" si="3"/>
        <v>0</v>
      </c>
      <c r="I12" s="1056">
        <f t="shared" si="4"/>
        <v>0</v>
      </c>
      <c r="J12" s="1056">
        <f t="shared" si="5"/>
        <v>0</v>
      </c>
      <c r="K12" s="1056">
        <f t="shared" si="6"/>
        <v>0</v>
      </c>
      <c r="L12" s="1056">
        <f t="shared" si="7"/>
        <v>0</v>
      </c>
      <c r="M12" s="1056">
        <f t="shared" si="8"/>
        <v>0</v>
      </c>
      <c r="N12" s="1056">
        <f t="shared" si="9"/>
        <v>0</v>
      </c>
    </row>
    <row r="13" spans="1:62" ht="9.9499999999999993" hidden="1" customHeight="1" x14ac:dyDescent="0.35">
      <c r="A13" s="1318"/>
      <c r="B13" s="1319"/>
      <c r="C13" s="1056">
        <f t="shared" si="10"/>
        <v>0</v>
      </c>
      <c r="D13" s="1056">
        <f t="shared" si="10"/>
        <v>0</v>
      </c>
      <c r="E13" s="1056">
        <f t="shared" si="0"/>
        <v>0</v>
      </c>
      <c r="F13" s="1056">
        <f t="shared" si="1"/>
        <v>0</v>
      </c>
      <c r="G13" s="1056">
        <f t="shared" si="2"/>
        <v>0</v>
      </c>
      <c r="H13" s="1056">
        <f t="shared" si="3"/>
        <v>0</v>
      </c>
      <c r="I13" s="1056">
        <f t="shared" si="4"/>
        <v>0</v>
      </c>
      <c r="J13" s="1056">
        <f t="shared" si="5"/>
        <v>0</v>
      </c>
      <c r="K13" s="1056">
        <f t="shared" si="6"/>
        <v>0</v>
      </c>
      <c r="L13" s="1056">
        <f t="shared" si="7"/>
        <v>0</v>
      </c>
      <c r="M13" s="1056">
        <f t="shared" si="8"/>
        <v>0</v>
      </c>
      <c r="N13" s="1056">
        <f t="shared" si="9"/>
        <v>0</v>
      </c>
    </row>
    <row r="14" spans="1:62" ht="28.5" customHeight="1" x14ac:dyDescent="0.35">
      <c r="A14" s="1326" t="s">
        <v>106</v>
      </c>
      <c r="B14" s="1327"/>
      <c r="C14" s="1177"/>
      <c r="D14" s="1177"/>
      <c r="E14" s="1177"/>
      <c r="F14" s="1177"/>
      <c r="G14" s="1177"/>
      <c r="H14" s="1177"/>
      <c r="I14" s="1177"/>
      <c r="J14" s="1177"/>
      <c r="K14" s="1177"/>
      <c r="L14" s="1177"/>
      <c r="M14" s="1177"/>
      <c r="N14" s="1177"/>
      <c r="P14" s="945">
        <f t="shared" ref="P14:AA14" si="11">IF(C$14=$B$33,IF(C$21=28,IF(C$20&lt;261,1/8,IF(C$20&gt;260,1/4,0))))*C$22</f>
        <v>0</v>
      </c>
      <c r="Q14" s="945">
        <f t="shared" si="11"/>
        <v>0</v>
      </c>
      <c r="R14" s="945">
        <f t="shared" si="11"/>
        <v>0</v>
      </c>
      <c r="S14" s="945">
        <f t="shared" si="11"/>
        <v>0</v>
      </c>
      <c r="T14" s="945">
        <f t="shared" si="11"/>
        <v>0</v>
      </c>
      <c r="U14" s="945">
        <f t="shared" si="11"/>
        <v>0</v>
      </c>
      <c r="V14" s="945">
        <f t="shared" si="11"/>
        <v>0</v>
      </c>
      <c r="W14" s="945">
        <f t="shared" si="11"/>
        <v>0</v>
      </c>
      <c r="X14" s="945">
        <f t="shared" si="11"/>
        <v>0</v>
      </c>
      <c r="Y14" s="945">
        <f t="shared" si="11"/>
        <v>0</v>
      </c>
      <c r="Z14" s="945">
        <f t="shared" si="11"/>
        <v>0</v>
      </c>
      <c r="AA14" s="945">
        <f t="shared" si="11"/>
        <v>0</v>
      </c>
      <c r="AB14" s="945">
        <f>SUM(P14:AA16)</f>
        <v>0</v>
      </c>
      <c r="AC14" s="945">
        <f>IF(C16&gt;0,IF(C16=$B$33,IF(C$21=28,1/4,0)))*C$22</f>
        <v>0</v>
      </c>
      <c r="AE14" s="945">
        <f>IF(D16&gt;0,IF(D16=$B$33,IF(D$21=28,1/4,0)))*D$22</f>
        <v>0</v>
      </c>
      <c r="AG14" s="945">
        <f>IF(E16&gt;0,IF(E16=$B$33,IF(E$21=28,1/4,0)))*E$22</f>
        <v>0</v>
      </c>
      <c r="AI14" s="945">
        <f>IF(F16&gt;0,IF(F16=$B$33,IF(F$21=28,1/4,0)))*F$22</f>
        <v>0</v>
      </c>
      <c r="AK14" s="945">
        <f>IF(G16&gt;0,IF(G16=$B$33,IF(G$21=28,1/4,0)))*G$22</f>
        <v>0</v>
      </c>
      <c r="AM14" s="945">
        <f>IF(H16&gt;0,IF(H16=$B$33,IF(H$21=28,1/4,0)))*H$22</f>
        <v>0</v>
      </c>
      <c r="AO14" s="945">
        <f>IF(I16&gt;0,IF(I16=$B$33,IF(I$21=28,1/4,0)))*I$22</f>
        <v>0</v>
      </c>
      <c r="AQ14" s="945">
        <f>IF(J16&gt;0,IF(J16=$B$33,IF(J$21=28,1/4,0)))*J$22</f>
        <v>0</v>
      </c>
      <c r="AS14" s="945">
        <f>IF(K16&gt;0,IF(K16=$B$33,IF(K$21=28,1/4,0)))*K$22</f>
        <v>0</v>
      </c>
      <c r="AU14" s="945">
        <f>IF(L16&gt;0,IF(L16=$B$33,IF(L$21=28,1/4,0)))*L$22</f>
        <v>0</v>
      </c>
      <c r="AW14" s="945">
        <f>IF(M16&gt;0,IF(M16=$B$33,IF(M$21=28,1/4,0)))*M$22</f>
        <v>0</v>
      </c>
      <c r="AY14" s="945">
        <f>IF(N16&gt;0,IF(N16=$B$33,IF(N$21=28,1/4,0)))*N$22</f>
        <v>0</v>
      </c>
      <c r="AZ14" s="945">
        <f>SUM(AC14:AY16)</f>
        <v>0</v>
      </c>
    </row>
    <row r="15" spans="1:62" ht="110.1" customHeight="1" x14ac:dyDescent="0.35">
      <c r="A15" s="1326" t="s">
        <v>104</v>
      </c>
      <c r="B15" s="1327"/>
      <c r="C15" s="1063"/>
      <c r="D15" s="1063"/>
      <c r="E15" s="1063"/>
      <c r="F15" s="1063"/>
      <c r="G15" s="1063"/>
      <c r="H15" s="1063"/>
      <c r="I15" s="1063"/>
      <c r="J15" s="1063"/>
      <c r="K15" s="1063"/>
      <c r="L15" s="1063"/>
      <c r="M15" s="1063"/>
      <c r="N15" s="1063"/>
      <c r="P15" s="945">
        <f t="shared" ref="P15:AA15" si="12">IF(C$14=$B$33,IF(C$21=56,IF(C$20&lt;261,1/4,IF(C$20&gt;260,1/2,0))))*C$22</f>
        <v>0</v>
      </c>
      <c r="Q15" s="945">
        <f t="shared" si="12"/>
        <v>0</v>
      </c>
      <c r="R15" s="945">
        <f t="shared" si="12"/>
        <v>0</v>
      </c>
      <c r="S15" s="945">
        <f t="shared" si="12"/>
        <v>0</v>
      </c>
      <c r="T15" s="945">
        <f t="shared" si="12"/>
        <v>0</v>
      </c>
      <c r="U15" s="945">
        <f t="shared" si="12"/>
        <v>0</v>
      </c>
      <c r="V15" s="945">
        <f t="shared" si="12"/>
        <v>0</v>
      </c>
      <c r="W15" s="945">
        <f t="shared" si="12"/>
        <v>0</v>
      </c>
      <c r="X15" s="945">
        <f t="shared" si="12"/>
        <v>0</v>
      </c>
      <c r="Y15" s="945">
        <f t="shared" si="12"/>
        <v>0</v>
      </c>
      <c r="Z15" s="945">
        <f t="shared" si="12"/>
        <v>0</v>
      </c>
      <c r="AA15" s="945">
        <f t="shared" si="12"/>
        <v>0</v>
      </c>
      <c r="AC15" s="945">
        <f>IF(C16&gt;0,IF(C16=$B$33,IF(C$21=56,1/2,0)))*C$22</f>
        <v>0</v>
      </c>
      <c r="AE15" s="945">
        <f>IF(D16&gt;0,IF(D16=$B$33,IF(D$21=56,1/2,0)))*D$22</f>
        <v>0</v>
      </c>
      <c r="AG15" s="945">
        <f>IF(E16&gt;0,IF(E16=$B$33,IF(E$21=56,1/2,0)))*E$22</f>
        <v>0</v>
      </c>
      <c r="AI15" s="945">
        <f>IF(F16&gt;0,IF(F16=$B$33,IF(F$21=56,1/2,0)))*F$22</f>
        <v>0</v>
      </c>
      <c r="AK15" s="945">
        <f>IF(G16&gt;0,IF(G16=$B$33,IF(G$21=56,1/2,0)))*G$22</f>
        <v>0</v>
      </c>
      <c r="AM15" s="945">
        <f>IF(H16&gt;0,IF(H16=$B$33,IF(H$21=56,1/2,0)))*H$22</f>
        <v>0</v>
      </c>
      <c r="AO15" s="945">
        <f>IF(I16&gt;0,IF(I16=$B$33,IF(I$21=56,1/2,0)))*I$22</f>
        <v>0</v>
      </c>
      <c r="AQ15" s="945">
        <f>IF(J16&gt;0,IF(J16=$B$33,IF(J$21=56,1/2,0)))*J$22</f>
        <v>0</v>
      </c>
      <c r="AS15" s="945">
        <f>IF(K16&gt;0,IF(K16=$B$33,IF(K$21=56,1/2,0)))*K$22</f>
        <v>0</v>
      </c>
      <c r="AU15" s="945">
        <f>IF(L16&gt;0,IF(L16=$B$33,IF(L$21=56,1/2,0)))*L$22</f>
        <v>0</v>
      </c>
      <c r="AW15" s="945">
        <f>IF(M16&gt;0,IF(M16=$B$33,IF(M$21=56,1/2,0)))*M$22</f>
        <v>0</v>
      </c>
      <c r="AY15" s="945">
        <f>IF(N16&gt;0,IF(N16=$B$33,IF(N$21=56,1/2,0)))*N$22</f>
        <v>0</v>
      </c>
    </row>
    <row r="16" spans="1:62" ht="76.5" customHeight="1" x14ac:dyDescent="0.35">
      <c r="A16" s="1326" t="s">
        <v>105</v>
      </c>
      <c r="B16" s="1327"/>
      <c r="C16" s="1057"/>
      <c r="D16" s="1057"/>
      <c r="E16" s="1057"/>
      <c r="F16" s="1057"/>
      <c r="G16" s="1057"/>
      <c r="H16" s="1057"/>
      <c r="I16" s="1057"/>
      <c r="J16" s="1057"/>
      <c r="K16" s="1057"/>
      <c r="L16" s="1057"/>
      <c r="M16" s="1057"/>
      <c r="N16" s="1057"/>
      <c r="P16" s="945">
        <f t="shared" ref="P16:AA16" si="13">IF(C$14=$B$33,IF(C$21=112,IF(C$20&lt;261,1/2,IF(C$20&gt;260,1/1,0))))*C$22</f>
        <v>0</v>
      </c>
      <c r="Q16" s="945">
        <f t="shared" si="13"/>
        <v>0</v>
      </c>
      <c r="R16" s="945">
        <f t="shared" si="13"/>
        <v>0</v>
      </c>
      <c r="S16" s="945">
        <f t="shared" si="13"/>
        <v>0</v>
      </c>
      <c r="T16" s="945">
        <f t="shared" si="13"/>
        <v>0</v>
      </c>
      <c r="U16" s="945">
        <f t="shared" si="13"/>
        <v>0</v>
      </c>
      <c r="V16" s="945">
        <f t="shared" si="13"/>
        <v>0</v>
      </c>
      <c r="W16" s="945">
        <f t="shared" si="13"/>
        <v>0</v>
      </c>
      <c r="X16" s="945">
        <f t="shared" si="13"/>
        <v>0</v>
      </c>
      <c r="Y16" s="945">
        <f t="shared" si="13"/>
        <v>0</v>
      </c>
      <c r="Z16" s="945">
        <f t="shared" si="13"/>
        <v>0</v>
      </c>
      <c r="AA16" s="945">
        <f t="shared" si="13"/>
        <v>0</v>
      </c>
      <c r="AC16" s="945">
        <f>IF(C16&gt;0,IF(C16=$B$33,IF(C$21=112,1,0)))*C$22</f>
        <v>0</v>
      </c>
      <c r="AE16" s="945">
        <f>IF(D16&gt;0,IF(D16=$B$33,IF(D$21=112,1,0)))*D$22</f>
        <v>0</v>
      </c>
      <c r="AG16" s="945">
        <f>IF(E16&gt;0,IF(E16=$B$33,IF(E$21=112,1,0)))*E$22</f>
        <v>0</v>
      </c>
      <c r="AI16" s="945">
        <f>IF(F16&gt;0,IF(F16=$B$33,IF(F$21=112,1,0)))*F$22</f>
        <v>0</v>
      </c>
      <c r="AK16" s="945">
        <f>IF(G16&gt;0,IF(G16=$B$33,IF(G$21=112,1,0)))*G$22</f>
        <v>0</v>
      </c>
      <c r="AM16" s="945">
        <f>IF(H16&gt;0,IF(H16=$B$33,IF(H$21=112,1,0)))*H$22</f>
        <v>0</v>
      </c>
      <c r="AO16" s="945">
        <f>IF(I16&gt;0,IF(I16=$B$33,IF(I$21=112,1,0)))*I$22</f>
        <v>0</v>
      </c>
      <c r="AQ16" s="945">
        <f>IF(J16&gt;0,IF(J16=$B$33,IF(J$21=112,1,0)))*J$22</f>
        <v>0</v>
      </c>
      <c r="AS16" s="945">
        <f>IF(K16&gt;0,IF(K16=$B$33,IF(K$21=112,1,0)))*K$22</f>
        <v>0</v>
      </c>
      <c r="AU16" s="945">
        <f>IF(L16&gt;0,IF(L16=$B$33,IF(L$21=112,1,0)))*L$22</f>
        <v>0</v>
      </c>
      <c r="AW16" s="945">
        <f>IF(M16&gt;0,IF(M16=$B$33,IF(M$21=112,1,0)))*M$22</f>
        <v>0</v>
      </c>
      <c r="AY16" s="945">
        <f>IF(N16&gt;0,IF(N16=$B$33,IF(N$21=112,1,0)))*N$22</f>
        <v>0</v>
      </c>
    </row>
    <row r="17" spans="1:62" s="36" customFormat="1" ht="5.25" customHeight="1" x14ac:dyDescent="0.35">
      <c r="A17" s="1164"/>
      <c r="B17" s="900"/>
      <c r="C17" s="1003"/>
      <c r="D17" s="1003"/>
      <c r="E17" s="1003"/>
      <c r="F17" s="1003"/>
      <c r="G17" s="1004"/>
      <c r="H17" s="1003"/>
      <c r="I17" s="1003"/>
      <c r="J17" s="1004"/>
      <c r="K17" s="1004"/>
      <c r="L17" s="1004"/>
      <c r="M17" s="1004"/>
      <c r="N17" s="1004"/>
      <c r="P17" s="947"/>
      <c r="Q17" s="947"/>
      <c r="R17" s="947"/>
      <c r="S17" s="947"/>
      <c r="T17" s="947"/>
      <c r="U17" s="947"/>
      <c r="V17" s="947"/>
      <c r="W17" s="947"/>
      <c r="X17" s="947"/>
      <c r="Y17" s="947"/>
      <c r="Z17" s="947"/>
      <c r="AA17" s="947"/>
      <c r="AB17" s="947"/>
      <c r="AC17" s="947"/>
      <c r="AD17" s="947"/>
      <c r="AE17" s="947"/>
      <c r="AF17" s="947"/>
      <c r="AG17" s="947"/>
      <c r="AH17" s="947"/>
      <c r="AI17" s="947"/>
      <c r="AJ17" s="947"/>
      <c r="AK17" s="947"/>
      <c r="AL17" s="947"/>
      <c r="AM17" s="947"/>
      <c r="AN17" s="947"/>
      <c r="AO17" s="947"/>
      <c r="AP17" s="947"/>
      <c r="AQ17" s="947"/>
      <c r="AR17" s="947"/>
      <c r="AS17" s="947"/>
      <c r="AT17" s="947"/>
      <c r="AU17" s="947"/>
      <c r="AV17" s="947"/>
      <c r="AW17" s="947"/>
      <c r="AX17" s="947"/>
      <c r="AY17" s="947"/>
      <c r="AZ17" s="947"/>
      <c r="BA17" s="947"/>
      <c r="BB17" s="947"/>
      <c r="BD17" s="704"/>
      <c r="BE17" s="704"/>
      <c r="BF17" s="704"/>
      <c r="BG17" s="704"/>
      <c r="BH17" s="704"/>
      <c r="BI17" s="704"/>
      <c r="BJ17" s="704"/>
    </row>
    <row r="18" spans="1:62" s="709" customFormat="1" ht="15" customHeight="1" x14ac:dyDescent="0.35">
      <c r="A18" s="1165"/>
      <c r="B18" s="1163" t="s">
        <v>12</v>
      </c>
      <c r="C18" s="1053"/>
      <c r="D18" s="1053"/>
      <c r="E18" s="1053"/>
      <c r="F18" s="1053"/>
      <c r="G18" s="1053"/>
      <c r="H18" s="1053"/>
      <c r="I18" s="1053"/>
      <c r="J18" s="1053"/>
      <c r="K18" s="1053"/>
      <c r="L18" s="1053"/>
      <c r="M18" s="1053"/>
      <c r="N18" s="933"/>
      <c r="O18" s="592"/>
      <c r="P18" s="945"/>
      <c r="Q18" s="945"/>
      <c r="R18" s="945"/>
      <c r="S18" s="945"/>
      <c r="T18" s="947"/>
      <c r="U18" s="947"/>
      <c r="V18" s="947"/>
      <c r="W18" s="947"/>
      <c r="X18" s="947"/>
      <c r="Y18" s="947"/>
      <c r="Z18" s="947"/>
      <c r="AA18" s="947"/>
      <c r="AB18" s="947"/>
      <c r="AC18" s="947"/>
      <c r="AD18" s="947"/>
      <c r="AE18" s="947"/>
      <c r="AF18" s="947"/>
      <c r="AG18" s="947"/>
      <c r="AH18" s="947"/>
      <c r="AI18" s="947"/>
      <c r="AJ18" s="947"/>
      <c r="AK18" s="947"/>
      <c r="AL18" s="947"/>
      <c r="AM18" s="947"/>
      <c r="AN18" s="947"/>
      <c r="AO18" s="947"/>
      <c r="AP18" s="947"/>
      <c r="AQ18" s="947"/>
      <c r="AR18" s="947"/>
      <c r="AS18" s="947"/>
      <c r="AT18" s="947"/>
      <c r="AU18" s="947"/>
      <c r="AV18" s="947"/>
      <c r="AW18" s="947"/>
      <c r="AX18" s="947"/>
      <c r="AY18" s="947"/>
      <c r="AZ18" s="947"/>
      <c r="BA18" s="947"/>
      <c r="BB18" s="947"/>
      <c r="BD18" s="704"/>
      <c r="BE18" s="704"/>
      <c r="BF18" s="704"/>
      <c r="BG18" s="704"/>
      <c r="BH18" s="704"/>
      <c r="BI18" s="704"/>
      <c r="BJ18" s="704"/>
    </row>
    <row r="19" spans="1:62" s="709" customFormat="1" ht="15" customHeight="1" x14ac:dyDescent="0.35">
      <c r="A19" s="30"/>
      <c r="B19" s="1162" t="s">
        <v>1177</v>
      </c>
      <c r="C19" s="1052"/>
      <c r="D19" s="1052"/>
      <c r="E19" s="1052"/>
      <c r="F19" s="1052"/>
      <c r="G19" s="1052"/>
      <c r="H19" s="1052"/>
      <c r="I19" s="1052"/>
      <c r="J19" s="1052"/>
      <c r="K19" s="1052"/>
      <c r="L19" s="1052"/>
      <c r="M19" s="1052"/>
      <c r="N19" s="1061"/>
      <c r="O19" s="592"/>
      <c r="P19" s="945"/>
      <c r="Q19" s="945"/>
      <c r="R19" s="945"/>
      <c r="S19" s="945"/>
      <c r="T19" s="947"/>
      <c r="U19" s="947"/>
      <c r="V19" s="947"/>
      <c r="W19" s="947"/>
      <c r="X19" s="947"/>
      <c r="Y19" s="947"/>
      <c r="Z19" s="947"/>
      <c r="AA19" s="947"/>
      <c r="AB19" s="947"/>
      <c r="AC19" s="947"/>
      <c r="AD19" s="947"/>
      <c r="AE19" s="947"/>
      <c r="AF19" s="947"/>
      <c r="AG19" s="947"/>
      <c r="AH19" s="947"/>
      <c r="AI19" s="947"/>
      <c r="AJ19" s="947"/>
      <c r="AK19" s="947"/>
      <c r="AL19" s="947"/>
      <c r="AM19" s="947"/>
      <c r="AN19" s="947"/>
      <c r="AO19" s="947"/>
      <c r="AP19" s="947"/>
      <c r="AQ19" s="947"/>
      <c r="AR19" s="947"/>
      <c r="AS19" s="947"/>
      <c r="AT19" s="947"/>
      <c r="AU19" s="947"/>
      <c r="AV19" s="947"/>
      <c r="AW19" s="947"/>
      <c r="AX19" s="947"/>
      <c r="AY19" s="947"/>
      <c r="AZ19" s="947"/>
      <c r="BA19" s="947"/>
      <c r="BB19" s="947"/>
      <c r="BD19" s="704"/>
      <c r="BE19" s="704"/>
      <c r="BF19" s="704"/>
      <c r="BG19" s="704"/>
      <c r="BH19" s="704"/>
      <c r="BI19" s="704"/>
      <c r="BJ19" s="704"/>
    </row>
    <row r="20" spans="1:62" s="36" customFormat="1" ht="15" customHeight="1" x14ac:dyDescent="0.35">
      <c r="A20" s="30"/>
      <c r="B20" s="1162" t="s">
        <v>1176</v>
      </c>
      <c r="C20" s="1054"/>
      <c r="D20" s="1054"/>
      <c r="E20" s="1054"/>
      <c r="F20" s="1054"/>
      <c r="G20" s="1054"/>
      <c r="H20" s="1054"/>
      <c r="I20" s="1054"/>
      <c r="J20" s="1054"/>
      <c r="K20" s="1054"/>
      <c r="L20" s="1054"/>
      <c r="M20" s="1054"/>
      <c r="N20" s="1062"/>
      <c r="O20" s="50"/>
      <c r="P20" s="945"/>
      <c r="Q20" s="945"/>
      <c r="R20" s="945"/>
      <c r="S20" s="945"/>
      <c r="T20" s="947"/>
      <c r="U20" s="947"/>
      <c r="V20" s="947"/>
      <c r="W20" s="947"/>
      <c r="X20" s="947"/>
      <c r="Y20" s="947"/>
      <c r="Z20" s="947"/>
      <c r="AA20" s="947"/>
      <c r="AB20" s="947"/>
      <c r="AC20" s="947"/>
      <c r="AD20" s="947"/>
      <c r="AE20" s="947"/>
      <c r="AF20" s="947"/>
      <c r="AG20" s="947"/>
      <c r="AH20" s="947"/>
      <c r="AI20" s="947"/>
      <c r="AJ20" s="947"/>
      <c r="AK20" s="947"/>
      <c r="AL20" s="947"/>
      <c r="AM20" s="947"/>
      <c r="AN20" s="947"/>
      <c r="AO20" s="947"/>
      <c r="AP20" s="947"/>
      <c r="AQ20" s="947"/>
      <c r="AR20" s="947"/>
      <c r="AS20" s="947"/>
      <c r="AT20" s="947"/>
      <c r="AU20" s="947"/>
      <c r="AV20" s="947"/>
      <c r="AW20" s="947"/>
      <c r="AX20" s="947"/>
      <c r="AY20" s="947"/>
      <c r="AZ20" s="947"/>
      <c r="BA20" s="947"/>
      <c r="BB20" s="947"/>
      <c r="BD20" s="704"/>
      <c r="BE20" s="704"/>
      <c r="BF20" s="704"/>
      <c r="BG20" s="704"/>
      <c r="BH20" s="704"/>
      <c r="BI20" s="704"/>
      <c r="BJ20" s="704"/>
    </row>
    <row r="21" spans="1:62" s="591" customFormat="1" ht="15" customHeight="1" x14ac:dyDescent="0.2">
      <c r="A21" s="30"/>
      <c r="B21" s="1161" t="s">
        <v>8</v>
      </c>
      <c r="C21" s="1054"/>
      <c r="D21" s="1054"/>
      <c r="E21" s="1054"/>
      <c r="F21" s="1054"/>
      <c r="G21" s="1054"/>
      <c r="H21" s="1054"/>
      <c r="I21" s="1054"/>
      <c r="J21" s="1054"/>
      <c r="K21" s="1054"/>
      <c r="L21" s="1054"/>
      <c r="M21" s="1054"/>
      <c r="N21" s="1062"/>
      <c r="P21" s="946"/>
      <c r="Q21" s="946"/>
      <c r="R21" s="946"/>
      <c r="S21" s="946"/>
      <c r="T21" s="946"/>
      <c r="U21" s="946"/>
      <c r="V21" s="946"/>
      <c r="W21" s="946"/>
      <c r="X21" s="946"/>
      <c r="Y21" s="946"/>
      <c r="Z21" s="946"/>
      <c r="AA21" s="946"/>
      <c r="AB21" s="946"/>
      <c r="AC21" s="946"/>
      <c r="AD21" s="946"/>
      <c r="AE21" s="946"/>
      <c r="AF21" s="946"/>
      <c r="AG21" s="946"/>
      <c r="AH21" s="946"/>
      <c r="AI21" s="946"/>
      <c r="AJ21" s="946"/>
      <c r="AK21" s="946"/>
      <c r="AL21" s="946"/>
      <c r="AM21" s="946"/>
      <c r="AN21" s="946"/>
      <c r="AO21" s="946"/>
      <c r="AP21" s="946"/>
      <c r="AQ21" s="946"/>
      <c r="AR21" s="946"/>
      <c r="AS21" s="946"/>
      <c r="AT21" s="946"/>
      <c r="AU21" s="946"/>
      <c r="AV21" s="946"/>
      <c r="AW21" s="946"/>
      <c r="AX21" s="946"/>
      <c r="AY21" s="946"/>
      <c r="AZ21" s="946"/>
      <c r="BA21" s="946"/>
      <c r="BB21" s="946"/>
      <c r="BD21" s="703"/>
      <c r="BE21" s="703"/>
      <c r="BF21" s="703"/>
      <c r="BG21" s="703"/>
      <c r="BH21" s="703"/>
      <c r="BI21" s="703"/>
      <c r="BJ21" s="703"/>
    </row>
    <row r="22" spans="1:62" s="592" customFormat="1" ht="15" customHeight="1" x14ac:dyDescent="0.35">
      <c r="A22" s="30"/>
      <c r="B22" s="1161" t="s">
        <v>2</v>
      </c>
      <c r="C22" s="1054"/>
      <c r="D22" s="1054"/>
      <c r="E22" s="1054"/>
      <c r="F22" s="1054"/>
      <c r="G22" s="1054"/>
      <c r="H22" s="1054"/>
      <c r="I22" s="1054"/>
      <c r="J22" s="1054"/>
      <c r="K22" s="1054"/>
      <c r="L22" s="1054"/>
      <c r="M22" s="1054"/>
      <c r="N22" s="1062"/>
      <c r="P22" s="945"/>
      <c r="Q22" s="945"/>
      <c r="R22" s="945"/>
      <c r="S22" s="945"/>
      <c r="T22" s="945"/>
      <c r="U22" s="945"/>
      <c r="V22" s="945"/>
      <c r="W22" s="945"/>
      <c r="X22" s="945"/>
      <c r="Y22" s="945"/>
      <c r="Z22" s="945"/>
      <c r="AA22" s="945"/>
      <c r="AB22" s="945"/>
      <c r="AC22" s="945"/>
      <c r="AD22" s="945"/>
      <c r="AE22" s="945"/>
      <c r="AF22" s="945"/>
      <c r="AG22" s="945"/>
      <c r="AH22" s="945"/>
      <c r="AI22" s="945"/>
      <c r="AJ22" s="945"/>
      <c r="AK22" s="945"/>
      <c r="AL22" s="945"/>
      <c r="AM22" s="945"/>
      <c r="AN22" s="945"/>
      <c r="AO22" s="945"/>
      <c r="AP22" s="945"/>
      <c r="AQ22" s="945"/>
      <c r="AR22" s="945"/>
      <c r="AS22" s="945"/>
      <c r="AT22" s="945"/>
      <c r="AU22" s="945"/>
      <c r="AV22" s="945"/>
      <c r="AW22" s="945"/>
      <c r="AX22" s="945"/>
      <c r="AY22" s="945"/>
      <c r="AZ22" s="945"/>
      <c r="BA22" s="945"/>
      <c r="BB22" s="945"/>
      <c r="BD22" s="701"/>
      <c r="BE22" s="701"/>
      <c r="BF22" s="701"/>
      <c r="BG22" s="701"/>
      <c r="BH22" s="701"/>
      <c r="BI22" s="701"/>
      <c r="BJ22" s="701"/>
    </row>
    <row r="23" spans="1:62" ht="5.25" customHeight="1" x14ac:dyDescent="0.35">
      <c r="A23" s="40"/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38"/>
      <c r="N23" s="38"/>
    </row>
    <row r="24" spans="1:62" ht="15" customHeight="1" x14ac:dyDescent="0.35">
      <c r="A24"/>
      <c r="B24" s="1322" t="s">
        <v>94</v>
      </c>
      <c r="C24" s="1322"/>
      <c r="D24" s="1322"/>
      <c r="E24" s="1322"/>
      <c r="F24" s="1322"/>
      <c r="G24" s="540"/>
      <c r="H24" s="1322" t="s">
        <v>11</v>
      </c>
      <c r="I24" s="1322"/>
      <c r="J24" s="1322"/>
      <c r="K24" s="1322"/>
      <c r="L24" s="1322"/>
      <c r="M24" s="1322"/>
      <c r="N24" s="1322"/>
    </row>
    <row r="25" spans="1:62" ht="4.3499999999999996" customHeight="1" x14ac:dyDescent="0.4">
      <c r="A25"/>
      <c r="B25" s="1323" t="s">
        <v>7</v>
      </c>
      <c r="C25" s="1325" t="s">
        <v>1</v>
      </c>
      <c r="D25" s="1325"/>
      <c r="E25" s="1325"/>
      <c r="F25" s="1325"/>
      <c r="G25" s="3"/>
      <c r="H25" s="519"/>
      <c r="I25" s="1060"/>
      <c r="J25" s="1320"/>
      <c r="K25" s="1320"/>
      <c r="L25" s="1320"/>
      <c r="M25" s="1320"/>
      <c r="N25" s="1321"/>
    </row>
    <row r="26" spans="1:62" ht="15" customHeight="1" x14ac:dyDescent="0.35">
      <c r="A26"/>
      <c r="B26" s="1324"/>
      <c r="C26" s="1325"/>
      <c r="D26" s="1325"/>
      <c r="E26" s="1325"/>
      <c r="F26" s="1325"/>
      <c r="H26" s="1073" t="s">
        <v>1158</v>
      </c>
      <c r="I26" s="38"/>
      <c r="J26" s="904"/>
      <c r="K26" s="710"/>
      <c r="L26" s="710"/>
      <c r="M26" s="710"/>
      <c r="N26" s="908"/>
    </row>
    <row r="27" spans="1:62" ht="12.4" customHeight="1" x14ac:dyDescent="0.35">
      <c r="A27" s="902" t="s">
        <v>768</v>
      </c>
      <c r="B27" s="1103"/>
      <c r="C27" s="1310"/>
      <c r="D27" s="1310"/>
      <c r="E27" s="1310"/>
      <c r="F27" s="1310"/>
      <c r="H27" s="909"/>
      <c r="I27" s="910"/>
      <c r="J27" s="910"/>
      <c r="K27" s="910"/>
      <c r="L27" s="910"/>
      <c r="M27" s="910"/>
      <c r="N27" s="911"/>
    </row>
    <row r="28" spans="1:62" ht="12.4" customHeight="1" x14ac:dyDescent="0.35">
      <c r="A28" s="902" t="s">
        <v>769</v>
      </c>
      <c r="B28" s="1103"/>
      <c r="C28" s="1308"/>
      <c r="D28" s="1309"/>
      <c r="E28" s="1309"/>
      <c r="F28" s="1311"/>
      <c r="H28" s="909"/>
      <c r="I28" s="910"/>
      <c r="J28" s="910"/>
      <c r="K28" s="910"/>
      <c r="L28" s="910"/>
      <c r="M28" s="910"/>
      <c r="N28" s="911"/>
    </row>
    <row r="29" spans="1:62" ht="12.4" customHeight="1" x14ac:dyDescent="0.35">
      <c r="A29" s="902" t="s">
        <v>770</v>
      </c>
      <c r="B29" s="1103"/>
      <c r="C29" s="1310"/>
      <c r="D29" s="1310"/>
      <c r="E29" s="1310"/>
      <c r="F29" s="1310"/>
      <c r="H29" s="909"/>
      <c r="I29" s="910"/>
      <c r="J29" s="910"/>
      <c r="K29" s="910"/>
      <c r="L29" s="910"/>
      <c r="M29" s="910"/>
      <c r="N29" s="911"/>
    </row>
    <row r="30" spans="1:62" ht="12.4" customHeight="1" x14ac:dyDescent="0.4">
      <c r="A30" s="902" t="s">
        <v>771</v>
      </c>
      <c r="B30" s="1103"/>
      <c r="C30" s="1310"/>
      <c r="D30" s="1310"/>
      <c r="E30" s="1310"/>
      <c r="F30" s="1310"/>
      <c r="G30" s="25"/>
      <c r="H30" s="909"/>
      <c r="I30" s="910"/>
      <c r="J30" s="910"/>
      <c r="K30" s="910"/>
      <c r="L30" s="910"/>
      <c r="M30" s="910"/>
      <c r="N30" s="911"/>
    </row>
    <row r="31" spans="1:62" ht="12.4" customHeight="1" x14ac:dyDescent="0.4">
      <c r="A31" s="1312" t="s">
        <v>775</v>
      </c>
      <c r="B31" s="1104"/>
      <c r="C31" s="1308"/>
      <c r="D31" s="1309"/>
      <c r="E31" s="1309"/>
      <c r="F31" s="1311"/>
      <c r="G31" s="25"/>
      <c r="H31" s="909"/>
      <c r="I31" s="910"/>
      <c r="J31" s="910"/>
      <c r="K31" s="910"/>
      <c r="L31" s="910"/>
      <c r="M31" s="910"/>
      <c r="N31" s="911"/>
    </row>
    <row r="32" spans="1:62" ht="12.4" customHeight="1" x14ac:dyDescent="0.35">
      <c r="A32" s="1313"/>
      <c r="B32" s="1104"/>
      <c r="C32" s="1308"/>
      <c r="D32" s="1309"/>
      <c r="E32" s="1309"/>
      <c r="F32" s="1309"/>
      <c r="G32" s="26"/>
      <c r="H32" s="905"/>
      <c r="I32" s="906"/>
      <c r="J32" s="910"/>
      <c r="K32" s="910"/>
      <c r="L32" s="910"/>
      <c r="M32" s="910"/>
      <c r="N32" s="911"/>
    </row>
    <row r="33" spans="1:14" ht="12.4" customHeight="1" x14ac:dyDescent="0.35">
      <c r="A33" s="903" t="s">
        <v>114</v>
      </c>
      <c r="B33" s="1104"/>
      <c r="C33" s="1308"/>
      <c r="D33" s="1309"/>
      <c r="E33" s="1309"/>
      <c r="F33" s="1309"/>
      <c r="G33" s="26"/>
      <c r="H33" s="905"/>
      <c r="I33" s="906"/>
      <c r="J33" s="910"/>
      <c r="K33" s="910"/>
      <c r="L33" s="910"/>
      <c r="M33" s="910"/>
      <c r="N33" s="911"/>
    </row>
    <row r="34" spans="1:14" ht="12.4" customHeight="1" x14ac:dyDescent="0.35">
      <c r="A34" s="903" t="s">
        <v>1095</v>
      </c>
      <c r="B34" s="1103"/>
      <c r="C34" s="1308"/>
      <c r="D34" s="1309"/>
      <c r="E34" s="1309"/>
      <c r="F34" s="1309"/>
      <c r="G34" s="27"/>
      <c r="H34" s="905"/>
      <c r="I34" s="906"/>
      <c r="J34" s="910"/>
      <c r="K34" s="910"/>
      <c r="L34" s="910"/>
      <c r="M34" s="910"/>
      <c r="N34" s="911"/>
    </row>
    <row r="35" spans="1:14" ht="12.4" customHeight="1" x14ac:dyDescent="0.35">
      <c r="A35" s="948" t="s">
        <v>999</v>
      </c>
      <c r="B35" s="1103"/>
      <c r="C35" s="1308"/>
      <c r="D35" s="1309"/>
      <c r="E35" s="1309"/>
      <c r="F35" s="1309"/>
      <c r="G35" s="27"/>
      <c r="H35" s="905"/>
      <c r="I35" s="906"/>
      <c r="J35" s="910"/>
      <c r="K35" s="910"/>
      <c r="L35" s="910"/>
      <c r="M35" s="910"/>
      <c r="N35" s="911"/>
    </row>
    <row r="36" spans="1:14" ht="12.4" customHeight="1" x14ac:dyDescent="0.4">
      <c r="A36" s="902" t="s">
        <v>1096</v>
      </c>
      <c r="B36" s="1308">
        <f>+'5 ALMACEN '!W5</f>
        <v>0</v>
      </c>
      <c r="C36" s="1309"/>
      <c r="D36" s="1309"/>
      <c r="E36" s="1309"/>
      <c r="F36" s="1309"/>
      <c r="G36" s="28"/>
      <c r="H36" s="905"/>
      <c r="I36" s="906"/>
      <c r="J36" s="910"/>
      <c r="K36" s="910"/>
      <c r="L36" s="910"/>
      <c r="M36" s="910"/>
      <c r="N36" s="911"/>
    </row>
    <row r="37" spans="1:14" ht="12.4" customHeight="1" x14ac:dyDescent="0.4">
      <c r="A37" s="541"/>
      <c r="B37"/>
      <c r="C37"/>
      <c r="D37"/>
      <c r="E37" s="16"/>
      <c r="F37" s="16"/>
      <c r="G37" s="13"/>
      <c r="H37" s="905"/>
      <c r="I37" s="906"/>
      <c r="J37" s="910"/>
      <c r="K37" s="910"/>
      <c r="L37" s="910"/>
      <c r="M37" s="910"/>
      <c r="N37" s="911"/>
    </row>
    <row r="38" spans="1:14" ht="12.4" customHeight="1" x14ac:dyDescent="0.4">
      <c r="B38"/>
      <c r="C38"/>
      <c r="D38" s="3"/>
      <c r="E38" s="3"/>
      <c r="F38" s="3"/>
      <c r="G38" s="21"/>
      <c r="H38" s="909"/>
      <c r="I38" s="910"/>
      <c r="J38" s="910"/>
      <c r="K38" s="910"/>
      <c r="L38" s="910"/>
      <c r="M38" s="910"/>
      <c r="N38" s="911"/>
    </row>
    <row r="39" spans="1:14" ht="12.4" customHeight="1" x14ac:dyDescent="0.4">
      <c r="B39" s="24"/>
      <c r="C39"/>
      <c r="D39" s="3"/>
      <c r="E39" s="3"/>
      <c r="F39" s="3"/>
      <c r="G39" s="21"/>
      <c r="H39" s="909"/>
      <c r="I39" s="910"/>
      <c r="J39" s="910"/>
      <c r="K39" s="910"/>
      <c r="L39" s="910"/>
      <c r="M39" s="910"/>
      <c r="N39" s="911"/>
    </row>
    <row r="40" spans="1:14" ht="12.4" customHeight="1" x14ac:dyDescent="0.4">
      <c r="B40" s="24"/>
      <c r="C40"/>
      <c r="D40" s="3"/>
      <c r="E40" s="3"/>
      <c r="F40" s="3"/>
      <c r="G40" s="21"/>
      <c r="H40" s="909"/>
      <c r="I40" s="910"/>
      <c r="J40" s="910"/>
      <c r="K40" s="910"/>
      <c r="L40" s="910"/>
      <c r="M40" s="910"/>
      <c r="N40" s="911"/>
    </row>
    <row r="41" spans="1:14" ht="12.4" customHeight="1" x14ac:dyDescent="0.4">
      <c r="B41" s="24"/>
      <c r="C41"/>
      <c r="D41"/>
      <c r="E41"/>
      <c r="F41" s="3"/>
      <c r="G41" s="21"/>
      <c r="H41" s="909"/>
      <c r="I41" s="910"/>
      <c r="J41" s="910"/>
      <c r="K41" s="910"/>
      <c r="L41" s="910"/>
      <c r="M41" s="910"/>
      <c r="N41" s="911"/>
    </row>
    <row r="42" spans="1:14" ht="12.4" customHeight="1" x14ac:dyDescent="0.4">
      <c r="B42" s="24"/>
      <c r="C42"/>
      <c r="D42"/>
      <c r="E42"/>
      <c r="F42" s="3"/>
      <c r="G42" s="21"/>
      <c r="H42" s="909"/>
      <c r="I42" s="910"/>
      <c r="J42" s="910"/>
      <c r="K42" s="910"/>
      <c r="L42" s="910"/>
      <c r="M42" s="910"/>
      <c r="N42" s="911"/>
    </row>
    <row r="43" spans="1:14" ht="12.4" customHeight="1" x14ac:dyDescent="0.4">
      <c r="B43" s="24"/>
      <c r="C43"/>
      <c r="D43"/>
      <c r="E43"/>
      <c r="F43" s="3"/>
      <c r="G43" s="21"/>
      <c r="H43" s="909"/>
      <c r="I43" s="910"/>
      <c r="J43" s="910"/>
      <c r="K43" s="910"/>
      <c r="L43" s="910"/>
      <c r="M43" s="910"/>
      <c r="N43" s="911"/>
    </row>
    <row r="44" spans="1:14" ht="12.4" customHeight="1" x14ac:dyDescent="0.4">
      <c r="B44" s="24"/>
      <c r="C44"/>
      <c r="D44"/>
      <c r="E44"/>
      <c r="F44" s="3"/>
      <c r="G44" s="21"/>
      <c r="H44" s="909"/>
      <c r="I44" s="910"/>
      <c r="J44" s="910"/>
      <c r="K44" s="910"/>
      <c r="L44" s="910"/>
      <c r="M44" s="910"/>
      <c r="N44" s="911"/>
    </row>
    <row r="45" spans="1:14" ht="12.4" customHeight="1" x14ac:dyDescent="0.4">
      <c r="A45" s="24" t="s">
        <v>89</v>
      </c>
      <c r="B45" s="24"/>
      <c r="C45" s="3"/>
      <c r="D45" s="3"/>
      <c r="E45" s="3"/>
      <c r="F45" s="3"/>
      <c r="G45" s="21"/>
      <c r="H45" s="909"/>
      <c r="I45" s="910"/>
      <c r="J45" s="910"/>
      <c r="K45" s="910"/>
      <c r="L45" s="910"/>
      <c r="M45" s="910"/>
      <c r="N45" s="911"/>
    </row>
    <row r="46" spans="1:14" ht="12.4" customHeight="1" x14ac:dyDescent="0.4">
      <c r="A46" s="24"/>
      <c r="B46" s="24"/>
      <c r="C46" s="16"/>
      <c r="D46" s="23"/>
      <c r="E46" s="23"/>
      <c r="F46" s="23"/>
      <c r="G46" s="13"/>
      <c r="H46" s="912"/>
      <c r="I46" s="913"/>
      <c r="J46" s="913"/>
      <c r="K46" s="913"/>
      <c r="L46" s="913"/>
      <c r="M46" s="914"/>
      <c r="N46" s="907"/>
    </row>
    <row r="47" spans="1:14" ht="4.5" customHeight="1" x14ac:dyDescent="0.35">
      <c r="A47" s="51"/>
      <c r="B47" s="52"/>
      <c r="C47" s="52"/>
      <c r="D47" s="52"/>
      <c r="E47" s="41"/>
      <c r="F47" s="41"/>
      <c r="G47" s="49"/>
      <c r="H47" s="49"/>
      <c r="I47" s="49"/>
      <c r="J47" s="49"/>
      <c r="K47" s="49"/>
      <c r="L47" s="49"/>
    </row>
    <row r="48" spans="1:14" ht="24" hidden="1" customHeight="1" x14ac:dyDescent="0.35">
      <c r="A48" s="51"/>
      <c r="B48" s="51"/>
      <c r="C48" s="41"/>
      <c r="D48" s="41"/>
      <c r="E48" s="41"/>
      <c r="F48" s="41"/>
      <c r="G48" s="48"/>
      <c r="H48" s="53"/>
      <c r="I48" s="53"/>
      <c r="J48" s="53"/>
      <c r="K48" s="53"/>
      <c r="L48" s="53"/>
    </row>
    <row r="49" spans="1:12" ht="25.5" hidden="1" customHeight="1" x14ac:dyDescent="0.35">
      <c r="A49" s="51"/>
      <c r="B49" s="51"/>
      <c r="C49" s="41"/>
      <c r="D49" s="41"/>
      <c r="E49" s="41"/>
      <c r="F49" s="41"/>
      <c r="G49" s="41"/>
      <c r="H49" s="41"/>
      <c r="I49" s="41"/>
      <c r="J49" s="41"/>
      <c r="K49" s="41"/>
      <c r="L49" s="41"/>
    </row>
    <row r="50" spans="1:12" ht="25.5" hidden="1" customHeight="1" x14ac:dyDescent="0.35"/>
    <row r="51" spans="1:12" ht="25.5" hidden="1" customHeight="1" x14ac:dyDescent="0.35">
      <c r="A51">
        <f>+B27</f>
        <v>0</v>
      </c>
    </row>
    <row r="52" spans="1:12" ht="25.5" hidden="1" customHeight="1" x14ac:dyDescent="0.35">
      <c r="A52">
        <f>+B28</f>
        <v>0</v>
      </c>
    </row>
    <row r="53" spans="1:12" ht="25.5" hidden="1" customHeight="1" x14ac:dyDescent="0.35">
      <c r="A53">
        <f>+B29</f>
        <v>0</v>
      </c>
    </row>
    <row r="54" spans="1:12" ht="25.5" hidden="1" customHeight="1" x14ac:dyDescent="0.35">
      <c r="A54">
        <f>+B30</f>
        <v>0</v>
      </c>
    </row>
    <row r="55" spans="1:12" ht="25.5" hidden="1" customHeight="1" x14ac:dyDescent="0.35">
      <c r="A55" s="24">
        <f>+B33</f>
        <v>0</v>
      </c>
    </row>
    <row r="56" spans="1:12" ht="25.5" hidden="1" customHeight="1" x14ac:dyDescent="0.35">
      <c r="A56" s="24">
        <f>+B34</f>
        <v>0</v>
      </c>
      <c r="C56" s="47"/>
    </row>
    <row r="57" spans="1:12" hidden="1" x14ac:dyDescent="0.35">
      <c r="A57" s="24">
        <f>+B35</f>
        <v>0</v>
      </c>
    </row>
    <row r="58" spans="1:12" hidden="1" x14ac:dyDescent="0.35"/>
    <row r="59" spans="1:12" hidden="1" x14ac:dyDescent="0.35"/>
    <row r="60" spans="1:12" hidden="1" x14ac:dyDescent="0.35"/>
    <row r="61" spans="1:12" hidden="1" x14ac:dyDescent="0.35"/>
    <row r="62" spans="1:12" hidden="1" x14ac:dyDescent="0.35">
      <c r="A62" s="30" t="s">
        <v>1183</v>
      </c>
    </row>
    <row r="63" spans="1:12" hidden="1" x14ac:dyDescent="0.35">
      <c r="A63" s="30" t="s">
        <v>1165</v>
      </c>
    </row>
    <row r="64" spans="1:12" hidden="1" x14ac:dyDescent="0.35">
      <c r="A64" s="30" t="s">
        <v>1167</v>
      </c>
    </row>
    <row r="65" spans="1:1" hidden="1" x14ac:dyDescent="0.35">
      <c r="A65" s="30" t="s">
        <v>1164</v>
      </c>
    </row>
    <row r="66" spans="1:1" hidden="1" x14ac:dyDescent="0.35">
      <c r="A66" s="30" t="s">
        <v>1166</v>
      </c>
    </row>
    <row r="67" spans="1:1" hidden="1" x14ac:dyDescent="0.35">
      <c r="A67" s="30" t="s">
        <v>1182</v>
      </c>
    </row>
    <row r="68" spans="1:1" hidden="1" x14ac:dyDescent="0.35"/>
  </sheetData>
  <sheetProtection formatCells="0" formatColumns="0" formatRows="0" insertColumns="0" insertRows="0" insertHyperlinks="0" deleteColumns="0" deleteRows="0" sort="0" autoFilter="0" pivotTables="0"/>
  <customSheetViews>
    <customSheetView guid="{CF822260-65C0-11DB-9743-000854DFF85C}" scale="50" showRuler="0" topLeftCell="H35">
      <selection activeCell="R50" sqref="R50"/>
      <pageMargins left="0.59055118110236227" right="0.59055118110236227" top="0.39370078740157483" bottom="0.39370078740157483" header="0" footer="0"/>
      <pageSetup scale="43" orientation="landscape" horizontalDpi="300" verticalDpi="300" r:id="rId1"/>
      <headerFooter alignWithMargins="0"/>
    </customSheetView>
    <customSheetView guid="{15A61C62-840D-11DA-A6CD-BDC37E227F7F}" scale="50" showRuler="0" topLeftCell="H35">
      <selection activeCell="R50" sqref="R50"/>
      <pageMargins left="0.59055118110236227" right="0.59055118110236227" top="0.39370078740157483" bottom="0.39370078740157483" header="0" footer="0"/>
      <pageSetup scale="43" orientation="landscape" horizontalDpi="300" verticalDpi="300" r:id="rId2"/>
      <headerFooter alignWithMargins="0"/>
    </customSheetView>
    <customSheetView guid="{0083E5B0-44AE-40B5-9617-6484D451C028}" scale="50" showRuler="0" topLeftCell="H35">
      <selection activeCell="R50" sqref="R50"/>
      <pageMargins left="0.59055118110236227" right="0.59055118110236227" top="0.39370078740157483" bottom="0.39370078740157483" header="0" footer="0"/>
      <pageSetup scale="43" orientation="landscape" horizontalDpi="300" verticalDpi="300" r:id="rId3"/>
      <headerFooter alignWithMargins="0"/>
    </customSheetView>
    <customSheetView guid="{781ED8A8-51CE-4197-9E83-B42C8B1C8CEA}" scale="50" showRuler="0" topLeftCell="A8">
      <selection activeCell="E13" sqref="E13"/>
      <pageMargins left="0.59055118110236227" right="0.59055118110236227" top="0.39370078740157483" bottom="0.39370078740157483" header="0" footer="0"/>
      <pageSetup scale="43" orientation="landscape" horizontalDpi="300" verticalDpi="300" r:id="rId4"/>
      <headerFooter alignWithMargins="0"/>
    </customSheetView>
  </customSheetViews>
  <mergeCells count="25">
    <mergeCell ref="P4:AA4"/>
    <mergeCell ref="D2:H2"/>
    <mergeCell ref="A4:N4"/>
    <mergeCell ref="A15:B15"/>
    <mergeCell ref="A14:B14"/>
    <mergeCell ref="J2:N2"/>
    <mergeCell ref="A5:B13"/>
    <mergeCell ref="J25:N25"/>
    <mergeCell ref="H24:N24"/>
    <mergeCell ref="B24:F24"/>
    <mergeCell ref="B25:B26"/>
    <mergeCell ref="C25:F26"/>
    <mergeCell ref="A16:B16"/>
    <mergeCell ref="A31:A32"/>
    <mergeCell ref="C31:F31"/>
    <mergeCell ref="C32:F32"/>
    <mergeCell ref="C30:F30"/>
    <mergeCell ref="D1:H1"/>
    <mergeCell ref="C34:F34"/>
    <mergeCell ref="C33:F33"/>
    <mergeCell ref="C27:F27"/>
    <mergeCell ref="B36:F36"/>
    <mergeCell ref="C35:F35"/>
    <mergeCell ref="C29:F29"/>
    <mergeCell ref="C28:F28"/>
  </mergeCells>
  <phoneticPr fontId="0" type="noConversion"/>
  <conditionalFormatting sqref="C16:N16">
    <cfRule type="expression" dxfId="21" priority="1" stopIfTrue="1">
      <formula>IF(OR(C18="M6",C18="P1",),"VERDADERO","FALSO")</formula>
    </cfRule>
    <cfRule type="expression" dxfId="20" priority="2" stopIfTrue="1">
      <formula>IF(OR(C18="M2",C18="M1",),"VERDADERO","FALSO")</formula>
    </cfRule>
    <cfRule type="expression" dxfId="19" priority="3" stopIfTrue="1">
      <formula>IF(OR(C18="M8",C18="V3",),"VERDADERO","FALSO")</formula>
    </cfRule>
  </conditionalFormatting>
  <conditionalFormatting sqref="C15:N15">
    <cfRule type="expression" dxfId="18" priority="4" stopIfTrue="1">
      <formula>IF(C18="M2","VERDADERO","FALSO")</formula>
    </cfRule>
    <cfRule type="expression" dxfId="17" priority="5" stopIfTrue="1">
      <formula>IF(OR(C18="M6",C18="P1",C18="M8",C18="V3",C18="M2",),"VERDADERO","FALSO")</formula>
    </cfRule>
    <cfRule type="expression" dxfId="16" priority="6" stopIfTrue="1">
      <formula>IF(C18="M1","VERDADERO","FALSO")</formula>
    </cfRule>
  </conditionalFormatting>
  <conditionalFormatting sqref="C14:N14">
    <cfRule type="expression" dxfId="15" priority="7" stopIfTrue="1">
      <formula>IF(OR(C14="M1",C14=$B$31,C14=$B$32,C14=$A$37,),"verdadero","falso")</formula>
    </cfRule>
    <cfRule type="expression" dxfId="14" priority="8" stopIfTrue="1">
      <formula>IF(C18="M1","VERDADERO","FALSO")</formula>
    </cfRule>
  </conditionalFormatting>
  <dataValidations count="14">
    <dataValidation allowBlank="1" showInputMessage="1" showErrorMessage="1" promptTitle="ALTURA" prompt="DE 12 o 16" sqref="J26"/>
    <dataValidation type="list" allowBlank="1" showInputMessage="1" showErrorMessage="1" errorTitle="ERROR" error="NO ES UA TIPOLOGIA_x000a_DE PANEL" promptTitle="TIPOLOGIAS" prompt="M1,M2,M6,M8,V3,P1" sqref="C18:N18">
      <formula1>$A$62:$A$67</formula1>
    </dataValidation>
    <dataValidation type="decimal" operator="notBetween" allowBlank="1" showInputMessage="1" showErrorMessage="1" promptTitle="NOTA" prompt="MEDIDA EN CM" sqref="C20:N20">
      <formula1>1</formula1>
      <formula2>10</formula2>
    </dataValidation>
    <dataValidation type="whole" allowBlank="1" showInputMessage="1" showErrorMessage="1" errorTitle="ERROR" error="SOLO ACEPTA VALORES NUMERICOS Y ANCHOS HASTA 150 CM" promptTitle="ESTANDAR" prompt="28, 56, 70, 84, 112, 140" sqref="C21:N21">
      <formula1>1</formula1>
      <formula2>150</formula2>
    </dataValidation>
    <dataValidation type="textLength" allowBlank="1" showInputMessage="1" showErrorMessage="1" errorTitle="DATOS MUY EXTENSOS" error="INGRESAR NUMEROS _x000a_EN OBSERVACIONES" promptTitle="NOTA" prompt="INGRESAR NUMERO DE PANEL" sqref="C19:N19">
      <formula1>1</formula1>
      <formula2>12</formula2>
    </dataValidation>
    <dataValidation type="list" allowBlank="1" showInputMessage="1" showErrorMessage="1" errorTitle="ERROR" error="INGRESAR SIGLAS PRIMERO EN ACABADOS_x000a_NO SE PERMITEN SIGLAS PARA VIDRIOS" promptTitle="NOTA" prompt="INGRESAR SIGLAS PARA ANTEPECHO" sqref="C16:N16">
      <formula1>$A$51:$A$57</formula1>
    </dataValidation>
    <dataValidation allowBlank="1" showInputMessage="1" showErrorMessage="1" promptTitle="NOTA" prompt="COLOR DE ALUMINIO" sqref="B36"/>
    <dataValidation allowBlank="1" showInputMessage="1" showErrorMessage="1" errorTitle="ERROR" error="NO COINCIDE" promptTitle="SIGLA" prompt="MODULO LAMINA PERFORADA" sqref="B34:B35"/>
    <dataValidation type="list" allowBlank="1" showInputMessage="1" showErrorMessage="1" errorTitle="ERROR" error="NO EXISTE ESTA SIGLA" promptTitle="SIGLAS" prompt="V, VT, VTT, VSB" sqref="B31:B32">
      <formula1>SIGLASV</formula1>
    </dataValidation>
    <dataValidation allowBlank="1" showInputMessage="1" showErrorMessage="1" errorTitle="ERROR" error="NO COINCIDE" promptTitle="INGRESAR" prompt="SIGLAS DE TELAS" sqref="B27:B30"/>
    <dataValidation allowBlank="1" showInputMessage="1" showErrorMessage="1" errorTitle="ERROR" error="NO COINCIDE" promptTitle="SIGLA" prompt="FORMICA P,T," sqref="B33"/>
    <dataValidation type="textLength" operator="equal" allowBlank="1" showInputMessage="1" showErrorMessage="1" errorTitle="ERROR" error="INGRESAR DATOS EN HOJA 5" promptTitle="NOTA" prompt="INTRODUCIR EN HOJA 5" sqref="M1:S1 J2:N2 D2:H2">
      <formula1>0</formula1>
    </dataValidation>
    <dataValidation type="list" allowBlank="1" showInputMessage="1" showErrorMessage="1" errorTitle="ERROR" error="NO COINCIDE" promptTitle="NOTA" prompt="INGRESAR SIGLAS PARA EL MONTANTE" sqref="C14:N14">
      <formula1>ACABADOS</formula1>
    </dataValidation>
    <dataValidation type="list" allowBlank="1" showInputMessage="1" showErrorMessage="1" errorTitle="ERROR" error="NO ES SIGLA DE VIDRIO" promptTitle="NOTA" prompt="INGRESAR SIGLAS PARA EL TIPO DE VIDRIO" sqref="C15:N15">
      <formula1>VPT</formula1>
    </dataValidation>
  </dataValidations>
  <printOptions horizontalCentered="1" verticalCentered="1"/>
  <pageMargins left="0.35433070866141736" right="0.19685039370078741" top="0.23622047244094491" bottom="0.27559055118110237" header="0" footer="0"/>
  <pageSetup scale="86" orientation="landscape" r:id="rId5"/>
  <headerFooter alignWithMargins="0"/>
  <drawing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 enableFormatConditionsCalculation="0">
    <tabColor indexed="43"/>
  </sheetPr>
  <dimension ref="A1:EL65536"/>
  <sheetViews>
    <sheetView showGridLines="0" showZeros="0" showOutlineSymbols="0" zoomScaleNormal="102" workbookViewId="0">
      <selection activeCell="W1" sqref="W1:Z1"/>
    </sheetView>
  </sheetViews>
  <sheetFormatPr baseColWidth="10" defaultColWidth="0" defaultRowHeight="25.5" zeroHeight="1" x14ac:dyDescent="0.2"/>
  <cols>
    <col min="1" max="1" width="14.28515625" style="31" customWidth="1"/>
    <col min="2" max="2" width="6.28515625" style="31" customWidth="1"/>
    <col min="3" max="3" width="5.5703125" style="31" customWidth="1"/>
    <col min="4" max="4" width="0.7109375" style="31" customWidth="1"/>
    <col min="5" max="5" width="21.28515625" style="31" customWidth="1"/>
    <col min="6" max="6" width="5.140625" style="31" customWidth="1"/>
    <col min="7" max="7" width="0.7109375" style="31" customWidth="1"/>
    <col min="8" max="8" width="27.140625" style="31" customWidth="1"/>
    <col min="9" max="9" width="5.140625" style="31" customWidth="1"/>
    <col min="10" max="10" width="0.7109375" style="31" customWidth="1"/>
    <col min="11" max="11" width="8.42578125" style="31" customWidth="1"/>
    <col min="12" max="12" width="5.7109375" style="31" customWidth="1"/>
    <col min="13" max="13" width="0.7109375" style="31" customWidth="1"/>
    <col min="14" max="14" width="4.7109375" style="31" customWidth="1"/>
    <col min="15" max="15" width="5.28515625" style="31" customWidth="1"/>
    <col min="16" max="16" width="0.7109375" style="31" customWidth="1"/>
    <col min="17" max="17" width="10.85546875" style="31" customWidth="1"/>
    <col min="18" max="18" width="5.42578125" style="31" customWidth="1"/>
    <col min="19" max="19" width="0.7109375" style="31" customWidth="1"/>
    <col min="20" max="20" width="22.28515625" style="31" customWidth="1"/>
    <col min="21" max="21" width="5" style="31" customWidth="1"/>
    <col min="22" max="22" width="0.7109375" style="31" customWidth="1"/>
    <col min="23" max="23" width="4.140625" style="31" customWidth="1"/>
    <col min="24" max="24" width="0.7109375" style="31" customWidth="1"/>
    <col min="25" max="25" width="1.140625" style="31" customWidth="1"/>
    <col min="26" max="26" width="14.28515625" style="31" customWidth="1"/>
    <col min="27" max="27" width="9.28515625" style="31" customWidth="1"/>
    <col min="28" max="28" width="2.42578125" style="31" customWidth="1"/>
    <col min="29" max="29" width="0.7109375" style="55" customWidth="1"/>
    <col min="30" max="30" width="25" style="55" hidden="1" customWidth="1"/>
    <col min="31" max="31" width="19.7109375" style="55" hidden="1" customWidth="1"/>
    <col min="32" max="35" width="15.28515625" style="55" hidden="1" customWidth="1"/>
    <col min="36" max="142" width="11.42578125" style="55" hidden="1" customWidth="1"/>
    <col min="143" max="16384" width="11.42578125" style="31" hidden="1"/>
  </cols>
  <sheetData>
    <row r="1" spans="1:142" ht="29.25" customHeight="1" x14ac:dyDescent="0.2">
      <c r="A1" s="714" t="s">
        <v>90</v>
      </c>
      <c r="B1" s="714"/>
      <c r="C1" s="714"/>
      <c r="D1" s="714"/>
      <c r="E1" s="1314" t="s">
        <v>98</v>
      </c>
      <c r="F1" s="1314"/>
      <c r="G1" s="1314"/>
      <c r="H1" s="1314"/>
      <c r="I1" s="1314"/>
      <c r="J1" s="1314"/>
      <c r="K1" s="1314"/>
      <c r="L1" s="1314"/>
      <c r="M1" s="1314"/>
      <c r="N1" s="1314"/>
      <c r="O1" s="1314"/>
      <c r="P1" s="1314"/>
      <c r="Q1" s="1314"/>
      <c r="S1" s="1590" t="s">
        <v>1091</v>
      </c>
      <c r="T1" s="1590"/>
      <c r="U1" s="1590"/>
      <c r="V1" s="1590"/>
      <c r="W1" s="1515"/>
      <c r="X1" s="1515"/>
      <c r="Y1" s="1515"/>
      <c r="Z1" s="1515"/>
      <c r="AA1" s="943"/>
      <c r="AB1" s="942"/>
    </row>
    <row r="2" spans="1:142" ht="28.5" customHeight="1" x14ac:dyDescent="0.25">
      <c r="A2" s="32"/>
      <c r="B2" s="1591" t="s">
        <v>99</v>
      </c>
      <c r="C2" s="1591"/>
      <c r="D2" s="1398"/>
      <c r="E2" s="1398"/>
      <c r="F2" s="1398"/>
      <c r="G2" s="1398"/>
      <c r="H2" s="1398"/>
      <c r="I2" s="1398"/>
      <c r="J2" s="1398"/>
      <c r="K2" s="1398"/>
      <c r="L2" s="1398"/>
      <c r="M2" s="1398"/>
      <c r="N2" s="1398"/>
      <c r="O2" s="1589" t="s">
        <v>97</v>
      </c>
      <c r="P2" s="1589"/>
      <c r="Q2" s="1589"/>
      <c r="R2" s="1589"/>
      <c r="S2" s="1398"/>
      <c r="T2" s="1398"/>
      <c r="U2" s="1398"/>
      <c r="V2" s="1398"/>
      <c r="W2" s="1398"/>
      <c r="X2" s="1398"/>
      <c r="Y2" s="1398"/>
      <c r="Z2" s="1398"/>
      <c r="AA2" s="1398"/>
      <c r="AB2" s="1398"/>
    </row>
    <row r="3" spans="1:142" ht="3" customHeight="1" x14ac:dyDescent="0.2">
      <c r="A3" s="714"/>
      <c r="B3" s="714"/>
      <c r="C3" s="714"/>
      <c r="D3" s="714"/>
      <c r="E3" s="714"/>
      <c r="F3" s="714"/>
      <c r="G3" s="714"/>
      <c r="H3" s="714"/>
      <c r="I3" s="714"/>
      <c r="J3" s="714"/>
      <c r="K3" s="714"/>
      <c r="L3" s="714"/>
      <c r="M3" s="714"/>
      <c r="N3" s="714"/>
      <c r="O3" s="714"/>
      <c r="P3" s="714"/>
      <c r="Q3" s="714"/>
      <c r="R3" s="714"/>
      <c r="S3" s="714"/>
      <c r="T3" s="714"/>
      <c r="U3" s="714"/>
      <c r="V3" s="714"/>
      <c r="W3" s="714"/>
      <c r="X3" s="714"/>
      <c r="Y3" s="714"/>
      <c r="Z3" s="714"/>
      <c r="AA3" s="714"/>
      <c r="AB3" s="714"/>
      <c r="AI3" s="730"/>
      <c r="AJ3" s="730"/>
    </row>
    <row r="4" spans="1:142" s="32" customFormat="1" ht="16.5" customHeight="1" x14ac:dyDescent="0.2">
      <c r="A4" s="1329" t="s">
        <v>13</v>
      </c>
      <c r="B4" s="1329"/>
      <c r="C4" s="1329"/>
      <c r="D4" s="1329"/>
      <c r="E4" s="1329"/>
      <c r="F4" s="1329"/>
      <c r="G4" s="1329"/>
      <c r="H4" s="1329"/>
      <c r="I4" s="1329"/>
      <c r="J4" s="1329"/>
      <c r="K4" s="1329"/>
      <c r="L4" s="1329"/>
      <c r="M4" s="1329"/>
      <c r="N4" s="1329"/>
      <c r="O4" s="1329"/>
      <c r="P4" s="1329"/>
      <c r="Q4" s="1329"/>
      <c r="R4" s="1329"/>
      <c r="S4" s="1329"/>
      <c r="T4" s="1329"/>
      <c r="U4" s="1329"/>
      <c r="V4" s="715"/>
      <c r="W4" s="1329" t="s">
        <v>5</v>
      </c>
      <c r="X4" s="1329"/>
      <c r="Y4" s="1329"/>
      <c r="Z4" s="1329"/>
      <c r="AA4" s="1329"/>
      <c r="AB4" s="1329"/>
      <c r="AC4" s="55"/>
      <c r="AD4" s="55"/>
      <c r="AE4" s="55"/>
      <c r="AF4" s="55"/>
      <c r="AG4" s="55"/>
      <c r="AH4" s="55"/>
      <c r="AI4" s="730"/>
      <c r="AJ4" s="730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5"/>
      <c r="CA4" s="55"/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5"/>
      <c r="CT4" s="55"/>
      <c r="CU4" s="55"/>
      <c r="CV4" s="55"/>
      <c r="CW4" s="55"/>
      <c r="CX4" s="55"/>
      <c r="CY4" s="55"/>
      <c r="CZ4" s="55"/>
      <c r="DA4" s="55"/>
      <c r="DB4" s="55"/>
      <c r="DC4" s="55"/>
      <c r="DD4" s="55"/>
      <c r="DE4" s="55"/>
      <c r="DF4" s="55"/>
      <c r="DG4" s="55"/>
      <c r="DH4" s="55"/>
      <c r="DI4" s="55"/>
      <c r="DJ4" s="55"/>
      <c r="DK4" s="55"/>
      <c r="DL4" s="55"/>
      <c r="DM4" s="55"/>
      <c r="DN4" s="55"/>
      <c r="DO4" s="55"/>
      <c r="DP4" s="55"/>
      <c r="DQ4" s="55"/>
      <c r="DR4" s="55"/>
      <c r="DS4" s="55"/>
      <c r="DT4" s="55"/>
      <c r="DU4" s="55"/>
      <c r="DV4" s="55"/>
      <c r="DW4" s="55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</row>
    <row r="5" spans="1:142" s="34" customFormat="1" ht="15" customHeight="1" x14ac:dyDescent="0.2">
      <c r="A5" s="1586" t="s">
        <v>17</v>
      </c>
      <c r="B5" s="1587"/>
      <c r="C5" s="1588"/>
      <c r="D5" s="932"/>
      <c r="E5" s="1595" t="s">
        <v>258</v>
      </c>
      <c r="F5" s="1595"/>
      <c r="G5" s="967"/>
      <c r="H5" s="1555" t="s">
        <v>1220</v>
      </c>
      <c r="I5" s="1555"/>
      <c r="J5" s="932"/>
      <c r="K5" s="1242" t="str">
        <f>IF(AB1="X","TAPA DUCTO LAY IN","DUCTOS DE ")</f>
        <v xml:space="preserve">DUCTOS DE </v>
      </c>
      <c r="L5" s="1035">
        <f>+'3 ALUMINIOS'!J23</f>
        <v>0</v>
      </c>
      <c r="M5" s="930"/>
      <c r="N5" s="1595" t="s">
        <v>1222</v>
      </c>
      <c r="O5" s="1595"/>
      <c r="P5" s="1595"/>
      <c r="Q5" s="1595"/>
      <c r="R5" s="1595"/>
      <c r="S5" s="932"/>
      <c r="T5" s="1570" t="s">
        <v>1087</v>
      </c>
      <c r="U5" s="1572"/>
      <c r="V5" s="57"/>
      <c r="W5" s="1596"/>
      <c r="X5" s="1597"/>
      <c r="Y5" s="1597"/>
      <c r="Z5" s="1597"/>
      <c r="AA5" s="1597"/>
      <c r="AB5" s="1598"/>
      <c r="AC5" s="539"/>
      <c r="AD5" s="539"/>
      <c r="AE5" s="539"/>
      <c r="AF5" s="539"/>
      <c r="AG5" s="539"/>
      <c r="AH5" s="539"/>
      <c r="AI5" s="1592"/>
      <c r="AJ5" s="1592"/>
      <c r="AK5" s="539"/>
      <c r="AL5" s="539"/>
      <c r="AM5" s="539"/>
      <c r="AN5" s="539"/>
      <c r="AO5" s="539"/>
      <c r="AP5" s="539"/>
      <c r="AQ5" s="539"/>
      <c r="AR5" s="539"/>
      <c r="AS5" s="539"/>
      <c r="AT5" s="539"/>
      <c r="AU5" s="539"/>
      <c r="AV5" s="539"/>
      <c r="AW5" s="539"/>
      <c r="AX5" s="539"/>
      <c r="AY5" s="539"/>
      <c r="AZ5" s="539"/>
      <c r="BA5" s="539"/>
      <c r="BB5" s="539"/>
      <c r="BC5" s="539"/>
      <c r="BD5" s="539"/>
      <c r="BE5" s="539"/>
      <c r="BF5" s="539"/>
      <c r="BG5" s="539"/>
      <c r="BH5" s="539"/>
      <c r="BI5" s="539"/>
      <c r="BJ5" s="539"/>
      <c r="BK5" s="539"/>
      <c r="BL5" s="539"/>
      <c r="BM5" s="539"/>
      <c r="BN5" s="539"/>
      <c r="BO5" s="539"/>
      <c r="BP5" s="539"/>
      <c r="BQ5" s="539"/>
      <c r="BR5" s="539"/>
      <c r="BS5" s="539"/>
      <c r="BT5" s="539"/>
      <c r="BU5" s="539"/>
      <c r="BV5" s="539"/>
      <c r="BW5" s="539"/>
      <c r="BX5" s="539"/>
      <c r="BY5" s="539"/>
      <c r="BZ5" s="539"/>
      <c r="CA5" s="539"/>
      <c r="CB5" s="539"/>
      <c r="CC5" s="539"/>
      <c r="CD5" s="539"/>
      <c r="CE5" s="539"/>
      <c r="CF5" s="539"/>
      <c r="CG5" s="539"/>
      <c r="CH5" s="539"/>
      <c r="CI5" s="539"/>
      <c r="CJ5" s="539"/>
      <c r="CK5" s="539"/>
      <c r="CL5" s="539"/>
      <c r="CM5" s="539"/>
      <c r="CN5" s="539"/>
      <c r="CO5" s="539"/>
      <c r="CP5" s="539"/>
      <c r="CQ5" s="539"/>
      <c r="CR5" s="539"/>
      <c r="CS5" s="539"/>
      <c r="CT5" s="539"/>
      <c r="CU5" s="539"/>
      <c r="CV5" s="539"/>
      <c r="CW5" s="539"/>
      <c r="CX5" s="539"/>
      <c r="CY5" s="539"/>
      <c r="CZ5" s="539"/>
      <c r="DA5" s="539"/>
      <c r="DB5" s="539"/>
      <c r="DC5" s="539"/>
      <c r="DD5" s="539"/>
      <c r="DE5" s="539"/>
      <c r="DF5" s="539"/>
      <c r="DG5" s="539"/>
      <c r="DH5" s="539"/>
      <c r="DI5" s="539"/>
      <c r="DJ5" s="539"/>
      <c r="DK5" s="539"/>
      <c r="DL5" s="539"/>
      <c r="DM5" s="539"/>
      <c r="DN5" s="539"/>
      <c r="DO5" s="539"/>
      <c r="DP5" s="539"/>
      <c r="DQ5" s="539"/>
      <c r="DR5" s="539"/>
      <c r="DS5" s="539"/>
      <c r="DT5" s="539"/>
      <c r="DU5" s="539"/>
      <c r="DV5" s="539"/>
      <c r="DW5" s="539"/>
      <c r="DX5" s="539"/>
      <c r="DY5" s="539"/>
      <c r="DZ5" s="539"/>
      <c r="EA5" s="539"/>
      <c r="EB5" s="539"/>
      <c r="EC5" s="539"/>
      <c r="ED5" s="539"/>
      <c r="EE5" s="539"/>
      <c r="EF5" s="539"/>
      <c r="EG5" s="539"/>
      <c r="EH5" s="539"/>
      <c r="EI5" s="539"/>
      <c r="EJ5" s="539"/>
      <c r="EK5" s="539"/>
      <c r="EL5" s="539"/>
    </row>
    <row r="6" spans="1:142" ht="15" customHeight="1" thickBot="1" x14ac:dyDescent="0.25">
      <c r="A6" s="927" t="s">
        <v>18</v>
      </c>
      <c r="B6" s="1232" t="s">
        <v>19</v>
      </c>
      <c r="C6" s="1232" t="s">
        <v>20</v>
      </c>
      <c r="D6" s="57"/>
      <c r="E6" s="929" t="s">
        <v>18</v>
      </c>
      <c r="F6" s="927" t="s">
        <v>26</v>
      </c>
      <c r="G6" s="930"/>
      <c r="H6" s="929" t="s">
        <v>18</v>
      </c>
      <c r="I6" s="927" t="s">
        <v>26</v>
      </c>
      <c r="J6" s="57"/>
      <c r="K6" s="929" t="s">
        <v>18</v>
      </c>
      <c r="L6" s="929" t="s">
        <v>26</v>
      </c>
      <c r="M6" s="58"/>
      <c r="N6" s="1576" t="s">
        <v>18</v>
      </c>
      <c r="O6" s="1577"/>
      <c r="P6" s="1577"/>
      <c r="Q6" s="1578"/>
      <c r="R6" s="927" t="s">
        <v>26</v>
      </c>
      <c r="S6" s="57"/>
      <c r="T6" s="929" t="s">
        <v>18</v>
      </c>
      <c r="U6" s="927" t="s">
        <v>26</v>
      </c>
      <c r="V6" s="54"/>
      <c r="W6" s="1599"/>
      <c r="X6" s="1600"/>
      <c r="Y6" s="1600"/>
      <c r="Z6" s="1600"/>
      <c r="AA6" s="1600"/>
      <c r="AB6" s="1601"/>
      <c r="AI6" s="731"/>
      <c r="AJ6" s="731"/>
    </row>
    <row r="7" spans="1:142" ht="15" customHeight="1" thickTop="1" x14ac:dyDescent="0.2">
      <c r="A7" s="1016" t="s">
        <v>52</v>
      </c>
      <c r="B7" s="933"/>
      <c r="C7" s="933"/>
      <c r="D7" s="54"/>
      <c r="E7" s="1040" t="s">
        <v>1142</v>
      </c>
      <c r="F7" s="933"/>
      <c r="G7" s="966"/>
      <c r="H7" s="1041" t="s">
        <v>1253</v>
      </c>
      <c r="I7" s="933"/>
      <c r="J7" s="54"/>
      <c r="K7" s="1042" t="s">
        <v>65</v>
      </c>
      <c r="L7" s="1036">
        <f>SUMIF(FORMULAS!$BG$64:$ET$64,28,FORMULAS!$BG$65:$ET$65)</f>
        <v>0</v>
      </c>
      <c r="M7" s="56"/>
      <c r="N7" s="1567" t="s">
        <v>1230</v>
      </c>
      <c r="O7" s="1568"/>
      <c r="P7" s="1568"/>
      <c r="Q7" s="1569"/>
      <c r="R7" s="933"/>
      <c r="S7" s="54"/>
      <c r="T7" s="1025" t="s">
        <v>1104</v>
      </c>
      <c r="U7" s="1044">
        <f>+'3 ALUMINIOS'!B16+'3 ALUMINIOS'!C16+'3 ALUMINIOS'!D16+'3 ALUMINIOS'!E16+'3 ALUMINIOS'!F16</f>
        <v>0</v>
      </c>
      <c r="V7" s="54"/>
      <c r="AD7" s="1032" t="s">
        <v>34</v>
      </c>
      <c r="AE7" s="1032" t="s">
        <v>1149</v>
      </c>
      <c r="AF7" s="1033"/>
      <c r="AG7" s="1034"/>
      <c r="AI7" s="732"/>
      <c r="AJ7" s="732"/>
    </row>
    <row r="8" spans="1:142" ht="15" customHeight="1" x14ac:dyDescent="0.2">
      <c r="A8" s="1016" t="s">
        <v>53</v>
      </c>
      <c r="B8" s="933"/>
      <c r="C8" s="933"/>
      <c r="D8" s="54"/>
      <c r="E8" s="1040" t="s">
        <v>1051</v>
      </c>
      <c r="F8" s="933"/>
      <c r="G8" s="966"/>
      <c r="H8" s="1041" t="s">
        <v>1254</v>
      </c>
      <c r="I8" s="933"/>
      <c r="J8" s="54"/>
      <c r="K8" s="1042" t="s">
        <v>859</v>
      </c>
      <c r="L8" s="1036">
        <f>SUMIF(FORMULAS!$BG$64:$ET$64,30,FORMULAS!$BG$65:$ET$65)</f>
        <v>0</v>
      </c>
      <c r="M8" s="56"/>
      <c r="N8" s="1567" t="s">
        <v>1229</v>
      </c>
      <c r="O8" s="1568"/>
      <c r="P8" s="1568"/>
      <c r="Q8" s="1569"/>
      <c r="R8" s="933"/>
      <c r="S8" s="54"/>
      <c r="T8" s="1025" t="s">
        <v>1105</v>
      </c>
      <c r="U8" s="1044">
        <f>+'3 ALUMINIOS'!B43</f>
        <v>0</v>
      </c>
      <c r="V8" s="54"/>
      <c r="W8" s="1593" t="s">
        <v>11</v>
      </c>
      <c r="X8" s="1329"/>
      <c r="Y8" s="1329"/>
      <c r="Z8" s="1329"/>
      <c r="AA8" s="1329"/>
      <c r="AB8" s="1594"/>
      <c r="AD8" s="1029" t="s">
        <v>35</v>
      </c>
      <c r="AE8" s="1029" t="s">
        <v>1150</v>
      </c>
      <c r="AF8" s="1029"/>
      <c r="AG8" s="1029"/>
      <c r="AI8" s="732"/>
      <c r="AJ8" s="732"/>
    </row>
    <row r="9" spans="1:142" ht="15" customHeight="1" x14ac:dyDescent="0.2">
      <c r="A9" s="1016" t="s">
        <v>54</v>
      </c>
      <c r="B9" s="933"/>
      <c r="C9" s="933"/>
      <c r="D9" s="54"/>
      <c r="E9" s="1025" t="s">
        <v>1093</v>
      </c>
      <c r="F9" s="933"/>
      <c r="G9" s="966"/>
      <c r="H9" s="1041" t="s">
        <v>1255</v>
      </c>
      <c r="I9" s="933"/>
      <c r="J9" s="54"/>
      <c r="K9" s="1042" t="s">
        <v>64</v>
      </c>
      <c r="L9" s="1036">
        <f>SUMIF(FORMULAS!$BG$64:$ET$64,56,FORMULAS!$BG$65:$ET$65)-L19</f>
        <v>0</v>
      </c>
      <c r="M9" s="56"/>
      <c r="N9" s="1567" t="s">
        <v>1231</v>
      </c>
      <c r="O9" s="1568"/>
      <c r="P9" s="1568"/>
      <c r="Q9" s="1569"/>
      <c r="R9" s="933"/>
      <c r="S9" s="54"/>
      <c r="T9" s="1025" t="s">
        <v>1112</v>
      </c>
      <c r="U9" s="1044">
        <f>+'3 ALUMINIOS'!G43</f>
        <v>0</v>
      </c>
      <c r="V9" s="54"/>
      <c r="W9" s="1563"/>
      <c r="X9" s="1564"/>
      <c r="Y9" s="1564"/>
      <c r="Z9" s="1564"/>
      <c r="AA9" s="1564"/>
      <c r="AB9" s="1565"/>
      <c r="AD9" s="1029" t="s">
        <v>36</v>
      </c>
      <c r="AE9" s="1029" t="s">
        <v>1151</v>
      </c>
      <c r="AF9" s="1029"/>
      <c r="AG9" s="1029"/>
      <c r="AI9" s="732"/>
      <c r="AJ9" s="732"/>
    </row>
    <row r="10" spans="1:142" ht="15" customHeight="1" x14ac:dyDescent="0.2">
      <c r="A10" s="1016" t="s">
        <v>55</v>
      </c>
      <c r="B10" s="933"/>
      <c r="C10" s="933"/>
      <c r="D10" s="54"/>
      <c r="E10" s="1025" t="s">
        <v>30</v>
      </c>
      <c r="F10" s="933"/>
      <c r="G10" s="966"/>
      <c r="H10" s="1041" t="s">
        <v>1256</v>
      </c>
      <c r="I10" s="933"/>
      <c r="J10" s="54"/>
      <c r="K10" s="1042" t="s">
        <v>888</v>
      </c>
      <c r="L10" s="1036">
        <f>SUMIF(FORMULAS!$BG$64:$ET$64,60,FORMULAS!$BG$65:$ET$65)-L20</f>
        <v>0</v>
      </c>
      <c r="M10" s="56"/>
      <c r="N10" s="1567" t="s">
        <v>1237</v>
      </c>
      <c r="O10" s="1568"/>
      <c r="P10" s="1568"/>
      <c r="Q10" s="1569"/>
      <c r="R10" s="933"/>
      <c r="S10" s="54"/>
      <c r="T10" s="1026" t="s">
        <v>816</v>
      </c>
      <c r="U10" s="1044">
        <f>+'3 ALUMINIOS'!B17+'3 ALUMINIOS'!C17+'3 ALUMINIOS'!D17+'3 ALUMINIOS'!E17+'3 ALUMINIOS'!F17</f>
        <v>0</v>
      </c>
      <c r="V10" s="54"/>
      <c r="W10" s="1563"/>
      <c r="X10" s="1564"/>
      <c r="Y10" s="1564"/>
      <c r="Z10" s="1564"/>
      <c r="AA10" s="1564"/>
      <c r="AB10" s="1565"/>
      <c r="AD10" s="1029" t="s">
        <v>37</v>
      </c>
      <c r="AE10" s="1029" t="s">
        <v>1152</v>
      </c>
      <c r="AF10" s="1029"/>
      <c r="AG10" s="1029"/>
      <c r="AI10" s="732"/>
      <c r="AJ10" s="732"/>
    </row>
    <row r="11" spans="1:142" ht="15" customHeight="1" x14ac:dyDescent="0.2">
      <c r="A11" s="1016" t="s">
        <v>56</v>
      </c>
      <c r="B11" s="933"/>
      <c r="C11" s="933"/>
      <c r="D11" s="54"/>
      <c r="E11" s="1016" t="s">
        <v>164</v>
      </c>
      <c r="F11" s="933"/>
      <c r="G11" s="966"/>
      <c r="H11" s="1041" t="s">
        <v>1257</v>
      </c>
      <c r="I11" s="933"/>
      <c r="J11" s="54"/>
      <c r="K11" s="1042" t="s">
        <v>66</v>
      </c>
      <c r="L11" s="1036">
        <f>SUMIF(FORMULAS!$BG$64:$ET$64,70,FORMULAS!$BG$65:$ET$65)-L21</f>
        <v>0</v>
      </c>
      <c r="M11" s="56"/>
      <c r="N11" s="1567" t="s">
        <v>1226</v>
      </c>
      <c r="O11" s="1568"/>
      <c r="P11" s="1568"/>
      <c r="Q11" s="1569"/>
      <c r="R11" s="933"/>
      <c r="S11" s="54"/>
      <c r="T11" s="1026" t="s">
        <v>1113</v>
      </c>
      <c r="U11" s="1044"/>
      <c r="V11" s="54"/>
      <c r="W11" s="1563"/>
      <c r="X11" s="1564"/>
      <c r="Y11" s="1564"/>
      <c r="Z11" s="1564"/>
      <c r="AA11" s="1564"/>
      <c r="AB11" s="1565"/>
      <c r="AD11" s="1029" t="s">
        <v>1041</v>
      </c>
      <c r="AE11" s="1029" t="s">
        <v>1153</v>
      </c>
      <c r="AF11" s="1029"/>
      <c r="AG11" s="1029"/>
      <c r="AI11" s="732"/>
      <c r="AJ11" s="732"/>
    </row>
    <row r="12" spans="1:142" ht="15" customHeight="1" x14ac:dyDescent="0.2">
      <c r="A12" s="1016" t="s">
        <v>57</v>
      </c>
      <c r="B12" s="933"/>
      <c r="C12" s="933"/>
      <c r="D12" s="54"/>
      <c r="E12" s="1017" t="s">
        <v>1145</v>
      </c>
      <c r="F12" s="933"/>
      <c r="G12" s="966"/>
      <c r="H12" s="1041" t="s">
        <v>1258</v>
      </c>
      <c r="I12" s="933"/>
      <c r="J12" s="54"/>
      <c r="K12" s="1042" t="s">
        <v>902</v>
      </c>
      <c r="L12" s="1036">
        <f>SUMIF(FORMULAS!$BG$64:$ET$64,75,FORMULAS!$BG$65:$ET$65)-L22</f>
        <v>0</v>
      </c>
      <c r="M12" s="56"/>
      <c r="N12" s="1567" t="s">
        <v>1232</v>
      </c>
      <c r="O12" s="1568"/>
      <c r="P12" s="1568"/>
      <c r="Q12" s="1569"/>
      <c r="R12" s="933"/>
      <c r="S12" s="54"/>
      <c r="T12" s="1026" t="s">
        <v>1047</v>
      </c>
      <c r="U12" s="1044">
        <f>+'3 ALUMINIOS'!B12+'3 ALUMINIOS'!C12+'3 ALUMINIOS'!D12+'3 ALUMINIOS'!E12+'3 ALUMINIOS'!F12</f>
        <v>0</v>
      </c>
      <c r="V12" s="54"/>
      <c r="W12" s="1563"/>
      <c r="X12" s="1564"/>
      <c r="Y12" s="1564"/>
      <c r="Z12" s="1564"/>
      <c r="AA12" s="1564"/>
      <c r="AB12" s="1565"/>
      <c r="AD12" s="1029" t="s">
        <v>38</v>
      </c>
      <c r="AE12" s="1029" t="s">
        <v>1154</v>
      </c>
      <c r="AF12" s="1029"/>
      <c r="AG12" s="1029"/>
      <c r="AI12" s="732"/>
      <c r="AJ12" s="732"/>
    </row>
    <row r="13" spans="1:142" ht="15" customHeight="1" x14ac:dyDescent="0.2">
      <c r="A13" s="1016" t="s">
        <v>58</v>
      </c>
      <c r="B13" s="933"/>
      <c r="C13" s="933"/>
      <c r="D13" s="54"/>
      <c r="E13" s="1016" t="s">
        <v>1055</v>
      </c>
      <c r="F13" s="933"/>
      <c r="G13" s="966"/>
      <c r="H13" s="1041" t="s">
        <v>1259</v>
      </c>
      <c r="I13" s="933"/>
      <c r="J13" s="54"/>
      <c r="K13" s="1042" t="s">
        <v>67</v>
      </c>
      <c r="L13" s="1036">
        <f>SUMIF(FORMULAS!$BG$64:$ET$64,84,FORMULAS!$BG$65:$ET$65)-L23</f>
        <v>0</v>
      </c>
      <c r="M13" s="56"/>
      <c r="N13" s="1567" t="s">
        <v>1227</v>
      </c>
      <c r="O13" s="1568"/>
      <c r="P13" s="1568"/>
      <c r="Q13" s="1569"/>
      <c r="R13" s="933"/>
      <c r="S13" s="59"/>
      <c r="T13" s="1026" t="s">
        <v>1049</v>
      </c>
      <c r="U13" s="1044">
        <f>+'3 ALUMINIOS'!D43</f>
        <v>0</v>
      </c>
      <c r="V13" s="59"/>
      <c r="W13" s="1563"/>
      <c r="X13" s="1564"/>
      <c r="Y13" s="1564"/>
      <c r="Z13" s="1564"/>
      <c r="AA13" s="1564"/>
      <c r="AB13" s="1565"/>
      <c r="AD13" s="1029" t="s">
        <v>39</v>
      </c>
      <c r="AE13" s="1029" t="s">
        <v>1155</v>
      </c>
      <c r="AF13" s="1029"/>
      <c r="AG13" s="1029"/>
      <c r="AI13" s="732"/>
      <c r="AJ13" s="732"/>
    </row>
    <row r="14" spans="1:142" ht="15" customHeight="1" x14ac:dyDescent="0.2">
      <c r="A14" s="1016" t="s">
        <v>78</v>
      </c>
      <c r="B14" s="933"/>
      <c r="C14" s="933"/>
      <c r="D14" s="54"/>
      <c r="E14" s="1017" t="s">
        <v>40</v>
      </c>
      <c r="F14" s="933"/>
      <c r="G14" s="966"/>
      <c r="H14" s="1041" t="s">
        <v>1260</v>
      </c>
      <c r="I14" s="933"/>
      <c r="J14" s="54"/>
      <c r="K14" s="1042" t="s">
        <v>916</v>
      </c>
      <c r="L14" s="1036">
        <f>SUMIF(FORMULAS!$BG$64:$ET$64,90,FORMULAS!$BG$65:$ET$65)-L24</f>
        <v>0</v>
      </c>
      <c r="M14" s="56"/>
      <c r="N14" s="1567" t="s">
        <v>1233</v>
      </c>
      <c r="O14" s="1568"/>
      <c r="P14" s="1568"/>
      <c r="Q14" s="1569"/>
      <c r="R14" s="933"/>
      <c r="S14" s="59"/>
      <c r="T14" s="1026" t="s">
        <v>1048</v>
      </c>
      <c r="U14" s="1044">
        <f>+('3 ALUMINIOS'!B8+'3 ALUMINIOS'!C8+'3 ALUMINIOS'!D8+'3 ALUMINIOS'!E8+'3 ALUMINIOS'!F8)*2</f>
        <v>0</v>
      </c>
      <c r="V14" s="59"/>
      <c r="W14" s="1563"/>
      <c r="X14" s="1564"/>
      <c r="Y14" s="1564"/>
      <c r="Z14" s="1564"/>
      <c r="AA14" s="1564"/>
      <c r="AB14" s="1565"/>
      <c r="AD14" s="1029" t="s">
        <v>41</v>
      </c>
      <c r="AE14" s="1029" t="s">
        <v>1156</v>
      </c>
      <c r="AF14" s="1029"/>
      <c r="AG14" s="1029"/>
      <c r="AI14" s="732"/>
      <c r="AJ14" s="732"/>
    </row>
    <row r="15" spans="1:142" ht="15" customHeight="1" x14ac:dyDescent="0.2">
      <c r="A15" s="1016" t="s">
        <v>50</v>
      </c>
      <c r="B15" s="933"/>
      <c r="C15" s="933"/>
      <c r="D15" s="54"/>
      <c r="E15" s="1025" t="s">
        <v>1290</v>
      </c>
      <c r="F15" s="933"/>
      <c r="G15" s="966"/>
      <c r="H15" s="1041" t="s">
        <v>1261</v>
      </c>
      <c r="I15" s="933"/>
      <c r="J15" s="54"/>
      <c r="K15" s="1042" t="s">
        <v>68</v>
      </c>
      <c r="L15" s="1036">
        <f>SUMIF(FORMULAS!$BG$64:$ET$64,112,FORMULAS!$BG$65:$ET$65)-L25</f>
        <v>0</v>
      </c>
      <c r="M15" s="56"/>
      <c r="N15" s="1567" t="s">
        <v>1234</v>
      </c>
      <c r="O15" s="1568"/>
      <c r="P15" s="1568"/>
      <c r="Q15" s="1569"/>
      <c r="R15" s="933"/>
      <c r="S15" s="59"/>
      <c r="T15" s="1025" t="s">
        <v>31</v>
      </c>
      <c r="U15" s="1044">
        <f>+FORMULAS!CD266</f>
        <v>0</v>
      </c>
      <c r="V15" s="59"/>
      <c r="W15" s="1563"/>
      <c r="X15" s="1564"/>
      <c r="Y15" s="1564"/>
      <c r="Z15" s="1564"/>
      <c r="AA15" s="1564"/>
      <c r="AB15" s="1565"/>
      <c r="AD15" s="1029" t="s">
        <v>42</v>
      </c>
      <c r="AE15" s="1029" t="s">
        <v>42</v>
      </c>
      <c r="AF15" s="1029"/>
      <c r="AG15" s="1029"/>
      <c r="AI15" s="729"/>
      <c r="AJ15" s="562"/>
    </row>
    <row r="16" spans="1:142" ht="15" customHeight="1" x14ac:dyDescent="0.2">
      <c r="A16" s="1016" t="s">
        <v>51</v>
      </c>
      <c r="B16" s="933"/>
      <c r="C16" s="933"/>
      <c r="D16" s="54"/>
      <c r="E16" s="1041" t="s">
        <v>1291</v>
      </c>
      <c r="F16" s="933"/>
      <c r="G16" s="966"/>
      <c r="H16" s="1041" t="s">
        <v>1262</v>
      </c>
      <c r="I16" s="933"/>
      <c r="J16" s="54"/>
      <c r="K16" s="1042" t="s">
        <v>945</v>
      </c>
      <c r="L16" s="1036">
        <f>SUMIF(FORMULAS!$BG$64:$ET$64,120,FORMULAS!$BG$65:$ET$65)-L26</f>
        <v>0</v>
      </c>
      <c r="M16" s="56"/>
      <c r="N16" s="1567" t="s">
        <v>1235</v>
      </c>
      <c r="O16" s="1568"/>
      <c r="P16" s="1568"/>
      <c r="Q16" s="1569"/>
      <c r="R16" s="933"/>
      <c r="S16" s="59"/>
      <c r="T16" s="1016" t="s">
        <v>303</v>
      </c>
      <c r="U16" s="1045">
        <f>+'CUADRO VIDRIOS'!$F$546/100</f>
        <v>0</v>
      </c>
      <c r="V16" s="59"/>
      <c r="W16" s="1563"/>
      <c r="X16" s="1584"/>
      <c r="Y16" s="1584"/>
      <c r="Z16" s="1584"/>
      <c r="AA16" s="1584"/>
      <c r="AB16" s="1585"/>
      <c r="AD16" s="1029" t="s">
        <v>795</v>
      </c>
      <c r="AE16" s="1029" t="s">
        <v>795</v>
      </c>
      <c r="AF16" s="1029"/>
      <c r="AG16" s="1029"/>
      <c r="AI16" s="730"/>
      <c r="AJ16" s="730"/>
    </row>
    <row r="17" spans="1:36" ht="15" customHeight="1" x14ac:dyDescent="0.2">
      <c r="A17" s="1016" t="s">
        <v>49</v>
      </c>
      <c r="B17" s="933"/>
      <c r="C17" s="933"/>
      <c r="D17" s="54"/>
      <c r="E17" s="1041" t="s">
        <v>1292</v>
      </c>
      <c r="F17" s="933"/>
      <c r="G17" s="966"/>
      <c r="H17" s="1041" t="s">
        <v>1263</v>
      </c>
      <c r="I17" s="933"/>
      <c r="J17" s="54"/>
      <c r="K17" s="1042" t="s">
        <v>69</v>
      </c>
      <c r="L17" s="1036">
        <f>SUMIF(FORMULAS!$BG$64:$ET$64,140,FORMULAS!$BG$65:$ET$65)-L27</f>
        <v>0</v>
      </c>
      <c r="M17" s="56"/>
      <c r="N17" s="1567" t="s">
        <v>1228</v>
      </c>
      <c r="O17" s="1568"/>
      <c r="P17" s="1568"/>
      <c r="Q17" s="1569"/>
      <c r="R17" s="933"/>
      <c r="S17" s="59"/>
      <c r="T17" s="1025" t="str">
        <f>+INSTALACION!A282</f>
        <v>PRISIONERO PLASTICO</v>
      </c>
      <c r="U17" s="1046">
        <f>+U30</f>
        <v>0</v>
      </c>
      <c r="V17" s="59"/>
      <c r="W17" s="1563"/>
      <c r="X17" s="1564"/>
      <c r="Y17" s="1564"/>
      <c r="Z17" s="1564"/>
      <c r="AA17" s="1564"/>
      <c r="AB17" s="1565"/>
      <c r="AD17" s="1029" t="s">
        <v>81</v>
      </c>
      <c r="AE17" s="1029" t="s">
        <v>81</v>
      </c>
      <c r="AF17" s="1029"/>
      <c r="AG17" s="1029"/>
      <c r="AI17" s="730"/>
      <c r="AJ17" s="730"/>
    </row>
    <row r="18" spans="1:36" ht="15" customHeight="1" x14ac:dyDescent="0.2">
      <c r="A18" s="1016" t="s">
        <v>21</v>
      </c>
      <c r="B18" s="933"/>
      <c r="C18" s="933">
        <f>+(F22)*2+(R41+R42)*3</f>
        <v>0</v>
      </c>
      <c r="D18" s="54"/>
      <c r="E18" s="1041" t="s">
        <v>1293</v>
      </c>
      <c r="F18" s="933"/>
      <c r="G18" s="966"/>
      <c r="H18" s="1041" t="s">
        <v>1264</v>
      </c>
      <c r="I18" s="933"/>
      <c r="J18" s="54"/>
      <c r="K18" s="1042" t="s">
        <v>974</v>
      </c>
      <c r="L18" s="1036">
        <f>SUMIF(FORMULAS!$BG$64:$ET$64,150,FORMULAS!$BG$65:$ET$65)-L28</f>
        <v>0</v>
      </c>
      <c r="M18" s="56"/>
      <c r="N18" s="1605" t="s">
        <v>43</v>
      </c>
      <c r="O18" s="1605"/>
      <c r="P18" s="1605"/>
      <c r="Q18" s="1605"/>
      <c r="R18" s="933"/>
      <c r="S18" s="59"/>
      <c r="T18" s="1025" t="s">
        <v>1069</v>
      </c>
      <c r="U18" s="1045">
        <f>+P.T.Nueva!$C$676+'M . A .'!$C$318</f>
        <v>0</v>
      </c>
      <c r="V18" s="59"/>
      <c r="W18" s="1563"/>
      <c r="X18" s="1564"/>
      <c r="Y18" s="1564"/>
      <c r="Z18" s="1564"/>
      <c r="AA18" s="1564"/>
      <c r="AB18" s="1565"/>
      <c r="AD18" s="1029" t="s">
        <v>43</v>
      </c>
      <c r="AE18" s="1029" t="s">
        <v>43</v>
      </c>
      <c r="AF18" s="1029"/>
      <c r="AG18" s="1029"/>
      <c r="AI18" s="730"/>
      <c r="AJ18" s="730"/>
    </row>
    <row r="19" spans="1:36" ht="15" customHeight="1" x14ac:dyDescent="0.2">
      <c r="A19" s="1017" t="s">
        <v>777</v>
      </c>
      <c r="B19" s="933"/>
      <c r="C19" s="934"/>
      <c r="D19" s="54"/>
      <c r="E19" s="1041" t="s">
        <v>1294</v>
      </c>
      <c r="F19" s="933"/>
      <c r="G19" s="966"/>
      <c r="H19" s="1041" t="s">
        <v>1265</v>
      </c>
      <c r="I19" s="933"/>
      <c r="J19" s="54"/>
      <c r="K19" s="1042" t="s">
        <v>975</v>
      </c>
      <c r="L19" s="933"/>
      <c r="M19" s="56"/>
      <c r="N19" s="1570" t="s">
        <v>1240</v>
      </c>
      <c r="O19" s="1571"/>
      <c r="P19" s="1571"/>
      <c r="Q19" s="1571"/>
      <c r="R19" s="1572"/>
      <c r="S19" s="59"/>
      <c r="T19" s="1025" t="s">
        <v>1070</v>
      </c>
      <c r="U19" s="1045">
        <f>+P.T.Nueva!$C$677+'M . A .'!$C$319</f>
        <v>0</v>
      </c>
      <c r="V19" s="59"/>
      <c r="W19" s="1563"/>
      <c r="X19" s="1564"/>
      <c r="Y19" s="1564"/>
      <c r="Z19" s="1564"/>
      <c r="AA19" s="1564"/>
      <c r="AB19" s="1565"/>
      <c r="AI19" s="730"/>
      <c r="AJ19" s="730"/>
    </row>
    <row r="20" spans="1:36" ht="15" customHeight="1" x14ac:dyDescent="0.2">
      <c r="A20" s="1171"/>
      <c r="B20" s="933"/>
      <c r="C20" s="934"/>
      <c r="D20" s="54"/>
      <c r="E20" s="1025" t="s">
        <v>1221</v>
      </c>
      <c r="F20" s="933"/>
      <c r="G20" s="966"/>
      <c r="H20" s="1041" t="s">
        <v>1266</v>
      </c>
      <c r="I20" s="933"/>
      <c r="J20" s="54"/>
      <c r="K20" s="1042" t="s">
        <v>379</v>
      </c>
      <c r="L20" s="933"/>
      <c r="M20" s="56"/>
      <c r="N20" s="1576" t="s">
        <v>18</v>
      </c>
      <c r="O20" s="1577"/>
      <c r="P20" s="1577"/>
      <c r="Q20" s="1578"/>
      <c r="R20" s="927" t="s">
        <v>26</v>
      </c>
      <c r="S20" s="59"/>
      <c r="T20" s="1016" t="s">
        <v>993</v>
      </c>
      <c r="U20" s="1046">
        <f>SUM(B7:C18,R7:R14,R15:R17,U39:Y42,F28)*3+SUM(B19:C19,R31:R33,R35,C35:C36)*6+SUM(F16:F18,F20:F21,R21:R24,F7:F8)*8+SUM(R34,R18)*12+SUM(I7:I28)*8</f>
        <v>0</v>
      </c>
      <c r="V20" s="59"/>
      <c r="W20" s="1563"/>
      <c r="X20" s="1564"/>
      <c r="Y20" s="1564"/>
      <c r="Z20" s="1564"/>
      <c r="AA20" s="1564"/>
      <c r="AB20" s="1565"/>
      <c r="AI20" s="730"/>
      <c r="AJ20" s="730"/>
    </row>
    <row r="21" spans="1:36" ht="15" customHeight="1" x14ac:dyDescent="0.2">
      <c r="A21" s="1570" t="s">
        <v>1282</v>
      </c>
      <c r="B21" s="1571"/>
      <c r="C21" s="1572"/>
      <c r="D21" s="54"/>
      <c r="E21" s="1025" t="s">
        <v>27</v>
      </c>
      <c r="F21" s="933"/>
      <c r="G21" s="966"/>
      <c r="H21" s="1041" t="s">
        <v>1267</v>
      </c>
      <c r="I21" s="933"/>
      <c r="J21" s="54"/>
      <c r="K21" s="1042" t="s">
        <v>800</v>
      </c>
      <c r="L21" s="933"/>
      <c r="M21" s="56"/>
      <c r="N21" s="1567" t="s">
        <v>1241</v>
      </c>
      <c r="O21" s="1568"/>
      <c r="P21" s="1568"/>
      <c r="Q21" s="1569"/>
      <c r="R21" s="933"/>
      <c r="S21" s="59"/>
      <c r="T21" s="1025" t="s">
        <v>1094</v>
      </c>
      <c r="U21" s="1045">
        <f>SUM('3 ALUMINIOS'!B10:J10)*3</f>
        <v>0</v>
      </c>
      <c r="V21" s="59"/>
      <c r="W21" s="1563"/>
      <c r="X21" s="1564"/>
      <c r="Y21" s="1564"/>
      <c r="Z21" s="1564"/>
      <c r="AA21" s="1564"/>
      <c r="AB21" s="1565"/>
      <c r="AI21" s="730"/>
      <c r="AJ21" s="730"/>
    </row>
    <row r="22" spans="1:36" ht="15" customHeight="1" x14ac:dyDescent="0.2">
      <c r="A22" s="927" t="s">
        <v>18</v>
      </c>
      <c r="B22" s="1232" t="s">
        <v>19</v>
      </c>
      <c r="C22" s="1232" t="s">
        <v>20</v>
      </c>
      <c r="D22" s="54"/>
      <c r="E22" s="1040" t="s">
        <v>80</v>
      </c>
      <c r="F22" s="933"/>
      <c r="G22" s="966"/>
      <c r="H22" s="1041" t="s">
        <v>1268</v>
      </c>
      <c r="I22" s="933"/>
      <c r="J22" s="54"/>
      <c r="K22" s="1042" t="s">
        <v>380</v>
      </c>
      <c r="L22" s="933"/>
      <c r="M22" s="56"/>
      <c r="N22" s="1567" t="s">
        <v>1242</v>
      </c>
      <c r="O22" s="1568"/>
      <c r="P22" s="1568"/>
      <c r="Q22" s="1569"/>
      <c r="R22" s="933"/>
      <c r="S22" s="59"/>
      <c r="T22" s="1016" t="str">
        <f>+INSTALACION!A267</f>
        <v>TORNILLO 8 X 3/4</v>
      </c>
      <c r="U22" s="1046">
        <f>+INSTALACION!D267</f>
        <v>0</v>
      </c>
      <c r="V22" s="59"/>
      <c r="W22" s="1563"/>
      <c r="X22" s="1603"/>
      <c r="Y22" s="1603"/>
      <c r="Z22" s="1603"/>
      <c r="AA22" s="1603"/>
      <c r="AB22" s="1604"/>
      <c r="AI22" s="730"/>
      <c r="AJ22" s="730"/>
    </row>
    <row r="23" spans="1:36" ht="15" customHeight="1" x14ac:dyDescent="0.2">
      <c r="A23" s="1016" t="s">
        <v>22</v>
      </c>
      <c r="B23" s="933"/>
      <c r="C23" s="933"/>
      <c r="D23" s="54"/>
      <c r="E23" s="1040" t="s">
        <v>1141</v>
      </c>
      <c r="F23" s="933"/>
      <c r="G23" s="966"/>
      <c r="H23" s="1041" t="s">
        <v>1269</v>
      </c>
      <c r="I23" s="933"/>
      <c r="J23" s="54"/>
      <c r="K23" s="1042" t="s">
        <v>801</v>
      </c>
      <c r="L23" s="933"/>
      <c r="M23" s="56"/>
      <c r="N23" s="1567" t="s">
        <v>1243</v>
      </c>
      <c r="O23" s="1568"/>
      <c r="P23" s="1568"/>
      <c r="Q23" s="1569"/>
      <c r="R23" s="933"/>
      <c r="S23" s="59"/>
      <c r="T23" s="1016" t="str">
        <f>+INSTALACION!A269</f>
        <v>TORNILLO 8*1-1/4 ZIN PHI AVE</v>
      </c>
      <c r="U23" s="1046">
        <f>+U35*18+U36*18+U37*9</f>
        <v>0</v>
      </c>
      <c r="V23" s="60"/>
      <c r="W23" s="1563"/>
      <c r="X23" s="1603"/>
      <c r="Y23" s="1603"/>
      <c r="Z23" s="1603"/>
      <c r="AA23" s="1603"/>
      <c r="AB23" s="1604"/>
      <c r="AI23" s="730"/>
      <c r="AJ23" s="730"/>
    </row>
    <row r="24" spans="1:36" ht="15" customHeight="1" x14ac:dyDescent="0.2">
      <c r="A24" s="1016" t="s">
        <v>23</v>
      </c>
      <c r="B24" s="933"/>
      <c r="C24" s="933"/>
      <c r="D24" s="54"/>
      <c r="E24" s="1025" t="s">
        <v>1117</v>
      </c>
      <c r="F24" s="933"/>
      <c r="G24" s="966"/>
      <c r="H24" s="1041" t="s">
        <v>1270</v>
      </c>
      <c r="I24" s="933"/>
      <c r="J24" s="54"/>
      <c r="K24" s="1042" t="s">
        <v>381</v>
      </c>
      <c r="L24" s="933"/>
      <c r="M24" s="56"/>
      <c r="N24" s="1567" t="s">
        <v>1244</v>
      </c>
      <c r="O24" s="1568"/>
      <c r="P24" s="1568"/>
      <c r="Q24" s="1569"/>
      <c r="R24" s="933"/>
      <c r="S24" s="59"/>
      <c r="T24" s="1016" t="str">
        <f>+INSTALACION!A274</f>
        <v xml:space="preserve">TORNILLO 8 X 1/2 </v>
      </c>
      <c r="U24" s="1045">
        <f>SUM(Almacen!$B$12)+(9*U37)</f>
        <v>0</v>
      </c>
      <c r="V24" s="61"/>
      <c r="W24" s="1563"/>
      <c r="X24" s="1603"/>
      <c r="Y24" s="1603"/>
      <c r="Z24" s="1603"/>
      <c r="AA24" s="1603"/>
      <c r="AB24" s="1604"/>
      <c r="AI24" s="730"/>
      <c r="AJ24" s="730"/>
    </row>
    <row r="25" spans="1:36" ht="15" customHeight="1" x14ac:dyDescent="0.2">
      <c r="A25" s="1016" t="s">
        <v>24</v>
      </c>
      <c r="B25" s="933"/>
      <c r="C25" s="933"/>
      <c r="D25" s="54"/>
      <c r="E25" s="1025" t="s">
        <v>1157</v>
      </c>
      <c r="F25" s="933"/>
      <c r="G25" s="966"/>
      <c r="H25" s="1041" t="s">
        <v>1271</v>
      </c>
      <c r="I25" s="933"/>
      <c r="J25" s="54"/>
      <c r="K25" s="1043" t="s">
        <v>802</v>
      </c>
      <c r="L25" s="933"/>
      <c r="M25" s="56"/>
      <c r="N25" s="1567" t="s">
        <v>1245</v>
      </c>
      <c r="O25" s="1568"/>
      <c r="P25" s="1568"/>
      <c r="Q25" s="1569"/>
      <c r="R25" s="933"/>
      <c r="S25" s="59"/>
      <c r="T25" s="1016" t="str">
        <f>+INSTALACION!A283</f>
        <v>TORNILLO BRISTOL 3/16 X 1/2 PAV</v>
      </c>
      <c r="U25" s="1046">
        <f>+U30</f>
        <v>0</v>
      </c>
      <c r="V25" s="61"/>
      <c r="W25" s="1563"/>
      <c r="X25" s="1603"/>
      <c r="Y25" s="1603"/>
      <c r="Z25" s="1603"/>
      <c r="AA25" s="1603"/>
      <c r="AB25" s="1604"/>
      <c r="AI25" s="730"/>
      <c r="AJ25" s="730"/>
    </row>
    <row r="26" spans="1:36" ht="15" customHeight="1" x14ac:dyDescent="0.2">
      <c r="A26" s="1016" t="s">
        <v>25</v>
      </c>
      <c r="B26" s="933"/>
      <c r="C26" s="933"/>
      <c r="D26" s="54"/>
      <c r="E26" s="1039" t="s">
        <v>1296</v>
      </c>
      <c r="F26" s="933"/>
      <c r="G26" s="966"/>
      <c r="H26" s="1041" t="s">
        <v>1272</v>
      </c>
      <c r="I26" s="933"/>
      <c r="J26" s="1029"/>
      <c r="K26" s="1039" t="s">
        <v>382</v>
      </c>
      <c r="L26" s="1027"/>
      <c r="M26" s="56"/>
      <c r="N26" s="1567" t="s">
        <v>1246</v>
      </c>
      <c r="O26" s="1568"/>
      <c r="P26" s="1568"/>
      <c r="Q26" s="1569"/>
      <c r="R26" s="933"/>
      <c r="S26" s="59"/>
      <c r="T26" s="1025" t="s">
        <v>61</v>
      </c>
      <c r="U26" s="1047">
        <f>+((B39+B40+B41+B42)*4+(B7+B8+B9+B10+B11+B12+B13+B14+B15+B16+B17+B18)*2+(B23+B24+B25+B26+B30+B31+B32+B33+B34+B27+B28+B29)*4)</f>
        <v>0</v>
      </c>
      <c r="V26" s="54"/>
      <c r="W26" s="1563"/>
      <c r="X26" s="1603"/>
      <c r="Y26" s="1603"/>
      <c r="Z26" s="1603"/>
      <c r="AA26" s="1603"/>
      <c r="AB26" s="1604"/>
      <c r="AI26" s="730"/>
      <c r="AJ26" s="730"/>
    </row>
    <row r="27" spans="1:36" ht="15" customHeight="1" x14ac:dyDescent="0.2">
      <c r="A27" s="1016"/>
      <c r="B27" s="933"/>
      <c r="C27" s="933"/>
      <c r="D27" s="54"/>
      <c r="E27" s="1017" t="s">
        <v>1295</v>
      </c>
      <c r="F27" s="933"/>
      <c r="G27" s="966"/>
      <c r="H27" s="1041" t="s">
        <v>1273</v>
      </c>
      <c r="I27" s="933"/>
      <c r="J27" s="1029"/>
      <c r="K27" s="1041" t="s">
        <v>1146</v>
      </c>
      <c r="L27" s="1027"/>
      <c r="M27" s="56"/>
      <c r="N27" s="1567" t="s">
        <v>1247</v>
      </c>
      <c r="O27" s="1568"/>
      <c r="P27" s="1568"/>
      <c r="Q27" s="1569"/>
      <c r="R27" s="933"/>
      <c r="S27" s="59"/>
      <c r="T27" s="1025" t="s">
        <v>62</v>
      </c>
      <c r="U27" s="1045">
        <f>+U21</f>
        <v>0</v>
      </c>
      <c r="V27" s="59"/>
      <c r="W27" s="1563"/>
      <c r="X27" s="1564"/>
      <c r="Y27" s="1564"/>
      <c r="Z27" s="1564"/>
      <c r="AA27" s="1564"/>
      <c r="AB27" s="1565"/>
      <c r="AI27" s="730"/>
      <c r="AJ27" s="730"/>
    </row>
    <row r="28" spans="1:36" ht="15" customHeight="1" x14ac:dyDescent="0.2">
      <c r="A28" s="1570" t="s">
        <v>44</v>
      </c>
      <c r="B28" s="1571"/>
      <c r="C28" s="1572"/>
      <c r="D28" s="54"/>
      <c r="E28" s="1038" t="s">
        <v>1144</v>
      </c>
      <c r="F28" s="934"/>
      <c r="G28" s="966"/>
      <c r="H28" s="1041" t="s">
        <v>1274</v>
      </c>
      <c r="I28" s="934"/>
      <c r="J28" s="1029"/>
      <c r="K28" s="1041" t="s">
        <v>383</v>
      </c>
      <c r="L28" s="1030"/>
      <c r="M28" s="56"/>
      <c r="N28" s="1567" t="s">
        <v>1247</v>
      </c>
      <c r="O28" s="1568"/>
      <c r="P28" s="1568"/>
      <c r="Q28" s="1569"/>
      <c r="R28" s="934"/>
      <c r="S28" s="59"/>
      <c r="T28" s="1025" t="s">
        <v>91</v>
      </c>
      <c r="U28" s="1037"/>
      <c r="V28" s="56"/>
      <c r="W28" s="1563"/>
      <c r="X28" s="1564"/>
      <c r="Y28" s="1564"/>
      <c r="Z28" s="1564"/>
      <c r="AA28" s="1564"/>
      <c r="AB28" s="1565"/>
      <c r="AI28" s="729"/>
      <c r="AJ28" s="40"/>
    </row>
    <row r="29" spans="1:36" ht="15" customHeight="1" x14ac:dyDescent="0.2">
      <c r="A29" s="1614" t="s">
        <v>18</v>
      </c>
      <c r="B29" s="1615"/>
      <c r="C29" s="1016" t="s">
        <v>26</v>
      </c>
      <c r="D29" s="54"/>
      <c r="E29" s="1556" t="s">
        <v>83</v>
      </c>
      <c r="F29" s="1556"/>
      <c r="G29" s="1556"/>
      <c r="H29" s="1556"/>
      <c r="I29" s="1556"/>
      <c r="J29" s="54"/>
      <c r="K29" s="1031"/>
      <c r="L29" s="934"/>
      <c r="M29" s="56"/>
      <c r="N29" s="1570" t="s">
        <v>32</v>
      </c>
      <c r="O29" s="1571"/>
      <c r="P29" s="1571"/>
      <c r="Q29" s="1571"/>
      <c r="R29" s="1572"/>
      <c r="S29" s="59"/>
      <c r="T29" s="1025" t="s">
        <v>92</v>
      </c>
      <c r="U29" s="1047">
        <f>+(R38+R39+R40)*4</f>
        <v>0</v>
      </c>
      <c r="V29" s="54"/>
      <c r="W29" s="1563"/>
      <c r="X29" s="1564"/>
      <c r="Y29" s="1564"/>
      <c r="Z29" s="1564"/>
      <c r="AA29" s="1564"/>
      <c r="AB29" s="1565"/>
      <c r="AI29" s="730"/>
      <c r="AJ29" s="730"/>
    </row>
    <row r="30" spans="1:36" ht="15" customHeight="1" x14ac:dyDescent="0.2">
      <c r="A30" s="1567" t="s">
        <v>1280</v>
      </c>
      <c r="B30" s="1569"/>
      <c r="C30" s="933"/>
      <c r="D30" s="54"/>
      <c r="E30" s="1561" t="s">
        <v>18</v>
      </c>
      <c r="F30" s="1561"/>
      <c r="G30" s="1561"/>
      <c r="H30" s="1561"/>
      <c r="I30" s="929" t="s">
        <v>26</v>
      </c>
      <c r="J30" s="54"/>
      <c r="K30" s="965"/>
      <c r="L30" s="934"/>
      <c r="M30" s="56"/>
      <c r="N30" s="1576" t="s">
        <v>18</v>
      </c>
      <c r="O30" s="1577"/>
      <c r="P30" s="1577"/>
      <c r="Q30" s="1578"/>
      <c r="R30" s="929" t="s">
        <v>45</v>
      </c>
      <c r="S30" s="59"/>
      <c r="T30" s="1016" t="str">
        <f>+INSTALACION!A281</f>
        <v>CONTRA</v>
      </c>
      <c r="U30" s="1046">
        <f>SUM(C7:C17)*2+SUM(C23:C27,C39:F42)*4</f>
        <v>0</v>
      </c>
      <c r="V30" s="54"/>
      <c r="W30" s="1563"/>
      <c r="X30" s="1564"/>
      <c r="Y30" s="1564"/>
      <c r="Z30" s="1564"/>
      <c r="AA30" s="1564"/>
      <c r="AB30" s="1565"/>
      <c r="AI30" s="730"/>
      <c r="AJ30" s="730"/>
    </row>
    <row r="31" spans="1:36" ht="15" customHeight="1" x14ac:dyDescent="0.2">
      <c r="A31" s="1567" t="s">
        <v>1238</v>
      </c>
      <c r="B31" s="1569"/>
      <c r="C31" s="933"/>
      <c r="D31" s="54"/>
      <c r="E31" s="1562" t="s">
        <v>1278</v>
      </c>
      <c r="F31" s="1562"/>
      <c r="G31" s="1562"/>
      <c r="H31" s="1562"/>
      <c r="I31" s="933">
        <f>+'4 SUPERFICIES'!AR51+'4 SUPERFICIES'!AR52+'4 SUPERFICIES'!AR53+'4 SUPERFICIES'!AR54</f>
        <v>0</v>
      </c>
      <c r="J31" s="54"/>
      <c r="K31" s="965"/>
      <c r="L31" s="934"/>
      <c r="M31" s="56"/>
      <c r="N31" s="1573" t="s">
        <v>1131</v>
      </c>
      <c r="O31" s="1574"/>
      <c r="P31" s="1574"/>
      <c r="Q31" s="1575"/>
      <c r="R31" s="949"/>
      <c r="S31" s="59"/>
      <c r="T31" s="1025" t="s">
        <v>59</v>
      </c>
      <c r="U31" s="1047">
        <f>+U32*3</f>
        <v>0</v>
      </c>
      <c r="V31" s="54"/>
      <c r="W31" s="1563"/>
      <c r="X31" s="1602"/>
      <c r="Y31" s="1602"/>
      <c r="Z31" s="1602"/>
      <c r="AA31" s="1602"/>
      <c r="AB31" s="1565"/>
      <c r="AI31" s="730"/>
      <c r="AJ31" s="730"/>
    </row>
    <row r="32" spans="1:36" ht="15" customHeight="1" x14ac:dyDescent="0.2">
      <c r="A32" s="1567" t="s">
        <v>1281</v>
      </c>
      <c r="B32" s="1569"/>
      <c r="C32" s="933"/>
      <c r="D32" s="54"/>
      <c r="E32" s="1560"/>
      <c r="F32" s="1560"/>
      <c r="G32" s="1560"/>
      <c r="H32" s="1560"/>
      <c r="I32" s="933"/>
      <c r="J32" s="54"/>
      <c r="K32" s="965"/>
      <c r="L32" s="934"/>
      <c r="M32" s="56"/>
      <c r="N32" s="1567" t="s">
        <v>356</v>
      </c>
      <c r="O32" s="1568"/>
      <c r="P32" s="1568"/>
      <c r="Q32" s="1569"/>
      <c r="R32" s="933"/>
      <c r="S32" s="59"/>
      <c r="T32" s="1025" t="s">
        <v>818</v>
      </c>
      <c r="U32" s="1047">
        <f>+U35+U36+U37</f>
        <v>0</v>
      </c>
      <c r="W32" s="1610"/>
      <c r="X32" s="1611"/>
      <c r="Y32" s="1611"/>
      <c r="Z32" s="1611"/>
      <c r="AA32" s="1611"/>
      <c r="AB32" s="1612"/>
      <c r="AI32" s="730"/>
      <c r="AJ32" s="730"/>
    </row>
    <row r="33" spans="1:142" ht="15" customHeight="1" x14ac:dyDescent="0.2">
      <c r="A33" s="1567" t="s">
        <v>46</v>
      </c>
      <c r="B33" s="1569"/>
      <c r="C33" s="933"/>
      <c r="D33" s="54"/>
      <c r="E33" s="1560"/>
      <c r="F33" s="1560"/>
      <c r="G33" s="1560"/>
      <c r="H33" s="1560"/>
      <c r="I33" s="933"/>
      <c r="J33" s="54"/>
      <c r="K33" s="965"/>
      <c r="L33" s="934"/>
      <c r="M33" s="56"/>
      <c r="N33" s="1567" t="s">
        <v>1042</v>
      </c>
      <c r="O33" s="1568"/>
      <c r="P33" s="1568"/>
      <c r="Q33" s="1569"/>
      <c r="R33" s="933"/>
      <c r="S33" s="59"/>
      <c r="T33" s="1556" t="s">
        <v>48</v>
      </c>
      <c r="U33" s="1556"/>
      <c r="V33" s="1556"/>
      <c r="W33" s="1581"/>
      <c r="X33" s="1581"/>
      <c r="Y33" s="1581"/>
      <c r="Z33" s="1581"/>
      <c r="AA33" s="1581"/>
      <c r="AB33" s="1581"/>
      <c r="AI33" s="730"/>
      <c r="AJ33" s="730"/>
    </row>
    <row r="34" spans="1:142" ht="15" customHeight="1" x14ac:dyDescent="0.2">
      <c r="A34" s="1570" t="s">
        <v>47</v>
      </c>
      <c r="B34" s="1571"/>
      <c r="C34" s="1572"/>
      <c r="D34" s="54"/>
      <c r="E34" s="1560"/>
      <c r="F34" s="1560"/>
      <c r="G34" s="1560"/>
      <c r="H34" s="1560"/>
      <c r="I34" s="933"/>
      <c r="J34" s="54"/>
      <c r="K34" s="965"/>
      <c r="L34" s="934"/>
      <c r="M34" s="56"/>
      <c r="N34" s="1567" t="s">
        <v>1043</v>
      </c>
      <c r="O34" s="1568"/>
      <c r="P34" s="1568"/>
      <c r="Q34" s="1569"/>
      <c r="R34" s="933">
        <f>SUM(R38:R40)</f>
        <v>0</v>
      </c>
      <c r="S34" s="54"/>
      <c r="T34" s="1213" t="s">
        <v>18</v>
      </c>
      <c r="U34" s="1213" t="s">
        <v>45</v>
      </c>
      <c r="V34" s="1576" t="s">
        <v>4</v>
      </c>
      <c r="W34" s="1577"/>
      <c r="X34" s="1577"/>
      <c r="Y34" s="1577"/>
      <c r="Z34" s="1577"/>
      <c r="AA34" s="1577"/>
      <c r="AB34" s="1578"/>
      <c r="AI34" s="730"/>
      <c r="AJ34" s="730"/>
    </row>
    <row r="35" spans="1:142" ht="15" customHeight="1" x14ac:dyDescent="0.2">
      <c r="A35" s="1567" t="s">
        <v>1072</v>
      </c>
      <c r="B35" s="1569"/>
      <c r="C35" s="933"/>
      <c r="E35" s="1560"/>
      <c r="F35" s="1560"/>
      <c r="G35" s="1560"/>
      <c r="H35" s="1560"/>
      <c r="I35" s="933"/>
      <c r="J35" s="54"/>
      <c r="K35" s="965"/>
      <c r="L35" s="934"/>
      <c r="M35" s="56"/>
      <c r="N35" s="1567" t="s">
        <v>1239</v>
      </c>
      <c r="O35" s="1568"/>
      <c r="P35" s="1568"/>
      <c r="Q35" s="1569"/>
      <c r="R35" s="933"/>
      <c r="S35" s="54"/>
      <c r="T35" s="1229" t="s">
        <v>1210</v>
      </c>
      <c r="U35" s="1053"/>
      <c r="V35" s="1566"/>
      <c r="W35" s="1566"/>
      <c r="X35" s="1566"/>
      <c r="Y35" s="1566"/>
      <c r="Z35" s="1566"/>
      <c r="AA35" s="1566"/>
      <c r="AB35" s="1566"/>
      <c r="AI35" s="730"/>
      <c r="AJ35" s="730"/>
    </row>
    <row r="36" spans="1:142" ht="15" customHeight="1" x14ac:dyDescent="0.2">
      <c r="A36" s="1567" t="s">
        <v>354</v>
      </c>
      <c r="B36" s="1569"/>
      <c r="C36" s="933"/>
      <c r="E36" s="1560"/>
      <c r="F36" s="1560"/>
      <c r="G36" s="1560"/>
      <c r="H36" s="1560"/>
      <c r="I36" s="933"/>
      <c r="J36" s="54"/>
      <c r="K36" s="965"/>
      <c r="L36" s="934"/>
      <c r="M36" s="56"/>
      <c r="N36" s="1555" t="s">
        <v>1223</v>
      </c>
      <c r="O36" s="1555"/>
      <c r="P36" s="1555"/>
      <c r="Q36" s="1555"/>
      <c r="R36" s="1555"/>
      <c r="S36" s="54"/>
      <c r="T36" s="1229" t="s">
        <v>1248</v>
      </c>
      <c r="U36" s="1053"/>
      <c r="V36" s="1566"/>
      <c r="W36" s="1566"/>
      <c r="X36" s="1566"/>
      <c r="Y36" s="1566"/>
      <c r="Z36" s="1566"/>
      <c r="AA36" s="1566"/>
      <c r="AB36" s="1566"/>
      <c r="AI36" s="730"/>
      <c r="AJ36" s="730"/>
    </row>
    <row r="37" spans="1:142" ht="15" customHeight="1" x14ac:dyDescent="0.2">
      <c r="A37" s="1579" t="s">
        <v>102</v>
      </c>
      <c r="B37" s="1580"/>
      <c r="C37" s="1580"/>
      <c r="D37" s="1582" t="s">
        <v>807</v>
      </c>
      <c r="E37" s="1582"/>
      <c r="F37" s="1582"/>
      <c r="G37" s="1582"/>
      <c r="H37" s="1582"/>
      <c r="I37" s="1583"/>
      <c r="J37" s="54"/>
      <c r="K37" s="965"/>
      <c r="L37" s="934"/>
      <c r="M37" s="56"/>
      <c r="N37" s="1576" t="s">
        <v>18</v>
      </c>
      <c r="O37" s="1577"/>
      <c r="P37" s="1577"/>
      <c r="Q37" s="1578"/>
      <c r="R37" s="929" t="s">
        <v>26</v>
      </c>
      <c r="S37" s="54"/>
      <c r="T37" s="1229" t="s">
        <v>1279</v>
      </c>
      <c r="U37" s="1053"/>
      <c r="V37" s="1566"/>
      <c r="W37" s="1566"/>
      <c r="X37" s="1566"/>
      <c r="Y37" s="1566"/>
      <c r="Z37" s="1566"/>
      <c r="AA37" s="1566"/>
      <c r="AB37" s="1566"/>
      <c r="AI37" s="733"/>
      <c r="AJ37" s="40"/>
    </row>
    <row r="38" spans="1:142" ht="15" customHeight="1" x14ac:dyDescent="0.2">
      <c r="A38" s="931" t="s">
        <v>18</v>
      </c>
      <c r="B38" s="1230" t="s">
        <v>19</v>
      </c>
      <c r="C38" s="1231" t="s">
        <v>20</v>
      </c>
      <c r="D38" s="1561" t="s">
        <v>4</v>
      </c>
      <c r="E38" s="1561"/>
      <c r="F38" s="1561"/>
      <c r="G38" s="1561"/>
      <c r="H38" s="1561"/>
      <c r="I38" s="1561"/>
      <c r="J38" s="54"/>
      <c r="K38" s="965"/>
      <c r="L38" s="934"/>
      <c r="N38" s="1560" t="s">
        <v>1143</v>
      </c>
      <c r="O38" s="1560"/>
      <c r="P38" s="1560"/>
      <c r="Q38" s="1560"/>
      <c r="R38" s="933"/>
      <c r="S38" s="54"/>
      <c r="T38" s="1243" t="s">
        <v>1236</v>
      </c>
      <c r="U38" s="1228" t="s">
        <v>26</v>
      </c>
      <c r="V38" s="1613" t="s">
        <v>1198</v>
      </c>
      <c r="W38" s="1613"/>
      <c r="X38" s="1613"/>
      <c r="Y38" s="1613"/>
      <c r="Z38" s="1613"/>
      <c r="AA38" s="1613"/>
      <c r="AB38" s="1613"/>
      <c r="AI38" s="733"/>
      <c r="AJ38" s="40"/>
    </row>
    <row r="39" spans="1:142" ht="15" customHeight="1" x14ac:dyDescent="0.2">
      <c r="A39" s="928">
        <v>56</v>
      </c>
      <c r="B39" s="1053"/>
      <c r="C39" s="933"/>
      <c r="D39" s="1557"/>
      <c r="E39" s="1558"/>
      <c r="F39" s="1558"/>
      <c r="G39" s="1558"/>
      <c r="H39" s="1558"/>
      <c r="I39" s="1559"/>
      <c r="J39" s="62"/>
      <c r="K39" s="965"/>
      <c r="L39" s="934"/>
      <c r="N39" s="1560" t="s">
        <v>132</v>
      </c>
      <c r="O39" s="1560"/>
      <c r="P39" s="1560"/>
      <c r="Q39" s="1560"/>
      <c r="R39" s="933"/>
      <c r="S39" s="56"/>
      <c r="T39" s="1229" t="s">
        <v>1249</v>
      </c>
      <c r="U39" s="1053"/>
      <c r="V39" s="1566"/>
      <c r="W39" s="1566"/>
      <c r="X39" s="1566"/>
      <c r="Y39" s="1566"/>
      <c r="Z39" s="1566"/>
      <c r="AA39" s="1566"/>
      <c r="AB39" s="1566"/>
      <c r="AI39" s="730"/>
      <c r="AJ39" s="730"/>
    </row>
    <row r="40" spans="1:142" ht="15" customHeight="1" x14ac:dyDescent="0.2">
      <c r="A40" s="928">
        <v>70</v>
      </c>
      <c r="B40" s="1053"/>
      <c r="C40" s="933"/>
      <c r="D40" s="1557"/>
      <c r="E40" s="1558"/>
      <c r="F40" s="1558"/>
      <c r="G40" s="1558"/>
      <c r="H40" s="1558"/>
      <c r="I40" s="1559"/>
      <c r="J40" s="63"/>
      <c r="K40" s="965"/>
      <c r="L40" s="934"/>
      <c r="N40" s="1560" t="s">
        <v>133</v>
      </c>
      <c r="O40" s="1560"/>
      <c r="P40" s="1560"/>
      <c r="Q40" s="1560"/>
      <c r="R40" s="933"/>
      <c r="S40" s="56"/>
      <c r="T40" s="1229" t="s">
        <v>1250</v>
      </c>
      <c r="U40" s="1053"/>
      <c r="V40" s="1566"/>
      <c r="W40" s="1566"/>
      <c r="X40" s="1566"/>
      <c r="Y40" s="1566"/>
      <c r="Z40" s="1566"/>
      <c r="AA40" s="1566"/>
      <c r="AB40" s="1566"/>
      <c r="AI40" s="729"/>
      <c r="AJ40" s="40"/>
    </row>
    <row r="41" spans="1:142" ht="15" customHeight="1" x14ac:dyDescent="0.2">
      <c r="A41" s="928">
        <v>84</v>
      </c>
      <c r="B41" s="1053"/>
      <c r="C41" s="933"/>
      <c r="D41" s="1557"/>
      <c r="E41" s="1558"/>
      <c r="F41" s="1558"/>
      <c r="G41" s="1558"/>
      <c r="H41" s="1558"/>
      <c r="I41" s="1559"/>
      <c r="J41" s="54"/>
      <c r="K41" s="965"/>
      <c r="L41" s="934"/>
      <c r="N41" s="1560" t="s">
        <v>1224</v>
      </c>
      <c r="O41" s="1560"/>
      <c r="P41" s="1560"/>
      <c r="Q41" s="1560"/>
      <c r="R41" s="933"/>
      <c r="S41" s="56"/>
      <c r="T41" s="1229" t="s">
        <v>1251</v>
      </c>
      <c r="U41" s="1053"/>
      <c r="V41" s="1566"/>
      <c r="W41" s="1566"/>
      <c r="X41" s="1566"/>
      <c r="Y41" s="1566"/>
      <c r="Z41" s="1566"/>
      <c r="AA41" s="1566"/>
      <c r="AB41" s="1566"/>
      <c r="AI41" s="729"/>
      <c r="AJ41" s="40"/>
    </row>
    <row r="42" spans="1:142" ht="15.75" customHeight="1" x14ac:dyDescent="0.2">
      <c r="A42" s="928">
        <v>112</v>
      </c>
      <c r="B42" s="1053"/>
      <c r="C42" s="933"/>
      <c r="D42" s="1557"/>
      <c r="E42" s="1558"/>
      <c r="F42" s="1558"/>
      <c r="G42" s="1558"/>
      <c r="H42" s="1558"/>
      <c r="I42" s="1559"/>
      <c r="J42" s="54"/>
      <c r="K42" s="928"/>
      <c r="L42" s="933"/>
      <c r="N42" s="1560" t="s">
        <v>1225</v>
      </c>
      <c r="O42" s="1560"/>
      <c r="P42" s="1560"/>
      <c r="Q42" s="1560"/>
      <c r="R42" s="933"/>
      <c r="S42" s="56"/>
      <c r="T42" s="1229" t="s">
        <v>1252</v>
      </c>
      <c r="U42" s="1053"/>
      <c r="V42" s="1566"/>
      <c r="W42" s="1566"/>
      <c r="X42" s="1566"/>
      <c r="Y42" s="1566"/>
      <c r="Z42" s="1566"/>
      <c r="AA42" s="1566"/>
      <c r="AB42" s="1566"/>
      <c r="AI42" s="729"/>
      <c r="AJ42" s="40"/>
    </row>
    <row r="43" spans="1:142" ht="9.75" customHeight="1" x14ac:dyDescent="0.2">
      <c r="A43" s="1239"/>
      <c r="B43" s="966"/>
      <c r="C43" s="966"/>
      <c r="D43" s="966"/>
      <c r="E43" s="966"/>
      <c r="F43" s="966"/>
      <c r="G43" s="966"/>
      <c r="H43" s="966"/>
      <c r="I43" s="966"/>
      <c r="J43" s="54"/>
      <c r="K43" s="1239"/>
      <c r="L43" s="966"/>
      <c r="N43" s="1240"/>
      <c r="O43" s="1240"/>
      <c r="P43" s="1240"/>
      <c r="Q43" s="1240"/>
      <c r="R43" s="966"/>
      <c r="S43" s="56"/>
      <c r="T43" s="1029"/>
      <c r="U43" s="966"/>
      <c r="V43" s="1233"/>
      <c r="W43" s="1233"/>
      <c r="X43" s="1233"/>
      <c r="Y43" s="1233"/>
      <c r="Z43" s="1233"/>
      <c r="AA43" s="1233"/>
      <c r="AB43" s="1233"/>
      <c r="AI43" s="729"/>
      <c r="AJ43" s="40"/>
    </row>
    <row r="44" spans="1:142" hidden="1" x14ac:dyDescent="0.2">
      <c r="H44" s="31" t="s">
        <v>33</v>
      </c>
      <c r="I44" s="54"/>
      <c r="J44" s="54"/>
      <c r="S44" s="56"/>
      <c r="T44" s="56"/>
      <c r="U44" s="54"/>
      <c r="V44" s="54"/>
      <c r="W44" s="54"/>
      <c r="X44" s="54"/>
      <c r="Y44" s="54"/>
      <c r="Z44" s="54"/>
      <c r="AA44" s="54"/>
      <c r="AB44" s="64"/>
      <c r="AI44" s="730"/>
      <c r="AJ44" s="730"/>
    </row>
    <row r="45" spans="1:142" s="33" customFormat="1" hidden="1" x14ac:dyDescent="0.2">
      <c r="H45" s="1208" t="s">
        <v>768</v>
      </c>
      <c r="I45" s="31">
        <f>'4 SUP +'!AQ52*0.5</f>
        <v>0</v>
      </c>
      <c r="J45" s="31"/>
      <c r="K45" s="1210" t="str">
        <f>CONCATENATE("FORMICA"," ",+'4 SUP +'!AI52)</f>
        <v xml:space="preserve">FORMICA </v>
      </c>
      <c r="O45" s="1208"/>
      <c r="P45" s="1208"/>
      <c r="Q45" s="1208"/>
      <c r="R45" s="1208"/>
      <c r="S45" s="1208"/>
      <c r="T45" s="1607" t="s">
        <v>1203</v>
      </c>
      <c r="U45" s="1607"/>
      <c r="V45" s="1607"/>
      <c r="W45" s="1606">
        <f>+$U$39*0.11</f>
        <v>0</v>
      </c>
      <c r="X45" s="1606"/>
      <c r="Y45" s="1606"/>
      <c r="Z45" s="1210" t="str">
        <f>CONCATENATE("FORMICA"," ",+V39)</f>
        <v xml:space="preserve">FORMICA </v>
      </c>
      <c r="AA45" s="1208"/>
      <c r="AB45" s="1208"/>
      <c r="AC45" s="55"/>
      <c r="AD45" s="55"/>
      <c r="AE45" s="55"/>
      <c r="AF45" s="55"/>
      <c r="AG45" s="55"/>
      <c r="AH45" s="55"/>
      <c r="AI45" s="730"/>
      <c r="AJ45" s="730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  <c r="CY45" s="55"/>
      <c r="CZ45" s="55"/>
      <c r="DA45" s="55"/>
      <c r="DB45" s="55"/>
      <c r="DC45" s="55"/>
      <c r="DD45" s="55"/>
      <c r="DE45" s="55"/>
      <c r="DF45" s="55"/>
      <c r="DG45" s="55"/>
      <c r="DH45" s="55"/>
      <c r="DI45" s="55"/>
      <c r="DJ45" s="55"/>
      <c r="DK45" s="55"/>
      <c r="DL45" s="55"/>
      <c r="DM45" s="55"/>
      <c r="DN45" s="55"/>
      <c r="DO45" s="55"/>
      <c r="DP45" s="55"/>
      <c r="DQ45" s="55"/>
      <c r="DR45" s="55"/>
      <c r="DS45" s="55"/>
      <c r="DT45" s="55"/>
      <c r="DU45" s="55"/>
      <c r="DV45" s="55"/>
      <c r="DW45" s="55"/>
      <c r="DX45" s="55"/>
      <c r="DY45" s="55"/>
      <c r="DZ45" s="55"/>
      <c r="EA45" s="55"/>
      <c r="EB45" s="55"/>
      <c r="EC45" s="55"/>
      <c r="ED45" s="55"/>
      <c r="EE45" s="55"/>
      <c r="EF45" s="55"/>
      <c r="EG45" s="55"/>
      <c r="EH45" s="55"/>
      <c r="EI45" s="55"/>
      <c r="EJ45" s="55"/>
      <c r="EK45" s="55"/>
      <c r="EL45" s="55"/>
    </row>
    <row r="46" spans="1:142" hidden="1" x14ac:dyDescent="0.2">
      <c r="H46" s="1208" t="s">
        <v>769</v>
      </c>
      <c r="I46" s="31">
        <f>'4 SUP +'!AQ53*0.5</f>
        <v>0</v>
      </c>
      <c r="K46" s="1210" t="str">
        <f>CONCATENATE("FORMICA"," ",+'4 SUP +'!AI53)</f>
        <v xml:space="preserve">FORMICA </v>
      </c>
      <c r="O46" s="1208"/>
      <c r="P46" s="1208"/>
      <c r="Q46" s="1208"/>
      <c r="R46" s="1208"/>
      <c r="S46" s="1208"/>
      <c r="T46" s="1607" t="s">
        <v>1204</v>
      </c>
      <c r="U46" s="1607"/>
      <c r="V46" s="1607"/>
      <c r="W46" s="1606">
        <f>+$U$40*0.11</f>
        <v>0</v>
      </c>
      <c r="X46" s="1606"/>
      <c r="Y46" s="1606"/>
      <c r="Z46" s="1210" t="str">
        <f>CONCATENATE("FORMICA"," ",+V40)</f>
        <v xml:space="preserve">FORMICA </v>
      </c>
      <c r="AA46" s="1208"/>
      <c r="AB46" s="1208"/>
      <c r="AI46" s="730"/>
      <c r="AJ46" s="730"/>
    </row>
    <row r="47" spans="1:142" hidden="1" x14ac:dyDescent="0.2">
      <c r="H47" s="1208" t="s">
        <v>770</v>
      </c>
      <c r="I47" s="31">
        <f>'4 SUP +'!AQ54*0.5</f>
        <v>0</v>
      </c>
      <c r="K47" s="1210" t="str">
        <f>CONCATENATE("FORMICA"," ",+'4 SUP +'!AI54)</f>
        <v xml:space="preserve">FORMICA </v>
      </c>
      <c r="O47" s="1208"/>
      <c r="P47" s="1208"/>
      <c r="Q47" s="1208"/>
      <c r="R47" s="1208"/>
      <c r="S47" s="1208"/>
      <c r="T47" s="1607" t="s">
        <v>1205</v>
      </c>
      <c r="U47" s="1607"/>
      <c r="V47" s="1607"/>
      <c r="W47" s="1606">
        <f>+$U$41*0.33</f>
        <v>0</v>
      </c>
      <c r="X47" s="1606"/>
      <c r="Y47" s="1606"/>
      <c r="Z47" s="1210" t="str">
        <f>CONCATENATE("FORMICA"," ",+V41)</f>
        <v xml:space="preserve">FORMICA </v>
      </c>
      <c r="AA47" s="1227"/>
      <c r="AB47" s="1227"/>
      <c r="AI47" s="730"/>
      <c r="AJ47" s="730"/>
    </row>
    <row r="48" spans="1:142" hidden="1" x14ac:dyDescent="0.2">
      <c r="H48" s="1208" t="s">
        <v>771</v>
      </c>
      <c r="I48" s="31">
        <f>'4 SUP +'!AQ55*0.5</f>
        <v>0</v>
      </c>
      <c r="K48" s="1210" t="str">
        <f>CONCATENATE("FORMICA"," ",+'4 SUP +'!AI55)</f>
        <v xml:space="preserve">FORMICA </v>
      </c>
      <c r="O48" s="1208"/>
      <c r="P48" s="1208"/>
      <c r="Q48" s="1208"/>
      <c r="R48" s="1208"/>
      <c r="S48" s="1208"/>
      <c r="T48" s="1607" t="s">
        <v>1206</v>
      </c>
      <c r="U48" s="1607"/>
      <c r="V48" s="1607"/>
      <c r="W48" s="1606">
        <f>+$U$42*0.4</f>
        <v>0</v>
      </c>
      <c r="X48" s="1606"/>
      <c r="Y48" s="1606"/>
      <c r="Z48" s="1210" t="str">
        <f>CONCATENATE("FORMICA"," ",+V42)</f>
        <v xml:space="preserve">FORMICA </v>
      </c>
      <c r="AA48" s="1227"/>
      <c r="AB48" s="1227"/>
      <c r="AI48" s="730"/>
      <c r="AJ48" s="730"/>
    </row>
    <row r="49" spans="8:36" hidden="1" x14ac:dyDescent="0.2">
      <c r="H49" s="1208" t="s">
        <v>772</v>
      </c>
      <c r="I49" s="31">
        <f>'4 SUP +'!AQ56*0.5</f>
        <v>0</v>
      </c>
      <c r="K49" s="1210" t="str">
        <f>CONCATENATE("FORMICA"," ",+AI57)</f>
        <v xml:space="preserve">FORMICA </v>
      </c>
      <c r="O49" s="1208"/>
      <c r="P49" s="1208"/>
      <c r="Q49" s="1208"/>
      <c r="R49" s="1208"/>
      <c r="S49" s="1208"/>
      <c r="T49" s="1208"/>
      <c r="U49" s="1208"/>
      <c r="V49" s="1208"/>
      <c r="W49" s="1208"/>
      <c r="X49" s="1208"/>
      <c r="Y49" s="1208"/>
      <c r="Z49" s="1227"/>
      <c r="AA49" s="1227"/>
      <c r="AB49" s="1227"/>
      <c r="AI49" s="730"/>
      <c r="AJ49" s="730"/>
    </row>
    <row r="50" spans="8:36" hidden="1" x14ac:dyDescent="0.2">
      <c r="O50" s="1208"/>
      <c r="P50" s="1208"/>
      <c r="Q50" s="1208"/>
      <c r="R50" s="1208"/>
      <c r="S50" s="1208"/>
      <c r="T50" s="1208"/>
      <c r="U50" s="1208"/>
      <c r="V50" s="1208"/>
      <c r="W50" s="1208"/>
      <c r="X50" s="1208"/>
      <c r="Y50" s="1208"/>
      <c r="Z50" s="1227"/>
      <c r="AA50" s="1227"/>
      <c r="AB50" s="1227"/>
      <c r="AI50" s="730"/>
      <c r="AJ50" s="730"/>
    </row>
    <row r="51" spans="8:36" hidden="1" x14ac:dyDescent="0.2">
      <c r="K51" s="1208"/>
      <c r="L51" s="1208"/>
      <c r="O51" s="1208"/>
      <c r="P51" s="1208"/>
      <c r="S51" s="1208"/>
      <c r="T51" s="1208" t="s">
        <v>1211</v>
      </c>
      <c r="U51" s="1208"/>
      <c r="V51" s="1208"/>
      <c r="W51" s="1208"/>
      <c r="X51" s="1208"/>
      <c r="Y51" s="1208"/>
      <c r="Z51" s="1208"/>
      <c r="AA51" s="1208"/>
      <c r="AB51" s="1208"/>
    </row>
    <row r="52" spans="8:36" hidden="1" x14ac:dyDescent="0.2">
      <c r="K52" s="1208"/>
      <c r="L52" s="1208"/>
      <c r="O52" s="1208"/>
      <c r="P52" s="1208"/>
      <c r="S52" s="1208"/>
      <c r="T52" s="1608" t="s">
        <v>1203</v>
      </c>
      <c r="U52" s="1608"/>
      <c r="V52" s="1608"/>
      <c r="W52" s="1609">
        <f>+$U$39*2.84</f>
        <v>0</v>
      </c>
      <c r="X52" s="1609"/>
      <c r="Y52" s="1609"/>
      <c r="Z52" s="1211">
        <f>+V39</f>
        <v>0</v>
      </c>
      <c r="AA52" s="1208"/>
      <c r="AB52" s="1208"/>
    </row>
    <row r="53" spans="8:36" hidden="1" x14ac:dyDescent="0.2">
      <c r="K53" s="1208"/>
      <c r="L53" s="1212"/>
      <c r="O53" s="1208"/>
      <c r="P53" s="1208"/>
      <c r="S53" s="1209"/>
      <c r="T53" s="1608" t="s">
        <v>1204</v>
      </c>
      <c r="U53" s="1608"/>
      <c r="V53" s="1608"/>
      <c r="W53" s="1609">
        <f>+$U$40*3.66</f>
        <v>0</v>
      </c>
      <c r="X53" s="1609"/>
      <c r="Y53" s="1609"/>
      <c r="Z53" s="1211">
        <f>+V40</f>
        <v>0</v>
      </c>
      <c r="AA53" s="1210"/>
      <c r="AB53" s="1208"/>
    </row>
    <row r="54" spans="8:36" hidden="1" x14ac:dyDescent="0.2">
      <c r="K54" s="1208"/>
      <c r="L54" s="1209"/>
      <c r="O54" s="1208"/>
      <c r="P54" s="1208"/>
      <c r="S54" s="1209"/>
      <c r="T54" s="1608" t="s">
        <v>1205</v>
      </c>
      <c r="U54" s="1608"/>
      <c r="V54" s="1608"/>
      <c r="W54" s="1609">
        <f>+$U$41*4.96</f>
        <v>0</v>
      </c>
      <c r="X54" s="1609"/>
      <c r="Y54" s="1609"/>
      <c r="Z54" s="1211">
        <f>+V41</f>
        <v>0</v>
      </c>
      <c r="AA54" s="1208"/>
      <c r="AB54" s="1208"/>
    </row>
    <row r="55" spans="8:36" ht="409.5" hidden="1" x14ac:dyDescent="0.2">
      <c r="O55" s="1208"/>
      <c r="P55" s="1208"/>
      <c r="Q55" s="1208"/>
      <c r="R55" s="1209" t="s">
        <v>9</v>
      </c>
      <c r="S55" s="1209"/>
      <c r="T55" s="1608" t="s">
        <v>1206</v>
      </c>
      <c r="U55" s="1608"/>
      <c r="V55" s="1608"/>
      <c r="W55" s="1609">
        <f>+$U$42*4.36</f>
        <v>0</v>
      </c>
      <c r="X55" s="1609"/>
      <c r="Y55" s="1609"/>
      <c r="Z55" s="1211">
        <f>+V42</f>
        <v>0</v>
      </c>
      <c r="AA55" s="1208"/>
      <c r="AB55" s="1208"/>
    </row>
    <row r="56" spans="8:36" ht="409.5" hidden="1" x14ac:dyDescent="0.2">
      <c r="O56" s="1208"/>
      <c r="P56" s="1208"/>
      <c r="Q56" s="1208"/>
      <c r="R56" s="1209" t="s">
        <v>15</v>
      </c>
      <c r="S56" s="1209"/>
      <c r="T56" s="1209"/>
      <c r="U56" s="1209"/>
      <c r="V56" s="1208"/>
      <c r="W56" s="1208"/>
      <c r="X56" s="1208"/>
      <c r="Y56" s="1208"/>
      <c r="Z56" s="1208"/>
      <c r="AA56" s="1208"/>
      <c r="AB56" s="1208"/>
    </row>
    <row r="57" spans="8:36" ht="409.5" hidden="1" x14ac:dyDescent="0.2">
      <c r="O57" s="1208"/>
      <c r="P57" s="1208"/>
      <c r="Q57" s="1208"/>
      <c r="R57" s="1209" t="s">
        <v>16</v>
      </c>
      <c r="S57" s="1209"/>
      <c r="T57" s="1209"/>
      <c r="U57" s="1209"/>
      <c r="V57" s="1208"/>
      <c r="W57" s="1208"/>
      <c r="X57" s="1208"/>
      <c r="Y57" s="1208"/>
      <c r="Z57" s="1208"/>
      <c r="AA57" s="1208"/>
      <c r="AB57" s="1208"/>
    </row>
    <row r="58" spans="8:36" hidden="1" x14ac:dyDescent="0.2">
      <c r="O58" s="1208"/>
      <c r="P58" s="1208"/>
      <c r="Q58" s="1208"/>
      <c r="R58" s="1208"/>
      <c r="S58" s="1209"/>
      <c r="T58" s="1209"/>
      <c r="U58" s="1209"/>
      <c r="V58" s="1208"/>
      <c r="W58" s="1208"/>
      <c r="X58" s="1208"/>
      <c r="Y58" s="1208"/>
      <c r="Z58" s="1208"/>
      <c r="AA58" s="1208"/>
      <c r="AB58" s="1208"/>
    </row>
    <row r="59" spans="8:36" hidden="1" x14ac:dyDescent="0.2">
      <c r="O59" s="1208"/>
      <c r="P59" s="1208"/>
      <c r="Q59" s="1208"/>
      <c r="R59" s="1208"/>
      <c r="S59" s="1208"/>
      <c r="T59" s="1208"/>
      <c r="U59" s="1208"/>
      <c r="V59" s="1208"/>
      <c r="W59" s="1208"/>
      <c r="X59" s="1208"/>
      <c r="Y59" s="1208"/>
      <c r="Z59" s="1208"/>
      <c r="AA59" s="1208"/>
      <c r="AB59" s="1208"/>
    </row>
    <row r="60" spans="8:36" hidden="1" x14ac:dyDescent="0.2">
      <c r="O60" s="1208"/>
      <c r="P60" s="1208"/>
      <c r="Q60" s="1208"/>
      <c r="R60" s="1208"/>
      <c r="S60" s="1208"/>
      <c r="T60" s="1208"/>
      <c r="U60" s="1208"/>
      <c r="V60" s="1208"/>
      <c r="W60" s="1208"/>
      <c r="X60" s="1208"/>
      <c r="Y60" s="1208"/>
      <c r="Z60" s="1208"/>
      <c r="AA60" s="1208"/>
      <c r="AB60" s="1208"/>
    </row>
    <row r="61" spans="8:36" hidden="1" x14ac:dyDescent="0.2">
      <c r="O61" s="1208"/>
      <c r="P61" s="1208"/>
      <c r="Q61" s="1208"/>
      <c r="R61" s="1208"/>
      <c r="S61" s="1208"/>
      <c r="T61" s="1208"/>
      <c r="U61" s="1208"/>
      <c r="V61" s="1208"/>
      <c r="W61" s="1208"/>
      <c r="X61" s="1208"/>
      <c r="Y61" s="1208"/>
      <c r="Z61" s="1208"/>
      <c r="AA61" s="1208"/>
      <c r="AB61" s="1208"/>
    </row>
    <row r="62" spans="8:36" hidden="1" x14ac:dyDescent="0.2"/>
    <row r="63" spans="8:36" hidden="1" x14ac:dyDescent="0.2"/>
    <row r="64" spans="8:36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hidden="1" x14ac:dyDescent="0.2"/>
    <row r="24383" hidden="1" x14ac:dyDescent="0.2"/>
    <row r="24384" hidden="1" x14ac:dyDescent="0.2"/>
    <row r="24385" hidden="1" x14ac:dyDescent="0.2"/>
    <row r="24386" hidden="1" x14ac:dyDescent="0.2"/>
    <row r="24387" hidden="1" x14ac:dyDescent="0.2"/>
    <row r="24388" hidden="1" x14ac:dyDescent="0.2"/>
    <row r="24389" hidden="1" x14ac:dyDescent="0.2"/>
    <row r="24390" hidden="1" x14ac:dyDescent="0.2"/>
    <row r="24391" hidden="1" x14ac:dyDescent="0.2"/>
    <row r="24392" hidden="1" x14ac:dyDescent="0.2"/>
    <row r="24393" hidden="1" x14ac:dyDescent="0.2"/>
    <row r="24394" hidden="1" x14ac:dyDescent="0.2"/>
    <row r="24395" hidden="1" x14ac:dyDescent="0.2"/>
    <row r="24396" hidden="1" x14ac:dyDescent="0.2"/>
    <row r="24397" hidden="1" x14ac:dyDescent="0.2"/>
    <row r="24398" hidden="1" x14ac:dyDescent="0.2"/>
    <row r="24399" hidden="1" x14ac:dyDescent="0.2"/>
    <row r="24400" hidden="1" x14ac:dyDescent="0.2"/>
    <row r="24401" hidden="1" x14ac:dyDescent="0.2"/>
    <row r="24402" hidden="1" x14ac:dyDescent="0.2"/>
    <row r="24403" hidden="1" x14ac:dyDescent="0.2"/>
    <row r="24404" hidden="1" x14ac:dyDescent="0.2"/>
    <row r="24405" hidden="1" x14ac:dyDescent="0.2"/>
    <row r="24406" hidden="1" x14ac:dyDescent="0.2"/>
    <row r="24407" hidden="1" x14ac:dyDescent="0.2"/>
    <row r="24408" hidden="1" x14ac:dyDescent="0.2"/>
    <row r="24409" hidden="1" x14ac:dyDescent="0.2"/>
    <row r="24410" hidden="1" x14ac:dyDescent="0.2"/>
    <row r="24411" hidden="1" x14ac:dyDescent="0.2"/>
    <row r="24412" hidden="1" x14ac:dyDescent="0.2"/>
    <row r="24413" hidden="1" x14ac:dyDescent="0.2"/>
    <row r="24414" hidden="1" x14ac:dyDescent="0.2"/>
    <row r="24415" hidden="1" x14ac:dyDescent="0.2"/>
    <row r="24416" hidden="1" x14ac:dyDescent="0.2"/>
    <row r="24417" hidden="1" x14ac:dyDescent="0.2"/>
    <row r="24418" hidden="1" x14ac:dyDescent="0.2"/>
    <row r="24419" hidden="1" x14ac:dyDescent="0.2"/>
    <row r="24420" hidden="1" x14ac:dyDescent="0.2"/>
    <row r="24421" hidden="1" x14ac:dyDescent="0.2"/>
    <row r="24422" hidden="1" x14ac:dyDescent="0.2"/>
    <row r="24423" hidden="1" x14ac:dyDescent="0.2"/>
    <row r="24424" hidden="1" x14ac:dyDescent="0.2"/>
    <row r="24425" hidden="1" x14ac:dyDescent="0.2"/>
    <row r="24426" hidden="1" x14ac:dyDescent="0.2"/>
    <row r="24427" hidden="1" x14ac:dyDescent="0.2"/>
    <row r="24428" hidden="1" x14ac:dyDescent="0.2"/>
    <row r="24429" hidden="1" x14ac:dyDescent="0.2"/>
    <row r="24430" hidden="1" x14ac:dyDescent="0.2"/>
    <row r="24431" hidden="1" x14ac:dyDescent="0.2"/>
    <row r="24432" hidden="1" x14ac:dyDescent="0.2"/>
    <row r="24433" hidden="1" x14ac:dyDescent="0.2"/>
    <row r="24434" hidden="1" x14ac:dyDescent="0.2"/>
    <row r="24435" hidden="1" x14ac:dyDescent="0.2"/>
    <row r="24436" hidden="1" x14ac:dyDescent="0.2"/>
    <row r="24437" hidden="1" x14ac:dyDescent="0.2"/>
    <row r="24438" hidden="1" x14ac:dyDescent="0.2"/>
    <row r="24439" hidden="1" x14ac:dyDescent="0.2"/>
    <row r="24440" hidden="1" x14ac:dyDescent="0.2"/>
    <row r="24441" hidden="1" x14ac:dyDescent="0.2"/>
    <row r="24442" hidden="1" x14ac:dyDescent="0.2"/>
    <row r="24443" hidden="1" x14ac:dyDescent="0.2"/>
    <row r="24444" hidden="1" x14ac:dyDescent="0.2"/>
    <row r="24445" hidden="1" x14ac:dyDescent="0.2"/>
    <row r="24446" hidden="1" x14ac:dyDescent="0.2"/>
    <row r="24447" hidden="1" x14ac:dyDescent="0.2"/>
    <row r="24448" hidden="1" x14ac:dyDescent="0.2"/>
    <row r="24449" hidden="1" x14ac:dyDescent="0.2"/>
    <row r="24450" hidden="1" x14ac:dyDescent="0.2"/>
    <row r="24451" hidden="1" x14ac:dyDescent="0.2"/>
    <row r="24452" hidden="1" x14ac:dyDescent="0.2"/>
    <row r="24453" hidden="1" x14ac:dyDescent="0.2"/>
    <row r="24454" hidden="1" x14ac:dyDescent="0.2"/>
    <row r="24455" hidden="1" x14ac:dyDescent="0.2"/>
    <row r="24456" hidden="1" x14ac:dyDescent="0.2"/>
    <row r="24457" hidden="1" x14ac:dyDescent="0.2"/>
    <row r="24458" hidden="1" x14ac:dyDescent="0.2"/>
    <row r="24459" hidden="1" x14ac:dyDescent="0.2"/>
    <row r="24460" hidden="1" x14ac:dyDescent="0.2"/>
    <row r="24461" hidden="1" x14ac:dyDescent="0.2"/>
    <row r="24462" hidden="1" x14ac:dyDescent="0.2"/>
    <row r="24463" hidden="1" x14ac:dyDescent="0.2"/>
    <row r="24464" hidden="1" x14ac:dyDescent="0.2"/>
    <row r="24465" hidden="1" x14ac:dyDescent="0.2"/>
    <row r="24466" hidden="1" x14ac:dyDescent="0.2"/>
    <row r="24467" hidden="1" x14ac:dyDescent="0.2"/>
    <row r="24468" hidden="1" x14ac:dyDescent="0.2"/>
    <row r="24469" hidden="1" x14ac:dyDescent="0.2"/>
    <row r="24470" hidden="1" x14ac:dyDescent="0.2"/>
    <row r="24471" hidden="1" x14ac:dyDescent="0.2"/>
    <row r="24472" hidden="1" x14ac:dyDescent="0.2"/>
    <row r="24473" hidden="1" x14ac:dyDescent="0.2"/>
    <row r="24474" hidden="1" x14ac:dyDescent="0.2"/>
    <row r="24475" hidden="1" x14ac:dyDescent="0.2"/>
    <row r="24476" hidden="1" x14ac:dyDescent="0.2"/>
    <row r="24477" hidden="1" x14ac:dyDescent="0.2"/>
    <row r="24478" hidden="1" x14ac:dyDescent="0.2"/>
    <row r="24479" hidden="1" x14ac:dyDescent="0.2"/>
    <row r="24480" hidden="1" x14ac:dyDescent="0.2"/>
    <row r="24481" hidden="1" x14ac:dyDescent="0.2"/>
    <row r="24482" hidden="1" x14ac:dyDescent="0.2"/>
    <row r="24483" hidden="1" x14ac:dyDescent="0.2"/>
    <row r="24484" hidden="1" x14ac:dyDescent="0.2"/>
    <row r="24485" hidden="1" x14ac:dyDescent="0.2"/>
    <row r="24486" hidden="1" x14ac:dyDescent="0.2"/>
    <row r="24487" hidden="1" x14ac:dyDescent="0.2"/>
    <row r="24488" hidden="1" x14ac:dyDescent="0.2"/>
    <row r="24489" hidden="1" x14ac:dyDescent="0.2"/>
    <row r="24490" hidden="1" x14ac:dyDescent="0.2"/>
    <row r="24491" hidden="1" x14ac:dyDescent="0.2"/>
    <row r="24492" hidden="1" x14ac:dyDescent="0.2"/>
    <row r="24493" hidden="1" x14ac:dyDescent="0.2"/>
    <row r="24494" hidden="1" x14ac:dyDescent="0.2"/>
    <row r="24495" hidden="1" x14ac:dyDescent="0.2"/>
    <row r="24496" hidden="1" x14ac:dyDescent="0.2"/>
    <row r="24497" hidden="1" x14ac:dyDescent="0.2"/>
    <row r="24498" hidden="1" x14ac:dyDescent="0.2"/>
    <row r="24499" hidden="1" x14ac:dyDescent="0.2"/>
    <row r="24500" hidden="1" x14ac:dyDescent="0.2"/>
    <row r="24501" hidden="1" x14ac:dyDescent="0.2"/>
    <row r="24502" hidden="1" x14ac:dyDescent="0.2"/>
    <row r="24503" hidden="1" x14ac:dyDescent="0.2"/>
    <row r="24504" hidden="1" x14ac:dyDescent="0.2"/>
    <row r="24505" hidden="1" x14ac:dyDescent="0.2"/>
    <row r="24506" hidden="1" x14ac:dyDescent="0.2"/>
    <row r="24507" hidden="1" x14ac:dyDescent="0.2"/>
    <row r="24508" hidden="1" x14ac:dyDescent="0.2"/>
    <row r="24509" hidden="1" x14ac:dyDescent="0.2"/>
    <row r="24510" hidden="1" x14ac:dyDescent="0.2"/>
    <row r="24511" hidden="1" x14ac:dyDescent="0.2"/>
    <row r="24512" hidden="1" x14ac:dyDescent="0.2"/>
    <row r="24513" hidden="1" x14ac:dyDescent="0.2"/>
    <row r="24514" hidden="1" x14ac:dyDescent="0.2"/>
    <row r="24515" hidden="1" x14ac:dyDescent="0.2"/>
    <row r="24516" hidden="1" x14ac:dyDescent="0.2"/>
    <row r="24517" hidden="1" x14ac:dyDescent="0.2"/>
    <row r="24518" hidden="1" x14ac:dyDescent="0.2"/>
    <row r="24519" hidden="1" x14ac:dyDescent="0.2"/>
    <row r="24520" hidden="1" x14ac:dyDescent="0.2"/>
    <row r="24521" hidden="1" x14ac:dyDescent="0.2"/>
    <row r="24522" hidden="1" x14ac:dyDescent="0.2"/>
    <row r="24523" hidden="1" x14ac:dyDescent="0.2"/>
    <row r="24524" hidden="1" x14ac:dyDescent="0.2"/>
    <row r="24525" hidden="1" x14ac:dyDescent="0.2"/>
    <row r="24526" hidden="1" x14ac:dyDescent="0.2"/>
    <row r="24527" hidden="1" x14ac:dyDescent="0.2"/>
    <row r="24528" hidden="1" x14ac:dyDescent="0.2"/>
    <row r="24529" hidden="1" x14ac:dyDescent="0.2"/>
    <row r="24530" hidden="1" x14ac:dyDescent="0.2"/>
    <row r="24531" hidden="1" x14ac:dyDescent="0.2"/>
    <row r="24532" hidden="1" x14ac:dyDescent="0.2"/>
    <row r="24533" hidden="1" x14ac:dyDescent="0.2"/>
    <row r="24534" hidden="1" x14ac:dyDescent="0.2"/>
    <row r="24535" hidden="1" x14ac:dyDescent="0.2"/>
    <row r="24536" hidden="1" x14ac:dyDescent="0.2"/>
    <row r="24537" hidden="1" x14ac:dyDescent="0.2"/>
    <row r="24538" hidden="1" x14ac:dyDescent="0.2"/>
    <row r="24539" hidden="1" x14ac:dyDescent="0.2"/>
    <row r="24540" hidden="1" x14ac:dyDescent="0.2"/>
    <row r="24541" hidden="1" x14ac:dyDescent="0.2"/>
    <row r="24542" hidden="1" x14ac:dyDescent="0.2"/>
    <row r="24543" hidden="1" x14ac:dyDescent="0.2"/>
    <row r="24544" hidden="1" x14ac:dyDescent="0.2"/>
    <row r="24545" hidden="1" x14ac:dyDescent="0.2"/>
    <row r="24546" hidden="1" x14ac:dyDescent="0.2"/>
    <row r="24547" hidden="1" x14ac:dyDescent="0.2"/>
    <row r="24548" hidden="1" x14ac:dyDescent="0.2"/>
    <row r="24549" hidden="1" x14ac:dyDescent="0.2"/>
    <row r="24550" hidden="1" x14ac:dyDescent="0.2"/>
    <row r="24551" hidden="1" x14ac:dyDescent="0.2"/>
    <row r="24552" hidden="1" x14ac:dyDescent="0.2"/>
    <row r="24553" hidden="1" x14ac:dyDescent="0.2"/>
    <row r="24554" hidden="1" x14ac:dyDescent="0.2"/>
    <row r="24555" hidden="1" x14ac:dyDescent="0.2"/>
    <row r="24556" hidden="1" x14ac:dyDescent="0.2"/>
    <row r="24557" hidden="1" x14ac:dyDescent="0.2"/>
    <row r="24558" hidden="1" x14ac:dyDescent="0.2"/>
    <row r="24559" hidden="1" x14ac:dyDescent="0.2"/>
    <row r="24560" hidden="1" x14ac:dyDescent="0.2"/>
    <row r="24561" hidden="1" x14ac:dyDescent="0.2"/>
    <row r="24562" hidden="1" x14ac:dyDescent="0.2"/>
    <row r="24563" hidden="1" x14ac:dyDescent="0.2"/>
    <row r="24564" hidden="1" x14ac:dyDescent="0.2"/>
    <row r="24565" hidden="1" x14ac:dyDescent="0.2"/>
    <row r="24566" hidden="1" x14ac:dyDescent="0.2"/>
    <row r="24567" hidden="1" x14ac:dyDescent="0.2"/>
    <row r="24568" hidden="1" x14ac:dyDescent="0.2"/>
    <row r="24569" hidden="1" x14ac:dyDescent="0.2"/>
    <row r="24570" hidden="1" x14ac:dyDescent="0.2"/>
    <row r="24571" hidden="1" x14ac:dyDescent="0.2"/>
    <row r="24572" hidden="1" x14ac:dyDescent="0.2"/>
    <row r="24573" hidden="1" x14ac:dyDescent="0.2"/>
    <row r="24574" hidden="1" x14ac:dyDescent="0.2"/>
    <row r="24575" hidden="1" x14ac:dyDescent="0.2"/>
    <row r="24576" hidden="1" x14ac:dyDescent="0.2"/>
    <row r="24577" hidden="1" x14ac:dyDescent="0.2"/>
    <row r="24578" hidden="1" x14ac:dyDescent="0.2"/>
    <row r="24579" hidden="1" x14ac:dyDescent="0.2"/>
    <row r="24580" hidden="1" x14ac:dyDescent="0.2"/>
    <row r="24581" hidden="1" x14ac:dyDescent="0.2"/>
    <row r="24582" hidden="1" x14ac:dyDescent="0.2"/>
    <row r="24583" hidden="1" x14ac:dyDescent="0.2"/>
    <row r="24584" hidden="1" x14ac:dyDescent="0.2"/>
    <row r="24585" hidden="1" x14ac:dyDescent="0.2"/>
    <row r="24586" hidden="1" x14ac:dyDescent="0.2"/>
    <row r="24587" hidden="1" x14ac:dyDescent="0.2"/>
    <row r="24588" hidden="1" x14ac:dyDescent="0.2"/>
    <row r="24589" hidden="1" x14ac:dyDescent="0.2"/>
    <row r="24590" hidden="1" x14ac:dyDescent="0.2"/>
    <row r="24591" hidden="1" x14ac:dyDescent="0.2"/>
    <row r="24592" hidden="1" x14ac:dyDescent="0.2"/>
    <row r="24593" hidden="1" x14ac:dyDescent="0.2"/>
    <row r="24594" hidden="1" x14ac:dyDescent="0.2"/>
    <row r="24595" hidden="1" x14ac:dyDescent="0.2"/>
    <row r="24596" hidden="1" x14ac:dyDescent="0.2"/>
    <row r="24597" hidden="1" x14ac:dyDescent="0.2"/>
    <row r="24598" hidden="1" x14ac:dyDescent="0.2"/>
    <row r="24599" hidden="1" x14ac:dyDescent="0.2"/>
    <row r="24600" hidden="1" x14ac:dyDescent="0.2"/>
    <row r="24601" hidden="1" x14ac:dyDescent="0.2"/>
    <row r="24602" hidden="1" x14ac:dyDescent="0.2"/>
    <row r="24603" hidden="1" x14ac:dyDescent="0.2"/>
    <row r="24604" hidden="1" x14ac:dyDescent="0.2"/>
    <row r="24605" hidden="1" x14ac:dyDescent="0.2"/>
    <row r="24606" hidden="1" x14ac:dyDescent="0.2"/>
    <row r="24607" hidden="1" x14ac:dyDescent="0.2"/>
    <row r="24608" hidden="1" x14ac:dyDescent="0.2"/>
    <row r="24609" hidden="1" x14ac:dyDescent="0.2"/>
    <row r="24610" hidden="1" x14ac:dyDescent="0.2"/>
    <row r="24611" hidden="1" x14ac:dyDescent="0.2"/>
    <row r="24612" hidden="1" x14ac:dyDescent="0.2"/>
    <row r="24613" hidden="1" x14ac:dyDescent="0.2"/>
    <row r="24614" hidden="1" x14ac:dyDescent="0.2"/>
    <row r="24615" hidden="1" x14ac:dyDescent="0.2"/>
    <row r="24616" hidden="1" x14ac:dyDescent="0.2"/>
    <row r="24617" hidden="1" x14ac:dyDescent="0.2"/>
    <row r="24618" hidden="1" x14ac:dyDescent="0.2"/>
    <row r="24619" hidden="1" x14ac:dyDescent="0.2"/>
    <row r="24620" hidden="1" x14ac:dyDescent="0.2"/>
    <row r="24621" hidden="1" x14ac:dyDescent="0.2"/>
    <row r="24622" hidden="1" x14ac:dyDescent="0.2"/>
    <row r="24623" hidden="1" x14ac:dyDescent="0.2"/>
    <row r="24624" hidden="1" x14ac:dyDescent="0.2"/>
    <row r="24625" hidden="1" x14ac:dyDescent="0.2"/>
    <row r="24626" hidden="1" x14ac:dyDescent="0.2"/>
    <row r="24627" hidden="1" x14ac:dyDescent="0.2"/>
    <row r="24628" hidden="1" x14ac:dyDescent="0.2"/>
    <row r="24629" hidden="1" x14ac:dyDescent="0.2"/>
    <row r="24630" hidden="1" x14ac:dyDescent="0.2"/>
    <row r="24631" hidden="1" x14ac:dyDescent="0.2"/>
    <row r="24632" hidden="1" x14ac:dyDescent="0.2"/>
    <row r="24633" hidden="1" x14ac:dyDescent="0.2"/>
    <row r="24634" hidden="1" x14ac:dyDescent="0.2"/>
    <row r="24635" hidden="1" x14ac:dyDescent="0.2"/>
    <row r="24636" hidden="1" x14ac:dyDescent="0.2"/>
    <row r="24637" hidden="1" x14ac:dyDescent="0.2"/>
    <row r="24638" hidden="1" x14ac:dyDescent="0.2"/>
    <row r="24639" hidden="1" x14ac:dyDescent="0.2"/>
    <row r="24640" hidden="1" x14ac:dyDescent="0.2"/>
    <row r="24641" hidden="1" x14ac:dyDescent="0.2"/>
    <row r="24642" hidden="1" x14ac:dyDescent="0.2"/>
    <row r="24643" hidden="1" x14ac:dyDescent="0.2"/>
    <row r="24644" hidden="1" x14ac:dyDescent="0.2"/>
    <row r="24645" hidden="1" x14ac:dyDescent="0.2"/>
    <row r="24646" hidden="1" x14ac:dyDescent="0.2"/>
    <row r="24647" hidden="1" x14ac:dyDescent="0.2"/>
    <row r="24648" hidden="1" x14ac:dyDescent="0.2"/>
    <row r="24649" hidden="1" x14ac:dyDescent="0.2"/>
    <row r="24650" hidden="1" x14ac:dyDescent="0.2"/>
    <row r="24651" hidden="1" x14ac:dyDescent="0.2"/>
    <row r="24652" hidden="1" x14ac:dyDescent="0.2"/>
    <row r="24653" hidden="1" x14ac:dyDescent="0.2"/>
    <row r="24654" hidden="1" x14ac:dyDescent="0.2"/>
    <row r="24655" hidden="1" x14ac:dyDescent="0.2"/>
    <row r="24656" hidden="1" x14ac:dyDescent="0.2"/>
    <row r="24657" hidden="1" x14ac:dyDescent="0.2"/>
    <row r="24658" hidden="1" x14ac:dyDescent="0.2"/>
    <row r="24659" hidden="1" x14ac:dyDescent="0.2"/>
    <row r="24660" hidden="1" x14ac:dyDescent="0.2"/>
    <row r="24661" hidden="1" x14ac:dyDescent="0.2"/>
    <row r="24662" hidden="1" x14ac:dyDescent="0.2"/>
    <row r="24663" hidden="1" x14ac:dyDescent="0.2"/>
    <row r="24664" hidden="1" x14ac:dyDescent="0.2"/>
    <row r="24665" hidden="1" x14ac:dyDescent="0.2"/>
    <row r="24666" hidden="1" x14ac:dyDescent="0.2"/>
    <row r="24667" hidden="1" x14ac:dyDescent="0.2"/>
    <row r="24668" hidden="1" x14ac:dyDescent="0.2"/>
    <row r="24669" hidden="1" x14ac:dyDescent="0.2"/>
    <row r="24670" hidden="1" x14ac:dyDescent="0.2"/>
    <row r="24671" hidden="1" x14ac:dyDescent="0.2"/>
    <row r="24672" hidden="1" x14ac:dyDescent="0.2"/>
    <row r="24673" hidden="1" x14ac:dyDescent="0.2"/>
    <row r="24674" hidden="1" x14ac:dyDescent="0.2"/>
    <row r="24675" hidden="1" x14ac:dyDescent="0.2"/>
    <row r="24676" hidden="1" x14ac:dyDescent="0.2"/>
    <row r="24677" hidden="1" x14ac:dyDescent="0.2"/>
    <row r="24678" hidden="1" x14ac:dyDescent="0.2"/>
    <row r="24679" hidden="1" x14ac:dyDescent="0.2"/>
    <row r="24680" hidden="1" x14ac:dyDescent="0.2"/>
    <row r="24681" hidden="1" x14ac:dyDescent="0.2"/>
    <row r="24682" hidden="1" x14ac:dyDescent="0.2"/>
    <row r="24683" hidden="1" x14ac:dyDescent="0.2"/>
    <row r="24684" hidden="1" x14ac:dyDescent="0.2"/>
    <row r="24685" hidden="1" x14ac:dyDescent="0.2"/>
    <row r="24686" hidden="1" x14ac:dyDescent="0.2"/>
    <row r="24687" hidden="1" x14ac:dyDescent="0.2"/>
    <row r="24688" hidden="1" x14ac:dyDescent="0.2"/>
    <row r="24689" hidden="1" x14ac:dyDescent="0.2"/>
    <row r="24690" hidden="1" x14ac:dyDescent="0.2"/>
    <row r="24691" hidden="1" x14ac:dyDescent="0.2"/>
    <row r="24692" hidden="1" x14ac:dyDescent="0.2"/>
    <row r="24693" hidden="1" x14ac:dyDescent="0.2"/>
    <row r="24694" hidden="1" x14ac:dyDescent="0.2"/>
    <row r="24695" hidden="1" x14ac:dyDescent="0.2"/>
    <row r="24696" hidden="1" x14ac:dyDescent="0.2"/>
    <row r="24697" hidden="1" x14ac:dyDescent="0.2"/>
    <row r="24698" hidden="1" x14ac:dyDescent="0.2"/>
    <row r="24699" hidden="1" x14ac:dyDescent="0.2"/>
    <row r="24700" hidden="1" x14ac:dyDescent="0.2"/>
    <row r="24701" hidden="1" x14ac:dyDescent="0.2"/>
    <row r="24702" hidden="1" x14ac:dyDescent="0.2"/>
    <row r="24703" hidden="1" x14ac:dyDescent="0.2"/>
    <row r="24704" hidden="1" x14ac:dyDescent="0.2"/>
    <row r="24705" hidden="1" x14ac:dyDescent="0.2"/>
    <row r="24706" hidden="1" x14ac:dyDescent="0.2"/>
    <row r="24707" hidden="1" x14ac:dyDescent="0.2"/>
    <row r="24708" hidden="1" x14ac:dyDescent="0.2"/>
    <row r="24709" hidden="1" x14ac:dyDescent="0.2"/>
    <row r="24710" hidden="1" x14ac:dyDescent="0.2"/>
    <row r="24711" hidden="1" x14ac:dyDescent="0.2"/>
    <row r="24712" hidden="1" x14ac:dyDescent="0.2"/>
    <row r="24713" hidden="1" x14ac:dyDescent="0.2"/>
    <row r="24714" hidden="1" x14ac:dyDescent="0.2"/>
    <row r="24715" hidden="1" x14ac:dyDescent="0.2"/>
    <row r="24716" hidden="1" x14ac:dyDescent="0.2"/>
    <row r="24717" hidden="1" x14ac:dyDescent="0.2"/>
    <row r="24718" hidden="1" x14ac:dyDescent="0.2"/>
    <row r="24719" hidden="1" x14ac:dyDescent="0.2"/>
    <row r="24720" hidden="1" x14ac:dyDescent="0.2"/>
    <row r="24721" hidden="1" x14ac:dyDescent="0.2"/>
    <row r="24722" hidden="1" x14ac:dyDescent="0.2"/>
    <row r="24723" hidden="1" x14ac:dyDescent="0.2"/>
    <row r="24724" hidden="1" x14ac:dyDescent="0.2"/>
    <row r="24725" hidden="1" x14ac:dyDescent="0.2"/>
    <row r="24726" hidden="1" x14ac:dyDescent="0.2"/>
    <row r="24727" hidden="1" x14ac:dyDescent="0.2"/>
    <row r="24728" hidden="1" x14ac:dyDescent="0.2"/>
    <row r="24729" hidden="1" x14ac:dyDescent="0.2"/>
    <row r="24730" hidden="1" x14ac:dyDescent="0.2"/>
    <row r="24731" hidden="1" x14ac:dyDescent="0.2"/>
    <row r="24732" hidden="1" x14ac:dyDescent="0.2"/>
    <row r="24733" hidden="1" x14ac:dyDescent="0.2"/>
    <row r="24734" hidden="1" x14ac:dyDescent="0.2"/>
    <row r="24735" hidden="1" x14ac:dyDescent="0.2"/>
    <row r="24736" hidden="1" x14ac:dyDescent="0.2"/>
    <row r="24737" hidden="1" x14ac:dyDescent="0.2"/>
    <row r="24738" hidden="1" x14ac:dyDescent="0.2"/>
    <row r="24739" hidden="1" x14ac:dyDescent="0.2"/>
    <row r="24740" hidden="1" x14ac:dyDescent="0.2"/>
    <row r="24741" hidden="1" x14ac:dyDescent="0.2"/>
    <row r="24742" hidden="1" x14ac:dyDescent="0.2"/>
    <row r="24743" hidden="1" x14ac:dyDescent="0.2"/>
    <row r="24744" hidden="1" x14ac:dyDescent="0.2"/>
    <row r="24745" hidden="1" x14ac:dyDescent="0.2"/>
    <row r="24746" hidden="1" x14ac:dyDescent="0.2"/>
    <row r="24747" hidden="1" x14ac:dyDescent="0.2"/>
    <row r="24748" hidden="1" x14ac:dyDescent="0.2"/>
    <row r="24749" hidden="1" x14ac:dyDescent="0.2"/>
    <row r="24750" hidden="1" x14ac:dyDescent="0.2"/>
    <row r="24751" hidden="1" x14ac:dyDescent="0.2"/>
    <row r="24752" hidden="1" x14ac:dyDescent="0.2"/>
    <row r="24753" hidden="1" x14ac:dyDescent="0.2"/>
    <row r="24754" hidden="1" x14ac:dyDescent="0.2"/>
    <row r="24755" hidden="1" x14ac:dyDescent="0.2"/>
    <row r="24756" hidden="1" x14ac:dyDescent="0.2"/>
    <row r="24757" hidden="1" x14ac:dyDescent="0.2"/>
    <row r="24758" hidden="1" x14ac:dyDescent="0.2"/>
    <row r="24759" hidden="1" x14ac:dyDescent="0.2"/>
    <row r="24760" hidden="1" x14ac:dyDescent="0.2"/>
    <row r="24761" hidden="1" x14ac:dyDescent="0.2"/>
    <row r="24762" hidden="1" x14ac:dyDescent="0.2"/>
    <row r="24763" hidden="1" x14ac:dyDescent="0.2"/>
    <row r="24764" hidden="1" x14ac:dyDescent="0.2"/>
    <row r="24765" hidden="1" x14ac:dyDescent="0.2"/>
    <row r="24766" hidden="1" x14ac:dyDescent="0.2"/>
    <row r="24767" hidden="1" x14ac:dyDescent="0.2"/>
    <row r="24768" hidden="1" x14ac:dyDescent="0.2"/>
    <row r="24769" hidden="1" x14ac:dyDescent="0.2"/>
    <row r="24770" hidden="1" x14ac:dyDescent="0.2"/>
    <row r="24771" hidden="1" x14ac:dyDescent="0.2"/>
    <row r="24772" hidden="1" x14ac:dyDescent="0.2"/>
    <row r="24773" hidden="1" x14ac:dyDescent="0.2"/>
    <row r="24774" hidden="1" x14ac:dyDescent="0.2"/>
    <row r="24775" hidden="1" x14ac:dyDescent="0.2"/>
    <row r="24776" hidden="1" x14ac:dyDescent="0.2"/>
    <row r="24777" hidden="1" x14ac:dyDescent="0.2"/>
    <row r="24778" hidden="1" x14ac:dyDescent="0.2"/>
    <row r="24779" hidden="1" x14ac:dyDescent="0.2"/>
    <row r="24780" hidden="1" x14ac:dyDescent="0.2"/>
    <row r="24781" hidden="1" x14ac:dyDescent="0.2"/>
    <row r="24782" hidden="1" x14ac:dyDescent="0.2"/>
    <row r="24783" hidden="1" x14ac:dyDescent="0.2"/>
    <row r="24784" hidden="1" x14ac:dyDescent="0.2"/>
    <row r="24785" hidden="1" x14ac:dyDescent="0.2"/>
    <row r="24786" hidden="1" x14ac:dyDescent="0.2"/>
    <row r="24787" hidden="1" x14ac:dyDescent="0.2"/>
    <row r="24788" hidden="1" x14ac:dyDescent="0.2"/>
    <row r="24789" hidden="1" x14ac:dyDescent="0.2"/>
    <row r="24790" hidden="1" x14ac:dyDescent="0.2"/>
    <row r="24791" hidden="1" x14ac:dyDescent="0.2"/>
    <row r="24792" hidden="1" x14ac:dyDescent="0.2"/>
    <row r="24793" hidden="1" x14ac:dyDescent="0.2"/>
    <row r="24794" hidden="1" x14ac:dyDescent="0.2"/>
    <row r="24795" hidden="1" x14ac:dyDescent="0.2"/>
    <row r="24796" hidden="1" x14ac:dyDescent="0.2"/>
    <row r="24797" hidden="1" x14ac:dyDescent="0.2"/>
    <row r="24798" hidden="1" x14ac:dyDescent="0.2"/>
    <row r="24799" hidden="1" x14ac:dyDescent="0.2"/>
    <row r="24800" hidden="1" x14ac:dyDescent="0.2"/>
    <row r="24801" hidden="1" x14ac:dyDescent="0.2"/>
    <row r="24802" hidden="1" x14ac:dyDescent="0.2"/>
    <row r="24803" hidden="1" x14ac:dyDescent="0.2"/>
    <row r="24804" hidden="1" x14ac:dyDescent="0.2"/>
    <row r="24805" hidden="1" x14ac:dyDescent="0.2"/>
    <row r="24806" hidden="1" x14ac:dyDescent="0.2"/>
    <row r="24807" hidden="1" x14ac:dyDescent="0.2"/>
    <row r="24808" hidden="1" x14ac:dyDescent="0.2"/>
    <row r="24809" hidden="1" x14ac:dyDescent="0.2"/>
    <row r="24810" hidden="1" x14ac:dyDescent="0.2"/>
    <row r="24811" hidden="1" x14ac:dyDescent="0.2"/>
    <row r="24812" hidden="1" x14ac:dyDescent="0.2"/>
    <row r="24813" hidden="1" x14ac:dyDescent="0.2"/>
    <row r="24814" hidden="1" x14ac:dyDescent="0.2"/>
    <row r="24815" hidden="1" x14ac:dyDescent="0.2"/>
    <row r="24816" hidden="1" x14ac:dyDescent="0.2"/>
    <row r="24817" hidden="1" x14ac:dyDescent="0.2"/>
    <row r="24818" hidden="1" x14ac:dyDescent="0.2"/>
    <row r="24819" hidden="1" x14ac:dyDescent="0.2"/>
    <row r="24820" hidden="1" x14ac:dyDescent="0.2"/>
    <row r="24821" hidden="1" x14ac:dyDescent="0.2"/>
    <row r="24822" hidden="1" x14ac:dyDescent="0.2"/>
    <row r="24823" hidden="1" x14ac:dyDescent="0.2"/>
    <row r="24824" hidden="1" x14ac:dyDescent="0.2"/>
    <row r="24825" hidden="1" x14ac:dyDescent="0.2"/>
    <row r="24826" hidden="1" x14ac:dyDescent="0.2"/>
    <row r="24827" hidden="1" x14ac:dyDescent="0.2"/>
    <row r="24828" hidden="1" x14ac:dyDescent="0.2"/>
    <row r="24829" hidden="1" x14ac:dyDescent="0.2"/>
    <row r="24830" hidden="1" x14ac:dyDescent="0.2"/>
    <row r="24831" hidden="1" x14ac:dyDescent="0.2"/>
    <row r="24832" hidden="1" x14ac:dyDescent="0.2"/>
    <row r="24833" hidden="1" x14ac:dyDescent="0.2"/>
    <row r="24834" hidden="1" x14ac:dyDescent="0.2"/>
    <row r="24835" hidden="1" x14ac:dyDescent="0.2"/>
    <row r="24836" hidden="1" x14ac:dyDescent="0.2"/>
    <row r="24837" hidden="1" x14ac:dyDescent="0.2"/>
    <row r="24838" hidden="1" x14ac:dyDescent="0.2"/>
    <row r="24839" hidden="1" x14ac:dyDescent="0.2"/>
    <row r="24840" hidden="1" x14ac:dyDescent="0.2"/>
    <row r="24841" hidden="1" x14ac:dyDescent="0.2"/>
    <row r="24842" hidden="1" x14ac:dyDescent="0.2"/>
    <row r="24843" hidden="1" x14ac:dyDescent="0.2"/>
    <row r="24844" hidden="1" x14ac:dyDescent="0.2"/>
    <row r="24845" hidden="1" x14ac:dyDescent="0.2"/>
    <row r="24846" hidden="1" x14ac:dyDescent="0.2"/>
    <row r="24847" hidden="1" x14ac:dyDescent="0.2"/>
    <row r="24848" hidden="1" x14ac:dyDescent="0.2"/>
    <row r="24849" hidden="1" x14ac:dyDescent="0.2"/>
    <row r="24850" hidden="1" x14ac:dyDescent="0.2"/>
    <row r="24851" hidden="1" x14ac:dyDescent="0.2"/>
    <row r="24852" hidden="1" x14ac:dyDescent="0.2"/>
    <row r="24853" hidden="1" x14ac:dyDescent="0.2"/>
    <row r="24854" hidden="1" x14ac:dyDescent="0.2"/>
    <row r="24855" hidden="1" x14ac:dyDescent="0.2"/>
    <row r="24856" hidden="1" x14ac:dyDescent="0.2"/>
    <row r="24857" hidden="1" x14ac:dyDescent="0.2"/>
    <row r="24858" hidden="1" x14ac:dyDescent="0.2"/>
    <row r="24859" hidden="1" x14ac:dyDescent="0.2"/>
    <row r="24860" hidden="1" x14ac:dyDescent="0.2"/>
    <row r="24861" hidden="1" x14ac:dyDescent="0.2"/>
    <row r="24862" hidden="1" x14ac:dyDescent="0.2"/>
    <row r="24863" hidden="1" x14ac:dyDescent="0.2"/>
    <row r="24864" hidden="1" x14ac:dyDescent="0.2"/>
    <row r="24865" hidden="1" x14ac:dyDescent="0.2"/>
    <row r="24866" hidden="1" x14ac:dyDescent="0.2"/>
    <row r="24867" hidden="1" x14ac:dyDescent="0.2"/>
    <row r="24868" hidden="1" x14ac:dyDescent="0.2"/>
    <row r="24869" hidden="1" x14ac:dyDescent="0.2"/>
    <row r="24870" hidden="1" x14ac:dyDescent="0.2"/>
    <row r="24871" hidden="1" x14ac:dyDescent="0.2"/>
    <row r="24872" hidden="1" x14ac:dyDescent="0.2"/>
    <row r="24873" hidden="1" x14ac:dyDescent="0.2"/>
    <row r="24874" hidden="1" x14ac:dyDescent="0.2"/>
    <row r="24875" hidden="1" x14ac:dyDescent="0.2"/>
    <row r="24876" hidden="1" x14ac:dyDescent="0.2"/>
    <row r="24877" hidden="1" x14ac:dyDescent="0.2"/>
    <row r="24878" hidden="1" x14ac:dyDescent="0.2"/>
    <row r="24879" hidden="1" x14ac:dyDescent="0.2"/>
    <row r="24880" hidden="1" x14ac:dyDescent="0.2"/>
    <row r="24881" hidden="1" x14ac:dyDescent="0.2"/>
    <row r="24882" hidden="1" x14ac:dyDescent="0.2"/>
    <row r="24883" hidden="1" x14ac:dyDescent="0.2"/>
    <row r="24884" hidden="1" x14ac:dyDescent="0.2"/>
    <row r="24885" hidden="1" x14ac:dyDescent="0.2"/>
    <row r="24886" hidden="1" x14ac:dyDescent="0.2"/>
    <row r="24887" hidden="1" x14ac:dyDescent="0.2"/>
    <row r="24888" hidden="1" x14ac:dyDescent="0.2"/>
    <row r="24889" hidden="1" x14ac:dyDescent="0.2"/>
    <row r="24890" hidden="1" x14ac:dyDescent="0.2"/>
    <row r="24891" hidden="1" x14ac:dyDescent="0.2"/>
    <row r="24892" hidden="1" x14ac:dyDescent="0.2"/>
    <row r="24893" hidden="1" x14ac:dyDescent="0.2"/>
    <row r="24894" hidden="1" x14ac:dyDescent="0.2"/>
    <row r="24895" hidden="1" x14ac:dyDescent="0.2"/>
    <row r="24896" hidden="1" x14ac:dyDescent="0.2"/>
    <row r="24897" hidden="1" x14ac:dyDescent="0.2"/>
    <row r="24898" hidden="1" x14ac:dyDescent="0.2"/>
    <row r="24899" hidden="1" x14ac:dyDescent="0.2"/>
    <row r="24900" hidden="1" x14ac:dyDescent="0.2"/>
    <row r="24901" hidden="1" x14ac:dyDescent="0.2"/>
    <row r="24902" hidden="1" x14ac:dyDescent="0.2"/>
    <row r="24903" hidden="1" x14ac:dyDescent="0.2"/>
    <row r="24904" hidden="1" x14ac:dyDescent="0.2"/>
    <row r="24905" hidden="1" x14ac:dyDescent="0.2"/>
    <row r="24906" hidden="1" x14ac:dyDescent="0.2"/>
    <row r="24907" hidden="1" x14ac:dyDescent="0.2"/>
    <row r="24908" hidden="1" x14ac:dyDescent="0.2"/>
    <row r="24909" hidden="1" x14ac:dyDescent="0.2"/>
    <row r="24910" hidden="1" x14ac:dyDescent="0.2"/>
    <row r="24911" hidden="1" x14ac:dyDescent="0.2"/>
    <row r="24912" hidden="1" x14ac:dyDescent="0.2"/>
    <row r="24913" hidden="1" x14ac:dyDescent="0.2"/>
    <row r="24914" hidden="1" x14ac:dyDescent="0.2"/>
    <row r="24915" hidden="1" x14ac:dyDescent="0.2"/>
    <row r="24916" hidden="1" x14ac:dyDescent="0.2"/>
    <row r="24917" hidden="1" x14ac:dyDescent="0.2"/>
    <row r="24918" hidden="1" x14ac:dyDescent="0.2"/>
    <row r="24919" hidden="1" x14ac:dyDescent="0.2"/>
    <row r="24920" hidden="1" x14ac:dyDescent="0.2"/>
    <row r="24921" hidden="1" x14ac:dyDescent="0.2"/>
    <row r="24922" hidden="1" x14ac:dyDescent="0.2"/>
    <row r="24923" hidden="1" x14ac:dyDescent="0.2"/>
    <row r="24924" hidden="1" x14ac:dyDescent="0.2"/>
    <row r="24925" hidden="1" x14ac:dyDescent="0.2"/>
    <row r="24926" hidden="1" x14ac:dyDescent="0.2"/>
    <row r="24927" hidden="1" x14ac:dyDescent="0.2"/>
    <row r="24928" hidden="1" x14ac:dyDescent="0.2"/>
    <row r="24929" hidden="1" x14ac:dyDescent="0.2"/>
    <row r="24930" hidden="1" x14ac:dyDescent="0.2"/>
    <row r="24931" hidden="1" x14ac:dyDescent="0.2"/>
    <row r="24932" hidden="1" x14ac:dyDescent="0.2"/>
    <row r="24933" hidden="1" x14ac:dyDescent="0.2"/>
    <row r="24934" hidden="1" x14ac:dyDescent="0.2"/>
    <row r="24935" hidden="1" x14ac:dyDescent="0.2"/>
    <row r="24936" hidden="1" x14ac:dyDescent="0.2"/>
    <row r="24937" hidden="1" x14ac:dyDescent="0.2"/>
    <row r="24938" hidden="1" x14ac:dyDescent="0.2"/>
    <row r="24939" hidden="1" x14ac:dyDescent="0.2"/>
    <row r="24940" hidden="1" x14ac:dyDescent="0.2"/>
    <row r="24941" hidden="1" x14ac:dyDescent="0.2"/>
    <row r="24942" hidden="1" x14ac:dyDescent="0.2"/>
    <row r="24943" hidden="1" x14ac:dyDescent="0.2"/>
    <row r="24944" hidden="1" x14ac:dyDescent="0.2"/>
    <row r="24945" hidden="1" x14ac:dyDescent="0.2"/>
    <row r="24946" hidden="1" x14ac:dyDescent="0.2"/>
    <row r="24947" hidden="1" x14ac:dyDescent="0.2"/>
    <row r="24948" hidden="1" x14ac:dyDescent="0.2"/>
    <row r="24949" hidden="1" x14ac:dyDescent="0.2"/>
    <row r="24950" hidden="1" x14ac:dyDescent="0.2"/>
    <row r="24951" hidden="1" x14ac:dyDescent="0.2"/>
    <row r="24952" hidden="1" x14ac:dyDescent="0.2"/>
    <row r="24953" hidden="1" x14ac:dyDescent="0.2"/>
    <row r="24954" hidden="1" x14ac:dyDescent="0.2"/>
    <row r="24955" hidden="1" x14ac:dyDescent="0.2"/>
    <row r="24956" hidden="1" x14ac:dyDescent="0.2"/>
    <row r="24957" hidden="1" x14ac:dyDescent="0.2"/>
    <row r="24958" hidden="1" x14ac:dyDescent="0.2"/>
    <row r="24959" hidden="1" x14ac:dyDescent="0.2"/>
    <row r="24960" hidden="1" x14ac:dyDescent="0.2"/>
    <row r="24961" hidden="1" x14ac:dyDescent="0.2"/>
    <row r="24962" hidden="1" x14ac:dyDescent="0.2"/>
    <row r="24963" hidden="1" x14ac:dyDescent="0.2"/>
    <row r="24964" hidden="1" x14ac:dyDescent="0.2"/>
    <row r="24965" hidden="1" x14ac:dyDescent="0.2"/>
    <row r="24966" hidden="1" x14ac:dyDescent="0.2"/>
    <row r="24967" hidden="1" x14ac:dyDescent="0.2"/>
    <row r="24968" hidden="1" x14ac:dyDescent="0.2"/>
    <row r="24969" hidden="1" x14ac:dyDescent="0.2"/>
    <row r="24970" hidden="1" x14ac:dyDescent="0.2"/>
    <row r="24971" hidden="1" x14ac:dyDescent="0.2"/>
    <row r="24972" hidden="1" x14ac:dyDescent="0.2"/>
    <row r="24973" hidden="1" x14ac:dyDescent="0.2"/>
    <row r="24974" hidden="1" x14ac:dyDescent="0.2"/>
    <row r="24975" hidden="1" x14ac:dyDescent="0.2"/>
    <row r="24976" hidden="1" x14ac:dyDescent="0.2"/>
    <row r="24977" hidden="1" x14ac:dyDescent="0.2"/>
    <row r="24978" hidden="1" x14ac:dyDescent="0.2"/>
    <row r="24979" hidden="1" x14ac:dyDescent="0.2"/>
    <row r="24980" hidden="1" x14ac:dyDescent="0.2"/>
    <row r="24981" hidden="1" x14ac:dyDescent="0.2"/>
    <row r="24982" hidden="1" x14ac:dyDescent="0.2"/>
    <row r="24983" hidden="1" x14ac:dyDescent="0.2"/>
    <row r="24984" hidden="1" x14ac:dyDescent="0.2"/>
    <row r="24985" hidden="1" x14ac:dyDescent="0.2"/>
    <row r="24986" hidden="1" x14ac:dyDescent="0.2"/>
    <row r="24987" hidden="1" x14ac:dyDescent="0.2"/>
    <row r="24988" hidden="1" x14ac:dyDescent="0.2"/>
    <row r="24989" hidden="1" x14ac:dyDescent="0.2"/>
    <row r="24990" hidden="1" x14ac:dyDescent="0.2"/>
    <row r="24991" hidden="1" x14ac:dyDescent="0.2"/>
    <row r="24992" hidden="1" x14ac:dyDescent="0.2"/>
    <row r="24993" hidden="1" x14ac:dyDescent="0.2"/>
    <row r="24994" hidden="1" x14ac:dyDescent="0.2"/>
    <row r="24995" hidden="1" x14ac:dyDescent="0.2"/>
    <row r="24996" hidden="1" x14ac:dyDescent="0.2"/>
    <row r="24997" hidden="1" x14ac:dyDescent="0.2"/>
    <row r="24998" hidden="1" x14ac:dyDescent="0.2"/>
    <row r="24999" hidden="1" x14ac:dyDescent="0.2"/>
    <row r="25000" hidden="1" x14ac:dyDescent="0.2"/>
    <row r="25001" hidden="1" x14ac:dyDescent="0.2"/>
    <row r="25002" hidden="1" x14ac:dyDescent="0.2"/>
    <row r="25003" hidden="1" x14ac:dyDescent="0.2"/>
    <row r="25004" hidden="1" x14ac:dyDescent="0.2"/>
    <row r="25005" hidden="1" x14ac:dyDescent="0.2"/>
    <row r="25006" hidden="1" x14ac:dyDescent="0.2"/>
    <row r="25007" hidden="1" x14ac:dyDescent="0.2"/>
    <row r="25008" hidden="1" x14ac:dyDescent="0.2"/>
    <row r="25009" hidden="1" x14ac:dyDescent="0.2"/>
    <row r="25010" hidden="1" x14ac:dyDescent="0.2"/>
    <row r="25011" hidden="1" x14ac:dyDescent="0.2"/>
    <row r="25012" hidden="1" x14ac:dyDescent="0.2"/>
    <row r="25013" hidden="1" x14ac:dyDescent="0.2"/>
    <row r="25014" hidden="1" x14ac:dyDescent="0.2"/>
    <row r="25015" hidden="1" x14ac:dyDescent="0.2"/>
    <row r="25016" hidden="1" x14ac:dyDescent="0.2"/>
    <row r="25017" hidden="1" x14ac:dyDescent="0.2"/>
    <row r="25018" hidden="1" x14ac:dyDescent="0.2"/>
    <row r="25019" hidden="1" x14ac:dyDescent="0.2"/>
    <row r="25020" hidden="1" x14ac:dyDescent="0.2"/>
    <row r="25021" hidden="1" x14ac:dyDescent="0.2"/>
    <row r="25022" hidden="1" x14ac:dyDescent="0.2"/>
    <row r="25023" hidden="1" x14ac:dyDescent="0.2"/>
    <row r="25024" hidden="1" x14ac:dyDescent="0.2"/>
    <row r="25025" hidden="1" x14ac:dyDescent="0.2"/>
    <row r="25026" hidden="1" x14ac:dyDescent="0.2"/>
    <row r="25027" hidden="1" x14ac:dyDescent="0.2"/>
    <row r="25028" hidden="1" x14ac:dyDescent="0.2"/>
    <row r="25029" hidden="1" x14ac:dyDescent="0.2"/>
    <row r="25030" hidden="1" x14ac:dyDescent="0.2"/>
    <row r="25031" hidden="1" x14ac:dyDescent="0.2"/>
    <row r="25032" hidden="1" x14ac:dyDescent="0.2"/>
    <row r="25033" hidden="1" x14ac:dyDescent="0.2"/>
    <row r="25034" hidden="1" x14ac:dyDescent="0.2"/>
    <row r="25035" hidden="1" x14ac:dyDescent="0.2"/>
    <row r="25036" hidden="1" x14ac:dyDescent="0.2"/>
    <row r="25037" hidden="1" x14ac:dyDescent="0.2"/>
    <row r="25038" hidden="1" x14ac:dyDescent="0.2"/>
    <row r="25039" hidden="1" x14ac:dyDescent="0.2"/>
    <row r="25040" hidden="1" x14ac:dyDescent="0.2"/>
    <row r="25041" hidden="1" x14ac:dyDescent="0.2"/>
    <row r="25042" hidden="1" x14ac:dyDescent="0.2"/>
    <row r="25043" hidden="1" x14ac:dyDescent="0.2"/>
    <row r="25044" hidden="1" x14ac:dyDescent="0.2"/>
    <row r="25045" hidden="1" x14ac:dyDescent="0.2"/>
    <row r="25046" hidden="1" x14ac:dyDescent="0.2"/>
    <row r="25047" hidden="1" x14ac:dyDescent="0.2"/>
    <row r="25048" hidden="1" x14ac:dyDescent="0.2"/>
    <row r="25049" hidden="1" x14ac:dyDescent="0.2"/>
    <row r="25050" hidden="1" x14ac:dyDescent="0.2"/>
    <row r="25051" hidden="1" x14ac:dyDescent="0.2"/>
    <row r="25052" hidden="1" x14ac:dyDescent="0.2"/>
    <row r="25053" hidden="1" x14ac:dyDescent="0.2"/>
    <row r="25054" hidden="1" x14ac:dyDescent="0.2"/>
    <row r="25055" hidden="1" x14ac:dyDescent="0.2"/>
    <row r="25056" hidden="1" x14ac:dyDescent="0.2"/>
    <row r="25057" hidden="1" x14ac:dyDescent="0.2"/>
    <row r="25058" hidden="1" x14ac:dyDescent="0.2"/>
    <row r="25059" hidden="1" x14ac:dyDescent="0.2"/>
    <row r="25060" hidden="1" x14ac:dyDescent="0.2"/>
    <row r="25061" hidden="1" x14ac:dyDescent="0.2"/>
    <row r="25062" hidden="1" x14ac:dyDescent="0.2"/>
    <row r="25063" hidden="1" x14ac:dyDescent="0.2"/>
    <row r="25064" hidden="1" x14ac:dyDescent="0.2"/>
    <row r="25065" hidden="1" x14ac:dyDescent="0.2"/>
    <row r="25066" hidden="1" x14ac:dyDescent="0.2"/>
    <row r="25067" hidden="1" x14ac:dyDescent="0.2"/>
    <row r="25068" hidden="1" x14ac:dyDescent="0.2"/>
    <row r="25069" hidden="1" x14ac:dyDescent="0.2"/>
    <row r="25070" hidden="1" x14ac:dyDescent="0.2"/>
    <row r="25071" hidden="1" x14ac:dyDescent="0.2"/>
    <row r="25072" hidden="1" x14ac:dyDescent="0.2"/>
    <row r="25073" hidden="1" x14ac:dyDescent="0.2"/>
    <row r="25074" hidden="1" x14ac:dyDescent="0.2"/>
    <row r="25075" hidden="1" x14ac:dyDescent="0.2"/>
    <row r="25076" hidden="1" x14ac:dyDescent="0.2"/>
    <row r="25077" hidden="1" x14ac:dyDescent="0.2"/>
    <row r="25078" hidden="1" x14ac:dyDescent="0.2"/>
    <row r="25079" hidden="1" x14ac:dyDescent="0.2"/>
    <row r="25080" hidden="1" x14ac:dyDescent="0.2"/>
    <row r="25081" hidden="1" x14ac:dyDescent="0.2"/>
    <row r="25082" hidden="1" x14ac:dyDescent="0.2"/>
    <row r="25083" hidden="1" x14ac:dyDescent="0.2"/>
    <row r="25084" hidden="1" x14ac:dyDescent="0.2"/>
    <row r="25085" hidden="1" x14ac:dyDescent="0.2"/>
    <row r="25086" hidden="1" x14ac:dyDescent="0.2"/>
    <row r="25087" hidden="1" x14ac:dyDescent="0.2"/>
    <row r="25088" hidden="1" x14ac:dyDescent="0.2"/>
    <row r="25089" hidden="1" x14ac:dyDescent="0.2"/>
    <row r="25090" hidden="1" x14ac:dyDescent="0.2"/>
    <row r="25091" hidden="1" x14ac:dyDescent="0.2"/>
    <row r="25092" hidden="1" x14ac:dyDescent="0.2"/>
    <row r="25093" hidden="1" x14ac:dyDescent="0.2"/>
    <row r="25094" hidden="1" x14ac:dyDescent="0.2"/>
    <row r="25095" hidden="1" x14ac:dyDescent="0.2"/>
    <row r="25096" hidden="1" x14ac:dyDescent="0.2"/>
    <row r="25097" hidden="1" x14ac:dyDescent="0.2"/>
    <row r="25098" hidden="1" x14ac:dyDescent="0.2"/>
    <row r="25099" hidden="1" x14ac:dyDescent="0.2"/>
    <row r="25100" hidden="1" x14ac:dyDescent="0.2"/>
    <row r="25101" hidden="1" x14ac:dyDescent="0.2"/>
    <row r="25102" hidden="1" x14ac:dyDescent="0.2"/>
    <row r="25103" hidden="1" x14ac:dyDescent="0.2"/>
    <row r="25104" hidden="1" x14ac:dyDescent="0.2"/>
    <row r="25105" hidden="1" x14ac:dyDescent="0.2"/>
    <row r="25106" hidden="1" x14ac:dyDescent="0.2"/>
    <row r="25107" hidden="1" x14ac:dyDescent="0.2"/>
    <row r="25108" hidden="1" x14ac:dyDescent="0.2"/>
    <row r="25109" hidden="1" x14ac:dyDescent="0.2"/>
    <row r="25110" hidden="1" x14ac:dyDescent="0.2"/>
    <row r="25111" hidden="1" x14ac:dyDescent="0.2"/>
    <row r="25112" hidden="1" x14ac:dyDescent="0.2"/>
    <row r="25113" hidden="1" x14ac:dyDescent="0.2"/>
    <row r="25114" hidden="1" x14ac:dyDescent="0.2"/>
    <row r="25115" hidden="1" x14ac:dyDescent="0.2"/>
    <row r="25116" hidden="1" x14ac:dyDescent="0.2"/>
    <row r="25117" hidden="1" x14ac:dyDescent="0.2"/>
    <row r="25118" hidden="1" x14ac:dyDescent="0.2"/>
    <row r="25119" hidden="1" x14ac:dyDescent="0.2"/>
    <row r="25120" hidden="1" x14ac:dyDescent="0.2"/>
    <row r="25121" hidden="1" x14ac:dyDescent="0.2"/>
    <row r="25122" hidden="1" x14ac:dyDescent="0.2"/>
    <row r="25123" hidden="1" x14ac:dyDescent="0.2"/>
    <row r="25124" hidden="1" x14ac:dyDescent="0.2"/>
    <row r="25125" hidden="1" x14ac:dyDescent="0.2"/>
    <row r="25126" hidden="1" x14ac:dyDescent="0.2"/>
    <row r="25127" hidden="1" x14ac:dyDescent="0.2"/>
    <row r="25128" hidden="1" x14ac:dyDescent="0.2"/>
    <row r="25129" hidden="1" x14ac:dyDescent="0.2"/>
    <row r="25130" hidden="1" x14ac:dyDescent="0.2"/>
    <row r="25131" hidden="1" x14ac:dyDescent="0.2"/>
    <row r="25132" hidden="1" x14ac:dyDescent="0.2"/>
    <row r="25133" hidden="1" x14ac:dyDescent="0.2"/>
    <row r="25134" hidden="1" x14ac:dyDescent="0.2"/>
    <row r="25135" hidden="1" x14ac:dyDescent="0.2"/>
    <row r="25136" hidden="1" x14ac:dyDescent="0.2"/>
    <row r="25137" hidden="1" x14ac:dyDescent="0.2"/>
    <row r="25138" hidden="1" x14ac:dyDescent="0.2"/>
    <row r="25139" hidden="1" x14ac:dyDescent="0.2"/>
    <row r="25140" hidden="1" x14ac:dyDescent="0.2"/>
    <row r="25141" hidden="1" x14ac:dyDescent="0.2"/>
    <row r="25142" hidden="1" x14ac:dyDescent="0.2"/>
    <row r="25143" hidden="1" x14ac:dyDescent="0.2"/>
    <row r="25144" hidden="1" x14ac:dyDescent="0.2"/>
    <row r="25145" hidden="1" x14ac:dyDescent="0.2"/>
    <row r="25146" hidden="1" x14ac:dyDescent="0.2"/>
    <row r="25147" hidden="1" x14ac:dyDescent="0.2"/>
    <row r="25148" hidden="1" x14ac:dyDescent="0.2"/>
    <row r="25149" hidden="1" x14ac:dyDescent="0.2"/>
    <row r="25150" hidden="1" x14ac:dyDescent="0.2"/>
    <row r="25151" hidden="1" x14ac:dyDescent="0.2"/>
    <row r="25152" hidden="1" x14ac:dyDescent="0.2"/>
    <row r="25153" hidden="1" x14ac:dyDescent="0.2"/>
    <row r="25154" hidden="1" x14ac:dyDescent="0.2"/>
    <row r="25155" hidden="1" x14ac:dyDescent="0.2"/>
    <row r="25156" hidden="1" x14ac:dyDescent="0.2"/>
    <row r="25157" hidden="1" x14ac:dyDescent="0.2"/>
    <row r="25158" hidden="1" x14ac:dyDescent="0.2"/>
    <row r="25159" hidden="1" x14ac:dyDescent="0.2"/>
    <row r="25160" hidden="1" x14ac:dyDescent="0.2"/>
    <row r="25161" hidden="1" x14ac:dyDescent="0.2"/>
    <row r="25162" hidden="1" x14ac:dyDescent="0.2"/>
    <row r="25163" hidden="1" x14ac:dyDescent="0.2"/>
    <row r="25164" hidden="1" x14ac:dyDescent="0.2"/>
    <row r="25165" hidden="1" x14ac:dyDescent="0.2"/>
    <row r="25166" hidden="1" x14ac:dyDescent="0.2"/>
    <row r="25167" hidden="1" x14ac:dyDescent="0.2"/>
    <row r="25168" hidden="1" x14ac:dyDescent="0.2"/>
    <row r="25169" hidden="1" x14ac:dyDescent="0.2"/>
    <row r="25170" hidden="1" x14ac:dyDescent="0.2"/>
    <row r="25171" hidden="1" x14ac:dyDescent="0.2"/>
    <row r="25172" hidden="1" x14ac:dyDescent="0.2"/>
    <row r="25173" hidden="1" x14ac:dyDescent="0.2"/>
    <row r="25174" hidden="1" x14ac:dyDescent="0.2"/>
    <row r="25175" hidden="1" x14ac:dyDescent="0.2"/>
    <row r="25176" hidden="1" x14ac:dyDescent="0.2"/>
    <row r="25177" hidden="1" x14ac:dyDescent="0.2"/>
    <row r="25178" hidden="1" x14ac:dyDescent="0.2"/>
    <row r="25179" hidden="1" x14ac:dyDescent="0.2"/>
    <row r="25180" hidden="1" x14ac:dyDescent="0.2"/>
    <row r="25181" hidden="1" x14ac:dyDescent="0.2"/>
    <row r="25182" hidden="1" x14ac:dyDescent="0.2"/>
    <row r="25183" hidden="1" x14ac:dyDescent="0.2"/>
    <row r="25184" hidden="1" x14ac:dyDescent="0.2"/>
    <row r="25185" hidden="1" x14ac:dyDescent="0.2"/>
    <row r="25186" hidden="1" x14ac:dyDescent="0.2"/>
    <row r="25187" hidden="1" x14ac:dyDescent="0.2"/>
    <row r="25188" hidden="1" x14ac:dyDescent="0.2"/>
    <row r="25189" hidden="1" x14ac:dyDescent="0.2"/>
    <row r="25190" hidden="1" x14ac:dyDescent="0.2"/>
    <row r="25191" hidden="1" x14ac:dyDescent="0.2"/>
    <row r="25192" hidden="1" x14ac:dyDescent="0.2"/>
    <row r="25193" hidden="1" x14ac:dyDescent="0.2"/>
    <row r="25194" hidden="1" x14ac:dyDescent="0.2"/>
    <row r="25195" hidden="1" x14ac:dyDescent="0.2"/>
    <row r="25196" hidden="1" x14ac:dyDescent="0.2"/>
    <row r="25197" hidden="1" x14ac:dyDescent="0.2"/>
    <row r="25198" hidden="1" x14ac:dyDescent="0.2"/>
    <row r="25199" hidden="1" x14ac:dyDescent="0.2"/>
    <row r="25200" hidden="1" x14ac:dyDescent="0.2"/>
    <row r="25201" hidden="1" x14ac:dyDescent="0.2"/>
    <row r="25202" hidden="1" x14ac:dyDescent="0.2"/>
    <row r="25203" hidden="1" x14ac:dyDescent="0.2"/>
    <row r="25204" hidden="1" x14ac:dyDescent="0.2"/>
    <row r="25205" hidden="1" x14ac:dyDescent="0.2"/>
    <row r="25206" hidden="1" x14ac:dyDescent="0.2"/>
    <row r="25207" hidden="1" x14ac:dyDescent="0.2"/>
    <row r="25208" hidden="1" x14ac:dyDescent="0.2"/>
    <row r="25209" hidden="1" x14ac:dyDescent="0.2"/>
    <row r="25210" hidden="1" x14ac:dyDescent="0.2"/>
    <row r="25211" hidden="1" x14ac:dyDescent="0.2"/>
    <row r="25212" hidden="1" x14ac:dyDescent="0.2"/>
    <row r="25213" hidden="1" x14ac:dyDescent="0.2"/>
    <row r="25214" hidden="1" x14ac:dyDescent="0.2"/>
    <row r="25215" hidden="1" x14ac:dyDescent="0.2"/>
    <row r="25216" hidden="1" x14ac:dyDescent="0.2"/>
    <row r="25217" hidden="1" x14ac:dyDescent="0.2"/>
    <row r="25218" hidden="1" x14ac:dyDescent="0.2"/>
    <row r="25219" hidden="1" x14ac:dyDescent="0.2"/>
    <row r="25220" hidden="1" x14ac:dyDescent="0.2"/>
    <row r="25221" hidden="1" x14ac:dyDescent="0.2"/>
    <row r="25222" hidden="1" x14ac:dyDescent="0.2"/>
    <row r="25223" hidden="1" x14ac:dyDescent="0.2"/>
    <row r="25224" hidden="1" x14ac:dyDescent="0.2"/>
    <row r="25225" hidden="1" x14ac:dyDescent="0.2"/>
    <row r="25226" hidden="1" x14ac:dyDescent="0.2"/>
    <row r="25227" hidden="1" x14ac:dyDescent="0.2"/>
    <row r="25228" hidden="1" x14ac:dyDescent="0.2"/>
    <row r="25229" hidden="1" x14ac:dyDescent="0.2"/>
    <row r="25230" hidden="1" x14ac:dyDescent="0.2"/>
    <row r="25231" hidden="1" x14ac:dyDescent="0.2"/>
    <row r="25232" hidden="1" x14ac:dyDescent="0.2"/>
    <row r="25233" hidden="1" x14ac:dyDescent="0.2"/>
    <row r="25234" hidden="1" x14ac:dyDescent="0.2"/>
    <row r="25235" hidden="1" x14ac:dyDescent="0.2"/>
    <row r="25236" hidden="1" x14ac:dyDescent="0.2"/>
    <row r="25237" hidden="1" x14ac:dyDescent="0.2"/>
    <row r="25238" hidden="1" x14ac:dyDescent="0.2"/>
    <row r="25239" hidden="1" x14ac:dyDescent="0.2"/>
    <row r="25240" hidden="1" x14ac:dyDescent="0.2"/>
    <row r="25241" hidden="1" x14ac:dyDescent="0.2"/>
    <row r="25242" hidden="1" x14ac:dyDescent="0.2"/>
    <row r="25243" hidden="1" x14ac:dyDescent="0.2"/>
    <row r="25244" hidden="1" x14ac:dyDescent="0.2"/>
    <row r="25245" hidden="1" x14ac:dyDescent="0.2"/>
    <row r="25246" hidden="1" x14ac:dyDescent="0.2"/>
    <row r="25247" hidden="1" x14ac:dyDescent="0.2"/>
    <row r="25248" hidden="1" x14ac:dyDescent="0.2"/>
    <row r="25249" hidden="1" x14ac:dyDescent="0.2"/>
    <row r="25250" hidden="1" x14ac:dyDescent="0.2"/>
    <row r="25251" hidden="1" x14ac:dyDescent="0.2"/>
    <row r="25252" hidden="1" x14ac:dyDescent="0.2"/>
    <row r="25253" hidden="1" x14ac:dyDescent="0.2"/>
    <row r="25254" hidden="1" x14ac:dyDescent="0.2"/>
    <row r="25255" hidden="1" x14ac:dyDescent="0.2"/>
    <row r="25256" hidden="1" x14ac:dyDescent="0.2"/>
    <row r="25257" hidden="1" x14ac:dyDescent="0.2"/>
    <row r="25258" hidden="1" x14ac:dyDescent="0.2"/>
    <row r="25259" hidden="1" x14ac:dyDescent="0.2"/>
    <row r="25260" hidden="1" x14ac:dyDescent="0.2"/>
    <row r="25261" hidden="1" x14ac:dyDescent="0.2"/>
    <row r="25262" hidden="1" x14ac:dyDescent="0.2"/>
    <row r="25263" hidden="1" x14ac:dyDescent="0.2"/>
    <row r="25264" hidden="1" x14ac:dyDescent="0.2"/>
    <row r="25265" hidden="1" x14ac:dyDescent="0.2"/>
    <row r="25266" hidden="1" x14ac:dyDescent="0.2"/>
    <row r="25267" hidden="1" x14ac:dyDescent="0.2"/>
    <row r="25268" hidden="1" x14ac:dyDescent="0.2"/>
    <row r="25269" hidden="1" x14ac:dyDescent="0.2"/>
    <row r="25270" hidden="1" x14ac:dyDescent="0.2"/>
    <row r="25271" hidden="1" x14ac:dyDescent="0.2"/>
    <row r="25272" hidden="1" x14ac:dyDescent="0.2"/>
    <row r="25273" hidden="1" x14ac:dyDescent="0.2"/>
    <row r="25274" hidden="1" x14ac:dyDescent="0.2"/>
    <row r="25275" hidden="1" x14ac:dyDescent="0.2"/>
    <row r="25276" hidden="1" x14ac:dyDescent="0.2"/>
    <row r="25277" hidden="1" x14ac:dyDescent="0.2"/>
    <row r="25278" hidden="1" x14ac:dyDescent="0.2"/>
    <row r="25279" hidden="1" x14ac:dyDescent="0.2"/>
    <row r="25280" hidden="1" x14ac:dyDescent="0.2"/>
    <row r="25281" hidden="1" x14ac:dyDescent="0.2"/>
    <row r="25282" hidden="1" x14ac:dyDescent="0.2"/>
    <row r="25283" hidden="1" x14ac:dyDescent="0.2"/>
    <row r="25284" hidden="1" x14ac:dyDescent="0.2"/>
    <row r="25285" hidden="1" x14ac:dyDescent="0.2"/>
    <row r="25286" hidden="1" x14ac:dyDescent="0.2"/>
    <row r="25287" hidden="1" x14ac:dyDescent="0.2"/>
    <row r="25288" hidden="1" x14ac:dyDescent="0.2"/>
    <row r="25289" hidden="1" x14ac:dyDescent="0.2"/>
    <row r="25290" hidden="1" x14ac:dyDescent="0.2"/>
    <row r="25291" hidden="1" x14ac:dyDescent="0.2"/>
    <row r="25292" hidden="1" x14ac:dyDescent="0.2"/>
    <row r="25293" hidden="1" x14ac:dyDescent="0.2"/>
    <row r="25294" hidden="1" x14ac:dyDescent="0.2"/>
    <row r="25295" hidden="1" x14ac:dyDescent="0.2"/>
    <row r="25296" hidden="1" x14ac:dyDescent="0.2"/>
    <row r="25297" hidden="1" x14ac:dyDescent="0.2"/>
    <row r="25298" hidden="1" x14ac:dyDescent="0.2"/>
    <row r="25299" hidden="1" x14ac:dyDescent="0.2"/>
    <row r="25300" hidden="1" x14ac:dyDescent="0.2"/>
    <row r="25301" hidden="1" x14ac:dyDescent="0.2"/>
    <row r="25302" hidden="1" x14ac:dyDescent="0.2"/>
    <row r="25303" hidden="1" x14ac:dyDescent="0.2"/>
    <row r="25304" hidden="1" x14ac:dyDescent="0.2"/>
    <row r="25305" hidden="1" x14ac:dyDescent="0.2"/>
    <row r="25306" hidden="1" x14ac:dyDescent="0.2"/>
    <row r="25307" hidden="1" x14ac:dyDescent="0.2"/>
    <row r="25308" hidden="1" x14ac:dyDescent="0.2"/>
    <row r="25309" hidden="1" x14ac:dyDescent="0.2"/>
    <row r="25310" hidden="1" x14ac:dyDescent="0.2"/>
    <row r="25311" hidden="1" x14ac:dyDescent="0.2"/>
    <row r="25312" hidden="1" x14ac:dyDescent="0.2"/>
    <row r="25313" hidden="1" x14ac:dyDescent="0.2"/>
    <row r="25314" hidden="1" x14ac:dyDescent="0.2"/>
    <row r="25315" hidden="1" x14ac:dyDescent="0.2"/>
    <row r="25316" hidden="1" x14ac:dyDescent="0.2"/>
    <row r="25317" hidden="1" x14ac:dyDescent="0.2"/>
    <row r="25318" hidden="1" x14ac:dyDescent="0.2"/>
    <row r="25319" hidden="1" x14ac:dyDescent="0.2"/>
    <row r="25320" hidden="1" x14ac:dyDescent="0.2"/>
    <row r="25321" hidden="1" x14ac:dyDescent="0.2"/>
    <row r="25322" hidden="1" x14ac:dyDescent="0.2"/>
    <row r="25323" hidden="1" x14ac:dyDescent="0.2"/>
    <row r="25324" hidden="1" x14ac:dyDescent="0.2"/>
    <row r="25325" hidden="1" x14ac:dyDescent="0.2"/>
    <row r="25326" hidden="1" x14ac:dyDescent="0.2"/>
    <row r="25327" hidden="1" x14ac:dyDescent="0.2"/>
    <row r="25328" hidden="1" x14ac:dyDescent="0.2"/>
    <row r="25329" hidden="1" x14ac:dyDescent="0.2"/>
    <row r="25330" hidden="1" x14ac:dyDescent="0.2"/>
    <row r="25331" hidden="1" x14ac:dyDescent="0.2"/>
    <row r="25332" hidden="1" x14ac:dyDescent="0.2"/>
    <row r="25333" hidden="1" x14ac:dyDescent="0.2"/>
    <row r="25334" hidden="1" x14ac:dyDescent="0.2"/>
    <row r="25335" hidden="1" x14ac:dyDescent="0.2"/>
    <row r="25336" hidden="1" x14ac:dyDescent="0.2"/>
    <row r="25337" hidden="1" x14ac:dyDescent="0.2"/>
    <row r="25338" hidden="1" x14ac:dyDescent="0.2"/>
    <row r="25339" hidden="1" x14ac:dyDescent="0.2"/>
    <row r="25340" hidden="1" x14ac:dyDescent="0.2"/>
    <row r="25341" hidden="1" x14ac:dyDescent="0.2"/>
    <row r="25342" hidden="1" x14ac:dyDescent="0.2"/>
    <row r="25343" hidden="1" x14ac:dyDescent="0.2"/>
    <row r="25344" hidden="1" x14ac:dyDescent="0.2"/>
    <row r="25345" hidden="1" x14ac:dyDescent="0.2"/>
    <row r="25346" hidden="1" x14ac:dyDescent="0.2"/>
    <row r="25347" hidden="1" x14ac:dyDescent="0.2"/>
    <row r="25348" hidden="1" x14ac:dyDescent="0.2"/>
    <row r="25349" hidden="1" x14ac:dyDescent="0.2"/>
    <row r="25350" hidden="1" x14ac:dyDescent="0.2"/>
    <row r="25351" hidden="1" x14ac:dyDescent="0.2"/>
    <row r="25352" hidden="1" x14ac:dyDescent="0.2"/>
    <row r="25353" hidden="1" x14ac:dyDescent="0.2"/>
    <row r="25354" hidden="1" x14ac:dyDescent="0.2"/>
    <row r="25355" hidden="1" x14ac:dyDescent="0.2"/>
    <row r="25356" hidden="1" x14ac:dyDescent="0.2"/>
    <row r="25357" hidden="1" x14ac:dyDescent="0.2"/>
    <row r="25358" hidden="1" x14ac:dyDescent="0.2"/>
    <row r="25359" hidden="1" x14ac:dyDescent="0.2"/>
    <row r="25360" hidden="1" x14ac:dyDescent="0.2"/>
    <row r="25361" hidden="1" x14ac:dyDescent="0.2"/>
    <row r="25362" hidden="1" x14ac:dyDescent="0.2"/>
    <row r="25363" hidden="1" x14ac:dyDescent="0.2"/>
    <row r="25364" hidden="1" x14ac:dyDescent="0.2"/>
    <row r="25365" hidden="1" x14ac:dyDescent="0.2"/>
    <row r="25366" hidden="1" x14ac:dyDescent="0.2"/>
    <row r="25367" hidden="1" x14ac:dyDescent="0.2"/>
    <row r="25368" hidden="1" x14ac:dyDescent="0.2"/>
    <row r="25369" hidden="1" x14ac:dyDescent="0.2"/>
    <row r="25370" hidden="1" x14ac:dyDescent="0.2"/>
    <row r="25371" hidden="1" x14ac:dyDescent="0.2"/>
    <row r="25372" hidden="1" x14ac:dyDescent="0.2"/>
    <row r="25373" hidden="1" x14ac:dyDescent="0.2"/>
    <row r="25374" hidden="1" x14ac:dyDescent="0.2"/>
    <row r="25375" hidden="1" x14ac:dyDescent="0.2"/>
    <row r="25376" hidden="1" x14ac:dyDescent="0.2"/>
    <row r="25377" hidden="1" x14ac:dyDescent="0.2"/>
    <row r="25378" hidden="1" x14ac:dyDescent="0.2"/>
    <row r="25379" hidden="1" x14ac:dyDescent="0.2"/>
    <row r="25380" hidden="1" x14ac:dyDescent="0.2"/>
    <row r="25381" hidden="1" x14ac:dyDescent="0.2"/>
    <row r="25382" hidden="1" x14ac:dyDescent="0.2"/>
    <row r="25383" hidden="1" x14ac:dyDescent="0.2"/>
    <row r="25384" hidden="1" x14ac:dyDescent="0.2"/>
    <row r="25385" hidden="1" x14ac:dyDescent="0.2"/>
    <row r="25386" hidden="1" x14ac:dyDescent="0.2"/>
    <row r="25387" hidden="1" x14ac:dyDescent="0.2"/>
    <row r="25388" hidden="1" x14ac:dyDescent="0.2"/>
    <row r="25389" hidden="1" x14ac:dyDescent="0.2"/>
    <row r="25390" hidden="1" x14ac:dyDescent="0.2"/>
    <row r="25391" hidden="1" x14ac:dyDescent="0.2"/>
    <row r="25392" hidden="1" x14ac:dyDescent="0.2"/>
    <row r="25393" hidden="1" x14ac:dyDescent="0.2"/>
    <row r="25394" hidden="1" x14ac:dyDescent="0.2"/>
    <row r="25395" hidden="1" x14ac:dyDescent="0.2"/>
    <row r="25396" hidden="1" x14ac:dyDescent="0.2"/>
    <row r="25397" hidden="1" x14ac:dyDescent="0.2"/>
    <row r="25398" hidden="1" x14ac:dyDescent="0.2"/>
    <row r="25399" hidden="1" x14ac:dyDescent="0.2"/>
    <row r="25400" hidden="1" x14ac:dyDescent="0.2"/>
    <row r="25401" hidden="1" x14ac:dyDescent="0.2"/>
    <row r="25402" hidden="1" x14ac:dyDescent="0.2"/>
    <row r="25403" hidden="1" x14ac:dyDescent="0.2"/>
    <row r="25404" hidden="1" x14ac:dyDescent="0.2"/>
    <row r="25405" hidden="1" x14ac:dyDescent="0.2"/>
    <row r="25406" hidden="1" x14ac:dyDescent="0.2"/>
    <row r="25407" hidden="1" x14ac:dyDescent="0.2"/>
    <row r="25408" hidden="1" x14ac:dyDescent="0.2"/>
    <row r="25409" hidden="1" x14ac:dyDescent="0.2"/>
    <row r="25410" hidden="1" x14ac:dyDescent="0.2"/>
    <row r="25411" hidden="1" x14ac:dyDescent="0.2"/>
    <row r="25412" hidden="1" x14ac:dyDescent="0.2"/>
    <row r="25413" hidden="1" x14ac:dyDescent="0.2"/>
    <row r="25414" hidden="1" x14ac:dyDescent="0.2"/>
    <row r="25415" hidden="1" x14ac:dyDescent="0.2"/>
    <row r="25416" hidden="1" x14ac:dyDescent="0.2"/>
    <row r="25417" hidden="1" x14ac:dyDescent="0.2"/>
    <row r="25418" hidden="1" x14ac:dyDescent="0.2"/>
    <row r="25419" hidden="1" x14ac:dyDescent="0.2"/>
    <row r="25420" hidden="1" x14ac:dyDescent="0.2"/>
    <row r="25421" hidden="1" x14ac:dyDescent="0.2"/>
    <row r="25422" hidden="1" x14ac:dyDescent="0.2"/>
    <row r="25423" hidden="1" x14ac:dyDescent="0.2"/>
    <row r="25424" hidden="1" x14ac:dyDescent="0.2"/>
    <row r="25425" hidden="1" x14ac:dyDescent="0.2"/>
    <row r="25426" hidden="1" x14ac:dyDescent="0.2"/>
    <row r="25427" hidden="1" x14ac:dyDescent="0.2"/>
    <row r="25428" hidden="1" x14ac:dyDescent="0.2"/>
    <row r="25429" hidden="1" x14ac:dyDescent="0.2"/>
    <row r="25430" hidden="1" x14ac:dyDescent="0.2"/>
    <row r="25431" hidden="1" x14ac:dyDescent="0.2"/>
    <row r="25432" hidden="1" x14ac:dyDescent="0.2"/>
    <row r="25433" hidden="1" x14ac:dyDescent="0.2"/>
    <row r="25434" hidden="1" x14ac:dyDescent="0.2"/>
    <row r="25435" hidden="1" x14ac:dyDescent="0.2"/>
    <row r="25436" hidden="1" x14ac:dyDescent="0.2"/>
    <row r="25437" hidden="1" x14ac:dyDescent="0.2"/>
    <row r="25438" hidden="1" x14ac:dyDescent="0.2"/>
    <row r="25439" hidden="1" x14ac:dyDescent="0.2"/>
    <row r="25440" hidden="1" x14ac:dyDescent="0.2"/>
    <row r="25441" hidden="1" x14ac:dyDescent="0.2"/>
    <row r="25442" hidden="1" x14ac:dyDescent="0.2"/>
    <row r="25443" hidden="1" x14ac:dyDescent="0.2"/>
    <row r="25444" hidden="1" x14ac:dyDescent="0.2"/>
    <row r="25445" hidden="1" x14ac:dyDescent="0.2"/>
    <row r="25446" hidden="1" x14ac:dyDescent="0.2"/>
    <row r="25447" hidden="1" x14ac:dyDescent="0.2"/>
    <row r="25448" hidden="1" x14ac:dyDescent="0.2"/>
    <row r="25449" hidden="1" x14ac:dyDescent="0.2"/>
    <row r="25450" hidden="1" x14ac:dyDescent="0.2"/>
    <row r="25451" hidden="1" x14ac:dyDescent="0.2"/>
    <row r="25452" hidden="1" x14ac:dyDescent="0.2"/>
    <row r="25453" hidden="1" x14ac:dyDescent="0.2"/>
    <row r="25454" hidden="1" x14ac:dyDescent="0.2"/>
    <row r="25455" hidden="1" x14ac:dyDescent="0.2"/>
    <row r="25456" hidden="1" x14ac:dyDescent="0.2"/>
    <row r="25457" hidden="1" x14ac:dyDescent="0.2"/>
    <row r="25458" hidden="1" x14ac:dyDescent="0.2"/>
    <row r="25459" hidden="1" x14ac:dyDescent="0.2"/>
    <row r="25460" hidden="1" x14ac:dyDescent="0.2"/>
    <row r="25461" hidden="1" x14ac:dyDescent="0.2"/>
    <row r="25462" hidden="1" x14ac:dyDescent="0.2"/>
    <row r="25463" hidden="1" x14ac:dyDescent="0.2"/>
    <row r="25464" hidden="1" x14ac:dyDescent="0.2"/>
    <row r="25465" hidden="1" x14ac:dyDescent="0.2"/>
    <row r="25466" hidden="1" x14ac:dyDescent="0.2"/>
    <row r="25467" hidden="1" x14ac:dyDescent="0.2"/>
    <row r="25468" hidden="1" x14ac:dyDescent="0.2"/>
    <row r="25469" hidden="1" x14ac:dyDescent="0.2"/>
    <row r="25470" hidden="1" x14ac:dyDescent="0.2"/>
    <row r="25471" hidden="1" x14ac:dyDescent="0.2"/>
    <row r="25472" hidden="1" x14ac:dyDescent="0.2"/>
    <row r="25473" hidden="1" x14ac:dyDescent="0.2"/>
    <row r="25474" hidden="1" x14ac:dyDescent="0.2"/>
    <row r="25475" hidden="1" x14ac:dyDescent="0.2"/>
    <row r="25476" hidden="1" x14ac:dyDescent="0.2"/>
    <row r="25477" hidden="1" x14ac:dyDescent="0.2"/>
    <row r="25478" hidden="1" x14ac:dyDescent="0.2"/>
    <row r="25479" hidden="1" x14ac:dyDescent="0.2"/>
    <row r="25480" hidden="1" x14ac:dyDescent="0.2"/>
    <row r="25481" hidden="1" x14ac:dyDescent="0.2"/>
    <row r="25482" hidden="1" x14ac:dyDescent="0.2"/>
    <row r="25483" hidden="1" x14ac:dyDescent="0.2"/>
    <row r="25484" hidden="1" x14ac:dyDescent="0.2"/>
    <row r="25485" hidden="1" x14ac:dyDescent="0.2"/>
    <row r="25486" hidden="1" x14ac:dyDescent="0.2"/>
    <row r="25487" hidden="1" x14ac:dyDescent="0.2"/>
    <row r="25488" hidden="1" x14ac:dyDescent="0.2"/>
    <row r="25489" hidden="1" x14ac:dyDescent="0.2"/>
    <row r="25490" hidden="1" x14ac:dyDescent="0.2"/>
    <row r="25491" hidden="1" x14ac:dyDescent="0.2"/>
    <row r="25492" hidden="1" x14ac:dyDescent="0.2"/>
    <row r="25493" hidden="1" x14ac:dyDescent="0.2"/>
    <row r="25494" hidden="1" x14ac:dyDescent="0.2"/>
    <row r="25495" hidden="1" x14ac:dyDescent="0.2"/>
    <row r="25496" hidden="1" x14ac:dyDescent="0.2"/>
    <row r="25497" hidden="1" x14ac:dyDescent="0.2"/>
    <row r="25498" hidden="1" x14ac:dyDescent="0.2"/>
    <row r="25499" hidden="1" x14ac:dyDescent="0.2"/>
    <row r="25500" hidden="1" x14ac:dyDescent="0.2"/>
    <row r="25501" hidden="1" x14ac:dyDescent="0.2"/>
    <row r="25502" hidden="1" x14ac:dyDescent="0.2"/>
    <row r="25503" hidden="1" x14ac:dyDescent="0.2"/>
    <row r="25504" hidden="1" x14ac:dyDescent="0.2"/>
    <row r="25505" hidden="1" x14ac:dyDescent="0.2"/>
    <row r="25506" hidden="1" x14ac:dyDescent="0.2"/>
    <row r="25507" hidden="1" x14ac:dyDescent="0.2"/>
    <row r="25508" hidden="1" x14ac:dyDescent="0.2"/>
    <row r="25509" hidden="1" x14ac:dyDescent="0.2"/>
    <row r="25510" hidden="1" x14ac:dyDescent="0.2"/>
    <row r="25511" hidden="1" x14ac:dyDescent="0.2"/>
    <row r="25512" hidden="1" x14ac:dyDescent="0.2"/>
    <row r="25513" hidden="1" x14ac:dyDescent="0.2"/>
    <row r="25514" hidden="1" x14ac:dyDescent="0.2"/>
    <row r="25515" hidden="1" x14ac:dyDescent="0.2"/>
    <row r="25516" hidden="1" x14ac:dyDescent="0.2"/>
    <row r="25517" hidden="1" x14ac:dyDescent="0.2"/>
    <row r="25518" hidden="1" x14ac:dyDescent="0.2"/>
    <row r="25519" hidden="1" x14ac:dyDescent="0.2"/>
    <row r="25520" hidden="1" x14ac:dyDescent="0.2"/>
    <row r="25521" hidden="1" x14ac:dyDescent="0.2"/>
    <row r="25522" hidden="1" x14ac:dyDescent="0.2"/>
    <row r="25523" hidden="1" x14ac:dyDescent="0.2"/>
    <row r="25524" hidden="1" x14ac:dyDescent="0.2"/>
    <row r="25525" hidden="1" x14ac:dyDescent="0.2"/>
    <row r="25526" hidden="1" x14ac:dyDescent="0.2"/>
    <row r="25527" hidden="1" x14ac:dyDescent="0.2"/>
    <row r="25528" hidden="1" x14ac:dyDescent="0.2"/>
    <row r="25529" hidden="1" x14ac:dyDescent="0.2"/>
    <row r="25530" hidden="1" x14ac:dyDescent="0.2"/>
    <row r="25531" hidden="1" x14ac:dyDescent="0.2"/>
    <row r="25532" hidden="1" x14ac:dyDescent="0.2"/>
    <row r="25533" hidden="1" x14ac:dyDescent="0.2"/>
    <row r="25534" hidden="1" x14ac:dyDescent="0.2"/>
    <row r="25535" hidden="1" x14ac:dyDescent="0.2"/>
    <row r="25536" hidden="1" x14ac:dyDescent="0.2"/>
    <row r="25537" hidden="1" x14ac:dyDescent="0.2"/>
    <row r="25538" hidden="1" x14ac:dyDescent="0.2"/>
    <row r="25539" hidden="1" x14ac:dyDescent="0.2"/>
    <row r="25540" hidden="1" x14ac:dyDescent="0.2"/>
    <row r="25541" hidden="1" x14ac:dyDescent="0.2"/>
    <row r="25542" hidden="1" x14ac:dyDescent="0.2"/>
    <row r="25543" hidden="1" x14ac:dyDescent="0.2"/>
    <row r="25544" hidden="1" x14ac:dyDescent="0.2"/>
    <row r="25545" hidden="1" x14ac:dyDescent="0.2"/>
    <row r="25546" hidden="1" x14ac:dyDescent="0.2"/>
    <row r="25547" hidden="1" x14ac:dyDescent="0.2"/>
    <row r="25548" hidden="1" x14ac:dyDescent="0.2"/>
    <row r="25549" hidden="1" x14ac:dyDescent="0.2"/>
    <row r="25550" hidden="1" x14ac:dyDescent="0.2"/>
    <row r="25551" hidden="1" x14ac:dyDescent="0.2"/>
    <row r="25552" hidden="1" x14ac:dyDescent="0.2"/>
    <row r="25553" hidden="1" x14ac:dyDescent="0.2"/>
    <row r="25554" hidden="1" x14ac:dyDescent="0.2"/>
    <row r="25555" hidden="1" x14ac:dyDescent="0.2"/>
    <row r="25556" hidden="1" x14ac:dyDescent="0.2"/>
    <row r="25557" hidden="1" x14ac:dyDescent="0.2"/>
    <row r="25558" hidden="1" x14ac:dyDescent="0.2"/>
    <row r="25559" hidden="1" x14ac:dyDescent="0.2"/>
    <row r="25560" hidden="1" x14ac:dyDescent="0.2"/>
    <row r="25561" hidden="1" x14ac:dyDescent="0.2"/>
    <row r="25562" hidden="1" x14ac:dyDescent="0.2"/>
    <row r="25563" hidden="1" x14ac:dyDescent="0.2"/>
    <row r="25564" hidden="1" x14ac:dyDescent="0.2"/>
    <row r="25565" hidden="1" x14ac:dyDescent="0.2"/>
    <row r="25566" hidden="1" x14ac:dyDescent="0.2"/>
    <row r="25567" hidden="1" x14ac:dyDescent="0.2"/>
    <row r="25568" hidden="1" x14ac:dyDescent="0.2"/>
    <row r="25569" hidden="1" x14ac:dyDescent="0.2"/>
    <row r="25570" hidden="1" x14ac:dyDescent="0.2"/>
    <row r="25571" hidden="1" x14ac:dyDescent="0.2"/>
    <row r="25572" hidden="1" x14ac:dyDescent="0.2"/>
    <row r="25573" hidden="1" x14ac:dyDescent="0.2"/>
    <row r="25574" hidden="1" x14ac:dyDescent="0.2"/>
    <row r="25575" hidden="1" x14ac:dyDescent="0.2"/>
    <row r="25576" hidden="1" x14ac:dyDescent="0.2"/>
    <row r="25577" hidden="1" x14ac:dyDescent="0.2"/>
    <row r="25578" hidden="1" x14ac:dyDescent="0.2"/>
    <row r="25579" hidden="1" x14ac:dyDescent="0.2"/>
    <row r="25580" hidden="1" x14ac:dyDescent="0.2"/>
    <row r="25581" hidden="1" x14ac:dyDescent="0.2"/>
    <row r="25582" hidden="1" x14ac:dyDescent="0.2"/>
    <row r="25583" hidden="1" x14ac:dyDescent="0.2"/>
    <row r="25584" hidden="1" x14ac:dyDescent="0.2"/>
    <row r="25585" hidden="1" x14ac:dyDescent="0.2"/>
    <row r="25586" hidden="1" x14ac:dyDescent="0.2"/>
    <row r="25587" hidden="1" x14ac:dyDescent="0.2"/>
    <row r="25588" hidden="1" x14ac:dyDescent="0.2"/>
    <row r="25589" hidden="1" x14ac:dyDescent="0.2"/>
    <row r="25590" hidden="1" x14ac:dyDescent="0.2"/>
    <row r="25591" hidden="1" x14ac:dyDescent="0.2"/>
    <row r="25592" hidden="1" x14ac:dyDescent="0.2"/>
    <row r="25593" hidden="1" x14ac:dyDescent="0.2"/>
    <row r="25594" hidden="1" x14ac:dyDescent="0.2"/>
    <row r="25595" hidden="1" x14ac:dyDescent="0.2"/>
    <row r="25596" hidden="1" x14ac:dyDescent="0.2"/>
    <row r="25597" hidden="1" x14ac:dyDescent="0.2"/>
    <row r="25598" hidden="1" x14ac:dyDescent="0.2"/>
    <row r="25599" hidden="1" x14ac:dyDescent="0.2"/>
    <row r="25600" hidden="1" x14ac:dyDescent="0.2"/>
    <row r="25601" hidden="1" x14ac:dyDescent="0.2"/>
    <row r="25602" hidden="1" x14ac:dyDescent="0.2"/>
    <row r="25603" hidden="1" x14ac:dyDescent="0.2"/>
    <row r="25604" hidden="1" x14ac:dyDescent="0.2"/>
    <row r="25605" hidden="1" x14ac:dyDescent="0.2"/>
    <row r="25606" hidden="1" x14ac:dyDescent="0.2"/>
    <row r="25607" hidden="1" x14ac:dyDescent="0.2"/>
    <row r="25608" hidden="1" x14ac:dyDescent="0.2"/>
    <row r="25609" hidden="1" x14ac:dyDescent="0.2"/>
    <row r="25610" hidden="1" x14ac:dyDescent="0.2"/>
    <row r="25611" hidden="1" x14ac:dyDescent="0.2"/>
    <row r="25612" hidden="1" x14ac:dyDescent="0.2"/>
    <row r="25613" hidden="1" x14ac:dyDescent="0.2"/>
    <row r="25614" hidden="1" x14ac:dyDescent="0.2"/>
    <row r="25615" hidden="1" x14ac:dyDescent="0.2"/>
    <row r="25616" hidden="1" x14ac:dyDescent="0.2"/>
    <row r="25617" hidden="1" x14ac:dyDescent="0.2"/>
    <row r="25618" hidden="1" x14ac:dyDescent="0.2"/>
    <row r="25619" hidden="1" x14ac:dyDescent="0.2"/>
    <row r="25620" hidden="1" x14ac:dyDescent="0.2"/>
    <row r="25621" hidden="1" x14ac:dyDescent="0.2"/>
    <row r="25622" hidden="1" x14ac:dyDescent="0.2"/>
    <row r="25623" hidden="1" x14ac:dyDescent="0.2"/>
    <row r="25624" hidden="1" x14ac:dyDescent="0.2"/>
    <row r="25625" hidden="1" x14ac:dyDescent="0.2"/>
    <row r="25626" hidden="1" x14ac:dyDescent="0.2"/>
    <row r="25627" hidden="1" x14ac:dyDescent="0.2"/>
    <row r="25628" hidden="1" x14ac:dyDescent="0.2"/>
    <row r="25629" hidden="1" x14ac:dyDescent="0.2"/>
    <row r="25630" hidden="1" x14ac:dyDescent="0.2"/>
    <row r="25631" hidden="1" x14ac:dyDescent="0.2"/>
    <row r="25632" hidden="1" x14ac:dyDescent="0.2"/>
    <row r="25633" hidden="1" x14ac:dyDescent="0.2"/>
    <row r="25634" hidden="1" x14ac:dyDescent="0.2"/>
    <row r="25635" hidden="1" x14ac:dyDescent="0.2"/>
    <row r="25636" hidden="1" x14ac:dyDescent="0.2"/>
    <row r="25637" hidden="1" x14ac:dyDescent="0.2"/>
    <row r="25638" hidden="1" x14ac:dyDescent="0.2"/>
    <row r="25639" hidden="1" x14ac:dyDescent="0.2"/>
    <row r="25640" hidden="1" x14ac:dyDescent="0.2"/>
    <row r="25641" hidden="1" x14ac:dyDescent="0.2"/>
    <row r="25642" hidden="1" x14ac:dyDescent="0.2"/>
    <row r="25643" hidden="1" x14ac:dyDescent="0.2"/>
    <row r="25644" hidden="1" x14ac:dyDescent="0.2"/>
    <row r="25645" hidden="1" x14ac:dyDescent="0.2"/>
    <row r="25646" hidden="1" x14ac:dyDescent="0.2"/>
    <row r="25647" hidden="1" x14ac:dyDescent="0.2"/>
    <row r="25648" hidden="1" x14ac:dyDescent="0.2"/>
    <row r="25649" hidden="1" x14ac:dyDescent="0.2"/>
    <row r="25650" hidden="1" x14ac:dyDescent="0.2"/>
    <row r="25651" hidden="1" x14ac:dyDescent="0.2"/>
    <row r="25652" hidden="1" x14ac:dyDescent="0.2"/>
    <row r="25653" hidden="1" x14ac:dyDescent="0.2"/>
    <row r="25654" hidden="1" x14ac:dyDescent="0.2"/>
    <row r="25655" hidden="1" x14ac:dyDescent="0.2"/>
    <row r="25656" hidden="1" x14ac:dyDescent="0.2"/>
    <row r="25657" hidden="1" x14ac:dyDescent="0.2"/>
    <row r="25658" hidden="1" x14ac:dyDescent="0.2"/>
    <row r="25659" hidden="1" x14ac:dyDescent="0.2"/>
    <row r="25660" hidden="1" x14ac:dyDescent="0.2"/>
    <row r="25661" hidden="1" x14ac:dyDescent="0.2"/>
    <row r="25662" hidden="1" x14ac:dyDescent="0.2"/>
    <row r="25663" hidden="1" x14ac:dyDescent="0.2"/>
    <row r="25664" hidden="1" x14ac:dyDescent="0.2"/>
    <row r="25665" hidden="1" x14ac:dyDescent="0.2"/>
    <row r="25666" hidden="1" x14ac:dyDescent="0.2"/>
    <row r="25667" hidden="1" x14ac:dyDescent="0.2"/>
    <row r="25668" hidden="1" x14ac:dyDescent="0.2"/>
    <row r="25669" hidden="1" x14ac:dyDescent="0.2"/>
    <row r="25670" hidden="1" x14ac:dyDescent="0.2"/>
    <row r="25671" hidden="1" x14ac:dyDescent="0.2"/>
    <row r="25672" hidden="1" x14ac:dyDescent="0.2"/>
    <row r="25673" hidden="1" x14ac:dyDescent="0.2"/>
    <row r="25674" hidden="1" x14ac:dyDescent="0.2"/>
    <row r="25675" hidden="1" x14ac:dyDescent="0.2"/>
    <row r="25676" hidden="1" x14ac:dyDescent="0.2"/>
    <row r="25677" hidden="1" x14ac:dyDescent="0.2"/>
    <row r="25678" hidden="1" x14ac:dyDescent="0.2"/>
    <row r="25679" hidden="1" x14ac:dyDescent="0.2"/>
    <row r="25680" hidden="1" x14ac:dyDescent="0.2"/>
    <row r="25681" hidden="1" x14ac:dyDescent="0.2"/>
    <row r="25682" hidden="1" x14ac:dyDescent="0.2"/>
    <row r="25683" hidden="1" x14ac:dyDescent="0.2"/>
    <row r="25684" hidden="1" x14ac:dyDescent="0.2"/>
    <row r="25685" hidden="1" x14ac:dyDescent="0.2"/>
    <row r="25686" hidden="1" x14ac:dyDescent="0.2"/>
    <row r="25687" hidden="1" x14ac:dyDescent="0.2"/>
    <row r="25688" hidden="1" x14ac:dyDescent="0.2"/>
    <row r="25689" hidden="1" x14ac:dyDescent="0.2"/>
    <row r="25690" hidden="1" x14ac:dyDescent="0.2"/>
    <row r="25691" hidden="1" x14ac:dyDescent="0.2"/>
    <row r="25692" hidden="1" x14ac:dyDescent="0.2"/>
    <row r="25693" hidden="1" x14ac:dyDescent="0.2"/>
    <row r="25694" hidden="1" x14ac:dyDescent="0.2"/>
    <row r="25695" hidden="1" x14ac:dyDescent="0.2"/>
    <row r="25696" hidden="1" x14ac:dyDescent="0.2"/>
    <row r="25697" hidden="1" x14ac:dyDescent="0.2"/>
    <row r="25698" hidden="1" x14ac:dyDescent="0.2"/>
    <row r="25699" hidden="1" x14ac:dyDescent="0.2"/>
    <row r="25700" hidden="1" x14ac:dyDescent="0.2"/>
    <row r="25701" hidden="1" x14ac:dyDescent="0.2"/>
    <row r="25702" hidden="1" x14ac:dyDescent="0.2"/>
    <row r="25703" hidden="1" x14ac:dyDescent="0.2"/>
    <row r="25704" hidden="1" x14ac:dyDescent="0.2"/>
    <row r="25705" hidden="1" x14ac:dyDescent="0.2"/>
    <row r="25706" hidden="1" x14ac:dyDescent="0.2"/>
    <row r="25707" hidden="1" x14ac:dyDescent="0.2"/>
    <row r="25708" hidden="1" x14ac:dyDescent="0.2"/>
    <row r="25709" hidden="1" x14ac:dyDescent="0.2"/>
    <row r="25710" hidden="1" x14ac:dyDescent="0.2"/>
    <row r="25711" hidden="1" x14ac:dyDescent="0.2"/>
    <row r="25712" hidden="1" x14ac:dyDescent="0.2"/>
    <row r="25713" hidden="1" x14ac:dyDescent="0.2"/>
    <row r="25714" hidden="1" x14ac:dyDescent="0.2"/>
    <row r="25715" hidden="1" x14ac:dyDescent="0.2"/>
    <row r="25716" hidden="1" x14ac:dyDescent="0.2"/>
    <row r="25717" hidden="1" x14ac:dyDescent="0.2"/>
    <row r="25718" hidden="1" x14ac:dyDescent="0.2"/>
    <row r="25719" hidden="1" x14ac:dyDescent="0.2"/>
    <row r="25720" hidden="1" x14ac:dyDescent="0.2"/>
    <row r="25721" hidden="1" x14ac:dyDescent="0.2"/>
    <row r="25722" hidden="1" x14ac:dyDescent="0.2"/>
    <row r="25723" hidden="1" x14ac:dyDescent="0.2"/>
    <row r="25724" hidden="1" x14ac:dyDescent="0.2"/>
    <row r="25725" hidden="1" x14ac:dyDescent="0.2"/>
    <row r="25726" hidden="1" x14ac:dyDescent="0.2"/>
    <row r="25727" hidden="1" x14ac:dyDescent="0.2"/>
    <row r="25728" hidden="1" x14ac:dyDescent="0.2"/>
    <row r="25729" hidden="1" x14ac:dyDescent="0.2"/>
    <row r="25730" hidden="1" x14ac:dyDescent="0.2"/>
    <row r="25731" hidden="1" x14ac:dyDescent="0.2"/>
    <row r="25732" hidden="1" x14ac:dyDescent="0.2"/>
    <row r="25733" hidden="1" x14ac:dyDescent="0.2"/>
    <row r="25734" hidden="1" x14ac:dyDescent="0.2"/>
    <row r="25735" hidden="1" x14ac:dyDescent="0.2"/>
    <row r="25736" hidden="1" x14ac:dyDescent="0.2"/>
    <row r="25737" hidden="1" x14ac:dyDescent="0.2"/>
    <row r="25738" hidden="1" x14ac:dyDescent="0.2"/>
    <row r="25739" hidden="1" x14ac:dyDescent="0.2"/>
    <row r="25740" hidden="1" x14ac:dyDescent="0.2"/>
    <row r="25741" hidden="1" x14ac:dyDescent="0.2"/>
    <row r="25742" hidden="1" x14ac:dyDescent="0.2"/>
    <row r="25743" hidden="1" x14ac:dyDescent="0.2"/>
    <row r="25744" hidden="1" x14ac:dyDescent="0.2"/>
    <row r="25745" hidden="1" x14ac:dyDescent="0.2"/>
    <row r="25746" hidden="1" x14ac:dyDescent="0.2"/>
    <row r="25747" hidden="1" x14ac:dyDescent="0.2"/>
    <row r="25748" hidden="1" x14ac:dyDescent="0.2"/>
    <row r="25749" hidden="1" x14ac:dyDescent="0.2"/>
    <row r="25750" hidden="1" x14ac:dyDescent="0.2"/>
    <row r="25751" hidden="1" x14ac:dyDescent="0.2"/>
    <row r="25752" hidden="1" x14ac:dyDescent="0.2"/>
    <row r="25753" hidden="1" x14ac:dyDescent="0.2"/>
    <row r="25754" hidden="1" x14ac:dyDescent="0.2"/>
    <row r="25755" hidden="1" x14ac:dyDescent="0.2"/>
    <row r="25756" hidden="1" x14ac:dyDescent="0.2"/>
    <row r="25757" hidden="1" x14ac:dyDescent="0.2"/>
    <row r="25758" hidden="1" x14ac:dyDescent="0.2"/>
    <row r="25759" hidden="1" x14ac:dyDescent="0.2"/>
    <row r="25760" hidden="1" x14ac:dyDescent="0.2"/>
    <row r="25761" hidden="1" x14ac:dyDescent="0.2"/>
    <row r="25762" hidden="1" x14ac:dyDescent="0.2"/>
    <row r="25763" hidden="1" x14ac:dyDescent="0.2"/>
    <row r="25764" hidden="1" x14ac:dyDescent="0.2"/>
    <row r="25765" hidden="1" x14ac:dyDescent="0.2"/>
    <row r="25766" hidden="1" x14ac:dyDescent="0.2"/>
    <row r="25767" hidden="1" x14ac:dyDescent="0.2"/>
    <row r="25768" hidden="1" x14ac:dyDescent="0.2"/>
    <row r="25769" hidden="1" x14ac:dyDescent="0.2"/>
    <row r="25770" hidden="1" x14ac:dyDescent="0.2"/>
    <row r="25771" hidden="1" x14ac:dyDescent="0.2"/>
    <row r="25772" hidden="1" x14ac:dyDescent="0.2"/>
    <row r="25773" hidden="1" x14ac:dyDescent="0.2"/>
    <row r="25774" hidden="1" x14ac:dyDescent="0.2"/>
    <row r="25775" hidden="1" x14ac:dyDescent="0.2"/>
    <row r="25776" hidden="1" x14ac:dyDescent="0.2"/>
    <row r="25777" hidden="1" x14ac:dyDescent="0.2"/>
    <row r="25778" hidden="1" x14ac:dyDescent="0.2"/>
    <row r="25779" hidden="1" x14ac:dyDescent="0.2"/>
    <row r="25780" hidden="1" x14ac:dyDescent="0.2"/>
    <row r="25781" hidden="1" x14ac:dyDescent="0.2"/>
    <row r="25782" hidden="1" x14ac:dyDescent="0.2"/>
    <row r="25783" hidden="1" x14ac:dyDescent="0.2"/>
    <row r="25784" hidden="1" x14ac:dyDescent="0.2"/>
    <row r="25785" hidden="1" x14ac:dyDescent="0.2"/>
    <row r="25786" hidden="1" x14ac:dyDescent="0.2"/>
    <row r="25787" hidden="1" x14ac:dyDescent="0.2"/>
    <row r="25788" hidden="1" x14ac:dyDescent="0.2"/>
    <row r="25789" hidden="1" x14ac:dyDescent="0.2"/>
    <row r="25790" hidden="1" x14ac:dyDescent="0.2"/>
    <row r="25791" hidden="1" x14ac:dyDescent="0.2"/>
    <row r="25792" hidden="1" x14ac:dyDescent="0.2"/>
    <row r="25793" hidden="1" x14ac:dyDescent="0.2"/>
    <row r="25794" hidden="1" x14ac:dyDescent="0.2"/>
    <row r="25795" hidden="1" x14ac:dyDescent="0.2"/>
    <row r="25796" hidden="1" x14ac:dyDescent="0.2"/>
    <row r="25797" hidden="1" x14ac:dyDescent="0.2"/>
    <row r="25798" hidden="1" x14ac:dyDescent="0.2"/>
    <row r="25799" hidden="1" x14ac:dyDescent="0.2"/>
    <row r="25800" hidden="1" x14ac:dyDescent="0.2"/>
    <row r="25801" hidden="1" x14ac:dyDescent="0.2"/>
    <row r="25802" hidden="1" x14ac:dyDescent="0.2"/>
    <row r="25803" hidden="1" x14ac:dyDescent="0.2"/>
    <row r="25804" hidden="1" x14ac:dyDescent="0.2"/>
    <row r="25805" hidden="1" x14ac:dyDescent="0.2"/>
    <row r="25806" hidden="1" x14ac:dyDescent="0.2"/>
    <row r="25807" hidden="1" x14ac:dyDescent="0.2"/>
    <row r="25808" hidden="1" x14ac:dyDescent="0.2"/>
    <row r="25809" hidden="1" x14ac:dyDescent="0.2"/>
    <row r="25810" hidden="1" x14ac:dyDescent="0.2"/>
    <row r="25811" hidden="1" x14ac:dyDescent="0.2"/>
    <row r="25812" hidden="1" x14ac:dyDescent="0.2"/>
    <row r="25813" hidden="1" x14ac:dyDescent="0.2"/>
    <row r="25814" hidden="1" x14ac:dyDescent="0.2"/>
    <row r="25815" hidden="1" x14ac:dyDescent="0.2"/>
    <row r="25816" hidden="1" x14ac:dyDescent="0.2"/>
    <row r="25817" hidden="1" x14ac:dyDescent="0.2"/>
    <row r="25818" hidden="1" x14ac:dyDescent="0.2"/>
    <row r="25819" hidden="1" x14ac:dyDescent="0.2"/>
    <row r="25820" hidden="1" x14ac:dyDescent="0.2"/>
    <row r="25821" hidden="1" x14ac:dyDescent="0.2"/>
    <row r="25822" hidden="1" x14ac:dyDescent="0.2"/>
    <row r="25823" hidden="1" x14ac:dyDescent="0.2"/>
    <row r="25824" hidden="1" x14ac:dyDescent="0.2"/>
    <row r="25825" hidden="1" x14ac:dyDescent="0.2"/>
    <row r="25826" hidden="1" x14ac:dyDescent="0.2"/>
    <row r="25827" hidden="1" x14ac:dyDescent="0.2"/>
    <row r="25828" hidden="1" x14ac:dyDescent="0.2"/>
    <row r="25829" hidden="1" x14ac:dyDescent="0.2"/>
    <row r="25830" hidden="1" x14ac:dyDescent="0.2"/>
    <row r="25831" hidden="1" x14ac:dyDescent="0.2"/>
    <row r="25832" hidden="1" x14ac:dyDescent="0.2"/>
    <row r="25833" hidden="1" x14ac:dyDescent="0.2"/>
    <row r="25834" hidden="1" x14ac:dyDescent="0.2"/>
    <row r="25835" hidden="1" x14ac:dyDescent="0.2"/>
    <row r="25836" hidden="1" x14ac:dyDescent="0.2"/>
    <row r="25837" hidden="1" x14ac:dyDescent="0.2"/>
    <row r="25838" hidden="1" x14ac:dyDescent="0.2"/>
    <row r="25839" hidden="1" x14ac:dyDescent="0.2"/>
    <row r="25840" hidden="1" x14ac:dyDescent="0.2"/>
    <row r="25841" hidden="1" x14ac:dyDescent="0.2"/>
    <row r="25842" hidden="1" x14ac:dyDescent="0.2"/>
    <row r="25843" hidden="1" x14ac:dyDescent="0.2"/>
    <row r="25844" hidden="1" x14ac:dyDescent="0.2"/>
    <row r="25845" hidden="1" x14ac:dyDescent="0.2"/>
    <row r="25846" hidden="1" x14ac:dyDescent="0.2"/>
    <row r="25847" hidden="1" x14ac:dyDescent="0.2"/>
    <row r="25848" hidden="1" x14ac:dyDescent="0.2"/>
    <row r="25849" hidden="1" x14ac:dyDescent="0.2"/>
    <row r="25850" hidden="1" x14ac:dyDescent="0.2"/>
    <row r="25851" hidden="1" x14ac:dyDescent="0.2"/>
    <row r="25852" hidden="1" x14ac:dyDescent="0.2"/>
    <row r="25853" hidden="1" x14ac:dyDescent="0.2"/>
    <row r="25854" hidden="1" x14ac:dyDescent="0.2"/>
    <row r="25855" hidden="1" x14ac:dyDescent="0.2"/>
    <row r="25856" hidden="1" x14ac:dyDescent="0.2"/>
    <row r="25857" hidden="1" x14ac:dyDescent="0.2"/>
    <row r="25858" hidden="1" x14ac:dyDescent="0.2"/>
    <row r="25859" hidden="1" x14ac:dyDescent="0.2"/>
    <row r="25860" hidden="1" x14ac:dyDescent="0.2"/>
    <row r="25861" hidden="1" x14ac:dyDescent="0.2"/>
    <row r="25862" hidden="1" x14ac:dyDescent="0.2"/>
    <row r="25863" hidden="1" x14ac:dyDescent="0.2"/>
    <row r="25864" hidden="1" x14ac:dyDescent="0.2"/>
    <row r="25865" hidden="1" x14ac:dyDescent="0.2"/>
    <row r="25866" hidden="1" x14ac:dyDescent="0.2"/>
    <row r="25867" hidden="1" x14ac:dyDescent="0.2"/>
    <row r="25868" hidden="1" x14ac:dyDescent="0.2"/>
    <row r="25869" hidden="1" x14ac:dyDescent="0.2"/>
    <row r="25870" hidden="1" x14ac:dyDescent="0.2"/>
    <row r="25871" hidden="1" x14ac:dyDescent="0.2"/>
    <row r="25872" hidden="1" x14ac:dyDescent="0.2"/>
    <row r="25873" hidden="1" x14ac:dyDescent="0.2"/>
    <row r="25874" hidden="1" x14ac:dyDescent="0.2"/>
    <row r="25875" hidden="1" x14ac:dyDescent="0.2"/>
    <row r="25876" hidden="1" x14ac:dyDescent="0.2"/>
    <row r="25877" hidden="1" x14ac:dyDescent="0.2"/>
    <row r="25878" hidden="1" x14ac:dyDescent="0.2"/>
    <row r="25879" hidden="1" x14ac:dyDescent="0.2"/>
    <row r="25880" hidden="1" x14ac:dyDescent="0.2"/>
    <row r="25881" hidden="1" x14ac:dyDescent="0.2"/>
    <row r="25882" hidden="1" x14ac:dyDescent="0.2"/>
    <row r="25883" hidden="1" x14ac:dyDescent="0.2"/>
    <row r="25884" hidden="1" x14ac:dyDescent="0.2"/>
    <row r="25885" hidden="1" x14ac:dyDescent="0.2"/>
    <row r="25886" hidden="1" x14ac:dyDescent="0.2"/>
    <row r="25887" hidden="1" x14ac:dyDescent="0.2"/>
    <row r="25888" hidden="1" x14ac:dyDescent="0.2"/>
    <row r="25889" hidden="1" x14ac:dyDescent="0.2"/>
    <row r="25890" hidden="1" x14ac:dyDescent="0.2"/>
    <row r="25891" hidden="1" x14ac:dyDescent="0.2"/>
    <row r="25892" hidden="1" x14ac:dyDescent="0.2"/>
    <row r="25893" hidden="1" x14ac:dyDescent="0.2"/>
    <row r="25894" hidden="1" x14ac:dyDescent="0.2"/>
    <row r="25895" hidden="1" x14ac:dyDescent="0.2"/>
    <row r="25896" hidden="1" x14ac:dyDescent="0.2"/>
    <row r="25897" hidden="1" x14ac:dyDescent="0.2"/>
    <row r="25898" hidden="1" x14ac:dyDescent="0.2"/>
    <row r="25899" hidden="1" x14ac:dyDescent="0.2"/>
    <row r="25900" hidden="1" x14ac:dyDescent="0.2"/>
    <row r="25901" hidden="1" x14ac:dyDescent="0.2"/>
    <row r="25902" hidden="1" x14ac:dyDescent="0.2"/>
    <row r="25903" hidden="1" x14ac:dyDescent="0.2"/>
    <row r="25904" hidden="1" x14ac:dyDescent="0.2"/>
    <row r="25905" hidden="1" x14ac:dyDescent="0.2"/>
    <row r="25906" hidden="1" x14ac:dyDescent="0.2"/>
    <row r="25907" hidden="1" x14ac:dyDescent="0.2"/>
    <row r="25908" hidden="1" x14ac:dyDescent="0.2"/>
    <row r="25909" hidden="1" x14ac:dyDescent="0.2"/>
    <row r="25910" hidden="1" x14ac:dyDescent="0.2"/>
    <row r="25911" hidden="1" x14ac:dyDescent="0.2"/>
    <row r="25912" hidden="1" x14ac:dyDescent="0.2"/>
    <row r="25913" hidden="1" x14ac:dyDescent="0.2"/>
    <row r="25914" hidden="1" x14ac:dyDescent="0.2"/>
    <row r="25915" hidden="1" x14ac:dyDescent="0.2"/>
    <row r="25916" hidden="1" x14ac:dyDescent="0.2"/>
    <row r="25917" hidden="1" x14ac:dyDescent="0.2"/>
    <row r="25918" hidden="1" x14ac:dyDescent="0.2"/>
    <row r="25919" hidden="1" x14ac:dyDescent="0.2"/>
    <row r="25920" hidden="1" x14ac:dyDescent="0.2"/>
    <row r="25921" hidden="1" x14ac:dyDescent="0.2"/>
    <row r="25922" hidden="1" x14ac:dyDescent="0.2"/>
    <row r="25923" hidden="1" x14ac:dyDescent="0.2"/>
    <row r="25924" hidden="1" x14ac:dyDescent="0.2"/>
    <row r="25925" hidden="1" x14ac:dyDescent="0.2"/>
    <row r="25926" hidden="1" x14ac:dyDescent="0.2"/>
    <row r="25927" hidden="1" x14ac:dyDescent="0.2"/>
    <row r="25928" hidden="1" x14ac:dyDescent="0.2"/>
    <row r="25929" hidden="1" x14ac:dyDescent="0.2"/>
    <row r="25930" hidden="1" x14ac:dyDescent="0.2"/>
    <row r="25931" hidden="1" x14ac:dyDescent="0.2"/>
    <row r="25932" hidden="1" x14ac:dyDescent="0.2"/>
    <row r="25933" hidden="1" x14ac:dyDescent="0.2"/>
    <row r="25934" hidden="1" x14ac:dyDescent="0.2"/>
    <row r="25935" hidden="1" x14ac:dyDescent="0.2"/>
    <row r="25936" hidden="1" x14ac:dyDescent="0.2"/>
    <row r="25937" hidden="1" x14ac:dyDescent="0.2"/>
    <row r="25938" hidden="1" x14ac:dyDescent="0.2"/>
    <row r="25939" hidden="1" x14ac:dyDescent="0.2"/>
    <row r="25940" hidden="1" x14ac:dyDescent="0.2"/>
    <row r="25941" hidden="1" x14ac:dyDescent="0.2"/>
    <row r="25942" hidden="1" x14ac:dyDescent="0.2"/>
    <row r="25943" hidden="1" x14ac:dyDescent="0.2"/>
    <row r="25944" hidden="1" x14ac:dyDescent="0.2"/>
    <row r="25945" hidden="1" x14ac:dyDescent="0.2"/>
    <row r="25946" hidden="1" x14ac:dyDescent="0.2"/>
    <row r="25947" hidden="1" x14ac:dyDescent="0.2"/>
    <row r="25948" hidden="1" x14ac:dyDescent="0.2"/>
    <row r="25949" hidden="1" x14ac:dyDescent="0.2"/>
    <row r="25950" hidden="1" x14ac:dyDescent="0.2"/>
    <row r="25951" hidden="1" x14ac:dyDescent="0.2"/>
    <row r="25952" hidden="1" x14ac:dyDescent="0.2"/>
    <row r="25953" hidden="1" x14ac:dyDescent="0.2"/>
    <row r="25954" hidden="1" x14ac:dyDescent="0.2"/>
    <row r="25955" hidden="1" x14ac:dyDescent="0.2"/>
    <row r="25956" hidden="1" x14ac:dyDescent="0.2"/>
    <row r="25957" hidden="1" x14ac:dyDescent="0.2"/>
    <row r="25958" hidden="1" x14ac:dyDescent="0.2"/>
    <row r="25959" hidden="1" x14ac:dyDescent="0.2"/>
    <row r="25960" hidden="1" x14ac:dyDescent="0.2"/>
    <row r="25961" hidden="1" x14ac:dyDescent="0.2"/>
    <row r="25962" hidden="1" x14ac:dyDescent="0.2"/>
    <row r="25963" hidden="1" x14ac:dyDescent="0.2"/>
    <row r="25964" hidden="1" x14ac:dyDescent="0.2"/>
    <row r="25965" hidden="1" x14ac:dyDescent="0.2"/>
    <row r="25966" hidden="1" x14ac:dyDescent="0.2"/>
    <row r="25967" hidden="1" x14ac:dyDescent="0.2"/>
    <row r="25968" hidden="1" x14ac:dyDescent="0.2"/>
    <row r="25969" hidden="1" x14ac:dyDescent="0.2"/>
    <row r="25970" hidden="1" x14ac:dyDescent="0.2"/>
    <row r="25971" hidden="1" x14ac:dyDescent="0.2"/>
    <row r="25972" hidden="1" x14ac:dyDescent="0.2"/>
    <row r="25973" hidden="1" x14ac:dyDescent="0.2"/>
    <row r="25974" hidden="1" x14ac:dyDescent="0.2"/>
    <row r="25975" hidden="1" x14ac:dyDescent="0.2"/>
    <row r="25976" hidden="1" x14ac:dyDescent="0.2"/>
    <row r="25977" hidden="1" x14ac:dyDescent="0.2"/>
    <row r="25978" hidden="1" x14ac:dyDescent="0.2"/>
    <row r="25979" hidden="1" x14ac:dyDescent="0.2"/>
    <row r="25980" hidden="1" x14ac:dyDescent="0.2"/>
    <row r="25981" hidden="1" x14ac:dyDescent="0.2"/>
    <row r="25982" hidden="1" x14ac:dyDescent="0.2"/>
    <row r="25983" hidden="1" x14ac:dyDescent="0.2"/>
    <row r="25984" hidden="1" x14ac:dyDescent="0.2"/>
    <row r="25985" hidden="1" x14ac:dyDescent="0.2"/>
    <row r="25986" hidden="1" x14ac:dyDescent="0.2"/>
    <row r="25987" hidden="1" x14ac:dyDescent="0.2"/>
    <row r="25988" hidden="1" x14ac:dyDescent="0.2"/>
    <row r="25989" hidden="1" x14ac:dyDescent="0.2"/>
    <row r="25990" hidden="1" x14ac:dyDescent="0.2"/>
    <row r="25991" hidden="1" x14ac:dyDescent="0.2"/>
    <row r="25992" hidden="1" x14ac:dyDescent="0.2"/>
    <row r="25993" hidden="1" x14ac:dyDescent="0.2"/>
    <row r="25994" hidden="1" x14ac:dyDescent="0.2"/>
    <row r="25995" hidden="1" x14ac:dyDescent="0.2"/>
    <row r="25996" hidden="1" x14ac:dyDescent="0.2"/>
    <row r="25997" hidden="1" x14ac:dyDescent="0.2"/>
    <row r="25998" hidden="1" x14ac:dyDescent="0.2"/>
    <row r="25999" hidden="1" x14ac:dyDescent="0.2"/>
    <row r="26000" hidden="1" x14ac:dyDescent="0.2"/>
    <row r="26001" hidden="1" x14ac:dyDescent="0.2"/>
    <row r="26002" hidden="1" x14ac:dyDescent="0.2"/>
    <row r="26003" hidden="1" x14ac:dyDescent="0.2"/>
    <row r="26004" hidden="1" x14ac:dyDescent="0.2"/>
    <row r="26005" hidden="1" x14ac:dyDescent="0.2"/>
    <row r="26006" hidden="1" x14ac:dyDescent="0.2"/>
    <row r="26007" hidden="1" x14ac:dyDescent="0.2"/>
    <row r="26008" hidden="1" x14ac:dyDescent="0.2"/>
    <row r="26009" hidden="1" x14ac:dyDescent="0.2"/>
    <row r="26010" hidden="1" x14ac:dyDescent="0.2"/>
    <row r="26011" hidden="1" x14ac:dyDescent="0.2"/>
    <row r="26012" hidden="1" x14ac:dyDescent="0.2"/>
    <row r="26013" hidden="1" x14ac:dyDescent="0.2"/>
    <row r="26014" hidden="1" x14ac:dyDescent="0.2"/>
    <row r="26015" hidden="1" x14ac:dyDescent="0.2"/>
    <row r="26016" hidden="1" x14ac:dyDescent="0.2"/>
    <row r="26017" hidden="1" x14ac:dyDescent="0.2"/>
    <row r="26018" hidden="1" x14ac:dyDescent="0.2"/>
    <row r="26019" hidden="1" x14ac:dyDescent="0.2"/>
    <row r="26020" hidden="1" x14ac:dyDescent="0.2"/>
    <row r="26021" hidden="1" x14ac:dyDescent="0.2"/>
    <row r="26022" hidden="1" x14ac:dyDescent="0.2"/>
    <row r="26023" hidden="1" x14ac:dyDescent="0.2"/>
    <row r="26024" hidden="1" x14ac:dyDescent="0.2"/>
    <row r="26025" hidden="1" x14ac:dyDescent="0.2"/>
    <row r="26026" hidden="1" x14ac:dyDescent="0.2"/>
    <row r="26027" hidden="1" x14ac:dyDescent="0.2"/>
    <row r="26028" hidden="1" x14ac:dyDescent="0.2"/>
    <row r="26029" hidden="1" x14ac:dyDescent="0.2"/>
    <row r="26030" hidden="1" x14ac:dyDescent="0.2"/>
    <row r="26031" hidden="1" x14ac:dyDescent="0.2"/>
    <row r="26032" hidden="1" x14ac:dyDescent="0.2"/>
    <row r="26033" hidden="1" x14ac:dyDescent="0.2"/>
    <row r="26034" hidden="1" x14ac:dyDescent="0.2"/>
    <row r="26035" hidden="1" x14ac:dyDescent="0.2"/>
    <row r="26036" hidden="1" x14ac:dyDescent="0.2"/>
    <row r="26037" hidden="1" x14ac:dyDescent="0.2"/>
    <row r="26038" hidden="1" x14ac:dyDescent="0.2"/>
    <row r="26039" hidden="1" x14ac:dyDescent="0.2"/>
    <row r="26040" hidden="1" x14ac:dyDescent="0.2"/>
    <row r="26041" hidden="1" x14ac:dyDescent="0.2"/>
    <row r="26042" hidden="1" x14ac:dyDescent="0.2"/>
    <row r="26043" hidden="1" x14ac:dyDescent="0.2"/>
    <row r="26044" hidden="1" x14ac:dyDescent="0.2"/>
    <row r="26045" hidden="1" x14ac:dyDescent="0.2"/>
    <row r="26046" hidden="1" x14ac:dyDescent="0.2"/>
    <row r="26047" hidden="1" x14ac:dyDescent="0.2"/>
    <row r="26048" hidden="1" x14ac:dyDescent="0.2"/>
    <row r="26049" hidden="1" x14ac:dyDescent="0.2"/>
    <row r="26050" hidden="1" x14ac:dyDescent="0.2"/>
    <row r="26051" hidden="1" x14ac:dyDescent="0.2"/>
    <row r="26052" hidden="1" x14ac:dyDescent="0.2"/>
    <row r="26053" hidden="1" x14ac:dyDescent="0.2"/>
    <row r="26054" hidden="1" x14ac:dyDescent="0.2"/>
    <row r="26055" hidden="1" x14ac:dyDescent="0.2"/>
    <row r="26056" hidden="1" x14ac:dyDescent="0.2"/>
    <row r="26057" hidden="1" x14ac:dyDescent="0.2"/>
    <row r="26058" hidden="1" x14ac:dyDescent="0.2"/>
    <row r="26059" hidden="1" x14ac:dyDescent="0.2"/>
    <row r="26060" hidden="1" x14ac:dyDescent="0.2"/>
    <row r="26061" hidden="1" x14ac:dyDescent="0.2"/>
    <row r="26062" hidden="1" x14ac:dyDescent="0.2"/>
    <row r="26063" hidden="1" x14ac:dyDescent="0.2"/>
    <row r="26064" hidden="1" x14ac:dyDescent="0.2"/>
    <row r="26065" hidden="1" x14ac:dyDescent="0.2"/>
    <row r="26066" hidden="1" x14ac:dyDescent="0.2"/>
    <row r="26067" hidden="1" x14ac:dyDescent="0.2"/>
    <row r="26068" hidden="1" x14ac:dyDescent="0.2"/>
    <row r="26069" hidden="1" x14ac:dyDescent="0.2"/>
    <row r="26070" hidden="1" x14ac:dyDescent="0.2"/>
    <row r="26071" hidden="1" x14ac:dyDescent="0.2"/>
    <row r="26072" hidden="1" x14ac:dyDescent="0.2"/>
    <row r="26073" hidden="1" x14ac:dyDescent="0.2"/>
    <row r="26074" hidden="1" x14ac:dyDescent="0.2"/>
    <row r="26075" hidden="1" x14ac:dyDescent="0.2"/>
    <row r="26076" hidden="1" x14ac:dyDescent="0.2"/>
    <row r="26077" hidden="1" x14ac:dyDescent="0.2"/>
    <row r="26078" hidden="1" x14ac:dyDescent="0.2"/>
    <row r="26079" hidden="1" x14ac:dyDescent="0.2"/>
    <row r="26080" hidden="1" x14ac:dyDescent="0.2"/>
    <row r="26081" hidden="1" x14ac:dyDescent="0.2"/>
    <row r="26082" hidden="1" x14ac:dyDescent="0.2"/>
    <row r="26083" hidden="1" x14ac:dyDescent="0.2"/>
    <row r="26084" hidden="1" x14ac:dyDescent="0.2"/>
    <row r="26085" hidden="1" x14ac:dyDescent="0.2"/>
    <row r="26086" hidden="1" x14ac:dyDescent="0.2"/>
    <row r="26087" hidden="1" x14ac:dyDescent="0.2"/>
    <row r="26088" hidden="1" x14ac:dyDescent="0.2"/>
    <row r="26089" hidden="1" x14ac:dyDescent="0.2"/>
    <row r="26090" hidden="1" x14ac:dyDescent="0.2"/>
    <row r="26091" hidden="1" x14ac:dyDescent="0.2"/>
    <row r="26092" hidden="1" x14ac:dyDescent="0.2"/>
    <row r="26093" hidden="1" x14ac:dyDescent="0.2"/>
    <row r="26094" hidden="1" x14ac:dyDescent="0.2"/>
    <row r="26095" hidden="1" x14ac:dyDescent="0.2"/>
    <row r="26096" hidden="1" x14ac:dyDescent="0.2"/>
    <row r="26097" hidden="1" x14ac:dyDescent="0.2"/>
    <row r="26098" hidden="1" x14ac:dyDescent="0.2"/>
    <row r="26099" hidden="1" x14ac:dyDescent="0.2"/>
    <row r="26100" hidden="1" x14ac:dyDescent="0.2"/>
    <row r="26101" hidden="1" x14ac:dyDescent="0.2"/>
    <row r="26102" hidden="1" x14ac:dyDescent="0.2"/>
    <row r="26103" hidden="1" x14ac:dyDescent="0.2"/>
    <row r="26104" hidden="1" x14ac:dyDescent="0.2"/>
    <row r="26105" hidden="1" x14ac:dyDescent="0.2"/>
    <row r="26106" hidden="1" x14ac:dyDescent="0.2"/>
    <row r="26107" hidden="1" x14ac:dyDescent="0.2"/>
    <row r="26108" hidden="1" x14ac:dyDescent="0.2"/>
    <row r="26109" hidden="1" x14ac:dyDescent="0.2"/>
    <row r="26110" hidden="1" x14ac:dyDescent="0.2"/>
    <row r="26111" hidden="1" x14ac:dyDescent="0.2"/>
    <row r="26112" hidden="1" x14ac:dyDescent="0.2"/>
    <row r="26113" hidden="1" x14ac:dyDescent="0.2"/>
    <row r="26114" hidden="1" x14ac:dyDescent="0.2"/>
    <row r="26115" hidden="1" x14ac:dyDescent="0.2"/>
    <row r="26116" hidden="1" x14ac:dyDescent="0.2"/>
    <row r="26117" hidden="1" x14ac:dyDescent="0.2"/>
    <row r="26118" hidden="1" x14ac:dyDescent="0.2"/>
    <row r="26119" hidden="1" x14ac:dyDescent="0.2"/>
    <row r="26120" hidden="1" x14ac:dyDescent="0.2"/>
    <row r="26121" hidden="1" x14ac:dyDescent="0.2"/>
    <row r="26122" hidden="1" x14ac:dyDescent="0.2"/>
    <row r="26123" hidden="1" x14ac:dyDescent="0.2"/>
    <row r="26124" hidden="1" x14ac:dyDescent="0.2"/>
    <row r="26125" hidden="1" x14ac:dyDescent="0.2"/>
    <row r="26126" hidden="1" x14ac:dyDescent="0.2"/>
    <row r="26127" hidden="1" x14ac:dyDescent="0.2"/>
    <row r="26128" hidden="1" x14ac:dyDescent="0.2"/>
    <row r="26129" hidden="1" x14ac:dyDescent="0.2"/>
    <row r="26130" hidden="1" x14ac:dyDescent="0.2"/>
    <row r="26131" hidden="1" x14ac:dyDescent="0.2"/>
    <row r="26132" hidden="1" x14ac:dyDescent="0.2"/>
    <row r="26133" hidden="1" x14ac:dyDescent="0.2"/>
    <row r="26134" hidden="1" x14ac:dyDescent="0.2"/>
    <row r="26135" hidden="1" x14ac:dyDescent="0.2"/>
    <row r="26136" hidden="1" x14ac:dyDescent="0.2"/>
    <row r="26137" hidden="1" x14ac:dyDescent="0.2"/>
    <row r="26138" hidden="1" x14ac:dyDescent="0.2"/>
    <row r="26139" hidden="1" x14ac:dyDescent="0.2"/>
    <row r="26140" hidden="1" x14ac:dyDescent="0.2"/>
    <row r="26141" hidden="1" x14ac:dyDescent="0.2"/>
    <row r="26142" hidden="1" x14ac:dyDescent="0.2"/>
    <row r="26143" hidden="1" x14ac:dyDescent="0.2"/>
    <row r="26144" hidden="1" x14ac:dyDescent="0.2"/>
    <row r="26145" hidden="1" x14ac:dyDescent="0.2"/>
    <row r="26146" hidden="1" x14ac:dyDescent="0.2"/>
    <row r="26147" hidden="1" x14ac:dyDescent="0.2"/>
    <row r="26148" hidden="1" x14ac:dyDescent="0.2"/>
    <row r="26149" hidden="1" x14ac:dyDescent="0.2"/>
    <row r="26150" hidden="1" x14ac:dyDescent="0.2"/>
    <row r="26151" hidden="1" x14ac:dyDescent="0.2"/>
    <row r="26152" hidden="1" x14ac:dyDescent="0.2"/>
    <row r="26153" hidden="1" x14ac:dyDescent="0.2"/>
    <row r="26154" hidden="1" x14ac:dyDescent="0.2"/>
    <row r="26155" hidden="1" x14ac:dyDescent="0.2"/>
    <row r="26156" hidden="1" x14ac:dyDescent="0.2"/>
    <row r="26157" hidden="1" x14ac:dyDescent="0.2"/>
    <row r="26158" hidden="1" x14ac:dyDescent="0.2"/>
    <row r="26159" hidden="1" x14ac:dyDescent="0.2"/>
    <row r="26160" hidden="1" x14ac:dyDescent="0.2"/>
    <row r="26161" hidden="1" x14ac:dyDescent="0.2"/>
    <row r="26162" hidden="1" x14ac:dyDescent="0.2"/>
    <row r="26163" hidden="1" x14ac:dyDescent="0.2"/>
    <row r="26164" hidden="1" x14ac:dyDescent="0.2"/>
    <row r="26165" hidden="1" x14ac:dyDescent="0.2"/>
    <row r="26166" hidden="1" x14ac:dyDescent="0.2"/>
    <row r="26167" hidden="1" x14ac:dyDescent="0.2"/>
    <row r="26168" hidden="1" x14ac:dyDescent="0.2"/>
    <row r="26169" hidden="1" x14ac:dyDescent="0.2"/>
    <row r="26170" hidden="1" x14ac:dyDescent="0.2"/>
    <row r="26171" hidden="1" x14ac:dyDescent="0.2"/>
    <row r="26172" hidden="1" x14ac:dyDescent="0.2"/>
    <row r="26173" hidden="1" x14ac:dyDescent="0.2"/>
    <row r="26174" hidden="1" x14ac:dyDescent="0.2"/>
    <row r="26175" hidden="1" x14ac:dyDescent="0.2"/>
    <row r="26176" hidden="1" x14ac:dyDescent="0.2"/>
    <row r="26177" hidden="1" x14ac:dyDescent="0.2"/>
    <row r="26178" hidden="1" x14ac:dyDescent="0.2"/>
    <row r="26179" hidden="1" x14ac:dyDescent="0.2"/>
    <row r="26180" hidden="1" x14ac:dyDescent="0.2"/>
    <row r="26181" hidden="1" x14ac:dyDescent="0.2"/>
    <row r="26182" hidden="1" x14ac:dyDescent="0.2"/>
    <row r="26183" hidden="1" x14ac:dyDescent="0.2"/>
    <row r="26184" hidden="1" x14ac:dyDescent="0.2"/>
    <row r="26185" hidden="1" x14ac:dyDescent="0.2"/>
    <row r="26186" hidden="1" x14ac:dyDescent="0.2"/>
    <row r="26187" hidden="1" x14ac:dyDescent="0.2"/>
    <row r="26188" hidden="1" x14ac:dyDescent="0.2"/>
    <row r="26189" hidden="1" x14ac:dyDescent="0.2"/>
    <row r="26190" hidden="1" x14ac:dyDescent="0.2"/>
    <row r="26191" hidden="1" x14ac:dyDescent="0.2"/>
    <row r="26192" hidden="1" x14ac:dyDescent="0.2"/>
    <row r="26193" hidden="1" x14ac:dyDescent="0.2"/>
    <row r="26194" hidden="1" x14ac:dyDescent="0.2"/>
    <row r="26195" hidden="1" x14ac:dyDescent="0.2"/>
    <row r="26196" hidden="1" x14ac:dyDescent="0.2"/>
    <row r="26197" hidden="1" x14ac:dyDescent="0.2"/>
    <row r="26198" hidden="1" x14ac:dyDescent="0.2"/>
    <row r="26199" hidden="1" x14ac:dyDescent="0.2"/>
    <row r="26200" hidden="1" x14ac:dyDescent="0.2"/>
    <row r="26201" hidden="1" x14ac:dyDescent="0.2"/>
    <row r="26202" hidden="1" x14ac:dyDescent="0.2"/>
    <row r="26203" hidden="1" x14ac:dyDescent="0.2"/>
    <row r="26204" hidden="1" x14ac:dyDescent="0.2"/>
    <row r="26205" hidden="1" x14ac:dyDescent="0.2"/>
    <row r="26206" hidden="1" x14ac:dyDescent="0.2"/>
    <row r="26207" hidden="1" x14ac:dyDescent="0.2"/>
    <row r="26208" hidden="1" x14ac:dyDescent="0.2"/>
    <row r="26209" hidden="1" x14ac:dyDescent="0.2"/>
    <row r="26210" hidden="1" x14ac:dyDescent="0.2"/>
    <row r="26211" hidden="1" x14ac:dyDescent="0.2"/>
    <row r="26212" hidden="1" x14ac:dyDescent="0.2"/>
    <row r="26213" hidden="1" x14ac:dyDescent="0.2"/>
    <row r="26214" hidden="1" x14ac:dyDescent="0.2"/>
    <row r="26215" hidden="1" x14ac:dyDescent="0.2"/>
    <row r="26216" hidden="1" x14ac:dyDescent="0.2"/>
    <row r="26217" hidden="1" x14ac:dyDescent="0.2"/>
    <row r="26218" hidden="1" x14ac:dyDescent="0.2"/>
    <row r="26219" hidden="1" x14ac:dyDescent="0.2"/>
    <row r="26220" hidden="1" x14ac:dyDescent="0.2"/>
    <row r="26221" hidden="1" x14ac:dyDescent="0.2"/>
    <row r="26222" hidden="1" x14ac:dyDescent="0.2"/>
    <row r="26223" hidden="1" x14ac:dyDescent="0.2"/>
    <row r="26224" hidden="1" x14ac:dyDescent="0.2"/>
    <row r="26225" hidden="1" x14ac:dyDescent="0.2"/>
    <row r="26226" hidden="1" x14ac:dyDescent="0.2"/>
    <row r="26227" hidden="1" x14ac:dyDescent="0.2"/>
    <row r="26228" hidden="1" x14ac:dyDescent="0.2"/>
    <row r="26229" hidden="1" x14ac:dyDescent="0.2"/>
    <row r="26230" hidden="1" x14ac:dyDescent="0.2"/>
    <row r="26231" hidden="1" x14ac:dyDescent="0.2"/>
    <row r="26232" hidden="1" x14ac:dyDescent="0.2"/>
    <row r="26233" hidden="1" x14ac:dyDescent="0.2"/>
    <row r="26234" hidden="1" x14ac:dyDescent="0.2"/>
    <row r="26235" hidden="1" x14ac:dyDescent="0.2"/>
    <row r="26236" hidden="1" x14ac:dyDescent="0.2"/>
    <row r="26237" hidden="1" x14ac:dyDescent="0.2"/>
    <row r="26238" hidden="1" x14ac:dyDescent="0.2"/>
    <row r="26239" hidden="1" x14ac:dyDescent="0.2"/>
    <row r="26240" hidden="1" x14ac:dyDescent="0.2"/>
    <row r="26241" hidden="1" x14ac:dyDescent="0.2"/>
    <row r="26242" hidden="1" x14ac:dyDescent="0.2"/>
    <row r="26243" hidden="1" x14ac:dyDescent="0.2"/>
    <row r="26244" hidden="1" x14ac:dyDescent="0.2"/>
    <row r="26245" hidden="1" x14ac:dyDescent="0.2"/>
    <row r="26246" hidden="1" x14ac:dyDescent="0.2"/>
    <row r="26247" hidden="1" x14ac:dyDescent="0.2"/>
    <row r="26248" hidden="1" x14ac:dyDescent="0.2"/>
    <row r="26249" hidden="1" x14ac:dyDescent="0.2"/>
    <row r="26250" hidden="1" x14ac:dyDescent="0.2"/>
    <row r="26251" hidden="1" x14ac:dyDescent="0.2"/>
    <row r="26252" hidden="1" x14ac:dyDescent="0.2"/>
    <row r="26253" hidden="1" x14ac:dyDescent="0.2"/>
    <row r="26254" hidden="1" x14ac:dyDescent="0.2"/>
    <row r="26255" hidden="1" x14ac:dyDescent="0.2"/>
    <row r="26256" hidden="1" x14ac:dyDescent="0.2"/>
    <row r="26257" hidden="1" x14ac:dyDescent="0.2"/>
    <row r="26258" hidden="1" x14ac:dyDescent="0.2"/>
    <row r="26259" hidden="1" x14ac:dyDescent="0.2"/>
    <row r="26260" hidden="1" x14ac:dyDescent="0.2"/>
    <row r="26261" hidden="1" x14ac:dyDescent="0.2"/>
    <row r="26262" hidden="1" x14ac:dyDescent="0.2"/>
    <row r="26263" hidden="1" x14ac:dyDescent="0.2"/>
    <row r="26264" hidden="1" x14ac:dyDescent="0.2"/>
    <row r="26265" hidden="1" x14ac:dyDescent="0.2"/>
    <row r="26266" hidden="1" x14ac:dyDescent="0.2"/>
    <row r="26267" hidden="1" x14ac:dyDescent="0.2"/>
    <row r="26268" hidden="1" x14ac:dyDescent="0.2"/>
    <row r="26269" hidden="1" x14ac:dyDescent="0.2"/>
    <row r="26270" hidden="1" x14ac:dyDescent="0.2"/>
    <row r="26271" hidden="1" x14ac:dyDescent="0.2"/>
    <row r="26272" hidden="1" x14ac:dyDescent="0.2"/>
    <row r="26273" hidden="1" x14ac:dyDescent="0.2"/>
    <row r="26274" hidden="1" x14ac:dyDescent="0.2"/>
    <row r="26275" hidden="1" x14ac:dyDescent="0.2"/>
    <row r="26276" hidden="1" x14ac:dyDescent="0.2"/>
    <row r="26277" hidden="1" x14ac:dyDescent="0.2"/>
    <row r="26278" hidden="1" x14ac:dyDescent="0.2"/>
    <row r="26279" hidden="1" x14ac:dyDescent="0.2"/>
    <row r="26280" hidden="1" x14ac:dyDescent="0.2"/>
    <row r="26281" hidden="1" x14ac:dyDescent="0.2"/>
    <row r="26282" hidden="1" x14ac:dyDescent="0.2"/>
    <row r="26283" hidden="1" x14ac:dyDescent="0.2"/>
    <row r="26284" hidden="1" x14ac:dyDescent="0.2"/>
    <row r="26285" hidden="1" x14ac:dyDescent="0.2"/>
    <row r="26286" hidden="1" x14ac:dyDescent="0.2"/>
    <row r="26287" hidden="1" x14ac:dyDescent="0.2"/>
    <row r="26288" hidden="1" x14ac:dyDescent="0.2"/>
    <row r="26289" hidden="1" x14ac:dyDescent="0.2"/>
    <row r="26290" hidden="1" x14ac:dyDescent="0.2"/>
    <row r="26291" hidden="1" x14ac:dyDescent="0.2"/>
    <row r="26292" hidden="1" x14ac:dyDescent="0.2"/>
    <row r="26293" hidden="1" x14ac:dyDescent="0.2"/>
    <row r="26294" hidden="1" x14ac:dyDescent="0.2"/>
    <row r="26295" hidden="1" x14ac:dyDescent="0.2"/>
    <row r="26296" hidden="1" x14ac:dyDescent="0.2"/>
    <row r="26297" hidden="1" x14ac:dyDescent="0.2"/>
    <row r="26298" hidden="1" x14ac:dyDescent="0.2"/>
    <row r="26299" hidden="1" x14ac:dyDescent="0.2"/>
    <row r="26300" hidden="1" x14ac:dyDescent="0.2"/>
    <row r="26301" hidden="1" x14ac:dyDescent="0.2"/>
    <row r="26302" hidden="1" x14ac:dyDescent="0.2"/>
    <row r="26303" hidden="1" x14ac:dyDescent="0.2"/>
    <row r="26304" hidden="1" x14ac:dyDescent="0.2"/>
    <row r="26305" hidden="1" x14ac:dyDescent="0.2"/>
    <row r="26306" hidden="1" x14ac:dyDescent="0.2"/>
    <row r="26307" hidden="1" x14ac:dyDescent="0.2"/>
    <row r="26308" hidden="1" x14ac:dyDescent="0.2"/>
    <row r="26309" hidden="1" x14ac:dyDescent="0.2"/>
    <row r="26310" hidden="1" x14ac:dyDescent="0.2"/>
    <row r="26311" hidden="1" x14ac:dyDescent="0.2"/>
    <row r="26312" hidden="1" x14ac:dyDescent="0.2"/>
    <row r="26313" hidden="1" x14ac:dyDescent="0.2"/>
    <row r="26314" hidden="1" x14ac:dyDescent="0.2"/>
    <row r="26315" hidden="1" x14ac:dyDescent="0.2"/>
    <row r="26316" hidden="1" x14ac:dyDescent="0.2"/>
    <row r="26317" hidden="1" x14ac:dyDescent="0.2"/>
    <row r="26318" hidden="1" x14ac:dyDescent="0.2"/>
    <row r="26319" hidden="1" x14ac:dyDescent="0.2"/>
    <row r="26320" hidden="1" x14ac:dyDescent="0.2"/>
    <row r="26321" hidden="1" x14ac:dyDescent="0.2"/>
    <row r="26322" hidden="1" x14ac:dyDescent="0.2"/>
    <row r="26323" hidden="1" x14ac:dyDescent="0.2"/>
    <row r="26324" hidden="1" x14ac:dyDescent="0.2"/>
    <row r="26325" hidden="1" x14ac:dyDescent="0.2"/>
    <row r="26326" hidden="1" x14ac:dyDescent="0.2"/>
    <row r="26327" hidden="1" x14ac:dyDescent="0.2"/>
    <row r="26328" hidden="1" x14ac:dyDescent="0.2"/>
    <row r="26329" hidden="1" x14ac:dyDescent="0.2"/>
    <row r="26330" hidden="1" x14ac:dyDescent="0.2"/>
    <row r="26331" hidden="1" x14ac:dyDescent="0.2"/>
    <row r="26332" hidden="1" x14ac:dyDescent="0.2"/>
    <row r="26333" hidden="1" x14ac:dyDescent="0.2"/>
    <row r="26334" hidden="1" x14ac:dyDescent="0.2"/>
    <row r="26335" hidden="1" x14ac:dyDescent="0.2"/>
    <row r="26336" hidden="1" x14ac:dyDescent="0.2"/>
    <row r="26337" hidden="1" x14ac:dyDescent="0.2"/>
    <row r="26338" hidden="1" x14ac:dyDescent="0.2"/>
    <row r="26339" hidden="1" x14ac:dyDescent="0.2"/>
    <row r="26340" hidden="1" x14ac:dyDescent="0.2"/>
    <row r="26341" hidden="1" x14ac:dyDescent="0.2"/>
    <row r="26342" hidden="1" x14ac:dyDescent="0.2"/>
    <row r="26343" hidden="1" x14ac:dyDescent="0.2"/>
    <row r="26344" hidden="1" x14ac:dyDescent="0.2"/>
    <row r="26345" hidden="1" x14ac:dyDescent="0.2"/>
    <row r="26346" hidden="1" x14ac:dyDescent="0.2"/>
    <row r="26347" hidden="1" x14ac:dyDescent="0.2"/>
    <row r="26348" hidden="1" x14ac:dyDescent="0.2"/>
    <row r="26349" hidden="1" x14ac:dyDescent="0.2"/>
    <row r="26350" hidden="1" x14ac:dyDescent="0.2"/>
    <row r="26351" hidden="1" x14ac:dyDescent="0.2"/>
    <row r="26352" hidden="1" x14ac:dyDescent="0.2"/>
    <row r="26353" hidden="1" x14ac:dyDescent="0.2"/>
    <row r="26354" hidden="1" x14ac:dyDescent="0.2"/>
    <row r="26355" hidden="1" x14ac:dyDescent="0.2"/>
    <row r="26356" hidden="1" x14ac:dyDescent="0.2"/>
    <row r="26357" hidden="1" x14ac:dyDescent="0.2"/>
    <row r="26358" hidden="1" x14ac:dyDescent="0.2"/>
    <row r="26359" hidden="1" x14ac:dyDescent="0.2"/>
    <row r="26360" hidden="1" x14ac:dyDescent="0.2"/>
    <row r="26361" hidden="1" x14ac:dyDescent="0.2"/>
    <row r="26362" hidden="1" x14ac:dyDescent="0.2"/>
    <row r="26363" hidden="1" x14ac:dyDescent="0.2"/>
    <row r="26364" hidden="1" x14ac:dyDescent="0.2"/>
    <row r="26365" hidden="1" x14ac:dyDescent="0.2"/>
    <row r="26366" hidden="1" x14ac:dyDescent="0.2"/>
    <row r="26367" hidden="1" x14ac:dyDescent="0.2"/>
    <row r="26368" hidden="1" x14ac:dyDescent="0.2"/>
    <row r="26369" hidden="1" x14ac:dyDescent="0.2"/>
    <row r="26370" hidden="1" x14ac:dyDescent="0.2"/>
    <row r="26371" hidden="1" x14ac:dyDescent="0.2"/>
    <row r="26372" hidden="1" x14ac:dyDescent="0.2"/>
    <row r="26373" hidden="1" x14ac:dyDescent="0.2"/>
    <row r="26374" hidden="1" x14ac:dyDescent="0.2"/>
    <row r="26375" hidden="1" x14ac:dyDescent="0.2"/>
    <row r="26376" hidden="1" x14ac:dyDescent="0.2"/>
    <row r="26377" hidden="1" x14ac:dyDescent="0.2"/>
    <row r="26378" hidden="1" x14ac:dyDescent="0.2"/>
    <row r="26379" hidden="1" x14ac:dyDescent="0.2"/>
    <row r="26380" hidden="1" x14ac:dyDescent="0.2"/>
    <row r="26381" hidden="1" x14ac:dyDescent="0.2"/>
    <row r="26382" hidden="1" x14ac:dyDescent="0.2"/>
    <row r="26383" hidden="1" x14ac:dyDescent="0.2"/>
    <row r="26384" hidden="1" x14ac:dyDescent="0.2"/>
    <row r="26385" hidden="1" x14ac:dyDescent="0.2"/>
    <row r="26386" hidden="1" x14ac:dyDescent="0.2"/>
    <row r="26387" hidden="1" x14ac:dyDescent="0.2"/>
    <row r="26388" hidden="1" x14ac:dyDescent="0.2"/>
    <row r="26389" hidden="1" x14ac:dyDescent="0.2"/>
    <row r="26390" hidden="1" x14ac:dyDescent="0.2"/>
    <row r="26391" hidden="1" x14ac:dyDescent="0.2"/>
    <row r="26392" hidden="1" x14ac:dyDescent="0.2"/>
    <row r="26393" hidden="1" x14ac:dyDescent="0.2"/>
    <row r="26394" hidden="1" x14ac:dyDescent="0.2"/>
    <row r="26395" hidden="1" x14ac:dyDescent="0.2"/>
    <row r="26396" hidden="1" x14ac:dyDescent="0.2"/>
    <row r="26397" hidden="1" x14ac:dyDescent="0.2"/>
    <row r="26398" hidden="1" x14ac:dyDescent="0.2"/>
    <row r="26399" hidden="1" x14ac:dyDescent="0.2"/>
    <row r="26400" hidden="1" x14ac:dyDescent="0.2"/>
    <row r="26401" hidden="1" x14ac:dyDescent="0.2"/>
    <row r="26402" hidden="1" x14ac:dyDescent="0.2"/>
    <row r="26403" hidden="1" x14ac:dyDescent="0.2"/>
    <row r="26404" hidden="1" x14ac:dyDescent="0.2"/>
    <row r="26405" hidden="1" x14ac:dyDescent="0.2"/>
    <row r="26406" hidden="1" x14ac:dyDescent="0.2"/>
    <row r="26407" hidden="1" x14ac:dyDescent="0.2"/>
    <row r="26408" hidden="1" x14ac:dyDescent="0.2"/>
    <row r="26409" hidden="1" x14ac:dyDescent="0.2"/>
    <row r="26410" hidden="1" x14ac:dyDescent="0.2"/>
    <row r="26411" hidden="1" x14ac:dyDescent="0.2"/>
    <row r="26412" hidden="1" x14ac:dyDescent="0.2"/>
    <row r="26413" hidden="1" x14ac:dyDescent="0.2"/>
    <row r="26414" hidden="1" x14ac:dyDescent="0.2"/>
    <row r="26415" hidden="1" x14ac:dyDescent="0.2"/>
    <row r="26416" hidden="1" x14ac:dyDescent="0.2"/>
    <row r="26417" hidden="1" x14ac:dyDescent="0.2"/>
    <row r="26418" hidden="1" x14ac:dyDescent="0.2"/>
    <row r="26419" hidden="1" x14ac:dyDescent="0.2"/>
    <row r="26420" hidden="1" x14ac:dyDescent="0.2"/>
    <row r="26421" hidden="1" x14ac:dyDescent="0.2"/>
    <row r="26422" hidden="1" x14ac:dyDescent="0.2"/>
    <row r="26423" hidden="1" x14ac:dyDescent="0.2"/>
    <row r="26424" hidden="1" x14ac:dyDescent="0.2"/>
    <row r="26425" hidden="1" x14ac:dyDescent="0.2"/>
    <row r="26426" hidden="1" x14ac:dyDescent="0.2"/>
    <row r="26427" hidden="1" x14ac:dyDescent="0.2"/>
    <row r="26428" hidden="1" x14ac:dyDescent="0.2"/>
    <row r="26429" hidden="1" x14ac:dyDescent="0.2"/>
    <row r="26430" hidden="1" x14ac:dyDescent="0.2"/>
    <row r="26431" hidden="1" x14ac:dyDescent="0.2"/>
    <row r="26432" hidden="1" x14ac:dyDescent="0.2"/>
    <row r="26433" hidden="1" x14ac:dyDescent="0.2"/>
    <row r="26434" hidden="1" x14ac:dyDescent="0.2"/>
    <row r="26435" hidden="1" x14ac:dyDescent="0.2"/>
    <row r="26436" hidden="1" x14ac:dyDescent="0.2"/>
    <row r="26437" hidden="1" x14ac:dyDescent="0.2"/>
    <row r="26438" hidden="1" x14ac:dyDescent="0.2"/>
    <row r="26439" hidden="1" x14ac:dyDescent="0.2"/>
    <row r="26440" hidden="1" x14ac:dyDescent="0.2"/>
    <row r="26441" hidden="1" x14ac:dyDescent="0.2"/>
    <row r="26442" hidden="1" x14ac:dyDescent="0.2"/>
    <row r="26443" hidden="1" x14ac:dyDescent="0.2"/>
    <row r="26444" hidden="1" x14ac:dyDescent="0.2"/>
    <row r="26445" hidden="1" x14ac:dyDescent="0.2"/>
    <row r="26446" hidden="1" x14ac:dyDescent="0.2"/>
    <row r="26447" hidden="1" x14ac:dyDescent="0.2"/>
    <row r="26448" hidden="1" x14ac:dyDescent="0.2"/>
    <row r="26449" hidden="1" x14ac:dyDescent="0.2"/>
    <row r="26450" hidden="1" x14ac:dyDescent="0.2"/>
    <row r="26451" hidden="1" x14ac:dyDescent="0.2"/>
    <row r="26452" hidden="1" x14ac:dyDescent="0.2"/>
    <row r="26453" hidden="1" x14ac:dyDescent="0.2"/>
    <row r="26454" hidden="1" x14ac:dyDescent="0.2"/>
    <row r="26455" hidden="1" x14ac:dyDescent="0.2"/>
    <row r="26456" hidden="1" x14ac:dyDescent="0.2"/>
    <row r="26457" hidden="1" x14ac:dyDescent="0.2"/>
    <row r="26458" hidden="1" x14ac:dyDescent="0.2"/>
    <row r="26459" hidden="1" x14ac:dyDescent="0.2"/>
    <row r="26460" hidden="1" x14ac:dyDescent="0.2"/>
    <row r="26461" hidden="1" x14ac:dyDescent="0.2"/>
    <row r="26462" hidden="1" x14ac:dyDescent="0.2"/>
    <row r="26463" hidden="1" x14ac:dyDescent="0.2"/>
    <row r="26464" hidden="1" x14ac:dyDescent="0.2"/>
    <row r="26465" hidden="1" x14ac:dyDescent="0.2"/>
    <row r="26466" hidden="1" x14ac:dyDescent="0.2"/>
    <row r="26467" hidden="1" x14ac:dyDescent="0.2"/>
    <row r="26468" hidden="1" x14ac:dyDescent="0.2"/>
    <row r="26469" hidden="1" x14ac:dyDescent="0.2"/>
    <row r="26470" hidden="1" x14ac:dyDescent="0.2"/>
    <row r="26471" hidden="1" x14ac:dyDescent="0.2"/>
    <row r="26472" hidden="1" x14ac:dyDescent="0.2"/>
    <row r="26473" hidden="1" x14ac:dyDescent="0.2"/>
    <row r="26474" hidden="1" x14ac:dyDescent="0.2"/>
    <row r="26475" hidden="1" x14ac:dyDescent="0.2"/>
    <row r="26476" hidden="1" x14ac:dyDescent="0.2"/>
    <row r="26477" hidden="1" x14ac:dyDescent="0.2"/>
    <row r="26478" hidden="1" x14ac:dyDescent="0.2"/>
    <row r="26479" hidden="1" x14ac:dyDescent="0.2"/>
    <row r="26480" hidden="1" x14ac:dyDescent="0.2"/>
    <row r="26481" hidden="1" x14ac:dyDescent="0.2"/>
    <row r="26482" hidden="1" x14ac:dyDescent="0.2"/>
    <row r="26483" hidden="1" x14ac:dyDescent="0.2"/>
    <row r="26484" hidden="1" x14ac:dyDescent="0.2"/>
    <row r="26485" hidden="1" x14ac:dyDescent="0.2"/>
    <row r="26486" hidden="1" x14ac:dyDescent="0.2"/>
    <row r="26487" hidden="1" x14ac:dyDescent="0.2"/>
    <row r="26488" hidden="1" x14ac:dyDescent="0.2"/>
    <row r="26489" hidden="1" x14ac:dyDescent="0.2"/>
    <row r="26490" hidden="1" x14ac:dyDescent="0.2"/>
    <row r="26491" hidden="1" x14ac:dyDescent="0.2"/>
    <row r="26492" hidden="1" x14ac:dyDescent="0.2"/>
    <row r="26493" hidden="1" x14ac:dyDescent="0.2"/>
    <row r="26494" hidden="1" x14ac:dyDescent="0.2"/>
    <row r="26495" hidden="1" x14ac:dyDescent="0.2"/>
    <row r="26496" hidden="1" x14ac:dyDescent="0.2"/>
    <row r="26497" hidden="1" x14ac:dyDescent="0.2"/>
    <row r="26498" hidden="1" x14ac:dyDescent="0.2"/>
    <row r="26499" hidden="1" x14ac:dyDescent="0.2"/>
    <row r="26500" hidden="1" x14ac:dyDescent="0.2"/>
    <row r="26501" hidden="1" x14ac:dyDescent="0.2"/>
    <row r="26502" hidden="1" x14ac:dyDescent="0.2"/>
    <row r="26503" hidden="1" x14ac:dyDescent="0.2"/>
    <row r="26504" hidden="1" x14ac:dyDescent="0.2"/>
    <row r="26505" hidden="1" x14ac:dyDescent="0.2"/>
    <row r="26506" hidden="1" x14ac:dyDescent="0.2"/>
    <row r="26507" hidden="1" x14ac:dyDescent="0.2"/>
    <row r="26508" hidden="1" x14ac:dyDescent="0.2"/>
    <row r="26509" hidden="1" x14ac:dyDescent="0.2"/>
    <row r="26510" hidden="1" x14ac:dyDescent="0.2"/>
    <row r="26511" hidden="1" x14ac:dyDescent="0.2"/>
    <row r="26512" hidden="1" x14ac:dyDescent="0.2"/>
    <row r="26513" hidden="1" x14ac:dyDescent="0.2"/>
    <row r="26514" hidden="1" x14ac:dyDescent="0.2"/>
    <row r="26515" hidden="1" x14ac:dyDescent="0.2"/>
    <row r="26516" hidden="1" x14ac:dyDescent="0.2"/>
    <row r="26517" hidden="1" x14ac:dyDescent="0.2"/>
    <row r="26518" hidden="1" x14ac:dyDescent="0.2"/>
    <row r="26519" hidden="1" x14ac:dyDescent="0.2"/>
    <row r="26520" hidden="1" x14ac:dyDescent="0.2"/>
    <row r="26521" hidden="1" x14ac:dyDescent="0.2"/>
    <row r="26522" hidden="1" x14ac:dyDescent="0.2"/>
    <row r="26523" hidden="1" x14ac:dyDescent="0.2"/>
    <row r="26524" hidden="1" x14ac:dyDescent="0.2"/>
    <row r="26525" hidden="1" x14ac:dyDescent="0.2"/>
    <row r="26526" hidden="1" x14ac:dyDescent="0.2"/>
    <row r="26527" hidden="1" x14ac:dyDescent="0.2"/>
    <row r="26528" hidden="1" x14ac:dyDescent="0.2"/>
    <row r="26529" hidden="1" x14ac:dyDescent="0.2"/>
    <row r="26530" hidden="1" x14ac:dyDescent="0.2"/>
    <row r="26531" hidden="1" x14ac:dyDescent="0.2"/>
    <row r="26532" hidden="1" x14ac:dyDescent="0.2"/>
    <row r="26533" hidden="1" x14ac:dyDescent="0.2"/>
    <row r="26534" hidden="1" x14ac:dyDescent="0.2"/>
    <row r="26535" hidden="1" x14ac:dyDescent="0.2"/>
    <row r="26536" hidden="1" x14ac:dyDescent="0.2"/>
    <row r="26537" hidden="1" x14ac:dyDescent="0.2"/>
    <row r="26538" hidden="1" x14ac:dyDescent="0.2"/>
    <row r="26539" hidden="1" x14ac:dyDescent="0.2"/>
    <row r="26540" hidden="1" x14ac:dyDescent="0.2"/>
    <row r="26541" hidden="1" x14ac:dyDescent="0.2"/>
    <row r="26542" hidden="1" x14ac:dyDescent="0.2"/>
    <row r="26543" hidden="1" x14ac:dyDescent="0.2"/>
    <row r="26544" hidden="1" x14ac:dyDescent="0.2"/>
    <row r="26545" hidden="1" x14ac:dyDescent="0.2"/>
    <row r="26546" hidden="1" x14ac:dyDescent="0.2"/>
    <row r="26547" hidden="1" x14ac:dyDescent="0.2"/>
    <row r="26548" hidden="1" x14ac:dyDescent="0.2"/>
    <row r="26549" hidden="1" x14ac:dyDescent="0.2"/>
    <row r="26550" hidden="1" x14ac:dyDescent="0.2"/>
    <row r="26551" hidden="1" x14ac:dyDescent="0.2"/>
    <row r="26552" hidden="1" x14ac:dyDescent="0.2"/>
    <row r="26553" hidden="1" x14ac:dyDescent="0.2"/>
    <row r="26554" hidden="1" x14ac:dyDescent="0.2"/>
    <row r="26555" hidden="1" x14ac:dyDescent="0.2"/>
    <row r="26556" hidden="1" x14ac:dyDescent="0.2"/>
    <row r="26557" hidden="1" x14ac:dyDescent="0.2"/>
    <row r="26558" hidden="1" x14ac:dyDescent="0.2"/>
    <row r="26559" hidden="1" x14ac:dyDescent="0.2"/>
    <row r="26560" hidden="1" x14ac:dyDescent="0.2"/>
    <row r="26561" hidden="1" x14ac:dyDescent="0.2"/>
    <row r="26562" hidden="1" x14ac:dyDescent="0.2"/>
    <row r="26563" hidden="1" x14ac:dyDescent="0.2"/>
    <row r="26564" hidden="1" x14ac:dyDescent="0.2"/>
    <row r="26565" hidden="1" x14ac:dyDescent="0.2"/>
    <row r="26566" hidden="1" x14ac:dyDescent="0.2"/>
    <row r="26567" hidden="1" x14ac:dyDescent="0.2"/>
    <row r="26568" hidden="1" x14ac:dyDescent="0.2"/>
    <row r="26569" hidden="1" x14ac:dyDescent="0.2"/>
    <row r="26570" hidden="1" x14ac:dyDescent="0.2"/>
    <row r="26571" hidden="1" x14ac:dyDescent="0.2"/>
    <row r="26572" hidden="1" x14ac:dyDescent="0.2"/>
    <row r="26573" hidden="1" x14ac:dyDescent="0.2"/>
    <row r="26574" hidden="1" x14ac:dyDescent="0.2"/>
    <row r="26575" hidden="1" x14ac:dyDescent="0.2"/>
    <row r="26576" hidden="1" x14ac:dyDescent="0.2"/>
    <row r="26577" hidden="1" x14ac:dyDescent="0.2"/>
    <row r="26578" hidden="1" x14ac:dyDescent="0.2"/>
    <row r="26579" hidden="1" x14ac:dyDescent="0.2"/>
    <row r="26580" hidden="1" x14ac:dyDescent="0.2"/>
    <row r="26581" hidden="1" x14ac:dyDescent="0.2"/>
    <row r="26582" hidden="1" x14ac:dyDescent="0.2"/>
    <row r="26583" hidden="1" x14ac:dyDescent="0.2"/>
    <row r="26584" hidden="1" x14ac:dyDescent="0.2"/>
    <row r="26585" hidden="1" x14ac:dyDescent="0.2"/>
    <row r="26586" hidden="1" x14ac:dyDescent="0.2"/>
    <row r="26587" hidden="1" x14ac:dyDescent="0.2"/>
    <row r="26588" hidden="1" x14ac:dyDescent="0.2"/>
    <row r="26589" hidden="1" x14ac:dyDescent="0.2"/>
    <row r="26590" hidden="1" x14ac:dyDescent="0.2"/>
    <row r="26591" hidden="1" x14ac:dyDescent="0.2"/>
    <row r="26592" hidden="1" x14ac:dyDescent="0.2"/>
    <row r="26593" hidden="1" x14ac:dyDescent="0.2"/>
    <row r="26594" hidden="1" x14ac:dyDescent="0.2"/>
    <row r="26595" hidden="1" x14ac:dyDescent="0.2"/>
    <row r="26596" hidden="1" x14ac:dyDescent="0.2"/>
    <row r="26597" hidden="1" x14ac:dyDescent="0.2"/>
    <row r="26598" hidden="1" x14ac:dyDescent="0.2"/>
    <row r="26599" hidden="1" x14ac:dyDescent="0.2"/>
    <row r="26600" hidden="1" x14ac:dyDescent="0.2"/>
    <row r="26601" hidden="1" x14ac:dyDescent="0.2"/>
    <row r="26602" hidden="1" x14ac:dyDescent="0.2"/>
    <row r="26603" hidden="1" x14ac:dyDescent="0.2"/>
    <row r="26604" hidden="1" x14ac:dyDescent="0.2"/>
    <row r="26605" hidden="1" x14ac:dyDescent="0.2"/>
    <row r="26606" hidden="1" x14ac:dyDescent="0.2"/>
    <row r="26607" hidden="1" x14ac:dyDescent="0.2"/>
    <row r="26608" hidden="1" x14ac:dyDescent="0.2"/>
    <row r="26609" hidden="1" x14ac:dyDescent="0.2"/>
    <row r="26610" hidden="1" x14ac:dyDescent="0.2"/>
    <row r="26611" hidden="1" x14ac:dyDescent="0.2"/>
    <row r="26612" hidden="1" x14ac:dyDescent="0.2"/>
    <row r="26613" hidden="1" x14ac:dyDescent="0.2"/>
    <row r="26614" hidden="1" x14ac:dyDescent="0.2"/>
    <row r="26615" hidden="1" x14ac:dyDescent="0.2"/>
    <row r="26616" hidden="1" x14ac:dyDescent="0.2"/>
    <row r="26617" hidden="1" x14ac:dyDescent="0.2"/>
    <row r="26618" hidden="1" x14ac:dyDescent="0.2"/>
    <row r="26619" hidden="1" x14ac:dyDescent="0.2"/>
    <row r="26620" hidden="1" x14ac:dyDescent="0.2"/>
    <row r="26621" hidden="1" x14ac:dyDescent="0.2"/>
    <row r="26622" hidden="1" x14ac:dyDescent="0.2"/>
    <row r="26623" hidden="1" x14ac:dyDescent="0.2"/>
    <row r="26624" hidden="1" x14ac:dyDescent="0.2"/>
    <row r="26625" hidden="1" x14ac:dyDescent="0.2"/>
    <row r="26626" hidden="1" x14ac:dyDescent="0.2"/>
    <row r="26627" hidden="1" x14ac:dyDescent="0.2"/>
    <row r="26628" hidden="1" x14ac:dyDescent="0.2"/>
    <row r="26629" hidden="1" x14ac:dyDescent="0.2"/>
    <row r="26630" hidden="1" x14ac:dyDescent="0.2"/>
    <row r="26631" hidden="1" x14ac:dyDescent="0.2"/>
    <row r="26632" hidden="1" x14ac:dyDescent="0.2"/>
    <row r="26633" hidden="1" x14ac:dyDescent="0.2"/>
    <row r="26634" hidden="1" x14ac:dyDescent="0.2"/>
    <row r="26635" hidden="1" x14ac:dyDescent="0.2"/>
    <row r="26636" hidden="1" x14ac:dyDescent="0.2"/>
    <row r="26637" hidden="1" x14ac:dyDescent="0.2"/>
    <row r="26638" hidden="1" x14ac:dyDescent="0.2"/>
    <row r="26639" hidden="1" x14ac:dyDescent="0.2"/>
    <row r="26640" hidden="1" x14ac:dyDescent="0.2"/>
    <row r="26641" hidden="1" x14ac:dyDescent="0.2"/>
    <row r="26642" hidden="1" x14ac:dyDescent="0.2"/>
    <row r="26643" hidden="1" x14ac:dyDescent="0.2"/>
    <row r="26644" hidden="1" x14ac:dyDescent="0.2"/>
    <row r="26645" hidden="1" x14ac:dyDescent="0.2"/>
    <row r="26646" hidden="1" x14ac:dyDescent="0.2"/>
    <row r="26647" hidden="1" x14ac:dyDescent="0.2"/>
    <row r="26648" hidden="1" x14ac:dyDescent="0.2"/>
    <row r="26649" hidden="1" x14ac:dyDescent="0.2"/>
    <row r="26650" hidden="1" x14ac:dyDescent="0.2"/>
    <row r="26651" hidden="1" x14ac:dyDescent="0.2"/>
    <row r="26652" hidden="1" x14ac:dyDescent="0.2"/>
    <row r="26653" hidden="1" x14ac:dyDescent="0.2"/>
    <row r="26654" hidden="1" x14ac:dyDescent="0.2"/>
    <row r="26655" hidden="1" x14ac:dyDescent="0.2"/>
    <row r="26656" hidden="1" x14ac:dyDescent="0.2"/>
    <row r="26657" hidden="1" x14ac:dyDescent="0.2"/>
    <row r="26658" hidden="1" x14ac:dyDescent="0.2"/>
    <row r="26659" hidden="1" x14ac:dyDescent="0.2"/>
    <row r="26660" hidden="1" x14ac:dyDescent="0.2"/>
    <row r="26661" hidden="1" x14ac:dyDescent="0.2"/>
    <row r="26662" hidden="1" x14ac:dyDescent="0.2"/>
    <row r="26663" hidden="1" x14ac:dyDescent="0.2"/>
    <row r="26664" hidden="1" x14ac:dyDescent="0.2"/>
    <row r="26665" hidden="1" x14ac:dyDescent="0.2"/>
    <row r="26666" hidden="1" x14ac:dyDescent="0.2"/>
    <row r="26667" hidden="1" x14ac:dyDescent="0.2"/>
    <row r="26668" hidden="1" x14ac:dyDescent="0.2"/>
    <row r="26669" hidden="1" x14ac:dyDescent="0.2"/>
    <row r="26670" hidden="1" x14ac:dyDescent="0.2"/>
    <row r="26671" hidden="1" x14ac:dyDescent="0.2"/>
    <row r="26672" hidden="1" x14ac:dyDescent="0.2"/>
    <row r="26673" hidden="1" x14ac:dyDescent="0.2"/>
    <row r="26674" hidden="1" x14ac:dyDescent="0.2"/>
    <row r="26675" hidden="1" x14ac:dyDescent="0.2"/>
    <row r="26676" hidden="1" x14ac:dyDescent="0.2"/>
    <row r="26677" hidden="1" x14ac:dyDescent="0.2"/>
    <row r="26678" hidden="1" x14ac:dyDescent="0.2"/>
    <row r="26679" hidden="1" x14ac:dyDescent="0.2"/>
    <row r="26680" hidden="1" x14ac:dyDescent="0.2"/>
    <row r="26681" hidden="1" x14ac:dyDescent="0.2"/>
    <row r="26682" hidden="1" x14ac:dyDescent="0.2"/>
    <row r="26683" hidden="1" x14ac:dyDescent="0.2"/>
    <row r="26684" hidden="1" x14ac:dyDescent="0.2"/>
    <row r="26685" hidden="1" x14ac:dyDescent="0.2"/>
    <row r="26686" hidden="1" x14ac:dyDescent="0.2"/>
    <row r="26687" hidden="1" x14ac:dyDescent="0.2"/>
    <row r="26688" hidden="1" x14ac:dyDescent="0.2"/>
    <row r="26689" hidden="1" x14ac:dyDescent="0.2"/>
    <row r="26690" hidden="1" x14ac:dyDescent="0.2"/>
    <row r="26691" hidden="1" x14ac:dyDescent="0.2"/>
    <row r="26692" hidden="1" x14ac:dyDescent="0.2"/>
    <row r="26693" hidden="1" x14ac:dyDescent="0.2"/>
    <row r="26694" hidden="1" x14ac:dyDescent="0.2"/>
    <row r="26695" hidden="1" x14ac:dyDescent="0.2"/>
    <row r="26696" hidden="1" x14ac:dyDescent="0.2"/>
    <row r="26697" hidden="1" x14ac:dyDescent="0.2"/>
    <row r="26698" hidden="1" x14ac:dyDescent="0.2"/>
    <row r="26699" hidden="1" x14ac:dyDescent="0.2"/>
    <row r="26700" hidden="1" x14ac:dyDescent="0.2"/>
    <row r="26701" hidden="1" x14ac:dyDescent="0.2"/>
    <row r="26702" hidden="1" x14ac:dyDescent="0.2"/>
    <row r="26703" hidden="1" x14ac:dyDescent="0.2"/>
    <row r="26704" hidden="1" x14ac:dyDescent="0.2"/>
    <row r="26705" hidden="1" x14ac:dyDescent="0.2"/>
    <row r="26706" hidden="1" x14ac:dyDescent="0.2"/>
    <row r="26707" hidden="1" x14ac:dyDescent="0.2"/>
    <row r="26708" hidden="1" x14ac:dyDescent="0.2"/>
    <row r="26709" hidden="1" x14ac:dyDescent="0.2"/>
    <row r="26710" hidden="1" x14ac:dyDescent="0.2"/>
    <row r="26711" hidden="1" x14ac:dyDescent="0.2"/>
    <row r="26712" hidden="1" x14ac:dyDescent="0.2"/>
    <row r="26713" hidden="1" x14ac:dyDescent="0.2"/>
    <row r="26714" hidden="1" x14ac:dyDescent="0.2"/>
    <row r="26715" hidden="1" x14ac:dyDescent="0.2"/>
    <row r="26716" hidden="1" x14ac:dyDescent="0.2"/>
    <row r="26717" hidden="1" x14ac:dyDescent="0.2"/>
    <row r="26718" hidden="1" x14ac:dyDescent="0.2"/>
    <row r="26719" hidden="1" x14ac:dyDescent="0.2"/>
    <row r="26720" hidden="1" x14ac:dyDescent="0.2"/>
    <row r="26721" hidden="1" x14ac:dyDescent="0.2"/>
    <row r="26722" hidden="1" x14ac:dyDescent="0.2"/>
    <row r="26723" hidden="1" x14ac:dyDescent="0.2"/>
    <row r="26724" hidden="1" x14ac:dyDescent="0.2"/>
    <row r="26725" hidden="1" x14ac:dyDescent="0.2"/>
    <row r="26726" hidden="1" x14ac:dyDescent="0.2"/>
    <row r="26727" hidden="1" x14ac:dyDescent="0.2"/>
    <row r="26728" hidden="1" x14ac:dyDescent="0.2"/>
    <row r="26729" hidden="1" x14ac:dyDescent="0.2"/>
    <row r="26730" hidden="1" x14ac:dyDescent="0.2"/>
    <row r="26731" hidden="1" x14ac:dyDescent="0.2"/>
    <row r="26732" hidden="1" x14ac:dyDescent="0.2"/>
    <row r="26733" hidden="1" x14ac:dyDescent="0.2"/>
    <row r="26734" hidden="1" x14ac:dyDescent="0.2"/>
    <row r="26735" hidden="1" x14ac:dyDescent="0.2"/>
    <row r="26736" hidden="1" x14ac:dyDescent="0.2"/>
    <row r="26737" hidden="1" x14ac:dyDescent="0.2"/>
    <row r="26738" hidden="1" x14ac:dyDescent="0.2"/>
    <row r="26739" hidden="1" x14ac:dyDescent="0.2"/>
    <row r="26740" hidden="1" x14ac:dyDescent="0.2"/>
    <row r="26741" hidden="1" x14ac:dyDescent="0.2"/>
    <row r="26742" hidden="1" x14ac:dyDescent="0.2"/>
    <row r="26743" hidden="1" x14ac:dyDescent="0.2"/>
    <row r="26744" hidden="1" x14ac:dyDescent="0.2"/>
    <row r="26745" hidden="1" x14ac:dyDescent="0.2"/>
    <row r="26746" hidden="1" x14ac:dyDescent="0.2"/>
    <row r="26747" hidden="1" x14ac:dyDescent="0.2"/>
    <row r="26748" hidden="1" x14ac:dyDescent="0.2"/>
    <row r="26749" hidden="1" x14ac:dyDescent="0.2"/>
    <row r="26750" hidden="1" x14ac:dyDescent="0.2"/>
    <row r="26751" hidden="1" x14ac:dyDescent="0.2"/>
    <row r="26752" hidden="1" x14ac:dyDescent="0.2"/>
    <row r="26753" hidden="1" x14ac:dyDescent="0.2"/>
    <row r="26754" hidden="1" x14ac:dyDescent="0.2"/>
    <row r="26755" hidden="1" x14ac:dyDescent="0.2"/>
    <row r="26756" hidden="1" x14ac:dyDescent="0.2"/>
    <row r="26757" hidden="1" x14ac:dyDescent="0.2"/>
    <row r="26758" hidden="1" x14ac:dyDescent="0.2"/>
    <row r="26759" hidden="1" x14ac:dyDescent="0.2"/>
    <row r="26760" hidden="1" x14ac:dyDescent="0.2"/>
    <row r="26761" hidden="1" x14ac:dyDescent="0.2"/>
    <row r="26762" hidden="1" x14ac:dyDescent="0.2"/>
    <row r="26763" hidden="1" x14ac:dyDescent="0.2"/>
    <row r="26764" hidden="1" x14ac:dyDescent="0.2"/>
    <row r="26765" hidden="1" x14ac:dyDescent="0.2"/>
    <row r="26766" hidden="1" x14ac:dyDescent="0.2"/>
    <row r="26767" hidden="1" x14ac:dyDescent="0.2"/>
    <row r="26768" hidden="1" x14ac:dyDescent="0.2"/>
    <row r="26769" hidden="1" x14ac:dyDescent="0.2"/>
    <row r="26770" hidden="1" x14ac:dyDescent="0.2"/>
    <row r="26771" hidden="1" x14ac:dyDescent="0.2"/>
    <row r="26772" hidden="1" x14ac:dyDescent="0.2"/>
    <row r="26773" hidden="1" x14ac:dyDescent="0.2"/>
    <row r="26774" hidden="1" x14ac:dyDescent="0.2"/>
    <row r="26775" hidden="1" x14ac:dyDescent="0.2"/>
    <row r="26776" hidden="1" x14ac:dyDescent="0.2"/>
    <row r="26777" hidden="1" x14ac:dyDescent="0.2"/>
    <row r="26778" hidden="1" x14ac:dyDescent="0.2"/>
    <row r="26779" hidden="1" x14ac:dyDescent="0.2"/>
    <row r="26780" hidden="1" x14ac:dyDescent="0.2"/>
    <row r="26781" hidden="1" x14ac:dyDescent="0.2"/>
    <row r="26782" hidden="1" x14ac:dyDescent="0.2"/>
    <row r="26783" hidden="1" x14ac:dyDescent="0.2"/>
    <row r="26784" hidden="1" x14ac:dyDescent="0.2"/>
    <row r="26785" hidden="1" x14ac:dyDescent="0.2"/>
    <row r="26786" hidden="1" x14ac:dyDescent="0.2"/>
    <row r="26787" hidden="1" x14ac:dyDescent="0.2"/>
    <row r="26788" hidden="1" x14ac:dyDescent="0.2"/>
    <row r="26789" hidden="1" x14ac:dyDescent="0.2"/>
    <row r="26790" hidden="1" x14ac:dyDescent="0.2"/>
    <row r="26791" hidden="1" x14ac:dyDescent="0.2"/>
    <row r="26792" hidden="1" x14ac:dyDescent="0.2"/>
    <row r="26793" hidden="1" x14ac:dyDescent="0.2"/>
    <row r="26794" hidden="1" x14ac:dyDescent="0.2"/>
    <row r="26795" hidden="1" x14ac:dyDescent="0.2"/>
    <row r="26796" hidden="1" x14ac:dyDescent="0.2"/>
    <row r="26797" hidden="1" x14ac:dyDescent="0.2"/>
    <row r="26798" hidden="1" x14ac:dyDescent="0.2"/>
    <row r="26799" hidden="1" x14ac:dyDescent="0.2"/>
    <row r="26800" hidden="1" x14ac:dyDescent="0.2"/>
    <row r="26801" hidden="1" x14ac:dyDescent="0.2"/>
    <row r="26802" hidden="1" x14ac:dyDescent="0.2"/>
    <row r="26803" hidden="1" x14ac:dyDescent="0.2"/>
    <row r="26804" hidden="1" x14ac:dyDescent="0.2"/>
    <row r="26805" hidden="1" x14ac:dyDescent="0.2"/>
    <row r="26806" hidden="1" x14ac:dyDescent="0.2"/>
    <row r="26807" hidden="1" x14ac:dyDescent="0.2"/>
    <row r="26808" hidden="1" x14ac:dyDescent="0.2"/>
    <row r="26809" hidden="1" x14ac:dyDescent="0.2"/>
    <row r="26810" hidden="1" x14ac:dyDescent="0.2"/>
    <row r="26811" hidden="1" x14ac:dyDescent="0.2"/>
    <row r="26812" hidden="1" x14ac:dyDescent="0.2"/>
    <row r="26813" hidden="1" x14ac:dyDescent="0.2"/>
    <row r="26814" hidden="1" x14ac:dyDescent="0.2"/>
    <row r="26815" hidden="1" x14ac:dyDescent="0.2"/>
    <row r="26816" hidden="1" x14ac:dyDescent="0.2"/>
    <row r="26817" hidden="1" x14ac:dyDescent="0.2"/>
    <row r="26818" hidden="1" x14ac:dyDescent="0.2"/>
    <row r="26819" hidden="1" x14ac:dyDescent="0.2"/>
    <row r="26820" hidden="1" x14ac:dyDescent="0.2"/>
    <row r="26821" hidden="1" x14ac:dyDescent="0.2"/>
    <row r="26822" hidden="1" x14ac:dyDescent="0.2"/>
    <row r="26823" hidden="1" x14ac:dyDescent="0.2"/>
    <row r="26824" hidden="1" x14ac:dyDescent="0.2"/>
    <row r="26825" hidden="1" x14ac:dyDescent="0.2"/>
    <row r="26826" hidden="1" x14ac:dyDescent="0.2"/>
    <row r="26827" hidden="1" x14ac:dyDescent="0.2"/>
    <row r="26828" hidden="1" x14ac:dyDescent="0.2"/>
    <row r="26829" hidden="1" x14ac:dyDescent="0.2"/>
    <row r="26830" hidden="1" x14ac:dyDescent="0.2"/>
    <row r="26831" hidden="1" x14ac:dyDescent="0.2"/>
    <row r="26832" hidden="1" x14ac:dyDescent="0.2"/>
    <row r="26833" hidden="1" x14ac:dyDescent="0.2"/>
    <row r="26834" hidden="1" x14ac:dyDescent="0.2"/>
    <row r="26835" hidden="1" x14ac:dyDescent="0.2"/>
    <row r="26836" hidden="1" x14ac:dyDescent="0.2"/>
    <row r="26837" hidden="1" x14ac:dyDescent="0.2"/>
    <row r="26838" hidden="1" x14ac:dyDescent="0.2"/>
    <row r="26839" hidden="1" x14ac:dyDescent="0.2"/>
    <row r="26840" hidden="1" x14ac:dyDescent="0.2"/>
    <row r="26841" hidden="1" x14ac:dyDescent="0.2"/>
    <row r="26842" hidden="1" x14ac:dyDescent="0.2"/>
    <row r="26843" hidden="1" x14ac:dyDescent="0.2"/>
    <row r="26844" hidden="1" x14ac:dyDescent="0.2"/>
    <row r="26845" hidden="1" x14ac:dyDescent="0.2"/>
    <row r="26846" hidden="1" x14ac:dyDescent="0.2"/>
    <row r="26847" hidden="1" x14ac:dyDescent="0.2"/>
    <row r="26848" hidden="1" x14ac:dyDescent="0.2"/>
    <row r="26849" hidden="1" x14ac:dyDescent="0.2"/>
    <row r="26850" hidden="1" x14ac:dyDescent="0.2"/>
    <row r="26851" hidden="1" x14ac:dyDescent="0.2"/>
    <row r="26852" hidden="1" x14ac:dyDescent="0.2"/>
    <row r="26853" hidden="1" x14ac:dyDescent="0.2"/>
    <row r="26854" hidden="1" x14ac:dyDescent="0.2"/>
    <row r="26855" hidden="1" x14ac:dyDescent="0.2"/>
    <row r="26856" hidden="1" x14ac:dyDescent="0.2"/>
    <row r="26857" hidden="1" x14ac:dyDescent="0.2"/>
    <row r="26858" hidden="1" x14ac:dyDescent="0.2"/>
    <row r="26859" hidden="1" x14ac:dyDescent="0.2"/>
    <row r="26860" hidden="1" x14ac:dyDescent="0.2"/>
    <row r="26861" hidden="1" x14ac:dyDescent="0.2"/>
    <row r="26862" hidden="1" x14ac:dyDescent="0.2"/>
    <row r="26863" hidden="1" x14ac:dyDescent="0.2"/>
    <row r="26864" hidden="1" x14ac:dyDescent="0.2"/>
    <row r="26865" hidden="1" x14ac:dyDescent="0.2"/>
    <row r="26866" hidden="1" x14ac:dyDescent="0.2"/>
    <row r="26867" hidden="1" x14ac:dyDescent="0.2"/>
    <row r="26868" hidden="1" x14ac:dyDescent="0.2"/>
    <row r="26869" hidden="1" x14ac:dyDescent="0.2"/>
    <row r="26870" hidden="1" x14ac:dyDescent="0.2"/>
    <row r="26871" hidden="1" x14ac:dyDescent="0.2"/>
    <row r="26872" hidden="1" x14ac:dyDescent="0.2"/>
    <row r="26873" hidden="1" x14ac:dyDescent="0.2"/>
    <row r="26874" hidden="1" x14ac:dyDescent="0.2"/>
    <row r="26875" hidden="1" x14ac:dyDescent="0.2"/>
    <row r="26876" hidden="1" x14ac:dyDescent="0.2"/>
    <row r="26877" hidden="1" x14ac:dyDescent="0.2"/>
    <row r="26878" hidden="1" x14ac:dyDescent="0.2"/>
    <row r="26879" hidden="1" x14ac:dyDescent="0.2"/>
    <row r="26880" hidden="1" x14ac:dyDescent="0.2"/>
    <row r="26881" hidden="1" x14ac:dyDescent="0.2"/>
    <row r="26882" hidden="1" x14ac:dyDescent="0.2"/>
    <row r="26883" hidden="1" x14ac:dyDescent="0.2"/>
    <row r="26884" hidden="1" x14ac:dyDescent="0.2"/>
    <row r="26885" hidden="1" x14ac:dyDescent="0.2"/>
    <row r="26886" hidden="1" x14ac:dyDescent="0.2"/>
    <row r="26887" hidden="1" x14ac:dyDescent="0.2"/>
    <row r="26888" hidden="1" x14ac:dyDescent="0.2"/>
    <row r="26889" hidden="1" x14ac:dyDescent="0.2"/>
    <row r="26890" hidden="1" x14ac:dyDescent="0.2"/>
    <row r="26891" hidden="1" x14ac:dyDescent="0.2"/>
    <row r="26892" hidden="1" x14ac:dyDescent="0.2"/>
    <row r="26893" hidden="1" x14ac:dyDescent="0.2"/>
    <row r="26894" hidden="1" x14ac:dyDescent="0.2"/>
    <row r="26895" hidden="1" x14ac:dyDescent="0.2"/>
    <row r="26896" hidden="1" x14ac:dyDescent="0.2"/>
    <row r="26897" hidden="1" x14ac:dyDescent="0.2"/>
    <row r="26898" hidden="1" x14ac:dyDescent="0.2"/>
    <row r="26899" hidden="1" x14ac:dyDescent="0.2"/>
    <row r="26900" hidden="1" x14ac:dyDescent="0.2"/>
    <row r="26901" hidden="1" x14ac:dyDescent="0.2"/>
    <row r="26902" hidden="1" x14ac:dyDescent="0.2"/>
    <row r="26903" hidden="1" x14ac:dyDescent="0.2"/>
    <row r="26904" hidden="1" x14ac:dyDescent="0.2"/>
    <row r="26905" hidden="1" x14ac:dyDescent="0.2"/>
    <row r="26906" hidden="1" x14ac:dyDescent="0.2"/>
    <row r="26907" hidden="1" x14ac:dyDescent="0.2"/>
    <row r="26908" hidden="1" x14ac:dyDescent="0.2"/>
    <row r="26909" hidden="1" x14ac:dyDescent="0.2"/>
    <row r="26910" hidden="1" x14ac:dyDescent="0.2"/>
    <row r="26911" hidden="1" x14ac:dyDescent="0.2"/>
    <row r="26912" hidden="1" x14ac:dyDescent="0.2"/>
    <row r="26913" hidden="1" x14ac:dyDescent="0.2"/>
    <row r="26914" hidden="1" x14ac:dyDescent="0.2"/>
    <row r="26915" hidden="1" x14ac:dyDescent="0.2"/>
    <row r="26916" hidden="1" x14ac:dyDescent="0.2"/>
    <row r="26917" hidden="1" x14ac:dyDescent="0.2"/>
    <row r="26918" hidden="1" x14ac:dyDescent="0.2"/>
    <row r="26919" hidden="1" x14ac:dyDescent="0.2"/>
    <row r="26920" hidden="1" x14ac:dyDescent="0.2"/>
    <row r="26921" hidden="1" x14ac:dyDescent="0.2"/>
    <row r="26922" hidden="1" x14ac:dyDescent="0.2"/>
    <row r="26923" hidden="1" x14ac:dyDescent="0.2"/>
    <row r="26924" hidden="1" x14ac:dyDescent="0.2"/>
    <row r="26925" hidden="1" x14ac:dyDescent="0.2"/>
    <row r="26926" hidden="1" x14ac:dyDescent="0.2"/>
    <row r="26927" hidden="1" x14ac:dyDescent="0.2"/>
    <row r="26928" hidden="1" x14ac:dyDescent="0.2"/>
    <row r="26929" hidden="1" x14ac:dyDescent="0.2"/>
    <row r="26930" hidden="1" x14ac:dyDescent="0.2"/>
    <row r="26931" hidden="1" x14ac:dyDescent="0.2"/>
    <row r="26932" hidden="1" x14ac:dyDescent="0.2"/>
    <row r="26933" hidden="1" x14ac:dyDescent="0.2"/>
    <row r="26934" hidden="1" x14ac:dyDescent="0.2"/>
    <row r="26935" hidden="1" x14ac:dyDescent="0.2"/>
    <row r="26936" hidden="1" x14ac:dyDescent="0.2"/>
    <row r="26937" hidden="1" x14ac:dyDescent="0.2"/>
    <row r="26938" hidden="1" x14ac:dyDescent="0.2"/>
    <row r="26939" hidden="1" x14ac:dyDescent="0.2"/>
    <row r="26940" hidden="1" x14ac:dyDescent="0.2"/>
    <row r="26941" hidden="1" x14ac:dyDescent="0.2"/>
    <row r="26942" hidden="1" x14ac:dyDescent="0.2"/>
    <row r="26943" hidden="1" x14ac:dyDescent="0.2"/>
    <row r="26944" hidden="1" x14ac:dyDescent="0.2"/>
    <row r="26945" hidden="1" x14ac:dyDescent="0.2"/>
    <row r="26946" hidden="1" x14ac:dyDescent="0.2"/>
    <row r="26947" hidden="1" x14ac:dyDescent="0.2"/>
    <row r="26948" hidden="1" x14ac:dyDescent="0.2"/>
    <row r="26949" hidden="1" x14ac:dyDescent="0.2"/>
    <row r="26950" hidden="1" x14ac:dyDescent="0.2"/>
    <row r="26951" hidden="1" x14ac:dyDescent="0.2"/>
    <row r="26952" hidden="1" x14ac:dyDescent="0.2"/>
    <row r="26953" hidden="1" x14ac:dyDescent="0.2"/>
    <row r="26954" hidden="1" x14ac:dyDescent="0.2"/>
    <row r="26955" hidden="1" x14ac:dyDescent="0.2"/>
    <row r="26956" hidden="1" x14ac:dyDescent="0.2"/>
    <row r="26957" hidden="1" x14ac:dyDescent="0.2"/>
    <row r="26958" hidden="1" x14ac:dyDescent="0.2"/>
    <row r="26959" hidden="1" x14ac:dyDescent="0.2"/>
    <row r="26960" hidden="1" x14ac:dyDescent="0.2"/>
    <row r="26961" hidden="1" x14ac:dyDescent="0.2"/>
    <row r="26962" hidden="1" x14ac:dyDescent="0.2"/>
    <row r="26963" hidden="1" x14ac:dyDescent="0.2"/>
    <row r="26964" hidden="1" x14ac:dyDescent="0.2"/>
    <row r="26965" hidden="1" x14ac:dyDescent="0.2"/>
    <row r="26966" hidden="1" x14ac:dyDescent="0.2"/>
    <row r="26967" hidden="1" x14ac:dyDescent="0.2"/>
    <row r="26968" hidden="1" x14ac:dyDescent="0.2"/>
    <row r="26969" hidden="1" x14ac:dyDescent="0.2"/>
    <row r="26970" hidden="1" x14ac:dyDescent="0.2"/>
    <row r="26971" hidden="1" x14ac:dyDescent="0.2"/>
    <row r="26972" hidden="1" x14ac:dyDescent="0.2"/>
    <row r="26973" hidden="1" x14ac:dyDescent="0.2"/>
    <row r="26974" hidden="1" x14ac:dyDescent="0.2"/>
    <row r="26975" hidden="1" x14ac:dyDescent="0.2"/>
    <row r="26976" hidden="1" x14ac:dyDescent="0.2"/>
    <row r="26977" hidden="1" x14ac:dyDescent="0.2"/>
    <row r="26978" hidden="1" x14ac:dyDescent="0.2"/>
    <row r="26979" hidden="1" x14ac:dyDescent="0.2"/>
    <row r="26980" hidden="1" x14ac:dyDescent="0.2"/>
    <row r="26981" hidden="1" x14ac:dyDescent="0.2"/>
    <row r="26982" hidden="1" x14ac:dyDescent="0.2"/>
    <row r="26983" hidden="1" x14ac:dyDescent="0.2"/>
    <row r="26984" hidden="1" x14ac:dyDescent="0.2"/>
    <row r="26985" hidden="1" x14ac:dyDescent="0.2"/>
    <row r="26986" hidden="1" x14ac:dyDescent="0.2"/>
    <row r="26987" hidden="1" x14ac:dyDescent="0.2"/>
    <row r="26988" hidden="1" x14ac:dyDescent="0.2"/>
    <row r="26989" hidden="1" x14ac:dyDescent="0.2"/>
    <row r="26990" hidden="1" x14ac:dyDescent="0.2"/>
    <row r="26991" hidden="1" x14ac:dyDescent="0.2"/>
    <row r="26992" hidden="1" x14ac:dyDescent="0.2"/>
    <row r="26993" hidden="1" x14ac:dyDescent="0.2"/>
    <row r="26994" hidden="1" x14ac:dyDescent="0.2"/>
    <row r="26995" hidden="1" x14ac:dyDescent="0.2"/>
    <row r="26996" hidden="1" x14ac:dyDescent="0.2"/>
    <row r="26997" hidden="1" x14ac:dyDescent="0.2"/>
    <row r="26998" hidden="1" x14ac:dyDescent="0.2"/>
    <row r="26999" hidden="1" x14ac:dyDescent="0.2"/>
    <row r="27000" hidden="1" x14ac:dyDescent="0.2"/>
    <row r="27001" hidden="1" x14ac:dyDescent="0.2"/>
    <row r="27002" hidden="1" x14ac:dyDescent="0.2"/>
    <row r="27003" hidden="1" x14ac:dyDescent="0.2"/>
    <row r="27004" hidden="1" x14ac:dyDescent="0.2"/>
    <row r="27005" hidden="1" x14ac:dyDescent="0.2"/>
    <row r="27006" hidden="1" x14ac:dyDescent="0.2"/>
    <row r="27007" hidden="1" x14ac:dyDescent="0.2"/>
    <row r="27008" hidden="1" x14ac:dyDescent="0.2"/>
    <row r="27009" hidden="1" x14ac:dyDescent="0.2"/>
    <row r="27010" hidden="1" x14ac:dyDescent="0.2"/>
    <row r="27011" hidden="1" x14ac:dyDescent="0.2"/>
    <row r="27012" hidden="1" x14ac:dyDescent="0.2"/>
    <row r="27013" hidden="1" x14ac:dyDescent="0.2"/>
    <row r="27014" hidden="1" x14ac:dyDescent="0.2"/>
    <row r="27015" hidden="1" x14ac:dyDescent="0.2"/>
    <row r="27016" hidden="1" x14ac:dyDescent="0.2"/>
    <row r="27017" hidden="1" x14ac:dyDescent="0.2"/>
    <row r="27018" hidden="1" x14ac:dyDescent="0.2"/>
    <row r="27019" hidden="1" x14ac:dyDescent="0.2"/>
    <row r="27020" hidden="1" x14ac:dyDescent="0.2"/>
    <row r="27021" hidden="1" x14ac:dyDescent="0.2"/>
    <row r="27022" hidden="1" x14ac:dyDescent="0.2"/>
    <row r="27023" hidden="1" x14ac:dyDescent="0.2"/>
    <row r="27024" hidden="1" x14ac:dyDescent="0.2"/>
    <row r="27025" hidden="1" x14ac:dyDescent="0.2"/>
    <row r="27026" hidden="1" x14ac:dyDescent="0.2"/>
    <row r="27027" hidden="1" x14ac:dyDescent="0.2"/>
    <row r="27028" hidden="1" x14ac:dyDescent="0.2"/>
    <row r="27029" hidden="1" x14ac:dyDescent="0.2"/>
    <row r="27030" hidden="1" x14ac:dyDescent="0.2"/>
    <row r="27031" hidden="1" x14ac:dyDescent="0.2"/>
    <row r="27032" hidden="1" x14ac:dyDescent="0.2"/>
    <row r="27033" hidden="1" x14ac:dyDescent="0.2"/>
    <row r="27034" hidden="1" x14ac:dyDescent="0.2"/>
    <row r="27035" hidden="1" x14ac:dyDescent="0.2"/>
    <row r="27036" hidden="1" x14ac:dyDescent="0.2"/>
    <row r="27037" hidden="1" x14ac:dyDescent="0.2"/>
    <row r="27038" hidden="1" x14ac:dyDescent="0.2"/>
    <row r="27039" hidden="1" x14ac:dyDescent="0.2"/>
    <row r="27040" hidden="1" x14ac:dyDescent="0.2"/>
    <row r="27041" hidden="1" x14ac:dyDescent="0.2"/>
    <row r="27042" hidden="1" x14ac:dyDescent="0.2"/>
    <row r="27043" hidden="1" x14ac:dyDescent="0.2"/>
    <row r="27044" hidden="1" x14ac:dyDescent="0.2"/>
    <row r="27045" hidden="1" x14ac:dyDescent="0.2"/>
    <row r="27046" hidden="1" x14ac:dyDescent="0.2"/>
    <row r="27047" hidden="1" x14ac:dyDescent="0.2"/>
    <row r="27048" hidden="1" x14ac:dyDescent="0.2"/>
    <row r="27049" hidden="1" x14ac:dyDescent="0.2"/>
    <row r="27050" hidden="1" x14ac:dyDescent="0.2"/>
    <row r="27051" hidden="1" x14ac:dyDescent="0.2"/>
    <row r="27052" hidden="1" x14ac:dyDescent="0.2"/>
    <row r="27053" hidden="1" x14ac:dyDescent="0.2"/>
    <row r="27054" hidden="1" x14ac:dyDescent="0.2"/>
    <row r="27055" hidden="1" x14ac:dyDescent="0.2"/>
    <row r="27056" hidden="1" x14ac:dyDescent="0.2"/>
    <row r="27057" hidden="1" x14ac:dyDescent="0.2"/>
    <row r="27058" hidden="1" x14ac:dyDescent="0.2"/>
    <row r="27059" hidden="1" x14ac:dyDescent="0.2"/>
    <row r="27060" hidden="1" x14ac:dyDescent="0.2"/>
    <row r="27061" hidden="1" x14ac:dyDescent="0.2"/>
    <row r="27062" hidden="1" x14ac:dyDescent="0.2"/>
    <row r="27063" hidden="1" x14ac:dyDescent="0.2"/>
    <row r="27064" hidden="1" x14ac:dyDescent="0.2"/>
    <row r="27065" hidden="1" x14ac:dyDescent="0.2"/>
    <row r="27066" hidden="1" x14ac:dyDescent="0.2"/>
    <row r="27067" hidden="1" x14ac:dyDescent="0.2"/>
    <row r="27068" hidden="1" x14ac:dyDescent="0.2"/>
    <row r="27069" hidden="1" x14ac:dyDescent="0.2"/>
    <row r="27070" hidden="1" x14ac:dyDescent="0.2"/>
    <row r="27071" hidden="1" x14ac:dyDescent="0.2"/>
    <row r="27072" hidden="1" x14ac:dyDescent="0.2"/>
    <row r="27073" hidden="1" x14ac:dyDescent="0.2"/>
    <row r="27074" hidden="1" x14ac:dyDescent="0.2"/>
    <row r="27075" hidden="1" x14ac:dyDescent="0.2"/>
    <row r="27076" hidden="1" x14ac:dyDescent="0.2"/>
    <row r="27077" hidden="1" x14ac:dyDescent="0.2"/>
    <row r="27078" hidden="1" x14ac:dyDescent="0.2"/>
    <row r="27079" hidden="1" x14ac:dyDescent="0.2"/>
    <row r="27080" hidden="1" x14ac:dyDescent="0.2"/>
    <row r="27081" hidden="1" x14ac:dyDescent="0.2"/>
    <row r="27082" hidden="1" x14ac:dyDescent="0.2"/>
    <row r="27083" hidden="1" x14ac:dyDescent="0.2"/>
    <row r="27084" hidden="1" x14ac:dyDescent="0.2"/>
    <row r="27085" hidden="1" x14ac:dyDescent="0.2"/>
    <row r="27086" hidden="1" x14ac:dyDescent="0.2"/>
    <row r="27087" hidden="1" x14ac:dyDescent="0.2"/>
    <row r="27088" hidden="1" x14ac:dyDescent="0.2"/>
    <row r="27089" hidden="1" x14ac:dyDescent="0.2"/>
    <row r="27090" hidden="1" x14ac:dyDescent="0.2"/>
    <row r="27091" hidden="1" x14ac:dyDescent="0.2"/>
    <row r="27092" hidden="1" x14ac:dyDescent="0.2"/>
    <row r="27093" hidden="1" x14ac:dyDescent="0.2"/>
    <row r="27094" hidden="1" x14ac:dyDescent="0.2"/>
    <row r="27095" hidden="1" x14ac:dyDescent="0.2"/>
    <row r="27096" hidden="1" x14ac:dyDescent="0.2"/>
    <row r="27097" hidden="1" x14ac:dyDescent="0.2"/>
    <row r="27098" hidden="1" x14ac:dyDescent="0.2"/>
    <row r="27099" hidden="1" x14ac:dyDescent="0.2"/>
    <row r="27100" hidden="1" x14ac:dyDescent="0.2"/>
    <row r="27101" hidden="1" x14ac:dyDescent="0.2"/>
    <row r="27102" hidden="1" x14ac:dyDescent="0.2"/>
    <row r="27103" hidden="1" x14ac:dyDescent="0.2"/>
    <row r="27104" hidden="1" x14ac:dyDescent="0.2"/>
    <row r="27105" hidden="1" x14ac:dyDescent="0.2"/>
    <row r="27106" hidden="1" x14ac:dyDescent="0.2"/>
    <row r="27107" hidden="1" x14ac:dyDescent="0.2"/>
    <row r="27108" hidden="1" x14ac:dyDescent="0.2"/>
    <row r="27109" hidden="1" x14ac:dyDescent="0.2"/>
    <row r="27110" hidden="1" x14ac:dyDescent="0.2"/>
    <row r="27111" hidden="1" x14ac:dyDescent="0.2"/>
    <row r="27112" hidden="1" x14ac:dyDescent="0.2"/>
    <row r="27113" hidden="1" x14ac:dyDescent="0.2"/>
    <row r="27114" hidden="1" x14ac:dyDescent="0.2"/>
    <row r="27115" hidden="1" x14ac:dyDescent="0.2"/>
    <row r="27116" hidden="1" x14ac:dyDescent="0.2"/>
    <row r="27117" hidden="1" x14ac:dyDescent="0.2"/>
    <row r="27118" hidden="1" x14ac:dyDescent="0.2"/>
    <row r="27119" hidden="1" x14ac:dyDescent="0.2"/>
    <row r="27120" hidden="1" x14ac:dyDescent="0.2"/>
    <row r="27121" hidden="1" x14ac:dyDescent="0.2"/>
    <row r="27122" hidden="1" x14ac:dyDescent="0.2"/>
    <row r="27123" hidden="1" x14ac:dyDescent="0.2"/>
    <row r="27124" hidden="1" x14ac:dyDescent="0.2"/>
    <row r="27125" hidden="1" x14ac:dyDescent="0.2"/>
    <row r="27126" hidden="1" x14ac:dyDescent="0.2"/>
    <row r="27127" hidden="1" x14ac:dyDescent="0.2"/>
    <row r="27128" hidden="1" x14ac:dyDescent="0.2"/>
    <row r="27129" hidden="1" x14ac:dyDescent="0.2"/>
    <row r="27130" hidden="1" x14ac:dyDescent="0.2"/>
    <row r="27131" hidden="1" x14ac:dyDescent="0.2"/>
    <row r="27132" hidden="1" x14ac:dyDescent="0.2"/>
    <row r="27133" hidden="1" x14ac:dyDescent="0.2"/>
    <row r="27134" hidden="1" x14ac:dyDescent="0.2"/>
    <row r="27135" hidden="1" x14ac:dyDescent="0.2"/>
    <row r="27136" hidden="1" x14ac:dyDescent="0.2"/>
    <row r="27137" hidden="1" x14ac:dyDescent="0.2"/>
    <row r="27138" hidden="1" x14ac:dyDescent="0.2"/>
    <row r="27139" hidden="1" x14ac:dyDescent="0.2"/>
    <row r="27140" hidden="1" x14ac:dyDescent="0.2"/>
    <row r="27141" hidden="1" x14ac:dyDescent="0.2"/>
    <row r="27142" hidden="1" x14ac:dyDescent="0.2"/>
    <row r="27143" hidden="1" x14ac:dyDescent="0.2"/>
    <row r="27144" hidden="1" x14ac:dyDescent="0.2"/>
    <row r="27145" hidden="1" x14ac:dyDescent="0.2"/>
    <row r="27146" hidden="1" x14ac:dyDescent="0.2"/>
    <row r="27147" hidden="1" x14ac:dyDescent="0.2"/>
    <row r="27148" hidden="1" x14ac:dyDescent="0.2"/>
    <row r="27149" hidden="1" x14ac:dyDescent="0.2"/>
    <row r="27150" hidden="1" x14ac:dyDescent="0.2"/>
    <row r="27151" hidden="1" x14ac:dyDescent="0.2"/>
    <row r="27152" hidden="1" x14ac:dyDescent="0.2"/>
    <row r="27153" hidden="1" x14ac:dyDescent="0.2"/>
    <row r="27154" hidden="1" x14ac:dyDescent="0.2"/>
    <row r="27155" hidden="1" x14ac:dyDescent="0.2"/>
    <row r="27156" hidden="1" x14ac:dyDescent="0.2"/>
    <row r="27157" hidden="1" x14ac:dyDescent="0.2"/>
    <row r="27158" hidden="1" x14ac:dyDescent="0.2"/>
    <row r="27159" hidden="1" x14ac:dyDescent="0.2"/>
    <row r="27160" hidden="1" x14ac:dyDescent="0.2"/>
    <row r="27161" hidden="1" x14ac:dyDescent="0.2"/>
    <row r="27162" hidden="1" x14ac:dyDescent="0.2"/>
    <row r="27163" hidden="1" x14ac:dyDescent="0.2"/>
    <row r="27164" hidden="1" x14ac:dyDescent="0.2"/>
    <row r="27165" hidden="1" x14ac:dyDescent="0.2"/>
    <row r="27166" hidden="1" x14ac:dyDescent="0.2"/>
    <row r="27167" hidden="1" x14ac:dyDescent="0.2"/>
    <row r="27168" hidden="1" x14ac:dyDescent="0.2"/>
    <row r="27169" hidden="1" x14ac:dyDescent="0.2"/>
    <row r="27170" hidden="1" x14ac:dyDescent="0.2"/>
    <row r="27171" hidden="1" x14ac:dyDescent="0.2"/>
    <row r="27172" hidden="1" x14ac:dyDescent="0.2"/>
    <row r="27173" hidden="1" x14ac:dyDescent="0.2"/>
    <row r="27174" hidden="1" x14ac:dyDescent="0.2"/>
    <row r="27175" hidden="1" x14ac:dyDescent="0.2"/>
    <row r="27176" hidden="1" x14ac:dyDescent="0.2"/>
    <row r="27177" hidden="1" x14ac:dyDescent="0.2"/>
    <row r="27178" hidden="1" x14ac:dyDescent="0.2"/>
    <row r="27179" hidden="1" x14ac:dyDescent="0.2"/>
    <row r="27180" hidden="1" x14ac:dyDescent="0.2"/>
    <row r="27181" hidden="1" x14ac:dyDescent="0.2"/>
    <row r="27182" hidden="1" x14ac:dyDescent="0.2"/>
    <row r="27183" hidden="1" x14ac:dyDescent="0.2"/>
    <row r="27184" hidden="1" x14ac:dyDescent="0.2"/>
    <row r="27185" hidden="1" x14ac:dyDescent="0.2"/>
    <row r="27186" hidden="1" x14ac:dyDescent="0.2"/>
    <row r="27187" hidden="1" x14ac:dyDescent="0.2"/>
    <row r="27188" hidden="1" x14ac:dyDescent="0.2"/>
    <row r="27189" hidden="1" x14ac:dyDescent="0.2"/>
    <row r="27190" hidden="1" x14ac:dyDescent="0.2"/>
    <row r="27191" hidden="1" x14ac:dyDescent="0.2"/>
    <row r="27192" hidden="1" x14ac:dyDescent="0.2"/>
    <row r="27193" hidden="1" x14ac:dyDescent="0.2"/>
    <row r="27194" hidden="1" x14ac:dyDescent="0.2"/>
    <row r="27195" hidden="1" x14ac:dyDescent="0.2"/>
    <row r="27196" hidden="1" x14ac:dyDescent="0.2"/>
    <row r="27197" hidden="1" x14ac:dyDescent="0.2"/>
    <row r="27198" hidden="1" x14ac:dyDescent="0.2"/>
    <row r="27199" hidden="1" x14ac:dyDescent="0.2"/>
    <row r="27200" hidden="1" x14ac:dyDescent="0.2"/>
    <row r="27201" hidden="1" x14ac:dyDescent="0.2"/>
    <row r="27202" hidden="1" x14ac:dyDescent="0.2"/>
    <row r="27203" hidden="1" x14ac:dyDescent="0.2"/>
    <row r="27204" hidden="1" x14ac:dyDescent="0.2"/>
    <row r="27205" hidden="1" x14ac:dyDescent="0.2"/>
    <row r="27206" hidden="1" x14ac:dyDescent="0.2"/>
    <row r="27207" hidden="1" x14ac:dyDescent="0.2"/>
    <row r="27208" hidden="1" x14ac:dyDescent="0.2"/>
    <row r="27209" hidden="1" x14ac:dyDescent="0.2"/>
    <row r="27210" hidden="1" x14ac:dyDescent="0.2"/>
    <row r="27211" hidden="1" x14ac:dyDescent="0.2"/>
    <row r="27212" hidden="1" x14ac:dyDescent="0.2"/>
    <row r="27213" hidden="1" x14ac:dyDescent="0.2"/>
    <row r="27214" hidden="1" x14ac:dyDescent="0.2"/>
    <row r="27215" hidden="1" x14ac:dyDescent="0.2"/>
    <row r="27216" hidden="1" x14ac:dyDescent="0.2"/>
    <row r="27217" hidden="1" x14ac:dyDescent="0.2"/>
    <row r="27218" hidden="1" x14ac:dyDescent="0.2"/>
    <row r="27219" hidden="1" x14ac:dyDescent="0.2"/>
    <row r="27220" hidden="1" x14ac:dyDescent="0.2"/>
    <row r="27221" hidden="1" x14ac:dyDescent="0.2"/>
    <row r="27222" hidden="1" x14ac:dyDescent="0.2"/>
    <row r="27223" hidden="1" x14ac:dyDescent="0.2"/>
    <row r="27224" hidden="1" x14ac:dyDescent="0.2"/>
    <row r="27225" hidden="1" x14ac:dyDescent="0.2"/>
    <row r="27226" hidden="1" x14ac:dyDescent="0.2"/>
    <row r="27227" hidden="1" x14ac:dyDescent="0.2"/>
    <row r="27228" hidden="1" x14ac:dyDescent="0.2"/>
    <row r="27229" hidden="1" x14ac:dyDescent="0.2"/>
    <row r="27230" hidden="1" x14ac:dyDescent="0.2"/>
    <row r="27231" hidden="1" x14ac:dyDescent="0.2"/>
    <row r="27232" hidden="1" x14ac:dyDescent="0.2"/>
    <row r="27233" hidden="1" x14ac:dyDescent="0.2"/>
    <row r="27234" hidden="1" x14ac:dyDescent="0.2"/>
    <row r="27235" hidden="1" x14ac:dyDescent="0.2"/>
    <row r="27236" hidden="1" x14ac:dyDescent="0.2"/>
    <row r="27237" hidden="1" x14ac:dyDescent="0.2"/>
    <row r="27238" hidden="1" x14ac:dyDescent="0.2"/>
    <row r="27239" hidden="1" x14ac:dyDescent="0.2"/>
    <row r="27240" hidden="1" x14ac:dyDescent="0.2"/>
    <row r="27241" hidden="1" x14ac:dyDescent="0.2"/>
    <row r="27242" hidden="1" x14ac:dyDescent="0.2"/>
    <row r="27243" hidden="1" x14ac:dyDescent="0.2"/>
    <row r="27244" hidden="1" x14ac:dyDescent="0.2"/>
    <row r="27245" hidden="1" x14ac:dyDescent="0.2"/>
    <row r="27246" hidden="1" x14ac:dyDescent="0.2"/>
    <row r="27247" hidden="1" x14ac:dyDescent="0.2"/>
    <row r="27248" hidden="1" x14ac:dyDescent="0.2"/>
    <row r="27249" hidden="1" x14ac:dyDescent="0.2"/>
    <row r="27250" hidden="1" x14ac:dyDescent="0.2"/>
    <row r="27251" hidden="1" x14ac:dyDescent="0.2"/>
    <row r="27252" hidden="1" x14ac:dyDescent="0.2"/>
    <row r="27253" hidden="1" x14ac:dyDescent="0.2"/>
    <row r="27254" hidden="1" x14ac:dyDescent="0.2"/>
    <row r="27255" hidden="1" x14ac:dyDescent="0.2"/>
    <row r="27256" hidden="1" x14ac:dyDescent="0.2"/>
    <row r="27257" hidden="1" x14ac:dyDescent="0.2"/>
    <row r="27258" hidden="1" x14ac:dyDescent="0.2"/>
    <row r="27259" hidden="1" x14ac:dyDescent="0.2"/>
    <row r="27260" hidden="1" x14ac:dyDescent="0.2"/>
    <row r="27261" hidden="1" x14ac:dyDescent="0.2"/>
    <row r="27262" hidden="1" x14ac:dyDescent="0.2"/>
    <row r="27263" hidden="1" x14ac:dyDescent="0.2"/>
    <row r="27264" hidden="1" x14ac:dyDescent="0.2"/>
    <row r="27265" hidden="1" x14ac:dyDescent="0.2"/>
    <row r="27266" hidden="1" x14ac:dyDescent="0.2"/>
    <row r="27267" hidden="1" x14ac:dyDescent="0.2"/>
    <row r="27268" hidden="1" x14ac:dyDescent="0.2"/>
    <row r="27269" hidden="1" x14ac:dyDescent="0.2"/>
    <row r="27270" hidden="1" x14ac:dyDescent="0.2"/>
    <row r="27271" hidden="1" x14ac:dyDescent="0.2"/>
    <row r="27272" hidden="1" x14ac:dyDescent="0.2"/>
    <row r="27273" hidden="1" x14ac:dyDescent="0.2"/>
    <row r="27274" hidden="1" x14ac:dyDescent="0.2"/>
    <row r="27275" hidden="1" x14ac:dyDescent="0.2"/>
    <row r="27276" hidden="1" x14ac:dyDescent="0.2"/>
    <row r="27277" hidden="1" x14ac:dyDescent="0.2"/>
    <row r="27278" hidden="1" x14ac:dyDescent="0.2"/>
    <row r="27279" hidden="1" x14ac:dyDescent="0.2"/>
    <row r="27280" hidden="1" x14ac:dyDescent="0.2"/>
    <row r="27281" hidden="1" x14ac:dyDescent="0.2"/>
    <row r="27282" hidden="1" x14ac:dyDescent="0.2"/>
    <row r="27283" hidden="1" x14ac:dyDescent="0.2"/>
    <row r="27284" hidden="1" x14ac:dyDescent="0.2"/>
    <row r="27285" hidden="1" x14ac:dyDescent="0.2"/>
    <row r="27286" hidden="1" x14ac:dyDescent="0.2"/>
    <row r="27287" hidden="1" x14ac:dyDescent="0.2"/>
    <row r="27288" hidden="1" x14ac:dyDescent="0.2"/>
    <row r="27289" hidden="1" x14ac:dyDescent="0.2"/>
    <row r="27290" hidden="1" x14ac:dyDescent="0.2"/>
    <row r="27291" hidden="1" x14ac:dyDescent="0.2"/>
    <row r="27292" hidden="1" x14ac:dyDescent="0.2"/>
    <row r="27293" hidden="1" x14ac:dyDescent="0.2"/>
    <row r="27294" hidden="1" x14ac:dyDescent="0.2"/>
    <row r="27295" hidden="1" x14ac:dyDescent="0.2"/>
    <row r="27296" hidden="1" x14ac:dyDescent="0.2"/>
    <row r="27297" hidden="1" x14ac:dyDescent="0.2"/>
    <row r="27298" hidden="1" x14ac:dyDescent="0.2"/>
    <row r="27299" hidden="1" x14ac:dyDescent="0.2"/>
    <row r="27300" hidden="1" x14ac:dyDescent="0.2"/>
    <row r="27301" hidden="1" x14ac:dyDescent="0.2"/>
    <row r="27302" hidden="1" x14ac:dyDescent="0.2"/>
    <row r="27303" hidden="1" x14ac:dyDescent="0.2"/>
    <row r="27304" hidden="1" x14ac:dyDescent="0.2"/>
    <row r="27305" hidden="1" x14ac:dyDescent="0.2"/>
    <row r="27306" hidden="1" x14ac:dyDescent="0.2"/>
    <row r="27307" hidden="1" x14ac:dyDescent="0.2"/>
    <row r="27308" hidden="1" x14ac:dyDescent="0.2"/>
    <row r="27309" hidden="1" x14ac:dyDescent="0.2"/>
    <row r="27310" hidden="1" x14ac:dyDescent="0.2"/>
    <row r="27311" hidden="1" x14ac:dyDescent="0.2"/>
    <row r="27312" hidden="1" x14ac:dyDescent="0.2"/>
    <row r="27313" hidden="1" x14ac:dyDescent="0.2"/>
    <row r="27314" hidden="1" x14ac:dyDescent="0.2"/>
    <row r="27315" hidden="1" x14ac:dyDescent="0.2"/>
    <row r="27316" hidden="1" x14ac:dyDescent="0.2"/>
    <row r="27317" hidden="1" x14ac:dyDescent="0.2"/>
    <row r="27318" hidden="1" x14ac:dyDescent="0.2"/>
    <row r="27319" hidden="1" x14ac:dyDescent="0.2"/>
    <row r="27320" hidden="1" x14ac:dyDescent="0.2"/>
    <row r="27321" hidden="1" x14ac:dyDescent="0.2"/>
    <row r="27322" hidden="1" x14ac:dyDescent="0.2"/>
    <row r="27323" hidden="1" x14ac:dyDescent="0.2"/>
    <row r="27324" hidden="1" x14ac:dyDescent="0.2"/>
    <row r="27325" hidden="1" x14ac:dyDescent="0.2"/>
    <row r="27326" hidden="1" x14ac:dyDescent="0.2"/>
    <row r="27327" hidden="1" x14ac:dyDescent="0.2"/>
    <row r="27328" hidden="1" x14ac:dyDescent="0.2"/>
    <row r="27329" hidden="1" x14ac:dyDescent="0.2"/>
    <row r="27330" hidden="1" x14ac:dyDescent="0.2"/>
    <row r="27331" hidden="1" x14ac:dyDescent="0.2"/>
    <row r="27332" hidden="1" x14ac:dyDescent="0.2"/>
    <row r="27333" hidden="1" x14ac:dyDescent="0.2"/>
    <row r="27334" hidden="1" x14ac:dyDescent="0.2"/>
    <row r="27335" hidden="1" x14ac:dyDescent="0.2"/>
    <row r="27336" hidden="1" x14ac:dyDescent="0.2"/>
    <row r="27337" hidden="1" x14ac:dyDescent="0.2"/>
    <row r="27338" hidden="1" x14ac:dyDescent="0.2"/>
    <row r="27339" hidden="1" x14ac:dyDescent="0.2"/>
    <row r="27340" hidden="1" x14ac:dyDescent="0.2"/>
    <row r="27341" hidden="1" x14ac:dyDescent="0.2"/>
    <row r="27342" hidden="1" x14ac:dyDescent="0.2"/>
    <row r="27343" hidden="1" x14ac:dyDescent="0.2"/>
    <row r="27344" hidden="1" x14ac:dyDescent="0.2"/>
    <row r="27345" hidden="1" x14ac:dyDescent="0.2"/>
    <row r="27346" hidden="1" x14ac:dyDescent="0.2"/>
    <row r="27347" hidden="1" x14ac:dyDescent="0.2"/>
    <row r="27348" hidden="1" x14ac:dyDescent="0.2"/>
    <row r="27349" hidden="1" x14ac:dyDescent="0.2"/>
    <row r="27350" hidden="1" x14ac:dyDescent="0.2"/>
    <row r="27351" hidden="1" x14ac:dyDescent="0.2"/>
    <row r="27352" hidden="1" x14ac:dyDescent="0.2"/>
    <row r="27353" hidden="1" x14ac:dyDescent="0.2"/>
    <row r="27354" hidden="1" x14ac:dyDescent="0.2"/>
    <row r="27355" hidden="1" x14ac:dyDescent="0.2"/>
    <row r="27356" hidden="1" x14ac:dyDescent="0.2"/>
    <row r="27357" hidden="1" x14ac:dyDescent="0.2"/>
    <row r="27358" hidden="1" x14ac:dyDescent="0.2"/>
    <row r="27359" hidden="1" x14ac:dyDescent="0.2"/>
    <row r="27360" hidden="1" x14ac:dyDescent="0.2"/>
    <row r="27361" hidden="1" x14ac:dyDescent="0.2"/>
    <row r="27362" hidden="1" x14ac:dyDescent="0.2"/>
    <row r="27363" hidden="1" x14ac:dyDescent="0.2"/>
    <row r="27364" hidden="1" x14ac:dyDescent="0.2"/>
    <row r="27365" hidden="1" x14ac:dyDescent="0.2"/>
    <row r="27366" hidden="1" x14ac:dyDescent="0.2"/>
    <row r="27367" hidden="1" x14ac:dyDescent="0.2"/>
    <row r="27368" hidden="1" x14ac:dyDescent="0.2"/>
    <row r="27369" hidden="1" x14ac:dyDescent="0.2"/>
    <row r="27370" hidden="1" x14ac:dyDescent="0.2"/>
    <row r="27371" hidden="1" x14ac:dyDescent="0.2"/>
    <row r="27372" hidden="1" x14ac:dyDescent="0.2"/>
    <row r="27373" hidden="1" x14ac:dyDescent="0.2"/>
    <row r="27374" hidden="1" x14ac:dyDescent="0.2"/>
    <row r="27375" hidden="1" x14ac:dyDescent="0.2"/>
    <row r="27376" hidden="1" x14ac:dyDescent="0.2"/>
    <row r="27377" hidden="1" x14ac:dyDescent="0.2"/>
    <row r="27378" hidden="1" x14ac:dyDescent="0.2"/>
    <row r="27379" hidden="1" x14ac:dyDescent="0.2"/>
    <row r="27380" hidden="1" x14ac:dyDescent="0.2"/>
    <row r="27381" hidden="1" x14ac:dyDescent="0.2"/>
    <row r="27382" hidden="1" x14ac:dyDescent="0.2"/>
    <row r="27383" hidden="1" x14ac:dyDescent="0.2"/>
    <row r="27384" hidden="1" x14ac:dyDescent="0.2"/>
    <row r="27385" hidden="1" x14ac:dyDescent="0.2"/>
    <row r="27386" hidden="1" x14ac:dyDescent="0.2"/>
    <row r="27387" hidden="1" x14ac:dyDescent="0.2"/>
    <row r="27388" hidden="1" x14ac:dyDescent="0.2"/>
    <row r="27389" hidden="1" x14ac:dyDescent="0.2"/>
    <row r="27390" hidden="1" x14ac:dyDescent="0.2"/>
    <row r="27391" hidden="1" x14ac:dyDescent="0.2"/>
    <row r="27392" hidden="1" x14ac:dyDescent="0.2"/>
    <row r="27393" hidden="1" x14ac:dyDescent="0.2"/>
    <row r="27394" hidden="1" x14ac:dyDescent="0.2"/>
    <row r="27395" hidden="1" x14ac:dyDescent="0.2"/>
    <row r="27396" hidden="1" x14ac:dyDescent="0.2"/>
    <row r="27397" hidden="1" x14ac:dyDescent="0.2"/>
    <row r="27398" hidden="1" x14ac:dyDescent="0.2"/>
    <row r="27399" hidden="1" x14ac:dyDescent="0.2"/>
    <row r="27400" hidden="1" x14ac:dyDescent="0.2"/>
    <row r="27401" hidden="1" x14ac:dyDescent="0.2"/>
    <row r="27402" hidden="1" x14ac:dyDescent="0.2"/>
    <row r="27403" hidden="1" x14ac:dyDescent="0.2"/>
    <row r="27404" hidden="1" x14ac:dyDescent="0.2"/>
    <row r="27405" hidden="1" x14ac:dyDescent="0.2"/>
    <row r="27406" hidden="1" x14ac:dyDescent="0.2"/>
    <row r="27407" hidden="1" x14ac:dyDescent="0.2"/>
    <row r="27408" hidden="1" x14ac:dyDescent="0.2"/>
    <row r="27409" hidden="1" x14ac:dyDescent="0.2"/>
    <row r="27410" hidden="1" x14ac:dyDescent="0.2"/>
    <row r="27411" hidden="1" x14ac:dyDescent="0.2"/>
    <row r="27412" hidden="1" x14ac:dyDescent="0.2"/>
    <row r="27413" hidden="1" x14ac:dyDescent="0.2"/>
    <row r="27414" hidden="1" x14ac:dyDescent="0.2"/>
    <row r="27415" hidden="1" x14ac:dyDescent="0.2"/>
    <row r="27416" hidden="1" x14ac:dyDescent="0.2"/>
    <row r="27417" hidden="1" x14ac:dyDescent="0.2"/>
    <row r="27418" hidden="1" x14ac:dyDescent="0.2"/>
    <row r="27419" hidden="1" x14ac:dyDescent="0.2"/>
    <row r="27420" hidden="1" x14ac:dyDescent="0.2"/>
    <row r="27421" hidden="1" x14ac:dyDescent="0.2"/>
    <row r="27422" hidden="1" x14ac:dyDescent="0.2"/>
    <row r="27423" hidden="1" x14ac:dyDescent="0.2"/>
    <row r="27424" hidden="1" x14ac:dyDescent="0.2"/>
    <row r="27425" hidden="1" x14ac:dyDescent="0.2"/>
    <row r="27426" hidden="1" x14ac:dyDescent="0.2"/>
    <row r="27427" hidden="1" x14ac:dyDescent="0.2"/>
    <row r="27428" hidden="1" x14ac:dyDescent="0.2"/>
    <row r="27429" hidden="1" x14ac:dyDescent="0.2"/>
    <row r="27430" hidden="1" x14ac:dyDescent="0.2"/>
    <row r="27431" hidden="1" x14ac:dyDescent="0.2"/>
    <row r="27432" hidden="1" x14ac:dyDescent="0.2"/>
    <row r="27433" hidden="1" x14ac:dyDescent="0.2"/>
    <row r="27434" hidden="1" x14ac:dyDescent="0.2"/>
    <row r="27435" hidden="1" x14ac:dyDescent="0.2"/>
    <row r="27436" hidden="1" x14ac:dyDescent="0.2"/>
    <row r="27437" hidden="1" x14ac:dyDescent="0.2"/>
    <row r="27438" hidden="1" x14ac:dyDescent="0.2"/>
    <row r="27439" hidden="1" x14ac:dyDescent="0.2"/>
    <row r="27440" hidden="1" x14ac:dyDescent="0.2"/>
    <row r="27441" hidden="1" x14ac:dyDescent="0.2"/>
    <row r="27442" hidden="1" x14ac:dyDescent="0.2"/>
    <row r="27443" hidden="1" x14ac:dyDescent="0.2"/>
    <row r="27444" hidden="1" x14ac:dyDescent="0.2"/>
    <row r="27445" hidden="1" x14ac:dyDescent="0.2"/>
    <row r="27446" hidden="1" x14ac:dyDescent="0.2"/>
    <row r="27447" hidden="1" x14ac:dyDescent="0.2"/>
    <row r="27448" hidden="1" x14ac:dyDescent="0.2"/>
    <row r="27449" hidden="1" x14ac:dyDescent="0.2"/>
    <row r="27450" hidden="1" x14ac:dyDescent="0.2"/>
    <row r="27451" hidden="1" x14ac:dyDescent="0.2"/>
    <row r="27452" hidden="1" x14ac:dyDescent="0.2"/>
    <row r="27453" hidden="1" x14ac:dyDescent="0.2"/>
    <row r="27454" hidden="1" x14ac:dyDescent="0.2"/>
    <row r="27455" hidden="1" x14ac:dyDescent="0.2"/>
    <row r="27456" hidden="1" x14ac:dyDescent="0.2"/>
    <row r="27457" hidden="1" x14ac:dyDescent="0.2"/>
    <row r="27458" hidden="1" x14ac:dyDescent="0.2"/>
    <row r="27459" hidden="1" x14ac:dyDescent="0.2"/>
    <row r="27460" hidden="1" x14ac:dyDescent="0.2"/>
    <row r="27461" hidden="1" x14ac:dyDescent="0.2"/>
    <row r="27462" hidden="1" x14ac:dyDescent="0.2"/>
    <row r="27463" hidden="1" x14ac:dyDescent="0.2"/>
    <row r="27464" hidden="1" x14ac:dyDescent="0.2"/>
    <row r="27465" hidden="1" x14ac:dyDescent="0.2"/>
    <row r="27466" hidden="1" x14ac:dyDescent="0.2"/>
    <row r="27467" hidden="1" x14ac:dyDescent="0.2"/>
    <row r="27468" hidden="1" x14ac:dyDescent="0.2"/>
    <row r="27469" hidden="1" x14ac:dyDescent="0.2"/>
    <row r="27470" hidden="1" x14ac:dyDescent="0.2"/>
    <row r="27471" hidden="1" x14ac:dyDescent="0.2"/>
    <row r="27472" hidden="1" x14ac:dyDescent="0.2"/>
    <row r="27473" hidden="1" x14ac:dyDescent="0.2"/>
    <row r="27474" hidden="1" x14ac:dyDescent="0.2"/>
    <row r="27475" hidden="1" x14ac:dyDescent="0.2"/>
    <row r="27476" hidden="1" x14ac:dyDescent="0.2"/>
    <row r="27477" hidden="1" x14ac:dyDescent="0.2"/>
    <row r="27478" hidden="1" x14ac:dyDescent="0.2"/>
    <row r="27479" hidden="1" x14ac:dyDescent="0.2"/>
    <row r="27480" hidden="1" x14ac:dyDescent="0.2"/>
    <row r="27481" hidden="1" x14ac:dyDescent="0.2"/>
    <row r="27482" hidden="1" x14ac:dyDescent="0.2"/>
    <row r="27483" hidden="1" x14ac:dyDescent="0.2"/>
    <row r="27484" hidden="1" x14ac:dyDescent="0.2"/>
    <row r="27485" hidden="1" x14ac:dyDescent="0.2"/>
    <row r="27486" hidden="1" x14ac:dyDescent="0.2"/>
    <row r="27487" hidden="1" x14ac:dyDescent="0.2"/>
    <row r="27488" hidden="1" x14ac:dyDescent="0.2"/>
    <row r="27489" hidden="1" x14ac:dyDescent="0.2"/>
    <row r="27490" hidden="1" x14ac:dyDescent="0.2"/>
    <row r="27491" hidden="1" x14ac:dyDescent="0.2"/>
    <row r="27492" hidden="1" x14ac:dyDescent="0.2"/>
    <row r="27493" hidden="1" x14ac:dyDescent="0.2"/>
    <row r="27494" hidden="1" x14ac:dyDescent="0.2"/>
    <row r="27495" hidden="1" x14ac:dyDescent="0.2"/>
    <row r="27496" hidden="1" x14ac:dyDescent="0.2"/>
    <row r="27497" hidden="1" x14ac:dyDescent="0.2"/>
    <row r="27498" hidden="1" x14ac:dyDescent="0.2"/>
    <row r="27499" hidden="1" x14ac:dyDescent="0.2"/>
    <row r="27500" hidden="1" x14ac:dyDescent="0.2"/>
    <row r="27501" hidden="1" x14ac:dyDescent="0.2"/>
    <row r="27502" hidden="1" x14ac:dyDescent="0.2"/>
    <row r="27503" hidden="1" x14ac:dyDescent="0.2"/>
    <row r="27504" hidden="1" x14ac:dyDescent="0.2"/>
    <row r="27505" hidden="1" x14ac:dyDescent="0.2"/>
    <row r="27506" hidden="1" x14ac:dyDescent="0.2"/>
    <row r="27507" hidden="1" x14ac:dyDescent="0.2"/>
    <row r="27508" hidden="1" x14ac:dyDescent="0.2"/>
    <row r="27509" hidden="1" x14ac:dyDescent="0.2"/>
    <row r="27510" hidden="1" x14ac:dyDescent="0.2"/>
    <row r="27511" hidden="1" x14ac:dyDescent="0.2"/>
    <row r="27512" hidden="1" x14ac:dyDescent="0.2"/>
    <row r="27513" hidden="1" x14ac:dyDescent="0.2"/>
    <row r="27514" hidden="1" x14ac:dyDescent="0.2"/>
    <row r="27515" hidden="1" x14ac:dyDescent="0.2"/>
    <row r="27516" hidden="1" x14ac:dyDescent="0.2"/>
    <row r="27517" hidden="1" x14ac:dyDescent="0.2"/>
    <row r="27518" hidden="1" x14ac:dyDescent="0.2"/>
    <row r="27519" hidden="1" x14ac:dyDescent="0.2"/>
    <row r="27520" hidden="1" x14ac:dyDescent="0.2"/>
    <row r="27521" hidden="1" x14ac:dyDescent="0.2"/>
    <row r="27522" hidden="1" x14ac:dyDescent="0.2"/>
    <row r="27523" hidden="1" x14ac:dyDescent="0.2"/>
    <row r="27524" hidden="1" x14ac:dyDescent="0.2"/>
    <row r="27525" hidden="1" x14ac:dyDescent="0.2"/>
    <row r="27526" hidden="1" x14ac:dyDescent="0.2"/>
    <row r="27527" hidden="1" x14ac:dyDescent="0.2"/>
    <row r="27528" hidden="1" x14ac:dyDescent="0.2"/>
    <row r="27529" hidden="1" x14ac:dyDescent="0.2"/>
    <row r="27530" hidden="1" x14ac:dyDescent="0.2"/>
    <row r="27531" hidden="1" x14ac:dyDescent="0.2"/>
    <row r="27532" hidden="1" x14ac:dyDescent="0.2"/>
    <row r="27533" hidden="1" x14ac:dyDescent="0.2"/>
    <row r="27534" hidden="1" x14ac:dyDescent="0.2"/>
    <row r="27535" hidden="1" x14ac:dyDescent="0.2"/>
    <row r="27536" hidden="1" x14ac:dyDescent="0.2"/>
    <row r="27537" hidden="1" x14ac:dyDescent="0.2"/>
    <row r="27538" hidden="1" x14ac:dyDescent="0.2"/>
    <row r="27539" hidden="1" x14ac:dyDescent="0.2"/>
    <row r="27540" hidden="1" x14ac:dyDescent="0.2"/>
    <row r="27541" hidden="1" x14ac:dyDescent="0.2"/>
    <row r="27542" hidden="1" x14ac:dyDescent="0.2"/>
    <row r="27543" hidden="1" x14ac:dyDescent="0.2"/>
    <row r="27544" hidden="1" x14ac:dyDescent="0.2"/>
    <row r="27545" hidden="1" x14ac:dyDescent="0.2"/>
    <row r="27546" hidden="1" x14ac:dyDescent="0.2"/>
    <row r="27547" hidden="1" x14ac:dyDescent="0.2"/>
    <row r="27548" hidden="1" x14ac:dyDescent="0.2"/>
    <row r="27549" hidden="1" x14ac:dyDescent="0.2"/>
    <row r="27550" hidden="1" x14ac:dyDescent="0.2"/>
    <row r="27551" hidden="1" x14ac:dyDescent="0.2"/>
    <row r="27552" hidden="1" x14ac:dyDescent="0.2"/>
    <row r="27553" hidden="1" x14ac:dyDescent="0.2"/>
    <row r="27554" hidden="1" x14ac:dyDescent="0.2"/>
    <row r="27555" hidden="1" x14ac:dyDescent="0.2"/>
    <row r="27556" hidden="1" x14ac:dyDescent="0.2"/>
    <row r="27557" hidden="1" x14ac:dyDescent="0.2"/>
    <row r="27558" hidden="1" x14ac:dyDescent="0.2"/>
    <row r="27559" hidden="1" x14ac:dyDescent="0.2"/>
    <row r="27560" hidden="1" x14ac:dyDescent="0.2"/>
    <row r="27561" hidden="1" x14ac:dyDescent="0.2"/>
    <row r="27562" hidden="1" x14ac:dyDescent="0.2"/>
    <row r="27563" hidden="1" x14ac:dyDescent="0.2"/>
    <row r="27564" hidden="1" x14ac:dyDescent="0.2"/>
    <row r="27565" hidden="1" x14ac:dyDescent="0.2"/>
    <row r="27566" hidden="1" x14ac:dyDescent="0.2"/>
    <row r="27567" hidden="1" x14ac:dyDescent="0.2"/>
    <row r="27568" hidden="1" x14ac:dyDescent="0.2"/>
    <row r="27569" hidden="1" x14ac:dyDescent="0.2"/>
    <row r="27570" hidden="1" x14ac:dyDescent="0.2"/>
    <row r="27571" hidden="1" x14ac:dyDescent="0.2"/>
    <row r="27572" hidden="1" x14ac:dyDescent="0.2"/>
    <row r="27573" hidden="1" x14ac:dyDescent="0.2"/>
    <row r="27574" hidden="1" x14ac:dyDescent="0.2"/>
    <row r="27575" hidden="1" x14ac:dyDescent="0.2"/>
    <row r="27576" hidden="1" x14ac:dyDescent="0.2"/>
    <row r="27577" hidden="1" x14ac:dyDescent="0.2"/>
    <row r="27578" hidden="1" x14ac:dyDescent="0.2"/>
    <row r="27579" hidden="1" x14ac:dyDescent="0.2"/>
    <row r="27580" hidden="1" x14ac:dyDescent="0.2"/>
    <row r="27581" hidden="1" x14ac:dyDescent="0.2"/>
    <row r="27582" hidden="1" x14ac:dyDescent="0.2"/>
    <row r="27583" hidden="1" x14ac:dyDescent="0.2"/>
    <row r="27584" hidden="1" x14ac:dyDescent="0.2"/>
    <row r="27585" hidden="1" x14ac:dyDescent="0.2"/>
    <row r="27586" hidden="1" x14ac:dyDescent="0.2"/>
    <row r="27587" hidden="1" x14ac:dyDescent="0.2"/>
    <row r="27588" hidden="1" x14ac:dyDescent="0.2"/>
    <row r="27589" hidden="1" x14ac:dyDescent="0.2"/>
    <row r="27590" hidden="1" x14ac:dyDescent="0.2"/>
    <row r="27591" hidden="1" x14ac:dyDescent="0.2"/>
    <row r="27592" hidden="1" x14ac:dyDescent="0.2"/>
    <row r="27593" hidden="1" x14ac:dyDescent="0.2"/>
    <row r="27594" hidden="1" x14ac:dyDescent="0.2"/>
    <row r="27595" hidden="1" x14ac:dyDescent="0.2"/>
    <row r="27596" hidden="1" x14ac:dyDescent="0.2"/>
    <row r="27597" hidden="1" x14ac:dyDescent="0.2"/>
    <row r="27598" hidden="1" x14ac:dyDescent="0.2"/>
    <row r="27599" hidden="1" x14ac:dyDescent="0.2"/>
    <row r="27600" hidden="1" x14ac:dyDescent="0.2"/>
    <row r="27601" hidden="1" x14ac:dyDescent="0.2"/>
    <row r="27602" hidden="1" x14ac:dyDescent="0.2"/>
    <row r="27603" hidden="1" x14ac:dyDescent="0.2"/>
    <row r="27604" hidden="1" x14ac:dyDescent="0.2"/>
    <row r="27605" hidden="1" x14ac:dyDescent="0.2"/>
    <row r="27606" hidden="1" x14ac:dyDescent="0.2"/>
    <row r="27607" hidden="1" x14ac:dyDescent="0.2"/>
    <row r="27608" hidden="1" x14ac:dyDescent="0.2"/>
    <row r="27609" hidden="1" x14ac:dyDescent="0.2"/>
    <row r="27610" hidden="1" x14ac:dyDescent="0.2"/>
    <row r="27611" hidden="1" x14ac:dyDescent="0.2"/>
    <row r="27612" hidden="1" x14ac:dyDescent="0.2"/>
    <row r="27613" hidden="1" x14ac:dyDescent="0.2"/>
    <row r="27614" hidden="1" x14ac:dyDescent="0.2"/>
    <row r="27615" hidden="1" x14ac:dyDescent="0.2"/>
    <row r="27616" hidden="1" x14ac:dyDescent="0.2"/>
    <row r="27617" hidden="1" x14ac:dyDescent="0.2"/>
    <row r="27618" hidden="1" x14ac:dyDescent="0.2"/>
    <row r="27619" hidden="1" x14ac:dyDescent="0.2"/>
    <row r="27620" hidden="1" x14ac:dyDescent="0.2"/>
    <row r="27621" hidden="1" x14ac:dyDescent="0.2"/>
    <row r="27622" hidden="1" x14ac:dyDescent="0.2"/>
    <row r="27623" hidden="1" x14ac:dyDescent="0.2"/>
    <row r="27624" hidden="1" x14ac:dyDescent="0.2"/>
    <row r="27625" hidden="1" x14ac:dyDescent="0.2"/>
    <row r="27626" hidden="1" x14ac:dyDescent="0.2"/>
    <row r="27627" hidden="1" x14ac:dyDescent="0.2"/>
    <row r="27628" hidden="1" x14ac:dyDescent="0.2"/>
    <row r="27629" hidden="1" x14ac:dyDescent="0.2"/>
    <row r="27630" hidden="1" x14ac:dyDescent="0.2"/>
    <row r="27631" hidden="1" x14ac:dyDescent="0.2"/>
    <row r="27632" hidden="1" x14ac:dyDescent="0.2"/>
    <row r="27633" hidden="1" x14ac:dyDescent="0.2"/>
    <row r="27634" hidden="1" x14ac:dyDescent="0.2"/>
    <row r="27635" hidden="1" x14ac:dyDescent="0.2"/>
    <row r="27636" hidden="1" x14ac:dyDescent="0.2"/>
    <row r="27637" hidden="1" x14ac:dyDescent="0.2"/>
    <row r="27638" hidden="1" x14ac:dyDescent="0.2"/>
    <row r="27639" hidden="1" x14ac:dyDescent="0.2"/>
    <row r="27640" hidden="1" x14ac:dyDescent="0.2"/>
    <row r="27641" hidden="1" x14ac:dyDescent="0.2"/>
    <row r="27642" hidden="1" x14ac:dyDescent="0.2"/>
    <row r="27643" hidden="1" x14ac:dyDescent="0.2"/>
    <row r="27644" hidden="1" x14ac:dyDescent="0.2"/>
    <row r="27645" hidden="1" x14ac:dyDescent="0.2"/>
    <row r="27646" hidden="1" x14ac:dyDescent="0.2"/>
    <row r="27647" hidden="1" x14ac:dyDescent="0.2"/>
    <row r="27648" hidden="1" x14ac:dyDescent="0.2"/>
    <row r="27649" hidden="1" x14ac:dyDescent="0.2"/>
    <row r="27650" hidden="1" x14ac:dyDescent="0.2"/>
    <row r="27651" hidden="1" x14ac:dyDescent="0.2"/>
    <row r="27652" hidden="1" x14ac:dyDescent="0.2"/>
    <row r="27653" hidden="1" x14ac:dyDescent="0.2"/>
    <row r="27654" hidden="1" x14ac:dyDescent="0.2"/>
    <row r="27655" hidden="1" x14ac:dyDescent="0.2"/>
    <row r="27656" hidden="1" x14ac:dyDescent="0.2"/>
    <row r="27657" hidden="1" x14ac:dyDescent="0.2"/>
    <row r="27658" hidden="1" x14ac:dyDescent="0.2"/>
    <row r="27659" hidden="1" x14ac:dyDescent="0.2"/>
    <row r="27660" hidden="1" x14ac:dyDescent="0.2"/>
    <row r="27661" hidden="1" x14ac:dyDescent="0.2"/>
    <row r="27662" hidden="1" x14ac:dyDescent="0.2"/>
    <row r="27663" hidden="1" x14ac:dyDescent="0.2"/>
    <row r="27664" hidden="1" x14ac:dyDescent="0.2"/>
    <row r="27665" hidden="1" x14ac:dyDescent="0.2"/>
    <row r="27666" hidden="1" x14ac:dyDescent="0.2"/>
    <row r="27667" hidden="1" x14ac:dyDescent="0.2"/>
    <row r="27668" hidden="1" x14ac:dyDescent="0.2"/>
    <row r="27669" hidden="1" x14ac:dyDescent="0.2"/>
    <row r="27670" hidden="1" x14ac:dyDescent="0.2"/>
    <row r="27671" hidden="1" x14ac:dyDescent="0.2"/>
    <row r="27672" hidden="1" x14ac:dyDescent="0.2"/>
    <row r="27673" hidden="1" x14ac:dyDescent="0.2"/>
    <row r="27674" hidden="1" x14ac:dyDescent="0.2"/>
    <row r="27675" hidden="1" x14ac:dyDescent="0.2"/>
    <row r="27676" hidden="1" x14ac:dyDescent="0.2"/>
    <row r="27677" hidden="1" x14ac:dyDescent="0.2"/>
    <row r="27678" hidden="1" x14ac:dyDescent="0.2"/>
    <row r="27679" hidden="1" x14ac:dyDescent="0.2"/>
    <row r="27680" hidden="1" x14ac:dyDescent="0.2"/>
    <row r="27681" hidden="1" x14ac:dyDescent="0.2"/>
    <row r="27682" hidden="1" x14ac:dyDescent="0.2"/>
    <row r="27683" hidden="1" x14ac:dyDescent="0.2"/>
    <row r="27684" hidden="1" x14ac:dyDescent="0.2"/>
    <row r="27685" hidden="1" x14ac:dyDescent="0.2"/>
    <row r="27686" hidden="1" x14ac:dyDescent="0.2"/>
    <row r="27687" hidden="1" x14ac:dyDescent="0.2"/>
    <row r="27688" hidden="1" x14ac:dyDescent="0.2"/>
    <row r="27689" hidden="1" x14ac:dyDescent="0.2"/>
    <row r="27690" hidden="1" x14ac:dyDescent="0.2"/>
    <row r="27691" hidden="1" x14ac:dyDescent="0.2"/>
    <row r="27692" hidden="1" x14ac:dyDescent="0.2"/>
    <row r="27693" hidden="1" x14ac:dyDescent="0.2"/>
    <row r="27694" hidden="1" x14ac:dyDescent="0.2"/>
    <row r="27695" hidden="1" x14ac:dyDescent="0.2"/>
    <row r="27696" hidden="1" x14ac:dyDescent="0.2"/>
    <row r="27697" hidden="1" x14ac:dyDescent="0.2"/>
    <row r="27698" hidden="1" x14ac:dyDescent="0.2"/>
    <row r="27699" hidden="1" x14ac:dyDescent="0.2"/>
    <row r="27700" hidden="1" x14ac:dyDescent="0.2"/>
    <row r="27701" hidden="1" x14ac:dyDescent="0.2"/>
    <row r="27702" hidden="1" x14ac:dyDescent="0.2"/>
    <row r="27703" hidden="1" x14ac:dyDescent="0.2"/>
    <row r="27704" hidden="1" x14ac:dyDescent="0.2"/>
    <row r="27705" hidden="1" x14ac:dyDescent="0.2"/>
    <row r="27706" hidden="1" x14ac:dyDescent="0.2"/>
    <row r="27707" hidden="1" x14ac:dyDescent="0.2"/>
    <row r="27708" hidden="1" x14ac:dyDescent="0.2"/>
    <row r="27709" hidden="1" x14ac:dyDescent="0.2"/>
    <row r="27710" hidden="1" x14ac:dyDescent="0.2"/>
    <row r="27711" hidden="1" x14ac:dyDescent="0.2"/>
    <row r="27712" hidden="1" x14ac:dyDescent="0.2"/>
    <row r="27713" hidden="1" x14ac:dyDescent="0.2"/>
    <row r="27714" hidden="1" x14ac:dyDescent="0.2"/>
    <row r="27715" hidden="1" x14ac:dyDescent="0.2"/>
    <row r="27716" hidden="1" x14ac:dyDescent="0.2"/>
    <row r="27717" hidden="1" x14ac:dyDescent="0.2"/>
    <row r="27718" hidden="1" x14ac:dyDescent="0.2"/>
    <row r="27719" hidden="1" x14ac:dyDescent="0.2"/>
    <row r="27720" hidden="1" x14ac:dyDescent="0.2"/>
    <row r="27721" hidden="1" x14ac:dyDescent="0.2"/>
    <row r="27722" hidden="1" x14ac:dyDescent="0.2"/>
    <row r="27723" hidden="1" x14ac:dyDescent="0.2"/>
    <row r="27724" hidden="1" x14ac:dyDescent="0.2"/>
    <row r="27725" hidden="1" x14ac:dyDescent="0.2"/>
    <row r="27726" hidden="1" x14ac:dyDescent="0.2"/>
    <row r="27727" hidden="1" x14ac:dyDescent="0.2"/>
    <row r="27728" hidden="1" x14ac:dyDescent="0.2"/>
    <row r="27729" hidden="1" x14ac:dyDescent="0.2"/>
    <row r="27730" hidden="1" x14ac:dyDescent="0.2"/>
    <row r="27731" hidden="1" x14ac:dyDescent="0.2"/>
    <row r="27732" hidden="1" x14ac:dyDescent="0.2"/>
    <row r="27733" hidden="1" x14ac:dyDescent="0.2"/>
    <row r="27734" hidden="1" x14ac:dyDescent="0.2"/>
    <row r="27735" hidden="1" x14ac:dyDescent="0.2"/>
    <row r="27736" hidden="1" x14ac:dyDescent="0.2"/>
    <row r="27737" hidden="1" x14ac:dyDescent="0.2"/>
    <row r="27738" hidden="1" x14ac:dyDescent="0.2"/>
    <row r="27739" hidden="1" x14ac:dyDescent="0.2"/>
    <row r="27740" hidden="1" x14ac:dyDescent="0.2"/>
    <row r="27741" hidden="1" x14ac:dyDescent="0.2"/>
    <row r="27742" hidden="1" x14ac:dyDescent="0.2"/>
    <row r="27743" hidden="1" x14ac:dyDescent="0.2"/>
    <row r="27744" hidden="1" x14ac:dyDescent="0.2"/>
    <row r="27745" hidden="1" x14ac:dyDescent="0.2"/>
    <row r="27746" hidden="1" x14ac:dyDescent="0.2"/>
    <row r="27747" hidden="1" x14ac:dyDescent="0.2"/>
    <row r="27748" hidden="1" x14ac:dyDescent="0.2"/>
    <row r="27749" hidden="1" x14ac:dyDescent="0.2"/>
    <row r="27750" hidden="1" x14ac:dyDescent="0.2"/>
    <row r="27751" hidden="1" x14ac:dyDescent="0.2"/>
    <row r="27752" hidden="1" x14ac:dyDescent="0.2"/>
    <row r="27753" hidden="1" x14ac:dyDescent="0.2"/>
    <row r="27754" hidden="1" x14ac:dyDescent="0.2"/>
    <row r="27755" hidden="1" x14ac:dyDescent="0.2"/>
    <row r="27756" hidden="1" x14ac:dyDescent="0.2"/>
    <row r="27757" hidden="1" x14ac:dyDescent="0.2"/>
    <row r="27758" hidden="1" x14ac:dyDescent="0.2"/>
    <row r="27759" hidden="1" x14ac:dyDescent="0.2"/>
    <row r="27760" hidden="1" x14ac:dyDescent="0.2"/>
    <row r="27761" hidden="1" x14ac:dyDescent="0.2"/>
    <row r="27762" hidden="1" x14ac:dyDescent="0.2"/>
    <row r="27763" hidden="1" x14ac:dyDescent="0.2"/>
    <row r="27764" hidden="1" x14ac:dyDescent="0.2"/>
    <row r="27765" hidden="1" x14ac:dyDescent="0.2"/>
    <row r="27766" hidden="1" x14ac:dyDescent="0.2"/>
    <row r="27767" hidden="1" x14ac:dyDescent="0.2"/>
    <row r="27768" hidden="1" x14ac:dyDescent="0.2"/>
    <row r="27769" hidden="1" x14ac:dyDescent="0.2"/>
    <row r="27770" hidden="1" x14ac:dyDescent="0.2"/>
    <row r="27771" hidden="1" x14ac:dyDescent="0.2"/>
    <row r="27772" hidden="1" x14ac:dyDescent="0.2"/>
    <row r="27773" hidden="1" x14ac:dyDescent="0.2"/>
    <row r="27774" hidden="1" x14ac:dyDescent="0.2"/>
    <row r="27775" hidden="1" x14ac:dyDescent="0.2"/>
    <row r="27776" hidden="1" x14ac:dyDescent="0.2"/>
    <row r="27777" hidden="1" x14ac:dyDescent="0.2"/>
    <row r="27778" hidden="1" x14ac:dyDescent="0.2"/>
    <row r="27779" hidden="1" x14ac:dyDescent="0.2"/>
    <row r="27780" hidden="1" x14ac:dyDescent="0.2"/>
    <row r="27781" hidden="1" x14ac:dyDescent="0.2"/>
    <row r="27782" hidden="1" x14ac:dyDescent="0.2"/>
    <row r="27783" hidden="1" x14ac:dyDescent="0.2"/>
    <row r="27784" hidden="1" x14ac:dyDescent="0.2"/>
    <row r="27785" hidden="1" x14ac:dyDescent="0.2"/>
    <row r="27786" hidden="1" x14ac:dyDescent="0.2"/>
    <row r="27787" hidden="1" x14ac:dyDescent="0.2"/>
    <row r="27788" hidden="1" x14ac:dyDescent="0.2"/>
    <row r="27789" hidden="1" x14ac:dyDescent="0.2"/>
    <row r="27790" hidden="1" x14ac:dyDescent="0.2"/>
    <row r="27791" hidden="1" x14ac:dyDescent="0.2"/>
    <row r="27792" hidden="1" x14ac:dyDescent="0.2"/>
    <row r="27793" hidden="1" x14ac:dyDescent="0.2"/>
    <row r="27794" hidden="1" x14ac:dyDescent="0.2"/>
    <row r="27795" hidden="1" x14ac:dyDescent="0.2"/>
    <row r="27796" hidden="1" x14ac:dyDescent="0.2"/>
    <row r="27797" hidden="1" x14ac:dyDescent="0.2"/>
    <row r="27798" hidden="1" x14ac:dyDescent="0.2"/>
    <row r="27799" hidden="1" x14ac:dyDescent="0.2"/>
    <row r="27800" hidden="1" x14ac:dyDescent="0.2"/>
    <row r="27801" hidden="1" x14ac:dyDescent="0.2"/>
    <row r="27802" hidden="1" x14ac:dyDescent="0.2"/>
    <row r="27803" hidden="1" x14ac:dyDescent="0.2"/>
    <row r="27804" hidden="1" x14ac:dyDescent="0.2"/>
    <row r="27805" hidden="1" x14ac:dyDescent="0.2"/>
    <row r="27806" hidden="1" x14ac:dyDescent="0.2"/>
    <row r="27807" hidden="1" x14ac:dyDescent="0.2"/>
    <row r="27808" hidden="1" x14ac:dyDescent="0.2"/>
    <row r="27809" hidden="1" x14ac:dyDescent="0.2"/>
    <row r="27810" hidden="1" x14ac:dyDescent="0.2"/>
    <row r="27811" hidden="1" x14ac:dyDescent="0.2"/>
    <row r="27812" hidden="1" x14ac:dyDescent="0.2"/>
    <row r="27813" hidden="1" x14ac:dyDescent="0.2"/>
    <row r="27814" hidden="1" x14ac:dyDescent="0.2"/>
    <row r="27815" hidden="1" x14ac:dyDescent="0.2"/>
    <row r="27816" hidden="1" x14ac:dyDescent="0.2"/>
    <row r="27817" hidden="1" x14ac:dyDescent="0.2"/>
    <row r="27818" hidden="1" x14ac:dyDescent="0.2"/>
    <row r="27819" hidden="1" x14ac:dyDescent="0.2"/>
    <row r="27820" hidden="1" x14ac:dyDescent="0.2"/>
    <row r="27821" hidden="1" x14ac:dyDescent="0.2"/>
    <row r="27822" hidden="1" x14ac:dyDescent="0.2"/>
    <row r="27823" hidden="1" x14ac:dyDescent="0.2"/>
    <row r="27824" hidden="1" x14ac:dyDescent="0.2"/>
    <row r="27825" hidden="1" x14ac:dyDescent="0.2"/>
    <row r="27826" hidden="1" x14ac:dyDescent="0.2"/>
    <row r="27827" hidden="1" x14ac:dyDescent="0.2"/>
    <row r="27828" hidden="1" x14ac:dyDescent="0.2"/>
    <row r="27829" hidden="1" x14ac:dyDescent="0.2"/>
    <row r="27830" hidden="1" x14ac:dyDescent="0.2"/>
    <row r="27831" hidden="1" x14ac:dyDescent="0.2"/>
    <row r="27832" hidden="1" x14ac:dyDescent="0.2"/>
    <row r="27833" hidden="1" x14ac:dyDescent="0.2"/>
    <row r="27834" hidden="1" x14ac:dyDescent="0.2"/>
    <row r="27835" hidden="1" x14ac:dyDescent="0.2"/>
    <row r="27836" hidden="1" x14ac:dyDescent="0.2"/>
    <row r="27837" hidden="1" x14ac:dyDescent="0.2"/>
    <row r="27838" hidden="1" x14ac:dyDescent="0.2"/>
    <row r="27839" hidden="1" x14ac:dyDescent="0.2"/>
    <row r="27840" hidden="1" x14ac:dyDescent="0.2"/>
    <row r="27841" hidden="1" x14ac:dyDescent="0.2"/>
    <row r="27842" hidden="1" x14ac:dyDescent="0.2"/>
    <row r="27843" hidden="1" x14ac:dyDescent="0.2"/>
    <row r="27844" hidden="1" x14ac:dyDescent="0.2"/>
    <row r="27845" hidden="1" x14ac:dyDescent="0.2"/>
    <row r="27846" hidden="1" x14ac:dyDescent="0.2"/>
    <row r="27847" hidden="1" x14ac:dyDescent="0.2"/>
    <row r="27848" hidden="1" x14ac:dyDescent="0.2"/>
    <row r="27849" hidden="1" x14ac:dyDescent="0.2"/>
    <row r="27850" hidden="1" x14ac:dyDescent="0.2"/>
    <row r="27851" hidden="1" x14ac:dyDescent="0.2"/>
    <row r="27852" hidden="1" x14ac:dyDescent="0.2"/>
    <row r="27853" hidden="1" x14ac:dyDescent="0.2"/>
    <row r="27854" hidden="1" x14ac:dyDescent="0.2"/>
    <row r="27855" hidden="1" x14ac:dyDescent="0.2"/>
    <row r="27856" hidden="1" x14ac:dyDescent="0.2"/>
    <row r="27857" hidden="1" x14ac:dyDescent="0.2"/>
    <row r="27858" hidden="1" x14ac:dyDescent="0.2"/>
    <row r="27859" hidden="1" x14ac:dyDescent="0.2"/>
    <row r="27860" hidden="1" x14ac:dyDescent="0.2"/>
    <row r="27861" hidden="1" x14ac:dyDescent="0.2"/>
    <row r="27862" hidden="1" x14ac:dyDescent="0.2"/>
    <row r="27863" hidden="1" x14ac:dyDescent="0.2"/>
    <row r="27864" hidden="1" x14ac:dyDescent="0.2"/>
    <row r="27865" hidden="1" x14ac:dyDescent="0.2"/>
    <row r="27866" hidden="1" x14ac:dyDescent="0.2"/>
    <row r="27867" hidden="1" x14ac:dyDescent="0.2"/>
    <row r="27868" hidden="1" x14ac:dyDescent="0.2"/>
    <row r="27869" hidden="1" x14ac:dyDescent="0.2"/>
    <row r="27870" hidden="1" x14ac:dyDescent="0.2"/>
    <row r="27871" hidden="1" x14ac:dyDescent="0.2"/>
    <row r="27872" hidden="1" x14ac:dyDescent="0.2"/>
    <row r="27873" hidden="1" x14ac:dyDescent="0.2"/>
    <row r="27874" hidden="1" x14ac:dyDescent="0.2"/>
    <row r="27875" hidden="1" x14ac:dyDescent="0.2"/>
    <row r="27876" hidden="1" x14ac:dyDescent="0.2"/>
    <row r="27877" hidden="1" x14ac:dyDescent="0.2"/>
    <row r="27878" hidden="1" x14ac:dyDescent="0.2"/>
    <row r="27879" hidden="1" x14ac:dyDescent="0.2"/>
    <row r="27880" hidden="1" x14ac:dyDescent="0.2"/>
    <row r="27881" hidden="1" x14ac:dyDescent="0.2"/>
    <row r="27882" hidden="1" x14ac:dyDescent="0.2"/>
    <row r="27883" hidden="1" x14ac:dyDescent="0.2"/>
    <row r="27884" hidden="1" x14ac:dyDescent="0.2"/>
    <row r="27885" hidden="1" x14ac:dyDescent="0.2"/>
    <row r="27886" hidden="1" x14ac:dyDescent="0.2"/>
    <row r="27887" hidden="1" x14ac:dyDescent="0.2"/>
    <row r="27888" hidden="1" x14ac:dyDescent="0.2"/>
    <row r="27889" hidden="1" x14ac:dyDescent="0.2"/>
    <row r="27890" hidden="1" x14ac:dyDescent="0.2"/>
    <row r="27891" hidden="1" x14ac:dyDescent="0.2"/>
    <row r="27892" hidden="1" x14ac:dyDescent="0.2"/>
    <row r="27893" hidden="1" x14ac:dyDescent="0.2"/>
    <row r="27894" hidden="1" x14ac:dyDescent="0.2"/>
    <row r="27895" hidden="1" x14ac:dyDescent="0.2"/>
    <row r="27896" hidden="1" x14ac:dyDescent="0.2"/>
    <row r="27897" hidden="1" x14ac:dyDescent="0.2"/>
    <row r="27898" hidden="1" x14ac:dyDescent="0.2"/>
    <row r="27899" hidden="1" x14ac:dyDescent="0.2"/>
    <row r="27900" hidden="1" x14ac:dyDescent="0.2"/>
    <row r="27901" hidden="1" x14ac:dyDescent="0.2"/>
    <row r="27902" hidden="1" x14ac:dyDescent="0.2"/>
    <row r="27903" hidden="1" x14ac:dyDescent="0.2"/>
    <row r="27904" hidden="1" x14ac:dyDescent="0.2"/>
    <row r="27905" hidden="1" x14ac:dyDescent="0.2"/>
    <row r="27906" hidden="1" x14ac:dyDescent="0.2"/>
    <row r="27907" hidden="1" x14ac:dyDescent="0.2"/>
    <row r="27908" hidden="1" x14ac:dyDescent="0.2"/>
    <row r="27909" hidden="1" x14ac:dyDescent="0.2"/>
    <row r="27910" hidden="1" x14ac:dyDescent="0.2"/>
    <row r="27911" hidden="1" x14ac:dyDescent="0.2"/>
    <row r="27912" hidden="1" x14ac:dyDescent="0.2"/>
    <row r="27913" hidden="1" x14ac:dyDescent="0.2"/>
    <row r="27914" hidden="1" x14ac:dyDescent="0.2"/>
    <row r="27915" hidden="1" x14ac:dyDescent="0.2"/>
    <row r="27916" hidden="1" x14ac:dyDescent="0.2"/>
    <row r="27917" hidden="1" x14ac:dyDescent="0.2"/>
    <row r="27918" hidden="1" x14ac:dyDescent="0.2"/>
    <row r="27919" hidden="1" x14ac:dyDescent="0.2"/>
    <row r="27920" hidden="1" x14ac:dyDescent="0.2"/>
    <row r="27921" hidden="1" x14ac:dyDescent="0.2"/>
    <row r="27922" hidden="1" x14ac:dyDescent="0.2"/>
    <row r="27923" hidden="1" x14ac:dyDescent="0.2"/>
    <row r="27924" hidden="1" x14ac:dyDescent="0.2"/>
    <row r="27925" hidden="1" x14ac:dyDescent="0.2"/>
    <row r="27926" hidden="1" x14ac:dyDescent="0.2"/>
    <row r="27927" hidden="1" x14ac:dyDescent="0.2"/>
    <row r="27928" hidden="1" x14ac:dyDescent="0.2"/>
    <row r="27929" hidden="1" x14ac:dyDescent="0.2"/>
    <row r="27930" hidden="1" x14ac:dyDescent="0.2"/>
    <row r="27931" hidden="1" x14ac:dyDescent="0.2"/>
    <row r="27932" hidden="1" x14ac:dyDescent="0.2"/>
    <row r="27933" hidden="1" x14ac:dyDescent="0.2"/>
    <row r="27934" hidden="1" x14ac:dyDescent="0.2"/>
    <row r="27935" hidden="1" x14ac:dyDescent="0.2"/>
    <row r="27936" hidden="1" x14ac:dyDescent="0.2"/>
    <row r="27937" hidden="1" x14ac:dyDescent="0.2"/>
    <row r="27938" hidden="1" x14ac:dyDescent="0.2"/>
    <row r="27939" hidden="1" x14ac:dyDescent="0.2"/>
    <row r="27940" hidden="1" x14ac:dyDescent="0.2"/>
    <row r="27941" hidden="1" x14ac:dyDescent="0.2"/>
    <row r="27942" hidden="1" x14ac:dyDescent="0.2"/>
    <row r="27943" hidden="1" x14ac:dyDescent="0.2"/>
    <row r="27944" hidden="1" x14ac:dyDescent="0.2"/>
    <row r="27945" hidden="1" x14ac:dyDescent="0.2"/>
    <row r="27946" hidden="1" x14ac:dyDescent="0.2"/>
    <row r="27947" hidden="1" x14ac:dyDescent="0.2"/>
    <row r="27948" hidden="1" x14ac:dyDescent="0.2"/>
    <row r="27949" hidden="1" x14ac:dyDescent="0.2"/>
    <row r="27950" hidden="1" x14ac:dyDescent="0.2"/>
    <row r="27951" hidden="1" x14ac:dyDescent="0.2"/>
    <row r="27952" hidden="1" x14ac:dyDescent="0.2"/>
    <row r="27953" hidden="1" x14ac:dyDescent="0.2"/>
    <row r="27954" hidden="1" x14ac:dyDescent="0.2"/>
    <row r="27955" hidden="1" x14ac:dyDescent="0.2"/>
    <row r="27956" hidden="1" x14ac:dyDescent="0.2"/>
    <row r="27957" hidden="1" x14ac:dyDescent="0.2"/>
    <row r="27958" hidden="1" x14ac:dyDescent="0.2"/>
    <row r="27959" hidden="1" x14ac:dyDescent="0.2"/>
    <row r="27960" hidden="1" x14ac:dyDescent="0.2"/>
    <row r="27961" hidden="1" x14ac:dyDescent="0.2"/>
    <row r="27962" hidden="1" x14ac:dyDescent="0.2"/>
    <row r="27963" hidden="1" x14ac:dyDescent="0.2"/>
    <row r="27964" hidden="1" x14ac:dyDescent="0.2"/>
    <row r="27965" hidden="1" x14ac:dyDescent="0.2"/>
    <row r="27966" hidden="1" x14ac:dyDescent="0.2"/>
    <row r="27967" hidden="1" x14ac:dyDescent="0.2"/>
    <row r="27968" hidden="1" x14ac:dyDescent="0.2"/>
    <row r="27969" hidden="1" x14ac:dyDescent="0.2"/>
    <row r="27970" hidden="1" x14ac:dyDescent="0.2"/>
    <row r="27971" hidden="1" x14ac:dyDescent="0.2"/>
    <row r="27972" hidden="1" x14ac:dyDescent="0.2"/>
    <row r="27973" hidden="1" x14ac:dyDescent="0.2"/>
    <row r="27974" hidden="1" x14ac:dyDescent="0.2"/>
    <row r="27975" hidden="1" x14ac:dyDescent="0.2"/>
    <row r="27976" hidden="1" x14ac:dyDescent="0.2"/>
    <row r="27977" hidden="1" x14ac:dyDescent="0.2"/>
    <row r="27978" hidden="1" x14ac:dyDescent="0.2"/>
    <row r="27979" hidden="1" x14ac:dyDescent="0.2"/>
    <row r="27980" hidden="1" x14ac:dyDescent="0.2"/>
    <row r="27981" hidden="1" x14ac:dyDescent="0.2"/>
    <row r="27982" hidden="1" x14ac:dyDescent="0.2"/>
    <row r="27983" hidden="1" x14ac:dyDescent="0.2"/>
    <row r="27984" hidden="1" x14ac:dyDescent="0.2"/>
    <row r="27985" hidden="1" x14ac:dyDescent="0.2"/>
    <row r="27986" hidden="1" x14ac:dyDescent="0.2"/>
    <row r="27987" hidden="1" x14ac:dyDescent="0.2"/>
    <row r="27988" hidden="1" x14ac:dyDescent="0.2"/>
    <row r="27989" hidden="1" x14ac:dyDescent="0.2"/>
    <row r="27990" hidden="1" x14ac:dyDescent="0.2"/>
    <row r="27991" hidden="1" x14ac:dyDescent="0.2"/>
    <row r="27992" hidden="1" x14ac:dyDescent="0.2"/>
    <row r="27993" hidden="1" x14ac:dyDescent="0.2"/>
    <row r="27994" hidden="1" x14ac:dyDescent="0.2"/>
    <row r="27995" hidden="1" x14ac:dyDescent="0.2"/>
    <row r="27996" hidden="1" x14ac:dyDescent="0.2"/>
    <row r="27997" hidden="1" x14ac:dyDescent="0.2"/>
    <row r="27998" hidden="1" x14ac:dyDescent="0.2"/>
    <row r="27999" hidden="1" x14ac:dyDescent="0.2"/>
    <row r="28000" hidden="1" x14ac:dyDescent="0.2"/>
    <row r="28001" hidden="1" x14ac:dyDescent="0.2"/>
    <row r="28002" hidden="1" x14ac:dyDescent="0.2"/>
    <row r="28003" hidden="1" x14ac:dyDescent="0.2"/>
    <row r="28004" hidden="1" x14ac:dyDescent="0.2"/>
    <row r="28005" hidden="1" x14ac:dyDescent="0.2"/>
    <row r="28006" hidden="1" x14ac:dyDescent="0.2"/>
    <row r="28007" hidden="1" x14ac:dyDescent="0.2"/>
    <row r="28008" hidden="1" x14ac:dyDescent="0.2"/>
    <row r="28009" hidden="1" x14ac:dyDescent="0.2"/>
    <row r="28010" hidden="1" x14ac:dyDescent="0.2"/>
    <row r="28011" hidden="1" x14ac:dyDescent="0.2"/>
    <row r="28012" hidden="1" x14ac:dyDescent="0.2"/>
    <row r="28013" hidden="1" x14ac:dyDescent="0.2"/>
    <row r="28014" hidden="1" x14ac:dyDescent="0.2"/>
    <row r="28015" hidden="1" x14ac:dyDescent="0.2"/>
    <row r="28016" hidden="1" x14ac:dyDescent="0.2"/>
    <row r="28017" hidden="1" x14ac:dyDescent="0.2"/>
    <row r="28018" hidden="1" x14ac:dyDescent="0.2"/>
    <row r="28019" hidden="1" x14ac:dyDescent="0.2"/>
    <row r="28020" hidden="1" x14ac:dyDescent="0.2"/>
    <row r="28021" hidden="1" x14ac:dyDescent="0.2"/>
    <row r="28022" hidden="1" x14ac:dyDescent="0.2"/>
    <row r="28023" hidden="1" x14ac:dyDescent="0.2"/>
    <row r="28024" hidden="1" x14ac:dyDescent="0.2"/>
    <row r="28025" hidden="1" x14ac:dyDescent="0.2"/>
    <row r="28026" hidden="1" x14ac:dyDescent="0.2"/>
    <row r="28027" hidden="1" x14ac:dyDescent="0.2"/>
    <row r="28028" hidden="1" x14ac:dyDescent="0.2"/>
    <row r="28029" hidden="1" x14ac:dyDescent="0.2"/>
    <row r="28030" hidden="1" x14ac:dyDescent="0.2"/>
    <row r="28031" hidden="1" x14ac:dyDescent="0.2"/>
    <row r="28032" hidden="1" x14ac:dyDescent="0.2"/>
    <row r="28033" hidden="1" x14ac:dyDescent="0.2"/>
    <row r="28034" hidden="1" x14ac:dyDescent="0.2"/>
    <row r="28035" hidden="1" x14ac:dyDescent="0.2"/>
    <row r="28036" hidden="1" x14ac:dyDescent="0.2"/>
    <row r="28037" hidden="1" x14ac:dyDescent="0.2"/>
    <row r="28038" hidden="1" x14ac:dyDescent="0.2"/>
    <row r="28039" hidden="1" x14ac:dyDescent="0.2"/>
    <row r="28040" hidden="1" x14ac:dyDescent="0.2"/>
    <row r="28041" hidden="1" x14ac:dyDescent="0.2"/>
    <row r="28042" hidden="1" x14ac:dyDescent="0.2"/>
    <row r="28043" hidden="1" x14ac:dyDescent="0.2"/>
    <row r="28044" hidden="1" x14ac:dyDescent="0.2"/>
    <row r="28045" hidden="1" x14ac:dyDescent="0.2"/>
    <row r="28046" hidden="1" x14ac:dyDescent="0.2"/>
    <row r="28047" hidden="1" x14ac:dyDescent="0.2"/>
    <row r="28048" hidden="1" x14ac:dyDescent="0.2"/>
    <row r="28049" hidden="1" x14ac:dyDescent="0.2"/>
    <row r="28050" hidden="1" x14ac:dyDescent="0.2"/>
    <row r="28051" hidden="1" x14ac:dyDescent="0.2"/>
    <row r="28052" hidden="1" x14ac:dyDescent="0.2"/>
    <row r="28053" hidden="1" x14ac:dyDescent="0.2"/>
    <row r="28054" hidden="1" x14ac:dyDescent="0.2"/>
    <row r="28055" hidden="1" x14ac:dyDescent="0.2"/>
    <row r="28056" hidden="1" x14ac:dyDescent="0.2"/>
    <row r="28057" hidden="1" x14ac:dyDescent="0.2"/>
    <row r="28058" hidden="1" x14ac:dyDescent="0.2"/>
    <row r="28059" hidden="1" x14ac:dyDescent="0.2"/>
    <row r="28060" hidden="1" x14ac:dyDescent="0.2"/>
    <row r="28061" hidden="1" x14ac:dyDescent="0.2"/>
    <row r="28062" hidden="1" x14ac:dyDescent="0.2"/>
    <row r="28063" hidden="1" x14ac:dyDescent="0.2"/>
    <row r="28064" hidden="1" x14ac:dyDescent="0.2"/>
    <row r="28065" hidden="1" x14ac:dyDescent="0.2"/>
    <row r="28066" hidden="1" x14ac:dyDescent="0.2"/>
    <row r="28067" hidden="1" x14ac:dyDescent="0.2"/>
    <row r="28068" hidden="1" x14ac:dyDescent="0.2"/>
    <row r="28069" hidden="1" x14ac:dyDescent="0.2"/>
    <row r="28070" hidden="1" x14ac:dyDescent="0.2"/>
    <row r="28071" hidden="1" x14ac:dyDescent="0.2"/>
    <row r="28072" hidden="1" x14ac:dyDescent="0.2"/>
    <row r="28073" hidden="1" x14ac:dyDescent="0.2"/>
    <row r="28074" hidden="1" x14ac:dyDescent="0.2"/>
    <row r="28075" hidden="1" x14ac:dyDescent="0.2"/>
    <row r="28076" hidden="1" x14ac:dyDescent="0.2"/>
    <row r="28077" hidden="1" x14ac:dyDescent="0.2"/>
    <row r="28078" hidden="1" x14ac:dyDescent="0.2"/>
    <row r="28079" hidden="1" x14ac:dyDescent="0.2"/>
    <row r="28080" hidden="1" x14ac:dyDescent="0.2"/>
    <row r="28081" hidden="1" x14ac:dyDescent="0.2"/>
    <row r="28082" hidden="1" x14ac:dyDescent="0.2"/>
    <row r="28083" hidden="1" x14ac:dyDescent="0.2"/>
    <row r="28084" hidden="1" x14ac:dyDescent="0.2"/>
    <row r="28085" hidden="1" x14ac:dyDescent="0.2"/>
    <row r="28086" hidden="1" x14ac:dyDescent="0.2"/>
    <row r="28087" hidden="1" x14ac:dyDescent="0.2"/>
    <row r="28088" hidden="1" x14ac:dyDescent="0.2"/>
    <row r="28089" hidden="1" x14ac:dyDescent="0.2"/>
    <row r="28090" hidden="1" x14ac:dyDescent="0.2"/>
    <row r="28091" hidden="1" x14ac:dyDescent="0.2"/>
    <row r="28092" hidden="1" x14ac:dyDescent="0.2"/>
    <row r="28093" hidden="1" x14ac:dyDescent="0.2"/>
    <row r="28094" hidden="1" x14ac:dyDescent="0.2"/>
    <row r="28095" hidden="1" x14ac:dyDescent="0.2"/>
    <row r="28096" hidden="1" x14ac:dyDescent="0.2"/>
    <row r="28097" hidden="1" x14ac:dyDescent="0.2"/>
    <row r="28098" hidden="1" x14ac:dyDescent="0.2"/>
    <row r="28099" hidden="1" x14ac:dyDescent="0.2"/>
    <row r="28100" hidden="1" x14ac:dyDescent="0.2"/>
    <row r="28101" hidden="1" x14ac:dyDescent="0.2"/>
    <row r="28102" hidden="1" x14ac:dyDescent="0.2"/>
    <row r="28103" hidden="1" x14ac:dyDescent="0.2"/>
    <row r="28104" hidden="1" x14ac:dyDescent="0.2"/>
    <row r="28105" hidden="1" x14ac:dyDescent="0.2"/>
    <row r="28106" hidden="1" x14ac:dyDescent="0.2"/>
    <row r="28107" hidden="1" x14ac:dyDescent="0.2"/>
    <row r="28108" hidden="1" x14ac:dyDescent="0.2"/>
    <row r="28109" hidden="1" x14ac:dyDescent="0.2"/>
    <row r="28110" hidden="1" x14ac:dyDescent="0.2"/>
    <row r="28111" hidden="1" x14ac:dyDescent="0.2"/>
    <row r="28112" hidden="1" x14ac:dyDescent="0.2"/>
    <row r="28113" hidden="1" x14ac:dyDescent="0.2"/>
    <row r="28114" hidden="1" x14ac:dyDescent="0.2"/>
    <row r="28115" hidden="1" x14ac:dyDescent="0.2"/>
    <row r="28116" hidden="1" x14ac:dyDescent="0.2"/>
    <row r="28117" hidden="1" x14ac:dyDescent="0.2"/>
    <row r="28118" hidden="1" x14ac:dyDescent="0.2"/>
    <row r="28119" hidden="1" x14ac:dyDescent="0.2"/>
    <row r="28120" hidden="1" x14ac:dyDescent="0.2"/>
    <row r="28121" hidden="1" x14ac:dyDescent="0.2"/>
    <row r="28122" hidden="1" x14ac:dyDescent="0.2"/>
    <row r="28123" hidden="1" x14ac:dyDescent="0.2"/>
    <row r="28124" hidden="1" x14ac:dyDescent="0.2"/>
    <row r="28125" hidden="1" x14ac:dyDescent="0.2"/>
    <row r="28126" hidden="1" x14ac:dyDescent="0.2"/>
    <row r="28127" hidden="1" x14ac:dyDescent="0.2"/>
    <row r="28128" hidden="1" x14ac:dyDescent="0.2"/>
    <row r="28129" hidden="1" x14ac:dyDescent="0.2"/>
    <row r="28130" hidden="1" x14ac:dyDescent="0.2"/>
    <row r="28131" hidden="1" x14ac:dyDescent="0.2"/>
    <row r="28132" hidden="1" x14ac:dyDescent="0.2"/>
    <row r="28133" hidden="1" x14ac:dyDescent="0.2"/>
    <row r="28134" hidden="1" x14ac:dyDescent="0.2"/>
    <row r="28135" hidden="1" x14ac:dyDescent="0.2"/>
    <row r="28136" hidden="1" x14ac:dyDescent="0.2"/>
    <row r="28137" hidden="1" x14ac:dyDescent="0.2"/>
    <row r="28138" hidden="1" x14ac:dyDescent="0.2"/>
    <row r="28139" hidden="1" x14ac:dyDescent="0.2"/>
    <row r="28140" hidden="1" x14ac:dyDescent="0.2"/>
    <row r="28141" hidden="1" x14ac:dyDescent="0.2"/>
    <row r="28142" hidden="1" x14ac:dyDescent="0.2"/>
    <row r="28143" hidden="1" x14ac:dyDescent="0.2"/>
    <row r="28144" hidden="1" x14ac:dyDescent="0.2"/>
    <row r="28145" hidden="1" x14ac:dyDescent="0.2"/>
    <row r="28146" hidden="1" x14ac:dyDescent="0.2"/>
    <row r="28147" hidden="1" x14ac:dyDescent="0.2"/>
    <row r="28148" hidden="1" x14ac:dyDescent="0.2"/>
    <row r="28149" hidden="1" x14ac:dyDescent="0.2"/>
    <row r="28150" hidden="1" x14ac:dyDescent="0.2"/>
    <row r="28151" hidden="1" x14ac:dyDescent="0.2"/>
    <row r="28152" hidden="1" x14ac:dyDescent="0.2"/>
    <row r="28153" hidden="1" x14ac:dyDescent="0.2"/>
    <row r="28154" hidden="1" x14ac:dyDescent="0.2"/>
    <row r="28155" hidden="1" x14ac:dyDescent="0.2"/>
    <row r="28156" hidden="1" x14ac:dyDescent="0.2"/>
    <row r="28157" hidden="1" x14ac:dyDescent="0.2"/>
    <row r="28158" hidden="1" x14ac:dyDescent="0.2"/>
    <row r="28159" hidden="1" x14ac:dyDescent="0.2"/>
    <row r="28160" hidden="1" x14ac:dyDescent="0.2"/>
    <row r="28161" hidden="1" x14ac:dyDescent="0.2"/>
    <row r="28162" hidden="1" x14ac:dyDescent="0.2"/>
    <row r="28163" hidden="1" x14ac:dyDescent="0.2"/>
    <row r="28164" hidden="1" x14ac:dyDescent="0.2"/>
    <row r="28165" hidden="1" x14ac:dyDescent="0.2"/>
    <row r="28166" hidden="1" x14ac:dyDescent="0.2"/>
    <row r="28167" hidden="1" x14ac:dyDescent="0.2"/>
    <row r="28168" hidden="1" x14ac:dyDescent="0.2"/>
    <row r="28169" hidden="1" x14ac:dyDescent="0.2"/>
    <row r="28170" hidden="1" x14ac:dyDescent="0.2"/>
    <row r="28171" hidden="1" x14ac:dyDescent="0.2"/>
    <row r="28172" hidden="1" x14ac:dyDescent="0.2"/>
    <row r="28173" hidden="1" x14ac:dyDescent="0.2"/>
    <row r="28174" hidden="1" x14ac:dyDescent="0.2"/>
    <row r="28175" hidden="1" x14ac:dyDescent="0.2"/>
    <row r="28176" hidden="1" x14ac:dyDescent="0.2"/>
    <row r="28177" hidden="1" x14ac:dyDescent="0.2"/>
    <row r="28178" hidden="1" x14ac:dyDescent="0.2"/>
    <row r="28179" hidden="1" x14ac:dyDescent="0.2"/>
    <row r="28180" hidden="1" x14ac:dyDescent="0.2"/>
    <row r="28181" hidden="1" x14ac:dyDescent="0.2"/>
    <row r="28182" hidden="1" x14ac:dyDescent="0.2"/>
    <row r="28183" hidden="1" x14ac:dyDescent="0.2"/>
    <row r="28184" hidden="1" x14ac:dyDescent="0.2"/>
    <row r="28185" hidden="1" x14ac:dyDescent="0.2"/>
    <row r="28186" hidden="1" x14ac:dyDescent="0.2"/>
    <row r="28187" hidden="1" x14ac:dyDescent="0.2"/>
    <row r="28188" hidden="1" x14ac:dyDescent="0.2"/>
    <row r="28189" hidden="1" x14ac:dyDescent="0.2"/>
    <row r="28190" hidden="1" x14ac:dyDescent="0.2"/>
    <row r="28191" hidden="1" x14ac:dyDescent="0.2"/>
    <row r="28192" hidden="1" x14ac:dyDescent="0.2"/>
    <row r="28193" hidden="1" x14ac:dyDescent="0.2"/>
    <row r="28194" hidden="1" x14ac:dyDescent="0.2"/>
    <row r="28195" hidden="1" x14ac:dyDescent="0.2"/>
    <row r="28196" hidden="1" x14ac:dyDescent="0.2"/>
    <row r="28197" hidden="1" x14ac:dyDescent="0.2"/>
    <row r="28198" hidden="1" x14ac:dyDescent="0.2"/>
    <row r="28199" hidden="1" x14ac:dyDescent="0.2"/>
    <row r="28200" hidden="1" x14ac:dyDescent="0.2"/>
    <row r="28201" hidden="1" x14ac:dyDescent="0.2"/>
    <row r="28202" hidden="1" x14ac:dyDescent="0.2"/>
    <row r="28203" hidden="1" x14ac:dyDescent="0.2"/>
    <row r="28204" hidden="1" x14ac:dyDescent="0.2"/>
    <row r="28205" hidden="1" x14ac:dyDescent="0.2"/>
    <row r="28206" hidden="1" x14ac:dyDescent="0.2"/>
    <row r="28207" hidden="1" x14ac:dyDescent="0.2"/>
    <row r="28208" hidden="1" x14ac:dyDescent="0.2"/>
    <row r="28209" hidden="1" x14ac:dyDescent="0.2"/>
    <row r="28210" hidden="1" x14ac:dyDescent="0.2"/>
    <row r="28211" hidden="1" x14ac:dyDescent="0.2"/>
    <row r="28212" hidden="1" x14ac:dyDescent="0.2"/>
    <row r="28213" hidden="1" x14ac:dyDescent="0.2"/>
    <row r="28214" hidden="1" x14ac:dyDescent="0.2"/>
    <row r="28215" hidden="1" x14ac:dyDescent="0.2"/>
    <row r="28216" hidden="1" x14ac:dyDescent="0.2"/>
    <row r="28217" hidden="1" x14ac:dyDescent="0.2"/>
    <row r="28218" hidden="1" x14ac:dyDescent="0.2"/>
    <row r="28219" hidden="1" x14ac:dyDescent="0.2"/>
    <row r="28220" hidden="1" x14ac:dyDescent="0.2"/>
    <row r="28221" hidden="1" x14ac:dyDescent="0.2"/>
    <row r="28222" hidden="1" x14ac:dyDescent="0.2"/>
    <row r="28223" hidden="1" x14ac:dyDescent="0.2"/>
    <row r="28224" hidden="1" x14ac:dyDescent="0.2"/>
    <row r="28225" hidden="1" x14ac:dyDescent="0.2"/>
    <row r="28226" hidden="1" x14ac:dyDescent="0.2"/>
    <row r="28227" hidden="1" x14ac:dyDescent="0.2"/>
    <row r="28228" hidden="1" x14ac:dyDescent="0.2"/>
    <row r="28229" hidden="1" x14ac:dyDescent="0.2"/>
    <row r="28230" hidden="1" x14ac:dyDescent="0.2"/>
    <row r="28231" hidden="1" x14ac:dyDescent="0.2"/>
    <row r="28232" hidden="1" x14ac:dyDescent="0.2"/>
    <row r="28233" hidden="1" x14ac:dyDescent="0.2"/>
    <row r="28234" hidden="1" x14ac:dyDescent="0.2"/>
    <row r="28235" hidden="1" x14ac:dyDescent="0.2"/>
    <row r="28236" hidden="1" x14ac:dyDescent="0.2"/>
    <row r="28237" hidden="1" x14ac:dyDescent="0.2"/>
    <row r="28238" hidden="1" x14ac:dyDescent="0.2"/>
    <row r="28239" hidden="1" x14ac:dyDescent="0.2"/>
    <row r="28240" hidden="1" x14ac:dyDescent="0.2"/>
    <row r="28241" hidden="1" x14ac:dyDescent="0.2"/>
    <row r="28242" hidden="1" x14ac:dyDescent="0.2"/>
    <row r="28243" hidden="1" x14ac:dyDescent="0.2"/>
    <row r="28244" hidden="1" x14ac:dyDescent="0.2"/>
    <row r="28245" hidden="1" x14ac:dyDescent="0.2"/>
    <row r="28246" hidden="1" x14ac:dyDescent="0.2"/>
    <row r="28247" hidden="1" x14ac:dyDescent="0.2"/>
    <row r="28248" hidden="1" x14ac:dyDescent="0.2"/>
    <row r="28249" hidden="1" x14ac:dyDescent="0.2"/>
    <row r="28250" hidden="1" x14ac:dyDescent="0.2"/>
    <row r="28251" hidden="1" x14ac:dyDescent="0.2"/>
    <row r="28252" hidden="1" x14ac:dyDescent="0.2"/>
    <row r="28253" hidden="1" x14ac:dyDescent="0.2"/>
    <row r="28254" hidden="1" x14ac:dyDescent="0.2"/>
    <row r="28255" hidden="1" x14ac:dyDescent="0.2"/>
    <row r="28256" hidden="1" x14ac:dyDescent="0.2"/>
    <row r="28257" hidden="1" x14ac:dyDescent="0.2"/>
    <row r="28258" hidden="1" x14ac:dyDescent="0.2"/>
    <row r="28259" hidden="1" x14ac:dyDescent="0.2"/>
    <row r="28260" hidden="1" x14ac:dyDescent="0.2"/>
    <row r="28261" hidden="1" x14ac:dyDescent="0.2"/>
    <row r="28262" hidden="1" x14ac:dyDescent="0.2"/>
    <row r="28263" hidden="1" x14ac:dyDescent="0.2"/>
    <row r="28264" hidden="1" x14ac:dyDescent="0.2"/>
    <row r="28265" hidden="1" x14ac:dyDescent="0.2"/>
    <row r="28266" hidden="1" x14ac:dyDescent="0.2"/>
    <row r="28267" hidden="1" x14ac:dyDescent="0.2"/>
    <row r="28268" hidden="1" x14ac:dyDescent="0.2"/>
    <row r="28269" hidden="1" x14ac:dyDescent="0.2"/>
    <row r="28270" hidden="1" x14ac:dyDescent="0.2"/>
    <row r="28271" hidden="1" x14ac:dyDescent="0.2"/>
    <row r="28272" hidden="1" x14ac:dyDescent="0.2"/>
    <row r="28273" hidden="1" x14ac:dyDescent="0.2"/>
    <row r="28274" hidden="1" x14ac:dyDescent="0.2"/>
    <row r="28275" hidden="1" x14ac:dyDescent="0.2"/>
    <row r="28276" hidden="1" x14ac:dyDescent="0.2"/>
    <row r="28277" hidden="1" x14ac:dyDescent="0.2"/>
    <row r="28278" hidden="1" x14ac:dyDescent="0.2"/>
    <row r="28279" hidden="1" x14ac:dyDescent="0.2"/>
    <row r="28280" hidden="1" x14ac:dyDescent="0.2"/>
    <row r="28281" hidden="1" x14ac:dyDescent="0.2"/>
    <row r="28282" hidden="1" x14ac:dyDescent="0.2"/>
    <row r="28283" hidden="1" x14ac:dyDescent="0.2"/>
    <row r="28284" hidden="1" x14ac:dyDescent="0.2"/>
    <row r="28285" hidden="1" x14ac:dyDescent="0.2"/>
    <row r="28286" hidden="1" x14ac:dyDescent="0.2"/>
    <row r="28287" hidden="1" x14ac:dyDescent="0.2"/>
    <row r="28288" hidden="1" x14ac:dyDescent="0.2"/>
    <row r="28289" hidden="1" x14ac:dyDescent="0.2"/>
    <row r="28290" hidden="1" x14ac:dyDescent="0.2"/>
    <row r="28291" hidden="1" x14ac:dyDescent="0.2"/>
    <row r="28292" hidden="1" x14ac:dyDescent="0.2"/>
    <row r="28293" hidden="1" x14ac:dyDescent="0.2"/>
    <row r="28294" hidden="1" x14ac:dyDescent="0.2"/>
    <row r="28295" hidden="1" x14ac:dyDescent="0.2"/>
    <row r="28296" hidden="1" x14ac:dyDescent="0.2"/>
    <row r="28297" hidden="1" x14ac:dyDescent="0.2"/>
    <row r="28298" hidden="1" x14ac:dyDescent="0.2"/>
    <row r="28299" hidden="1" x14ac:dyDescent="0.2"/>
    <row r="28300" hidden="1" x14ac:dyDescent="0.2"/>
    <row r="28301" hidden="1" x14ac:dyDescent="0.2"/>
    <row r="28302" hidden="1" x14ac:dyDescent="0.2"/>
    <row r="28303" hidden="1" x14ac:dyDescent="0.2"/>
    <row r="28304" hidden="1" x14ac:dyDescent="0.2"/>
    <row r="28305" hidden="1" x14ac:dyDescent="0.2"/>
    <row r="28306" hidden="1" x14ac:dyDescent="0.2"/>
    <row r="28307" hidden="1" x14ac:dyDescent="0.2"/>
    <row r="28308" hidden="1" x14ac:dyDescent="0.2"/>
    <row r="28309" hidden="1" x14ac:dyDescent="0.2"/>
    <row r="28310" hidden="1" x14ac:dyDescent="0.2"/>
    <row r="28311" hidden="1" x14ac:dyDescent="0.2"/>
    <row r="28312" hidden="1" x14ac:dyDescent="0.2"/>
    <row r="28313" hidden="1" x14ac:dyDescent="0.2"/>
    <row r="28314" hidden="1" x14ac:dyDescent="0.2"/>
    <row r="28315" hidden="1" x14ac:dyDescent="0.2"/>
    <row r="28316" hidden="1" x14ac:dyDescent="0.2"/>
    <row r="28317" hidden="1" x14ac:dyDescent="0.2"/>
    <row r="28318" hidden="1" x14ac:dyDescent="0.2"/>
    <row r="28319" hidden="1" x14ac:dyDescent="0.2"/>
    <row r="28320" hidden="1" x14ac:dyDescent="0.2"/>
    <row r="28321" hidden="1" x14ac:dyDescent="0.2"/>
    <row r="28322" hidden="1" x14ac:dyDescent="0.2"/>
    <row r="28323" hidden="1" x14ac:dyDescent="0.2"/>
    <row r="28324" hidden="1" x14ac:dyDescent="0.2"/>
    <row r="28325" hidden="1" x14ac:dyDescent="0.2"/>
    <row r="28326" hidden="1" x14ac:dyDescent="0.2"/>
    <row r="28327" hidden="1" x14ac:dyDescent="0.2"/>
    <row r="28328" hidden="1" x14ac:dyDescent="0.2"/>
    <row r="28329" hidden="1" x14ac:dyDescent="0.2"/>
    <row r="28330" hidden="1" x14ac:dyDescent="0.2"/>
    <row r="28331" hidden="1" x14ac:dyDescent="0.2"/>
    <row r="28332" hidden="1" x14ac:dyDescent="0.2"/>
    <row r="28333" hidden="1" x14ac:dyDescent="0.2"/>
    <row r="28334" hidden="1" x14ac:dyDescent="0.2"/>
    <row r="28335" hidden="1" x14ac:dyDescent="0.2"/>
    <row r="28336" hidden="1" x14ac:dyDescent="0.2"/>
    <row r="28337" hidden="1" x14ac:dyDescent="0.2"/>
    <row r="28338" hidden="1" x14ac:dyDescent="0.2"/>
    <row r="28339" hidden="1" x14ac:dyDescent="0.2"/>
    <row r="28340" hidden="1" x14ac:dyDescent="0.2"/>
    <row r="28341" hidden="1" x14ac:dyDescent="0.2"/>
    <row r="28342" hidden="1" x14ac:dyDescent="0.2"/>
    <row r="28343" hidden="1" x14ac:dyDescent="0.2"/>
    <row r="28344" hidden="1" x14ac:dyDescent="0.2"/>
    <row r="28345" hidden="1" x14ac:dyDescent="0.2"/>
    <row r="28346" hidden="1" x14ac:dyDescent="0.2"/>
    <row r="28347" hidden="1" x14ac:dyDescent="0.2"/>
    <row r="28348" hidden="1" x14ac:dyDescent="0.2"/>
    <row r="28349" hidden="1" x14ac:dyDescent="0.2"/>
    <row r="28350" hidden="1" x14ac:dyDescent="0.2"/>
    <row r="28351" hidden="1" x14ac:dyDescent="0.2"/>
    <row r="28352" hidden="1" x14ac:dyDescent="0.2"/>
    <row r="28353" hidden="1" x14ac:dyDescent="0.2"/>
    <row r="28354" hidden="1" x14ac:dyDescent="0.2"/>
    <row r="28355" hidden="1" x14ac:dyDescent="0.2"/>
    <row r="28356" hidden="1" x14ac:dyDescent="0.2"/>
    <row r="28357" hidden="1" x14ac:dyDescent="0.2"/>
    <row r="28358" hidden="1" x14ac:dyDescent="0.2"/>
    <row r="28359" hidden="1" x14ac:dyDescent="0.2"/>
    <row r="28360" hidden="1" x14ac:dyDescent="0.2"/>
    <row r="28361" hidden="1" x14ac:dyDescent="0.2"/>
    <row r="28362" hidden="1" x14ac:dyDescent="0.2"/>
    <row r="28363" hidden="1" x14ac:dyDescent="0.2"/>
    <row r="28364" hidden="1" x14ac:dyDescent="0.2"/>
    <row r="28365" hidden="1" x14ac:dyDescent="0.2"/>
    <row r="28366" hidden="1" x14ac:dyDescent="0.2"/>
    <row r="28367" hidden="1" x14ac:dyDescent="0.2"/>
    <row r="28368" hidden="1" x14ac:dyDescent="0.2"/>
    <row r="28369" hidden="1" x14ac:dyDescent="0.2"/>
    <row r="28370" hidden="1" x14ac:dyDescent="0.2"/>
    <row r="28371" hidden="1" x14ac:dyDescent="0.2"/>
    <row r="28372" hidden="1" x14ac:dyDescent="0.2"/>
    <row r="28373" hidden="1" x14ac:dyDescent="0.2"/>
    <row r="28374" hidden="1" x14ac:dyDescent="0.2"/>
    <row r="28375" hidden="1" x14ac:dyDescent="0.2"/>
    <row r="28376" hidden="1" x14ac:dyDescent="0.2"/>
    <row r="28377" hidden="1" x14ac:dyDescent="0.2"/>
    <row r="28378" hidden="1" x14ac:dyDescent="0.2"/>
    <row r="28379" hidden="1" x14ac:dyDescent="0.2"/>
    <row r="28380" hidden="1" x14ac:dyDescent="0.2"/>
    <row r="28381" hidden="1" x14ac:dyDescent="0.2"/>
    <row r="28382" hidden="1" x14ac:dyDescent="0.2"/>
    <row r="28383" hidden="1" x14ac:dyDescent="0.2"/>
    <row r="28384" hidden="1" x14ac:dyDescent="0.2"/>
    <row r="28385" hidden="1" x14ac:dyDescent="0.2"/>
    <row r="28386" hidden="1" x14ac:dyDescent="0.2"/>
    <row r="28387" hidden="1" x14ac:dyDescent="0.2"/>
    <row r="28388" hidden="1" x14ac:dyDescent="0.2"/>
    <row r="28389" hidden="1" x14ac:dyDescent="0.2"/>
    <row r="28390" hidden="1" x14ac:dyDescent="0.2"/>
    <row r="28391" hidden="1" x14ac:dyDescent="0.2"/>
    <row r="28392" hidden="1" x14ac:dyDescent="0.2"/>
    <row r="28393" hidden="1" x14ac:dyDescent="0.2"/>
    <row r="28394" hidden="1" x14ac:dyDescent="0.2"/>
    <row r="28395" hidden="1" x14ac:dyDescent="0.2"/>
    <row r="28396" hidden="1" x14ac:dyDescent="0.2"/>
    <row r="28397" hidden="1" x14ac:dyDescent="0.2"/>
    <row r="28398" hidden="1" x14ac:dyDescent="0.2"/>
    <row r="28399" hidden="1" x14ac:dyDescent="0.2"/>
    <row r="28400" hidden="1" x14ac:dyDescent="0.2"/>
    <row r="28401" hidden="1" x14ac:dyDescent="0.2"/>
    <row r="28402" hidden="1" x14ac:dyDescent="0.2"/>
    <row r="28403" hidden="1" x14ac:dyDescent="0.2"/>
    <row r="28404" hidden="1" x14ac:dyDescent="0.2"/>
    <row r="28405" hidden="1" x14ac:dyDescent="0.2"/>
    <row r="28406" hidden="1" x14ac:dyDescent="0.2"/>
    <row r="28407" hidden="1" x14ac:dyDescent="0.2"/>
    <row r="28408" hidden="1" x14ac:dyDescent="0.2"/>
    <row r="28409" hidden="1" x14ac:dyDescent="0.2"/>
    <row r="28410" hidden="1" x14ac:dyDescent="0.2"/>
    <row r="28411" hidden="1" x14ac:dyDescent="0.2"/>
    <row r="28412" hidden="1" x14ac:dyDescent="0.2"/>
    <row r="28413" hidden="1" x14ac:dyDescent="0.2"/>
    <row r="28414" hidden="1" x14ac:dyDescent="0.2"/>
    <row r="28415" hidden="1" x14ac:dyDescent="0.2"/>
    <row r="28416" hidden="1" x14ac:dyDescent="0.2"/>
    <row r="28417" hidden="1" x14ac:dyDescent="0.2"/>
    <row r="28418" hidden="1" x14ac:dyDescent="0.2"/>
    <row r="28419" hidden="1" x14ac:dyDescent="0.2"/>
    <row r="28420" hidden="1" x14ac:dyDescent="0.2"/>
    <row r="28421" hidden="1" x14ac:dyDescent="0.2"/>
    <row r="28422" hidden="1" x14ac:dyDescent="0.2"/>
    <row r="28423" hidden="1" x14ac:dyDescent="0.2"/>
    <row r="28424" hidden="1" x14ac:dyDescent="0.2"/>
    <row r="28425" hidden="1" x14ac:dyDescent="0.2"/>
    <row r="28426" hidden="1" x14ac:dyDescent="0.2"/>
    <row r="28427" hidden="1" x14ac:dyDescent="0.2"/>
    <row r="28428" hidden="1" x14ac:dyDescent="0.2"/>
    <row r="28429" hidden="1" x14ac:dyDescent="0.2"/>
    <row r="28430" hidden="1" x14ac:dyDescent="0.2"/>
    <row r="28431" hidden="1" x14ac:dyDescent="0.2"/>
    <row r="28432" hidden="1" x14ac:dyDescent="0.2"/>
    <row r="28433" hidden="1" x14ac:dyDescent="0.2"/>
    <row r="28434" hidden="1" x14ac:dyDescent="0.2"/>
    <row r="28435" hidden="1" x14ac:dyDescent="0.2"/>
    <row r="28436" hidden="1" x14ac:dyDescent="0.2"/>
    <row r="28437" hidden="1" x14ac:dyDescent="0.2"/>
    <row r="28438" hidden="1" x14ac:dyDescent="0.2"/>
    <row r="28439" hidden="1" x14ac:dyDescent="0.2"/>
    <row r="28440" hidden="1" x14ac:dyDescent="0.2"/>
    <row r="28441" hidden="1" x14ac:dyDescent="0.2"/>
    <row r="28442" hidden="1" x14ac:dyDescent="0.2"/>
    <row r="28443" hidden="1" x14ac:dyDescent="0.2"/>
    <row r="28444" hidden="1" x14ac:dyDescent="0.2"/>
    <row r="28445" hidden="1" x14ac:dyDescent="0.2"/>
    <row r="28446" hidden="1" x14ac:dyDescent="0.2"/>
    <row r="28447" hidden="1" x14ac:dyDescent="0.2"/>
    <row r="28448" hidden="1" x14ac:dyDescent="0.2"/>
    <row r="28449" hidden="1" x14ac:dyDescent="0.2"/>
    <row r="28450" hidden="1" x14ac:dyDescent="0.2"/>
    <row r="28451" hidden="1" x14ac:dyDescent="0.2"/>
    <row r="28452" hidden="1" x14ac:dyDescent="0.2"/>
    <row r="28453" hidden="1" x14ac:dyDescent="0.2"/>
    <row r="28454" hidden="1" x14ac:dyDescent="0.2"/>
    <row r="28455" hidden="1" x14ac:dyDescent="0.2"/>
    <row r="28456" hidden="1" x14ac:dyDescent="0.2"/>
    <row r="28457" hidden="1" x14ac:dyDescent="0.2"/>
    <row r="28458" hidden="1" x14ac:dyDescent="0.2"/>
    <row r="28459" hidden="1" x14ac:dyDescent="0.2"/>
    <row r="28460" hidden="1" x14ac:dyDescent="0.2"/>
    <row r="28461" hidden="1" x14ac:dyDescent="0.2"/>
    <row r="28462" hidden="1" x14ac:dyDescent="0.2"/>
    <row r="28463" hidden="1" x14ac:dyDescent="0.2"/>
    <row r="28464" hidden="1" x14ac:dyDescent="0.2"/>
    <row r="28465" hidden="1" x14ac:dyDescent="0.2"/>
    <row r="28466" hidden="1" x14ac:dyDescent="0.2"/>
    <row r="28467" hidden="1" x14ac:dyDescent="0.2"/>
    <row r="28468" hidden="1" x14ac:dyDescent="0.2"/>
    <row r="28469" hidden="1" x14ac:dyDescent="0.2"/>
    <row r="28470" hidden="1" x14ac:dyDescent="0.2"/>
    <row r="28471" hidden="1" x14ac:dyDescent="0.2"/>
    <row r="28472" hidden="1" x14ac:dyDescent="0.2"/>
    <row r="28473" hidden="1" x14ac:dyDescent="0.2"/>
    <row r="28474" hidden="1" x14ac:dyDescent="0.2"/>
    <row r="28475" hidden="1" x14ac:dyDescent="0.2"/>
    <row r="28476" hidden="1" x14ac:dyDescent="0.2"/>
    <row r="28477" hidden="1" x14ac:dyDescent="0.2"/>
    <row r="28478" hidden="1" x14ac:dyDescent="0.2"/>
    <row r="28479" hidden="1" x14ac:dyDescent="0.2"/>
    <row r="28480" hidden="1" x14ac:dyDescent="0.2"/>
    <row r="28481" hidden="1" x14ac:dyDescent="0.2"/>
    <row r="28482" hidden="1" x14ac:dyDescent="0.2"/>
    <row r="28483" hidden="1" x14ac:dyDescent="0.2"/>
    <row r="28484" hidden="1" x14ac:dyDescent="0.2"/>
    <row r="28485" hidden="1" x14ac:dyDescent="0.2"/>
    <row r="28486" hidden="1" x14ac:dyDescent="0.2"/>
    <row r="28487" hidden="1" x14ac:dyDescent="0.2"/>
    <row r="28488" hidden="1" x14ac:dyDescent="0.2"/>
    <row r="28489" hidden="1" x14ac:dyDescent="0.2"/>
    <row r="28490" hidden="1" x14ac:dyDescent="0.2"/>
    <row r="28491" hidden="1" x14ac:dyDescent="0.2"/>
    <row r="28492" hidden="1" x14ac:dyDescent="0.2"/>
    <row r="28493" hidden="1" x14ac:dyDescent="0.2"/>
    <row r="28494" hidden="1" x14ac:dyDescent="0.2"/>
    <row r="28495" hidden="1" x14ac:dyDescent="0.2"/>
    <row r="28496" hidden="1" x14ac:dyDescent="0.2"/>
    <row r="28497" hidden="1" x14ac:dyDescent="0.2"/>
    <row r="28498" hidden="1" x14ac:dyDescent="0.2"/>
    <row r="28499" hidden="1" x14ac:dyDescent="0.2"/>
    <row r="28500" hidden="1" x14ac:dyDescent="0.2"/>
    <row r="28501" hidden="1" x14ac:dyDescent="0.2"/>
    <row r="28502" hidden="1" x14ac:dyDescent="0.2"/>
    <row r="28503" hidden="1" x14ac:dyDescent="0.2"/>
    <row r="28504" hidden="1" x14ac:dyDescent="0.2"/>
    <row r="28505" hidden="1" x14ac:dyDescent="0.2"/>
    <row r="28506" hidden="1" x14ac:dyDescent="0.2"/>
    <row r="28507" hidden="1" x14ac:dyDescent="0.2"/>
    <row r="28508" hidden="1" x14ac:dyDescent="0.2"/>
    <row r="28509" hidden="1" x14ac:dyDescent="0.2"/>
    <row r="28510" hidden="1" x14ac:dyDescent="0.2"/>
    <row r="28511" hidden="1" x14ac:dyDescent="0.2"/>
    <row r="28512" hidden="1" x14ac:dyDescent="0.2"/>
    <row r="28513" hidden="1" x14ac:dyDescent="0.2"/>
    <row r="28514" hidden="1" x14ac:dyDescent="0.2"/>
    <row r="28515" hidden="1" x14ac:dyDescent="0.2"/>
    <row r="28516" hidden="1" x14ac:dyDescent="0.2"/>
    <row r="28517" hidden="1" x14ac:dyDescent="0.2"/>
    <row r="28518" hidden="1" x14ac:dyDescent="0.2"/>
    <row r="28519" hidden="1" x14ac:dyDescent="0.2"/>
    <row r="28520" hidden="1" x14ac:dyDescent="0.2"/>
    <row r="28521" hidden="1" x14ac:dyDescent="0.2"/>
    <row r="28522" hidden="1" x14ac:dyDescent="0.2"/>
    <row r="28523" hidden="1" x14ac:dyDescent="0.2"/>
    <row r="28524" hidden="1" x14ac:dyDescent="0.2"/>
    <row r="28525" hidden="1" x14ac:dyDescent="0.2"/>
    <row r="28526" hidden="1" x14ac:dyDescent="0.2"/>
    <row r="28527" hidden="1" x14ac:dyDescent="0.2"/>
    <row r="28528" hidden="1" x14ac:dyDescent="0.2"/>
    <row r="28529" hidden="1" x14ac:dyDescent="0.2"/>
    <row r="28530" hidden="1" x14ac:dyDescent="0.2"/>
    <row r="28531" hidden="1" x14ac:dyDescent="0.2"/>
    <row r="28532" hidden="1" x14ac:dyDescent="0.2"/>
    <row r="28533" hidden="1" x14ac:dyDescent="0.2"/>
    <row r="28534" hidden="1" x14ac:dyDescent="0.2"/>
    <row r="28535" hidden="1" x14ac:dyDescent="0.2"/>
    <row r="28536" hidden="1" x14ac:dyDescent="0.2"/>
    <row r="28537" hidden="1" x14ac:dyDescent="0.2"/>
    <row r="28538" hidden="1" x14ac:dyDescent="0.2"/>
    <row r="28539" hidden="1" x14ac:dyDescent="0.2"/>
    <row r="28540" hidden="1" x14ac:dyDescent="0.2"/>
    <row r="28541" hidden="1" x14ac:dyDescent="0.2"/>
    <row r="28542" hidden="1" x14ac:dyDescent="0.2"/>
    <row r="28543" hidden="1" x14ac:dyDescent="0.2"/>
    <row r="28544" hidden="1" x14ac:dyDescent="0.2"/>
    <row r="28545" hidden="1" x14ac:dyDescent="0.2"/>
    <row r="28546" hidden="1" x14ac:dyDescent="0.2"/>
    <row r="28547" hidden="1" x14ac:dyDescent="0.2"/>
    <row r="28548" hidden="1" x14ac:dyDescent="0.2"/>
    <row r="28549" hidden="1" x14ac:dyDescent="0.2"/>
    <row r="28550" hidden="1" x14ac:dyDescent="0.2"/>
    <row r="28551" hidden="1" x14ac:dyDescent="0.2"/>
    <row r="28552" hidden="1" x14ac:dyDescent="0.2"/>
    <row r="28553" hidden="1" x14ac:dyDescent="0.2"/>
    <row r="28554" hidden="1" x14ac:dyDescent="0.2"/>
    <row r="28555" hidden="1" x14ac:dyDescent="0.2"/>
    <row r="28556" hidden="1" x14ac:dyDescent="0.2"/>
    <row r="28557" hidden="1" x14ac:dyDescent="0.2"/>
    <row r="28558" hidden="1" x14ac:dyDescent="0.2"/>
    <row r="28559" hidden="1" x14ac:dyDescent="0.2"/>
    <row r="28560" hidden="1" x14ac:dyDescent="0.2"/>
    <row r="28561" hidden="1" x14ac:dyDescent="0.2"/>
    <row r="28562" hidden="1" x14ac:dyDescent="0.2"/>
    <row r="28563" hidden="1" x14ac:dyDescent="0.2"/>
    <row r="28564" hidden="1" x14ac:dyDescent="0.2"/>
    <row r="28565" hidden="1" x14ac:dyDescent="0.2"/>
    <row r="28566" hidden="1" x14ac:dyDescent="0.2"/>
    <row r="28567" hidden="1" x14ac:dyDescent="0.2"/>
    <row r="28568" hidden="1" x14ac:dyDescent="0.2"/>
    <row r="28569" hidden="1" x14ac:dyDescent="0.2"/>
    <row r="28570" hidden="1" x14ac:dyDescent="0.2"/>
    <row r="28571" hidden="1" x14ac:dyDescent="0.2"/>
    <row r="28572" hidden="1" x14ac:dyDescent="0.2"/>
    <row r="28573" hidden="1" x14ac:dyDescent="0.2"/>
    <row r="28574" hidden="1" x14ac:dyDescent="0.2"/>
    <row r="28575" hidden="1" x14ac:dyDescent="0.2"/>
    <row r="28576" hidden="1" x14ac:dyDescent="0.2"/>
    <row r="28577" hidden="1" x14ac:dyDescent="0.2"/>
    <row r="28578" hidden="1" x14ac:dyDescent="0.2"/>
    <row r="28579" hidden="1" x14ac:dyDescent="0.2"/>
    <row r="28580" hidden="1" x14ac:dyDescent="0.2"/>
    <row r="28581" hidden="1" x14ac:dyDescent="0.2"/>
    <row r="28582" hidden="1" x14ac:dyDescent="0.2"/>
    <row r="28583" hidden="1" x14ac:dyDescent="0.2"/>
    <row r="28584" hidden="1" x14ac:dyDescent="0.2"/>
    <row r="28585" hidden="1" x14ac:dyDescent="0.2"/>
    <row r="28586" hidden="1" x14ac:dyDescent="0.2"/>
    <row r="28587" hidden="1" x14ac:dyDescent="0.2"/>
    <row r="28588" hidden="1" x14ac:dyDescent="0.2"/>
    <row r="28589" hidden="1" x14ac:dyDescent="0.2"/>
    <row r="28590" hidden="1" x14ac:dyDescent="0.2"/>
    <row r="28591" hidden="1" x14ac:dyDescent="0.2"/>
    <row r="28592" hidden="1" x14ac:dyDescent="0.2"/>
    <row r="28593" hidden="1" x14ac:dyDescent="0.2"/>
    <row r="28594" hidden="1" x14ac:dyDescent="0.2"/>
    <row r="28595" hidden="1" x14ac:dyDescent="0.2"/>
    <row r="28596" hidden="1" x14ac:dyDescent="0.2"/>
    <row r="28597" hidden="1" x14ac:dyDescent="0.2"/>
    <row r="28598" hidden="1" x14ac:dyDescent="0.2"/>
    <row r="28599" hidden="1" x14ac:dyDescent="0.2"/>
    <row r="28600" hidden="1" x14ac:dyDescent="0.2"/>
    <row r="28601" hidden="1" x14ac:dyDescent="0.2"/>
    <row r="28602" hidden="1" x14ac:dyDescent="0.2"/>
    <row r="28603" hidden="1" x14ac:dyDescent="0.2"/>
    <row r="28604" hidden="1" x14ac:dyDescent="0.2"/>
    <row r="28605" hidden="1" x14ac:dyDescent="0.2"/>
    <row r="28606" hidden="1" x14ac:dyDescent="0.2"/>
    <row r="28607" hidden="1" x14ac:dyDescent="0.2"/>
    <row r="28608" hidden="1" x14ac:dyDescent="0.2"/>
    <row r="28609" hidden="1" x14ac:dyDescent="0.2"/>
    <row r="28610" hidden="1" x14ac:dyDescent="0.2"/>
    <row r="28611" hidden="1" x14ac:dyDescent="0.2"/>
    <row r="28612" hidden="1" x14ac:dyDescent="0.2"/>
    <row r="28613" hidden="1" x14ac:dyDescent="0.2"/>
    <row r="28614" hidden="1" x14ac:dyDescent="0.2"/>
    <row r="28615" hidden="1" x14ac:dyDescent="0.2"/>
    <row r="28616" hidden="1" x14ac:dyDescent="0.2"/>
    <row r="28617" hidden="1" x14ac:dyDescent="0.2"/>
    <row r="28618" hidden="1" x14ac:dyDescent="0.2"/>
    <row r="28619" hidden="1" x14ac:dyDescent="0.2"/>
    <row r="28620" hidden="1" x14ac:dyDescent="0.2"/>
    <row r="28621" hidden="1" x14ac:dyDescent="0.2"/>
    <row r="28622" hidden="1" x14ac:dyDescent="0.2"/>
    <row r="28623" hidden="1" x14ac:dyDescent="0.2"/>
    <row r="28624" hidden="1" x14ac:dyDescent="0.2"/>
    <row r="28625" hidden="1" x14ac:dyDescent="0.2"/>
    <row r="28626" hidden="1" x14ac:dyDescent="0.2"/>
    <row r="28627" hidden="1" x14ac:dyDescent="0.2"/>
    <row r="28628" hidden="1" x14ac:dyDescent="0.2"/>
    <row r="28629" hidden="1" x14ac:dyDescent="0.2"/>
    <row r="28630" hidden="1" x14ac:dyDescent="0.2"/>
    <row r="28631" hidden="1" x14ac:dyDescent="0.2"/>
    <row r="28632" hidden="1" x14ac:dyDescent="0.2"/>
    <row r="28633" hidden="1" x14ac:dyDescent="0.2"/>
    <row r="28634" hidden="1" x14ac:dyDescent="0.2"/>
    <row r="28635" hidden="1" x14ac:dyDescent="0.2"/>
    <row r="28636" hidden="1" x14ac:dyDescent="0.2"/>
    <row r="28637" hidden="1" x14ac:dyDescent="0.2"/>
    <row r="28638" hidden="1" x14ac:dyDescent="0.2"/>
    <row r="28639" hidden="1" x14ac:dyDescent="0.2"/>
    <row r="28640" hidden="1" x14ac:dyDescent="0.2"/>
    <row r="28641" hidden="1" x14ac:dyDescent="0.2"/>
    <row r="28642" hidden="1" x14ac:dyDescent="0.2"/>
    <row r="28643" hidden="1" x14ac:dyDescent="0.2"/>
    <row r="28644" hidden="1" x14ac:dyDescent="0.2"/>
    <row r="28645" hidden="1" x14ac:dyDescent="0.2"/>
    <row r="28646" hidden="1" x14ac:dyDescent="0.2"/>
    <row r="28647" hidden="1" x14ac:dyDescent="0.2"/>
    <row r="28648" hidden="1" x14ac:dyDescent="0.2"/>
    <row r="28649" hidden="1" x14ac:dyDescent="0.2"/>
    <row r="28650" hidden="1" x14ac:dyDescent="0.2"/>
    <row r="28651" hidden="1" x14ac:dyDescent="0.2"/>
    <row r="28652" hidden="1" x14ac:dyDescent="0.2"/>
    <row r="28653" hidden="1" x14ac:dyDescent="0.2"/>
    <row r="28654" hidden="1" x14ac:dyDescent="0.2"/>
    <row r="28655" hidden="1" x14ac:dyDescent="0.2"/>
    <row r="28656" hidden="1" x14ac:dyDescent="0.2"/>
    <row r="28657" hidden="1" x14ac:dyDescent="0.2"/>
    <row r="28658" hidden="1" x14ac:dyDescent="0.2"/>
    <row r="28659" hidden="1" x14ac:dyDescent="0.2"/>
    <row r="28660" hidden="1" x14ac:dyDescent="0.2"/>
    <row r="28661" hidden="1" x14ac:dyDescent="0.2"/>
    <row r="28662" hidden="1" x14ac:dyDescent="0.2"/>
    <row r="28663" hidden="1" x14ac:dyDescent="0.2"/>
    <row r="28664" hidden="1" x14ac:dyDescent="0.2"/>
    <row r="28665" hidden="1" x14ac:dyDescent="0.2"/>
    <row r="28666" hidden="1" x14ac:dyDescent="0.2"/>
    <row r="28667" hidden="1" x14ac:dyDescent="0.2"/>
    <row r="28668" hidden="1" x14ac:dyDescent="0.2"/>
    <row r="28669" hidden="1" x14ac:dyDescent="0.2"/>
    <row r="28670" hidden="1" x14ac:dyDescent="0.2"/>
    <row r="28671" hidden="1" x14ac:dyDescent="0.2"/>
    <row r="28672" hidden="1" x14ac:dyDescent="0.2"/>
    <row r="28673" hidden="1" x14ac:dyDescent="0.2"/>
    <row r="28674" hidden="1" x14ac:dyDescent="0.2"/>
    <row r="28675" hidden="1" x14ac:dyDescent="0.2"/>
    <row r="28676" hidden="1" x14ac:dyDescent="0.2"/>
    <row r="28677" hidden="1" x14ac:dyDescent="0.2"/>
    <row r="28678" hidden="1" x14ac:dyDescent="0.2"/>
    <row r="28679" hidden="1" x14ac:dyDescent="0.2"/>
    <row r="28680" hidden="1" x14ac:dyDescent="0.2"/>
    <row r="28681" hidden="1" x14ac:dyDescent="0.2"/>
    <row r="28682" hidden="1" x14ac:dyDescent="0.2"/>
    <row r="28683" hidden="1" x14ac:dyDescent="0.2"/>
    <row r="28684" hidden="1" x14ac:dyDescent="0.2"/>
    <row r="28685" hidden="1" x14ac:dyDescent="0.2"/>
    <row r="28686" hidden="1" x14ac:dyDescent="0.2"/>
    <row r="28687" hidden="1" x14ac:dyDescent="0.2"/>
    <row r="28688" hidden="1" x14ac:dyDescent="0.2"/>
    <row r="28689" hidden="1" x14ac:dyDescent="0.2"/>
    <row r="28690" hidden="1" x14ac:dyDescent="0.2"/>
    <row r="28691" hidden="1" x14ac:dyDescent="0.2"/>
    <row r="28692" hidden="1" x14ac:dyDescent="0.2"/>
    <row r="28693" hidden="1" x14ac:dyDescent="0.2"/>
    <row r="28694" hidden="1" x14ac:dyDescent="0.2"/>
    <row r="28695" hidden="1" x14ac:dyDescent="0.2"/>
    <row r="28696" hidden="1" x14ac:dyDescent="0.2"/>
    <row r="28697" hidden="1" x14ac:dyDescent="0.2"/>
    <row r="28698" hidden="1" x14ac:dyDescent="0.2"/>
    <row r="28699" hidden="1" x14ac:dyDescent="0.2"/>
    <row r="28700" hidden="1" x14ac:dyDescent="0.2"/>
    <row r="28701" hidden="1" x14ac:dyDescent="0.2"/>
    <row r="28702" hidden="1" x14ac:dyDescent="0.2"/>
    <row r="28703" hidden="1" x14ac:dyDescent="0.2"/>
    <row r="28704" hidden="1" x14ac:dyDescent="0.2"/>
    <row r="28705" hidden="1" x14ac:dyDescent="0.2"/>
    <row r="28706" hidden="1" x14ac:dyDescent="0.2"/>
    <row r="28707" hidden="1" x14ac:dyDescent="0.2"/>
    <row r="28708" hidden="1" x14ac:dyDescent="0.2"/>
    <row r="28709" hidden="1" x14ac:dyDescent="0.2"/>
    <row r="28710" hidden="1" x14ac:dyDescent="0.2"/>
    <row r="28711" hidden="1" x14ac:dyDescent="0.2"/>
    <row r="28712" hidden="1" x14ac:dyDescent="0.2"/>
    <row r="28713" hidden="1" x14ac:dyDescent="0.2"/>
    <row r="28714" hidden="1" x14ac:dyDescent="0.2"/>
    <row r="28715" hidden="1" x14ac:dyDescent="0.2"/>
    <row r="28716" hidden="1" x14ac:dyDescent="0.2"/>
    <row r="28717" hidden="1" x14ac:dyDescent="0.2"/>
    <row r="28718" hidden="1" x14ac:dyDescent="0.2"/>
    <row r="28719" hidden="1" x14ac:dyDescent="0.2"/>
    <row r="28720" hidden="1" x14ac:dyDescent="0.2"/>
    <row r="28721" hidden="1" x14ac:dyDescent="0.2"/>
    <row r="28722" hidden="1" x14ac:dyDescent="0.2"/>
    <row r="28723" hidden="1" x14ac:dyDescent="0.2"/>
    <row r="28724" hidden="1" x14ac:dyDescent="0.2"/>
    <row r="28725" hidden="1" x14ac:dyDescent="0.2"/>
    <row r="28726" hidden="1" x14ac:dyDescent="0.2"/>
    <row r="28727" hidden="1" x14ac:dyDescent="0.2"/>
    <row r="28728" hidden="1" x14ac:dyDescent="0.2"/>
    <row r="28729" hidden="1" x14ac:dyDescent="0.2"/>
    <row r="28730" hidden="1" x14ac:dyDescent="0.2"/>
    <row r="28731" hidden="1" x14ac:dyDescent="0.2"/>
    <row r="28732" hidden="1" x14ac:dyDescent="0.2"/>
    <row r="28733" hidden="1" x14ac:dyDescent="0.2"/>
    <row r="28734" hidden="1" x14ac:dyDescent="0.2"/>
    <row r="28735" hidden="1" x14ac:dyDescent="0.2"/>
    <row r="28736" hidden="1" x14ac:dyDescent="0.2"/>
    <row r="28737" hidden="1" x14ac:dyDescent="0.2"/>
    <row r="28738" hidden="1" x14ac:dyDescent="0.2"/>
    <row r="28739" hidden="1" x14ac:dyDescent="0.2"/>
    <row r="28740" hidden="1" x14ac:dyDescent="0.2"/>
    <row r="28741" hidden="1" x14ac:dyDescent="0.2"/>
    <row r="28742" hidden="1" x14ac:dyDescent="0.2"/>
    <row r="28743" hidden="1" x14ac:dyDescent="0.2"/>
    <row r="28744" hidden="1" x14ac:dyDescent="0.2"/>
    <row r="28745" hidden="1" x14ac:dyDescent="0.2"/>
    <row r="28746" hidden="1" x14ac:dyDescent="0.2"/>
    <row r="28747" hidden="1" x14ac:dyDescent="0.2"/>
    <row r="28748" hidden="1" x14ac:dyDescent="0.2"/>
    <row r="28749" hidden="1" x14ac:dyDescent="0.2"/>
    <row r="28750" hidden="1" x14ac:dyDescent="0.2"/>
    <row r="28751" hidden="1" x14ac:dyDescent="0.2"/>
    <row r="28752" hidden="1" x14ac:dyDescent="0.2"/>
    <row r="28753" hidden="1" x14ac:dyDescent="0.2"/>
    <row r="28754" hidden="1" x14ac:dyDescent="0.2"/>
    <row r="28755" hidden="1" x14ac:dyDescent="0.2"/>
    <row r="28756" hidden="1" x14ac:dyDescent="0.2"/>
    <row r="28757" hidden="1" x14ac:dyDescent="0.2"/>
    <row r="28758" hidden="1" x14ac:dyDescent="0.2"/>
    <row r="28759" hidden="1" x14ac:dyDescent="0.2"/>
    <row r="28760" hidden="1" x14ac:dyDescent="0.2"/>
    <row r="28761" hidden="1" x14ac:dyDescent="0.2"/>
    <row r="28762" hidden="1" x14ac:dyDescent="0.2"/>
    <row r="28763" hidden="1" x14ac:dyDescent="0.2"/>
    <row r="28764" hidden="1" x14ac:dyDescent="0.2"/>
    <row r="28765" hidden="1" x14ac:dyDescent="0.2"/>
    <row r="28766" hidden="1" x14ac:dyDescent="0.2"/>
    <row r="28767" hidden="1" x14ac:dyDescent="0.2"/>
    <row r="28768" hidden="1" x14ac:dyDescent="0.2"/>
    <row r="28769" hidden="1" x14ac:dyDescent="0.2"/>
    <row r="28770" hidden="1" x14ac:dyDescent="0.2"/>
    <row r="28771" hidden="1" x14ac:dyDescent="0.2"/>
    <row r="28772" hidden="1" x14ac:dyDescent="0.2"/>
    <row r="28773" hidden="1" x14ac:dyDescent="0.2"/>
    <row r="28774" hidden="1" x14ac:dyDescent="0.2"/>
    <row r="28775" hidden="1" x14ac:dyDescent="0.2"/>
    <row r="28776" hidden="1" x14ac:dyDescent="0.2"/>
    <row r="28777" hidden="1" x14ac:dyDescent="0.2"/>
    <row r="28778" hidden="1" x14ac:dyDescent="0.2"/>
    <row r="28779" hidden="1" x14ac:dyDescent="0.2"/>
    <row r="28780" hidden="1" x14ac:dyDescent="0.2"/>
    <row r="28781" hidden="1" x14ac:dyDescent="0.2"/>
    <row r="28782" hidden="1" x14ac:dyDescent="0.2"/>
    <row r="28783" hidden="1" x14ac:dyDescent="0.2"/>
    <row r="28784" hidden="1" x14ac:dyDescent="0.2"/>
    <row r="28785" hidden="1" x14ac:dyDescent="0.2"/>
    <row r="28786" hidden="1" x14ac:dyDescent="0.2"/>
    <row r="28787" hidden="1" x14ac:dyDescent="0.2"/>
    <row r="28788" hidden="1" x14ac:dyDescent="0.2"/>
    <row r="28789" hidden="1" x14ac:dyDescent="0.2"/>
    <row r="28790" hidden="1" x14ac:dyDescent="0.2"/>
    <row r="28791" hidden="1" x14ac:dyDescent="0.2"/>
    <row r="28792" hidden="1" x14ac:dyDescent="0.2"/>
    <row r="28793" hidden="1" x14ac:dyDescent="0.2"/>
    <row r="28794" hidden="1" x14ac:dyDescent="0.2"/>
    <row r="28795" hidden="1" x14ac:dyDescent="0.2"/>
    <row r="28796" hidden="1" x14ac:dyDescent="0.2"/>
    <row r="28797" hidden="1" x14ac:dyDescent="0.2"/>
    <row r="28798" hidden="1" x14ac:dyDescent="0.2"/>
    <row r="28799" hidden="1" x14ac:dyDescent="0.2"/>
    <row r="28800" hidden="1" x14ac:dyDescent="0.2"/>
    <row r="28801" hidden="1" x14ac:dyDescent="0.2"/>
    <row r="28802" hidden="1" x14ac:dyDescent="0.2"/>
    <row r="28803" hidden="1" x14ac:dyDescent="0.2"/>
    <row r="28804" hidden="1" x14ac:dyDescent="0.2"/>
    <row r="28805" hidden="1" x14ac:dyDescent="0.2"/>
    <row r="28806" hidden="1" x14ac:dyDescent="0.2"/>
    <row r="28807" hidden="1" x14ac:dyDescent="0.2"/>
    <row r="28808" hidden="1" x14ac:dyDescent="0.2"/>
    <row r="28809" hidden="1" x14ac:dyDescent="0.2"/>
    <row r="28810" hidden="1" x14ac:dyDescent="0.2"/>
    <row r="28811" hidden="1" x14ac:dyDescent="0.2"/>
    <row r="28812" hidden="1" x14ac:dyDescent="0.2"/>
    <row r="28813" hidden="1" x14ac:dyDescent="0.2"/>
    <row r="28814" hidden="1" x14ac:dyDescent="0.2"/>
    <row r="28815" hidden="1" x14ac:dyDescent="0.2"/>
    <row r="28816" hidden="1" x14ac:dyDescent="0.2"/>
    <row r="28817" hidden="1" x14ac:dyDescent="0.2"/>
    <row r="28818" hidden="1" x14ac:dyDescent="0.2"/>
    <row r="28819" hidden="1" x14ac:dyDescent="0.2"/>
    <row r="28820" hidden="1" x14ac:dyDescent="0.2"/>
    <row r="28821" hidden="1" x14ac:dyDescent="0.2"/>
    <row r="28822" hidden="1" x14ac:dyDescent="0.2"/>
    <row r="28823" hidden="1" x14ac:dyDescent="0.2"/>
    <row r="28824" hidden="1" x14ac:dyDescent="0.2"/>
    <row r="28825" hidden="1" x14ac:dyDescent="0.2"/>
    <row r="28826" hidden="1" x14ac:dyDescent="0.2"/>
    <row r="28827" hidden="1" x14ac:dyDescent="0.2"/>
    <row r="28828" hidden="1" x14ac:dyDescent="0.2"/>
    <row r="28829" hidden="1" x14ac:dyDescent="0.2"/>
    <row r="28830" hidden="1" x14ac:dyDescent="0.2"/>
    <row r="28831" hidden="1" x14ac:dyDescent="0.2"/>
    <row r="28832" hidden="1" x14ac:dyDescent="0.2"/>
    <row r="28833" hidden="1" x14ac:dyDescent="0.2"/>
    <row r="28834" hidden="1" x14ac:dyDescent="0.2"/>
    <row r="28835" hidden="1" x14ac:dyDescent="0.2"/>
    <row r="28836" hidden="1" x14ac:dyDescent="0.2"/>
    <row r="28837" hidden="1" x14ac:dyDescent="0.2"/>
    <row r="28838" hidden="1" x14ac:dyDescent="0.2"/>
    <row r="28839" hidden="1" x14ac:dyDescent="0.2"/>
    <row r="28840" hidden="1" x14ac:dyDescent="0.2"/>
    <row r="28841" hidden="1" x14ac:dyDescent="0.2"/>
    <row r="28842" hidden="1" x14ac:dyDescent="0.2"/>
    <row r="28843" hidden="1" x14ac:dyDescent="0.2"/>
    <row r="28844" hidden="1" x14ac:dyDescent="0.2"/>
    <row r="28845" hidden="1" x14ac:dyDescent="0.2"/>
    <row r="28846" hidden="1" x14ac:dyDescent="0.2"/>
    <row r="28847" hidden="1" x14ac:dyDescent="0.2"/>
    <row r="28848" hidden="1" x14ac:dyDescent="0.2"/>
    <row r="28849" hidden="1" x14ac:dyDescent="0.2"/>
    <row r="28850" hidden="1" x14ac:dyDescent="0.2"/>
    <row r="28851" hidden="1" x14ac:dyDescent="0.2"/>
    <row r="28852" hidden="1" x14ac:dyDescent="0.2"/>
    <row r="28853" hidden="1" x14ac:dyDescent="0.2"/>
    <row r="28854" hidden="1" x14ac:dyDescent="0.2"/>
    <row r="28855" hidden="1" x14ac:dyDescent="0.2"/>
    <row r="28856" hidden="1" x14ac:dyDescent="0.2"/>
    <row r="28857" hidden="1" x14ac:dyDescent="0.2"/>
    <row r="28858" hidden="1" x14ac:dyDescent="0.2"/>
    <row r="28859" hidden="1" x14ac:dyDescent="0.2"/>
    <row r="28860" hidden="1" x14ac:dyDescent="0.2"/>
    <row r="28861" hidden="1" x14ac:dyDescent="0.2"/>
    <row r="28862" hidden="1" x14ac:dyDescent="0.2"/>
    <row r="28863" hidden="1" x14ac:dyDescent="0.2"/>
    <row r="28864" hidden="1" x14ac:dyDescent="0.2"/>
    <row r="28865" hidden="1" x14ac:dyDescent="0.2"/>
    <row r="28866" hidden="1" x14ac:dyDescent="0.2"/>
    <row r="28867" hidden="1" x14ac:dyDescent="0.2"/>
    <row r="28868" hidden="1" x14ac:dyDescent="0.2"/>
    <row r="28869" hidden="1" x14ac:dyDescent="0.2"/>
    <row r="28870" hidden="1" x14ac:dyDescent="0.2"/>
    <row r="28871" hidden="1" x14ac:dyDescent="0.2"/>
    <row r="28872" hidden="1" x14ac:dyDescent="0.2"/>
    <row r="28873" hidden="1" x14ac:dyDescent="0.2"/>
    <row r="28874" hidden="1" x14ac:dyDescent="0.2"/>
    <row r="28875" hidden="1" x14ac:dyDescent="0.2"/>
    <row r="28876" hidden="1" x14ac:dyDescent="0.2"/>
    <row r="28877" hidden="1" x14ac:dyDescent="0.2"/>
    <row r="28878" hidden="1" x14ac:dyDescent="0.2"/>
    <row r="28879" hidden="1" x14ac:dyDescent="0.2"/>
    <row r="28880" hidden="1" x14ac:dyDescent="0.2"/>
    <row r="28881" hidden="1" x14ac:dyDescent="0.2"/>
    <row r="28882" hidden="1" x14ac:dyDescent="0.2"/>
    <row r="28883" hidden="1" x14ac:dyDescent="0.2"/>
    <row r="28884" hidden="1" x14ac:dyDescent="0.2"/>
    <row r="28885" hidden="1" x14ac:dyDescent="0.2"/>
    <row r="28886" hidden="1" x14ac:dyDescent="0.2"/>
    <row r="28887" hidden="1" x14ac:dyDescent="0.2"/>
    <row r="28888" hidden="1" x14ac:dyDescent="0.2"/>
    <row r="28889" hidden="1" x14ac:dyDescent="0.2"/>
    <row r="28890" hidden="1" x14ac:dyDescent="0.2"/>
    <row r="28891" hidden="1" x14ac:dyDescent="0.2"/>
    <row r="28892" hidden="1" x14ac:dyDescent="0.2"/>
    <row r="28893" hidden="1" x14ac:dyDescent="0.2"/>
    <row r="28894" hidden="1" x14ac:dyDescent="0.2"/>
    <row r="28895" hidden="1" x14ac:dyDescent="0.2"/>
    <row r="28896" hidden="1" x14ac:dyDescent="0.2"/>
    <row r="28897" hidden="1" x14ac:dyDescent="0.2"/>
    <row r="28898" hidden="1" x14ac:dyDescent="0.2"/>
    <row r="28899" hidden="1" x14ac:dyDescent="0.2"/>
    <row r="28900" hidden="1" x14ac:dyDescent="0.2"/>
    <row r="28901" hidden="1" x14ac:dyDescent="0.2"/>
    <row r="28902" hidden="1" x14ac:dyDescent="0.2"/>
    <row r="28903" hidden="1" x14ac:dyDescent="0.2"/>
    <row r="28904" hidden="1" x14ac:dyDescent="0.2"/>
    <row r="28905" hidden="1" x14ac:dyDescent="0.2"/>
    <row r="28906" hidden="1" x14ac:dyDescent="0.2"/>
    <row r="28907" hidden="1" x14ac:dyDescent="0.2"/>
    <row r="28908" hidden="1" x14ac:dyDescent="0.2"/>
    <row r="28909" hidden="1" x14ac:dyDescent="0.2"/>
    <row r="28910" hidden="1" x14ac:dyDescent="0.2"/>
    <row r="28911" hidden="1" x14ac:dyDescent="0.2"/>
    <row r="28912" hidden="1" x14ac:dyDescent="0.2"/>
    <row r="28913" hidden="1" x14ac:dyDescent="0.2"/>
    <row r="28914" hidden="1" x14ac:dyDescent="0.2"/>
    <row r="28915" hidden="1" x14ac:dyDescent="0.2"/>
    <row r="28916" hidden="1" x14ac:dyDescent="0.2"/>
    <row r="28917" hidden="1" x14ac:dyDescent="0.2"/>
    <row r="28918" hidden="1" x14ac:dyDescent="0.2"/>
    <row r="28919" hidden="1" x14ac:dyDescent="0.2"/>
    <row r="28920" hidden="1" x14ac:dyDescent="0.2"/>
    <row r="28921" hidden="1" x14ac:dyDescent="0.2"/>
    <row r="28922" hidden="1" x14ac:dyDescent="0.2"/>
    <row r="28923" hidden="1" x14ac:dyDescent="0.2"/>
    <row r="28924" hidden="1" x14ac:dyDescent="0.2"/>
    <row r="28925" hidden="1" x14ac:dyDescent="0.2"/>
    <row r="28926" hidden="1" x14ac:dyDescent="0.2"/>
    <row r="28927" hidden="1" x14ac:dyDescent="0.2"/>
    <row r="28928" hidden="1" x14ac:dyDescent="0.2"/>
    <row r="28929" hidden="1" x14ac:dyDescent="0.2"/>
    <row r="28930" hidden="1" x14ac:dyDescent="0.2"/>
    <row r="28931" hidden="1" x14ac:dyDescent="0.2"/>
    <row r="28932" hidden="1" x14ac:dyDescent="0.2"/>
    <row r="28933" hidden="1" x14ac:dyDescent="0.2"/>
    <row r="28934" hidden="1" x14ac:dyDescent="0.2"/>
    <row r="28935" hidden="1" x14ac:dyDescent="0.2"/>
    <row r="28936" hidden="1" x14ac:dyDescent="0.2"/>
    <row r="28937" hidden="1" x14ac:dyDescent="0.2"/>
    <row r="28938" hidden="1" x14ac:dyDescent="0.2"/>
    <row r="28939" hidden="1" x14ac:dyDescent="0.2"/>
    <row r="28940" hidden="1" x14ac:dyDescent="0.2"/>
    <row r="28941" hidden="1" x14ac:dyDescent="0.2"/>
    <row r="28942" hidden="1" x14ac:dyDescent="0.2"/>
    <row r="28943" hidden="1" x14ac:dyDescent="0.2"/>
    <row r="28944" hidden="1" x14ac:dyDescent="0.2"/>
    <row r="28945" hidden="1" x14ac:dyDescent="0.2"/>
    <row r="28946" hidden="1" x14ac:dyDescent="0.2"/>
    <row r="28947" hidden="1" x14ac:dyDescent="0.2"/>
    <row r="28948" hidden="1" x14ac:dyDescent="0.2"/>
    <row r="28949" hidden="1" x14ac:dyDescent="0.2"/>
    <row r="28950" hidden="1" x14ac:dyDescent="0.2"/>
    <row r="28951" hidden="1" x14ac:dyDescent="0.2"/>
    <row r="28952" hidden="1" x14ac:dyDescent="0.2"/>
    <row r="28953" hidden="1" x14ac:dyDescent="0.2"/>
    <row r="28954" hidden="1" x14ac:dyDescent="0.2"/>
    <row r="28955" hidden="1" x14ac:dyDescent="0.2"/>
    <row r="28956" hidden="1" x14ac:dyDescent="0.2"/>
    <row r="28957" hidden="1" x14ac:dyDescent="0.2"/>
    <row r="28958" hidden="1" x14ac:dyDescent="0.2"/>
    <row r="28959" hidden="1" x14ac:dyDescent="0.2"/>
    <row r="28960" hidden="1" x14ac:dyDescent="0.2"/>
    <row r="28961" hidden="1" x14ac:dyDescent="0.2"/>
    <row r="28962" hidden="1" x14ac:dyDescent="0.2"/>
    <row r="28963" hidden="1" x14ac:dyDescent="0.2"/>
    <row r="28964" hidden="1" x14ac:dyDescent="0.2"/>
    <row r="28965" hidden="1" x14ac:dyDescent="0.2"/>
    <row r="28966" hidden="1" x14ac:dyDescent="0.2"/>
    <row r="28967" hidden="1" x14ac:dyDescent="0.2"/>
    <row r="28968" hidden="1" x14ac:dyDescent="0.2"/>
    <row r="28969" hidden="1" x14ac:dyDescent="0.2"/>
    <row r="28970" hidden="1" x14ac:dyDescent="0.2"/>
    <row r="28971" hidden="1" x14ac:dyDescent="0.2"/>
    <row r="28972" hidden="1" x14ac:dyDescent="0.2"/>
    <row r="28973" hidden="1" x14ac:dyDescent="0.2"/>
    <row r="28974" hidden="1" x14ac:dyDescent="0.2"/>
    <row r="28975" hidden="1" x14ac:dyDescent="0.2"/>
    <row r="28976" hidden="1" x14ac:dyDescent="0.2"/>
    <row r="28977" hidden="1" x14ac:dyDescent="0.2"/>
    <row r="28978" hidden="1" x14ac:dyDescent="0.2"/>
    <row r="28979" hidden="1" x14ac:dyDescent="0.2"/>
    <row r="28980" hidden="1" x14ac:dyDescent="0.2"/>
    <row r="28981" hidden="1" x14ac:dyDescent="0.2"/>
    <row r="28982" hidden="1" x14ac:dyDescent="0.2"/>
    <row r="28983" hidden="1" x14ac:dyDescent="0.2"/>
    <row r="28984" hidden="1" x14ac:dyDescent="0.2"/>
    <row r="28985" hidden="1" x14ac:dyDescent="0.2"/>
    <row r="28986" hidden="1" x14ac:dyDescent="0.2"/>
    <row r="28987" hidden="1" x14ac:dyDescent="0.2"/>
    <row r="28988" hidden="1" x14ac:dyDescent="0.2"/>
    <row r="28989" hidden="1" x14ac:dyDescent="0.2"/>
    <row r="28990" hidden="1" x14ac:dyDescent="0.2"/>
    <row r="28991" hidden="1" x14ac:dyDescent="0.2"/>
    <row r="28992" hidden="1" x14ac:dyDescent="0.2"/>
    <row r="28993" hidden="1" x14ac:dyDescent="0.2"/>
    <row r="28994" hidden="1" x14ac:dyDescent="0.2"/>
    <row r="28995" hidden="1" x14ac:dyDescent="0.2"/>
    <row r="28996" hidden="1" x14ac:dyDescent="0.2"/>
    <row r="28997" hidden="1" x14ac:dyDescent="0.2"/>
    <row r="28998" hidden="1" x14ac:dyDescent="0.2"/>
    <row r="28999" hidden="1" x14ac:dyDescent="0.2"/>
    <row r="29000" hidden="1" x14ac:dyDescent="0.2"/>
    <row r="29001" hidden="1" x14ac:dyDescent="0.2"/>
    <row r="29002" hidden="1" x14ac:dyDescent="0.2"/>
    <row r="29003" hidden="1" x14ac:dyDescent="0.2"/>
    <row r="29004" hidden="1" x14ac:dyDescent="0.2"/>
    <row r="29005" hidden="1" x14ac:dyDescent="0.2"/>
    <row r="29006" hidden="1" x14ac:dyDescent="0.2"/>
    <row r="29007" hidden="1" x14ac:dyDescent="0.2"/>
    <row r="29008" hidden="1" x14ac:dyDescent="0.2"/>
    <row r="29009" hidden="1" x14ac:dyDescent="0.2"/>
    <row r="29010" hidden="1" x14ac:dyDescent="0.2"/>
    <row r="29011" hidden="1" x14ac:dyDescent="0.2"/>
    <row r="29012" hidden="1" x14ac:dyDescent="0.2"/>
    <row r="29013" hidden="1" x14ac:dyDescent="0.2"/>
    <row r="29014" hidden="1" x14ac:dyDescent="0.2"/>
    <row r="29015" hidden="1" x14ac:dyDescent="0.2"/>
    <row r="29016" hidden="1" x14ac:dyDescent="0.2"/>
    <row r="29017" hidden="1" x14ac:dyDescent="0.2"/>
    <row r="29018" hidden="1" x14ac:dyDescent="0.2"/>
    <row r="29019" hidden="1" x14ac:dyDescent="0.2"/>
    <row r="29020" hidden="1" x14ac:dyDescent="0.2"/>
    <row r="29021" hidden="1" x14ac:dyDescent="0.2"/>
    <row r="29022" hidden="1" x14ac:dyDescent="0.2"/>
    <row r="29023" hidden="1" x14ac:dyDescent="0.2"/>
    <row r="29024" hidden="1" x14ac:dyDescent="0.2"/>
    <row r="29025" hidden="1" x14ac:dyDescent="0.2"/>
    <row r="29026" hidden="1" x14ac:dyDescent="0.2"/>
    <row r="29027" hidden="1" x14ac:dyDescent="0.2"/>
    <row r="29028" hidden="1" x14ac:dyDescent="0.2"/>
    <row r="29029" hidden="1" x14ac:dyDescent="0.2"/>
    <row r="29030" hidden="1" x14ac:dyDescent="0.2"/>
    <row r="29031" hidden="1" x14ac:dyDescent="0.2"/>
    <row r="29032" hidden="1" x14ac:dyDescent="0.2"/>
    <row r="29033" hidden="1" x14ac:dyDescent="0.2"/>
    <row r="29034" hidden="1" x14ac:dyDescent="0.2"/>
    <row r="29035" hidden="1" x14ac:dyDescent="0.2"/>
    <row r="29036" hidden="1" x14ac:dyDescent="0.2"/>
    <row r="29037" hidden="1" x14ac:dyDescent="0.2"/>
    <row r="29038" hidden="1" x14ac:dyDescent="0.2"/>
    <row r="29039" hidden="1" x14ac:dyDescent="0.2"/>
    <row r="29040" hidden="1" x14ac:dyDescent="0.2"/>
    <row r="29041" hidden="1" x14ac:dyDescent="0.2"/>
    <row r="29042" hidden="1" x14ac:dyDescent="0.2"/>
    <row r="29043" hidden="1" x14ac:dyDescent="0.2"/>
    <row r="29044" hidden="1" x14ac:dyDescent="0.2"/>
    <row r="29045" hidden="1" x14ac:dyDescent="0.2"/>
    <row r="29046" hidden="1" x14ac:dyDescent="0.2"/>
    <row r="29047" hidden="1" x14ac:dyDescent="0.2"/>
    <row r="29048" hidden="1" x14ac:dyDescent="0.2"/>
    <row r="29049" hidden="1" x14ac:dyDescent="0.2"/>
    <row r="29050" hidden="1" x14ac:dyDescent="0.2"/>
    <row r="29051" hidden="1" x14ac:dyDescent="0.2"/>
    <row r="29052" hidden="1" x14ac:dyDescent="0.2"/>
    <row r="29053" hidden="1" x14ac:dyDescent="0.2"/>
    <row r="29054" hidden="1" x14ac:dyDescent="0.2"/>
    <row r="29055" hidden="1" x14ac:dyDescent="0.2"/>
    <row r="29056" hidden="1" x14ac:dyDescent="0.2"/>
    <row r="29057" hidden="1" x14ac:dyDescent="0.2"/>
    <row r="29058" hidden="1" x14ac:dyDescent="0.2"/>
    <row r="29059" hidden="1" x14ac:dyDescent="0.2"/>
    <row r="29060" hidden="1" x14ac:dyDescent="0.2"/>
    <row r="29061" hidden="1" x14ac:dyDescent="0.2"/>
    <row r="29062" hidden="1" x14ac:dyDescent="0.2"/>
    <row r="29063" hidden="1" x14ac:dyDescent="0.2"/>
    <row r="29064" hidden="1" x14ac:dyDescent="0.2"/>
    <row r="29065" hidden="1" x14ac:dyDescent="0.2"/>
    <row r="29066" hidden="1" x14ac:dyDescent="0.2"/>
    <row r="29067" hidden="1" x14ac:dyDescent="0.2"/>
    <row r="29068" hidden="1" x14ac:dyDescent="0.2"/>
    <row r="29069" hidden="1" x14ac:dyDescent="0.2"/>
    <row r="29070" hidden="1" x14ac:dyDescent="0.2"/>
    <row r="29071" hidden="1" x14ac:dyDescent="0.2"/>
    <row r="29072" hidden="1" x14ac:dyDescent="0.2"/>
    <row r="29073" hidden="1" x14ac:dyDescent="0.2"/>
    <row r="29074" hidden="1" x14ac:dyDescent="0.2"/>
    <row r="29075" hidden="1" x14ac:dyDescent="0.2"/>
    <row r="29076" hidden="1" x14ac:dyDescent="0.2"/>
    <row r="29077" hidden="1" x14ac:dyDescent="0.2"/>
    <row r="29078" hidden="1" x14ac:dyDescent="0.2"/>
    <row r="29079" hidden="1" x14ac:dyDescent="0.2"/>
    <row r="29080" hidden="1" x14ac:dyDescent="0.2"/>
    <row r="29081" hidden="1" x14ac:dyDescent="0.2"/>
    <row r="29082" hidden="1" x14ac:dyDescent="0.2"/>
    <row r="29083" hidden="1" x14ac:dyDescent="0.2"/>
    <row r="29084" hidden="1" x14ac:dyDescent="0.2"/>
    <row r="29085" hidden="1" x14ac:dyDescent="0.2"/>
    <row r="29086" hidden="1" x14ac:dyDescent="0.2"/>
    <row r="29087" hidden="1" x14ac:dyDescent="0.2"/>
    <row r="29088" hidden="1" x14ac:dyDescent="0.2"/>
    <row r="29089" hidden="1" x14ac:dyDescent="0.2"/>
    <row r="29090" hidden="1" x14ac:dyDescent="0.2"/>
    <row r="29091" hidden="1" x14ac:dyDescent="0.2"/>
    <row r="29092" hidden="1" x14ac:dyDescent="0.2"/>
    <row r="29093" hidden="1" x14ac:dyDescent="0.2"/>
    <row r="29094" hidden="1" x14ac:dyDescent="0.2"/>
    <row r="29095" hidden="1" x14ac:dyDescent="0.2"/>
    <row r="29096" hidden="1" x14ac:dyDescent="0.2"/>
    <row r="29097" hidden="1" x14ac:dyDescent="0.2"/>
    <row r="29098" hidden="1" x14ac:dyDescent="0.2"/>
    <row r="29099" hidden="1" x14ac:dyDescent="0.2"/>
    <row r="29100" hidden="1" x14ac:dyDescent="0.2"/>
    <row r="29101" hidden="1" x14ac:dyDescent="0.2"/>
    <row r="29102" hidden="1" x14ac:dyDescent="0.2"/>
    <row r="29103" hidden="1" x14ac:dyDescent="0.2"/>
    <row r="29104" hidden="1" x14ac:dyDescent="0.2"/>
    <row r="29105" hidden="1" x14ac:dyDescent="0.2"/>
    <row r="29106" hidden="1" x14ac:dyDescent="0.2"/>
    <row r="29107" hidden="1" x14ac:dyDescent="0.2"/>
    <row r="29108" hidden="1" x14ac:dyDescent="0.2"/>
    <row r="29109" hidden="1" x14ac:dyDescent="0.2"/>
    <row r="29110" hidden="1" x14ac:dyDescent="0.2"/>
    <row r="29111" hidden="1" x14ac:dyDescent="0.2"/>
    <row r="29112" hidden="1" x14ac:dyDescent="0.2"/>
    <row r="29113" hidden="1" x14ac:dyDescent="0.2"/>
    <row r="29114" hidden="1" x14ac:dyDescent="0.2"/>
    <row r="29115" hidden="1" x14ac:dyDescent="0.2"/>
    <row r="29116" hidden="1" x14ac:dyDescent="0.2"/>
    <row r="29117" hidden="1" x14ac:dyDescent="0.2"/>
    <row r="29118" hidden="1" x14ac:dyDescent="0.2"/>
    <row r="29119" hidden="1" x14ac:dyDescent="0.2"/>
    <row r="29120" hidden="1" x14ac:dyDescent="0.2"/>
    <row r="29121" hidden="1" x14ac:dyDescent="0.2"/>
    <row r="29122" hidden="1" x14ac:dyDescent="0.2"/>
    <row r="29123" hidden="1" x14ac:dyDescent="0.2"/>
    <row r="29124" hidden="1" x14ac:dyDescent="0.2"/>
    <row r="29125" hidden="1" x14ac:dyDescent="0.2"/>
    <row r="29126" hidden="1" x14ac:dyDescent="0.2"/>
    <row r="29127" hidden="1" x14ac:dyDescent="0.2"/>
    <row r="29128" hidden="1" x14ac:dyDescent="0.2"/>
    <row r="29129" hidden="1" x14ac:dyDescent="0.2"/>
    <row r="29130" hidden="1" x14ac:dyDescent="0.2"/>
    <row r="29131" hidden="1" x14ac:dyDescent="0.2"/>
    <row r="29132" hidden="1" x14ac:dyDescent="0.2"/>
    <row r="29133" hidden="1" x14ac:dyDescent="0.2"/>
    <row r="29134" hidden="1" x14ac:dyDescent="0.2"/>
    <row r="29135" hidden="1" x14ac:dyDescent="0.2"/>
    <row r="29136" hidden="1" x14ac:dyDescent="0.2"/>
    <row r="29137" hidden="1" x14ac:dyDescent="0.2"/>
    <row r="29138" hidden="1" x14ac:dyDescent="0.2"/>
    <row r="29139" hidden="1" x14ac:dyDescent="0.2"/>
    <row r="29140" hidden="1" x14ac:dyDescent="0.2"/>
    <row r="29141" hidden="1" x14ac:dyDescent="0.2"/>
    <row r="29142" hidden="1" x14ac:dyDescent="0.2"/>
    <row r="29143" hidden="1" x14ac:dyDescent="0.2"/>
    <row r="29144" hidden="1" x14ac:dyDescent="0.2"/>
    <row r="29145" hidden="1" x14ac:dyDescent="0.2"/>
    <row r="29146" hidden="1" x14ac:dyDescent="0.2"/>
    <row r="29147" hidden="1" x14ac:dyDescent="0.2"/>
    <row r="29148" hidden="1" x14ac:dyDescent="0.2"/>
    <row r="29149" hidden="1" x14ac:dyDescent="0.2"/>
    <row r="29150" hidden="1" x14ac:dyDescent="0.2"/>
    <row r="29151" hidden="1" x14ac:dyDescent="0.2"/>
    <row r="29152" hidden="1" x14ac:dyDescent="0.2"/>
    <row r="29153" hidden="1" x14ac:dyDescent="0.2"/>
    <row r="29154" hidden="1" x14ac:dyDescent="0.2"/>
    <row r="29155" hidden="1" x14ac:dyDescent="0.2"/>
    <row r="29156" hidden="1" x14ac:dyDescent="0.2"/>
    <row r="29157" hidden="1" x14ac:dyDescent="0.2"/>
    <row r="29158" hidden="1" x14ac:dyDescent="0.2"/>
    <row r="29159" hidden="1" x14ac:dyDescent="0.2"/>
    <row r="29160" hidden="1" x14ac:dyDescent="0.2"/>
    <row r="29161" hidden="1" x14ac:dyDescent="0.2"/>
    <row r="29162" hidden="1" x14ac:dyDescent="0.2"/>
    <row r="29163" hidden="1" x14ac:dyDescent="0.2"/>
    <row r="29164" hidden="1" x14ac:dyDescent="0.2"/>
    <row r="29165" hidden="1" x14ac:dyDescent="0.2"/>
    <row r="29166" hidden="1" x14ac:dyDescent="0.2"/>
    <row r="29167" hidden="1" x14ac:dyDescent="0.2"/>
    <row r="29168" hidden="1" x14ac:dyDescent="0.2"/>
    <row r="29169" hidden="1" x14ac:dyDescent="0.2"/>
    <row r="29170" hidden="1" x14ac:dyDescent="0.2"/>
    <row r="29171" hidden="1" x14ac:dyDescent="0.2"/>
    <row r="29172" hidden="1" x14ac:dyDescent="0.2"/>
    <row r="29173" hidden="1" x14ac:dyDescent="0.2"/>
    <row r="29174" hidden="1" x14ac:dyDescent="0.2"/>
    <row r="29175" hidden="1" x14ac:dyDescent="0.2"/>
    <row r="29176" hidden="1" x14ac:dyDescent="0.2"/>
    <row r="29177" hidden="1" x14ac:dyDescent="0.2"/>
    <row r="29178" hidden="1" x14ac:dyDescent="0.2"/>
    <row r="29179" hidden="1" x14ac:dyDescent="0.2"/>
    <row r="29180" hidden="1" x14ac:dyDescent="0.2"/>
    <row r="29181" hidden="1" x14ac:dyDescent="0.2"/>
    <row r="29182" hidden="1" x14ac:dyDescent="0.2"/>
    <row r="29183" hidden="1" x14ac:dyDescent="0.2"/>
    <row r="29184" hidden="1" x14ac:dyDescent="0.2"/>
    <row r="29185" hidden="1" x14ac:dyDescent="0.2"/>
    <row r="29186" hidden="1" x14ac:dyDescent="0.2"/>
    <row r="29187" hidden="1" x14ac:dyDescent="0.2"/>
    <row r="29188" hidden="1" x14ac:dyDescent="0.2"/>
    <row r="29189" hidden="1" x14ac:dyDescent="0.2"/>
    <row r="29190" hidden="1" x14ac:dyDescent="0.2"/>
    <row r="29191" hidden="1" x14ac:dyDescent="0.2"/>
    <row r="29192" hidden="1" x14ac:dyDescent="0.2"/>
    <row r="29193" hidden="1" x14ac:dyDescent="0.2"/>
    <row r="29194" hidden="1" x14ac:dyDescent="0.2"/>
    <row r="29195" hidden="1" x14ac:dyDescent="0.2"/>
    <row r="29196" hidden="1" x14ac:dyDescent="0.2"/>
    <row r="29197" hidden="1" x14ac:dyDescent="0.2"/>
    <row r="29198" hidden="1" x14ac:dyDescent="0.2"/>
    <row r="29199" hidden="1" x14ac:dyDescent="0.2"/>
    <row r="29200" hidden="1" x14ac:dyDescent="0.2"/>
    <row r="29201" hidden="1" x14ac:dyDescent="0.2"/>
    <row r="29202" hidden="1" x14ac:dyDescent="0.2"/>
    <row r="29203" hidden="1" x14ac:dyDescent="0.2"/>
    <row r="29204" hidden="1" x14ac:dyDescent="0.2"/>
    <row r="29205" hidden="1" x14ac:dyDescent="0.2"/>
    <row r="29206" hidden="1" x14ac:dyDescent="0.2"/>
    <row r="29207" hidden="1" x14ac:dyDescent="0.2"/>
    <row r="29208" hidden="1" x14ac:dyDescent="0.2"/>
    <row r="29209" hidden="1" x14ac:dyDescent="0.2"/>
    <row r="29210" hidden="1" x14ac:dyDescent="0.2"/>
    <row r="29211" hidden="1" x14ac:dyDescent="0.2"/>
    <row r="29212" hidden="1" x14ac:dyDescent="0.2"/>
    <row r="29213" hidden="1" x14ac:dyDescent="0.2"/>
    <row r="29214" hidden="1" x14ac:dyDescent="0.2"/>
    <row r="29215" hidden="1" x14ac:dyDescent="0.2"/>
    <row r="29216" hidden="1" x14ac:dyDescent="0.2"/>
    <row r="29217" hidden="1" x14ac:dyDescent="0.2"/>
    <row r="29218" hidden="1" x14ac:dyDescent="0.2"/>
    <row r="29219" hidden="1" x14ac:dyDescent="0.2"/>
    <row r="29220" hidden="1" x14ac:dyDescent="0.2"/>
    <row r="29221" hidden="1" x14ac:dyDescent="0.2"/>
    <row r="29222" hidden="1" x14ac:dyDescent="0.2"/>
    <row r="29223" hidden="1" x14ac:dyDescent="0.2"/>
    <row r="29224" hidden="1" x14ac:dyDescent="0.2"/>
    <row r="29225" hidden="1" x14ac:dyDescent="0.2"/>
    <row r="29226" hidden="1" x14ac:dyDescent="0.2"/>
    <row r="29227" hidden="1" x14ac:dyDescent="0.2"/>
    <row r="29228" hidden="1" x14ac:dyDescent="0.2"/>
    <row r="29229" hidden="1" x14ac:dyDescent="0.2"/>
    <row r="29230" hidden="1" x14ac:dyDescent="0.2"/>
    <row r="29231" hidden="1" x14ac:dyDescent="0.2"/>
    <row r="29232" hidden="1" x14ac:dyDescent="0.2"/>
    <row r="29233" hidden="1" x14ac:dyDescent="0.2"/>
    <row r="29234" hidden="1" x14ac:dyDescent="0.2"/>
    <row r="29235" hidden="1" x14ac:dyDescent="0.2"/>
    <row r="29236" hidden="1" x14ac:dyDescent="0.2"/>
    <row r="29237" hidden="1" x14ac:dyDescent="0.2"/>
    <row r="29238" hidden="1" x14ac:dyDescent="0.2"/>
    <row r="29239" hidden="1" x14ac:dyDescent="0.2"/>
    <row r="29240" hidden="1" x14ac:dyDescent="0.2"/>
    <row r="29241" hidden="1" x14ac:dyDescent="0.2"/>
    <row r="29242" hidden="1" x14ac:dyDescent="0.2"/>
    <row r="29243" hidden="1" x14ac:dyDescent="0.2"/>
    <row r="29244" hidden="1" x14ac:dyDescent="0.2"/>
    <row r="29245" hidden="1" x14ac:dyDescent="0.2"/>
    <row r="29246" hidden="1" x14ac:dyDescent="0.2"/>
    <row r="29247" hidden="1" x14ac:dyDescent="0.2"/>
    <row r="29248" hidden="1" x14ac:dyDescent="0.2"/>
    <row r="29249" hidden="1" x14ac:dyDescent="0.2"/>
    <row r="29250" hidden="1" x14ac:dyDescent="0.2"/>
    <row r="29251" hidden="1" x14ac:dyDescent="0.2"/>
    <row r="29252" hidden="1" x14ac:dyDescent="0.2"/>
    <row r="29253" hidden="1" x14ac:dyDescent="0.2"/>
    <row r="29254" hidden="1" x14ac:dyDescent="0.2"/>
    <row r="29255" hidden="1" x14ac:dyDescent="0.2"/>
    <row r="29256" hidden="1" x14ac:dyDescent="0.2"/>
    <row r="29257" hidden="1" x14ac:dyDescent="0.2"/>
    <row r="29258" hidden="1" x14ac:dyDescent="0.2"/>
    <row r="29259" hidden="1" x14ac:dyDescent="0.2"/>
    <row r="29260" hidden="1" x14ac:dyDescent="0.2"/>
    <row r="29261" hidden="1" x14ac:dyDescent="0.2"/>
    <row r="29262" hidden="1" x14ac:dyDescent="0.2"/>
    <row r="29263" hidden="1" x14ac:dyDescent="0.2"/>
    <row r="29264" hidden="1" x14ac:dyDescent="0.2"/>
    <row r="29265" hidden="1" x14ac:dyDescent="0.2"/>
    <row r="29266" hidden="1" x14ac:dyDescent="0.2"/>
    <row r="29267" hidden="1" x14ac:dyDescent="0.2"/>
    <row r="29268" hidden="1" x14ac:dyDescent="0.2"/>
    <row r="29269" hidden="1" x14ac:dyDescent="0.2"/>
    <row r="29270" hidden="1" x14ac:dyDescent="0.2"/>
    <row r="29271" hidden="1" x14ac:dyDescent="0.2"/>
    <row r="29272" hidden="1" x14ac:dyDescent="0.2"/>
    <row r="29273" hidden="1" x14ac:dyDescent="0.2"/>
    <row r="29274" hidden="1" x14ac:dyDescent="0.2"/>
    <row r="29275" hidden="1" x14ac:dyDescent="0.2"/>
    <row r="29276" hidden="1" x14ac:dyDescent="0.2"/>
    <row r="29277" hidden="1" x14ac:dyDescent="0.2"/>
    <row r="29278" hidden="1" x14ac:dyDescent="0.2"/>
    <row r="29279" hidden="1" x14ac:dyDescent="0.2"/>
    <row r="29280" hidden="1" x14ac:dyDescent="0.2"/>
    <row r="29281" hidden="1" x14ac:dyDescent="0.2"/>
    <row r="29282" hidden="1" x14ac:dyDescent="0.2"/>
    <row r="29283" hidden="1" x14ac:dyDescent="0.2"/>
    <row r="29284" hidden="1" x14ac:dyDescent="0.2"/>
    <row r="29285" hidden="1" x14ac:dyDescent="0.2"/>
    <row r="29286" hidden="1" x14ac:dyDescent="0.2"/>
    <row r="29287" hidden="1" x14ac:dyDescent="0.2"/>
    <row r="29288" hidden="1" x14ac:dyDescent="0.2"/>
    <row r="29289" hidden="1" x14ac:dyDescent="0.2"/>
    <row r="29290" hidden="1" x14ac:dyDescent="0.2"/>
    <row r="29291" hidden="1" x14ac:dyDescent="0.2"/>
    <row r="29292" hidden="1" x14ac:dyDescent="0.2"/>
    <row r="29293" hidden="1" x14ac:dyDescent="0.2"/>
    <row r="29294" hidden="1" x14ac:dyDescent="0.2"/>
    <row r="29295" hidden="1" x14ac:dyDescent="0.2"/>
    <row r="29296" hidden="1" x14ac:dyDescent="0.2"/>
    <row r="29297" hidden="1" x14ac:dyDescent="0.2"/>
    <row r="29298" hidden="1" x14ac:dyDescent="0.2"/>
    <row r="29299" hidden="1" x14ac:dyDescent="0.2"/>
    <row r="29300" hidden="1" x14ac:dyDescent="0.2"/>
    <row r="29301" hidden="1" x14ac:dyDescent="0.2"/>
    <row r="29302" hidden="1" x14ac:dyDescent="0.2"/>
    <row r="29303" hidden="1" x14ac:dyDescent="0.2"/>
    <row r="29304" hidden="1" x14ac:dyDescent="0.2"/>
    <row r="29305" hidden="1" x14ac:dyDescent="0.2"/>
    <row r="29306" hidden="1" x14ac:dyDescent="0.2"/>
    <row r="29307" hidden="1" x14ac:dyDescent="0.2"/>
    <row r="29308" hidden="1" x14ac:dyDescent="0.2"/>
    <row r="29309" hidden="1" x14ac:dyDescent="0.2"/>
    <row r="29310" hidden="1" x14ac:dyDescent="0.2"/>
    <row r="29311" hidden="1" x14ac:dyDescent="0.2"/>
    <row r="29312" hidden="1" x14ac:dyDescent="0.2"/>
    <row r="29313" hidden="1" x14ac:dyDescent="0.2"/>
    <row r="29314" hidden="1" x14ac:dyDescent="0.2"/>
    <row r="29315" hidden="1" x14ac:dyDescent="0.2"/>
    <row r="29316" hidden="1" x14ac:dyDescent="0.2"/>
    <row r="29317" hidden="1" x14ac:dyDescent="0.2"/>
    <row r="29318" hidden="1" x14ac:dyDescent="0.2"/>
    <row r="29319" hidden="1" x14ac:dyDescent="0.2"/>
    <row r="29320" hidden="1" x14ac:dyDescent="0.2"/>
    <row r="29321" hidden="1" x14ac:dyDescent="0.2"/>
    <row r="29322" hidden="1" x14ac:dyDescent="0.2"/>
    <row r="29323" hidden="1" x14ac:dyDescent="0.2"/>
    <row r="29324" hidden="1" x14ac:dyDescent="0.2"/>
    <row r="29325" hidden="1" x14ac:dyDescent="0.2"/>
    <row r="29326" hidden="1" x14ac:dyDescent="0.2"/>
    <row r="29327" hidden="1" x14ac:dyDescent="0.2"/>
    <row r="29328" hidden="1" x14ac:dyDescent="0.2"/>
    <row r="29329" hidden="1" x14ac:dyDescent="0.2"/>
    <row r="29330" hidden="1" x14ac:dyDescent="0.2"/>
    <row r="29331" hidden="1" x14ac:dyDescent="0.2"/>
    <row r="29332" hidden="1" x14ac:dyDescent="0.2"/>
    <row r="29333" hidden="1" x14ac:dyDescent="0.2"/>
    <row r="29334" hidden="1" x14ac:dyDescent="0.2"/>
    <row r="29335" hidden="1" x14ac:dyDescent="0.2"/>
    <row r="29336" hidden="1" x14ac:dyDescent="0.2"/>
    <row r="29337" hidden="1" x14ac:dyDescent="0.2"/>
    <row r="29338" hidden="1" x14ac:dyDescent="0.2"/>
    <row r="29339" hidden="1" x14ac:dyDescent="0.2"/>
    <row r="29340" hidden="1" x14ac:dyDescent="0.2"/>
    <row r="29341" hidden="1" x14ac:dyDescent="0.2"/>
    <row r="29342" hidden="1" x14ac:dyDescent="0.2"/>
    <row r="29343" hidden="1" x14ac:dyDescent="0.2"/>
    <row r="29344" hidden="1" x14ac:dyDescent="0.2"/>
    <row r="29345" hidden="1" x14ac:dyDescent="0.2"/>
    <row r="29346" hidden="1" x14ac:dyDescent="0.2"/>
    <row r="29347" hidden="1" x14ac:dyDescent="0.2"/>
    <row r="29348" hidden="1" x14ac:dyDescent="0.2"/>
    <row r="29349" hidden="1" x14ac:dyDescent="0.2"/>
    <row r="29350" hidden="1" x14ac:dyDescent="0.2"/>
    <row r="29351" hidden="1" x14ac:dyDescent="0.2"/>
    <row r="29352" hidden="1" x14ac:dyDescent="0.2"/>
    <row r="29353" hidden="1" x14ac:dyDescent="0.2"/>
    <row r="29354" hidden="1" x14ac:dyDescent="0.2"/>
    <row r="29355" hidden="1" x14ac:dyDescent="0.2"/>
    <row r="29356" hidden="1" x14ac:dyDescent="0.2"/>
    <row r="29357" hidden="1" x14ac:dyDescent="0.2"/>
    <row r="29358" hidden="1" x14ac:dyDescent="0.2"/>
    <row r="29359" hidden="1" x14ac:dyDescent="0.2"/>
    <row r="29360" hidden="1" x14ac:dyDescent="0.2"/>
    <row r="29361" hidden="1" x14ac:dyDescent="0.2"/>
    <row r="29362" hidden="1" x14ac:dyDescent="0.2"/>
    <row r="29363" hidden="1" x14ac:dyDescent="0.2"/>
    <row r="29364" hidden="1" x14ac:dyDescent="0.2"/>
    <row r="29365" hidden="1" x14ac:dyDescent="0.2"/>
    <row r="29366" hidden="1" x14ac:dyDescent="0.2"/>
    <row r="29367" hidden="1" x14ac:dyDescent="0.2"/>
    <row r="29368" hidden="1" x14ac:dyDescent="0.2"/>
    <row r="29369" hidden="1" x14ac:dyDescent="0.2"/>
    <row r="29370" hidden="1" x14ac:dyDescent="0.2"/>
    <row r="29371" hidden="1" x14ac:dyDescent="0.2"/>
    <row r="29372" hidden="1" x14ac:dyDescent="0.2"/>
    <row r="29373" hidden="1" x14ac:dyDescent="0.2"/>
    <row r="29374" hidden="1" x14ac:dyDescent="0.2"/>
    <row r="29375" hidden="1" x14ac:dyDescent="0.2"/>
    <row r="29376" hidden="1" x14ac:dyDescent="0.2"/>
    <row r="29377" hidden="1" x14ac:dyDescent="0.2"/>
    <row r="29378" hidden="1" x14ac:dyDescent="0.2"/>
    <row r="29379" hidden="1" x14ac:dyDescent="0.2"/>
    <row r="29380" hidden="1" x14ac:dyDescent="0.2"/>
    <row r="29381" hidden="1" x14ac:dyDescent="0.2"/>
    <row r="29382" hidden="1" x14ac:dyDescent="0.2"/>
    <row r="29383" hidden="1" x14ac:dyDescent="0.2"/>
    <row r="29384" hidden="1" x14ac:dyDescent="0.2"/>
    <row r="29385" hidden="1" x14ac:dyDescent="0.2"/>
    <row r="29386" hidden="1" x14ac:dyDescent="0.2"/>
    <row r="29387" hidden="1" x14ac:dyDescent="0.2"/>
    <row r="29388" hidden="1" x14ac:dyDescent="0.2"/>
    <row r="29389" hidden="1" x14ac:dyDescent="0.2"/>
    <row r="29390" hidden="1" x14ac:dyDescent="0.2"/>
    <row r="29391" hidden="1" x14ac:dyDescent="0.2"/>
    <row r="29392" hidden="1" x14ac:dyDescent="0.2"/>
    <row r="29393" hidden="1" x14ac:dyDescent="0.2"/>
    <row r="29394" hidden="1" x14ac:dyDescent="0.2"/>
    <row r="29395" hidden="1" x14ac:dyDescent="0.2"/>
    <row r="29396" hidden="1" x14ac:dyDescent="0.2"/>
    <row r="29397" hidden="1" x14ac:dyDescent="0.2"/>
    <row r="29398" hidden="1" x14ac:dyDescent="0.2"/>
    <row r="29399" hidden="1" x14ac:dyDescent="0.2"/>
    <row r="29400" hidden="1" x14ac:dyDescent="0.2"/>
    <row r="29401" hidden="1" x14ac:dyDescent="0.2"/>
    <row r="29402" hidden="1" x14ac:dyDescent="0.2"/>
    <row r="29403" hidden="1" x14ac:dyDescent="0.2"/>
    <row r="29404" hidden="1" x14ac:dyDescent="0.2"/>
    <row r="29405" hidden="1" x14ac:dyDescent="0.2"/>
    <row r="29406" hidden="1" x14ac:dyDescent="0.2"/>
    <row r="29407" hidden="1" x14ac:dyDescent="0.2"/>
    <row r="29408" hidden="1" x14ac:dyDescent="0.2"/>
    <row r="29409" hidden="1" x14ac:dyDescent="0.2"/>
    <row r="29410" hidden="1" x14ac:dyDescent="0.2"/>
    <row r="29411" hidden="1" x14ac:dyDescent="0.2"/>
    <row r="29412" hidden="1" x14ac:dyDescent="0.2"/>
    <row r="29413" hidden="1" x14ac:dyDescent="0.2"/>
    <row r="29414" hidden="1" x14ac:dyDescent="0.2"/>
    <row r="29415" hidden="1" x14ac:dyDescent="0.2"/>
    <row r="29416" hidden="1" x14ac:dyDescent="0.2"/>
    <row r="29417" hidden="1" x14ac:dyDescent="0.2"/>
    <row r="29418" hidden="1" x14ac:dyDescent="0.2"/>
    <row r="29419" hidden="1" x14ac:dyDescent="0.2"/>
    <row r="29420" hidden="1" x14ac:dyDescent="0.2"/>
    <row r="29421" hidden="1" x14ac:dyDescent="0.2"/>
    <row r="29422" hidden="1" x14ac:dyDescent="0.2"/>
    <row r="29423" hidden="1" x14ac:dyDescent="0.2"/>
    <row r="29424" hidden="1" x14ac:dyDescent="0.2"/>
    <row r="29425" hidden="1" x14ac:dyDescent="0.2"/>
    <row r="29426" hidden="1" x14ac:dyDescent="0.2"/>
    <row r="29427" hidden="1" x14ac:dyDescent="0.2"/>
    <row r="29428" hidden="1" x14ac:dyDescent="0.2"/>
    <row r="29429" hidden="1" x14ac:dyDescent="0.2"/>
    <row r="29430" hidden="1" x14ac:dyDescent="0.2"/>
    <row r="29431" hidden="1" x14ac:dyDescent="0.2"/>
    <row r="29432" hidden="1" x14ac:dyDescent="0.2"/>
    <row r="29433" hidden="1" x14ac:dyDescent="0.2"/>
    <row r="29434" hidden="1" x14ac:dyDescent="0.2"/>
    <row r="29435" hidden="1" x14ac:dyDescent="0.2"/>
    <row r="29436" hidden="1" x14ac:dyDescent="0.2"/>
    <row r="29437" hidden="1" x14ac:dyDescent="0.2"/>
    <row r="29438" hidden="1" x14ac:dyDescent="0.2"/>
    <row r="29439" hidden="1" x14ac:dyDescent="0.2"/>
    <row r="29440" hidden="1" x14ac:dyDescent="0.2"/>
    <row r="29441" hidden="1" x14ac:dyDescent="0.2"/>
    <row r="29442" hidden="1" x14ac:dyDescent="0.2"/>
    <row r="29443" hidden="1" x14ac:dyDescent="0.2"/>
    <row r="29444" hidden="1" x14ac:dyDescent="0.2"/>
    <row r="29445" hidden="1" x14ac:dyDescent="0.2"/>
    <row r="29446" hidden="1" x14ac:dyDescent="0.2"/>
    <row r="29447" hidden="1" x14ac:dyDescent="0.2"/>
    <row r="29448" hidden="1" x14ac:dyDescent="0.2"/>
    <row r="29449" hidden="1" x14ac:dyDescent="0.2"/>
    <row r="29450" hidden="1" x14ac:dyDescent="0.2"/>
    <row r="29451" hidden="1" x14ac:dyDescent="0.2"/>
    <row r="29452" hidden="1" x14ac:dyDescent="0.2"/>
    <row r="29453" hidden="1" x14ac:dyDescent="0.2"/>
    <row r="29454" hidden="1" x14ac:dyDescent="0.2"/>
    <row r="29455" hidden="1" x14ac:dyDescent="0.2"/>
    <row r="29456" hidden="1" x14ac:dyDescent="0.2"/>
    <row r="29457" hidden="1" x14ac:dyDescent="0.2"/>
    <row r="29458" hidden="1" x14ac:dyDescent="0.2"/>
    <row r="29459" hidden="1" x14ac:dyDescent="0.2"/>
    <row r="29460" hidden="1" x14ac:dyDescent="0.2"/>
    <row r="29461" hidden="1" x14ac:dyDescent="0.2"/>
    <row r="29462" hidden="1" x14ac:dyDescent="0.2"/>
    <row r="29463" hidden="1" x14ac:dyDescent="0.2"/>
    <row r="29464" hidden="1" x14ac:dyDescent="0.2"/>
    <row r="29465" hidden="1" x14ac:dyDescent="0.2"/>
    <row r="29466" hidden="1" x14ac:dyDescent="0.2"/>
    <row r="29467" hidden="1" x14ac:dyDescent="0.2"/>
    <row r="29468" hidden="1" x14ac:dyDescent="0.2"/>
    <row r="29469" hidden="1" x14ac:dyDescent="0.2"/>
    <row r="29470" hidden="1" x14ac:dyDescent="0.2"/>
    <row r="29471" hidden="1" x14ac:dyDescent="0.2"/>
    <row r="29472" hidden="1" x14ac:dyDescent="0.2"/>
    <row r="29473" hidden="1" x14ac:dyDescent="0.2"/>
    <row r="29474" hidden="1" x14ac:dyDescent="0.2"/>
    <row r="29475" hidden="1" x14ac:dyDescent="0.2"/>
    <row r="29476" hidden="1" x14ac:dyDescent="0.2"/>
    <row r="29477" hidden="1" x14ac:dyDescent="0.2"/>
    <row r="29478" hidden="1" x14ac:dyDescent="0.2"/>
    <row r="29479" hidden="1" x14ac:dyDescent="0.2"/>
    <row r="29480" hidden="1" x14ac:dyDescent="0.2"/>
    <row r="29481" hidden="1" x14ac:dyDescent="0.2"/>
    <row r="29482" hidden="1" x14ac:dyDescent="0.2"/>
    <row r="29483" hidden="1" x14ac:dyDescent="0.2"/>
    <row r="29484" hidden="1" x14ac:dyDescent="0.2"/>
    <row r="29485" hidden="1" x14ac:dyDescent="0.2"/>
    <row r="29486" hidden="1" x14ac:dyDescent="0.2"/>
    <row r="29487" hidden="1" x14ac:dyDescent="0.2"/>
    <row r="29488" hidden="1" x14ac:dyDescent="0.2"/>
    <row r="29489" hidden="1" x14ac:dyDescent="0.2"/>
    <row r="29490" hidden="1" x14ac:dyDescent="0.2"/>
    <row r="29491" hidden="1" x14ac:dyDescent="0.2"/>
    <row r="29492" hidden="1" x14ac:dyDescent="0.2"/>
    <row r="29493" hidden="1" x14ac:dyDescent="0.2"/>
    <row r="29494" hidden="1" x14ac:dyDescent="0.2"/>
    <row r="29495" hidden="1" x14ac:dyDescent="0.2"/>
    <row r="29496" hidden="1" x14ac:dyDescent="0.2"/>
    <row r="29497" hidden="1" x14ac:dyDescent="0.2"/>
    <row r="29498" hidden="1" x14ac:dyDescent="0.2"/>
    <row r="29499" hidden="1" x14ac:dyDescent="0.2"/>
    <row r="29500" hidden="1" x14ac:dyDescent="0.2"/>
    <row r="29501" hidden="1" x14ac:dyDescent="0.2"/>
    <row r="29502" hidden="1" x14ac:dyDescent="0.2"/>
    <row r="29503" hidden="1" x14ac:dyDescent="0.2"/>
    <row r="29504" hidden="1" x14ac:dyDescent="0.2"/>
    <row r="29505" hidden="1" x14ac:dyDescent="0.2"/>
    <row r="29506" hidden="1" x14ac:dyDescent="0.2"/>
    <row r="29507" hidden="1" x14ac:dyDescent="0.2"/>
    <row r="29508" hidden="1" x14ac:dyDescent="0.2"/>
    <row r="29509" hidden="1" x14ac:dyDescent="0.2"/>
    <row r="29510" hidden="1" x14ac:dyDescent="0.2"/>
    <row r="29511" hidden="1" x14ac:dyDescent="0.2"/>
    <row r="29512" hidden="1" x14ac:dyDescent="0.2"/>
    <row r="29513" hidden="1" x14ac:dyDescent="0.2"/>
    <row r="29514" hidden="1" x14ac:dyDescent="0.2"/>
    <row r="29515" hidden="1" x14ac:dyDescent="0.2"/>
    <row r="29516" hidden="1" x14ac:dyDescent="0.2"/>
    <row r="29517" hidden="1" x14ac:dyDescent="0.2"/>
    <row r="29518" hidden="1" x14ac:dyDescent="0.2"/>
    <row r="29519" hidden="1" x14ac:dyDescent="0.2"/>
    <row r="29520" hidden="1" x14ac:dyDescent="0.2"/>
    <row r="29521" hidden="1" x14ac:dyDescent="0.2"/>
    <row r="29522" hidden="1" x14ac:dyDescent="0.2"/>
    <row r="29523" hidden="1" x14ac:dyDescent="0.2"/>
    <row r="29524" hidden="1" x14ac:dyDescent="0.2"/>
    <row r="29525" hidden="1" x14ac:dyDescent="0.2"/>
    <row r="29526" hidden="1" x14ac:dyDescent="0.2"/>
    <row r="29527" hidden="1" x14ac:dyDescent="0.2"/>
    <row r="29528" hidden="1" x14ac:dyDescent="0.2"/>
    <row r="29529" hidden="1" x14ac:dyDescent="0.2"/>
    <row r="29530" hidden="1" x14ac:dyDescent="0.2"/>
    <row r="29531" hidden="1" x14ac:dyDescent="0.2"/>
    <row r="29532" hidden="1" x14ac:dyDescent="0.2"/>
    <row r="29533" hidden="1" x14ac:dyDescent="0.2"/>
    <row r="29534" hidden="1" x14ac:dyDescent="0.2"/>
    <row r="29535" hidden="1" x14ac:dyDescent="0.2"/>
    <row r="29536" hidden="1" x14ac:dyDescent="0.2"/>
    <row r="29537" hidden="1" x14ac:dyDescent="0.2"/>
    <row r="29538" hidden="1" x14ac:dyDescent="0.2"/>
    <row r="29539" hidden="1" x14ac:dyDescent="0.2"/>
    <row r="29540" hidden="1" x14ac:dyDescent="0.2"/>
    <row r="29541" hidden="1" x14ac:dyDescent="0.2"/>
    <row r="29542" hidden="1" x14ac:dyDescent="0.2"/>
    <row r="29543" hidden="1" x14ac:dyDescent="0.2"/>
    <row r="29544" hidden="1" x14ac:dyDescent="0.2"/>
    <row r="29545" hidden="1" x14ac:dyDescent="0.2"/>
    <row r="29546" hidden="1" x14ac:dyDescent="0.2"/>
    <row r="29547" hidden="1" x14ac:dyDescent="0.2"/>
    <row r="29548" hidden="1" x14ac:dyDescent="0.2"/>
    <row r="29549" hidden="1" x14ac:dyDescent="0.2"/>
    <row r="29550" hidden="1" x14ac:dyDescent="0.2"/>
    <row r="29551" hidden="1" x14ac:dyDescent="0.2"/>
    <row r="29552" hidden="1" x14ac:dyDescent="0.2"/>
    <row r="29553" hidden="1" x14ac:dyDescent="0.2"/>
    <row r="29554" hidden="1" x14ac:dyDescent="0.2"/>
    <row r="29555" hidden="1" x14ac:dyDescent="0.2"/>
    <row r="29556" hidden="1" x14ac:dyDescent="0.2"/>
    <row r="29557" hidden="1" x14ac:dyDescent="0.2"/>
    <row r="29558" hidden="1" x14ac:dyDescent="0.2"/>
    <row r="29559" hidden="1" x14ac:dyDescent="0.2"/>
    <row r="29560" hidden="1" x14ac:dyDescent="0.2"/>
    <row r="29561" hidden="1" x14ac:dyDescent="0.2"/>
    <row r="29562" hidden="1" x14ac:dyDescent="0.2"/>
    <row r="29563" hidden="1" x14ac:dyDescent="0.2"/>
    <row r="29564" hidden="1" x14ac:dyDescent="0.2"/>
    <row r="29565" hidden="1" x14ac:dyDescent="0.2"/>
    <row r="29566" hidden="1" x14ac:dyDescent="0.2"/>
    <row r="29567" hidden="1" x14ac:dyDescent="0.2"/>
    <row r="29568" hidden="1" x14ac:dyDescent="0.2"/>
    <row r="29569" hidden="1" x14ac:dyDescent="0.2"/>
    <row r="29570" hidden="1" x14ac:dyDescent="0.2"/>
    <row r="29571" hidden="1" x14ac:dyDescent="0.2"/>
    <row r="29572" hidden="1" x14ac:dyDescent="0.2"/>
    <row r="29573" hidden="1" x14ac:dyDescent="0.2"/>
    <row r="29574" hidden="1" x14ac:dyDescent="0.2"/>
    <row r="29575" hidden="1" x14ac:dyDescent="0.2"/>
    <row r="29576" hidden="1" x14ac:dyDescent="0.2"/>
    <row r="29577" hidden="1" x14ac:dyDescent="0.2"/>
    <row r="29578" hidden="1" x14ac:dyDescent="0.2"/>
    <row r="29579" hidden="1" x14ac:dyDescent="0.2"/>
    <row r="29580" hidden="1" x14ac:dyDescent="0.2"/>
    <row r="29581" hidden="1" x14ac:dyDescent="0.2"/>
    <row r="29582" hidden="1" x14ac:dyDescent="0.2"/>
    <row r="29583" hidden="1" x14ac:dyDescent="0.2"/>
    <row r="29584" hidden="1" x14ac:dyDescent="0.2"/>
    <row r="29585" hidden="1" x14ac:dyDescent="0.2"/>
    <row r="29586" hidden="1" x14ac:dyDescent="0.2"/>
    <row r="29587" hidden="1" x14ac:dyDescent="0.2"/>
    <row r="29588" hidden="1" x14ac:dyDescent="0.2"/>
    <row r="29589" hidden="1" x14ac:dyDescent="0.2"/>
    <row r="29590" hidden="1" x14ac:dyDescent="0.2"/>
    <row r="29591" hidden="1" x14ac:dyDescent="0.2"/>
    <row r="29592" hidden="1" x14ac:dyDescent="0.2"/>
    <row r="29593" hidden="1" x14ac:dyDescent="0.2"/>
    <row r="29594" hidden="1" x14ac:dyDescent="0.2"/>
    <row r="29595" hidden="1" x14ac:dyDescent="0.2"/>
    <row r="29596" hidden="1" x14ac:dyDescent="0.2"/>
    <row r="29597" hidden="1" x14ac:dyDescent="0.2"/>
    <row r="29598" hidden="1" x14ac:dyDescent="0.2"/>
    <row r="29599" hidden="1" x14ac:dyDescent="0.2"/>
    <row r="29600" hidden="1" x14ac:dyDescent="0.2"/>
    <row r="29601" hidden="1" x14ac:dyDescent="0.2"/>
    <row r="29602" hidden="1" x14ac:dyDescent="0.2"/>
    <row r="29603" hidden="1" x14ac:dyDescent="0.2"/>
    <row r="29604" hidden="1" x14ac:dyDescent="0.2"/>
    <row r="29605" hidden="1" x14ac:dyDescent="0.2"/>
    <row r="29606" hidden="1" x14ac:dyDescent="0.2"/>
    <row r="29607" hidden="1" x14ac:dyDescent="0.2"/>
    <row r="29608" hidden="1" x14ac:dyDescent="0.2"/>
    <row r="29609" hidden="1" x14ac:dyDescent="0.2"/>
    <row r="29610" hidden="1" x14ac:dyDescent="0.2"/>
    <row r="29611" hidden="1" x14ac:dyDescent="0.2"/>
    <row r="29612" hidden="1" x14ac:dyDescent="0.2"/>
    <row r="29613" hidden="1" x14ac:dyDescent="0.2"/>
    <row r="29614" hidden="1" x14ac:dyDescent="0.2"/>
    <row r="29615" hidden="1" x14ac:dyDescent="0.2"/>
    <row r="29616" hidden="1" x14ac:dyDescent="0.2"/>
    <row r="29617" hidden="1" x14ac:dyDescent="0.2"/>
    <row r="29618" hidden="1" x14ac:dyDescent="0.2"/>
    <row r="29619" hidden="1" x14ac:dyDescent="0.2"/>
    <row r="29620" hidden="1" x14ac:dyDescent="0.2"/>
    <row r="29621" hidden="1" x14ac:dyDescent="0.2"/>
    <row r="29622" hidden="1" x14ac:dyDescent="0.2"/>
    <row r="29623" hidden="1" x14ac:dyDescent="0.2"/>
    <row r="29624" hidden="1" x14ac:dyDescent="0.2"/>
    <row r="29625" hidden="1" x14ac:dyDescent="0.2"/>
    <row r="29626" hidden="1" x14ac:dyDescent="0.2"/>
    <row r="29627" hidden="1" x14ac:dyDescent="0.2"/>
    <row r="29628" hidden="1" x14ac:dyDescent="0.2"/>
    <row r="29629" hidden="1" x14ac:dyDescent="0.2"/>
    <row r="29630" hidden="1" x14ac:dyDescent="0.2"/>
    <row r="29631" hidden="1" x14ac:dyDescent="0.2"/>
    <row r="29632" hidden="1" x14ac:dyDescent="0.2"/>
    <row r="29633" hidden="1" x14ac:dyDescent="0.2"/>
    <row r="29634" hidden="1" x14ac:dyDescent="0.2"/>
    <row r="29635" hidden="1" x14ac:dyDescent="0.2"/>
    <row r="29636" hidden="1" x14ac:dyDescent="0.2"/>
    <row r="29637" hidden="1" x14ac:dyDescent="0.2"/>
    <row r="29638" hidden="1" x14ac:dyDescent="0.2"/>
    <row r="29639" hidden="1" x14ac:dyDescent="0.2"/>
    <row r="29640" hidden="1" x14ac:dyDescent="0.2"/>
    <row r="29641" hidden="1" x14ac:dyDescent="0.2"/>
    <row r="29642" hidden="1" x14ac:dyDescent="0.2"/>
    <row r="29643" hidden="1" x14ac:dyDescent="0.2"/>
    <row r="29644" hidden="1" x14ac:dyDescent="0.2"/>
    <row r="29645" hidden="1" x14ac:dyDescent="0.2"/>
    <row r="29646" hidden="1" x14ac:dyDescent="0.2"/>
    <row r="29647" hidden="1" x14ac:dyDescent="0.2"/>
    <row r="29648" hidden="1" x14ac:dyDescent="0.2"/>
    <row r="29649" hidden="1" x14ac:dyDescent="0.2"/>
    <row r="29650" hidden="1" x14ac:dyDescent="0.2"/>
    <row r="29651" hidden="1" x14ac:dyDescent="0.2"/>
    <row r="29652" hidden="1" x14ac:dyDescent="0.2"/>
    <row r="29653" hidden="1" x14ac:dyDescent="0.2"/>
    <row r="29654" hidden="1" x14ac:dyDescent="0.2"/>
    <row r="29655" hidden="1" x14ac:dyDescent="0.2"/>
    <row r="29656" hidden="1" x14ac:dyDescent="0.2"/>
    <row r="29657" hidden="1" x14ac:dyDescent="0.2"/>
    <row r="29658" hidden="1" x14ac:dyDescent="0.2"/>
    <row r="29659" hidden="1" x14ac:dyDescent="0.2"/>
    <row r="29660" hidden="1" x14ac:dyDescent="0.2"/>
    <row r="29661" hidden="1" x14ac:dyDescent="0.2"/>
    <row r="29662" hidden="1" x14ac:dyDescent="0.2"/>
    <row r="29663" hidden="1" x14ac:dyDescent="0.2"/>
    <row r="29664" hidden="1" x14ac:dyDescent="0.2"/>
    <row r="29665" hidden="1" x14ac:dyDescent="0.2"/>
    <row r="29666" hidden="1" x14ac:dyDescent="0.2"/>
    <row r="29667" hidden="1" x14ac:dyDescent="0.2"/>
    <row r="29668" hidden="1" x14ac:dyDescent="0.2"/>
    <row r="29669" hidden="1" x14ac:dyDescent="0.2"/>
    <row r="29670" hidden="1" x14ac:dyDescent="0.2"/>
    <row r="29671" hidden="1" x14ac:dyDescent="0.2"/>
    <row r="29672" hidden="1" x14ac:dyDescent="0.2"/>
    <row r="29673" hidden="1" x14ac:dyDescent="0.2"/>
    <row r="29674" hidden="1" x14ac:dyDescent="0.2"/>
    <row r="29675" hidden="1" x14ac:dyDescent="0.2"/>
    <row r="29676" hidden="1" x14ac:dyDescent="0.2"/>
    <row r="29677" hidden="1" x14ac:dyDescent="0.2"/>
    <row r="29678" hidden="1" x14ac:dyDescent="0.2"/>
    <row r="29679" hidden="1" x14ac:dyDescent="0.2"/>
    <row r="29680" hidden="1" x14ac:dyDescent="0.2"/>
    <row r="29681" hidden="1" x14ac:dyDescent="0.2"/>
    <row r="29682" hidden="1" x14ac:dyDescent="0.2"/>
    <row r="29683" hidden="1" x14ac:dyDescent="0.2"/>
    <row r="29684" hidden="1" x14ac:dyDescent="0.2"/>
    <row r="29685" hidden="1" x14ac:dyDescent="0.2"/>
    <row r="29686" hidden="1" x14ac:dyDescent="0.2"/>
    <row r="29687" hidden="1" x14ac:dyDescent="0.2"/>
    <row r="29688" hidden="1" x14ac:dyDescent="0.2"/>
    <row r="29689" hidden="1" x14ac:dyDescent="0.2"/>
    <row r="29690" hidden="1" x14ac:dyDescent="0.2"/>
    <row r="29691" hidden="1" x14ac:dyDescent="0.2"/>
    <row r="29692" hidden="1" x14ac:dyDescent="0.2"/>
    <row r="29693" hidden="1" x14ac:dyDescent="0.2"/>
    <row r="29694" hidden="1" x14ac:dyDescent="0.2"/>
    <row r="29695" hidden="1" x14ac:dyDescent="0.2"/>
    <row r="29696" hidden="1" x14ac:dyDescent="0.2"/>
    <row r="29697" hidden="1" x14ac:dyDescent="0.2"/>
    <row r="29698" hidden="1" x14ac:dyDescent="0.2"/>
    <row r="29699" hidden="1" x14ac:dyDescent="0.2"/>
    <row r="29700" hidden="1" x14ac:dyDescent="0.2"/>
    <row r="29701" hidden="1" x14ac:dyDescent="0.2"/>
    <row r="29702" hidden="1" x14ac:dyDescent="0.2"/>
    <row r="29703" hidden="1" x14ac:dyDescent="0.2"/>
    <row r="29704" hidden="1" x14ac:dyDescent="0.2"/>
    <row r="29705" hidden="1" x14ac:dyDescent="0.2"/>
    <row r="29706" hidden="1" x14ac:dyDescent="0.2"/>
    <row r="29707" hidden="1" x14ac:dyDescent="0.2"/>
    <row r="29708" hidden="1" x14ac:dyDescent="0.2"/>
    <row r="29709" hidden="1" x14ac:dyDescent="0.2"/>
    <row r="29710" hidden="1" x14ac:dyDescent="0.2"/>
    <row r="29711" hidden="1" x14ac:dyDescent="0.2"/>
    <row r="29712" hidden="1" x14ac:dyDescent="0.2"/>
    <row r="29713" hidden="1" x14ac:dyDescent="0.2"/>
    <row r="29714" hidden="1" x14ac:dyDescent="0.2"/>
    <row r="29715" hidden="1" x14ac:dyDescent="0.2"/>
    <row r="29716" hidden="1" x14ac:dyDescent="0.2"/>
    <row r="29717" hidden="1" x14ac:dyDescent="0.2"/>
    <row r="29718" hidden="1" x14ac:dyDescent="0.2"/>
    <row r="29719" hidden="1" x14ac:dyDescent="0.2"/>
    <row r="29720" hidden="1" x14ac:dyDescent="0.2"/>
    <row r="29721" hidden="1" x14ac:dyDescent="0.2"/>
    <row r="29722" hidden="1" x14ac:dyDescent="0.2"/>
    <row r="29723" hidden="1" x14ac:dyDescent="0.2"/>
    <row r="29724" hidden="1" x14ac:dyDescent="0.2"/>
    <row r="29725" hidden="1" x14ac:dyDescent="0.2"/>
    <row r="29726" hidden="1" x14ac:dyDescent="0.2"/>
    <row r="29727" hidden="1" x14ac:dyDescent="0.2"/>
    <row r="29728" hidden="1" x14ac:dyDescent="0.2"/>
    <row r="29729" hidden="1" x14ac:dyDescent="0.2"/>
    <row r="29730" hidden="1" x14ac:dyDescent="0.2"/>
    <row r="29731" hidden="1" x14ac:dyDescent="0.2"/>
    <row r="29732" hidden="1" x14ac:dyDescent="0.2"/>
    <row r="29733" hidden="1" x14ac:dyDescent="0.2"/>
    <row r="29734" hidden="1" x14ac:dyDescent="0.2"/>
    <row r="29735" hidden="1" x14ac:dyDescent="0.2"/>
    <row r="29736" hidden="1" x14ac:dyDescent="0.2"/>
    <row r="29737" hidden="1" x14ac:dyDescent="0.2"/>
    <row r="29738" hidden="1" x14ac:dyDescent="0.2"/>
    <row r="29739" hidden="1" x14ac:dyDescent="0.2"/>
    <row r="29740" hidden="1" x14ac:dyDescent="0.2"/>
    <row r="29741" hidden="1" x14ac:dyDescent="0.2"/>
    <row r="29742" hidden="1" x14ac:dyDescent="0.2"/>
    <row r="29743" hidden="1" x14ac:dyDescent="0.2"/>
    <row r="29744" hidden="1" x14ac:dyDescent="0.2"/>
    <row r="29745" hidden="1" x14ac:dyDescent="0.2"/>
    <row r="29746" hidden="1" x14ac:dyDescent="0.2"/>
    <row r="29747" hidden="1" x14ac:dyDescent="0.2"/>
    <row r="29748" hidden="1" x14ac:dyDescent="0.2"/>
    <row r="29749" hidden="1" x14ac:dyDescent="0.2"/>
    <row r="29750" hidden="1" x14ac:dyDescent="0.2"/>
    <row r="29751" hidden="1" x14ac:dyDescent="0.2"/>
    <row r="29752" hidden="1" x14ac:dyDescent="0.2"/>
    <row r="29753" hidden="1" x14ac:dyDescent="0.2"/>
    <row r="29754" hidden="1" x14ac:dyDescent="0.2"/>
    <row r="29755" hidden="1" x14ac:dyDescent="0.2"/>
    <row r="29756" hidden="1" x14ac:dyDescent="0.2"/>
    <row r="29757" hidden="1" x14ac:dyDescent="0.2"/>
    <row r="29758" hidden="1" x14ac:dyDescent="0.2"/>
    <row r="29759" hidden="1" x14ac:dyDescent="0.2"/>
    <row r="29760" hidden="1" x14ac:dyDescent="0.2"/>
    <row r="29761" hidden="1" x14ac:dyDescent="0.2"/>
    <row r="29762" hidden="1" x14ac:dyDescent="0.2"/>
    <row r="29763" hidden="1" x14ac:dyDescent="0.2"/>
    <row r="29764" hidden="1" x14ac:dyDescent="0.2"/>
    <row r="29765" hidden="1" x14ac:dyDescent="0.2"/>
    <row r="29766" hidden="1" x14ac:dyDescent="0.2"/>
    <row r="29767" hidden="1" x14ac:dyDescent="0.2"/>
    <row r="29768" hidden="1" x14ac:dyDescent="0.2"/>
    <row r="29769" hidden="1" x14ac:dyDescent="0.2"/>
    <row r="29770" hidden="1" x14ac:dyDescent="0.2"/>
    <row r="29771" hidden="1" x14ac:dyDescent="0.2"/>
    <row r="29772" hidden="1" x14ac:dyDescent="0.2"/>
    <row r="29773" hidden="1" x14ac:dyDescent="0.2"/>
    <row r="29774" hidden="1" x14ac:dyDescent="0.2"/>
    <row r="29775" hidden="1" x14ac:dyDescent="0.2"/>
    <row r="29776" hidden="1" x14ac:dyDescent="0.2"/>
    <row r="29777" hidden="1" x14ac:dyDescent="0.2"/>
    <row r="29778" hidden="1" x14ac:dyDescent="0.2"/>
    <row r="29779" hidden="1" x14ac:dyDescent="0.2"/>
    <row r="29780" hidden="1" x14ac:dyDescent="0.2"/>
    <row r="29781" hidden="1" x14ac:dyDescent="0.2"/>
    <row r="29782" hidden="1" x14ac:dyDescent="0.2"/>
    <row r="29783" hidden="1" x14ac:dyDescent="0.2"/>
    <row r="29784" hidden="1" x14ac:dyDescent="0.2"/>
    <row r="29785" hidden="1" x14ac:dyDescent="0.2"/>
    <row r="29786" hidden="1" x14ac:dyDescent="0.2"/>
    <row r="29787" hidden="1" x14ac:dyDescent="0.2"/>
    <row r="29788" hidden="1" x14ac:dyDescent="0.2"/>
    <row r="29789" hidden="1" x14ac:dyDescent="0.2"/>
    <row r="29790" hidden="1" x14ac:dyDescent="0.2"/>
    <row r="29791" hidden="1" x14ac:dyDescent="0.2"/>
    <row r="29792" hidden="1" x14ac:dyDescent="0.2"/>
    <row r="29793" hidden="1" x14ac:dyDescent="0.2"/>
    <row r="29794" hidden="1" x14ac:dyDescent="0.2"/>
    <row r="29795" hidden="1" x14ac:dyDescent="0.2"/>
    <row r="29796" hidden="1" x14ac:dyDescent="0.2"/>
    <row r="29797" hidden="1" x14ac:dyDescent="0.2"/>
    <row r="29798" hidden="1" x14ac:dyDescent="0.2"/>
    <row r="29799" hidden="1" x14ac:dyDescent="0.2"/>
    <row r="29800" hidden="1" x14ac:dyDescent="0.2"/>
    <row r="29801" hidden="1" x14ac:dyDescent="0.2"/>
    <row r="29802" hidden="1" x14ac:dyDescent="0.2"/>
    <row r="29803" hidden="1" x14ac:dyDescent="0.2"/>
    <row r="29804" hidden="1" x14ac:dyDescent="0.2"/>
    <row r="29805" hidden="1" x14ac:dyDescent="0.2"/>
    <row r="29806" hidden="1" x14ac:dyDescent="0.2"/>
    <row r="29807" hidden="1" x14ac:dyDescent="0.2"/>
    <row r="29808" hidden="1" x14ac:dyDescent="0.2"/>
    <row r="29809" hidden="1" x14ac:dyDescent="0.2"/>
    <row r="29810" hidden="1" x14ac:dyDescent="0.2"/>
    <row r="29811" hidden="1" x14ac:dyDescent="0.2"/>
    <row r="29812" hidden="1" x14ac:dyDescent="0.2"/>
    <row r="29813" hidden="1" x14ac:dyDescent="0.2"/>
    <row r="29814" hidden="1" x14ac:dyDescent="0.2"/>
    <row r="29815" hidden="1" x14ac:dyDescent="0.2"/>
    <row r="29816" hidden="1" x14ac:dyDescent="0.2"/>
    <row r="29817" hidden="1" x14ac:dyDescent="0.2"/>
    <row r="29818" hidden="1" x14ac:dyDescent="0.2"/>
    <row r="29819" hidden="1" x14ac:dyDescent="0.2"/>
    <row r="29820" hidden="1" x14ac:dyDescent="0.2"/>
    <row r="29821" hidden="1" x14ac:dyDescent="0.2"/>
    <row r="29822" hidden="1" x14ac:dyDescent="0.2"/>
    <row r="29823" hidden="1" x14ac:dyDescent="0.2"/>
    <row r="29824" hidden="1" x14ac:dyDescent="0.2"/>
    <row r="29825" hidden="1" x14ac:dyDescent="0.2"/>
    <row r="29826" hidden="1" x14ac:dyDescent="0.2"/>
    <row r="29827" hidden="1" x14ac:dyDescent="0.2"/>
    <row r="29828" hidden="1" x14ac:dyDescent="0.2"/>
    <row r="29829" hidden="1" x14ac:dyDescent="0.2"/>
    <row r="29830" hidden="1" x14ac:dyDescent="0.2"/>
    <row r="29831" hidden="1" x14ac:dyDescent="0.2"/>
    <row r="29832" hidden="1" x14ac:dyDescent="0.2"/>
    <row r="29833" hidden="1" x14ac:dyDescent="0.2"/>
    <row r="29834" hidden="1" x14ac:dyDescent="0.2"/>
    <row r="29835" hidden="1" x14ac:dyDescent="0.2"/>
    <row r="29836" hidden="1" x14ac:dyDescent="0.2"/>
    <row r="29837" hidden="1" x14ac:dyDescent="0.2"/>
    <row r="29838" hidden="1" x14ac:dyDescent="0.2"/>
    <row r="29839" hidden="1" x14ac:dyDescent="0.2"/>
    <row r="29840" hidden="1" x14ac:dyDescent="0.2"/>
    <row r="29841" hidden="1" x14ac:dyDescent="0.2"/>
    <row r="29842" hidden="1" x14ac:dyDescent="0.2"/>
    <row r="29843" hidden="1" x14ac:dyDescent="0.2"/>
    <row r="29844" hidden="1" x14ac:dyDescent="0.2"/>
    <row r="29845" hidden="1" x14ac:dyDescent="0.2"/>
    <row r="29846" hidden="1" x14ac:dyDescent="0.2"/>
    <row r="29847" hidden="1" x14ac:dyDescent="0.2"/>
    <row r="29848" hidden="1" x14ac:dyDescent="0.2"/>
    <row r="29849" hidden="1" x14ac:dyDescent="0.2"/>
    <row r="29850" hidden="1" x14ac:dyDescent="0.2"/>
    <row r="29851" hidden="1" x14ac:dyDescent="0.2"/>
    <row r="29852" hidden="1" x14ac:dyDescent="0.2"/>
    <row r="29853" hidden="1" x14ac:dyDescent="0.2"/>
    <row r="29854" hidden="1" x14ac:dyDescent="0.2"/>
    <row r="29855" hidden="1" x14ac:dyDescent="0.2"/>
    <row r="29856" hidden="1" x14ac:dyDescent="0.2"/>
    <row r="29857" hidden="1" x14ac:dyDescent="0.2"/>
    <row r="29858" hidden="1" x14ac:dyDescent="0.2"/>
    <row r="29859" hidden="1" x14ac:dyDescent="0.2"/>
    <row r="29860" hidden="1" x14ac:dyDescent="0.2"/>
    <row r="29861" hidden="1" x14ac:dyDescent="0.2"/>
    <row r="29862" hidden="1" x14ac:dyDescent="0.2"/>
    <row r="29863" hidden="1" x14ac:dyDescent="0.2"/>
    <row r="29864" hidden="1" x14ac:dyDescent="0.2"/>
    <row r="29865" hidden="1" x14ac:dyDescent="0.2"/>
    <row r="29866" hidden="1" x14ac:dyDescent="0.2"/>
    <row r="29867" hidden="1" x14ac:dyDescent="0.2"/>
    <row r="29868" hidden="1" x14ac:dyDescent="0.2"/>
    <row r="29869" hidden="1" x14ac:dyDescent="0.2"/>
    <row r="29870" hidden="1" x14ac:dyDescent="0.2"/>
    <row r="29871" hidden="1" x14ac:dyDescent="0.2"/>
    <row r="29872" hidden="1" x14ac:dyDescent="0.2"/>
    <row r="29873" hidden="1" x14ac:dyDescent="0.2"/>
    <row r="29874" hidden="1" x14ac:dyDescent="0.2"/>
    <row r="29875" hidden="1" x14ac:dyDescent="0.2"/>
    <row r="29876" hidden="1" x14ac:dyDescent="0.2"/>
    <row r="29877" hidden="1" x14ac:dyDescent="0.2"/>
    <row r="29878" hidden="1" x14ac:dyDescent="0.2"/>
    <row r="29879" hidden="1" x14ac:dyDescent="0.2"/>
    <row r="29880" hidden="1" x14ac:dyDescent="0.2"/>
    <row r="29881" hidden="1" x14ac:dyDescent="0.2"/>
    <row r="29882" hidden="1" x14ac:dyDescent="0.2"/>
    <row r="29883" hidden="1" x14ac:dyDescent="0.2"/>
    <row r="29884" hidden="1" x14ac:dyDescent="0.2"/>
    <row r="29885" hidden="1" x14ac:dyDescent="0.2"/>
    <row r="29886" hidden="1" x14ac:dyDescent="0.2"/>
    <row r="29887" hidden="1" x14ac:dyDescent="0.2"/>
    <row r="29888" hidden="1" x14ac:dyDescent="0.2"/>
    <row r="29889" hidden="1" x14ac:dyDescent="0.2"/>
    <row r="29890" hidden="1" x14ac:dyDescent="0.2"/>
    <row r="29891" hidden="1" x14ac:dyDescent="0.2"/>
    <row r="29892" hidden="1" x14ac:dyDescent="0.2"/>
    <row r="29893" hidden="1" x14ac:dyDescent="0.2"/>
    <row r="29894" hidden="1" x14ac:dyDescent="0.2"/>
    <row r="29895" hidden="1" x14ac:dyDescent="0.2"/>
    <row r="29896" hidden="1" x14ac:dyDescent="0.2"/>
    <row r="29897" hidden="1" x14ac:dyDescent="0.2"/>
    <row r="29898" hidden="1" x14ac:dyDescent="0.2"/>
    <row r="29899" hidden="1" x14ac:dyDescent="0.2"/>
    <row r="29900" hidden="1" x14ac:dyDescent="0.2"/>
    <row r="29901" hidden="1" x14ac:dyDescent="0.2"/>
    <row r="29902" hidden="1" x14ac:dyDescent="0.2"/>
    <row r="29903" hidden="1" x14ac:dyDescent="0.2"/>
    <row r="29904" hidden="1" x14ac:dyDescent="0.2"/>
    <row r="29905" hidden="1" x14ac:dyDescent="0.2"/>
    <row r="29906" hidden="1" x14ac:dyDescent="0.2"/>
    <row r="29907" hidden="1" x14ac:dyDescent="0.2"/>
    <row r="29908" hidden="1" x14ac:dyDescent="0.2"/>
    <row r="29909" hidden="1" x14ac:dyDescent="0.2"/>
    <row r="29910" hidden="1" x14ac:dyDescent="0.2"/>
    <row r="29911" hidden="1" x14ac:dyDescent="0.2"/>
    <row r="29912" hidden="1" x14ac:dyDescent="0.2"/>
    <row r="29913" hidden="1" x14ac:dyDescent="0.2"/>
    <row r="29914" hidden="1" x14ac:dyDescent="0.2"/>
    <row r="29915" hidden="1" x14ac:dyDescent="0.2"/>
    <row r="29916" hidden="1" x14ac:dyDescent="0.2"/>
    <row r="29917" hidden="1" x14ac:dyDescent="0.2"/>
    <row r="29918" hidden="1" x14ac:dyDescent="0.2"/>
    <row r="29919" hidden="1" x14ac:dyDescent="0.2"/>
    <row r="29920" hidden="1" x14ac:dyDescent="0.2"/>
    <row r="29921" hidden="1" x14ac:dyDescent="0.2"/>
    <row r="29922" hidden="1" x14ac:dyDescent="0.2"/>
    <row r="29923" hidden="1" x14ac:dyDescent="0.2"/>
    <row r="29924" hidden="1" x14ac:dyDescent="0.2"/>
    <row r="29925" hidden="1" x14ac:dyDescent="0.2"/>
    <row r="29926" hidden="1" x14ac:dyDescent="0.2"/>
    <row r="29927" hidden="1" x14ac:dyDescent="0.2"/>
    <row r="29928" hidden="1" x14ac:dyDescent="0.2"/>
    <row r="29929" hidden="1" x14ac:dyDescent="0.2"/>
    <row r="29930" hidden="1" x14ac:dyDescent="0.2"/>
    <row r="29931" hidden="1" x14ac:dyDescent="0.2"/>
    <row r="29932" hidden="1" x14ac:dyDescent="0.2"/>
    <row r="29933" hidden="1" x14ac:dyDescent="0.2"/>
    <row r="29934" hidden="1" x14ac:dyDescent="0.2"/>
    <row r="29935" hidden="1" x14ac:dyDescent="0.2"/>
    <row r="29936" hidden="1" x14ac:dyDescent="0.2"/>
    <row r="29937" hidden="1" x14ac:dyDescent="0.2"/>
    <row r="29938" hidden="1" x14ac:dyDescent="0.2"/>
    <row r="29939" hidden="1" x14ac:dyDescent="0.2"/>
    <row r="29940" hidden="1" x14ac:dyDescent="0.2"/>
    <row r="29941" hidden="1" x14ac:dyDescent="0.2"/>
    <row r="29942" hidden="1" x14ac:dyDescent="0.2"/>
    <row r="29943" hidden="1" x14ac:dyDescent="0.2"/>
    <row r="29944" hidden="1" x14ac:dyDescent="0.2"/>
    <row r="29945" hidden="1" x14ac:dyDescent="0.2"/>
    <row r="29946" hidden="1" x14ac:dyDescent="0.2"/>
    <row r="29947" hidden="1" x14ac:dyDescent="0.2"/>
    <row r="29948" hidden="1" x14ac:dyDescent="0.2"/>
    <row r="29949" hidden="1" x14ac:dyDescent="0.2"/>
    <row r="29950" hidden="1" x14ac:dyDescent="0.2"/>
    <row r="29951" hidden="1" x14ac:dyDescent="0.2"/>
    <row r="29952" hidden="1" x14ac:dyDescent="0.2"/>
    <row r="29953" hidden="1" x14ac:dyDescent="0.2"/>
    <row r="29954" hidden="1" x14ac:dyDescent="0.2"/>
    <row r="29955" hidden="1" x14ac:dyDescent="0.2"/>
    <row r="29956" hidden="1" x14ac:dyDescent="0.2"/>
    <row r="29957" hidden="1" x14ac:dyDescent="0.2"/>
    <row r="29958" hidden="1" x14ac:dyDescent="0.2"/>
    <row r="29959" hidden="1" x14ac:dyDescent="0.2"/>
    <row r="29960" hidden="1" x14ac:dyDescent="0.2"/>
    <row r="29961" hidden="1" x14ac:dyDescent="0.2"/>
    <row r="29962" hidden="1" x14ac:dyDescent="0.2"/>
    <row r="29963" hidden="1" x14ac:dyDescent="0.2"/>
    <row r="29964" hidden="1" x14ac:dyDescent="0.2"/>
    <row r="29965" hidden="1" x14ac:dyDescent="0.2"/>
    <row r="29966" hidden="1" x14ac:dyDescent="0.2"/>
    <row r="29967" hidden="1" x14ac:dyDescent="0.2"/>
    <row r="29968" hidden="1" x14ac:dyDescent="0.2"/>
    <row r="29969" hidden="1" x14ac:dyDescent="0.2"/>
    <row r="29970" hidden="1" x14ac:dyDescent="0.2"/>
    <row r="29971" hidden="1" x14ac:dyDescent="0.2"/>
    <row r="29972" hidden="1" x14ac:dyDescent="0.2"/>
    <row r="29973" hidden="1" x14ac:dyDescent="0.2"/>
    <row r="29974" hidden="1" x14ac:dyDescent="0.2"/>
    <row r="29975" hidden="1" x14ac:dyDescent="0.2"/>
    <row r="29976" hidden="1" x14ac:dyDescent="0.2"/>
    <row r="29977" hidden="1" x14ac:dyDescent="0.2"/>
    <row r="29978" hidden="1" x14ac:dyDescent="0.2"/>
    <row r="29979" hidden="1" x14ac:dyDescent="0.2"/>
    <row r="29980" hidden="1" x14ac:dyDescent="0.2"/>
    <row r="29981" hidden="1" x14ac:dyDescent="0.2"/>
    <row r="29982" hidden="1" x14ac:dyDescent="0.2"/>
    <row r="29983" hidden="1" x14ac:dyDescent="0.2"/>
    <row r="29984" hidden="1" x14ac:dyDescent="0.2"/>
    <row r="29985" hidden="1" x14ac:dyDescent="0.2"/>
    <row r="29986" hidden="1" x14ac:dyDescent="0.2"/>
    <row r="29987" hidden="1" x14ac:dyDescent="0.2"/>
    <row r="29988" hidden="1" x14ac:dyDescent="0.2"/>
    <row r="29989" hidden="1" x14ac:dyDescent="0.2"/>
    <row r="29990" hidden="1" x14ac:dyDescent="0.2"/>
    <row r="29991" hidden="1" x14ac:dyDescent="0.2"/>
    <row r="29992" hidden="1" x14ac:dyDescent="0.2"/>
    <row r="29993" hidden="1" x14ac:dyDescent="0.2"/>
    <row r="29994" hidden="1" x14ac:dyDescent="0.2"/>
    <row r="29995" hidden="1" x14ac:dyDescent="0.2"/>
    <row r="29996" hidden="1" x14ac:dyDescent="0.2"/>
    <row r="29997" hidden="1" x14ac:dyDescent="0.2"/>
    <row r="29998" hidden="1" x14ac:dyDescent="0.2"/>
    <row r="29999" hidden="1" x14ac:dyDescent="0.2"/>
    <row r="30000" hidden="1" x14ac:dyDescent="0.2"/>
    <row r="30001" hidden="1" x14ac:dyDescent="0.2"/>
    <row r="30002" hidden="1" x14ac:dyDescent="0.2"/>
    <row r="30003" hidden="1" x14ac:dyDescent="0.2"/>
    <row r="30004" hidden="1" x14ac:dyDescent="0.2"/>
    <row r="30005" hidden="1" x14ac:dyDescent="0.2"/>
    <row r="30006" hidden="1" x14ac:dyDescent="0.2"/>
    <row r="30007" hidden="1" x14ac:dyDescent="0.2"/>
    <row r="30008" hidden="1" x14ac:dyDescent="0.2"/>
    <row r="30009" hidden="1" x14ac:dyDescent="0.2"/>
    <row r="30010" hidden="1" x14ac:dyDescent="0.2"/>
    <row r="30011" hidden="1" x14ac:dyDescent="0.2"/>
    <row r="30012" hidden="1" x14ac:dyDescent="0.2"/>
    <row r="30013" hidden="1" x14ac:dyDescent="0.2"/>
    <row r="30014" hidden="1" x14ac:dyDescent="0.2"/>
    <row r="30015" hidden="1" x14ac:dyDescent="0.2"/>
    <row r="30016" hidden="1" x14ac:dyDescent="0.2"/>
    <row r="30017" hidden="1" x14ac:dyDescent="0.2"/>
    <row r="30018" hidden="1" x14ac:dyDescent="0.2"/>
    <row r="30019" hidden="1" x14ac:dyDescent="0.2"/>
    <row r="30020" hidden="1" x14ac:dyDescent="0.2"/>
    <row r="30021" hidden="1" x14ac:dyDescent="0.2"/>
    <row r="30022" hidden="1" x14ac:dyDescent="0.2"/>
    <row r="30023" hidden="1" x14ac:dyDescent="0.2"/>
    <row r="30024" hidden="1" x14ac:dyDescent="0.2"/>
    <row r="30025" hidden="1" x14ac:dyDescent="0.2"/>
    <row r="30026" hidden="1" x14ac:dyDescent="0.2"/>
    <row r="30027" hidden="1" x14ac:dyDescent="0.2"/>
    <row r="30028" hidden="1" x14ac:dyDescent="0.2"/>
    <row r="30029" hidden="1" x14ac:dyDescent="0.2"/>
    <row r="30030" hidden="1" x14ac:dyDescent="0.2"/>
    <row r="30031" hidden="1" x14ac:dyDescent="0.2"/>
    <row r="30032" hidden="1" x14ac:dyDescent="0.2"/>
    <row r="30033" hidden="1" x14ac:dyDescent="0.2"/>
    <row r="30034" hidden="1" x14ac:dyDescent="0.2"/>
    <row r="30035" hidden="1" x14ac:dyDescent="0.2"/>
    <row r="30036" hidden="1" x14ac:dyDescent="0.2"/>
    <row r="30037" hidden="1" x14ac:dyDescent="0.2"/>
    <row r="30038" hidden="1" x14ac:dyDescent="0.2"/>
    <row r="30039" hidden="1" x14ac:dyDescent="0.2"/>
    <row r="30040" hidden="1" x14ac:dyDescent="0.2"/>
    <row r="30041" hidden="1" x14ac:dyDescent="0.2"/>
    <row r="30042" hidden="1" x14ac:dyDescent="0.2"/>
    <row r="30043" hidden="1" x14ac:dyDescent="0.2"/>
    <row r="30044" hidden="1" x14ac:dyDescent="0.2"/>
    <row r="30045" hidden="1" x14ac:dyDescent="0.2"/>
    <row r="30046" hidden="1" x14ac:dyDescent="0.2"/>
    <row r="30047" hidden="1" x14ac:dyDescent="0.2"/>
    <row r="30048" hidden="1" x14ac:dyDescent="0.2"/>
    <row r="30049" hidden="1" x14ac:dyDescent="0.2"/>
    <row r="30050" hidden="1" x14ac:dyDescent="0.2"/>
    <row r="30051" hidden="1" x14ac:dyDescent="0.2"/>
    <row r="30052" hidden="1" x14ac:dyDescent="0.2"/>
    <row r="30053" hidden="1" x14ac:dyDescent="0.2"/>
    <row r="30054" hidden="1" x14ac:dyDescent="0.2"/>
    <row r="30055" hidden="1" x14ac:dyDescent="0.2"/>
    <row r="30056" hidden="1" x14ac:dyDescent="0.2"/>
    <row r="30057" hidden="1" x14ac:dyDescent="0.2"/>
    <row r="30058" hidden="1" x14ac:dyDescent="0.2"/>
    <row r="30059" hidden="1" x14ac:dyDescent="0.2"/>
    <row r="30060" hidden="1" x14ac:dyDescent="0.2"/>
    <row r="30061" hidden="1" x14ac:dyDescent="0.2"/>
    <row r="30062" hidden="1" x14ac:dyDescent="0.2"/>
    <row r="30063" hidden="1" x14ac:dyDescent="0.2"/>
    <row r="30064" hidden="1" x14ac:dyDescent="0.2"/>
    <row r="30065" hidden="1" x14ac:dyDescent="0.2"/>
    <row r="30066" hidden="1" x14ac:dyDescent="0.2"/>
    <row r="30067" hidden="1" x14ac:dyDescent="0.2"/>
    <row r="30068" hidden="1" x14ac:dyDescent="0.2"/>
    <row r="30069" hidden="1" x14ac:dyDescent="0.2"/>
    <row r="30070" hidden="1" x14ac:dyDescent="0.2"/>
    <row r="30071" hidden="1" x14ac:dyDescent="0.2"/>
    <row r="30072" hidden="1" x14ac:dyDescent="0.2"/>
    <row r="30073" hidden="1" x14ac:dyDescent="0.2"/>
    <row r="30074" hidden="1" x14ac:dyDescent="0.2"/>
    <row r="30075" hidden="1" x14ac:dyDescent="0.2"/>
    <row r="30076" hidden="1" x14ac:dyDescent="0.2"/>
    <row r="30077" hidden="1" x14ac:dyDescent="0.2"/>
    <row r="30078" hidden="1" x14ac:dyDescent="0.2"/>
    <row r="30079" hidden="1" x14ac:dyDescent="0.2"/>
    <row r="30080" hidden="1" x14ac:dyDescent="0.2"/>
    <row r="30081" hidden="1" x14ac:dyDescent="0.2"/>
    <row r="30082" hidden="1" x14ac:dyDescent="0.2"/>
    <row r="30083" hidden="1" x14ac:dyDescent="0.2"/>
    <row r="30084" hidden="1" x14ac:dyDescent="0.2"/>
    <row r="30085" hidden="1" x14ac:dyDescent="0.2"/>
    <row r="30086" hidden="1" x14ac:dyDescent="0.2"/>
    <row r="30087" hidden="1" x14ac:dyDescent="0.2"/>
    <row r="30088" hidden="1" x14ac:dyDescent="0.2"/>
    <row r="30089" hidden="1" x14ac:dyDescent="0.2"/>
    <row r="30090" hidden="1" x14ac:dyDescent="0.2"/>
    <row r="30091" hidden="1" x14ac:dyDescent="0.2"/>
    <row r="30092" hidden="1" x14ac:dyDescent="0.2"/>
    <row r="30093" hidden="1" x14ac:dyDescent="0.2"/>
    <row r="30094" hidden="1" x14ac:dyDescent="0.2"/>
    <row r="30095" hidden="1" x14ac:dyDescent="0.2"/>
    <row r="30096" hidden="1" x14ac:dyDescent="0.2"/>
    <row r="30097" hidden="1" x14ac:dyDescent="0.2"/>
    <row r="30098" hidden="1" x14ac:dyDescent="0.2"/>
    <row r="30099" hidden="1" x14ac:dyDescent="0.2"/>
    <row r="30100" hidden="1" x14ac:dyDescent="0.2"/>
    <row r="30101" hidden="1" x14ac:dyDescent="0.2"/>
    <row r="30102" hidden="1" x14ac:dyDescent="0.2"/>
    <row r="30103" hidden="1" x14ac:dyDescent="0.2"/>
    <row r="30104" hidden="1" x14ac:dyDescent="0.2"/>
    <row r="30105" hidden="1" x14ac:dyDescent="0.2"/>
    <row r="30106" hidden="1" x14ac:dyDescent="0.2"/>
    <row r="30107" hidden="1" x14ac:dyDescent="0.2"/>
    <row r="30108" hidden="1" x14ac:dyDescent="0.2"/>
    <row r="30109" hidden="1" x14ac:dyDescent="0.2"/>
    <row r="30110" hidden="1" x14ac:dyDescent="0.2"/>
    <row r="30111" hidden="1" x14ac:dyDescent="0.2"/>
    <row r="30112" hidden="1" x14ac:dyDescent="0.2"/>
    <row r="30113" hidden="1" x14ac:dyDescent="0.2"/>
    <row r="30114" hidden="1" x14ac:dyDescent="0.2"/>
    <row r="30115" hidden="1" x14ac:dyDescent="0.2"/>
    <row r="30116" hidden="1" x14ac:dyDescent="0.2"/>
    <row r="30117" hidden="1" x14ac:dyDescent="0.2"/>
    <row r="30118" hidden="1" x14ac:dyDescent="0.2"/>
    <row r="30119" hidden="1" x14ac:dyDescent="0.2"/>
    <row r="30120" hidden="1" x14ac:dyDescent="0.2"/>
    <row r="30121" hidden="1" x14ac:dyDescent="0.2"/>
    <row r="30122" hidden="1" x14ac:dyDescent="0.2"/>
    <row r="30123" hidden="1" x14ac:dyDescent="0.2"/>
    <row r="30124" hidden="1" x14ac:dyDescent="0.2"/>
    <row r="30125" hidden="1" x14ac:dyDescent="0.2"/>
    <row r="30126" hidden="1" x14ac:dyDescent="0.2"/>
    <row r="30127" hidden="1" x14ac:dyDescent="0.2"/>
    <row r="30128" hidden="1" x14ac:dyDescent="0.2"/>
    <row r="30129" hidden="1" x14ac:dyDescent="0.2"/>
    <row r="30130" hidden="1" x14ac:dyDescent="0.2"/>
    <row r="30131" hidden="1" x14ac:dyDescent="0.2"/>
    <row r="30132" hidden="1" x14ac:dyDescent="0.2"/>
    <row r="30133" hidden="1" x14ac:dyDescent="0.2"/>
    <row r="30134" hidden="1" x14ac:dyDescent="0.2"/>
    <row r="30135" hidden="1" x14ac:dyDescent="0.2"/>
    <row r="30136" hidden="1" x14ac:dyDescent="0.2"/>
    <row r="30137" hidden="1" x14ac:dyDescent="0.2"/>
    <row r="30138" hidden="1" x14ac:dyDescent="0.2"/>
    <row r="30139" hidden="1" x14ac:dyDescent="0.2"/>
    <row r="30140" hidden="1" x14ac:dyDescent="0.2"/>
    <row r="30141" hidden="1" x14ac:dyDescent="0.2"/>
    <row r="30142" hidden="1" x14ac:dyDescent="0.2"/>
    <row r="30143" hidden="1" x14ac:dyDescent="0.2"/>
    <row r="30144" hidden="1" x14ac:dyDescent="0.2"/>
    <row r="30145" hidden="1" x14ac:dyDescent="0.2"/>
    <row r="30146" hidden="1" x14ac:dyDescent="0.2"/>
    <row r="30147" hidden="1" x14ac:dyDescent="0.2"/>
    <row r="30148" hidden="1" x14ac:dyDescent="0.2"/>
    <row r="30149" hidden="1" x14ac:dyDescent="0.2"/>
    <row r="30150" hidden="1" x14ac:dyDescent="0.2"/>
    <row r="30151" hidden="1" x14ac:dyDescent="0.2"/>
    <row r="30152" hidden="1" x14ac:dyDescent="0.2"/>
    <row r="30153" hidden="1" x14ac:dyDescent="0.2"/>
    <row r="30154" hidden="1" x14ac:dyDescent="0.2"/>
    <row r="30155" hidden="1" x14ac:dyDescent="0.2"/>
    <row r="30156" hidden="1" x14ac:dyDescent="0.2"/>
    <row r="30157" hidden="1" x14ac:dyDescent="0.2"/>
    <row r="30158" hidden="1" x14ac:dyDescent="0.2"/>
    <row r="30159" hidden="1" x14ac:dyDescent="0.2"/>
    <row r="30160" hidden="1" x14ac:dyDescent="0.2"/>
    <row r="30161" hidden="1" x14ac:dyDescent="0.2"/>
    <row r="30162" hidden="1" x14ac:dyDescent="0.2"/>
    <row r="30163" hidden="1" x14ac:dyDescent="0.2"/>
    <row r="30164" hidden="1" x14ac:dyDescent="0.2"/>
    <row r="30165" hidden="1" x14ac:dyDescent="0.2"/>
    <row r="30166" hidden="1" x14ac:dyDescent="0.2"/>
    <row r="30167" hidden="1" x14ac:dyDescent="0.2"/>
    <row r="30168" hidden="1" x14ac:dyDescent="0.2"/>
    <row r="30169" hidden="1" x14ac:dyDescent="0.2"/>
    <row r="30170" hidden="1" x14ac:dyDescent="0.2"/>
    <row r="30171" hidden="1" x14ac:dyDescent="0.2"/>
    <row r="30172" hidden="1" x14ac:dyDescent="0.2"/>
    <row r="30173" hidden="1" x14ac:dyDescent="0.2"/>
    <row r="30174" hidden="1" x14ac:dyDescent="0.2"/>
    <row r="30175" hidden="1" x14ac:dyDescent="0.2"/>
    <row r="30176" hidden="1" x14ac:dyDescent="0.2"/>
    <row r="30177" hidden="1" x14ac:dyDescent="0.2"/>
    <row r="30178" hidden="1" x14ac:dyDescent="0.2"/>
    <row r="30179" hidden="1" x14ac:dyDescent="0.2"/>
    <row r="30180" hidden="1" x14ac:dyDescent="0.2"/>
    <row r="30181" hidden="1" x14ac:dyDescent="0.2"/>
    <row r="30182" hidden="1" x14ac:dyDescent="0.2"/>
    <row r="30183" hidden="1" x14ac:dyDescent="0.2"/>
    <row r="30184" hidden="1" x14ac:dyDescent="0.2"/>
    <row r="30185" hidden="1" x14ac:dyDescent="0.2"/>
    <row r="30186" hidden="1" x14ac:dyDescent="0.2"/>
    <row r="30187" hidden="1" x14ac:dyDescent="0.2"/>
    <row r="30188" hidden="1" x14ac:dyDescent="0.2"/>
    <row r="30189" hidden="1" x14ac:dyDescent="0.2"/>
    <row r="30190" hidden="1" x14ac:dyDescent="0.2"/>
    <row r="30191" hidden="1" x14ac:dyDescent="0.2"/>
    <row r="30192" hidden="1" x14ac:dyDescent="0.2"/>
    <row r="30193" hidden="1" x14ac:dyDescent="0.2"/>
    <row r="30194" hidden="1" x14ac:dyDescent="0.2"/>
    <row r="30195" hidden="1" x14ac:dyDescent="0.2"/>
    <row r="30196" hidden="1" x14ac:dyDescent="0.2"/>
    <row r="30197" hidden="1" x14ac:dyDescent="0.2"/>
    <row r="30198" hidden="1" x14ac:dyDescent="0.2"/>
    <row r="30199" hidden="1" x14ac:dyDescent="0.2"/>
    <row r="30200" hidden="1" x14ac:dyDescent="0.2"/>
    <row r="30201" hidden="1" x14ac:dyDescent="0.2"/>
    <row r="30202" hidden="1" x14ac:dyDescent="0.2"/>
    <row r="30203" hidden="1" x14ac:dyDescent="0.2"/>
    <row r="30204" hidden="1" x14ac:dyDescent="0.2"/>
    <row r="30205" hidden="1" x14ac:dyDescent="0.2"/>
    <row r="30206" hidden="1" x14ac:dyDescent="0.2"/>
    <row r="30207" hidden="1" x14ac:dyDescent="0.2"/>
    <row r="30208" hidden="1" x14ac:dyDescent="0.2"/>
    <row r="30209" hidden="1" x14ac:dyDescent="0.2"/>
    <row r="30210" hidden="1" x14ac:dyDescent="0.2"/>
    <row r="30211" hidden="1" x14ac:dyDescent="0.2"/>
    <row r="30212" hidden="1" x14ac:dyDescent="0.2"/>
    <row r="30213" hidden="1" x14ac:dyDescent="0.2"/>
    <row r="30214" hidden="1" x14ac:dyDescent="0.2"/>
    <row r="30215" hidden="1" x14ac:dyDescent="0.2"/>
    <row r="30216" hidden="1" x14ac:dyDescent="0.2"/>
    <row r="30217" hidden="1" x14ac:dyDescent="0.2"/>
    <row r="30218" hidden="1" x14ac:dyDescent="0.2"/>
    <row r="30219" hidden="1" x14ac:dyDescent="0.2"/>
    <row r="30220" hidden="1" x14ac:dyDescent="0.2"/>
    <row r="30221" hidden="1" x14ac:dyDescent="0.2"/>
    <row r="30222" hidden="1" x14ac:dyDescent="0.2"/>
    <row r="30223" hidden="1" x14ac:dyDescent="0.2"/>
    <row r="30224" hidden="1" x14ac:dyDescent="0.2"/>
    <row r="30225" hidden="1" x14ac:dyDescent="0.2"/>
    <row r="30226" hidden="1" x14ac:dyDescent="0.2"/>
    <row r="30227" hidden="1" x14ac:dyDescent="0.2"/>
    <row r="30228" hidden="1" x14ac:dyDescent="0.2"/>
    <row r="30229" hidden="1" x14ac:dyDescent="0.2"/>
    <row r="30230" hidden="1" x14ac:dyDescent="0.2"/>
    <row r="30231" hidden="1" x14ac:dyDescent="0.2"/>
    <row r="30232" hidden="1" x14ac:dyDescent="0.2"/>
    <row r="30233" hidden="1" x14ac:dyDescent="0.2"/>
    <row r="30234" hidden="1" x14ac:dyDescent="0.2"/>
    <row r="30235" hidden="1" x14ac:dyDescent="0.2"/>
    <row r="30236" hidden="1" x14ac:dyDescent="0.2"/>
    <row r="30237" hidden="1" x14ac:dyDescent="0.2"/>
    <row r="30238" hidden="1" x14ac:dyDescent="0.2"/>
    <row r="30239" hidden="1" x14ac:dyDescent="0.2"/>
    <row r="30240" hidden="1" x14ac:dyDescent="0.2"/>
    <row r="30241" hidden="1" x14ac:dyDescent="0.2"/>
    <row r="30242" hidden="1" x14ac:dyDescent="0.2"/>
    <row r="30243" hidden="1" x14ac:dyDescent="0.2"/>
    <row r="30244" hidden="1" x14ac:dyDescent="0.2"/>
    <row r="30245" hidden="1" x14ac:dyDescent="0.2"/>
    <row r="30246" hidden="1" x14ac:dyDescent="0.2"/>
    <row r="30247" hidden="1" x14ac:dyDescent="0.2"/>
    <row r="30248" hidden="1" x14ac:dyDescent="0.2"/>
    <row r="30249" hidden="1" x14ac:dyDescent="0.2"/>
    <row r="30250" hidden="1" x14ac:dyDescent="0.2"/>
    <row r="30251" hidden="1" x14ac:dyDescent="0.2"/>
    <row r="30252" hidden="1" x14ac:dyDescent="0.2"/>
    <row r="30253" hidden="1" x14ac:dyDescent="0.2"/>
    <row r="30254" hidden="1" x14ac:dyDescent="0.2"/>
    <row r="30255" hidden="1" x14ac:dyDescent="0.2"/>
    <row r="30256" hidden="1" x14ac:dyDescent="0.2"/>
    <row r="30257" hidden="1" x14ac:dyDescent="0.2"/>
    <row r="30258" hidden="1" x14ac:dyDescent="0.2"/>
    <row r="30259" hidden="1" x14ac:dyDescent="0.2"/>
    <row r="30260" hidden="1" x14ac:dyDescent="0.2"/>
    <row r="30261" hidden="1" x14ac:dyDescent="0.2"/>
    <row r="30262" hidden="1" x14ac:dyDescent="0.2"/>
    <row r="30263" hidden="1" x14ac:dyDescent="0.2"/>
    <row r="30264" hidden="1" x14ac:dyDescent="0.2"/>
    <row r="30265" hidden="1" x14ac:dyDescent="0.2"/>
    <row r="30266" hidden="1" x14ac:dyDescent="0.2"/>
    <row r="30267" hidden="1" x14ac:dyDescent="0.2"/>
    <row r="30268" hidden="1" x14ac:dyDescent="0.2"/>
    <row r="30269" hidden="1" x14ac:dyDescent="0.2"/>
    <row r="30270" hidden="1" x14ac:dyDescent="0.2"/>
    <row r="30271" hidden="1" x14ac:dyDescent="0.2"/>
    <row r="30272" hidden="1" x14ac:dyDescent="0.2"/>
    <row r="30273" hidden="1" x14ac:dyDescent="0.2"/>
    <row r="30274" hidden="1" x14ac:dyDescent="0.2"/>
    <row r="30275" hidden="1" x14ac:dyDescent="0.2"/>
    <row r="30276" hidden="1" x14ac:dyDescent="0.2"/>
    <row r="30277" hidden="1" x14ac:dyDescent="0.2"/>
    <row r="30278" hidden="1" x14ac:dyDescent="0.2"/>
    <row r="30279" hidden="1" x14ac:dyDescent="0.2"/>
    <row r="30280" hidden="1" x14ac:dyDescent="0.2"/>
    <row r="30281" hidden="1" x14ac:dyDescent="0.2"/>
    <row r="30282" hidden="1" x14ac:dyDescent="0.2"/>
    <row r="30283" hidden="1" x14ac:dyDescent="0.2"/>
    <row r="30284" hidden="1" x14ac:dyDescent="0.2"/>
    <row r="30285" hidden="1" x14ac:dyDescent="0.2"/>
    <row r="30286" hidden="1" x14ac:dyDescent="0.2"/>
    <row r="30287" hidden="1" x14ac:dyDescent="0.2"/>
    <row r="30288" hidden="1" x14ac:dyDescent="0.2"/>
    <row r="30289" hidden="1" x14ac:dyDescent="0.2"/>
    <row r="30290" hidden="1" x14ac:dyDescent="0.2"/>
    <row r="30291" hidden="1" x14ac:dyDescent="0.2"/>
    <row r="30292" hidden="1" x14ac:dyDescent="0.2"/>
    <row r="30293" hidden="1" x14ac:dyDescent="0.2"/>
    <row r="30294" hidden="1" x14ac:dyDescent="0.2"/>
    <row r="30295" hidden="1" x14ac:dyDescent="0.2"/>
    <row r="30296" hidden="1" x14ac:dyDescent="0.2"/>
    <row r="30297" hidden="1" x14ac:dyDescent="0.2"/>
    <row r="30298" hidden="1" x14ac:dyDescent="0.2"/>
    <row r="30299" hidden="1" x14ac:dyDescent="0.2"/>
    <row r="30300" hidden="1" x14ac:dyDescent="0.2"/>
    <row r="30301" hidden="1" x14ac:dyDescent="0.2"/>
    <row r="30302" hidden="1" x14ac:dyDescent="0.2"/>
    <row r="30303" hidden="1" x14ac:dyDescent="0.2"/>
    <row r="30304" hidden="1" x14ac:dyDescent="0.2"/>
    <row r="30305" hidden="1" x14ac:dyDescent="0.2"/>
    <row r="30306" hidden="1" x14ac:dyDescent="0.2"/>
    <row r="30307" hidden="1" x14ac:dyDescent="0.2"/>
    <row r="30308" hidden="1" x14ac:dyDescent="0.2"/>
    <row r="30309" hidden="1" x14ac:dyDescent="0.2"/>
    <row r="30310" hidden="1" x14ac:dyDescent="0.2"/>
    <row r="30311" hidden="1" x14ac:dyDescent="0.2"/>
    <row r="30312" hidden="1" x14ac:dyDescent="0.2"/>
    <row r="30313" hidden="1" x14ac:dyDescent="0.2"/>
    <row r="30314" hidden="1" x14ac:dyDescent="0.2"/>
    <row r="30315" hidden="1" x14ac:dyDescent="0.2"/>
    <row r="30316" hidden="1" x14ac:dyDescent="0.2"/>
    <row r="30317" hidden="1" x14ac:dyDescent="0.2"/>
    <row r="30318" hidden="1" x14ac:dyDescent="0.2"/>
    <row r="30319" hidden="1" x14ac:dyDescent="0.2"/>
    <row r="30320" hidden="1" x14ac:dyDescent="0.2"/>
    <row r="30321" hidden="1" x14ac:dyDescent="0.2"/>
    <row r="30322" hidden="1" x14ac:dyDescent="0.2"/>
    <row r="30323" hidden="1" x14ac:dyDescent="0.2"/>
    <row r="30324" hidden="1" x14ac:dyDescent="0.2"/>
    <row r="30325" hidden="1" x14ac:dyDescent="0.2"/>
    <row r="30326" hidden="1" x14ac:dyDescent="0.2"/>
    <row r="30327" hidden="1" x14ac:dyDescent="0.2"/>
    <row r="30328" hidden="1" x14ac:dyDescent="0.2"/>
    <row r="30329" hidden="1" x14ac:dyDescent="0.2"/>
    <row r="30330" hidden="1" x14ac:dyDescent="0.2"/>
    <row r="30331" hidden="1" x14ac:dyDescent="0.2"/>
    <row r="30332" hidden="1" x14ac:dyDescent="0.2"/>
    <row r="30333" hidden="1" x14ac:dyDescent="0.2"/>
    <row r="30334" hidden="1" x14ac:dyDescent="0.2"/>
    <row r="30335" hidden="1" x14ac:dyDescent="0.2"/>
    <row r="30336" hidden="1" x14ac:dyDescent="0.2"/>
    <row r="30337" hidden="1" x14ac:dyDescent="0.2"/>
    <row r="30338" hidden="1" x14ac:dyDescent="0.2"/>
    <row r="30339" hidden="1" x14ac:dyDescent="0.2"/>
    <row r="30340" hidden="1" x14ac:dyDescent="0.2"/>
    <row r="30341" hidden="1" x14ac:dyDescent="0.2"/>
    <row r="30342" hidden="1" x14ac:dyDescent="0.2"/>
    <row r="30343" hidden="1" x14ac:dyDescent="0.2"/>
    <row r="30344" hidden="1" x14ac:dyDescent="0.2"/>
    <row r="30345" hidden="1" x14ac:dyDescent="0.2"/>
    <row r="30346" hidden="1" x14ac:dyDescent="0.2"/>
    <row r="30347" hidden="1" x14ac:dyDescent="0.2"/>
    <row r="30348" hidden="1" x14ac:dyDescent="0.2"/>
    <row r="30349" hidden="1" x14ac:dyDescent="0.2"/>
    <row r="30350" hidden="1" x14ac:dyDescent="0.2"/>
    <row r="30351" hidden="1" x14ac:dyDescent="0.2"/>
    <row r="30352" hidden="1" x14ac:dyDescent="0.2"/>
    <row r="30353" hidden="1" x14ac:dyDescent="0.2"/>
    <row r="30354" hidden="1" x14ac:dyDescent="0.2"/>
    <row r="30355" hidden="1" x14ac:dyDescent="0.2"/>
    <row r="30356" hidden="1" x14ac:dyDescent="0.2"/>
    <row r="30357" hidden="1" x14ac:dyDescent="0.2"/>
    <row r="30358" hidden="1" x14ac:dyDescent="0.2"/>
    <row r="30359" hidden="1" x14ac:dyDescent="0.2"/>
    <row r="30360" hidden="1" x14ac:dyDescent="0.2"/>
    <row r="30361" hidden="1" x14ac:dyDescent="0.2"/>
    <row r="30362" hidden="1" x14ac:dyDescent="0.2"/>
    <row r="30363" hidden="1" x14ac:dyDescent="0.2"/>
    <row r="30364" hidden="1" x14ac:dyDescent="0.2"/>
    <row r="30365" hidden="1" x14ac:dyDescent="0.2"/>
    <row r="30366" hidden="1" x14ac:dyDescent="0.2"/>
    <row r="30367" hidden="1" x14ac:dyDescent="0.2"/>
    <row r="30368" hidden="1" x14ac:dyDescent="0.2"/>
    <row r="30369" hidden="1" x14ac:dyDescent="0.2"/>
    <row r="30370" hidden="1" x14ac:dyDescent="0.2"/>
    <row r="30371" hidden="1" x14ac:dyDescent="0.2"/>
    <row r="30372" hidden="1" x14ac:dyDescent="0.2"/>
    <row r="30373" hidden="1" x14ac:dyDescent="0.2"/>
    <row r="30374" hidden="1" x14ac:dyDescent="0.2"/>
    <row r="30375" hidden="1" x14ac:dyDescent="0.2"/>
    <row r="30376" hidden="1" x14ac:dyDescent="0.2"/>
    <row r="30377" hidden="1" x14ac:dyDescent="0.2"/>
    <row r="30378" hidden="1" x14ac:dyDescent="0.2"/>
    <row r="30379" hidden="1" x14ac:dyDescent="0.2"/>
    <row r="30380" hidden="1" x14ac:dyDescent="0.2"/>
    <row r="30381" hidden="1" x14ac:dyDescent="0.2"/>
    <row r="30382" hidden="1" x14ac:dyDescent="0.2"/>
    <row r="30383" hidden="1" x14ac:dyDescent="0.2"/>
    <row r="30384" hidden="1" x14ac:dyDescent="0.2"/>
    <row r="30385" hidden="1" x14ac:dyDescent="0.2"/>
    <row r="30386" hidden="1" x14ac:dyDescent="0.2"/>
    <row r="30387" hidden="1" x14ac:dyDescent="0.2"/>
    <row r="30388" hidden="1" x14ac:dyDescent="0.2"/>
    <row r="30389" hidden="1" x14ac:dyDescent="0.2"/>
    <row r="30390" hidden="1" x14ac:dyDescent="0.2"/>
    <row r="30391" hidden="1" x14ac:dyDescent="0.2"/>
    <row r="30392" hidden="1" x14ac:dyDescent="0.2"/>
    <row r="30393" hidden="1" x14ac:dyDescent="0.2"/>
    <row r="30394" hidden="1" x14ac:dyDescent="0.2"/>
    <row r="30395" hidden="1" x14ac:dyDescent="0.2"/>
    <row r="30396" hidden="1" x14ac:dyDescent="0.2"/>
    <row r="30397" hidden="1" x14ac:dyDescent="0.2"/>
    <row r="30398" hidden="1" x14ac:dyDescent="0.2"/>
    <row r="30399" hidden="1" x14ac:dyDescent="0.2"/>
    <row r="30400" hidden="1" x14ac:dyDescent="0.2"/>
    <row r="30401" hidden="1" x14ac:dyDescent="0.2"/>
    <row r="30402" hidden="1" x14ac:dyDescent="0.2"/>
    <row r="30403" hidden="1" x14ac:dyDescent="0.2"/>
    <row r="30404" hidden="1" x14ac:dyDescent="0.2"/>
    <row r="30405" hidden="1" x14ac:dyDescent="0.2"/>
    <row r="30406" hidden="1" x14ac:dyDescent="0.2"/>
    <row r="30407" hidden="1" x14ac:dyDescent="0.2"/>
    <row r="30408" hidden="1" x14ac:dyDescent="0.2"/>
    <row r="30409" hidden="1" x14ac:dyDescent="0.2"/>
    <row r="30410" hidden="1" x14ac:dyDescent="0.2"/>
    <row r="30411" hidden="1" x14ac:dyDescent="0.2"/>
    <row r="30412" hidden="1" x14ac:dyDescent="0.2"/>
    <row r="30413" hidden="1" x14ac:dyDescent="0.2"/>
    <row r="30414" hidden="1" x14ac:dyDescent="0.2"/>
    <row r="30415" hidden="1" x14ac:dyDescent="0.2"/>
    <row r="30416" hidden="1" x14ac:dyDescent="0.2"/>
    <row r="30417" hidden="1" x14ac:dyDescent="0.2"/>
    <row r="30418" hidden="1" x14ac:dyDescent="0.2"/>
    <row r="30419" hidden="1" x14ac:dyDescent="0.2"/>
    <row r="30420" hidden="1" x14ac:dyDescent="0.2"/>
    <row r="30421" hidden="1" x14ac:dyDescent="0.2"/>
    <row r="30422" hidden="1" x14ac:dyDescent="0.2"/>
    <row r="30423" hidden="1" x14ac:dyDescent="0.2"/>
    <row r="30424" hidden="1" x14ac:dyDescent="0.2"/>
    <row r="30425" hidden="1" x14ac:dyDescent="0.2"/>
    <row r="30426" hidden="1" x14ac:dyDescent="0.2"/>
    <row r="30427" hidden="1" x14ac:dyDescent="0.2"/>
    <row r="30428" hidden="1" x14ac:dyDescent="0.2"/>
    <row r="30429" hidden="1" x14ac:dyDescent="0.2"/>
    <row r="30430" hidden="1" x14ac:dyDescent="0.2"/>
    <row r="30431" hidden="1" x14ac:dyDescent="0.2"/>
    <row r="30432" hidden="1" x14ac:dyDescent="0.2"/>
    <row r="30433" hidden="1" x14ac:dyDescent="0.2"/>
    <row r="30434" hidden="1" x14ac:dyDescent="0.2"/>
    <row r="30435" hidden="1" x14ac:dyDescent="0.2"/>
    <row r="30436" hidden="1" x14ac:dyDescent="0.2"/>
    <row r="30437" hidden="1" x14ac:dyDescent="0.2"/>
    <row r="30438" hidden="1" x14ac:dyDescent="0.2"/>
    <row r="30439" hidden="1" x14ac:dyDescent="0.2"/>
    <row r="30440" hidden="1" x14ac:dyDescent="0.2"/>
    <row r="30441" hidden="1" x14ac:dyDescent="0.2"/>
    <row r="30442" hidden="1" x14ac:dyDescent="0.2"/>
    <row r="30443" hidden="1" x14ac:dyDescent="0.2"/>
    <row r="30444" hidden="1" x14ac:dyDescent="0.2"/>
    <row r="30445" hidden="1" x14ac:dyDescent="0.2"/>
    <row r="30446" hidden="1" x14ac:dyDescent="0.2"/>
    <row r="30447" hidden="1" x14ac:dyDescent="0.2"/>
    <row r="30448" hidden="1" x14ac:dyDescent="0.2"/>
    <row r="30449" hidden="1" x14ac:dyDescent="0.2"/>
    <row r="30450" hidden="1" x14ac:dyDescent="0.2"/>
    <row r="30451" hidden="1" x14ac:dyDescent="0.2"/>
    <row r="30452" hidden="1" x14ac:dyDescent="0.2"/>
    <row r="30453" hidden="1" x14ac:dyDescent="0.2"/>
    <row r="30454" hidden="1" x14ac:dyDescent="0.2"/>
    <row r="30455" hidden="1" x14ac:dyDescent="0.2"/>
    <row r="30456" hidden="1" x14ac:dyDescent="0.2"/>
    <row r="30457" hidden="1" x14ac:dyDescent="0.2"/>
    <row r="30458" hidden="1" x14ac:dyDescent="0.2"/>
    <row r="30459" hidden="1" x14ac:dyDescent="0.2"/>
    <row r="30460" hidden="1" x14ac:dyDescent="0.2"/>
    <row r="30461" hidden="1" x14ac:dyDescent="0.2"/>
    <row r="30462" hidden="1" x14ac:dyDescent="0.2"/>
    <row r="30463" hidden="1" x14ac:dyDescent="0.2"/>
    <row r="30464" hidden="1" x14ac:dyDescent="0.2"/>
    <row r="30465" hidden="1" x14ac:dyDescent="0.2"/>
    <row r="30466" hidden="1" x14ac:dyDescent="0.2"/>
    <row r="30467" hidden="1" x14ac:dyDescent="0.2"/>
    <row r="30468" hidden="1" x14ac:dyDescent="0.2"/>
    <row r="30469" hidden="1" x14ac:dyDescent="0.2"/>
    <row r="30470" hidden="1" x14ac:dyDescent="0.2"/>
    <row r="30471" hidden="1" x14ac:dyDescent="0.2"/>
    <row r="30472" hidden="1" x14ac:dyDescent="0.2"/>
    <row r="30473" hidden="1" x14ac:dyDescent="0.2"/>
    <row r="30474" hidden="1" x14ac:dyDescent="0.2"/>
    <row r="30475" hidden="1" x14ac:dyDescent="0.2"/>
    <row r="30476" hidden="1" x14ac:dyDescent="0.2"/>
    <row r="30477" hidden="1" x14ac:dyDescent="0.2"/>
    <row r="30478" hidden="1" x14ac:dyDescent="0.2"/>
    <row r="30479" hidden="1" x14ac:dyDescent="0.2"/>
    <row r="30480" hidden="1" x14ac:dyDescent="0.2"/>
    <row r="30481" hidden="1" x14ac:dyDescent="0.2"/>
    <row r="30482" hidden="1" x14ac:dyDescent="0.2"/>
    <row r="30483" hidden="1" x14ac:dyDescent="0.2"/>
    <row r="30484" hidden="1" x14ac:dyDescent="0.2"/>
    <row r="30485" hidden="1" x14ac:dyDescent="0.2"/>
    <row r="30486" hidden="1" x14ac:dyDescent="0.2"/>
    <row r="30487" hidden="1" x14ac:dyDescent="0.2"/>
    <row r="30488" hidden="1" x14ac:dyDescent="0.2"/>
    <row r="30489" hidden="1" x14ac:dyDescent="0.2"/>
    <row r="30490" hidden="1" x14ac:dyDescent="0.2"/>
    <row r="30491" hidden="1" x14ac:dyDescent="0.2"/>
    <row r="30492" hidden="1" x14ac:dyDescent="0.2"/>
    <row r="30493" hidden="1" x14ac:dyDescent="0.2"/>
    <row r="30494" hidden="1" x14ac:dyDescent="0.2"/>
    <row r="30495" hidden="1" x14ac:dyDescent="0.2"/>
    <row r="30496" hidden="1" x14ac:dyDescent="0.2"/>
    <row r="30497" hidden="1" x14ac:dyDescent="0.2"/>
    <row r="30498" hidden="1" x14ac:dyDescent="0.2"/>
    <row r="30499" hidden="1" x14ac:dyDescent="0.2"/>
    <row r="30500" hidden="1" x14ac:dyDescent="0.2"/>
    <row r="30501" hidden="1" x14ac:dyDescent="0.2"/>
    <row r="30502" hidden="1" x14ac:dyDescent="0.2"/>
    <row r="30503" hidden="1" x14ac:dyDescent="0.2"/>
    <row r="30504" hidden="1" x14ac:dyDescent="0.2"/>
    <row r="30505" hidden="1" x14ac:dyDescent="0.2"/>
    <row r="30506" hidden="1" x14ac:dyDescent="0.2"/>
    <row r="30507" hidden="1" x14ac:dyDescent="0.2"/>
    <row r="30508" hidden="1" x14ac:dyDescent="0.2"/>
    <row r="30509" hidden="1" x14ac:dyDescent="0.2"/>
    <row r="30510" hidden="1" x14ac:dyDescent="0.2"/>
    <row r="30511" hidden="1" x14ac:dyDescent="0.2"/>
    <row r="30512" hidden="1" x14ac:dyDescent="0.2"/>
    <row r="30513" hidden="1" x14ac:dyDescent="0.2"/>
    <row r="30514" hidden="1" x14ac:dyDescent="0.2"/>
    <row r="30515" hidden="1" x14ac:dyDescent="0.2"/>
    <row r="30516" hidden="1" x14ac:dyDescent="0.2"/>
    <row r="30517" hidden="1" x14ac:dyDescent="0.2"/>
    <row r="30518" hidden="1" x14ac:dyDescent="0.2"/>
    <row r="30519" hidden="1" x14ac:dyDescent="0.2"/>
    <row r="30520" hidden="1" x14ac:dyDescent="0.2"/>
    <row r="30521" hidden="1" x14ac:dyDescent="0.2"/>
    <row r="30522" hidden="1" x14ac:dyDescent="0.2"/>
    <row r="30523" hidden="1" x14ac:dyDescent="0.2"/>
    <row r="30524" hidden="1" x14ac:dyDescent="0.2"/>
    <row r="30525" hidden="1" x14ac:dyDescent="0.2"/>
    <row r="30526" hidden="1" x14ac:dyDescent="0.2"/>
    <row r="30527" hidden="1" x14ac:dyDescent="0.2"/>
    <row r="30528" hidden="1" x14ac:dyDescent="0.2"/>
    <row r="30529" hidden="1" x14ac:dyDescent="0.2"/>
    <row r="30530" hidden="1" x14ac:dyDescent="0.2"/>
    <row r="30531" hidden="1" x14ac:dyDescent="0.2"/>
    <row r="30532" hidden="1" x14ac:dyDescent="0.2"/>
    <row r="30533" hidden="1" x14ac:dyDescent="0.2"/>
    <row r="30534" hidden="1" x14ac:dyDescent="0.2"/>
    <row r="30535" hidden="1" x14ac:dyDescent="0.2"/>
    <row r="30536" hidden="1" x14ac:dyDescent="0.2"/>
    <row r="30537" hidden="1" x14ac:dyDescent="0.2"/>
    <row r="30538" hidden="1" x14ac:dyDescent="0.2"/>
    <row r="30539" hidden="1" x14ac:dyDescent="0.2"/>
    <row r="30540" hidden="1" x14ac:dyDescent="0.2"/>
    <row r="30541" hidden="1" x14ac:dyDescent="0.2"/>
    <row r="30542" hidden="1" x14ac:dyDescent="0.2"/>
    <row r="30543" hidden="1" x14ac:dyDescent="0.2"/>
    <row r="30544" hidden="1" x14ac:dyDescent="0.2"/>
    <row r="30545" hidden="1" x14ac:dyDescent="0.2"/>
    <row r="30546" hidden="1" x14ac:dyDescent="0.2"/>
    <row r="30547" hidden="1" x14ac:dyDescent="0.2"/>
    <row r="30548" hidden="1" x14ac:dyDescent="0.2"/>
    <row r="30549" hidden="1" x14ac:dyDescent="0.2"/>
    <row r="30550" hidden="1" x14ac:dyDescent="0.2"/>
    <row r="30551" hidden="1" x14ac:dyDescent="0.2"/>
    <row r="30552" hidden="1" x14ac:dyDescent="0.2"/>
    <row r="30553" hidden="1" x14ac:dyDescent="0.2"/>
    <row r="30554" hidden="1" x14ac:dyDescent="0.2"/>
    <row r="30555" hidden="1" x14ac:dyDescent="0.2"/>
    <row r="30556" hidden="1" x14ac:dyDescent="0.2"/>
    <row r="30557" hidden="1" x14ac:dyDescent="0.2"/>
    <row r="30558" hidden="1" x14ac:dyDescent="0.2"/>
    <row r="30559" hidden="1" x14ac:dyDescent="0.2"/>
    <row r="30560" hidden="1" x14ac:dyDescent="0.2"/>
    <row r="30561" hidden="1" x14ac:dyDescent="0.2"/>
    <row r="30562" hidden="1" x14ac:dyDescent="0.2"/>
    <row r="30563" hidden="1" x14ac:dyDescent="0.2"/>
    <row r="30564" hidden="1" x14ac:dyDescent="0.2"/>
    <row r="30565" hidden="1" x14ac:dyDescent="0.2"/>
    <row r="30566" hidden="1" x14ac:dyDescent="0.2"/>
    <row r="30567" hidden="1" x14ac:dyDescent="0.2"/>
    <row r="30568" hidden="1" x14ac:dyDescent="0.2"/>
    <row r="30569" hidden="1" x14ac:dyDescent="0.2"/>
    <row r="30570" hidden="1" x14ac:dyDescent="0.2"/>
    <row r="30571" hidden="1" x14ac:dyDescent="0.2"/>
    <row r="30572" hidden="1" x14ac:dyDescent="0.2"/>
    <row r="30573" hidden="1" x14ac:dyDescent="0.2"/>
    <row r="30574" hidden="1" x14ac:dyDescent="0.2"/>
    <row r="30575" hidden="1" x14ac:dyDescent="0.2"/>
    <row r="30576" hidden="1" x14ac:dyDescent="0.2"/>
    <row r="30577" hidden="1" x14ac:dyDescent="0.2"/>
    <row r="30578" hidden="1" x14ac:dyDescent="0.2"/>
    <row r="30579" hidden="1" x14ac:dyDescent="0.2"/>
    <row r="30580" hidden="1" x14ac:dyDescent="0.2"/>
    <row r="30581" hidden="1" x14ac:dyDescent="0.2"/>
    <row r="30582" hidden="1" x14ac:dyDescent="0.2"/>
    <row r="30583" hidden="1" x14ac:dyDescent="0.2"/>
    <row r="30584" hidden="1" x14ac:dyDescent="0.2"/>
    <row r="30585" hidden="1" x14ac:dyDescent="0.2"/>
    <row r="30586" hidden="1" x14ac:dyDescent="0.2"/>
    <row r="30587" hidden="1" x14ac:dyDescent="0.2"/>
    <row r="30588" hidden="1" x14ac:dyDescent="0.2"/>
    <row r="30589" hidden="1" x14ac:dyDescent="0.2"/>
    <row r="30590" hidden="1" x14ac:dyDescent="0.2"/>
    <row r="30591" hidden="1" x14ac:dyDescent="0.2"/>
    <row r="30592" hidden="1" x14ac:dyDescent="0.2"/>
    <row r="30593" hidden="1" x14ac:dyDescent="0.2"/>
    <row r="30594" hidden="1" x14ac:dyDescent="0.2"/>
    <row r="30595" hidden="1" x14ac:dyDescent="0.2"/>
    <row r="30596" hidden="1" x14ac:dyDescent="0.2"/>
    <row r="30597" hidden="1" x14ac:dyDescent="0.2"/>
    <row r="30598" hidden="1" x14ac:dyDescent="0.2"/>
    <row r="30599" hidden="1" x14ac:dyDescent="0.2"/>
    <row r="30600" hidden="1" x14ac:dyDescent="0.2"/>
    <row r="30601" hidden="1" x14ac:dyDescent="0.2"/>
    <row r="30602" hidden="1" x14ac:dyDescent="0.2"/>
    <row r="30603" hidden="1" x14ac:dyDescent="0.2"/>
    <row r="30604" hidden="1" x14ac:dyDescent="0.2"/>
    <row r="30605" hidden="1" x14ac:dyDescent="0.2"/>
    <row r="30606" hidden="1" x14ac:dyDescent="0.2"/>
    <row r="30607" hidden="1" x14ac:dyDescent="0.2"/>
    <row r="30608" hidden="1" x14ac:dyDescent="0.2"/>
    <row r="30609" hidden="1" x14ac:dyDescent="0.2"/>
    <row r="30610" hidden="1" x14ac:dyDescent="0.2"/>
    <row r="30611" hidden="1" x14ac:dyDescent="0.2"/>
    <row r="30612" hidden="1" x14ac:dyDescent="0.2"/>
    <row r="30613" hidden="1" x14ac:dyDescent="0.2"/>
    <row r="30614" hidden="1" x14ac:dyDescent="0.2"/>
    <row r="30615" hidden="1" x14ac:dyDescent="0.2"/>
    <row r="30616" hidden="1" x14ac:dyDescent="0.2"/>
    <row r="30617" hidden="1" x14ac:dyDescent="0.2"/>
    <row r="30618" hidden="1" x14ac:dyDescent="0.2"/>
    <row r="30619" hidden="1" x14ac:dyDescent="0.2"/>
    <row r="30620" hidden="1" x14ac:dyDescent="0.2"/>
    <row r="30621" hidden="1" x14ac:dyDescent="0.2"/>
    <row r="30622" hidden="1" x14ac:dyDescent="0.2"/>
    <row r="30623" hidden="1" x14ac:dyDescent="0.2"/>
    <row r="30624" hidden="1" x14ac:dyDescent="0.2"/>
    <row r="30625" hidden="1" x14ac:dyDescent="0.2"/>
    <row r="30626" hidden="1" x14ac:dyDescent="0.2"/>
    <row r="30627" hidden="1" x14ac:dyDescent="0.2"/>
    <row r="30628" hidden="1" x14ac:dyDescent="0.2"/>
    <row r="30629" hidden="1" x14ac:dyDescent="0.2"/>
    <row r="30630" hidden="1" x14ac:dyDescent="0.2"/>
    <row r="30631" hidden="1" x14ac:dyDescent="0.2"/>
    <row r="30632" hidden="1" x14ac:dyDescent="0.2"/>
    <row r="30633" hidden="1" x14ac:dyDescent="0.2"/>
    <row r="30634" hidden="1" x14ac:dyDescent="0.2"/>
    <row r="30635" hidden="1" x14ac:dyDescent="0.2"/>
    <row r="30636" hidden="1" x14ac:dyDescent="0.2"/>
    <row r="30637" hidden="1" x14ac:dyDescent="0.2"/>
    <row r="30638" hidden="1" x14ac:dyDescent="0.2"/>
    <row r="30639" hidden="1" x14ac:dyDescent="0.2"/>
    <row r="30640" hidden="1" x14ac:dyDescent="0.2"/>
    <row r="30641" hidden="1" x14ac:dyDescent="0.2"/>
    <row r="30642" hidden="1" x14ac:dyDescent="0.2"/>
    <row r="30643" hidden="1" x14ac:dyDescent="0.2"/>
    <row r="30644" hidden="1" x14ac:dyDescent="0.2"/>
    <row r="30645" hidden="1" x14ac:dyDescent="0.2"/>
    <row r="30646" hidden="1" x14ac:dyDescent="0.2"/>
    <row r="30647" hidden="1" x14ac:dyDescent="0.2"/>
    <row r="30648" hidden="1" x14ac:dyDescent="0.2"/>
    <row r="30649" hidden="1" x14ac:dyDescent="0.2"/>
    <row r="30650" hidden="1" x14ac:dyDescent="0.2"/>
    <row r="30651" hidden="1" x14ac:dyDescent="0.2"/>
    <row r="30652" hidden="1" x14ac:dyDescent="0.2"/>
    <row r="30653" hidden="1" x14ac:dyDescent="0.2"/>
    <row r="30654" hidden="1" x14ac:dyDescent="0.2"/>
    <row r="30655" hidden="1" x14ac:dyDescent="0.2"/>
    <row r="30656" hidden="1" x14ac:dyDescent="0.2"/>
    <row r="30657" hidden="1" x14ac:dyDescent="0.2"/>
    <row r="30658" hidden="1" x14ac:dyDescent="0.2"/>
    <row r="30659" hidden="1" x14ac:dyDescent="0.2"/>
    <row r="30660" hidden="1" x14ac:dyDescent="0.2"/>
    <row r="30661" hidden="1" x14ac:dyDescent="0.2"/>
    <row r="30662" hidden="1" x14ac:dyDescent="0.2"/>
    <row r="30663" hidden="1" x14ac:dyDescent="0.2"/>
    <row r="30664" hidden="1" x14ac:dyDescent="0.2"/>
    <row r="30665" hidden="1" x14ac:dyDescent="0.2"/>
    <row r="30666" hidden="1" x14ac:dyDescent="0.2"/>
    <row r="30667" hidden="1" x14ac:dyDescent="0.2"/>
    <row r="30668" hidden="1" x14ac:dyDescent="0.2"/>
    <row r="30669" hidden="1" x14ac:dyDescent="0.2"/>
    <row r="30670" hidden="1" x14ac:dyDescent="0.2"/>
    <row r="30671" hidden="1" x14ac:dyDescent="0.2"/>
    <row r="30672" hidden="1" x14ac:dyDescent="0.2"/>
    <row r="30673" hidden="1" x14ac:dyDescent="0.2"/>
    <row r="30674" hidden="1" x14ac:dyDescent="0.2"/>
    <row r="30675" hidden="1" x14ac:dyDescent="0.2"/>
    <row r="30676" hidden="1" x14ac:dyDescent="0.2"/>
    <row r="30677" hidden="1" x14ac:dyDescent="0.2"/>
    <row r="30678" hidden="1" x14ac:dyDescent="0.2"/>
    <row r="30679" hidden="1" x14ac:dyDescent="0.2"/>
    <row r="30680" hidden="1" x14ac:dyDescent="0.2"/>
    <row r="30681" hidden="1" x14ac:dyDescent="0.2"/>
    <row r="30682" hidden="1" x14ac:dyDescent="0.2"/>
    <row r="30683" hidden="1" x14ac:dyDescent="0.2"/>
    <row r="30684" hidden="1" x14ac:dyDescent="0.2"/>
    <row r="30685" hidden="1" x14ac:dyDescent="0.2"/>
    <row r="30686" hidden="1" x14ac:dyDescent="0.2"/>
    <row r="30687" hidden="1" x14ac:dyDescent="0.2"/>
    <row r="30688" hidden="1" x14ac:dyDescent="0.2"/>
    <row r="30689" hidden="1" x14ac:dyDescent="0.2"/>
    <row r="30690" hidden="1" x14ac:dyDescent="0.2"/>
    <row r="30691" hidden="1" x14ac:dyDescent="0.2"/>
    <row r="30692" hidden="1" x14ac:dyDescent="0.2"/>
    <row r="30693" hidden="1" x14ac:dyDescent="0.2"/>
    <row r="30694" hidden="1" x14ac:dyDescent="0.2"/>
    <row r="30695" hidden="1" x14ac:dyDescent="0.2"/>
    <row r="30696" hidden="1" x14ac:dyDescent="0.2"/>
    <row r="30697" hidden="1" x14ac:dyDescent="0.2"/>
    <row r="30698" hidden="1" x14ac:dyDescent="0.2"/>
    <row r="30699" hidden="1" x14ac:dyDescent="0.2"/>
    <row r="30700" hidden="1" x14ac:dyDescent="0.2"/>
    <row r="30701" hidden="1" x14ac:dyDescent="0.2"/>
    <row r="30702" hidden="1" x14ac:dyDescent="0.2"/>
    <row r="30703" hidden="1" x14ac:dyDescent="0.2"/>
    <row r="30704" hidden="1" x14ac:dyDescent="0.2"/>
    <row r="30705" hidden="1" x14ac:dyDescent="0.2"/>
    <row r="30706" hidden="1" x14ac:dyDescent="0.2"/>
    <row r="30707" hidden="1" x14ac:dyDescent="0.2"/>
    <row r="30708" hidden="1" x14ac:dyDescent="0.2"/>
    <row r="30709" hidden="1" x14ac:dyDescent="0.2"/>
    <row r="30710" hidden="1" x14ac:dyDescent="0.2"/>
    <row r="30711" hidden="1" x14ac:dyDescent="0.2"/>
    <row r="30712" hidden="1" x14ac:dyDescent="0.2"/>
    <row r="30713" hidden="1" x14ac:dyDescent="0.2"/>
    <row r="30714" hidden="1" x14ac:dyDescent="0.2"/>
    <row r="30715" hidden="1" x14ac:dyDescent="0.2"/>
    <row r="30716" hidden="1" x14ac:dyDescent="0.2"/>
    <row r="30717" hidden="1" x14ac:dyDescent="0.2"/>
    <row r="30718" hidden="1" x14ac:dyDescent="0.2"/>
    <row r="30719" hidden="1" x14ac:dyDescent="0.2"/>
    <row r="30720" hidden="1" x14ac:dyDescent="0.2"/>
    <row r="30721" hidden="1" x14ac:dyDescent="0.2"/>
    <row r="30722" hidden="1" x14ac:dyDescent="0.2"/>
    <row r="30723" hidden="1" x14ac:dyDescent="0.2"/>
    <row r="30724" hidden="1" x14ac:dyDescent="0.2"/>
    <row r="30725" hidden="1" x14ac:dyDescent="0.2"/>
    <row r="30726" hidden="1" x14ac:dyDescent="0.2"/>
    <row r="30727" hidden="1" x14ac:dyDescent="0.2"/>
    <row r="30728" hidden="1" x14ac:dyDescent="0.2"/>
    <row r="30729" hidden="1" x14ac:dyDescent="0.2"/>
    <row r="30730" hidden="1" x14ac:dyDescent="0.2"/>
    <row r="30731" hidden="1" x14ac:dyDescent="0.2"/>
    <row r="30732" hidden="1" x14ac:dyDescent="0.2"/>
    <row r="30733" hidden="1" x14ac:dyDescent="0.2"/>
    <row r="30734" hidden="1" x14ac:dyDescent="0.2"/>
    <row r="30735" hidden="1" x14ac:dyDescent="0.2"/>
    <row r="30736" hidden="1" x14ac:dyDescent="0.2"/>
    <row r="30737" hidden="1" x14ac:dyDescent="0.2"/>
    <row r="30738" hidden="1" x14ac:dyDescent="0.2"/>
    <row r="30739" hidden="1" x14ac:dyDescent="0.2"/>
    <row r="30740" hidden="1" x14ac:dyDescent="0.2"/>
    <row r="30741" hidden="1" x14ac:dyDescent="0.2"/>
    <row r="30742" hidden="1" x14ac:dyDescent="0.2"/>
    <row r="30743" hidden="1" x14ac:dyDescent="0.2"/>
    <row r="30744" hidden="1" x14ac:dyDescent="0.2"/>
    <row r="30745" hidden="1" x14ac:dyDescent="0.2"/>
    <row r="30746" hidden="1" x14ac:dyDescent="0.2"/>
    <row r="30747" hidden="1" x14ac:dyDescent="0.2"/>
    <row r="30748" hidden="1" x14ac:dyDescent="0.2"/>
    <row r="30749" hidden="1" x14ac:dyDescent="0.2"/>
    <row r="30750" hidden="1" x14ac:dyDescent="0.2"/>
    <row r="30751" hidden="1" x14ac:dyDescent="0.2"/>
    <row r="30752" hidden="1" x14ac:dyDescent="0.2"/>
    <row r="30753" hidden="1" x14ac:dyDescent="0.2"/>
    <row r="30754" hidden="1" x14ac:dyDescent="0.2"/>
    <row r="30755" hidden="1" x14ac:dyDescent="0.2"/>
    <row r="30756" hidden="1" x14ac:dyDescent="0.2"/>
    <row r="30757" hidden="1" x14ac:dyDescent="0.2"/>
    <row r="30758" hidden="1" x14ac:dyDescent="0.2"/>
    <row r="30759" hidden="1" x14ac:dyDescent="0.2"/>
    <row r="30760" hidden="1" x14ac:dyDescent="0.2"/>
    <row r="30761" hidden="1" x14ac:dyDescent="0.2"/>
    <row r="30762" hidden="1" x14ac:dyDescent="0.2"/>
    <row r="30763" hidden="1" x14ac:dyDescent="0.2"/>
    <row r="30764" hidden="1" x14ac:dyDescent="0.2"/>
    <row r="30765" hidden="1" x14ac:dyDescent="0.2"/>
    <row r="30766" hidden="1" x14ac:dyDescent="0.2"/>
    <row r="30767" hidden="1" x14ac:dyDescent="0.2"/>
    <row r="30768" hidden="1" x14ac:dyDescent="0.2"/>
    <row r="30769" hidden="1" x14ac:dyDescent="0.2"/>
    <row r="30770" hidden="1" x14ac:dyDescent="0.2"/>
    <row r="30771" hidden="1" x14ac:dyDescent="0.2"/>
    <row r="30772" hidden="1" x14ac:dyDescent="0.2"/>
    <row r="30773" hidden="1" x14ac:dyDescent="0.2"/>
    <row r="30774" hidden="1" x14ac:dyDescent="0.2"/>
    <row r="30775" hidden="1" x14ac:dyDescent="0.2"/>
    <row r="30776" hidden="1" x14ac:dyDescent="0.2"/>
    <row r="30777" hidden="1" x14ac:dyDescent="0.2"/>
    <row r="30778" hidden="1" x14ac:dyDescent="0.2"/>
    <row r="30779" hidden="1" x14ac:dyDescent="0.2"/>
    <row r="30780" hidden="1" x14ac:dyDescent="0.2"/>
    <row r="30781" hidden="1" x14ac:dyDescent="0.2"/>
    <row r="30782" hidden="1" x14ac:dyDescent="0.2"/>
    <row r="30783" hidden="1" x14ac:dyDescent="0.2"/>
    <row r="30784" hidden="1" x14ac:dyDescent="0.2"/>
    <row r="30785" hidden="1" x14ac:dyDescent="0.2"/>
    <row r="30786" hidden="1" x14ac:dyDescent="0.2"/>
    <row r="30787" hidden="1" x14ac:dyDescent="0.2"/>
    <row r="30788" hidden="1" x14ac:dyDescent="0.2"/>
    <row r="30789" hidden="1" x14ac:dyDescent="0.2"/>
    <row r="30790" hidden="1" x14ac:dyDescent="0.2"/>
    <row r="30791" hidden="1" x14ac:dyDescent="0.2"/>
    <row r="30792" hidden="1" x14ac:dyDescent="0.2"/>
    <row r="30793" hidden="1" x14ac:dyDescent="0.2"/>
    <row r="30794" hidden="1" x14ac:dyDescent="0.2"/>
    <row r="30795" hidden="1" x14ac:dyDescent="0.2"/>
    <row r="30796" hidden="1" x14ac:dyDescent="0.2"/>
    <row r="30797" hidden="1" x14ac:dyDescent="0.2"/>
    <row r="30798" hidden="1" x14ac:dyDescent="0.2"/>
    <row r="30799" hidden="1" x14ac:dyDescent="0.2"/>
    <row r="30800" hidden="1" x14ac:dyDescent="0.2"/>
    <row r="30801" hidden="1" x14ac:dyDescent="0.2"/>
    <row r="30802" hidden="1" x14ac:dyDescent="0.2"/>
    <row r="30803" hidden="1" x14ac:dyDescent="0.2"/>
    <row r="30804" hidden="1" x14ac:dyDescent="0.2"/>
    <row r="30805" hidden="1" x14ac:dyDescent="0.2"/>
    <row r="30806" hidden="1" x14ac:dyDescent="0.2"/>
    <row r="30807" hidden="1" x14ac:dyDescent="0.2"/>
    <row r="30808" hidden="1" x14ac:dyDescent="0.2"/>
    <row r="30809" hidden="1" x14ac:dyDescent="0.2"/>
    <row r="30810" hidden="1" x14ac:dyDescent="0.2"/>
    <row r="30811" hidden="1" x14ac:dyDescent="0.2"/>
    <row r="30812" hidden="1" x14ac:dyDescent="0.2"/>
    <row r="30813" hidden="1" x14ac:dyDescent="0.2"/>
    <row r="30814" hidden="1" x14ac:dyDescent="0.2"/>
    <row r="30815" hidden="1" x14ac:dyDescent="0.2"/>
    <row r="30816" hidden="1" x14ac:dyDescent="0.2"/>
    <row r="30817" hidden="1" x14ac:dyDescent="0.2"/>
    <row r="30818" hidden="1" x14ac:dyDescent="0.2"/>
    <row r="30819" hidden="1" x14ac:dyDescent="0.2"/>
    <row r="30820" hidden="1" x14ac:dyDescent="0.2"/>
    <row r="30821" hidden="1" x14ac:dyDescent="0.2"/>
    <row r="30822" hidden="1" x14ac:dyDescent="0.2"/>
    <row r="30823" hidden="1" x14ac:dyDescent="0.2"/>
    <row r="30824" hidden="1" x14ac:dyDescent="0.2"/>
    <row r="30825" hidden="1" x14ac:dyDescent="0.2"/>
    <row r="30826" hidden="1" x14ac:dyDescent="0.2"/>
    <row r="30827" hidden="1" x14ac:dyDescent="0.2"/>
    <row r="30828" hidden="1" x14ac:dyDescent="0.2"/>
    <row r="30829" hidden="1" x14ac:dyDescent="0.2"/>
    <row r="30830" hidden="1" x14ac:dyDescent="0.2"/>
    <row r="30831" hidden="1" x14ac:dyDescent="0.2"/>
    <row r="30832" hidden="1" x14ac:dyDescent="0.2"/>
    <row r="30833" hidden="1" x14ac:dyDescent="0.2"/>
    <row r="30834" hidden="1" x14ac:dyDescent="0.2"/>
    <row r="30835" hidden="1" x14ac:dyDescent="0.2"/>
    <row r="30836" hidden="1" x14ac:dyDescent="0.2"/>
    <row r="30837" hidden="1" x14ac:dyDescent="0.2"/>
    <row r="30838" hidden="1" x14ac:dyDescent="0.2"/>
    <row r="30839" hidden="1" x14ac:dyDescent="0.2"/>
    <row r="30840" hidden="1" x14ac:dyDescent="0.2"/>
    <row r="30841" hidden="1" x14ac:dyDescent="0.2"/>
    <row r="30842" hidden="1" x14ac:dyDescent="0.2"/>
    <row r="30843" hidden="1" x14ac:dyDescent="0.2"/>
    <row r="30844" hidden="1" x14ac:dyDescent="0.2"/>
    <row r="30845" hidden="1" x14ac:dyDescent="0.2"/>
    <row r="30846" hidden="1" x14ac:dyDescent="0.2"/>
    <row r="30847" hidden="1" x14ac:dyDescent="0.2"/>
    <row r="30848" hidden="1" x14ac:dyDescent="0.2"/>
    <row r="30849" hidden="1" x14ac:dyDescent="0.2"/>
    <row r="30850" hidden="1" x14ac:dyDescent="0.2"/>
    <row r="30851" hidden="1" x14ac:dyDescent="0.2"/>
    <row r="30852" hidden="1" x14ac:dyDescent="0.2"/>
    <row r="30853" hidden="1" x14ac:dyDescent="0.2"/>
    <row r="30854" hidden="1" x14ac:dyDescent="0.2"/>
    <row r="30855" hidden="1" x14ac:dyDescent="0.2"/>
    <row r="30856" hidden="1" x14ac:dyDescent="0.2"/>
    <row r="30857" hidden="1" x14ac:dyDescent="0.2"/>
    <row r="30858" hidden="1" x14ac:dyDescent="0.2"/>
    <row r="30859" hidden="1" x14ac:dyDescent="0.2"/>
    <row r="30860" hidden="1" x14ac:dyDescent="0.2"/>
    <row r="30861" hidden="1" x14ac:dyDescent="0.2"/>
    <row r="30862" hidden="1" x14ac:dyDescent="0.2"/>
    <row r="30863" hidden="1" x14ac:dyDescent="0.2"/>
    <row r="30864" hidden="1" x14ac:dyDescent="0.2"/>
    <row r="30865" hidden="1" x14ac:dyDescent="0.2"/>
    <row r="30866" hidden="1" x14ac:dyDescent="0.2"/>
    <row r="30867" hidden="1" x14ac:dyDescent="0.2"/>
    <row r="30868" hidden="1" x14ac:dyDescent="0.2"/>
    <row r="30869" hidden="1" x14ac:dyDescent="0.2"/>
    <row r="30870" hidden="1" x14ac:dyDescent="0.2"/>
    <row r="30871" hidden="1" x14ac:dyDescent="0.2"/>
    <row r="30872" hidden="1" x14ac:dyDescent="0.2"/>
    <row r="30873" hidden="1" x14ac:dyDescent="0.2"/>
    <row r="30874" hidden="1" x14ac:dyDescent="0.2"/>
    <row r="30875" hidden="1" x14ac:dyDescent="0.2"/>
    <row r="30876" hidden="1" x14ac:dyDescent="0.2"/>
    <row r="30877" hidden="1" x14ac:dyDescent="0.2"/>
    <row r="30878" hidden="1" x14ac:dyDescent="0.2"/>
    <row r="30879" hidden="1" x14ac:dyDescent="0.2"/>
    <row r="30880" hidden="1" x14ac:dyDescent="0.2"/>
    <row r="30881" hidden="1" x14ac:dyDescent="0.2"/>
    <row r="30882" hidden="1" x14ac:dyDescent="0.2"/>
    <row r="30883" hidden="1" x14ac:dyDescent="0.2"/>
    <row r="30884" hidden="1" x14ac:dyDescent="0.2"/>
    <row r="30885" hidden="1" x14ac:dyDescent="0.2"/>
    <row r="30886" hidden="1" x14ac:dyDescent="0.2"/>
    <row r="30887" hidden="1" x14ac:dyDescent="0.2"/>
    <row r="30888" hidden="1" x14ac:dyDescent="0.2"/>
    <row r="30889" hidden="1" x14ac:dyDescent="0.2"/>
    <row r="30890" hidden="1" x14ac:dyDescent="0.2"/>
    <row r="30891" hidden="1" x14ac:dyDescent="0.2"/>
    <row r="30892" hidden="1" x14ac:dyDescent="0.2"/>
    <row r="30893" hidden="1" x14ac:dyDescent="0.2"/>
    <row r="30894" hidden="1" x14ac:dyDescent="0.2"/>
    <row r="30895" hidden="1" x14ac:dyDescent="0.2"/>
    <row r="30896" hidden="1" x14ac:dyDescent="0.2"/>
    <row r="30897" hidden="1" x14ac:dyDescent="0.2"/>
    <row r="30898" hidden="1" x14ac:dyDescent="0.2"/>
    <row r="30899" hidden="1" x14ac:dyDescent="0.2"/>
    <row r="30900" hidden="1" x14ac:dyDescent="0.2"/>
    <row r="30901" hidden="1" x14ac:dyDescent="0.2"/>
    <row r="30902" hidden="1" x14ac:dyDescent="0.2"/>
    <row r="30903" hidden="1" x14ac:dyDescent="0.2"/>
    <row r="30904" hidden="1" x14ac:dyDescent="0.2"/>
    <row r="30905" hidden="1" x14ac:dyDescent="0.2"/>
    <row r="30906" hidden="1" x14ac:dyDescent="0.2"/>
    <row r="30907" hidden="1" x14ac:dyDescent="0.2"/>
    <row r="30908" hidden="1" x14ac:dyDescent="0.2"/>
    <row r="30909" hidden="1" x14ac:dyDescent="0.2"/>
    <row r="30910" hidden="1" x14ac:dyDescent="0.2"/>
    <row r="30911" hidden="1" x14ac:dyDescent="0.2"/>
    <row r="30912" hidden="1" x14ac:dyDescent="0.2"/>
    <row r="30913" hidden="1" x14ac:dyDescent="0.2"/>
    <row r="30914" hidden="1" x14ac:dyDescent="0.2"/>
    <row r="30915" hidden="1" x14ac:dyDescent="0.2"/>
    <row r="30916" hidden="1" x14ac:dyDescent="0.2"/>
    <row r="30917" hidden="1" x14ac:dyDescent="0.2"/>
    <row r="30918" hidden="1" x14ac:dyDescent="0.2"/>
    <row r="30919" hidden="1" x14ac:dyDescent="0.2"/>
    <row r="30920" hidden="1" x14ac:dyDescent="0.2"/>
    <row r="30921" hidden="1" x14ac:dyDescent="0.2"/>
    <row r="30922" hidden="1" x14ac:dyDescent="0.2"/>
    <row r="30923" hidden="1" x14ac:dyDescent="0.2"/>
    <row r="30924" hidden="1" x14ac:dyDescent="0.2"/>
    <row r="30925" hidden="1" x14ac:dyDescent="0.2"/>
    <row r="30926" hidden="1" x14ac:dyDescent="0.2"/>
    <row r="30927" hidden="1" x14ac:dyDescent="0.2"/>
    <row r="30928" hidden="1" x14ac:dyDescent="0.2"/>
    <row r="30929" hidden="1" x14ac:dyDescent="0.2"/>
    <row r="30930" hidden="1" x14ac:dyDescent="0.2"/>
    <row r="30931" hidden="1" x14ac:dyDescent="0.2"/>
    <row r="30932" hidden="1" x14ac:dyDescent="0.2"/>
    <row r="30933" hidden="1" x14ac:dyDescent="0.2"/>
    <row r="30934" hidden="1" x14ac:dyDescent="0.2"/>
    <row r="30935" hidden="1" x14ac:dyDescent="0.2"/>
    <row r="30936" hidden="1" x14ac:dyDescent="0.2"/>
    <row r="30937" hidden="1" x14ac:dyDescent="0.2"/>
    <row r="30938" hidden="1" x14ac:dyDescent="0.2"/>
    <row r="30939" hidden="1" x14ac:dyDescent="0.2"/>
    <row r="30940" hidden="1" x14ac:dyDescent="0.2"/>
    <row r="30941" hidden="1" x14ac:dyDescent="0.2"/>
    <row r="30942" hidden="1" x14ac:dyDescent="0.2"/>
    <row r="30943" hidden="1" x14ac:dyDescent="0.2"/>
    <row r="30944" hidden="1" x14ac:dyDescent="0.2"/>
    <row r="30945" hidden="1" x14ac:dyDescent="0.2"/>
    <row r="30946" hidden="1" x14ac:dyDescent="0.2"/>
    <row r="30947" hidden="1" x14ac:dyDescent="0.2"/>
    <row r="30948" hidden="1" x14ac:dyDescent="0.2"/>
    <row r="30949" hidden="1" x14ac:dyDescent="0.2"/>
    <row r="30950" hidden="1" x14ac:dyDescent="0.2"/>
    <row r="30951" hidden="1" x14ac:dyDescent="0.2"/>
    <row r="30952" hidden="1" x14ac:dyDescent="0.2"/>
    <row r="30953" hidden="1" x14ac:dyDescent="0.2"/>
    <row r="30954" hidden="1" x14ac:dyDescent="0.2"/>
    <row r="30955" hidden="1" x14ac:dyDescent="0.2"/>
    <row r="30956" hidden="1" x14ac:dyDescent="0.2"/>
    <row r="30957" hidden="1" x14ac:dyDescent="0.2"/>
    <row r="30958" hidden="1" x14ac:dyDescent="0.2"/>
    <row r="30959" hidden="1" x14ac:dyDescent="0.2"/>
    <row r="30960" hidden="1" x14ac:dyDescent="0.2"/>
    <row r="30961" hidden="1" x14ac:dyDescent="0.2"/>
    <row r="30962" hidden="1" x14ac:dyDescent="0.2"/>
    <row r="30963" hidden="1" x14ac:dyDescent="0.2"/>
    <row r="30964" hidden="1" x14ac:dyDescent="0.2"/>
    <row r="30965" hidden="1" x14ac:dyDescent="0.2"/>
    <row r="30966" hidden="1" x14ac:dyDescent="0.2"/>
    <row r="30967" hidden="1" x14ac:dyDescent="0.2"/>
    <row r="30968" hidden="1" x14ac:dyDescent="0.2"/>
    <row r="30969" hidden="1" x14ac:dyDescent="0.2"/>
    <row r="30970" hidden="1" x14ac:dyDescent="0.2"/>
    <row r="30971" hidden="1" x14ac:dyDescent="0.2"/>
    <row r="30972" hidden="1" x14ac:dyDescent="0.2"/>
    <row r="30973" hidden="1" x14ac:dyDescent="0.2"/>
    <row r="30974" hidden="1" x14ac:dyDescent="0.2"/>
    <row r="30975" hidden="1" x14ac:dyDescent="0.2"/>
    <row r="30976" hidden="1" x14ac:dyDescent="0.2"/>
    <row r="30977" hidden="1" x14ac:dyDescent="0.2"/>
    <row r="30978" hidden="1" x14ac:dyDescent="0.2"/>
    <row r="30979" hidden="1" x14ac:dyDescent="0.2"/>
    <row r="30980" hidden="1" x14ac:dyDescent="0.2"/>
    <row r="30981" hidden="1" x14ac:dyDescent="0.2"/>
    <row r="30982" hidden="1" x14ac:dyDescent="0.2"/>
    <row r="30983" hidden="1" x14ac:dyDescent="0.2"/>
    <row r="30984" hidden="1" x14ac:dyDescent="0.2"/>
    <row r="30985" hidden="1" x14ac:dyDescent="0.2"/>
    <row r="30986" hidden="1" x14ac:dyDescent="0.2"/>
    <row r="30987" hidden="1" x14ac:dyDescent="0.2"/>
    <row r="30988" hidden="1" x14ac:dyDescent="0.2"/>
    <row r="30989" hidden="1" x14ac:dyDescent="0.2"/>
    <row r="30990" hidden="1" x14ac:dyDescent="0.2"/>
    <row r="30991" hidden="1" x14ac:dyDescent="0.2"/>
    <row r="30992" hidden="1" x14ac:dyDescent="0.2"/>
    <row r="30993" hidden="1" x14ac:dyDescent="0.2"/>
    <row r="30994" hidden="1" x14ac:dyDescent="0.2"/>
    <row r="30995" hidden="1" x14ac:dyDescent="0.2"/>
    <row r="30996" hidden="1" x14ac:dyDescent="0.2"/>
    <row r="30997" hidden="1" x14ac:dyDescent="0.2"/>
    <row r="30998" hidden="1" x14ac:dyDescent="0.2"/>
    <row r="30999" hidden="1" x14ac:dyDescent="0.2"/>
    <row r="31000" hidden="1" x14ac:dyDescent="0.2"/>
    <row r="31001" hidden="1" x14ac:dyDescent="0.2"/>
    <row r="31002" hidden="1" x14ac:dyDescent="0.2"/>
    <row r="31003" hidden="1" x14ac:dyDescent="0.2"/>
    <row r="31004" hidden="1" x14ac:dyDescent="0.2"/>
    <row r="31005" hidden="1" x14ac:dyDescent="0.2"/>
    <row r="31006" hidden="1" x14ac:dyDescent="0.2"/>
    <row r="31007" hidden="1" x14ac:dyDescent="0.2"/>
    <row r="31008" hidden="1" x14ac:dyDescent="0.2"/>
    <row r="31009" hidden="1" x14ac:dyDescent="0.2"/>
    <row r="31010" hidden="1" x14ac:dyDescent="0.2"/>
    <row r="31011" hidden="1" x14ac:dyDescent="0.2"/>
    <row r="31012" hidden="1" x14ac:dyDescent="0.2"/>
    <row r="31013" hidden="1" x14ac:dyDescent="0.2"/>
    <row r="31014" hidden="1" x14ac:dyDescent="0.2"/>
    <row r="31015" hidden="1" x14ac:dyDescent="0.2"/>
    <row r="31016" hidden="1" x14ac:dyDescent="0.2"/>
    <row r="31017" hidden="1" x14ac:dyDescent="0.2"/>
    <row r="31018" hidden="1" x14ac:dyDescent="0.2"/>
    <row r="31019" hidden="1" x14ac:dyDescent="0.2"/>
    <row r="31020" hidden="1" x14ac:dyDescent="0.2"/>
    <row r="31021" hidden="1" x14ac:dyDescent="0.2"/>
    <row r="31022" hidden="1" x14ac:dyDescent="0.2"/>
    <row r="31023" hidden="1" x14ac:dyDescent="0.2"/>
    <row r="31024" hidden="1" x14ac:dyDescent="0.2"/>
    <row r="31025" hidden="1" x14ac:dyDescent="0.2"/>
    <row r="31026" hidden="1" x14ac:dyDescent="0.2"/>
    <row r="31027" hidden="1" x14ac:dyDescent="0.2"/>
    <row r="31028" hidden="1" x14ac:dyDescent="0.2"/>
    <row r="31029" hidden="1" x14ac:dyDescent="0.2"/>
    <row r="31030" hidden="1" x14ac:dyDescent="0.2"/>
    <row r="31031" hidden="1" x14ac:dyDescent="0.2"/>
    <row r="31032" hidden="1" x14ac:dyDescent="0.2"/>
    <row r="31033" hidden="1" x14ac:dyDescent="0.2"/>
    <row r="31034" hidden="1" x14ac:dyDescent="0.2"/>
    <row r="31035" hidden="1" x14ac:dyDescent="0.2"/>
    <row r="31036" hidden="1" x14ac:dyDescent="0.2"/>
    <row r="31037" hidden="1" x14ac:dyDescent="0.2"/>
    <row r="31038" hidden="1" x14ac:dyDescent="0.2"/>
    <row r="31039" hidden="1" x14ac:dyDescent="0.2"/>
    <row r="31040" hidden="1" x14ac:dyDescent="0.2"/>
    <row r="31041" hidden="1" x14ac:dyDescent="0.2"/>
    <row r="31042" hidden="1" x14ac:dyDescent="0.2"/>
    <row r="31043" hidden="1" x14ac:dyDescent="0.2"/>
    <row r="31044" hidden="1" x14ac:dyDescent="0.2"/>
    <row r="31045" hidden="1" x14ac:dyDescent="0.2"/>
    <row r="31046" hidden="1" x14ac:dyDescent="0.2"/>
    <row r="31047" hidden="1" x14ac:dyDescent="0.2"/>
    <row r="31048" hidden="1" x14ac:dyDescent="0.2"/>
    <row r="31049" hidden="1" x14ac:dyDescent="0.2"/>
    <row r="31050" hidden="1" x14ac:dyDescent="0.2"/>
    <row r="31051" hidden="1" x14ac:dyDescent="0.2"/>
    <row r="31052" hidden="1" x14ac:dyDescent="0.2"/>
    <row r="31053" hidden="1" x14ac:dyDescent="0.2"/>
    <row r="31054" hidden="1" x14ac:dyDescent="0.2"/>
    <row r="31055" hidden="1" x14ac:dyDescent="0.2"/>
    <row r="31056" hidden="1" x14ac:dyDescent="0.2"/>
    <row r="31057" hidden="1" x14ac:dyDescent="0.2"/>
    <row r="31058" hidden="1" x14ac:dyDescent="0.2"/>
    <row r="31059" hidden="1" x14ac:dyDescent="0.2"/>
    <row r="31060" hidden="1" x14ac:dyDescent="0.2"/>
    <row r="31061" hidden="1" x14ac:dyDescent="0.2"/>
    <row r="31062" hidden="1" x14ac:dyDescent="0.2"/>
    <row r="31063" hidden="1" x14ac:dyDescent="0.2"/>
    <row r="31064" hidden="1" x14ac:dyDescent="0.2"/>
    <row r="31065" hidden="1" x14ac:dyDescent="0.2"/>
    <row r="31066" hidden="1" x14ac:dyDescent="0.2"/>
    <row r="31067" hidden="1" x14ac:dyDescent="0.2"/>
    <row r="31068" hidden="1" x14ac:dyDescent="0.2"/>
    <row r="31069" hidden="1" x14ac:dyDescent="0.2"/>
    <row r="31070" hidden="1" x14ac:dyDescent="0.2"/>
    <row r="31071" hidden="1" x14ac:dyDescent="0.2"/>
    <row r="31072" hidden="1" x14ac:dyDescent="0.2"/>
    <row r="31073" hidden="1" x14ac:dyDescent="0.2"/>
    <row r="31074" hidden="1" x14ac:dyDescent="0.2"/>
    <row r="31075" hidden="1" x14ac:dyDescent="0.2"/>
    <row r="31076" hidden="1" x14ac:dyDescent="0.2"/>
    <row r="31077" hidden="1" x14ac:dyDescent="0.2"/>
    <row r="31078" hidden="1" x14ac:dyDescent="0.2"/>
    <row r="31079" hidden="1" x14ac:dyDescent="0.2"/>
    <row r="31080" hidden="1" x14ac:dyDescent="0.2"/>
    <row r="31081" hidden="1" x14ac:dyDescent="0.2"/>
    <row r="31082" hidden="1" x14ac:dyDescent="0.2"/>
    <row r="31083" hidden="1" x14ac:dyDescent="0.2"/>
    <row r="31084" hidden="1" x14ac:dyDescent="0.2"/>
    <row r="31085" hidden="1" x14ac:dyDescent="0.2"/>
    <row r="31086" hidden="1" x14ac:dyDescent="0.2"/>
    <row r="31087" hidden="1" x14ac:dyDescent="0.2"/>
    <row r="31088" hidden="1" x14ac:dyDescent="0.2"/>
    <row r="31089" hidden="1" x14ac:dyDescent="0.2"/>
    <row r="31090" hidden="1" x14ac:dyDescent="0.2"/>
    <row r="31091" hidden="1" x14ac:dyDescent="0.2"/>
    <row r="31092" hidden="1" x14ac:dyDescent="0.2"/>
    <row r="31093" hidden="1" x14ac:dyDescent="0.2"/>
    <row r="31094" hidden="1" x14ac:dyDescent="0.2"/>
    <row r="31095" hidden="1" x14ac:dyDescent="0.2"/>
    <row r="31096" hidden="1" x14ac:dyDescent="0.2"/>
    <row r="31097" hidden="1" x14ac:dyDescent="0.2"/>
    <row r="31098" hidden="1" x14ac:dyDescent="0.2"/>
    <row r="31099" hidden="1" x14ac:dyDescent="0.2"/>
    <row r="31100" hidden="1" x14ac:dyDescent="0.2"/>
    <row r="31101" hidden="1" x14ac:dyDescent="0.2"/>
    <row r="31102" hidden="1" x14ac:dyDescent="0.2"/>
    <row r="31103" hidden="1" x14ac:dyDescent="0.2"/>
    <row r="31104" hidden="1" x14ac:dyDescent="0.2"/>
    <row r="31105" hidden="1" x14ac:dyDescent="0.2"/>
    <row r="31106" hidden="1" x14ac:dyDescent="0.2"/>
    <row r="31107" hidden="1" x14ac:dyDescent="0.2"/>
    <row r="31108" hidden="1" x14ac:dyDescent="0.2"/>
    <row r="31109" hidden="1" x14ac:dyDescent="0.2"/>
    <row r="31110" hidden="1" x14ac:dyDescent="0.2"/>
    <row r="31111" hidden="1" x14ac:dyDescent="0.2"/>
    <row r="31112" hidden="1" x14ac:dyDescent="0.2"/>
    <row r="31113" hidden="1" x14ac:dyDescent="0.2"/>
    <row r="31114" hidden="1" x14ac:dyDescent="0.2"/>
    <row r="31115" hidden="1" x14ac:dyDescent="0.2"/>
    <row r="31116" hidden="1" x14ac:dyDescent="0.2"/>
    <row r="31117" hidden="1" x14ac:dyDescent="0.2"/>
    <row r="31118" hidden="1" x14ac:dyDescent="0.2"/>
    <row r="31119" hidden="1" x14ac:dyDescent="0.2"/>
    <row r="31120" hidden="1" x14ac:dyDescent="0.2"/>
    <row r="31121" hidden="1" x14ac:dyDescent="0.2"/>
    <row r="31122" hidden="1" x14ac:dyDescent="0.2"/>
    <row r="31123" hidden="1" x14ac:dyDescent="0.2"/>
    <row r="31124" hidden="1" x14ac:dyDescent="0.2"/>
    <row r="31125" hidden="1" x14ac:dyDescent="0.2"/>
    <row r="31126" hidden="1" x14ac:dyDescent="0.2"/>
    <row r="31127" hidden="1" x14ac:dyDescent="0.2"/>
    <row r="31128" hidden="1" x14ac:dyDescent="0.2"/>
    <row r="31129" hidden="1" x14ac:dyDescent="0.2"/>
    <row r="31130" hidden="1" x14ac:dyDescent="0.2"/>
    <row r="31131" hidden="1" x14ac:dyDescent="0.2"/>
    <row r="31132" hidden="1" x14ac:dyDescent="0.2"/>
    <row r="31133" hidden="1" x14ac:dyDescent="0.2"/>
    <row r="31134" hidden="1" x14ac:dyDescent="0.2"/>
    <row r="31135" hidden="1" x14ac:dyDescent="0.2"/>
    <row r="31136" hidden="1" x14ac:dyDescent="0.2"/>
    <row r="31137" hidden="1" x14ac:dyDescent="0.2"/>
    <row r="31138" hidden="1" x14ac:dyDescent="0.2"/>
    <row r="31139" hidden="1" x14ac:dyDescent="0.2"/>
    <row r="31140" hidden="1" x14ac:dyDescent="0.2"/>
    <row r="31141" hidden="1" x14ac:dyDescent="0.2"/>
    <row r="31142" hidden="1" x14ac:dyDescent="0.2"/>
    <row r="31143" hidden="1" x14ac:dyDescent="0.2"/>
    <row r="31144" hidden="1" x14ac:dyDescent="0.2"/>
    <row r="31145" hidden="1" x14ac:dyDescent="0.2"/>
    <row r="31146" hidden="1" x14ac:dyDescent="0.2"/>
    <row r="31147" hidden="1" x14ac:dyDescent="0.2"/>
    <row r="31148" hidden="1" x14ac:dyDescent="0.2"/>
    <row r="31149" hidden="1" x14ac:dyDescent="0.2"/>
    <row r="31150" hidden="1" x14ac:dyDescent="0.2"/>
    <row r="31151" hidden="1" x14ac:dyDescent="0.2"/>
    <row r="31152" hidden="1" x14ac:dyDescent="0.2"/>
    <row r="31153" hidden="1" x14ac:dyDescent="0.2"/>
    <row r="31154" hidden="1" x14ac:dyDescent="0.2"/>
    <row r="31155" hidden="1" x14ac:dyDescent="0.2"/>
    <row r="31156" hidden="1" x14ac:dyDescent="0.2"/>
    <row r="31157" hidden="1" x14ac:dyDescent="0.2"/>
    <row r="31158" hidden="1" x14ac:dyDescent="0.2"/>
    <row r="31159" hidden="1" x14ac:dyDescent="0.2"/>
    <row r="31160" hidden="1" x14ac:dyDescent="0.2"/>
    <row r="31161" hidden="1" x14ac:dyDescent="0.2"/>
    <row r="31162" hidden="1" x14ac:dyDescent="0.2"/>
    <row r="31163" hidden="1" x14ac:dyDescent="0.2"/>
    <row r="31164" hidden="1" x14ac:dyDescent="0.2"/>
    <row r="31165" hidden="1" x14ac:dyDescent="0.2"/>
    <row r="31166" hidden="1" x14ac:dyDescent="0.2"/>
    <row r="31167" hidden="1" x14ac:dyDescent="0.2"/>
    <row r="31168" hidden="1" x14ac:dyDescent="0.2"/>
    <row r="31169" hidden="1" x14ac:dyDescent="0.2"/>
    <row r="31170" hidden="1" x14ac:dyDescent="0.2"/>
    <row r="31171" hidden="1" x14ac:dyDescent="0.2"/>
    <row r="31172" hidden="1" x14ac:dyDescent="0.2"/>
    <row r="31173" hidden="1" x14ac:dyDescent="0.2"/>
    <row r="31174" hidden="1" x14ac:dyDescent="0.2"/>
    <row r="31175" hidden="1" x14ac:dyDescent="0.2"/>
    <row r="31176" hidden="1" x14ac:dyDescent="0.2"/>
    <row r="31177" hidden="1" x14ac:dyDescent="0.2"/>
    <row r="31178" hidden="1" x14ac:dyDescent="0.2"/>
    <row r="31179" hidden="1" x14ac:dyDescent="0.2"/>
    <row r="31180" hidden="1" x14ac:dyDescent="0.2"/>
    <row r="31181" hidden="1" x14ac:dyDescent="0.2"/>
    <row r="31182" hidden="1" x14ac:dyDescent="0.2"/>
    <row r="31183" hidden="1" x14ac:dyDescent="0.2"/>
    <row r="31184" hidden="1" x14ac:dyDescent="0.2"/>
    <row r="31185" hidden="1" x14ac:dyDescent="0.2"/>
    <row r="31186" hidden="1" x14ac:dyDescent="0.2"/>
    <row r="31187" hidden="1" x14ac:dyDescent="0.2"/>
    <row r="31188" hidden="1" x14ac:dyDescent="0.2"/>
    <row r="31189" hidden="1" x14ac:dyDescent="0.2"/>
    <row r="31190" hidden="1" x14ac:dyDescent="0.2"/>
    <row r="31191" hidden="1" x14ac:dyDescent="0.2"/>
    <row r="31192" hidden="1" x14ac:dyDescent="0.2"/>
    <row r="31193" hidden="1" x14ac:dyDescent="0.2"/>
    <row r="31194" hidden="1" x14ac:dyDescent="0.2"/>
    <row r="31195" hidden="1" x14ac:dyDescent="0.2"/>
    <row r="31196" hidden="1" x14ac:dyDescent="0.2"/>
    <row r="31197" hidden="1" x14ac:dyDescent="0.2"/>
    <row r="31198" hidden="1" x14ac:dyDescent="0.2"/>
    <row r="31199" hidden="1" x14ac:dyDescent="0.2"/>
    <row r="31200" hidden="1" x14ac:dyDescent="0.2"/>
    <row r="31201" hidden="1" x14ac:dyDescent="0.2"/>
    <row r="31202" hidden="1" x14ac:dyDescent="0.2"/>
    <row r="31203" hidden="1" x14ac:dyDescent="0.2"/>
    <row r="31204" hidden="1" x14ac:dyDescent="0.2"/>
    <row r="31205" hidden="1" x14ac:dyDescent="0.2"/>
    <row r="31206" hidden="1" x14ac:dyDescent="0.2"/>
    <row r="31207" hidden="1" x14ac:dyDescent="0.2"/>
    <row r="31208" hidden="1" x14ac:dyDescent="0.2"/>
    <row r="31209" hidden="1" x14ac:dyDescent="0.2"/>
    <row r="31210" hidden="1" x14ac:dyDescent="0.2"/>
    <row r="31211" hidden="1" x14ac:dyDescent="0.2"/>
    <row r="31212" hidden="1" x14ac:dyDescent="0.2"/>
    <row r="31213" hidden="1" x14ac:dyDescent="0.2"/>
    <row r="31214" hidden="1" x14ac:dyDescent="0.2"/>
    <row r="31215" hidden="1" x14ac:dyDescent="0.2"/>
    <row r="31216" hidden="1" x14ac:dyDescent="0.2"/>
    <row r="31217" hidden="1" x14ac:dyDescent="0.2"/>
    <row r="31218" hidden="1" x14ac:dyDescent="0.2"/>
    <row r="31219" hidden="1" x14ac:dyDescent="0.2"/>
    <row r="31220" hidden="1" x14ac:dyDescent="0.2"/>
    <row r="31221" hidden="1" x14ac:dyDescent="0.2"/>
    <row r="31222" hidden="1" x14ac:dyDescent="0.2"/>
    <row r="31223" hidden="1" x14ac:dyDescent="0.2"/>
    <row r="31224" hidden="1" x14ac:dyDescent="0.2"/>
    <row r="31225" hidden="1" x14ac:dyDescent="0.2"/>
    <row r="31226" hidden="1" x14ac:dyDescent="0.2"/>
    <row r="31227" hidden="1" x14ac:dyDescent="0.2"/>
    <row r="31228" hidden="1" x14ac:dyDescent="0.2"/>
    <row r="31229" hidden="1" x14ac:dyDescent="0.2"/>
    <row r="31230" hidden="1" x14ac:dyDescent="0.2"/>
    <row r="31231" hidden="1" x14ac:dyDescent="0.2"/>
    <row r="31232" hidden="1" x14ac:dyDescent="0.2"/>
    <row r="31233" hidden="1" x14ac:dyDescent="0.2"/>
    <row r="31234" hidden="1" x14ac:dyDescent="0.2"/>
    <row r="31235" hidden="1" x14ac:dyDescent="0.2"/>
    <row r="31236" hidden="1" x14ac:dyDescent="0.2"/>
    <row r="31237" hidden="1" x14ac:dyDescent="0.2"/>
    <row r="31238" hidden="1" x14ac:dyDescent="0.2"/>
    <row r="31239" hidden="1" x14ac:dyDescent="0.2"/>
    <row r="31240" hidden="1" x14ac:dyDescent="0.2"/>
    <row r="31241" hidden="1" x14ac:dyDescent="0.2"/>
    <row r="31242" hidden="1" x14ac:dyDescent="0.2"/>
    <row r="31243" hidden="1" x14ac:dyDescent="0.2"/>
    <row r="31244" hidden="1" x14ac:dyDescent="0.2"/>
    <row r="31245" hidden="1" x14ac:dyDescent="0.2"/>
    <row r="31246" hidden="1" x14ac:dyDescent="0.2"/>
    <row r="31247" hidden="1" x14ac:dyDescent="0.2"/>
    <row r="31248" hidden="1" x14ac:dyDescent="0.2"/>
    <row r="31249" hidden="1" x14ac:dyDescent="0.2"/>
    <row r="31250" hidden="1" x14ac:dyDescent="0.2"/>
    <row r="31251" hidden="1" x14ac:dyDescent="0.2"/>
    <row r="31252" hidden="1" x14ac:dyDescent="0.2"/>
    <row r="31253" hidden="1" x14ac:dyDescent="0.2"/>
    <row r="31254" hidden="1" x14ac:dyDescent="0.2"/>
    <row r="31255" hidden="1" x14ac:dyDescent="0.2"/>
    <row r="31256" hidden="1" x14ac:dyDescent="0.2"/>
    <row r="31257" hidden="1" x14ac:dyDescent="0.2"/>
    <row r="31258" hidden="1" x14ac:dyDescent="0.2"/>
    <row r="31259" hidden="1" x14ac:dyDescent="0.2"/>
    <row r="31260" hidden="1" x14ac:dyDescent="0.2"/>
    <row r="31261" hidden="1" x14ac:dyDescent="0.2"/>
    <row r="31262" hidden="1" x14ac:dyDescent="0.2"/>
    <row r="31263" hidden="1" x14ac:dyDescent="0.2"/>
    <row r="31264" hidden="1" x14ac:dyDescent="0.2"/>
    <row r="31265" hidden="1" x14ac:dyDescent="0.2"/>
    <row r="31266" hidden="1" x14ac:dyDescent="0.2"/>
    <row r="31267" hidden="1" x14ac:dyDescent="0.2"/>
    <row r="31268" hidden="1" x14ac:dyDescent="0.2"/>
    <row r="31269" hidden="1" x14ac:dyDescent="0.2"/>
    <row r="31270" hidden="1" x14ac:dyDescent="0.2"/>
    <row r="31271" hidden="1" x14ac:dyDescent="0.2"/>
    <row r="31272" hidden="1" x14ac:dyDescent="0.2"/>
    <row r="31273" hidden="1" x14ac:dyDescent="0.2"/>
    <row r="31274" hidden="1" x14ac:dyDescent="0.2"/>
    <row r="31275" hidden="1" x14ac:dyDescent="0.2"/>
    <row r="31276" hidden="1" x14ac:dyDescent="0.2"/>
    <row r="31277" hidden="1" x14ac:dyDescent="0.2"/>
    <row r="31278" hidden="1" x14ac:dyDescent="0.2"/>
    <row r="31279" hidden="1" x14ac:dyDescent="0.2"/>
    <row r="31280" hidden="1" x14ac:dyDescent="0.2"/>
    <row r="31281" hidden="1" x14ac:dyDescent="0.2"/>
    <row r="31282" hidden="1" x14ac:dyDescent="0.2"/>
    <row r="31283" hidden="1" x14ac:dyDescent="0.2"/>
    <row r="31284" hidden="1" x14ac:dyDescent="0.2"/>
    <row r="31285" hidden="1" x14ac:dyDescent="0.2"/>
    <row r="31286" hidden="1" x14ac:dyDescent="0.2"/>
    <row r="31287" hidden="1" x14ac:dyDescent="0.2"/>
    <row r="31288" hidden="1" x14ac:dyDescent="0.2"/>
    <row r="31289" hidden="1" x14ac:dyDescent="0.2"/>
    <row r="31290" hidden="1" x14ac:dyDescent="0.2"/>
    <row r="31291" hidden="1" x14ac:dyDescent="0.2"/>
    <row r="31292" hidden="1" x14ac:dyDescent="0.2"/>
    <row r="31293" hidden="1" x14ac:dyDescent="0.2"/>
    <row r="31294" hidden="1" x14ac:dyDescent="0.2"/>
    <row r="31295" hidden="1" x14ac:dyDescent="0.2"/>
    <row r="31296" hidden="1" x14ac:dyDescent="0.2"/>
    <row r="31297" hidden="1" x14ac:dyDescent="0.2"/>
    <row r="31298" hidden="1" x14ac:dyDescent="0.2"/>
    <row r="31299" hidden="1" x14ac:dyDescent="0.2"/>
    <row r="31300" hidden="1" x14ac:dyDescent="0.2"/>
    <row r="31301" hidden="1" x14ac:dyDescent="0.2"/>
    <row r="31302" hidden="1" x14ac:dyDescent="0.2"/>
    <row r="31303" hidden="1" x14ac:dyDescent="0.2"/>
    <row r="31304" hidden="1" x14ac:dyDescent="0.2"/>
    <row r="31305" hidden="1" x14ac:dyDescent="0.2"/>
    <row r="31306" hidden="1" x14ac:dyDescent="0.2"/>
    <row r="31307" hidden="1" x14ac:dyDescent="0.2"/>
    <row r="31308" hidden="1" x14ac:dyDescent="0.2"/>
    <row r="31309" hidden="1" x14ac:dyDescent="0.2"/>
    <row r="31310" hidden="1" x14ac:dyDescent="0.2"/>
    <row r="31311" hidden="1" x14ac:dyDescent="0.2"/>
    <row r="31312" hidden="1" x14ac:dyDescent="0.2"/>
    <row r="31313" hidden="1" x14ac:dyDescent="0.2"/>
    <row r="31314" hidden="1" x14ac:dyDescent="0.2"/>
    <row r="31315" hidden="1" x14ac:dyDescent="0.2"/>
    <row r="31316" hidden="1" x14ac:dyDescent="0.2"/>
    <row r="31317" hidden="1" x14ac:dyDescent="0.2"/>
    <row r="31318" hidden="1" x14ac:dyDescent="0.2"/>
    <row r="31319" hidden="1" x14ac:dyDescent="0.2"/>
    <row r="31320" hidden="1" x14ac:dyDescent="0.2"/>
    <row r="31321" hidden="1" x14ac:dyDescent="0.2"/>
    <row r="31322" hidden="1" x14ac:dyDescent="0.2"/>
    <row r="31323" hidden="1" x14ac:dyDescent="0.2"/>
    <row r="31324" hidden="1" x14ac:dyDescent="0.2"/>
    <row r="31325" hidden="1" x14ac:dyDescent="0.2"/>
    <row r="31326" hidden="1" x14ac:dyDescent="0.2"/>
    <row r="31327" hidden="1" x14ac:dyDescent="0.2"/>
    <row r="31328" hidden="1" x14ac:dyDescent="0.2"/>
    <row r="31329" hidden="1" x14ac:dyDescent="0.2"/>
    <row r="31330" hidden="1" x14ac:dyDescent="0.2"/>
    <row r="31331" hidden="1" x14ac:dyDescent="0.2"/>
    <row r="31332" hidden="1" x14ac:dyDescent="0.2"/>
    <row r="31333" hidden="1" x14ac:dyDescent="0.2"/>
    <row r="31334" hidden="1" x14ac:dyDescent="0.2"/>
    <row r="31335" hidden="1" x14ac:dyDescent="0.2"/>
    <row r="31336" hidden="1" x14ac:dyDescent="0.2"/>
    <row r="31337" hidden="1" x14ac:dyDescent="0.2"/>
    <row r="31338" hidden="1" x14ac:dyDescent="0.2"/>
    <row r="31339" hidden="1" x14ac:dyDescent="0.2"/>
    <row r="31340" hidden="1" x14ac:dyDescent="0.2"/>
    <row r="31341" hidden="1" x14ac:dyDescent="0.2"/>
    <row r="31342" hidden="1" x14ac:dyDescent="0.2"/>
    <row r="31343" hidden="1" x14ac:dyDescent="0.2"/>
    <row r="31344" hidden="1" x14ac:dyDescent="0.2"/>
    <row r="31345" hidden="1" x14ac:dyDescent="0.2"/>
    <row r="31346" hidden="1" x14ac:dyDescent="0.2"/>
    <row r="31347" hidden="1" x14ac:dyDescent="0.2"/>
    <row r="31348" hidden="1" x14ac:dyDescent="0.2"/>
    <row r="31349" hidden="1" x14ac:dyDescent="0.2"/>
    <row r="31350" hidden="1" x14ac:dyDescent="0.2"/>
    <row r="31351" hidden="1" x14ac:dyDescent="0.2"/>
    <row r="31352" hidden="1" x14ac:dyDescent="0.2"/>
    <row r="31353" hidden="1" x14ac:dyDescent="0.2"/>
    <row r="31354" hidden="1" x14ac:dyDescent="0.2"/>
    <row r="31355" hidden="1" x14ac:dyDescent="0.2"/>
    <row r="31356" hidden="1" x14ac:dyDescent="0.2"/>
    <row r="31357" hidden="1" x14ac:dyDescent="0.2"/>
    <row r="31358" hidden="1" x14ac:dyDescent="0.2"/>
    <row r="31359" hidden="1" x14ac:dyDescent="0.2"/>
    <row r="31360" hidden="1" x14ac:dyDescent="0.2"/>
    <row r="31361" hidden="1" x14ac:dyDescent="0.2"/>
    <row r="31362" hidden="1" x14ac:dyDescent="0.2"/>
    <row r="31363" hidden="1" x14ac:dyDescent="0.2"/>
    <row r="31364" hidden="1" x14ac:dyDescent="0.2"/>
    <row r="31365" hidden="1" x14ac:dyDescent="0.2"/>
    <row r="31366" hidden="1" x14ac:dyDescent="0.2"/>
    <row r="31367" hidden="1" x14ac:dyDescent="0.2"/>
    <row r="31368" hidden="1" x14ac:dyDescent="0.2"/>
    <row r="31369" hidden="1" x14ac:dyDescent="0.2"/>
    <row r="31370" hidden="1" x14ac:dyDescent="0.2"/>
    <row r="31371" hidden="1" x14ac:dyDescent="0.2"/>
    <row r="31372" hidden="1" x14ac:dyDescent="0.2"/>
    <row r="31373" hidden="1" x14ac:dyDescent="0.2"/>
    <row r="31374" hidden="1" x14ac:dyDescent="0.2"/>
    <row r="31375" hidden="1" x14ac:dyDescent="0.2"/>
    <row r="31376" hidden="1" x14ac:dyDescent="0.2"/>
    <row r="31377" hidden="1" x14ac:dyDescent="0.2"/>
    <row r="31378" hidden="1" x14ac:dyDescent="0.2"/>
    <row r="31379" hidden="1" x14ac:dyDescent="0.2"/>
    <row r="31380" hidden="1" x14ac:dyDescent="0.2"/>
    <row r="31381" hidden="1" x14ac:dyDescent="0.2"/>
    <row r="31382" hidden="1" x14ac:dyDescent="0.2"/>
    <row r="31383" hidden="1" x14ac:dyDescent="0.2"/>
    <row r="31384" hidden="1" x14ac:dyDescent="0.2"/>
    <row r="31385" hidden="1" x14ac:dyDescent="0.2"/>
    <row r="31386" hidden="1" x14ac:dyDescent="0.2"/>
    <row r="31387" hidden="1" x14ac:dyDescent="0.2"/>
    <row r="31388" hidden="1" x14ac:dyDescent="0.2"/>
    <row r="31389" hidden="1" x14ac:dyDescent="0.2"/>
    <row r="31390" hidden="1" x14ac:dyDescent="0.2"/>
    <row r="31391" hidden="1" x14ac:dyDescent="0.2"/>
    <row r="31392" hidden="1" x14ac:dyDescent="0.2"/>
    <row r="31393" hidden="1" x14ac:dyDescent="0.2"/>
    <row r="31394" hidden="1" x14ac:dyDescent="0.2"/>
    <row r="31395" hidden="1" x14ac:dyDescent="0.2"/>
    <row r="31396" hidden="1" x14ac:dyDescent="0.2"/>
    <row r="31397" hidden="1" x14ac:dyDescent="0.2"/>
    <row r="31398" hidden="1" x14ac:dyDescent="0.2"/>
    <row r="31399" hidden="1" x14ac:dyDescent="0.2"/>
    <row r="31400" hidden="1" x14ac:dyDescent="0.2"/>
    <row r="31401" hidden="1" x14ac:dyDescent="0.2"/>
    <row r="31402" hidden="1" x14ac:dyDescent="0.2"/>
    <row r="31403" hidden="1" x14ac:dyDescent="0.2"/>
    <row r="31404" hidden="1" x14ac:dyDescent="0.2"/>
    <row r="31405" hidden="1" x14ac:dyDescent="0.2"/>
    <row r="31406" hidden="1" x14ac:dyDescent="0.2"/>
    <row r="31407" hidden="1" x14ac:dyDescent="0.2"/>
    <row r="31408" hidden="1" x14ac:dyDescent="0.2"/>
    <row r="31409" hidden="1" x14ac:dyDescent="0.2"/>
    <row r="31410" hidden="1" x14ac:dyDescent="0.2"/>
    <row r="31411" hidden="1" x14ac:dyDescent="0.2"/>
    <row r="31412" hidden="1" x14ac:dyDescent="0.2"/>
    <row r="31413" hidden="1" x14ac:dyDescent="0.2"/>
    <row r="31414" hidden="1" x14ac:dyDescent="0.2"/>
    <row r="31415" hidden="1" x14ac:dyDescent="0.2"/>
    <row r="31416" hidden="1" x14ac:dyDescent="0.2"/>
    <row r="31417" hidden="1" x14ac:dyDescent="0.2"/>
    <row r="31418" hidden="1" x14ac:dyDescent="0.2"/>
    <row r="31419" hidden="1" x14ac:dyDescent="0.2"/>
    <row r="31420" hidden="1" x14ac:dyDescent="0.2"/>
    <row r="31421" hidden="1" x14ac:dyDescent="0.2"/>
    <row r="31422" hidden="1" x14ac:dyDescent="0.2"/>
    <row r="31423" hidden="1" x14ac:dyDescent="0.2"/>
    <row r="31424" hidden="1" x14ac:dyDescent="0.2"/>
    <row r="31425" hidden="1" x14ac:dyDescent="0.2"/>
    <row r="31426" hidden="1" x14ac:dyDescent="0.2"/>
    <row r="31427" hidden="1" x14ac:dyDescent="0.2"/>
    <row r="31428" hidden="1" x14ac:dyDescent="0.2"/>
    <row r="31429" hidden="1" x14ac:dyDescent="0.2"/>
    <row r="31430" hidden="1" x14ac:dyDescent="0.2"/>
    <row r="31431" hidden="1" x14ac:dyDescent="0.2"/>
    <row r="31432" hidden="1" x14ac:dyDescent="0.2"/>
    <row r="31433" hidden="1" x14ac:dyDescent="0.2"/>
    <row r="31434" hidden="1" x14ac:dyDescent="0.2"/>
    <row r="31435" hidden="1" x14ac:dyDescent="0.2"/>
    <row r="31436" hidden="1" x14ac:dyDescent="0.2"/>
    <row r="31437" hidden="1" x14ac:dyDescent="0.2"/>
    <row r="31438" hidden="1" x14ac:dyDescent="0.2"/>
    <row r="31439" hidden="1" x14ac:dyDescent="0.2"/>
    <row r="31440" hidden="1" x14ac:dyDescent="0.2"/>
    <row r="31441" hidden="1" x14ac:dyDescent="0.2"/>
    <row r="31442" hidden="1" x14ac:dyDescent="0.2"/>
    <row r="31443" hidden="1" x14ac:dyDescent="0.2"/>
    <row r="31444" hidden="1" x14ac:dyDescent="0.2"/>
    <row r="31445" hidden="1" x14ac:dyDescent="0.2"/>
    <row r="31446" hidden="1" x14ac:dyDescent="0.2"/>
    <row r="31447" hidden="1" x14ac:dyDescent="0.2"/>
    <row r="31448" hidden="1" x14ac:dyDescent="0.2"/>
    <row r="31449" hidden="1" x14ac:dyDescent="0.2"/>
    <row r="31450" hidden="1" x14ac:dyDescent="0.2"/>
    <row r="31451" hidden="1" x14ac:dyDescent="0.2"/>
    <row r="31452" hidden="1" x14ac:dyDescent="0.2"/>
    <row r="31453" hidden="1" x14ac:dyDescent="0.2"/>
    <row r="31454" hidden="1" x14ac:dyDescent="0.2"/>
    <row r="31455" hidden="1" x14ac:dyDescent="0.2"/>
    <row r="31456" hidden="1" x14ac:dyDescent="0.2"/>
    <row r="31457" hidden="1" x14ac:dyDescent="0.2"/>
    <row r="31458" hidden="1" x14ac:dyDescent="0.2"/>
    <row r="31459" hidden="1" x14ac:dyDescent="0.2"/>
    <row r="31460" hidden="1" x14ac:dyDescent="0.2"/>
    <row r="31461" hidden="1" x14ac:dyDescent="0.2"/>
    <row r="31462" hidden="1" x14ac:dyDescent="0.2"/>
    <row r="31463" hidden="1" x14ac:dyDescent="0.2"/>
    <row r="31464" hidden="1" x14ac:dyDescent="0.2"/>
    <row r="31465" hidden="1" x14ac:dyDescent="0.2"/>
    <row r="31466" hidden="1" x14ac:dyDescent="0.2"/>
    <row r="31467" hidden="1" x14ac:dyDescent="0.2"/>
    <row r="31468" hidden="1" x14ac:dyDescent="0.2"/>
    <row r="31469" hidden="1" x14ac:dyDescent="0.2"/>
    <row r="31470" hidden="1" x14ac:dyDescent="0.2"/>
    <row r="31471" hidden="1" x14ac:dyDescent="0.2"/>
    <row r="31472" hidden="1" x14ac:dyDescent="0.2"/>
    <row r="31473" hidden="1" x14ac:dyDescent="0.2"/>
    <row r="31474" hidden="1" x14ac:dyDescent="0.2"/>
    <row r="31475" hidden="1" x14ac:dyDescent="0.2"/>
    <row r="31476" hidden="1" x14ac:dyDescent="0.2"/>
    <row r="31477" hidden="1" x14ac:dyDescent="0.2"/>
    <row r="31478" hidden="1" x14ac:dyDescent="0.2"/>
    <row r="31479" hidden="1" x14ac:dyDescent="0.2"/>
    <row r="31480" hidden="1" x14ac:dyDescent="0.2"/>
    <row r="31481" hidden="1" x14ac:dyDescent="0.2"/>
    <row r="31482" hidden="1" x14ac:dyDescent="0.2"/>
    <row r="31483" hidden="1" x14ac:dyDescent="0.2"/>
    <row r="31484" hidden="1" x14ac:dyDescent="0.2"/>
    <row r="31485" hidden="1" x14ac:dyDescent="0.2"/>
    <row r="31486" hidden="1" x14ac:dyDescent="0.2"/>
    <row r="31487" hidden="1" x14ac:dyDescent="0.2"/>
    <row r="31488" hidden="1" x14ac:dyDescent="0.2"/>
    <row r="31489" hidden="1" x14ac:dyDescent="0.2"/>
    <row r="31490" hidden="1" x14ac:dyDescent="0.2"/>
    <row r="31491" hidden="1" x14ac:dyDescent="0.2"/>
    <row r="31492" hidden="1" x14ac:dyDescent="0.2"/>
    <row r="31493" hidden="1" x14ac:dyDescent="0.2"/>
    <row r="31494" hidden="1" x14ac:dyDescent="0.2"/>
    <row r="31495" hidden="1" x14ac:dyDescent="0.2"/>
    <row r="31496" hidden="1" x14ac:dyDescent="0.2"/>
    <row r="31497" hidden="1" x14ac:dyDescent="0.2"/>
    <row r="31498" hidden="1" x14ac:dyDescent="0.2"/>
    <row r="31499" hidden="1" x14ac:dyDescent="0.2"/>
    <row r="31500" hidden="1" x14ac:dyDescent="0.2"/>
    <row r="31501" hidden="1" x14ac:dyDescent="0.2"/>
    <row r="31502" hidden="1" x14ac:dyDescent="0.2"/>
    <row r="31503" hidden="1" x14ac:dyDescent="0.2"/>
    <row r="31504" hidden="1" x14ac:dyDescent="0.2"/>
    <row r="31505" hidden="1" x14ac:dyDescent="0.2"/>
    <row r="31506" hidden="1" x14ac:dyDescent="0.2"/>
    <row r="31507" hidden="1" x14ac:dyDescent="0.2"/>
    <row r="31508" hidden="1" x14ac:dyDescent="0.2"/>
    <row r="31509" hidden="1" x14ac:dyDescent="0.2"/>
    <row r="31510" hidden="1" x14ac:dyDescent="0.2"/>
    <row r="31511" hidden="1" x14ac:dyDescent="0.2"/>
    <row r="31512" hidden="1" x14ac:dyDescent="0.2"/>
    <row r="31513" hidden="1" x14ac:dyDescent="0.2"/>
    <row r="31514" hidden="1" x14ac:dyDescent="0.2"/>
    <row r="31515" hidden="1" x14ac:dyDescent="0.2"/>
    <row r="31516" hidden="1" x14ac:dyDescent="0.2"/>
    <row r="31517" hidden="1" x14ac:dyDescent="0.2"/>
    <row r="31518" hidden="1" x14ac:dyDescent="0.2"/>
    <row r="31519" hidden="1" x14ac:dyDescent="0.2"/>
    <row r="31520" hidden="1" x14ac:dyDescent="0.2"/>
    <row r="31521" hidden="1" x14ac:dyDescent="0.2"/>
    <row r="31522" hidden="1" x14ac:dyDescent="0.2"/>
    <row r="31523" hidden="1" x14ac:dyDescent="0.2"/>
    <row r="31524" hidden="1" x14ac:dyDescent="0.2"/>
    <row r="31525" hidden="1" x14ac:dyDescent="0.2"/>
    <row r="31526" hidden="1" x14ac:dyDescent="0.2"/>
    <row r="31527" hidden="1" x14ac:dyDescent="0.2"/>
    <row r="31528" hidden="1" x14ac:dyDescent="0.2"/>
    <row r="31529" hidden="1" x14ac:dyDescent="0.2"/>
    <row r="31530" hidden="1" x14ac:dyDescent="0.2"/>
    <row r="31531" hidden="1" x14ac:dyDescent="0.2"/>
    <row r="31532" hidden="1" x14ac:dyDescent="0.2"/>
    <row r="31533" hidden="1" x14ac:dyDescent="0.2"/>
    <row r="31534" hidden="1" x14ac:dyDescent="0.2"/>
    <row r="31535" hidden="1" x14ac:dyDescent="0.2"/>
    <row r="31536" hidden="1" x14ac:dyDescent="0.2"/>
    <row r="31537" hidden="1" x14ac:dyDescent="0.2"/>
    <row r="31538" hidden="1" x14ac:dyDescent="0.2"/>
    <row r="31539" hidden="1" x14ac:dyDescent="0.2"/>
    <row r="31540" hidden="1" x14ac:dyDescent="0.2"/>
    <row r="31541" hidden="1" x14ac:dyDescent="0.2"/>
    <row r="31542" hidden="1" x14ac:dyDescent="0.2"/>
    <row r="31543" hidden="1" x14ac:dyDescent="0.2"/>
    <row r="31544" hidden="1" x14ac:dyDescent="0.2"/>
    <row r="31545" hidden="1" x14ac:dyDescent="0.2"/>
    <row r="31546" hidden="1" x14ac:dyDescent="0.2"/>
    <row r="31547" hidden="1" x14ac:dyDescent="0.2"/>
    <row r="31548" hidden="1" x14ac:dyDescent="0.2"/>
    <row r="31549" hidden="1" x14ac:dyDescent="0.2"/>
    <row r="31550" hidden="1" x14ac:dyDescent="0.2"/>
    <row r="31551" hidden="1" x14ac:dyDescent="0.2"/>
    <row r="31552" hidden="1" x14ac:dyDescent="0.2"/>
    <row r="31553" hidden="1" x14ac:dyDescent="0.2"/>
    <row r="31554" hidden="1" x14ac:dyDescent="0.2"/>
    <row r="31555" hidden="1" x14ac:dyDescent="0.2"/>
    <row r="31556" hidden="1" x14ac:dyDescent="0.2"/>
    <row r="31557" hidden="1" x14ac:dyDescent="0.2"/>
    <row r="31558" hidden="1" x14ac:dyDescent="0.2"/>
    <row r="31559" hidden="1" x14ac:dyDescent="0.2"/>
    <row r="31560" hidden="1" x14ac:dyDescent="0.2"/>
    <row r="31561" hidden="1" x14ac:dyDescent="0.2"/>
    <row r="31562" hidden="1" x14ac:dyDescent="0.2"/>
    <row r="31563" hidden="1" x14ac:dyDescent="0.2"/>
    <row r="31564" hidden="1" x14ac:dyDescent="0.2"/>
    <row r="31565" hidden="1" x14ac:dyDescent="0.2"/>
    <row r="31566" hidden="1" x14ac:dyDescent="0.2"/>
    <row r="31567" hidden="1" x14ac:dyDescent="0.2"/>
    <row r="31568" hidden="1" x14ac:dyDescent="0.2"/>
    <row r="31569" hidden="1" x14ac:dyDescent="0.2"/>
    <row r="31570" hidden="1" x14ac:dyDescent="0.2"/>
    <row r="31571" hidden="1" x14ac:dyDescent="0.2"/>
    <row r="31572" hidden="1" x14ac:dyDescent="0.2"/>
    <row r="31573" hidden="1" x14ac:dyDescent="0.2"/>
    <row r="31574" hidden="1" x14ac:dyDescent="0.2"/>
    <row r="31575" hidden="1" x14ac:dyDescent="0.2"/>
    <row r="31576" hidden="1" x14ac:dyDescent="0.2"/>
    <row r="31577" hidden="1" x14ac:dyDescent="0.2"/>
    <row r="31578" hidden="1" x14ac:dyDescent="0.2"/>
    <row r="31579" hidden="1" x14ac:dyDescent="0.2"/>
    <row r="31580" hidden="1" x14ac:dyDescent="0.2"/>
    <row r="31581" hidden="1" x14ac:dyDescent="0.2"/>
    <row r="31582" hidden="1" x14ac:dyDescent="0.2"/>
    <row r="31583" hidden="1" x14ac:dyDescent="0.2"/>
    <row r="31584" hidden="1" x14ac:dyDescent="0.2"/>
    <row r="31585" hidden="1" x14ac:dyDescent="0.2"/>
    <row r="31586" hidden="1" x14ac:dyDescent="0.2"/>
    <row r="31587" hidden="1" x14ac:dyDescent="0.2"/>
    <row r="31588" hidden="1" x14ac:dyDescent="0.2"/>
    <row r="31589" hidden="1" x14ac:dyDescent="0.2"/>
    <row r="31590" hidden="1" x14ac:dyDescent="0.2"/>
    <row r="31591" hidden="1" x14ac:dyDescent="0.2"/>
    <row r="31592" hidden="1" x14ac:dyDescent="0.2"/>
    <row r="31593" hidden="1" x14ac:dyDescent="0.2"/>
    <row r="31594" hidden="1" x14ac:dyDescent="0.2"/>
    <row r="31595" hidden="1" x14ac:dyDescent="0.2"/>
    <row r="31596" hidden="1" x14ac:dyDescent="0.2"/>
    <row r="31597" hidden="1" x14ac:dyDescent="0.2"/>
    <row r="31598" hidden="1" x14ac:dyDescent="0.2"/>
    <row r="31599" hidden="1" x14ac:dyDescent="0.2"/>
    <row r="31600" hidden="1" x14ac:dyDescent="0.2"/>
    <row r="31601" hidden="1" x14ac:dyDescent="0.2"/>
    <row r="31602" hidden="1" x14ac:dyDescent="0.2"/>
    <row r="31603" hidden="1" x14ac:dyDescent="0.2"/>
    <row r="31604" hidden="1" x14ac:dyDescent="0.2"/>
    <row r="31605" hidden="1" x14ac:dyDescent="0.2"/>
    <row r="31606" hidden="1" x14ac:dyDescent="0.2"/>
    <row r="31607" hidden="1" x14ac:dyDescent="0.2"/>
    <row r="31608" hidden="1" x14ac:dyDescent="0.2"/>
    <row r="31609" hidden="1" x14ac:dyDescent="0.2"/>
    <row r="31610" hidden="1" x14ac:dyDescent="0.2"/>
    <row r="31611" hidden="1" x14ac:dyDescent="0.2"/>
    <row r="31612" hidden="1" x14ac:dyDescent="0.2"/>
    <row r="31613" hidden="1" x14ac:dyDescent="0.2"/>
    <row r="31614" hidden="1" x14ac:dyDescent="0.2"/>
    <row r="31615" hidden="1" x14ac:dyDescent="0.2"/>
    <row r="31616" hidden="1" x14ac:dyDescent="0.2"/>
    <row r="31617" hidden="1" x14ac:dyDescent="0.2"/>
    <row r="31618" hidden="1" x14ac:dyDescent="0.2"/>
    <row r="31619" hidden="1" x14ac:dyDescent="0.2"/>
    <row r="31620" hidden="1" x14ac:dyDescent="0.2"/>
    <row r="31621" hidden="1" x14ac:dyDescent="0.2"/>
    <row r="31622" hidden="1" x14ac:dyDescent="0.2"/>
    <row r="31623" hidden="1" x14ac:dyDescent="0.2"/>
    <row r="31624" hidden="1" x14ac:dyDescent="0.2"/>
    <row r="31625" hidden="1" x14ac:dyDescent="0.2"/>
    <row r="31626" hidden="1" x14ac:dyDescent="0.2"/>
    <row r="31627" hidden="1" x14ac:dyDescent="0.2"/>
    <row r="31628" hidden="1" x14ac:dyDescent="0.2"/>
    <row r="31629" hidden="1" x14ac:dyDescent="0.2"/>
    <row r="31630" hidden="1" x14ac:dyDescent="0.2"/>
    <row r="31631" hidden="1" x14ac:dyDescent="0.2"/>
    <row r="31632" hidden="1" x14ac:dyDescent="0.2"/>
    <row r="31633" hidden="1" x14ac:dyDescent="0.2"/>
    <row r="31634" hidden="1" x14ac:dyDescent="0.2"/>
    <row r="31635" hidden="1" x14ac:dyDescent="0.2"/>
    <row r="31636" hidden="1" x14ac:dyDescent="0.2"/>
    <row r="31637" hidden="1" x14ac:dyDescent="0.2"/>
    <row r="31638" hidden="1" x14ac:dyDescent="0.2"/>
    <row r="31639" hidden="1" x14ac:dyDescent="0.2"/>
    <row r="31640" hidden="1" x14ac:dyDescent="0.2"/>
    <row r="31641" hidden="1" x14ac:dyDescent="0.2"/>
    <row r="31642" hidden="1" x14ac:dyDescent="0.2"/>
    <row r="31643" hidden="1" x14ac:dyDescent="0.2"/>
    <row r="31644" hidden="1" x14ac:dyDescent="0.2"/>
    <row r="31645" hidden="1" x14ac:dyDescent="0.2"/>
    <row r="31646" hidden="1" x14ac:dyDescent="0.2"/>
    <row r="31647" hidden="1" x14ac:dyDescent="0.2"/>
    <row r="31648" hidden="1" x14ac:dyDescent="0.2"/>
    <row r="31649" hidden="1" x14ac:dyDescent="0.2"/>
    <row r="31650" hidden="1" x14ac:dyDescent="0.2"/>
    <row r="31651" hidden="1" x14ac:dyDescent="0.2"/>
    <row r="31652" hidden="1" x14ac:dyDescent="0.2"/>
    <row r="31653" hidden="1" x14ac:dyDescent="0.2"/>
    <row r="31654" hidden="1" x14ac:dyDescent="0.2"/>
    <row r="31655" hidden="1" x14ac:dyDescent="0.2"/>
    <row r="31656" hidden="1" x14ac:dyDescent="0.2"/>
    <row r="31657" hidden="1" x14ac:dyDescent="0.2"/>
    <row r="31658" hidden="1" x14ac:dyDescent="0.2"/>
    <row r="31659" hidden="1" x14ac:dyDescent="0.2"/>
    <row r="31660" hidden="1" x14ac:dyDescent="0.2"/>
    <row r="31661" hidden="1" x14ac:dyDescent="0.2"/>
    <row r="31662" hidden="1" x14ac:dyDescent="0.2"/>
    <row r="31663" hidden="1" x14ac:dyDescent="0.2"/>
    <row r="31664" hidden="1" x14ac:dyDescent="0.2"/>
    <row r="31665" hidden="1" x14ac:dyDescent="0.2"/>
    <row r="31666" hidden="1" x14ac:dyDescent="0.2"/>
    <row r="31667" hidden="1" x14ac:dyDescent="0.2"/>
    <row r="31668" hidden="1" x14ac:dyDescent="0.2"/>
    <row r="31669" hidden="1" x14ac:dyDescent="0.2"/>
    <row r="31670" hidden="1" x14ac:dyDescent="0.2"/>
    <row r="31671" hidden="1" x14ac:dyDescent="0.2"/>
    <row r="31672" hidden="1" x14ac:dyDescent="0.2"/>
    <row r="31673" hidden="1" x14ac:dyDescent="0.2"/>
    <row r="31674" hidden="1" x14ac:dyDescent="0.2"/>
    <row r="31675" hidden="1" x14ac:dyDescent="0.2"/>
    <row r="31676" hidden="1" x14ac:dyDescent="0.2"/>
    <row r="31677" hidden="1" x14ac:dyDescent="0.2"/>
    <row r="31678" hidden="1" x14ac:dyDescent="0.2"/>
    <row r="31679" hidden="1" x14ac:dyDescent="0.2"/>
    <row r="31680" hidden="1" x14ac:dyDescent="0.2"/>
    <row r="31681" hidden="1" x14ac:dyDescent="0.2"/>
    <row r="31682" hidden="1" x14ac:dyDescent="0.2"/>
    <row r="31683" hidden="1" x14ac:dyDescent="0.2"/>
    <row r="31684" hidden="1" x14ac:dyDescent="0.2"/>
    <row r="31685" hidden="1" x14ac:dyDescent="0.2"/>
    <row r="31686" hidden="1" x14ac:dyDescent="0.2"/>
    <row r="31687" hidden="1" x14ac:dyDescent="0.2"/>
    <row r="31688" hidden="1" x14ac:dyDescent="0.2"/>
    <row r="31689" hidden="1" x14ac:dyDescent="0.2"/>
    <row r="31690" hidden="1" x14ac:dyDescent="0.2"/>
    <row r="31691" hidden="1" x14ac:dyDescent="0.2"/>
    <row r="31692" hidden="1" x14ac:dyDescent="0.2"/>
    <row r="31693" hidden="1" x14ac:dyDescent="0.2"/>
    <row r="31694" hidden="1" x14ac:dyDescent="0.2"/>
    <row r="31695" hidden="1" x14ac:dyDescent="0.2"/>
    <row r="31696" hidden="1" x14ac:dyDescent="0.2"/>
    <row r="31697" hidden="1" x14ac:dyDescent="0.2"/>
    <row r="31698" hidden="1" x14ac:dyDescent="0.2"/>
    <row r="31699" hidden="1" x14ac:dyDescent="0.2"/>
    <row r="31700" hidden="1" x14ac:dyDescent="0.2"/>
    <row r="31701" hidden="1" x14ac:dyDescent="0.2"/>
    <row r="31702" hidden="1" x14ac:dyDescent="0.2"/>
    <row r="31703" hidden="1" x14ac:dyDescent="0.2"/>
    <row r="31704" hidden="1" x14ac:dyDescent="0.2"/>
    <row r="31705" hidden="1" x14ac:dyDescent="0.2"/>
    <row r="31706" hidden="1" x14ac:dyDescent="0.2"/>
    <row r="31707" hidden="1" x14ac:dyDescent="0.2"/>
    <row r="31708" hidden="1" x14ac:dyDescent="0.2"/>
    <row r="31709" hidden="1" x14ac:dyDescent="0.2"/>
    <row r="31710" hidden="1" x14ac:dyDescent="0.2"/>
    <row r="31711" hidden="1" x14ac:dyDescent="0.2"/>
    <row r="31712" hidden="1" x14ac:dyDescent="0.2"/>
    <row r="31713" hidden="1" x14ac:dyDescent="0.2"/>
    <row r="31714" hidden="1" x14ac:dyDescent="0.2"/>
    <row r="31715" hidden="1" x14ac:dyDescent="0.2"/>
    <row r="31716" hidden="1" x14ac:dyDescent="0.2"/>
    <row r="31717" hidden="1" x14ac:dyDescent="0.2"/>
    <row r="31718" hidden="1" x14ac:dyDescent="0.2"/>
    <row r="31719" hidden="1" x14ac:dyDescent="0.2"/>
    <row r="31720" hidden="1" x14ac:dyDescent="0.2"/>
    <row r="31721" hidden="1" x14ac:dyDescent="0.2"/>
    <row r="31722" hidden="1" x14ac:dyDescent="0.2"/>
    <row r="31723" hidden="1" x14ac:dyDescent="0.2"/>
    <row r="31724" hidden="1" x14ac:dyDescent="0.2"/>
    <row r="31725" hidden="1" x14ac:dyDescent="0.2"/>
    <row r="31726" hidden="1" x14ac:dyDescent="0.2"/>
    <row r="31727" hidden="1" x14ac:dyDescent="0.2"/>
    <row r="31728" hidden="1" x14ac:dyDescent="0.2"/>
    <row r="31729" hidden="1" x14ac:dyDescent="0.2"/>
    <row r="31730" hidden="1" x14ac:dyDescent="0.2"/>
    <row r="31731" hidden="1" x14ac:dyDescent="0.2"/>
    <row r="31732" hidden="1" x14ac:dyDescent="0.2"/>
    <row r="31733" hidden="1" x14ac:dyDescent="0.2"/>
    <row r="31734" hidden="1" x14ac:dyDescent="0.2"/>
    <row r="31735" hidden="1" x14ac:dyDescent="0.2"/>
    <row r="31736" hidden="1" x14ac:dyDescent="0.2"/>
    <row r="31737" hidden="1" x14ac:dyDescent="0.2"/>
    <row r="31738" hidden="1" x14ac:dyDescent="0.2"/>
    <row r="31739" hidden="1" x14ac:dyDescent="0.2"/>
    <row r="31740" hidden="1" x14ac:dyDescent="0.2"/>
    <row r="31741" hidden="1" x14ac:dyDescent="0.2"/>
    <row r="31742" hidden="1" x14ac:dyDescent="0.2"/>
    <row r="31743" hidden="1" x14ac:dyDescent="0.2"/>
    <row r="31744" hidden="1" x14ac:dyDescent="0.2"/>
    <row r="31745" hidden="1" x14ac:dyDescent="0.2"/>
    <row r="31746" hidden="1" x14ac:dyDescent="0.2"/>
    <row r="31747" hidden="1" x14ac:dyDescent="0.2"/>
    <row r="31748" hidden="1" x14ac:dyDescent="0.2"/>
    <row r="31749" hidden="1" x14ac:dyDescent="0.2"/>
    <row r="31750" hidden="1" x14ac:dyDescent="0.2"/>
    <row r="31751" hidden="1" x14ac:dyDescent="0.2"/>
    <row r="31752" hidden="1" x14ac:dyDescent="0.2"/>
    <row r="31753" hidden="1" x14ac:dyDescent="0.2"/>
    <row r="31754" hidden="1" x14ac:dyDescent="0.2"/>
    <row r="31755" hidden="1" x14ac:dyDescent="0.2"/>
    <row r="31756" hidden="1" x14ac:dyDescent="0.2"/>
    <row r="31757" hidden="1" x14ac:dyDescent="0.2"/>
    <row r="31758" hidden="1" x14ac:dyDescent="0.2"/>
    <row r="31759" hidden="1" x14ac:dyDescent="0.2"/>
    <row r="31760" hidden="1" x14ac:dyDescent="0.2"/>
    <row r="31761" hidden="1" x14ac:dyDescent="0.2"/>
    <row r="31762" hidden="1" x14ac:dyDescent="0.2"/>
    <row r="31763" hidden="1" x14ac:dyDescent="0.2"/>
    <row r="31764" hidden="1" x14ac:dyDescent="0.2"/>
    <row r="31765" hidden="1" x14ac:dyDescent="0.2"/>
    <row r="31766" hidden="1" x14ac:dyDescent="0.2"/>
    <row r="31767" hidden="1" x14ac:dyDescent="0.2"/>
    <row r="31768" hidden="1" x14ac:dyDescent="0.2"/>
    <row r="31769" hidden="1" x14ac:dyDescent="0.2"/>
    <row r="31770" hidden="1" x14ac:dyDescent="0.2"/>
    <row r="31771" hidden="1" x14ac:dyDescent="0.2"/>
    <row r="31772" hidden="1" x14ac:dyDescent="0.2"/>
    <row r="31773" hidden="1" x14ac:dyDescent="0.2"/>
    <row r="31774" hidden="1" x14ac:dyDescent="0.2"/>
    <row r="31775" hidden="1" x14ac:dyDescent="0.2"/>
    <row r="31776" hidden="1" x14ac:dyDescent="0.2"/>
    <row r="31777" hidden="1" x14ac:dyDescent="0.2"/>
    <row r="31778" hidden="1" x14ac:dyDescent="0.2"/>
    <row r="31779" hidden="1" x14ac:dyDescent="0.2"/>
    <row r="31780" hidden="1" x14ac:dyDescent="0.2"/>
    <row r="31781" hidden="1" x14ac:dyDescent="0.2"/>
    <row r="31782" hidden="1" x14ac:dyDescent="0.2"/>
    <row r="31783" hidden="1" x14ac:dyDescent="0.2"/>
    <row r="31784" hidden="1" x14ac:dyDescent="0.2"/>
    <row r="31785" hidden="1" x14ac:dyDescent="0.2"/>
    <row r="31786" hidden="1" x14ac:dyDescent="0.2"/>
    <row r="31787" hidden="1" x14ac:dyDescent="0.2"/>
    <row r="31788" hidden="1" x14ac:dyDescent="0.2"/>
    <row r="31789" hidden="1" x14ac:dyDescent="0.2"/>
    <row r="31790" hidden="1" x14ac:dyDescent="0.2"/>
    <row r="31791" hidden="1" x14ac:dyDescent="0.2"/>
    <row r="31792" hidden="1" x14ac:dyDescent="0.2"/>
    <row r="31793" hidden="1" x14ac:dyDescent="0.2"/>
    <row r="31794" hidden="1" x14ac:dyDescent="0.2"/>
    <row r="31795" hidden="1" x14ac:dyDescent="0.2"/>
    <row r="31796" hidden="1" x14ac:dyDescent="0.2"/>
    <row r="31797" hidden="1" x14ac:dyDescent="0.2"/>
    <row r="31798" hidden="1" x14ac:dyDescent="0.2"/>
    <row r="31799" hidden="1" x14ac:dyDescent="0.2"/>
    <row r="31800" hidden="1" x14ac:dyDescent="0.2"/>
    <row r="31801" hidden="1" x14ac:dyDescent="0.2"/>
    <row r="31802" hidden="1" x14ac:dyDescent="0.2"/>
    <row r="31803" hidden="1" x14ac:dyDescent="0.2"/>
    <row r="31804" hidden="1" x14ac:dyDescent="0.2"/>
    <row r="31805" hidden="1" x14ac:dyDescent="0.2"/>
    <row r="31806" hidden="1" x14ac:dyDescent="0.2"/>
    <row r="31807" hidden="1" x14ac:dyDescent="0.2"/>
    <row r="31808" hidden="1" x14ac:dyDescent="0.2"/>
    <row r="31809" hidden="1" x14ac:dyDescent="0.2"/>
    <row r="31810" hidden="1" x14ac:dyDescent="0.2"/>
    <row r="31811" hidden="1" x14ac:dyDescent="0.2"/>
    <row r="31812" hidden="1" x14ac:dyDescent="0.2"/>
    <row r="31813" hidden="1" x14ac:dyDescent="0.2"/>
    <row r="31814" hidden="1" x14ac:dyDescent="0.2"/>
    <row r="31815" hidden="1" x14ac:dyDescent="0.2"/>
    <row r="31816" hidden="1" x14ac:dyDescent="0.2"/>
    <row r="31817" hidden="1" x14ac:dyDescent="0.2"/>
    <row r="31818" hidden="1" x14ac:dyDescent="0.2"/>
    <row r="31819" hidden="1" x14ac:dyDescent="0.2"/>
    <row r="31820" hidden="1" x14ac:dyDescent="0.2"/>
    <row r="31821" hidden="1" x14ac:dyDescent="0.2"/>
    <row r="31822" hidden="1" x14ac:dyDescent="0.2"/>
    <row r="31823" hidden="1" x14ac:dyDescent="0.2"/>
    <row r="31824" hidden="1" x14ac:dyDescent="0.2"/>
    <row r="31825" hidden="1" x14ac:dyDescent="0.2"/>
    <row r="31826" hidden="1" x14ac:dyDescent="0.2"/>
    <row r="31827" hidden="1" x14ac:dyDescent="0.2"/>
    <row r="31828" hidden="1" x14ac:dyDescent="0.2"/>
    <row r="31829" hidden="1" x14ac:dyDescent="0.2"/>
    <row r="31830" hidden="1" x14ac:dyDescent="0.2"/>
    <row r="31831" hidden="1" x14ac:dyDescent="0.2"/>
    <row r="31832" hidden="1" x14ac:dyDescent="0.2"/>
    <row r="31833" hidden="1" x14ac:dyDescent="0.2"/>
    <row r="31834" hidden="1" x14ac:dyDescent="0.2"/>
    <row r="31835" hidden="1" x14ac:dyDescent="0.2"/>
    <row r="31836" hidden="1" x14ac:dyDescent="0.2"/>
    <row r="31837" hidden="1" x14ac:dyDescent="0.2"/>
    <row r="31838" hidden="1" x14ac:dyDescent="0.2"/>
    <row r="31839" hidden="1" x14ac:dyDescent="0.2"/>
    <row r="31840" hidden="1" x14ac:dyDescent="0.2"/>
    <row r="31841" hidden="1" x14ac:dyDescent="0.2"/>
    <row r="31842" hidden="1" x14ac:dyDescent="0.2"/>
    <row r="31843" hidden="1" x14ac:dyDescent="0.2"/>
    <row r="31844" hidden="1" x14ac:dyDescent="0.2"/>
    <row r="31845" hidden="1" x14ac:dyDescent="0.2"/>
    <row r="31846" hidden="1" x14ac:dyDescent="0.2"/>
    <row r="31847" hidden="1" x14ac:dyDescent="0.2"/>
    <row r="31848" hidden="1" x14ac:dyDescent="0.2"/>
    <row r="31849" hidden="1" x14ac:dyDescent="0.2"/>
    <row r="31850" hidden="1" x14ac:dyDescent="0.2"/>
    <row r="31851" hidden="1" x14ac:dyDescent="0.2"/>
    <row r="31852" hidden="1" x14ac:dyDescent="0.2"/>
    <row r="31853" hidden="1" x14ac:dyDescent="0.2"/>
    <row r="31854" hidden="1" x14ac:dyDescent="0.2"/>
    <row r="31855" hidden="1" x14ac:dyDescent="0.2"/>
    <row r="31856" hidden="1" x14ac:dyDescent="0.2"/>
    <row r="31857" hidden="1" x14ac:dyDescent="0.2"/>
    <row r="31858" hidden="1" x14ac:dyDescent="0.2"/>
    <row r="31859" hidden="1" x14ac:dyDescent="0.2"/>
    <row r="31860" hidden="1" x14ac:dyDescent="0.2"/>
    <row r="31861" hidden="1" x14ac:dyDescent="0.2"/>
    <row r="31862" hidden="1" x14ac:dyDescent="0.2"/>
    <row r="31863" hidden="1" x14ac:dyDescent="0.2"/>
    <row r="31864" hidden="1" x14ac:dyDescent="0.2"/>
    <row r="31865" hidden="1" x14ac:dyDescent="0.2"/>
    <row r="31866" hidden="1" x14ac:dyDescent="0.2"/>
    <row r="31867" hidden="1" x14ac:dyDescent="0.2"/>
    <row r="31868" hidden="1" x14ac:dyDescent="0.2"/>
    <row r="31869" hidden="1" x14ac:dyDescent="0.2"/>
    <row r="31870" hidden="1" x14ac:dyDescent="0.2"/>
    <row r="31871" hidden="1" x14ac:dyDescent="0.2"/>
    <row r="31872" hidden="1" x14ac:dyDescent="0.2"/>
    <row r="31873" hidden="1" x14ac:dyDescent="0.2"/>
    <row r="31874" hidden="1" x14ac:dyDescent="0.2"/>
    <row r="31875" hidden="1" x14ac:dyDescent="0.2"/>
    <row r="31876" hidden="1" x14ac:dyDescent="0.2"/>
    <row r="31877" hidden="1" x14ac:dyDescent="0.2"/>
    <row r="31878" hidden="1" x14ac:dyDescent="0.2"/>
    <row r="31879" hidden="1" x14ac:dyDescent="0.2"/>
    <row r="31880" hidden="1" x14ac:dyDescent="0.2"/>
    <row r="31881" hidden="1" x14ac:dyDescent="0.2"/>
    <row r="31882" hidden="1" x14ac:dyDescent="0.2"/>
    <row r="31883" hidden="1" x14ac:dyDescent="0.2"/>
    <row r="31884" hidden="1" x14ac:dyDescent="0.2"/>
    <row r="31885" hidden="1" x14ac:dyDescent="0.2"/>
    <row r="31886" hidden="1" x14ac:dyDescent="0.2"/>
    <row r="31887" hidden="1" x14ac:dyDescent="0.2"/>
    <row r="31888" hidden="1" x14ac:dyDescent="0.2"/>
    <row r="31889" hidden="1" x14ac:dyDescent="0.2"/>
    <row r="31890" hidden="1" x14ac:dyDescent="0.2"/>
    <row r="31891" hidden="1" x14ac:dyDescent="0.2"/>
    <row r="31892" hidden="1" x14ac:dyDescent="0.2"/>
    <row r="31893" hidden="1" x14ac:dyDescent="0.2"/>
    <row r="31894" hidden="1" x14ac:dyDescent="0.2"/>
    <row r="31895" hidden="1" x14ac:dyDescent="0.2"/>
    <row r="31896" hidden="1" x14ac:dyDescent="0.2"/>
    <row r="31897" hidden="1" x14ac:dyDescent="0.2"/>
    <row r="31898" hidden="1" x14ac:dyDescent="0.2"/>
    <row r="31899" hidden="1" x14ac:dyDescent="0.2"/>
    <row r="31900" hidden="1" x14ac:dyDescent="0.2"/>
    <row r="31901" hidden="1" x14ac:dyDescent="0.2"/>
    <row r="31902" hidden="1" x14ac:dyDescent="0.2"/>
    <row r="31903" hidden="1" x14ac:dyDescent="0.2"/>
    <row r="31904" hidden="1" x14ac:dyDescent="0.2"/>
    <row r="31905" hidden="1" x14ac:dyDescent="0.2"/>
    <row r="31906" hidden="1" x14ac:dyDescent="0.2"/>
    <row r="31907" hidden="1" x14ac:dyDescent="0.2"/>
    <row r="31908" hidden="1" x14ac:dyDescent="0.2"/>
    <row r="31909" hidden="1" x14ac:dyDescent="0.2"/>
    <row r="31910" hidden="1" x14ac:dyDescent="0.2"/>
    <row r="31911" hidden="1" x14ac:dyDescent="0.2"/>
    <row r="31912" hidden="1" x14ac:dyDescent="0.2"/>
    <row r="31913" hidden="1" x14ac:dyDescent="0.2"/>
    <row r="31914" hidden="1" x14ac:dyDescent="0.2"/>
    <row r="31915" hidden="1" x14ac:dyDescent="0.2"/>
    <row r="31916" hidden="1" x14ac:dyDescent="0.2"/>
    <row r="31917" hidden="1" x14ac:dyDescent="0.2"/>
    <row r="31918" hidden="1" x14ac:dyDescent="0.2"/>
    <row r="31919" hidden="1" x14ac:dyDescent="0.2"/>
    <row r="31920" hidden="1" x14ac:dyDescent="0.2"/>
    <row r="31921" hidden="1" x14ac:dyDescent="0.2"/>
    <row r="31922" hidden="1" x14ac:dyDescent="0.2"/>
    <row r="31923" hidden="1" x14ac:dyDescent="0.2"/>
    <row r="31924" hidden="1" x14ac:dyDescent="0.2"/>
    <row r="31925" hidden="1" x14ac:dyDescent="0.2"/>
    <row r="31926" hidden="1" x14ac:dyDescent="0.2"/>
    <row r="31927" hidden="1" x14ac:dyDescent="0.2"/>
    <row r="31928" hidden="1" x14ac:dyDescent="0.2"/>
    <row r="31929" hidden="1" x14ac:dyDescent="0.2"/>
    <row r="31930" hidden="1" x14ac:dyDescent="0.2"/>
    <row r="31931" hidden="1" x14ac:dyDescent="0.2"/>
    <row r="31932" hidden="1" x14ac:dyDescent="0.2"/>
    <row r="31933" hidden="1" x14ac:dyDescent="0.2"/>
    <row r="31934" hidden="1" x14ac:dyDescent="0.2"/>
    <row r="31935" hidden="1" x14ac:dyDescent="0.2"/>
    <row r="31936" hidden="1" x14ac:dyDescent="0.2"/>
    <row r="31937" hidden="1" x14ac:dyDescent="0.2"/>
    <row r="31938" hidden="1" x14ac:dyDescent="0.2"/>
    <row r="31939" hidden="1" x14ac:dyDescent="0.2"/>
    <row r="31940" hidden="1" x14ac:dyDescent="0.2"/>
    <row r="31941" hidden="1" x14ac:dyDescent="0.2"/>
    <row r="31942" hidden="1" x14ac:dyDescent="0.2"/>
    <row r="31943" hidden="1" x14ac:dyDescent="0.2"/>
    <row r="31944" hidden="1" x14ac:dyDescent="0.2"/>
    <row r="31945" hidden="1" x14ac:dyDescent="0.2"/>
    <row r="31946" hidden="1" x14ac:dyDescent="0.2"/>
    <row r="31947" hidden="1" x14ac:dyDescent="0.2"/>
    <row r="31948" hidden="1" x14ac:dyDescent="0.2"/>
    <row r="31949" hidden="1" x14ac:dyDescent="0.2"/>
    <row r="31950" hidden="1" x14ac:dyDescent="0.2"/>
    <row r="31951" hidden="1" x14ac:dyDescent="0.2"/>
    <row r="31952" hidden="1" x14ac:dyDescent="0.2"/>
    <row r="31953" hidden="1" x14ac:dyDescent="0.2"/>
    <row r="31954" hidden="1" x14ac:dyDescent="0.2"/>
    <row r="31955" hidden="1" x14ac:dyDescent="0.2"/>
    <row r="31956" hidden="1" x14ac:dyDescent="0.2"/>
    <row r="31957" hidden="1" x14ac:dyDescent="0.2"/>
    <row r="31958" hidden="1" x14ac:dyDescent="0.2"/>
    <row r="31959" hidden="1" x14ac:dyDescent="0.2"/>
    <row r="31960" hidden="1" x14ac:dyDescent="0.2"/>
    <row r="31961" hidden="1" x14ac:dyDescent="0.2"/>
    <row r="31962" hidden="1" x14ac:dyDescent="0.2"/>
    <row r="31963" hidden="1" x14ac:dyDescent="0.2"/>
    <row r="31964" hidden="1" x14ac:dyDescent="0.2"/>
    <row r="31965" hidden="1" x14ac:dyDescent="0.2"/>
    <row r="31966" hidden="1" x14ac:dyDescent="0.2"/>
    <row r="31967" hidden="1" x14ac:dyDescent="0.2"/>
    <row r="31968" hidden="1" x14ac:dyDescent="0.2"/>
    <row r="31969" hidden="1" x14ac:dyDescent="0.2"/>
    <row r="31970" hidden="1" x14ac:dyDescent="0.2"/>
    <row r="31971" hidden="1" x14ac:dyDescent="0.2"/>
    <row r="31972" hidden="1" x14ac:dyDescent="0.2"/>
    <row r="31973" hidden="1" x14ac:dyDescent="0.2"/>
    <row r="31974" hidden="1" x14ac:dyDescent="0.2"/>
    <row r="31975" hidden="1" x14ac:dyDescent="0.2"/>
    <row r="31976" hidden="1" x14ac:dyDescent="0.2"/>
    <row r="31977" hidden="1" x14ac:dyDescent="0.2"/>
    <row r="31978" hidden="1" x14ac:dyDescent="0.2"/>
    <row r="31979" hidden="1" x14ac:dyDescent="0.2"/>
    <row r="31980" hidden="1" x14ac:dyDescent="0.2"/>
    <row r="31981" hidden="1" x14ac:dyDescent="0.2"/>
    <row r="31982" hidden="1" x14ac:dyDescent="0.2"/>
    <row r="31983" hidden="1" x14ac:dyDescent="0.2"/>
    <row r="31984" hidden="1" x14ac:dyDescent="0.2"/>
    <row r="31985" hidden="1" x14ac:dyDescent="0.2"/>
    <row r="31986" hidden="1" x14ac:dyDescent="0.2"/>
    <row r="31987" hidden="1" x14ac:dyDescent="0.2"/>
    <row r="31988" hidden="1" x14ac:dyDescent="0.2"/>
    <row r="31989" hidden="1" x14ac:dyDescent="0.2"/>
    <row r="31990" hidden="1" x14ac:dyDescent="0.2"/>
    <row r="31991" hidden="1" x14ac:dyDescent="0.2"/>
    <row r="31992" hidden="1" x14ac:dyDescent="0.2"/>
    <row r="31993" hidden="1" x14ac:dyDescent="0.2"/>
    <row r="31994" hidden="1" x14ac:dyDescent="0.2"/>
    <row r="31995" hidden="1" x14ac:dyDescent="0.2"/>
    <row r="31996" hidden="1" x14ac:dyDescent="0.2"/>
    <row r="31997" hidden="1" x14ac:dyDescent="0.2"/>
    <row r="31998" hidden="1" x14ac:dyDescent="0.2"/>
    <row r="31999" hidden="1" x14ac:dyDescent="0.2"/>
    <row r="32000" hidden="1" x14ac:dyDescent="0.2"/>
    <row r="32001" hidden="1" x14ac:dyDescent="0.2"/>
    <row r="32002" hidden="1" x14ac:dyDescent="0.2"/>
    <row r="32003" hidden="1" x14ac:dyDescent="0.2"/>
    <row r="32004" hidden="1" x14ac:dyDescent="0.2"/>
    <row r="32005" hidden="1" x14ac:dyDescent="0.2"/>
    <row r="32006" hidden="1" x14ac:dyDescent="0.2"/>
    <row r="32007" hidden="1" x14ac:dyDescent="0.2"/>
    <row r="32008" hidden="1" x14ac:dyDescent="0.2"/>
    <row r="32009" hidden="1" x14ac:dyDescent="0.2"/>
    <row r="32010" hidden="1" x14ac:dyDescent="0.2"/>
    <row r="32011" hidden="1" x14ac:dyDescent="0.2"/>
    <row r="32012" hidden="1" x14ac:dyDescent="0.2"/>
    <row r="32013" hidden="1" x14ac:dyDescent="0.2"/>
    <row r="32014" hidden="1" x14ac:dyDescent="0.2"/>
    <row r="32015" hidden="1" x14ac:dyDescent="0.2"/>
    <row r="32016" hidden="1" x14ac:dyDescent="0.2"/>
    <row r="32017" hidden="1" x14ac:dyDescent="0.2"/>
    <row r="32018" hidden="1" x14ac:dyDescent="0.2"/>
    <row r="32019" hidden="1" x14ac:dyDescent="0.2"/>
    <row r="32020" hidden="1" x14ac:dyDescent="0.2"/>
    <row r="32021" hidden="1" x14ac:dyDescent="0.2"/>
    <row r="32022" hidden="1" x14ac:dyDescent="0.2"/>
    <row r="32023" hidden="1" x14ac:dyDescent="0.2"/>
    <row r="32024" hidden="1" x14ac:dyDescent="0.2"/>
    <row r="32025" hidden="1" x14ac:dyDescent="0.2"/>
    <row r="32026" hidden="1" x14ac:dyDescent="0.2"/>
    <row r="32027" hidden="1" x14ac:dyDescent="0.2"/>
    <row r="32028" hidden="1" x14ac:dyDescent="0.2"/>
    <row r="32029" hidden="1" x14ac:dyDescent="0.2"/>
    <row r="32030" hidden="1" x14ac:dyDescent="0.2"/>
    <row r="32031" hidden="1" x14ac:dyDescent="0.2"/>
    <row r="32032" hidden="1" x14ac:dyDescent="0.2"/>
    <row r="32033" hidden="1" x14ac:dyDescent="0.2"/>
    <row r="32034" hidden="1" x14ac:dyDescent="0.2"/>
    <row r="32035" hidden="1" x14ac:dyDescent="0.2"/>
    <row r="32036" hidden="1" x14ac:dyDescent="0.2"/>
    <row r="32037" hidden="1" x14ac:dyDescent="0.2"/>
    <row r="32038" hidden="1" x14ac:dyDescent="0.2"/>
    <row r="32039" hidden="1" x14ac:dyDescent="0.2"/>
    <row r="32040" hidden="1" x14ac:dyDescent="0.2"/>
    <row r="32041" hidden="1" x14ac:dyDescent="0.2"/>
    <row r="32042" hidden="1" x14ac:dyDescent="0.2"/>
    <row r="32043" hidden="1" x14ac:dyDescent="0.2"/>
    <row r="32044" hidden="1" x14ac:dyDescent="0.2"/>
    <row r="32045" hidden="1" x14ac:dyDescent="0.2"/>
    <row r="32046" hidden="1" x14ac:dyDescent="0.2"/>
    <row r="32047" hidden="1" x14ac:dyDescent="0.2"/>
    <row r="32048" hidden="1" x14ac:dyDescent="0.2"/>
    <row r="32049" hidden="1" x14ac:dyDescent="0.2"/>
    <row r="32050" hidden="1" x14ac:dyDescent="0.2"/>
    <row r="32051" hidden="1" x14ac:dyDescent="0.2"/>
    <row r="32052" hidden="1" x14ac:dyDescent="0.2"/>
    <row r="32053" hidden="1" x14ac:dyDescent="0.2"/>
    <row r="32054" hidden="1" x14ac:dyDescent="0.2"/>
    <row r="32055" hidden="1" x14ac:dyDescent="0.2"/>
    <row r="32056" hidden="1" x14ac:dyDescent="0.2"/>
    <row r="32057" hidden="1" x14ac:dyDescent="0.2"/>
    <row r="32058" hidden="1" x14ac:dyDescent="0.2"/>
    <row r="32059" hidden="1" x14ac:dyDescent="0.2"/>
    <row r="32060" hidden="1" x14ac:dyDescent="0.2"/>
    <row r="32061" hidden="1" x14ac:dyDescent="0.2"/>
    <row r="32062" hidden="1" x14ac:dyDescent="0.2"/>
    <row r="32063" hidden="1" x14ac:dyDescent="0.2"/>
    <row r="32064" hidden="1" x14ac:dyDescent="0.2"/>
    <row r="32065" hidden="1" x14ac:dyDescent="0.2"/>
    <row r="32066" hidden="1" x14ac:dyDescent="0.2"/>
    <row r="32067" hidden="1" x14ac:dyDescent="0.2"/>
    <row r="32068" hidden="1" x14ac:dyDescent="0.2"/>
    <row r="32069" hidden="1" x14ac:dyDescent="0.2"/>
    <row r="32070" hidden="1" x14ac:dyDescent="0.2"/>
    <row r="32071" hidden="1" x14ac:dyDescent="0.2"/>
    <row r="32072" hidden="1" x14ac:dyDescent="0.2"/>
    <row r="32073" hidden="1" x14ac:dyDescent="0.2"/>
    <row r="32074" hidden="1" x14ac:dyDescent="0.2"/>
    <row r="32075" hidden="1" x14ac:dyDescent="0.2"/>
    <row r="32076" hidden="1" x14ac:dyDescent="0.2"/>
    <row r="32077" hidden="1" x14ac:dyDescent="0.2"/>
    <row r="32078" hidden="1" x14ac:dyDescent="0.2"/>
    <row r="32079" hidden="1" x14ac:dyDescent="0.2"/>
    <row r="32080" hidden="1" x14ac:dyDescent="0.2"/>
    <row r="32081" hidden="1" x14ac:dyDescent="0.2"/>
    <row r="32082" hidden="1" x14ac:dyDescent="0.2"/>
    <row r="32083" hidden="1" x14ac:dyDescent="0.2"/>
    <row r="32084" hidden="1" x14ac:dyDescent="0.2"/>
    <row r="32085" hidden="1" x14ac:dyDescent="0.2"/>
    <row r="32086" hidden="1" x14ac:dyDescent="0.2"/>
    <row r="32087" hidden="1" x14ac:dyDescent="0.2"/>
    <row r="32088" hidden="1" x14ac:dyDescent="0.2"/>
    <row r="32089" hidden="1" x14ac:dyDescent="0.2"/>
    <row r="32090" hidden="1" x14ac:dyDescent="0.2"/>
    <row r="32091" hidden="1" x14ac:dyDescent="0.2"/>
    <row r="32092" hidden="1" x14ac:dyDescent="0.2"/>
    <row r="32093" hidden="1" x14ac:dyDescent="0.2"/>
    <row r="32094" hidden="1" x14ac:dyDescent="0.2"/>
    <row r="32095" hidden="1" x14ac:dyDescent="0.2"/>
    <row r="32096" hidden="1" x14ac:dyDescent="0.2"/>
    <row r="32097" hidden="1" x14ac:dyDescent="0.2"/>
    <row r="32098" hidden="1" x14ac:dyDescent="0.2"/>
    <row r="32099" hidden="1" x14ac:dyDescent="0.2"/>
    <row r="32100" hidden="1" x14ac:dyDescent="0.2"/>
    <row r="32101" hidden="1" x14ac:dyDescent="0.2"/>
    <row r="32102" hidden="1" x14ac:dyDescent="0.2"/>
    <row r="32103" hidden="1" x14ac:dyDescent="0.2"/>
    <row r="32104" hidden="1" x14ac:dyDescent="0.2"/>
    <row r="32105" hidden="1" x14ac:dyDescent="0.2"/>
    <row r="32106" hidden="1" x14ac:dyDescent="0.2"/>
    <row r="32107" hidden="1" x14ac:dyDescent="0.2"/>
    <row r="32108" hidden="1" x14ac:dyDescent="0.2"/>
    <row r="32109" hidden="1" x14ac:dyDescent="0.2"/>
    <row r="32110" hidden="1" x14ac:dyDescent="0.2"/>
    <row r="32111" hidden="1" x14ac:dyDescent="0.2"/>
    <row r="32112" hidden="1" x14ac:dyDescent="0.2"/>
    <row r="32113" hidden="1" x14ac:dyDescent="0.2"/>
    <row r="32114" hidden="1" x14ac:dyDescent="0.2"/>
    <row r="32115" hidden="1" x14ac:dyDescent="0.2"/>
    <row r="32116" hidden="1" x14ac:dyDescent="0.2"/>
    <row r="32117" hidden="1" x14ac:dyDescent="0.2"/>
    <row r="32118" hidden="1" x14ac:dyDescent="0.2"/>
    <row r="32119" hidden="1" x14ac:dyDescent="0.2"/>
    <row r="32120" hidden="1" x14ac:dyDescent="0.2"/>
    <row r="32121" hidden="1" x14ac:dyDescent="0.2"/>
    <row r="32122" hidden="1" x14ac:dyDescent="0.2"/>
    <row r="32123" hidden="1" x14ac:dyDescent="0.2"/>
    <row r="32124" hidden="1" x14ac:dyDescent="0.2"/>
    <row r="32125" hidden="1" x14ac:dyDescent="0.2"/>
    <row r="32126" hidden="1" x14ac:dyDescent="0.2"/>
    <row r="32127" hidden="1" x14ac:dyDescent="0.2"/>
    <row r="32128" hidden="1" x14ac:dyDescent="0.2"/>
    <row r="32129" hidden="1" x14ac:dyDescent="0.2"/>
    <row r="32130" hidden="1" x14ac:dyDescent="0.2"/>
    <row r="32131" hidden="1" x14ac:dyDescent="0.2"/>
    <row r="32132" hidden="1" x14ac:dyDescent="0.2"/>
    <row r="32133" hidden="1" x14ac:dyDescent="0.2"/>
    <row r="32134" hidden="1" x14ac:dyDescent="0.2"/>
    <row r="32135" hidden="1" x14ac:dyDescent="0.2"/>
    <row r="32136" hidden="1" x14ac:dyDescent="0.2"/>
    <row r="32137" hidden="1" x14ac:dyDescent="0.2"/>
    <row r="32138" hidden="1" x14ac:dyDescent="0.2"/>
    <row r="32139" hidden="1" x14ac:dyDescent="0.2"/>
    <row r="32140" hidden="1" x14ac:dyDescent="0.2"/>
    <row r="32141" hidden="1" x14ac:dyDescent="0.2"/>
    <row r="32142" hidden="1" x14ac:dyDescent="0.2"/>
    <row r="32143" hidden="1" x14ac:dyDescent="0.2"/>
    <row r="32144" hidden="1" x14ac:dyDescent="0.2"/>
    <row r="32145" hidden="1" x14ac:dyDescent="0.2"/>
    <row r="32146" hidden="1" x14ac:dyDescent="0.2"/>
    <row r="32147" hidden="1" x14ac:dyDescent="0.2"/>
    <row r="32148" hidden="1" x14ac:dyDescent="0.2"/>
    <row r="32149" hidden="1" x14ac:dyDescent="0.2"/>
    <row r="32150" hidden="1" x14ac:dyDescent="0.2"/>
    <row r="32151" hidden="1" x14ac:dyDescent="0.2"/>
    <row r="32152" hidden="1" x14ac:dyDescent="0.2"/>
    <row r="32153" hidden="1" x14ac:dyDescent="0.2"/>
    <row r="32154" hidden="1" x14ac:dyDescent="0.2"/>
    <row r="32155" hidden="1" x14ac:dyDescent="0.2"/>
    <row r="32156" hidden="1" x14ac:dyDescent="0.2"/>
    <row r="32157" hidden="1" x14ac:dyDescent="0.2"/>
    <row r="32158" hidden="1" x14ac:dyDescent="0.2"/>
    <row r="32159" hidden="1" x14ac:dyDescent="0.2"/>
    <row r="32160" hidden="1" x14ac:dyDescent="0.2"/>
    <row r="32161" hidden="1" x14ac:dyDescent="0.2"/>
    <row r="32162" hidden="1" x14ac:dyDescent="0.2"/>
    <row r="32163" hidden="1" x14ac:dyDescent="0.2"/>
    <row r="32164" hidden="1" x14ac:dyDescent="0.2"/>
    <row r="32165" hidden="1" x14ac:dyDescent="0.2"/>
    <row r="32166" hidden="1" x14ac:dyDescent="0.2"/>
    <row r="32167" hidden="1" x14ac:dyDescent="0.2"/>
    <row r="32168" hidden="1" x14ac:dyDescent="0.2"/>
    <row r="32169" hidden="1" x14ac:dyDescent="0.2"/>
    <row r="32170" hidden="1" x14ac:dyDescent="0.2"/>
    <row r="32171" hidden="1" x14ac:dyDescent="0.2"/>
    <row r="32172" hidden="1" x14ac:dyDescent="0.2"/>
    <row r="32173" hidden="1" x14ac:dyDescent="0.2"/>
    <row r="32174" hidden="1" x14ac:dyDescent="0.2"/>
    <row r="32175" hidden="1" x14ac:dyDescent="0.2"/>
    <row r="32176" hidden="1" x14ac:dyDescent="0.2"/>
    <row r="32177" hidden="1" x14ac:dyDescent="0.2"/>
    <row r="32178" hidden="1" x14ac:dyDescent="0.2"/>
    <row r="32179" hidden="1" x14ac:dyDescent="0.2"/>
    <row r="32180" hidden="1" x14ac:dyDescent="0.2"/>
    <row r="32181" hidden="1" x14ac:dyDescent="0.2"/>
    <row r="32182" hidden="1" x14ac:dyDescent="0.2"/>
    <row r="32183" hidden="1" x14ac:dyDescent="0.2"/>
    <row r="32184" hidden="1" x14ac:dyDescent="0.2"/>
    <row r="32185" hidden="1" x14ac:dyDescent="0.2"/>
    <row r="32186" hidden="1" x14ac:dyDescent="0.2"/>
    <row r="32187" hidden="1" x14ac:dyDescent="0.2"/>
    <row r="32188" hidden="1" x14ac:dyDescent="0.2"/>
    <row r="32189" hidden="1" x14ac:dyDescent="0.2"/>
    <row r="32190" hidden="1" x14ac:dyDescent="0.2"/>
    <row r="32191" hidden="1" x14ac:dyDescent="0.2"/>
    <row r="32192" hidden="1" x14ac:dyDescent="0.2"/>
    <row r="32193" hidden="1" x14ac:dyDescent="0.2"/>
    <row r="32194" hidden="1" x14ac:dyDescent="0.2"/>
    <row r="32195" hidden="1" x14ac:dyDescent="0.2"/>
    <row r="32196" hidden="1" x14ac:dyDescent="0.2"/>
    <row r="32197" hidden="1" x14ac:dyDescent="0.2"/>
    <row r="32198" hidden="1" x14ac:dyDescent="0.2"/>
    <row r="32199" hidden="1" x14ac:dyDescent="0.2"/>
    <row r="32200" hidden="1" x14ac:dyDescent="0.2"/>
    <row r="32201" hidden="1" x14ac:dyDescent="0.2"/>
    <row r="32202" hidden="1" x14ac:dyDescent="0.2"/>
    <row r="32203" hidden="1" x14ac:dyDescent="0.2"/>
    <row r="32204" hidden="1" x14ac:dyDescent="0.2"/>
    <row r="32205" hidden="1" x14ac:dyDescent="0.2"/>
    <row r="32206" hidden="1" x14ac:dyDescent="0.2"/>
    <row r="32207" hidden="1" x14ac:dyDescent="0.2"/>
    <row r="32208" hidden="1" x14ac:dyDescent="0.2"/>
    <row r="32209" hidden="1" x14ac:dyDescent="0.2"/>
    <row r="32210" hidden="1" x14ac:dyDescent="0.2"/>
    <row r="32211" hidden="1" x14ac:dyDescent="0.2"/>
    <row r="32212" hidden="1" x14ac:dyDescent="0.2"/>
    <row r="32213" hidden="1" x14ac:dyDescent="0.2"/>
    <row r="32214" hidden="1" x14ac:dyDescent="0.2"/>
    <row r="32215" hidden="1" x14ac:dyDescent="0.2"/>
    <row r="32216" hidden="1" x14ac:dyDescent="0.2"/>
    <row r="32217" hidden="1" x14ac:dyDescent="0.2"/>
    <row r="32218" hidden="1" x14ac:dyDescent="0.2"/>
    <row r="32219" hidden="1" x14ac:dyDescent="0.2"/>
    <row r="32220" hidden="1" x14ac:dyDescent="0.2"/>
    <row r="32221" hidden="1" x14ac:dyDescent="0.2"/>
    <row r="32222" hidden="1" x14ac:dyDescent="0.2"/>
    <row r="32223" hidden="1" x14ac:dyDescent="0.2"/>
    <row r="32224" hidden="1" x14ac:dyDescent="0.2"/>
    <row r="32225" hidden="1" x14ac:dyDescent="0.2"/>
    <row r="32226" hidden="1" x14ac:dyDescent="0.2"/>
    <row r="32227" hidden="1" x14ac:dyDescent="0.2"/>
    <row r="32228" hidden="1" x14ac:dyDescent="0.2"/>
    <row r="32229" hidden="1" x14ac:dyDescent="0.2"/>
    <row r="32230" hidden="1" x14ac:dyDescent="0.2"/>
    <row r="32231" hidden="1" x14ac:dyDescent="0.2"/>
    <row r="32232" hidden="1" x14ac:dyDescent="0.2"/>
    <row r="32233" hidden="1" x14ac:dyDescent="0.2"/>
    <row r="32234" hidden="1" x14ac:dyDescent="0.2"/>
    <row r="32235" hidden="1" x14ac:dyDescent="0.2"/>
    <row r="32236" hidden="1" x14ac:dyDescent="0.2"/>
    <row r="32237" hidden="1" x14ac:dyDescent="0.2"/>
    <row r="32238" hidden="1" x14ac:dyDescent="0.2"/>
    <row r="32239" hidden="1" x14ac:dyDescent="0.2"/>
    <row r="32240" hidden="1" x14ac:dyDescent="0.2"/>
    <row r="32241" hidden="1" x14ac:dyDescent="0.2"/>
    <row r="32242" hidden="1" x14ac:dyDescent="0.2"/>
    <row r="32243" hidden="1" x14ac:dyDescent="0.2"/>
    <row r="32244" hidden="1" x14ac:dyDescent="0.2"/>
    <row r="32245" hidden="1" x14ac:dyDescent="0.2"/>
    <row r="32246" hidden="1" x14ac:dyDescent="0.2"/>
    <row r="32247" hidden="1" x14ac:dyDescent="0.2"/>
    <row r="32248" hidden="1" x14ac:dyDescent="0.2"/>
    <row r="32249" hidden="1" x14ac:dyDescent="0.2"/>
    <row r="32250" hidden="1" x14ac:dyDescent="0.2"/>
    <row r="32251" hidden="1" x14ac:dyDescent="0.2"/>
    <row r="32252" hidden="1" x14ac:dyDescent="0.2"/>
    <row r="32253" hidden="1" x14ac:dyDescent="0.2"/>
    <row r="32254" hidden="1" x14ac:dyDescent="0.2"/>
    <row r="32255" hidden="1" x14ac:dyDescent="0.2"/>
    <row r="32256" hidden="1" x14ac:dyDescent="0.2"/>
    <row r="32257" hidden="1" x14ac:dyDescent="0.2"/>
    <row r="32258" hidden="1" x14ac:dyDescent="0.2"/>
    <row r="32259" hidden="1" x14ac:dyDescent="0.2"/>
    <row r="32260" hidden="1" x14ac:dyDescent="0.2"/>
    <row r="32261" hidden="1" x14ac:dyDescent="0.2"/>
    <row r="32262" hidden="1" x14ac:dyDescent="0.2"/>
    <row r="32263" hidden="1" x14ac:dyDescent="0.2"/>
    <row r="32264" hidden="1" x14ac:dyDescent="0.2"/>
    <row r="32265" hidden="1" x14ac:dyDescent="0.2"/>
    <row r="32266" hidden="1" x14ac:dyDescent="0.2"/>
    <row r="32267" hidden="1" x14ac:dyDescent="0.2"/>
    <row r="32268" hidden="1" x14ac:dyDescent="0.2"/>
    <row r="32269" hidden="1" x14ac:dyDescent="0.2"/>
    <row r="32270" hidden="1" x14ac:dyDescent="0.2"/>
    <row r="32271" hidden="1" x14ac:dyDescent="0.2"/>
    <row r="32272" hidden="1" x14ac:dyDescent="0.2"/>
    <row r="32273" hidden="1" x14ac:dyDescent="0.2"/>
    <row r="32274" hidden="1" x14ac:dyDescent="0.2"/>
    <row r="32275" hidden="1" x14ac:dyDescent="0.2"/>
    <row r="32276" hidden="1" x14ac:dyDescent="0.2"/>
    <row r="32277" hidden="1" x14ac:dyDescent="0.2"/>
    <row r="32278" hidden="1" x14ac:dyDescent="0.2"/>
    <row r="32279" hidden="1" x14ac:dyDescent="0.2"/>
    <row r="32280" hidden="1" x14ac:dyDescent="0.2"/>
    <row r="32281" hidden="1" x14ac:dyDescent="0.2"/>
    <row r="32282" hidden="1" x14ac:dyDescent="0.2"/>
    <row r="32283" hidden="1" x14ac:dyDescent="0.2"/>
    <row r="32284" hidden="1" x14ac:dyDescent="0.2"/>
    <row r="32285" hidden="1" x14ac:dyDescent="0.2"/>
    <row r="32286" hidden="1" x14ac:dyDescent="0.2"/>
    <row r="32287" hidden="1" x14ac:dyDescent="0.2"/>
    <row r="32288" hidden="1" x14ac:dyDescent="0.2"/>
    <row r="32289" hidden="1" x14ac:dyDescent="0.2"/>
    <row r="32290" hidden="1" x14ac:dyDescent="0.2"/>
    <row r="32291" hidden="1" x14ac:dyDescent="0.2"/>
    <row r="32292" hidden="1" x14ac:dyDescent="0.2"/>
    <row r="32293" hidden="1" x14ac:dyDescent="0.2"/>
    <row r="32294" hidden="1" x14ac:dyDescent="0.2"/>
    <row r="32295" hidden="1" x14ac:dyDescent="0.2"/>
    <row r="32296" hidden="1" x14ac:dyDescent="0.2"/>
    <row r="32297" hidden="1" x14ac:dyDescent="0.2"/>
    <row r="32298" hidden="1" x14ac:dyDescent="0.2"/>
    <row r="32299" hidden="1" x14ac:dyDescent="0.2"/>
    <row r="32300" hidden="1" x14ac:dyDescent="0.2"/>
    <row r="32301" hidden="1" x14ac:dyDescent="0.2"/>
    <row r="32302" hidden="1" x14ac:dyDescent="0.2"/>
    <row r="32303" hidden="1" x14ac:dyDescent="0.2"/>
    <row r="32304" hidden="1" x14ac:dyDescent="0.2"/>
    <row r="32305" hidden="1" x14ac:dyDescent="0.2"/>
    <row r="32306" hidden="1" x14ac:dyDescent="0.2"/>
    <row r="32307" hidden="1" x14ac:dyDescent="0.2"/>
    <row r="32308" hidden="1" x14ac:dyDescent="0.2"/>
    <row r="32309" hidden="1" x14ac:dyDescent="0.2"/>
    <row r="32310" hidden="1" x14ac:dyDescent="0.2"/>
    <row r="32311" hidden="1" x14ac:dyDescent="0.2"/>
    <row r="32312" hidden="1" x14ac:dyDescent="0.2"/>
    <row r="32313" hidden="1" x14ac:dyDescent="0.2"/>
    <row r="32314" hidden="1" x14ac:dyDescent="0.2"/>
    <row r="32315" hidden="1" x14ac:dyDescent="0.2"/>
    <row r="32316" hidden="1" x14ac:dyDescent="0.2"/>
    <row r="32317" hidden="1" x14ac:dyDescent="0.2"/>
    <row r="32318" hidden="1" x14ac:dyDescent="0.2"/>
    <row r="32319" hidden="1" x14ac:dyDescent="0.2"/>
    <row r="32320" hidden="1" x14ac:dyDescent="0.2"/>
    <row r="32321" hidden="1" x14ac:dyDescent="0.2"/>
    <row r="32322" hidden="1" x14ac:dyDescent="0.2"/>
    <row r="32323" hidden="1" x14ac:dyDescent="0.2"/>
    <row r="32324" hidden="1" x14ac:dyDescent="0.2"/>
    <row r="32325" hidden="1" x14ac:dyDescent="0.2"/>
    <row r="32326" hidden="1" x14ac:dyDescent="0.2"/>
    <row r="32327" hidden="1" x14ac:dyDescent="0.2"/>
    <row r="32328" hidden="1" x14ac:dyDescent="0.2"/>
    <row r="32329" hidden="1" x14ac:dyDescent="0.2"/>
    <row r="32330" hidden="1" x14ac:dyDescent="0.2"/>
    <row r="32331" hidden="1" x14ac:dyDescent="0.2"/>
    <row r="32332" hidden="1" x14ac:dyDescent="0.2"/>
    <row r="32333" hidden="1" x14ac:dyDescent="0.2"/>
    <row r="32334" hidden="1" x14ac:dyDescent="0.2"/>
    <row r="32335" hidden="1" x14ac:dyDescent="0.2"/>
    <row r="32336" hidden="1" x14ac:dyDescent="0.2"/>
    <row r="32337" hidden="1" x14ac:dyDescent="0.2"/>
    <row r="32338" hidden="1" x14ac:dyDescent="0.2"/>
    <row r="32339" hidden="1" x14ac:dyDescent="0.2"/>
    <row r="32340" hidden="1" x14ac:dyDescent="0.2"/>
    <row r="32341" hidden="1" x14ac:dyDescent="0.2"/>
    <row r="32342" hidden="1" x14ac:dyDescent="0.2"/>
    <row r="32343" hidden="1" x14ac:dyDescent="0.2"/>
    <row r="32344" hidden="1" x14ac:dyDescent="0.2"/>
    <row r="32345" hidden="1" x14ac:dyDescent="0.2"/>
    <row r="32346" hidden="1" x14ac:dyDescent="0.2"/>
    <row r="32347" hidden="1" x14ac:dyDescent="0.2"/>
    <row r="32348" hidden="1" x14ac:dyDescent="0.2"/>
    <row r="32349" hidden="1" x14ac:dyDescent="0.2"/>
    <row r="32350" hidden="1" x14ac:dyDescent="0.2"/>
    <row r="32351" hidden="1" x14ac:dyDescent="0.2"/>
    <row r="32352" hidden="1" x14ac:dyDescent="0.2"/>
    <row r="32353" hidden="1" x14ac:dyDescent="0.2"/>
    <row r="32354" hidden="1" x14ac:dyDescent="0.2"/>
    <row r="32355" hidden="1" x14ac:dyDescent="0.2"/>
    <row r="32356" hidden="1" x14ac:dyDescent="0.2"/>
    <row r="32357" hidden="1" x14ac:dyDescent="0.2"/>
    <row r="32358" hidden="1" x14ac:dyDescent="0.2"/>
    <row r="32359" hidden="1" x14ac:dyDescent="0.2"/>
    <row r="32360" hidden="1" x14ac:dyDescent="0.2"/>
    <row r="32361" hidden="1" x14ac:dyDescent="0.2"/>
    <row r="32362" hidden="1" x14ac:dyDescent="0.2"/>
    <row r="32363" hidden="1" x14ac:dyDescent="0.2"/>
    <row r="32364" hidden="1" x14ac:dyDescent="0.2"/>
    <row r="32365" hidden="1" x14ac:dyDescent="0.2"/>
    <row r="32366" hidden="1" x14ac:dyDescent="0.2"/>
    <row r="32367" hidden="1" x14ac:dyDescent="0.2"/>
    <row r="32368" hidden="1" x14ac:dyDescent="0.2"/>
    <row r="32369" hidden="1" x14ac:dyDescent="0.2"/>
    <row r="32370" hidden="1" x14ac:dyDescent="0.2"/>
    <row r="32371" hidden="1" x14ac:dyDescent="0.2"/>
    <row r="32372" hidden="1" x14ac:dyDescent="0.2"/>
    <row r="32373" hidden="1" x14ac:dyDescent="0.2"/>
    <row r="32374" hidden="1" x14ac:dyDescent="0.2"/>
    <row r="32375" hidden="1" x14ac:dyDescent="0.2"/>
    <row r="32376" hidden="1" x14ac:dyDescent="0.2"/>
    <row r="32377" hidden="1" x14ac:dyDescent="0.2"/>
    <row r="32378" hidden="1" x14ac:dyDescent="0.2"/>
    <row r="32379" hidden="1" x14ac:dyDescent="0.2"/>
    <row r="32380" hidden="1" x14ac:dyDescent="0.2"/>
    <row r="32381" hidden="1" x14ac:dyDescent="0.2"/>
    <row r="32382" hidden="1" x14ac:dyDescent="0.2"/>
    <row r="32383" hidden="1" x14ac:dyDescent="0.2"/>
    <row r="32384" hidden="1" x14ac:dyDescent="0.2"/>
    <row r="32385" hidden="1" x14ac:dyDescent="0.2"/>
    <row r="32386" hidden="1" x14ac:dyDescent="0.2"/>
    <row r="32387" hidden="1" x14ac:dyDescent="0.2"/>
    <row r="32388" hidden="1" x14ac:dyDescent="0.2"/>
    <row r="32389" hidden="1" x14ac:dyDescent="0.2"/>
    <row r="32390" hidden="1" x14ac:dyDescent="0.2"/>
    <row r="32391" hidden="1" x14ac:dyDescent="0.2"/>
    <row r="32392" hidden="1" x14ac:dyDescent="0.2"/>
    <row r="32393" hidden="1" x14ac:dyDescent="0.2"/>
    <row r="32394" hidden="1" x14ac:dyDescent="0.2"/>
    <row r="32395" hidden="1" x14ac:dyDescent="0.2"/>
    <row r="32396" hidden="1" x14ac:dyDescent="0.2"/>
    <row r="32397" hidden="1" x14ac:dyDescent="0.2"/>
    <row r="32398" hidden="1" x14ac:dyDescent="0.2"/>
    <row r="32399" hidden="1" x14ac:dyDescent="0.2"/>
    <row r="32400" hidden="1" x14ac:dyDescent="0.2"/>
    <row r="32401" hidden="1" x14ac:dyDescent="0.2"/>
    <row r="32402" hidden="1" x14ac:dyDescent="0.2"/>
    <row r="32403" hidden="1" x14ac:dyDescent="0.2"/>
    <row r="32404" hidden="1" x14ac:dyDescent="0.2"/>
    <row r="32405" hidden="1" x14ac:dyDescent="0.2"/>
    <row r="32406" hidden="1" x14ac:dyDescent="0.2"/>
    <row r="32407" hidden="1" x14ac:dyDescent="0.2"/>
    <row r="32408" hidden="1" x14ac:dyDescent="0.2"/>
    <row r="32409" hidden="1" x14ac:dyDescent="0.2"/>
    <row r="32410" hidden="1" x14ac:dyDescent="0.2"/>
    <row r="32411" hidden="1" x14ac:dyDescent="0.2"/>
    <row r="32412" hidden="1" x14ac:dyDescent="0.2"/>
    <row r="32413" hidden="1" x14ac:dyDescent="0.2"/>
    <row r="32414" hidden="1" x14ac:dyDescent="0.2"/>
    <row r="32415" hidden="1" x14ac:dyDescent="0.2"/>
    <row r="32416" hidden="1" x14ac:dyDescent="0.2"/>
    <row r="32417" hidden="1" x14ac:dyDescent="0.2"/>
    <row r="32418" hidden="1" x14ac:dyDescent="0.2"/>
    <row r="32419" hidden="1" x14ac:dyDescent="0.2"/>
    <row r="32420" hidden="1" x14ac:dyDescent="0.2"/>
    <row r="32421" hidden="1" x14ac:dyDescent="0.2"/>
    <row r="32422" hidden="1" x14ac:dyDescent="0.2"/>
    <row r="32423" hidden="1" x14ac:dyDescent="0.2"/>
    <row r="32424" hidden="1" x14ac:dyDescent="0.2"/>
    <row r="32425" hidden="1" x14ac:dyDescent="0.2"/>
    <row r="32426" hidden="1" x14ac:dyDescent="0.2"/>
    <row r="32427" hidden="1" x14ac:dyDescent="0.2"/>
    <row r="32428" hidden="1" x14ac:dyDescent="0.2"/>
    <row r="32429" hidden="1" x14ac:dyDescent="0.2"/>
    <row r="32430" hidden="1" x14ac:dyDescent="0.2"/>
    <row r="32431" hidden="1" x14ac:dyDescent="0.2"/>
    <row r="32432" hidden="1" x14ac:dyDescent="0.2"/>
    <row r="32433" hidden="1" x14ac:dyDescent="0.2"/>
    <row r="32434" hidden="1" x14ac:dyDescent="0.2"/>
    <row r="32435" hidden="1" x14ac:dyDescent="0.2"/>
    <row r="32436" hidden="1" x14ac:dyDescent="0.2"/>
    <row r="32437" hidden="1" x14ac:dyDescent="0.2"/>
    <row r="32438" hidden="1" x14ac:dyDescent="0.2"/>
    <row r="32439" hidden="1" x14ac:dyDescent="0.2"/>
    <row r="32440" hidden="1" x14ac:dyDescent="0.2"/>
    <row r="32441" hidden="1" x14ac:dyDescent="0.2"/>
    <row r="32442" hidden="1" x14ac:dyDescent="0.2"/>
    <row r="32443" hidden="1" x14ac:dyDescent="0.2"/>
    <row r="32444" hidden="1" x14ac:dyDescent="0.2"/>
    <row r="32445" hidden="1" x14ac:dyDescent="0.2"/>
    <row r="32446" hidden="1" x14ac:dyDescent="0.2"/>
    <row r="32447" hidden="1" x14ac:dyDescent="0.2"/>
    <row r="32448" hidden="1" x14ac:dyDescent="0.2"/>
    <row r="32449" hidden="1" x14ac:dyDescent="0.2"/>
    <row r="32450" hidden="1" x14ac:dyDescent="0.2"/>
    <row r="32451" hidden="1" x14ac:dyDescent="0.2"/>
    <row r="32452" hidden="1" x14ac:dyDescent="0.2"/>
    <row r="32453" hidden="1" x14ac:dyDescent="0.2"/>
    <row r="32454" hidden="1" x14ac:dyDescent="0.2"/>
    <row r="32455" hidden="1" x14ac:dyDescent="0.2"/>
    <row r="32456" hidden="1" x14ac:dyDescent="0.2"/>
    <row r="32457" hidden="1" x14ac:dyDescent="0.2"/>
    <row r="32458" hidden="1" x14ac:dyDescent="0.2"/>
    <row r="32459" hidden="1" x14ac:dyDescent="0.2"/>
    <row r="32460" hidden="1" x14ac:dyDescent="0.2"/>
    <row r="32461" hidden="1" x14ac:dyDescent="0.2"/>
    <row r="32462" hidden="1" x14ac:dyDescent="0.2"/>
    <row r="32463" hidden="1" x14ac:dyDescent="0.2"/>
    <row r="32464" hidden="1" x14ac:dyDescent="0.2"/>
    <row r="32465" hidden="1" x14ac:dyDescent="0.2"/>
    <row r="32466" hidden="1" x14ac:dyDescent="0.2"/>
    <row r="32467" hidden="1" x14ac:dyDescent="0.2"/>
    <row r="32468" hidden="1" x14ac:dyDescent="0.2"/>
    <row r="32469" hidden="1" x14ac:dyDescent="0.2"/>
    <row r="32470" hidden="1" x14ac:dyDescent="0.2"/>
    <row r="32471" hidden="1" x14ac:dyDescent="0.2"/>
    <row r="32472" hidden="1" x14ac:dyDescent="0.2"/>
    <row r="32473" hidden="1" x14ac:dyDescent="0.2"/>
    <row r="32474" hidden="1" x14ac:dyDescent="0.2"/>
    <row r="32475" hidden="1" x14ac:dyDescent="0.2"/>
    <row r="32476" hidden="1" x14ac:dyDescent="0.2"/>
    <row r="32477" hidden="1" x14ac:dyDescent="0.2"/>
    <row r="32478" hidden="1" x14ac:dyDescent="0.2"/>
    <row r="32479" hidden="1" x14ac:dyDescent="0.2"/>
    <row r="32480" hidden="1" x14ac:dyDescent="0.2"/>
    <row r="32481" hidden="1" x14ac:dyDescent="0.2"/>
    <row r="32482" hidden="1" x14ac:dyDescent="0.2"/>
    <row r="32483" hidden="1" x14ac:dyDescent="0.2"/>
    <row r="32484" hidden="1" x14ac:dyDescent="0.2"/>
    <row r="32485" hidden="1" x14ac:dyDescent="0.2"/>
    <row r="32486" hidden="1" x14ac:dyDescent="0.2"/>
    <row r="32487" hidden="1" x14ac:dyDescent="0.2"/>
    <row r="32488" hidden="1" x14ac:dyDescent="0.2"/>
    <row r="32489" hidden="1" x14ac:dyDescent="0.2"/>
    <row r="32490" hidden="1" x14ac:dyDescent="0.2"/>
    <row r="32491" hidden="1" x14ac:dyDescent="0.2"/>
    <row r="32492" hidden="1" x14ac:dyDescent="0.2"/>
    <row r="32493" hidden="1" x14ac:dyDescent="0.2"/>
    <row r="32494" hidden="1" x14ac:dyDescent="0.2"/>
    <row r="32495" hidden="1" x14ac:dyDescent="0.2"/>
    <row r="32496" hidden="1" x14ac:dyDescent="0.2"/>
    <row r="32497" hidden="1" x14ac:dyDescent="0.2"/>
    <row r="32498" hidden="1" x14ac:dyDescent="0.2"/>
    <row r="32499" hidden="1" x14ac:dyDescent="0.2"/>
    <row r="32500" hidden="1" x14ac:dyDescent="0.2"/>
    <row r="32501" hidden="1" x14ac:dyDescent="0.2"/>
    <row r="32502" hidden="1" x14ac:dyDescent="0.2"/>
    <row r="32503" hidden="1" x14ac:dyDescent="0.2"/>
    <row r="32504" hidden="1" x14ac:dyDescent="0.2"/>
    <row r="32505" hidden="1" x14ac:dyDescent="0.2"/>
    <row r="32506" hidden="1" x14ac:dyDescent="0.2"/>
    <row r="32507" hidden="1" x14ac:dyDescent="0.2"/>
    <row r="32508" hidden="1" x14ac:dyDescent="0.2"/>
    <row r="32509" hidden="1" x14ac:dyDescent="0.2"/>
    <row r="32510" hidden="1" x14ac:dyDescent="0.2"/>
    <row r="32511" hidden="1" x14ac:dyDescent="0.2"/>
    <row r="32512" hidden="1" x14ac:dyDescent="0.2"/>
    <row r="32513" hidden="1" x14ac:dyDescent="0.2"/>
    <row r="32514" hidden="1" x14ac:dyDescent="0.2"/>
    <row r="32515" hidden="1" x14ac:dyDescent="0.2"/>
    <row r="32516" hidden="1" x14ac:dyDescent="0.2"/>
    <row r="32517" hidden="1" x14ac:dyDescent="0.2"/>
    <row r="32518" hidden="1" x14ac:dyDescent="0.2"/>
    <row r="32519" hidden="1" x14ac:dyDescent="0.2"/>
    <row r="32520" hidden="1" x14ac:dyDescent="0.2"/>
    <row r="32521" hidden="1" x14ac:dyDescent="0.2"/>
    <row r="32522" hidden="1" x14ac:dyDescent="0.2"/>
    <row r="32523" hidden="1" x14ac:dyDescent="0.2"/>
    <row r="32524" hidden="1" x14ac:dyDescent="0.2"/>
    <row r="32525" hidden="1" x14ac:dyDescent="0.2"/>
    <row r="32526" hidden="1" x14ac:dyDescent="0.2"/>
    <row r="32527" hidden="1" x14ac:dyDescent="0.2"/>
    <row r="32528" hidden="1" x14ac:dyDescent="0.2"/>
    <row r="32529" hidden="1" x14ac:dyDescent="0.2"/>
    <row r="32530" hidden="1" x14ac:dyDescent="0.2"/>
    <row r="32531" hidden="1" x14ac:dyDescent="0.2"/>
    <row r="32532" hidden="1" x14ac:dyDescent="0.2"/>
    <row r="32533" hidden="1" x14ac:dyDescent="0.2"/>
    <row r="32534" hidden="1" x14ac:dyDescent="0.2"/>
    <row r="32535" hidden="1" x14ac:dyDescent="0.2"/>
    <row r="32536" hidden="1" x14ac:dyDescent="0.2"/>
    <row r="32537" hidden="1" x14ac:dyDescent="0.2"/>
    <row r="32538" hidden="1" x14ac:dyDescent="0.2"/>
    <row r="32539" hidden="1" x14ac:dyDescent="0.2"/>
    <row r="32540" hidden="1" x14ac:dyDescent="0.2"/>
    <row r="32541" hidden="1" x14ac:dyDescent="0.2"/>
    <row r="32542" hidden="1" x14ac:dyDescent="0.2"/>
    <row r="32543" hidden="1" x14ac:dyDescent="0.2"/>
    <row r="32544" hidden="1" x14ac:dyDescent="0.2"/>
    <row r="32545" hidden="1" x14ac:dyDescent="0.2"/>
    <row r="32546" hidden="1" x14ac:dyDescent="0.2"/>
    <row r="32547" hidden="1" x14ac:dyDescent="0.2"/>
    <row r="32548" hidden="1" x14ac:dyDescent="0.2"/>
    <row r="32549" hidden="1" x14ac:dyDescent="0.2"/>
    <row r="32550" hidden="1" x14ac:dyDescent="0.2"/>
    <row r="32551" hidden="1" x14ac:dyDescent="0.2"/>
    <row r="32552" hidden="1" x14ac:dyDescent="0.2"/>
    <row r="32553" hidden="1" x14ac:dyDescent="0.2"/>
    <row r="32554" hidden="1" x14ac:dyDescent="0.2"/>
    <row r="32555" hidden="1" x14ac:dyDescent="0.2"/>
    <row r="32556" hidden="1" x14ac:dyDescent="0.2"/>
    <row r="32557" hidden="1" x14ac:dyDescent="0.2"/>
    <row r="32558" hidden="1" x14ac:dyDescent="0.2"/>
    <row r="32559" hidden="1" x14ac:dyDescent="0.2"/>
    <row r="32560" hidden="1" x14ac:dyDescent="0.2"/>
    <row r="32561" hidden="1" x14ac:dyDescent="0.2"/>
    <row r="32562" hidden="1" x14ac:dyDescent="0.2"/>
    <row r="32563" hidden="1" x14ac:dyDescent="0.2"/>
    <row r="32564" hidden="1" x14ac:dyDescent="0.2"/>
    <row r="32565" hidden="1" x14ac:dyDescent="0.2"/>
    <row r="32566" hidden="1" x14ac:dyDescent="0.2"/>
    <row r="32567" hidden="1" x14ac:dyDescent="0.2"/>
    <row r="32568" hidden="1" x14ac:dyDescent="0.2"/>
    <row r="32569" hidden="1" x14ac:dyDescent="0.2"/>
    <row r="32570" hidden="1" x14ac:dyDescent="0.2"/>
    <row r="32571" hidden="1" x14ac:dyDescent="0.2"/>
    <row r="32572" hidden="1" x14ac:dyDescent="0.2"/>
    <row r="32573" hidden="1" x14ac:dyDescent="0.2"/>
    <row r="32574" hidden="1" x14ac:dyDescent="0.2"/>
    <row r="32575" hidden="1" x14ac:dyDescent="0.2"/>
    <row r="32576" hidden="1" x14ac:dyDescent="0.2"/>
    <row r="32577" hidden="1" x14ac:dyDescent="0.2"/>
    <row r="32578" hidden="1" x14ac:dyDescent="0.2"/>
    <row r="32579" hidden="1" x14ac:dyDescent="0.2"/>
    <row r="32580" hidden="1" x14ac:dyDescent="0.2"/>
    <row r="32581" hidden="1" x14ac:dyDescent="0.2"/>
    <row r="32582" hidden="1" x14ac:dyDescent="0.2"/>
    <row r="32583" hidden="1" x14ac:dyDescent="0.2"/>
    <row r="32584" hidden="1" x14ac:dyDescent="0.2"/>
    <row r="32585" hidden="1" x14ac:dyDescent="0.2"/>
    <row r="32586" hidden="1" x14ac:dyDescent="0.2"/>
    <row r="32587" hidden="1" x14ac:dyDescent="0.2"/>
    <row r="32588" hidden="1" x14ac:dyDescent="0.2"/>
    <row r="32589" hidden="1" x14ac:dyDescent="0.2"/>
    <row r="32590" hidden="1" x14ac:dyDescent="0.2"/>
    <row r="32591" hidden="1" x14ac:dyDescent="0.2"/>
    <row r="32592" hidden="1" x14ac:dyDescent="0.2"/>
    <row r="32593" hidden="1" x14ac:dyDescent="0.2"/>
    <row r="32594" hidden="1" x14ac:dyDescent="0.2"/>
    <row r="32595" hidden="1" x14ac:dyDescent="0.2"/>
    <row r="32596" hidden="1" x14ac:dyDescent="0.2"/>
    <row r="32597" hidden="1" x14ac:dyDescent="0.2"/>
    <row r="32598" hidden="1" x14ac:dyDescent="0.2"/>
    <row r="32599" hidden="1" x14ac:dyDescent="0.2"/>
    <row r="32600" hidden="1" x14ac:dyDescent="0.2"/>
    <row r="32601" hidden="1" x14ac:dyDescent="0.2"/>
    <row r="32602" hidden="1" x14ac:dyDescent="0.2"/>
    <row r="32603" hidden="1" x14ac:dyDescent="0.2"/>
    <row r="32604" hidden="1" x14ac:dyDescent="0.2"/>
    <row r="32605" hidden="1" x14ac:dyDescent="0.2"/>
    <row r="32606" hidden="1" x14ac:dyDescent="0.2"/>
    <row r="32607" hidden="1" x14ac:dyDescent="0.2"/>
    <row r="32608" hidden="1" x14ac:dyDescent="0.2"/>
    <row r="32609" hidden="1" x14ac:dyDescent="0.2"/>
    <row r="32610" hidden="1" x14ac:dyDescent="0.2"/>
    <row r="32611" hidden="1" x14ac:dyDescent="0.2"/>
    <row r="32612" hidden="1" x14ac:dyDescent="0.2"/>
    <row r="32613" hidden="1" x14ac:dyDescent="0.2"/>
    <row r="32614" hidden="1" x14ac:dyDescent="0.2"/>
    <row r="32615" hidden="1" x14ac:dyDescent="0.2"/>
    <row r="32616" hidden="1" x14ac:dyDescent="0.2"/>
    <row r="32617" hidden="1" x14ac:dyDescent="0.2"/>
    <row r="32618" hidden="1" x14ac:dyDescent="0.2"/>
    <row r="32619" hidden="1" x14ac:dyDescent="0.2"/>
    <row r="32620" hidden="1" x14ac:dyDescent="0.2"/>
    <row r="32621" hidden="1" x14ac:dyDescent="0.2"/>
    <row r="32622" hidden="1" x14ac:dyDescent="0.2"/>
    <row r="32623" hidden="1" x14ac:dyDescent="0.2"/>
    <row r="32624" hidden="1" x14ac:dyDescent="0.2"/>
    <row r="32625" hidden="1" x14ac:dyDescent="0.2"/>
    <row r="32626" hidden="1" x14ac:dyDescent="0.2"/>
    <row r="32627" hidden="1" x14ac:dyDescent="0.2"/>
    <row r="32628" hidden="1" x14ac:dyDescent="0.2"/>
    <row r="32629" hidden="1" x14ac:dyDescent="0.2"/>
    <row r="32630" hidden="1" x14ac:dyDescent="0.2"/>
    <row r="32631" hidden="1" x14ac:dyDescent="0.2"/>
    <row r="32632" hidden="1" x14ac:dyDescent="0.2"/>
    <row r="32633" hidden="1" x14ac:dyDescent="0.2"/>
    <row r="32634" hidden="1" x14ac:dyDescent="0.2"/>
    <row r="32635" hidden="1" x14ac:dyDescent="0.2"/>
    <row r="32636" hidden="1" x14ac:dyDescent="0.2"/>
    <row r="32637" hidden="1" x14ac:dyDescent="0.2"/>
    <row r="32638" hidden="1" x14ac:dyDescent="0.2"/>
    <row r="32639" hidden="1" x14ac:dyDescent="0.2"/>
    <row r="32640" hidden="1" x14ac:dyDescent="0.2"/>
    <row r="32641" hidden="1" x14ac:dyDescent="0.2"/>
    <row r="32642" hidden="1" x14ac:dyDescent="0.2"/>
    <row r="32643" hidden="1" x14ac:dyDescent="0.2"/>
    <row r="32644" hidden="1" x14ac:dyDescent="0.2"/>
    <row r="32645" hidden="1" x14ac:dyDescent="0.2"/>
    <row r="32646" hidden="1" x14ac:dyDescent="0.2"/>
    <row r="32647" hidden="1" x14ac:dyDescent="0.2"/>
    <row r="32648" hidden="1" x14ac:dyDescent="0.2"/>
    <row r="32649" hidden="1" x14ac:dyDescent="0.2"/>
    <row r="32650" hidden="1" x14ac:dyDescent="0.2"/>
    <row r="32651" hidden="1" x14ac:dyDescent="0.2"/>
    <row r="32652" hidden="1" x14ac:dyDescent="0.2"/>
    <row r="32653" hidden="1" x14ac:dyDescent="0.2"/>
    <row r="32654" hidden="1" x14ac:dyDescent="0.2"/>
    <row r="32655" hidden="1" x14ac:dyDescent="0.2"/>
    <row r="32656" hidden="1" x14ac:dyDescent="0.2"/>
    <row r="32657" hidden="1" x14ac:dyDescent="0.2"/>
    <row r="32658" hidden="1" x14ac:dyDescent="0.2"/>
    <row r="32659" hidden="1" x14ac:dyDescent="0.2"/>
    <row r="32660" hidden="1" x14ac:dyDescent="0.2"/>
    <row r="32661" hidden="1" x14ac:dyDescent="0.2"/>
    <row r="32662" hidden="1" x14ac:dyDescent="0.2"/>
    <row r="32663" hidden="1" x14ac:dyDescent="0.2"/>
    <row r="32664" hidden="1" x14ac:dyDescent="0.2"/>
    <row r="32665" hidden="1" x14ac:dyDescent="0.2"/>
    <row r="32666" hidden="1" x14ac:dyDescent="0.2"/>
    <row r="32667" hidden="1" x14ac:dyDescent="0.2"/>
    <row r="32668" hidden="1" x14ac:dyDescent="0.2"/>
    <row r="32669" hidden="1" x14ac:dyDescent="0.2"/>
    <row r="32670" hidden="1" x14ac:dyDescent="0.2"/>
    <row r="32671" hidden="1" x14ac:dyDescent="0.2"/>
    <row r="32672" hidden="1" x14ac:dyDescent="0.2"/>
    <row r="32673" hidden="1" x14ac:dyDescent="0.2"/>
    <row r="32674" hidden="1" x14ac:dyDescent="0.2"/>
    <row r="32675" hidden="1" x14ac:dyDescent="0.2"/>
    <row r="32676" hidden="1" x14ac:dyDescent="0.2"/>
    <row r="32677" hidden="1" x14ac:dyDescent="0.2"/>
    <row r="32678" hidden="1" x14ac:dyDescent="0.2"/>
    <row r="32679" hidden="1" x14ac:dyDescent="0.2"/>
    <row r="32680" hidden="1" x14ac:dyDescent="0.2"/>
    <row r="32681" hidden="1" x14ac:dyDescent="0.2"/>
    <row r="32682" hidden="1" x14ac:dyDescent="0.2"/>
    <row r="32683" hidden="1" x14ac:dyDescent="0.2"/>
    <row r="32684" hidden="1" x14ac:dyDescent="0.2"/>
    <row r="32685" hidden="1" x14ac:dyDescent="0.2"/>
    <row r="32686" hidden="1" x14ac:dyDescent="0.2"/>
    <row r="32687" hidden="1" x14ac:dyDescent="0.2"/>
    <row r="32688" hidden="1" x14ac:dyDescent="0.2"/>
    <row r="32689" hidden="1" x14ac:dyDescent="0.2"/>
    <row r="32690" hidden="1" x14ac:dyDescent="0.2"/>
    <row r="32691" hidden="1" x14ac:dyDescent="0.2"/>
    <row r="32692" hidden="1" x14ac:dyDescent="0.2"/>
    <row r="32693" hidden="1" x14ac:dyDescent="0.2"/>
    <row r="32694" hidden="1" x14ac:dyDescent="0.2"/>
    <row r="32695" hidden="1" x14ac:dyDescent="0.2"/>
    <row r="32696" hidden="1" x14ac:dyDescent="0.2"/>
    <row r="32697" hidden="1" x14ac:dyDescent="0.2"/>
    <row r="32698" hidden="1" x14ac:dyDescent="0.2"/>
    <row r="32699" hidden="1" x14ac:dyDescent="0.2"/>
    <row r="32700" hidden="1" x14ac:dyDescent="0.2"/>
    <row r="32701" hidden="1" x14ac:dyDescent="0.2"/>
    <row r="32702" hidden="1" x14ac:dyDescent="0.2"/>
    <row r="32703" hidden="1" x14ac:dyDescent="0.2"/>
    <row r="32704" hidden="1" x14ac:dyDescent="0.2"/>
    <row r="32705" hidden="1" x14ac:dyDescent="0.2"/>
    <row r="32706" hidden="1" x14ac:dyDescent="0.2"/>
    <row r="32707" hidden="1" x14ac:dyDescent="0.2"/>
    <row r="32708" hidden="1" x14ac:dyDescent="0.2"/>
    <row r="32709" hidden="1" x14ac:dyDescent="0.2"/>
    <row r="32710" hidden="1" x14ac:dyDescent="0.2"/>
    <row r="32711" hidden="1" x14ac:dyDescent="0.2"/>
    <row r="32712" hidden="1" x14ac:dyDescent="0.2"/>
    <row r="32713" hidden="1" x14ac:dyDescent="0.2"/>
    <row r="32714" hidden="1" x14ac:dyDescent="0.2"/>
    <row r="32715" hidden="1" x14ac:dyDescent="0.2"/>
    <row r="32716" hidden="1" x14ac:dyDescent="0.2"/>
    <row r="32717" hidden="1" x14ac:dyDescent="0.2"/>
    <row r="32718" hidden="1" x14ac:dyDescent="0.2"/>
    <row r="32719" hidden="1" x14ac:dyDescent="0.2"/>
    <row r="32720" hidden="1" x14ac:dyDescent="0.2"/>
    <row r="32721" hidden="1" x14ac:dyDescent="0.2"/>
    <row r="32722" hidden="1" x14ac:dyDescent="0.2"/>
    <row r="32723" hidden="1" x14ac:dyDescent="0.2"/>
    <row r="32724" hidden="1" x14ac:dyDescent="0.2"/>
    <row r="32725" hidden="1" x14ac:dyDescent="0.2"/>
    <row r="32726" hidden="1" x14ac:dyDescent="0.2"/>
    <row r="32727" hidden="1" x14ac:dyDescent="0.2"/>
    <row r="32728" hidden="1" x14ac:dyDescent="0.2"/>
    <row r="32729" hidden="1" x14ac:dyDescent="0.2"/>
    <row r="32730" hidden="1" x14ac:dyDescent="0.2"/>
    <row r="32731" hidden="1" x14ac:dyDescent="0.2"/>
    <row r="32732" hidden="1" x14ac:dyDescent="0.2"/>
    <row r="32733" hidden="1" x14ac:dyDescent="0.2"/>
    <row r="32734" hidden="1" x14ac:dyDescent="0.2"/>
    <row r="32735" hidden="1" x14ac:dyDescent="0.2"/>
    <row r="32736" hidden="1" x14ac:dyDescent="0.2"/>
    <row r="32737" hidden="1" x14ac:dyDescent="0.2"/>
    <row r="32738" hidden="1" x14ac:dyDescent="0.2"/>
    <row r="32739" hidden="1" x14ac:dyDescent="0.2"/>
    <row r="32740" hidden="1" x14ac:dyDescent="0.2"/>
    <row r="32741" hidden="1" x14ac:dyDescent="0.2"/>
    <row r="32742" hidden="1" x14ac:dyDescent="0.2"/>
    <row r="32743" hidden="1" x14ac:dyDescent="0.2"/>
    <row r="32744" hidden="1" x14ac:dyDescent="0.2"/>
    <row r="32745" hidden="1" x14ac:dyDescent="0.2"/>
    <row r="32746" hidden="1" x14ac:dyDescent="0.2"/>
    <row r="32747" hidden="1" x14ac:dyDescent="0.2"/>
    <row r="32748" hidden="1" x14ac:dyDescent="0.2"/>
    <row r="32749" hidden="1" x14ac:dyDescent="0.2"/>
    <row r="32750" hidden="1" x14ac:dyDescent="0.2"/>
    <row r="32751" hidden="1" x14ac:dyDescent="0.2"/>
    <row r="32752" hidden="1" x14ac:dyDescent="0.2"/>
    <row r="32753" hidden="1" x14ac:dyDescent="0.2"/>
    <row r="32754" hidden="1" x14ac:dyDescent="0.2"/>
    <row r="32755" hidden="1" x14ac:dyDescent="0.2"/>
    <row r="32756" hidden="1" x14ac:dyDescent="0.2"/>
    <row r="32757" hidden="1" x14ac:dyDescent="0.2"/>
    <row r="32758" hidden="1" x14ac:dyDescent="0.2"/>
    <row r="32759" hidden="1" x14ac:dyDescent="0.2"/>
    <row r="32760" hidden="1" x14ac:dyDescent="0.2"/>
    <row r="32761" hidden="1" x14ac:dyDescent="0.2"/>
    <row r="32762" hidden="1" x14ac:dyDescent="0.2"/>
    <row r="32763" hidden="1" x14ac:dyDescent="0.2"/>
    <row r="32764" hidden="1" x14ac:dyDescent="0.2"/>
    <row r="32765" hidden="1" x14ac:dyDescent="0.2"/>
    <row r="32766" hidden="1" x14ac:dyDescent="0.2"/>
    <row r="32767" hidden="1" x14ac:dyDescent="0.2"/>
    <row r="32768" hidden="1" x14ac:dyDescent="0.2"/>
    <row r="32769" hidden="1" x14ac:dyDescent="0.2"/>
    <row r="32770" hidden="1" x14ac:dyDescent="0.2"/>
    <row r="32771" hidden="1" x14ac:dyDescent="0.2"/>
    <row r="32772" hidden="1" x14ac:dyDescent="0.2"/>
    <row r="32773" hidden="1" x14ac:dyDescent="0.2"/>
    <row r="32774" hidden="1" x14ac:dyDescent="0.2"/>
    <row r="32775" hidden="1" x14ac:dyDescent="0.2"/>
    <row r="32776" hidden="1" x14ac:dyDescent="0.2"/>
    <row r="32777" hidden="1" x14ac:dyDescent="0.2"/>
    <row r="32778" hidden="1" x14ac:dyDescent="0.2"/>
    <row r="32779" hidden="1" x14ac:dyDescent="0.2"/>
    <row r="32780" hidden="1" x14ac:dyDescent="0.2"/>
    <row r="32781" hidden="1" x14ac:dyDescent="0.2"/>
    <row r="32782" hidden="1" x14ac:dyDescent="0.2"/>
    <row r="32783" hidden="1" x14ac:dyDescent="0.2"/>
    <row r="32784" hidden="1" x14ac:dyDescent="0.2"/>
    <row r="32785" hidden="1" x14ac:dyDescent="0.2"/>
    <row r="32786" hidden="1" x14ac:dyDescent="0.2"/>
    <row r="32787" hidden="1" x14ac:dyDescent="0.2"/>
    <row r="32788" hidden="1" x14ac:dyDescent="0.2"/>
    <row r="32789" hidden="1" x14ac:dyDescent="0.2"/>
    <row r="32790" hidden="1" x14ac:dyDescent="0.2"/>
    <row r="32791" hidden="1" x14ac:dyDescent="0.2"/>
    <row r="32792" hidden="1" x14ac:dyDescent="0.2"/>
    <row r="32793" hidden="1" x14ac:dyDescent="0.2"/>
    <row r="32794" hidden="1" x14ac:dyDescent="0.2"/>
    <row r="32795" hidden="1" x14ac:dyDescent="0.2"/>
    <row r="32796" hidden="1" x14ac:dyDescent="0.2"/>
    <row r="32797" hidden="1" x14ac:dyDescent="0.2"/>
    <row r="32798" hidden="1" x14ac:dyDescent="0.2"/>
    <row r="32799" hidden="1" x14ac:dyDescent="0.2"/>
    <row r="32800" hidden="1" x14ac:dyDescent="0.2"/>
    <row r="32801" hidden="1" x14ac:dyDescent="0.2"/>
    <row r="32802" hidden="1" x14ac:dyDescent="0.2"/>
    <row r="32803" hidden="1" x14ac:dyDescent="0.2"/>
    <row r="32804" hidden="1" x14ac:dyDescent="0.2"/>
    <row r="32805" hidden="1" x14ac:dyDescent="0.2"/>
    <row r="32806" hidden="1" x14ac:dyDescent="0.2"/>
    <row r="32807" hidden="1" x14ac:dyDescent="0.2"/>
    <row r="32808" hidden="1" x14ac:dyDescent="0.2"/>
    <row r="32809" hidden="1" x14ac:dyDescent="0.2"/>
    <row r="32810" hidden="1" x14ac:dyDescent="0.2"/>
    <row r="32811" hidden="1" x14ac:dyDescent="0.2"/>
    <row r="32812" hidden="1" x14ac:dyDescent="0.2"/>
    <row r="32813" hidden="1" x14ac:dyDescent="0.2"/>
    <row r="32814" hidden="1" x14ac:dyDescent="0.2"/>
    <row r="32815" hidden="1" x14ac:dyDescent="0.2"/>
    <row r="32816" hidden="1" x14ac:dyDescent="0.2"/>
    <row r="32817" hidden="1" x14ac:dyDescent="0.2"/>
    <row r="32818" hidden="1" x14ac:dyDescent="0.2"/>
    <row r="32819" hidden="1" x14ac:dyDescent="0.2"/>
    <row r="32820" hidden="1" x14ac:dyDescent="0.2"/>
    <row r="32821" hidden="1" x14ac:dyDescent="0.2"/>
    <row r="32822" hidden="1" x14ac:dyDescent="0.2"/>
    <row r="32823" hidden="1" x14ac:dyDescent="0.2"/>
    <row r="32824" hidden="1" x14ac:dyDescent="0.2"/>
    <row r="32825" hidden="1" x14ac:dyDescent="0.2"/>
    <row r="32826" hidden="1" x14ac:dyDescent="0.2"/>
    <row r="32827" hidden="1" x14ac:dyDescent="0.2"/>
    <row r="32828" hidden="1" x14ac:dyDescent="0.2"/>
    <row r="32829" hidden="1" x14ac:dyDescent="0.2"/>
    <row r="32830" hidden="1" x14ac:dyDescent="0.2"/>
    <row r="32831" hidden="1" x14ac:dyDescent="0.2"/>
    <row r="32832" hidden="1" x14ac:dyDescent="0.2"/>
    <row r="32833" hidden="1" x14ac:dyDescent="0.2"/>
    <row r="32834" hidden="1" x14ac:dyDescent="0.2"/>
    <row r="32835" hidden="1" x14ac:dyDescent="0.2"/>
    <row r="32836" hidden="1" x14ac:dyDescent="0.2"/>
    <row r="32837" hidden="1" x14ac:dyDescent="0.2"/>
    <row r="32838" hidden="1" x14ac:dyDescent="0.2"/>
    <row r="32839" hidden="1" x14ac:dyDescent="0.2"/>
    <row r="32840" hidden="1" x14ac:dyDescent="0.2"/>
    <row r="32841" hidden="1" x14ac:dyDescent="0.2"/>
    <row r="32842" hidden="1" x14ac:dyDescent="0.2"/>
    <row r="32843" hidden="1" x14ac:dyDescent="0.2"/>
    <row r="32844" hidden="1" x14ac:dyDescent="0.2"/>
    <row r="32845" hidden="1" x14ac:dyDescent="0.2"/>
    <row r="32846" hidden="1" x14ac:dyDescent="0.2"/>
    <row r="32847" hidden="1" x14ac:dyDescent="0.2"/>
    <row r="32848" hidden="1" x14ac:dyDescent="0.2"/>
    <row r="32849" hidden="1" x14ac:dyDescent="0.2"/>
    <row r="32850" hidden="1" x14ac:dyDescent="0.2"/>
    <row r="32851" hidden="1" x14ac:dyDescent="0.2"/>
    <row r="32852" hidden="1" x14ac:dyDescent="0.2"/>
    <row r="32853" hidden="1" x14ac:dyDescent="0.2"/>
    <row r="32854" hidden="1" x14ac:dyDescent="0.2"/>
    <row r="32855" hidden="1" x14ac:dyDescent="0.2"/>
    <row r="32856" hidden="1" x14ac:dyDescent="0.2"/>
    <row r="32857" hidden="1" x14ac:dyDescent="0.2"/>
    <row r="32858" hidden="1" x14ac:dyDescent="0.2"/>
    <row r="32859" hidden="1" x14ac:dyDescent="0.2"/>
    <row r="32860" hidden="1" x14ac:dyDescent="0.2"/>
    <row r="32861" hidden="1" x14ac:dyDescent="0.2"/>
    <row r="32862" hidden="1" x14ac:dyDescent="0.2"/>
    <row r="32863" hidden="1" x14ac:dyDescent="0.2"/>
    <row r="32864" hidden="1" x14ac:dyDescent="0.2"/>
    <row r="32865" hidden="1" x14ac:dyDescent="0.2"/>
    <row r="32866" hidden="1" x14ac:dyDescent="0.2"/>
    <row r="32867" hidden="1" x14ac:dyDescent="0.2"/>
    <row r="32868" hidden="1" x14ac:dyDescent="0.2"/>
    <row r="32869" hidden="1" x14ac:dyDescent="0.2"/>
    <row r="32870" hidden="1" x14ac:dyDescent="0.2"/>
    <row r="32871" hidden="1" x14ac:dyDescent="0.2"/>
    <row r="32872" hidden="1" x14ac:dyDescent="0.2"/>
    <row r="32873" hidden="1" x14ac:dyDescent="0.2"/>
    <row r="32874" hidden="1" x14ac:dyDescent="0.2"/>
    <row r="32875" hidden="1" x14ac:dyDescent="0.2"/>
    <row r="32876" hidden="1" x14ac:dyDescent="0.2"/>
    <row r="32877" hidden="1" x14ac:dyDescent="0.2"/>
    <row r="32878" hidden="1" x14ac:dyDescent="0.2"/>
    <row r="32879" hidden="1" x14ac:dyDescent="0.2"/>
    <row r="32880" hidden="1" x14ac:dyDescent="0.2"/>
    <row r="32881" hidden="1" x14ac:dyDescent="0.2"/>
    <row r="32882" hidden="1" x14ac:dyDescent="0.2"/>
    <row r="32883" hidden="1" x14ac:dyDescent="0.2"/>
    <row r="32884" hidden="1" x14ac:dyDescent="0.2"/>
    <row r="32885" hidden="1" x14ac:dyDescent="0.2"/>
    <row r="32886" hidden="1" x14ac:dyDescent="0.2"/>
    <row r="32887" hidden="1" x14ac:dyDescent="0.2"/>
    <row r="32888" hidden="1" x14ac:dyDescent="0.2"/>
    <row r="32889" hidden="1" x14ac:dyDescent="0.2"/>
    <row r="32890" hidden="1" x14ac:dyDescent="0.2"/>
    <row r="32891" hidden="1" x14ac:dyDescent="0.2"/>
    <row r="32892" hidden="1" x14ac:dyDescent="0.2"/>
    <row r="32893" hidden="1" x14ac:dyDescent="0.2"/>
    <row r="32894" hidden="1" x14ac:dyDescent="0.2"/>
    <row r="32895" hidden="1" x14ac:dyDescent="0.2"/>
    <row r="32896" hidden="1" x14ac:dyDescent="0.2"/>
    <row r="32897" hidden="1" x14ac:dyDescent="0.2"/>
    <row r="32898" hidden="1" x14ac:dyDescent="0.2"/>
    <row r="32899" hidden="1" x14ac:dyDescent="0.2"/>
    <row r="32900" hidden="1" x14ac:dyDescent="0.2"/>
    <row r="32901" hidden="1" x14ac:dyDescent="0.2"/>
    <row r="32902" hidden="1" x14ac:dyDescent="0.2"/>
    <row r="32903" hidden="1" x14ac:dyDescent="0.2"/>
    <row r="32904" hidden="1" x14ac:dyDescent="0.2"/>
    <row r="32905" hidden="1" x14ac:dyDescent="0.2"/>
    <row r="32906" hidden="1" x14ac:dyDescent="0.2"/>
    <row r="32907" hidden="1" x14ac:dyDescent="0.2"/>
    <row r="32908" hidden="1" x14ac:dyDescent="0.2"/>
    <row r="32909" hidden="1" x14ac:dyDescent="0.2"/>
    <row r="32910" hidden="1" x14ac:dyDescent="0.2"/>
    <row r="32911" hidden="1" x14ac:dyDescent="0.2"/>
    <row r="32912" hidden="1" x14ac:dyDescent="0.2"/>
    <row r="32913" hidden="1" x14ac:dyDescent="0.2"/>
    <row r="32914" hidden="1" x14ac:dyDescent="0.2"/>
    <row r="32915" hidden="1" x14ac:dyDescent="0.2"/>
    <row r="32916" hidden="1" x14ac:dyDescent="0.2"/>
    <row r="32917" hidden="1" x14ac:dyDescent="0.2"/>
    <row r="32918" hidden="1" x14ac:dyDescent="0.2"/>
    <row r="32919" hidden="1" x14ac:dyDescent="0.2"/>
    <row r="32920" hidden="1" x14ac:dyDescent="0.2"/>
    <row r="32921" hidden="1" x14ac:dyDescent="0.2"/>
    <row r="32922" hidden="1" x14ac:dyDescent="0.2"/>
    <row r="32923" hidden="1" x14ac:dyDescent="0.2"/>
    <row r="32924" hidden="1" x14ac:dyDescent="0.2"/>
    <row r="32925" hidden="1" x14ac:dyDescent="0.2"/>
    <row r="32926" hidden="1" x14ac:dyDescent="0.2"/>
    <row r="32927" hidden="1" x14ac:dyDescent="0.2"/>
    <row r="32928" hidden="1" x14ac:dyDescent="0.2"/>
    <row r="32929" hidden="1" x14ac:dyDescent="0.2"/>
    <row r="32930" hidden="1" x14ac:dyDescent="0.2"/>
    <row r="32931" hidden="1" x14ac:dyDescent="0.2"/>
    <row r="32932" hidden="1" x14ac:dyDescent="0.2"/>
    <row r="32933" hidden="1" x14ac:dyDescent="0.2"/>
    <row r="32934" hidden="1" x14ac:dyDescent="0.2"/>
    <row r="32935" hidden="1" x14ac:dyDescent="0.2"/>
    <row r="32936" hidden="1" x14ac:dyDescent="0.2"/>
    <row r="32937" hidden="1" x14ac:dyDescent="0.2"/>
    <row r="32938" hidden="1" x14ac:dyDescent="0.2"/>
    <row r="32939" hidden="1" x14ac:dyDescent="0.2"/>
    <row r="32940" hidden="1" x14ac:dyDescent="0.2"/>
    <row r="32941" hidden="1" x14ac:dyDescent="0.2"/>
    <row r="32942" hidden="1" x14ac:dyDescent="0.2"/>
    <row r="32943" hidden="1" x14ac:dyDescent="0.2"/>
    <row r="32944" hidden="1" x14ac:dyDescent="0.2"/>
    <row r="32945" hidden="1" x14ac:dyDescent="0.2"/>
    <row r="32946" hidden="1" x14ac:dyDescent="0.2"/>
    <row r="32947" hidden="1" x14ac:dyDescent="0.2"/>
    <row r="32948" hidden="1" x14ac:dyDescent="0.2"/>
    <row r="32949" hidden="1" x14ac:dyDescent="0.2"/>
    <row r="32950" hidden="1" x14ac:dyDescent="0.2"/>
    <row r="32951" hidden="1" x14ac:dyDescent="0.2"/>
    <row r="32952" hidden="1" x14ac:dyDescent="0.2"/>
    <row r="32953" hidden="1" x14ac:dyDescent="0.2"/>
    <row r="32954" hidden="1" x14ac:dyDescent="0.2"/>
    <row r="32955" hidden="1" x14ac:dyDescent="0.2"/>
    <row r="32956" hidden="1" x14ac:dyDescent="0.2"/>
    <row r="32957" hidden="1" x14ac:dyDescent="0.2"/>
    <row r="32958" hidden="1" x14ac:dyDescent="0.2"/>
    <row r="32959" hidden="1" x14ac:dyDescent="0.2"/>
    <row r="32960" hidden="1" x14ac:dyDescent="0.2"/>
    <row r="32961" hidden="1" x14ac:dyDescent="0.2"/>
    <row r="32962" hidden="1" x14ac:dyDescent="0.2"/>
    <row r="32963" hidden="1" x14ac:dyDescent="0.2"/>
    <row r="32964" hidden="1" x14ac:dyDescent="0.2"/>
    <row r="32965" hidden="1" x14ac:dyDescent="0.2"/>
    <row r="32966" hidden="1" x14ac:dyDescent="0.2"/>
    <row r="32967" hidden="1" x14ac:dyDescent="0.2"/>
    <row r="32968" hidden="1" x14ac:dyDescent="0.2"/>
    <row r="32969" hidden="1" x14ac:dyDescent="0.2"/>
    <row r="32970" hidden="1" x14ac:dyDescent="0.2"/>
    <row r="32971" hidden="1" x14ac:dyDescent="0.2"/>
    <row r="32972" hidden="1" x14ac:dyDescent="0.2"/>
    <row r="32973" hidden="1" x14ac:dyDescent="0.2"/>
    <row r="32974" hidden="1" x14ac:dyDescent="0.2"/>
    <row r="32975" hidden="1" x14ac:dyDescent="0.2"/>
    <row r="32976" hidden="1" x14ac:dyDescent="0.2"/>
    <row r="32977" hidden="1" x14ac:dyDescent="0.2"/>
    <row r="32978" hidden="1" x14ac:dyDescent="0.2"/>
    <row r="32979" hidden="1" x14ac:dyDescent="0.2"/>
    <row r="32980" hidden="1" x14ac:dyDescent="0.2"/>
    <row r="32981" hidden="1" x14ac:dyDescent="0.2"/>
    <row r="32982" hidden="1" x14ac:dyDescent="0.2"/>
    <row r="32983" hidden="1" x14ac:dyDescent="0.2"/>
    <row r="32984" hidden="1" x14ac:dyDescent="0.2"/>
    <row r="32985" hidden="1" x14ac:dyDescent="0.2"/>
    <row r="32986" hidden="1" x14ac:dyDescent="0.2"/>
    <row r="32987" hidden="1" x14ac:dyDescent="0.2"/>
    <row r="32988" hidden="1" x14ac:dyDescent="0.2"/>
    <row r="32989" hidden="1" x14ac:dyDescent="0.2"/>
    <row r="32990" hidden="1" x14ac:dyDescent="0.2"/>
    <row r="32991" hidden="1" x14ac:dyDescent="0.2"/>
    <row r="32992" hidden="1" x14ac:dyDescent="0.2"/>
    <row r="32993" hidden="1" x14ac:dyDescent="0.2"/>
    <row r="32994" hidden="1" x14ac:dyDescent="0.2"/>
    <row r="32995" hidden="1" x14ac:dyDescent="0.2"/>
    <row r="32996" hidden="1" x14ac:dyDescent="0.2"/>
    <row r="32997" hidden="1" x14ac:dyDescent="0.2"/>
    <row r="32998" hidden="1" x14ac:dyDescent="0.2"/>
    <row r="32999" hidden="1" x14ac:dyDescent="0.2"/>
    <row r="33000" hidden="1" x14ac:dyDescent="0.2"/>
    <row r="33001" hidden="1" x14ac:dyDescent="0.2"/>
    <row r="33002" hidden="1" x14ac:dyDescent="0.2"/>
    <row r="33003" hidden="1" x14ac:dyDescent="0.2"/>
    <row r="33004" hidden="1" x14ac:dyDescent="0.2"/>
    <row r="33005" hidden="1" x14ac:dyDescent="0.2"/>
    <row r="33006" hidden="1" x14ac:dyDescent="0.2"/>
    <row r="33007" hidden="1" x14ac:dyDescent="0.2"/>
    <row r="33008" hidden="1" x14ac:dyDescent="0.2"/>
    <row r="33009" hidden="1" x14ac:dyDescent="0.2"/>
    <row r="33010" hidden="1" x14ac:dyDescent="0.2"/>
    <row r="33011" hidden="1" x14ac:dyDescent="0.2"/>
    <row r="33012" hidden="1" x14ac:dyDescent="0.2"/>
    <row r="33013" hidden="1" x14ac:dyDescent="0.2"/>
    <row r="33014" hidden="1" x14ac:dyDescent="0.2"/>
    <row r="33015" hidden="1" x14ac:dyDescent="0.2"/>
    <row r="33016" hidden="1" x14ac:dyDescent="0.2"/>
    <row r="33017" hidden="1" x14ac:dyDescent="0.2"/>
    <row r="33018" hidden="1" x14ac:dyDescent="0.2"/>
    <row r="33019" hidden="1" x14ac:dyDescent="0.2"/>
    <row r="33020" hidden="1" x14ac:dyDescent="0.2"/>
    <row r="33021" hidden="1" x14ac:dyDescent="0.2"/>
    <row r="33022" hidden="1" x14ac:dyDescent="0.2"/>
    <row r="33023" hidden="1" x14ac:dyDescent="0.2"/>
    <row r="33024" hidden="1" x14ac:dyDescent="0.2"/>
    <row r="33025" hidden="1" x14ac:dyDescent="0.2"/>
    <row r="33026" hidden="1" x14ac:dyDescent="0.2"/>
    <row r="33027" hidden="1" x14ac:dyDescent="0.2"/>
    <row r="33028" hidden="1" x14ac:dyDescent="0.2"/>
    <row r="33029" hidden="1" x14ac:dyDescent="0.2"/>
    <row r="33030" hidden="1" x14ac:dyDescent="0.2"/>
    <row r="33031" hidden="1" x14ac:dyDescent="0.2"/>
    <row r="33032" hidden="1" x14ac:dyDescent="0.2"/>
    <row r="33033" hidden="1" x14ac:dyDescent="0.2"/>
    <row r="33034" hidden="1" x14ac:dyDescent="0.2"/>
    <row r="33035" hidden="1" x14ac:dyDescent="0.2"/>
    <row r="33036" hidden="1" x14ac:dyDescent="0.2"/>
    <row r="33037" hidden="1" x14ac:dyDescent="0.2"/>
    <row r="33038" hidden="1" x14ac:dyDescent="0.2"/>
    <row r="33039" hidden="1" x14ac:dyDescent="0.2"/>
    <row r="33040" hidden="1" x14ac:dyDescent="0.2"/>
    <row r="33041" hidden="1" x14ac:dyDescent="0.2"/>
    <row r="33042" hidden="1" x14ac:dyDescent="0.2"/>
    <row r="33043" hidden="1" x14ac:dyDescent="0.2"/>
    <row r="33044" hidden="1" x14ac:dyDescent="0.2"/>
    <row r="33045" hidden="1" x14ac:dyDescent="0.2"/>
    <row r="33046" hidden="1" x14ac:dyDescent="0.2"/>
    <row r="33047" hidden="1" x14ac:dyDescent="0.2"/>
    <row r="33048" hidden="1" x14ac:dyDescent="0.2"/>
    <row r="33049" hidden="1" x14ac:dyDescent="0.2"/>
    <row r="33050" hidden="1" x14ac:dyDescent="0.2"/>
    <row r="33051" hidden="1" x14ac:dyDescent="0.2"/>
    <row r="33052" hidden="1" x14ac:dyDescent="0.2"/>
    <row r="33053" hidden="1" x14ac:dyDescent="0.2"/>
    <row r="33054" hidden="1" x14ac:dyDescent="0.2"/>
    <row r="33055" hidden="1" x14ac:dyDescent="0.2"/>
    <row r="33056" hidden="1" x14ac:dyDescent="0.2"/>
    <row r="33057" hidden="1" x14ac:dyDescent="0.2"/>
    <row r="33058" hidden="1" x14ac:dyDescent="0.2"/>
    <row r="33059" hidden="1" x14ac:dyDescent="0.2"/>
    <row r="33060" hidden="1" x14ac:dyDescent="0.2"/>
    <row r="33061" hidden="1" x14ac:dyDescent="0.2"/>
    <row r="33062" hidden="1" x14ac:dyDescent="0.2"/>
    <row r="33063" hidden="1" x14ac:dyDescent="0.2"/>
    <row r="33064" hidden="1" x14ac:dyDescent="0.2"/>
    <row r="33065" hidden="1" x14ac:dyDescent="0.2"/>
    <row r="33066" hidden="1" x14ac:dyDescent="0.2"/>
    <row r="33067" hidden="1" x14ac:dyDescent="0.2"/>
    <row r="33068" hidden="1" x14ac:dyDescent="0.2"/>
    <row r="33069" hidden="1" x14ac:dyDescent="0.2"/>
    <row r="33070" hidden="1" x14ac:dyDescent="0.2"/>
    <row r="33071" hidden="1" x14ac:dyDescent="0.2"/>
    <row r="33072" hidden="1" x14ac:dyDescent="0.2"/>
    <row r="33073" hidden="1" x14ac:dyDescent="0.2"/>
    <row r="33074" hidden="1" x14ac:dyDescent="0.2"/>
    <row r="33075" hidden="1" x14ac:dyDescent="0.2"/>
    <row r="33076" hidden="1" x14ac:dyDescent="0.2"/>
    <row r="33077" hidden="1" x14ac:dyDescent="0.2"/>
    <row r="33078" hidden="1" x14ac:dyDescent="0.2"/>
    <row r="33079" hidden="1" x14ac:dyDescent="0.2"/>
    <row r="33080" hidden="1" x14ac:dyDescent="0.2"/>
    <row r="33081" hidden="1" x14ac:dyDescent="0.2"/>
    <row r="33082" hidden="1" x14ac:dyDescent="0.2"/>
    <row r="33083" hidden="1" x14ac:dyDescent="0.2"/>
    <row r="33084" hidden="1" x14ac:dyDescent="0.2"/>
    <row r="33085" hidden="1" x14ac:dyDescent="0.2"/>
    <row r="33086" hidden="1" x14ac:dyDescent="0.2"/>
    <row r="33087" hidden="1" x14ac:dyDescent="0.2"/>
    <row r="33088" hidden="1" x14ac:dyDescent="0.2"/>
    <row r="33089" hidden="1" x14ac:dyDescent="0.2"/>
    <row r="33090" hidden="1" x14ac:dyDescent="0.2"/>
    <row r="33091" hidden="1" x14ac:dyDescent="0.2"/>
    <row r="33092" hidden="1" x14ac:dyDescent="0.2"/>
    <row r="33093" hidden="1" x14ac:dyDescent="0.2"/>
    <row r="33094" hidden="1" x14ac:dyDescent="0.2"/>
    <row r="33095" hidden="1" x14ac:dyDescent="0.2"/>
    <row r="33096" hidden="1" x14ac:dyDescent="0.2"/>
    <row r="33097" hidden="1" x14ac:dyDescent="0.2"/>
    <row r="33098" hidden="1" x14ac:dyDescent="0.2"/>
    <row r="33099" hidden="1" x14ac:dyDescent="0.2"/>
    <row r="33100" hidden="1" x14ac:dyDescent="0.2"/>
    <row r="33101" hidden="1" x14ac:dyDescent="0.2"/>
    <row r="33102" hidden="1" x14ac:dyDescent="0.2"/>
    <row r="33103" hidden="1" x14ac:dyDescent="0.2"/>
    <row r="33104" hidden="1" x14ac:dyDescent="0.2"/>
    <row r="33105" hidden="1" x14ac:dyDescent="0.2"/>
    <row r="33106" hidden="1" x14ac:dyDescent="0.2"/>
    <row r="33107" hidden="1" x14ac:dyDescent="0.2"/>
    <row r="33108" hidden="1" x14ac:dyDescent="0.2"/>
    <row r="33109" hidden="1" x14ac:dyDescent="0.2"/>
    <row r="33110" hidden="1" x14ac:dyDescent="0.2"/>
    <row r="33111" hidden="1" x14ac:dyDescent="0.2"/>
    <row r="33112" hidden="1" x14ac:dyDescent="0.2"/>
    <row r="33113" hidden="1" x14ac:dyDescent="0.2"/>
    <row r="33114" hidden="1" x14ac:dyDescent="0.2"/>
    <row r="33115" hidden="1" x14ac:dyDescent="0.2"/>
    <row r="33116" hidden="1" x14ac:dyDescent="0.2"/>
    <row r="33117" hidden="1" x14ac:dyDescent="0.2"/>
    <row r="33118" hidden="1" x14ac:dyDescent="0.2"/>
    <row r="33119" hidden="1" x14ac:dyDescent="0.2"/>
    <row r="33120" hidden="1" x14ac:dyDescent="0.2"/>
    <row r="33121" hidden="1" x14ac:dyDescent="0.2"/>
    <row r="33122" hidden="1" x14ac:dyDescent="0.2"/>
    <row r="33123" hidden="1" x14ac:dyDescent="0.2"/>
    <row r="33124" hidden="1" x14ac:dyDescent="0.2"/>
    <row r="33125" hidden="1" x14ac:dyDescent="0.2"/>
    <row r="33126" hidden="1" x14ac:dyDescent="0.2"/>
    <row r="33127" hidden="1" x14ac:dyDescent="0.2"/>
    <row r="33128" hidden="1" x14ac:dyDescent="0.2"/>
    <row r="33129" hidden="1" x14ac:dyDescent="0.2"/>
    <row r="33130" hidden="1" x14ac:dyDescent="0.2"/>
    <row r="33131" hidden="1" x14ac:dyDescent="0.2"/>
    <row r="33132" hidden="1" x14ac:dyDescent="0.2"/>
    <row r="33133" hidden="1" x14ac:dyDescent="0.2"/>
    <row r="33134" hidden="1" x14ac:dyDescent="0.2"/>
    <row r="33135" hidden="1" x14ac:dyDescent="0.2"/>
    <row r="33136" hidden="1" x14ac:dyDescent="0.2"/>
    <row r="33137" hidden="1" x14ac:dyDescent="0.2"/>
    <row r="33138" hidden="1" x14ac:dyDescent="0.2"/>
    <row r="33139" hidden="1" x14ac:dyDescent="0.2"/>
    <row r="33140" hidden="1" x14ac:dyDescent="0.2"/>
    <row r="33141" hidden="1" x14ac:dyDescent="0.2"/>
    <row r="33142" hidden="1" x14ac:dyDescent="0.2"/>
    <row r="33143" hidden="1" x14ac:dyDescent="0.2"/>
    <row r="33144" hidden="1" x14ac:dyDescent="0.2"/>
    <row r="33145" hidden="1" x14ac:dyDescent="0.2"/>
    <row r="33146" hidden="1" x14ac:dyDescent="0.2"/>
    <row r="33147" hidden="1" x14ac:dyDescent="0.2"/>
    <row r="33148" hidden="1" x14ac:dyDescent="0.2"/>
    <row r="33149" hidden="1" x14ac:dyDescent="0.2"/>
    <row r="33150" hidden="1" x14ac:dyDescent="0.2"/>
    <row r="33151" hidden="1" x14ac:dyDescent="0.2"/>
    <row r="33152" hidden="1" x14ac:dyDescent="0.2"/>
    <row r="33153" hidden="1" x14ac:dyDescent="0.2"/>
    <row r="33154" hidden="1" x14ac:dyDescent="0.2"/>
    <row r="33155" hidden="1" x14ac:dyDescent="0.2"/>
    <row r="33156" hidden="1" x14ac:dyDescent="0.2"/>
    <row r="33157" hidden="1" x14ac:dyDescent="0.2"/>
    <row r="33158" hidden="1" x14ac:dyDescent="0.2"/>
    <row r="33159" hidden="1" x14ac:dyDescent="0.2"/>
    <row r="33160" hidden="1" x14ac:dyDescent="0.2"/>
    <row r="33161" hidden="1" x14ac:dyDescent="0.2"/>
    <row r="33162" hidden="1" x14ac:dyDescent="0.2"/>
    <row r="33163" hidden="1" x14ac:dyDescent="0.2"/>
    <row r="33164" hidden="1" x14ac:dyDescent="0.2"/>
    <row r="33165" hidden="1" x14ac:dyDescent="0.2"/>
    <row r="33166" hidden="1" x14ac:dyDescent="0.2"/>
    <row r="33167" hidden="1" x14ac:dyDescent="0.2"/>
    <row r="33168" hidden="1" x14ac:dyDescent="0.2"/>
    <row r="33169" hidden="1" x14ac:dyDescent="0.2"/>
    <row r="33170" hidden="1" x14ac:dyDescent="0.2"/>
    <row r="33171" hidden="1" x14ac:dyDescent="0.2"/>
    <row r="33172" hidden="1" x14ac:dyDescent="0.2"/>
    <row r="33173" hidden="1" x14ac:dyDescent="0.2"/>
    <row r="33174" hidden="1" x14ac:dyDescent="0.2"/>
    <row r="33175" hidden="1" x14ac:dyDescent="0.2"/>
    <row r="33176" hidden="1" x14ac:dyDescent="0.2"/>
    <row r="33177" hidden="1" x14ac:dyDescent="0.2"/>
    <row r="33178" hidden="1" x14ac:dyDescent="0.2"/>
    <row r="33179" hidden="1" x14ac:dyDescent="0.2"/>
    <row r="33180" hidden="1" x14ac:dyDescent="0.2"/>
    <row r="33181" hidden="1" x14ac:dyDescent="0.2"/>
    <row r="33182" hidden="1" x14ac:dyDescent="0.2"/>
    <row r="33183" hidden="1" x14ac:dyDescent="0.2"/>
    <row r="33184" hidden="1" x14ac:dyDescent="0.2"/>
    <row r="33185" hidden="1" x14ac:dyDescent="0.2"/>
    <row r="33186" hidden="1" x14ac:dyDescent="0.2"/>
    <row r="33187" hidden="1" x14ac:dyDescent="0.2"/>
    <row r="33188" hidden="1" x14ac:dyDescent="0.2"/>
    <row r="33189" hidden="1" x14ac:dyDescent="0.2"/>
    <row r="33190" hidden="1" x14ac:dyDescent="0.2"/>
    <row r="33191" hidden="1" x14ac:dyDescent="0.2"/>
    <row r="33192" hidden="1" x14ac:dyDescent="0.2"/>
    <row r="33193" hidden="1" x14ac:dyDescent="0.2"/>
    <row r="33194" hidden="1" x14ac:dyDescent="0.2"/>
    <row r="33195" hidden="1" x14ac:dyDescent="0.2"/>
    <row r="33196" hidden="1" x14ac:dyDescent="0.2"/>
    <row r="33197" hidden="1" x14ac:dyDescent="0.2"/>
    <row r="33198" hidden="1" x14ac:dyDescent="0.2"/>
    <row r="33199" hidden="1" x14ac:dyDescent="0.2"/>
    <row r="33200" hidden="1" x14ac:dyDescent="0.2"/>
    <row r="33201" hidden="1" x14ac:dyDescent="0.2"/>
    <row r="33202" hidden="1" x14ac:dyDescent="0.2"/>
    <row r="33203" hidden="1" x14ac:dyDescent="0.2"/>
    <row r="33204" hidden="1" x14ac:dyDescent="0.2"/>
    <row r="33205" hidden="1" x14ac:dyDescent="0.2"/>
    <row r="33206" hidden="1" x14ac:dyDescent="0.2"/>
    <row r="33207" hidden="1" x14ac:dyDescent="0.2"/>
    <row r="33208" hidden="1" x14ac:dyDescent="0.2"/>
    <row r="33209" hidden="1" x14ac:dyDescent="0.2"/>
    <row r="33210" hidden="1" x14ac:dyDescent="0.2"/>
    <row r="33211" hidden="1" x14ac:dyDescent="0.2"/>
    <row r="33212" hidden="1" x14ac:dyDescent="0.2"/>
    <row r="33213" hidden="1" x14ac:dyDescent="0.2"/>
    <row r="33214" hidden="1" x14ac:dyDescent="0.2"/>
    <row r="33215" hidden="1" x14ac:dyDescent="0.2"/>
    <row r="33216" hidden="1" x14ac:dyDescent="0.2"/>
    <row r="33217" hidden="1" x14ac:dyDescent="0.2"/>
    <row r="33218" hidden="1" x14ac:dyDescent="0.2"/>
    <row r="33219" hidden="1" x14ac:dyDescent="0.2"/>
    <row r="33220" hidden="1" x14ac:dyDescent="0.2"/>
    <row r="33221" hidden="1" x14ac:dyDescent="0.2"/>
    <row r="33222" hidden="1" x14ac:dyDescent="0.2"/>
    <row r="33223" hidden="1" x14ac:dyDescent="0.2"/>
    <row r="33224" hidden="1" x14ac:dyDescent="0.2"/>
    <row r="33225" hidden="1" x14ac:dyDescent="0.2"/>
    <row r="33226" hidden="1" x14ac:dyDescent="0.2"/>
    <row r="33227" hidden="1" x14ac:dyDescent="0.2"/>
    <row r="33228" hidden="1" x14ac:dyDescent="0.2"/>
    <row r="33229" hidden="1" x14ac:dyDescent="0.2"/>
    <row r="33230" hidden="1" x14ac:dyDescent="0.2"/>
    <row r="33231" hidden="1" x14ac:dyDescent="0.2"/>
    <row r="33232" hidden="1" x14ac:dyDescent="0.2"/>
    <row r="33233" hidden="1" x14ac:dyDescent="0.2"/>
    <row r="33234" hidden="1" x14ac:dyDescent="0.2"/>
    <row r="33235" hidden="1" x14ac:dyDescent="0.2"/>
    <row r="33236" hidden="1" x14ac:dyDescent="0.2"/>
    <row r="33237" hidden="1" x14ac:dyDescent="0.2"/>
    <row r="33238" hidden="1" x14ac:dyDescent="0.2"/>
    <row r="33239" hidden="1" x14ac:dyDescent="0.2"/>
    <row r="33240" hidden="1" x14ac:dyDescent="0.2"/>
    <row r="33241" hidden="1" x14ac:dyDescent="0.2"/>
    <row r="33242" hidden="1" x14ac:dyDescent="0.2"/>
    <row r="33243" hidden="1" x14ac:dyDescent="0.2"/>
    <row r="33244" hidden="1" x14ac:dyDescent="0.2"/>
    <row r="33245" hidden="1" x14ac:dyDescent="0.2"/>
    <row r="33246" hidden="1" x14ac:dyDescent="0.2"/>
    <row r="33247" hidden="1" x14ac:dyDescent="0.2"/>
    <row r="33248" hidden="1" x14ac:dyDescent="0.2"/>
    <row r="33249" hidden="1" x14ac:dyDescent="0.2"/>
    <row r="33250" hidden="1" x14ac:dyDescent="0.2"/>
    <row r="33251" hidden="1" x14ac:dyDescent="0.2"/>
    <row r="33252" hidden="1" x14ac:dyDescent="0.2"/>
    <row r="33253" hidden="1" x14ac:dyDescent="0.2"/>
    <row r="33254" hidden="1" x14ac:dyDescent="0.2"/>
    <row r="33255" hidden="1" x14ac:dyDescent="0.2"/>
    <row r="33256" hidden="1" x14ac:dyDescent="0.2"/>
    <row r="33257" hidden="1" x14ac:dyDescent="0.2"/>
    <row r="33258" hidden="1" x14ac:dyDescent="0.2"/>
    <row r="33259" hidden="1" x14ac:dyDescent="0.2"/>
    <row r="33260" hidden="1" x14ac:dyDescent="0.2"/>
    <row r="33261" hidden="1" x14ac:dyDescent="0.2"/>
    <row r="33262" hidden="1" x14ac:dyDescent="0.2"/>
    <row r="33263" hidden="1" x14ac:dyDescent="0.2"/>
    <row r="33264" hidden="1" x14ac:dyDescent="0.2"/>
    <row r="33265" hidden="1" x14ac:dyDescent="0.2"/>
    <row r="33266" hidden="1" x14ac:dyDescent="0.2"/>
    <row r="33267" hidden="1" x14ac:dyDescent="0.2"/>
    <row r="33268" hidden="1" x14ac:dyDescent="0.2"/>
    <row r="33269" hidden="1" x14ac:dyDescent="0.2"/>
    <row r="33270" hidden="1" x14ac:dyDescent="0.2"/>
    <row r="33271" hidden="1" x14ac:dyDescent="0.2"/>
    <row r="33272" hidden="1" x14ac:dyDescent="0.2"/>
    <row r="33273" hidden="1" x14ac:dyDescent="0.2"/>
    <row r="33274" hidden="1" x14ac:dyDescent="0.2"/>
    <row r="33275" hidden="1" x14ac:dyDescent="0.2"/>
    <row r="33276" hidden="1" x14ac:dyDescent="0.2"/>
    <row r="33277" hidden="1" x14ac:dyDescent="0.2"/>
    <row r="33278" hidden="1" x14ac:dyDescent="0.2"/>
    <row r="33279" hidden="1" x14ac:dyDescent="0.2"/>
    <row r="33280" hidden="1" x14ac:dyDescent="0.2"/>
    <row r="33281" hidden="1" x14ac:dyDescent="0.2"/>
    <row r="33282" hidden="1" x14ac:dyDescent="0.2"/>
    <row r="33283" hidden="1" x14ac:dyDescent="0.2"/>
    <row r="33284" hidden="1" x14ac:dyDescent="0.2"/>
    <row r="33285" hidden="1" x14ac:dyDescent="0.2"/>
    <row r="33286" hidden="1" x14ac:dyDescent="0.2"/>
    <row r="33287" hidden="1" x14ac:dyDescent="0.2"/>
    <row r="33288" hidden="1" x14ac:dyDescent="0.2"/>
    <row r="33289" hidden="1" x14ac:dyDescent="0.2"/>
    <row r="33290" hidden="1" x14ac:dyDescent="0.2"/>
    <row r="33291" hidden="1" x14ac:dyDescent="0.2"/>
    <row r="33292" hidden="1" x14ac:dyDescent="0.2"/>
    <row r="33293" hidden="1" x14ac:dyDescent="0.2"/>
    <row r="33294" hidden="1" x14ac:dyDescent="0.2"/>
    <row r="33295" hidden="1" x14ac:dyDescent="0.2"/>
    <row r="33296" hidden="1" x14ac:dyDescent="0.2"/>
    <row r="33297" hidden="1" x14ac:dyDescent="0.2"/>
    <row r="33298" hidden="1" x14ac:dyDescent="0.2"/>
    <row r="33299" hidden="1" x14ac:dyDescent="0.2"/>
    <row r="33300" hidden="1" x14ac:dyDescent="0.2"/>
    <row r="33301" hidden="1" x14ac:dyDescent="0.2"/>
    <row r="33302" hidden="1" x14ac:dyDescent="0.2"/>
    <row r="33303" hidden="1" x14ac:dyDescent="0.2"/>
    <row r="33304" hidden="1" x14ac:dyDescent="0.2"/>
    <row r="33305" hidden="1" x14ac:dyDescent="0.2"/>
    <row r="33306" hidden="1" x14ac:dyDescent="0.2"/>
    <row r="33307" hidden="1" x14ac:dyDescent="0.2"/>
    <row r="33308" hidden="1" x14ac:dyDescent="0.2"/>
    <row r="33309" hidden="1" x14ac:dyDescent="0.2"/>
    <row r="33310" hidden="1" x14ac:dyDescent="0.2"/>
    <row r="33311" hidden="1" x14ac:dyDescent="0.2"/>
    <row r="33312" hidden="1" x14ac:dyDescent="0.2"/>
    <row r="33313" hidden="1" x14ac:dyDescent="0.2"/>
    <row r="33314" hidden="1" x14ac:dyDescent="0.2"/>
    <row r="33315" hidden="1" x14ac:dyDescent="0.2"/>
    <row r="33316" hidden="1" x14ac:dyDescent="0.2"/>
    <row r="33317" hidden="1" x14ac:dyDescent="0.2"/>
    <row r="33318" hidden="1" x14ac:dyDescent="0.2"/>
    <row r="33319" hidden="1" x14ac:dyDescent="0.2"/>
    <row r="33320" hidden="1" x14ac:dyDescent="0.2"/>
    <row r="33321" hidden="1" x14ac:dyDescent="0.2"/>
    <row r="33322" hidden="1" x14ac:dyDescent="0.2"/>
    <row r="33323" hidden="1" x14ac:dyDescent="0.2"/>
    <row r="33324" hidden="1" x14ac:dyDescent="0.2"/>
    <row r="33325" hidden="1" x14ac:dyDescent="0.2"/>
    <row r="33326" hidden="1" x14ac:dyDescent="0.2"/>
    <row r="33327" hidden="1" x14ac:dyDescent="0.2"/>
    <row r="33328" hidden="1" x14ac:dyDescent="0.2"/>
    <row r="33329" hidden="1" x14ac:dyDescent="0.2"/>
    <row r="33330" hidden="1" x14ac:dyDescent="0.2"/>
    <row r="33331" hidden="1" x14ac:dyDescent="0.2"/>
    <row r="33332" hidden="1" x14ac:dyDescent="0.2"/>
    <row r="33333" hidden="1" x14ac:dyDescent="0.2"/>
    <row r="33334" hidden="1" x14ac:dyDescent="0.2"/>
    <row r="33335" hidden="1" x14ac:dyDescent="0.2"/>
    <row r="33336" hidden="1" x14ac:dyDescent="0.2"/>
    <row r="33337" hidden="1" x14ac:dyDescent="0.2"/>
    <row r="33338" hidden="1" x14ac:dyDescent="0.2"/>
    <row r="33339" hidden="1" x14ac:dyDescent="0.2"/>
    <row r="33340" hidden="1" x14ac:dyDescent="0.2"/>
    <row r="33341" hidden="1" x14ac:dyDescent="0.2"/>
    <row r="33342" hidden="1" x14ac:dyDescent="0.2"/>
    <row r="33343" hidden="1" x14ac:dyDescent="0.2"/>
    <row r="33344" hidden="1" x14ac:dyDescent="0.2"/>
    <row r="33345" hidden="1" x14ac:dyDescent="0.2"/>
    <row r="33346" hidden="1" x14ac:dyDescent="0.2"/>
    <row r="33347" hidden="1" x14ac:dyDescent="0.2"/>
    <row r="33348" hidden="1" x14ac:dyDescent="0.2"/>
    <row r="33349" hidden="1" x14ac:dyDescent="0.2"/>
    <row r="33350" hidden="1" x14ac:dyDescent="0.2"/>
    <row r="33351" hidden="1" x14ac:dyDescent="0.2"/>
    <row r="33352" hidden="1" x14ac:dyDescent="0.2"/>
    <row r="33353" hidden="1" x14ac:dyDescent="0.2"/>
    <row r="33354" hidden="1" x14ac:dyDescent="0.2"/>
    <row r="33355" hidden="1" x14ac:dyDescent="0.2"/>
    <row r="33356" hidden="1" x14ac:dyDescent="0.2"/>
    <row r="33357" hidden="1" x14ac:dyDescent="0.2"/>
    <row r="33358" hidden="1" x14ac:dyDescent="0.2"/>
    <row r="33359" hidden="1" x14ac:dyDescent="0.2"/>
    <row r="33360" hidden="1" x14ac:dyDescent="0.2"/>
    <row r="33361" hidden="1" x14ac:dyDescent="0.2"/>
    <row r="33362" hidden="1" x14ac:dyDescent="0.2"/>
    <row r="33363" hidden="1" x14ac:dyDescent="0.2"/>
    <row r="33364" hidden="1" x14ac:dyDescent="0.2"/>
    <row r="33365" hidden="1" x14ac:dyDescent="0.2"/>
    <row r="33366" hidden="1" x14ac:dyDescent="0.2"/>
    <row r="33367" hidden="1" x14ac:dyDescent="0.2"/>
    <row r="33368" hidden="1" x14ac:dyDescent="0.2"/>
    <row r="33369" hidden="1" x14ac:dyDescent="0.2"/>
    <row r="33370" hidden="1" x14ac:dyDescent="0.2"/>
    <row r="33371" hidden="1" x14ac:dyDescent="0.2"/>
    <row r="33372" hidden="1" x14ac:dyDescent="0.2"/>
    <row r="33373" hidden="1" x14ac:dyDescent="0.2"/>
    <row r="33374" hidden="1" x14ac:dyDescent="0.2"/>
    <row r="33375" hidden="1" x14ac:dyDescent="0.2"/>
    <row r="33376" hidden="1" x14ac:dyDescent="0.2"/>
    <row r="33377" hidden="1" x14ac:dyDescent="0.2"/>
    <row r="33378" hidden="1" x14ac:dyDescent="0.2"/>
    <row r="33379" hidden="1" x14ac:dyDescent="0.2"/>
    <row r="33380" hidden="1" x14ac:dyDescent="0.2"/>
    <row r="33381" hidden="1" x14ac:dyDescent="0.2"/>
    <row r="33382" hidden="1" x14ac:dyDescent="0.2"/>
    <row r="33383" hidden="1" x14ac:dyDescent="0.2"/>
    <row r="33384" hidden="1" x14ac:dyDescent="0.2"/>
    <row r="33385" hidden="1" x14ac:dyDescent="0.2"/>
    <row r="33386" hidden="1" x14ac:dyDescent="0.2"/>
    <row r="33387" hidden="1" x14ac:dyDescent="0.2"/>
    <row r="33388" hidden="1" x14ac:dyDescent="0.2"/>
    <row r="33389" hidden="1" x14ac:dyDescent="0.2"/>
    <row r="33390" hidden="1" x14ac:dyDescent="0.2"/>
    <row r="33391" hidden="1" x14ac:dyDescent="0.2"/>
    <row r="33392" hidden="1" x14ac:dyDescent="0.2"/>
    <row r="33393" hidden="1" x14ac:dyDescent="0.2"/>
    <row r="33394" hidden="1" x14ac:dyDescent="0.2"/>
    <row r="33395" hidden="1" x14ac:dyDescent="0.2"/>
    <row r="33396" hidden="1" x14ac:dyDescent="0.2"/>
    <row r="33397" hidden="1" x14ac:dyDescent="0.2"/>
    <row r="33398" hidden="1" x14ac:dyDescent="0.2"/>
    <row r="33399" hidden="1" x14ac:dyDescent="0.2"/>
    <row r="33400" hidden="1" x14ac:dyDescent="0.2"/>
    <row r="33401" hidden="1" x14ac:dyDescent="0.2"/>
    <row r="33402" hidden="1" x14ac:dyDescent="0.2"/>
    <row r="33403" hidden="1" x14ac:dyDescent="0.2"/>
    <row r="33404" hidden="1" x14ac:dyDescent="0.2"/>
    <row r="33405" hidden="1" x14ac:dyDescent="0.2"/>
    <row r="33406" hidden="1" x14ac:dyDescent="0.2"/>
    <row r="33407" hidden="1" x14ac:dyDescent="0.2"/>
    <row r="33408" hidden="1" x14ac:dyDescent="0.2"/>
    <row r="33409" hidden="1" x14ac:dyDescent="0.2"/>
    <row r="33410" hidden="1" x14ac:dyDescent="0.2"/>
    <row r="33411" hidden="1" x14ac:dyDescent="0.2"/>
    <row r="33412" hidden="1" x14ac:dyDescent="0.2"/>
    <row r="33413" hidden="1" x14ac:dyDescent="0.2"/>
    <row r="33414" hidden="1" x14ac:dyDescent="0.2"/>
    <row r="33415" hidden="1" x14ac:dyDescent="0.2"/>
    <row r="33416" hidden="1" x14ac:dyDescent="0.2"/>
    <row r="33417" hidden="1" x14ac:dyDescent="0.2"/>
    <row r="33418" hidden="1" x14ac:dyDescent="0.2"/>
    <row r="33419" hidden="1" x14ac:dyDescent="0.2"/>
    <row r="33420" hidden="1" x14ac:dyDescent="0.2"/>
    <row r="33421" hidden="1" x14ac:dyDescent="0.2"/>
    <row r="33422" hidden="1" x14ac:dyDescent="0.2"/>
    <row r="33423" hidden="1" x14ac:dyDescent="0.2"/>
    <row r="33424" hidden="1" x14ac:dyDescent="0.2"/>
    <row r="33425" hidden="1" x14ac:dyDescent="0.2"/>
    <row r="33426" hidden="1" x14ac:dyDescent="0.2"/>
    <row r="33427" hidden="1" x14ac:dyDescent="0.2"/>
    <row r="33428" hidden="1" x14ac:dyDescent="0.2"/>
    <row r="33429" hidden="1" x14ac:dyDescent="0.2"/>
    <row r="33430" hidden="1" x14ac:dyDescent="0.2"/>
    <row r="33431" hidden="1" x14ac:dyDescent="0.2"/>
    <row r="33432" hidden="1" x14ac:dyDescent="0.2"/>
    <row r="33433" hidden="1" x14ac:dyDescent="0.2"/>
    <row r="33434" hidden="1" x14ac:dyDescent="0.2"/>
    <row r="33435" hidden="1" x14ac:dyDescent="0.2"/>
    <row r="33436" hidden="1" x14ac:dyDescent="0.2"/>
    <row r="33437" hidden="1" x14ac:dyDescent="0.2"/>
    <row r="33438" hidden="1" x14ac:dyDescent="0.2"/>
    <row r="33439" hidden="1" x14ac:dyDescent="0.2"/>
    <row r="33440" hidden="1" x14ac:dyDescent="0.2"/>
    <row r="33441" hidden="1" x14ac:dyDescent="0.2"/>
    <row r="33442" hidden="1" x14ac:dyDescent="0.2"/>
    <row r="33443" hidden="1" x14ac:dyDescent="0.2"/>
    <row r="33444" hidden="1" x14ac:dyDescent="0.2"/>
    <row r="33445" hidden="1" x14ac:dyDescent="0.2"/>
    <row r="33446" hidden="1" x14ac:dyDescent="0.2"/>
    <row r="33447" hidden="1" x14ac:dyDescent="0.2"/>
    <row r="33448" hidden="1" x14ac:dyDescent="0.2"/>
    <row r="33449" hidden="1" x14ac:dyDescent="0.2"/>
    <row r="33450" hidden="1" x14ac:dyDescent="0.2"/>
    <row r="33451" hidden="1" x14ac:dyDescent="0.2"/>
    <row r="33452" hidden="1" x14ac:dyDescent="0.2"/>
    <row r="33453" hidden="1" x14ac:dyDescent="0.2"/>
    <row r="33454" hidden="1" x14ac:dyDescent="0.2"/>
    <row r="33455" hidden="1" x14ac:dyDescent="0.2"/>
    <row r="33456" hidden="1" x14ac:dyDescent="0.2"/>
    <row r="33457" hidden="1" x14ac:dyDescent="0.2"/>
    <row r="33458" hidden="1" x14ac:dyDescent="0.2"/>
    <row r="33459" hidden="1" x14ac:dyDescent="0.2"/>
    <row r="33460" hidden="1" x14ac:dyDescent="0.2"/>
    <row r="33461" hidden="1" x14ac:dyDescent="0.2"/>
    <row r="33462" hidden="1" x14ac:dyDescent="0.2"/>
    <row r="33463" hidden="1" x14ac:dyDescent="0.2"/>
    <row r="33464" hidden="1" x14ac:dyDescent="0.2"/>
    <row r="33465" hidden="1" x14ac:dyDescent="0.2"/>
    <row r="33466" hidden="1" x14ac:dyDescent="0.2"/>
    <row r="33467" hidden="1" x14ac:dyDescent="0.2"/>
    <row r="33468" hidden="1" x14ac:dyDescent="0.2"/>
    <row r="33469" hidden="1" x14ac:dyDescent="0.2"/>
    <row r="33470" hidden="1" x14ac:dyDescent="0.2"/>
    <row r="33471" hidden="1" x14ac:dyDescent="0.2"/>
    <row r="33472" hidden="1" x14ac:dyDescent="0.2"/>
    <row r="33473" hidden="1" x14ac:dyDescent="0.2"/>
    <row r="33474" hidden="1" x14ac:dyDescent="0.2"/>
    <row r="33475" hidden="1" x14ac:dyDescent="0.2"/>
    <row r="33476" hidden="1" x14ac:dyDescent="0.2"/>
    <row r="33477" hidden="1" x14ac:dyDescent="0.2"/>
    <row r="33478" hidden="1" x14ac:dyDescent="0.2"/>
    <row r="33479" hidden="1" x14ac:dyDescent="0.2"/>
    <row r="33480" hidden="1" x14ac:dyDescent="0.2"/>
    <row r="33481" hidden="1" x14ac:dyDescent="0.2"/>
    <row r="33482" hidden="1" x14ac:dyDescent="0.2"/>
    <row r="33483" hidden="1" x14ac:dyDescent="0.2"/>
    <row r="33484" hidden="1" x14ac:dyDescent="0.2"/>
    <row r="33485" hidden="1" x14ac:dyDescent="0.2"/>
    <row r="33486" hidden="1" x14ac:dyDescent="0.2"/>
    <row r="33487" hidden="1" x14ac:dyDescent="0.2"/>
    <row r="33488" hidden="1" x14ac:dyDescent="0.2"/>
    <row r="33489" hidden="1" x14ac:dyDescent="0.2"/>
    <row r="33490" hidden="1" x14ac:dyDescent="0.2"/>
    <row r="33491" hidden="1" x14ac:dyDescent="0.2"/>
    <row r="33492" hidden="1" x14ac:dyDescent="0.2"/>
    <row r="33493" hidden="1" x14ac:dyDescent="0.2"/>
    <row r="33494" hidden="1" x14ac:dyDescent="0.2"/>
    <row r="33495" hidden="1" x14ac:dyDescent="0.2"/>
    <row r="33496" hidden="1" x14ac:dyDescent="0.2"/>
    <row r="33497" hidden="1" x14ac:dyDescent="0.2"/>
    <row r="33498" hidden="1" x14ac:dyDescent="0.2"/>
    <row r="33499" hidden="1" x14ac:dyDescent="0.2"/>
    <row r="33500" hidden="1" x14ac:dyDescent="0.2"/>
    <row r="33501" hidden="1" x14ac:dyDescent="0.2"/>
    <row r="33502" hidden="1" x14ac:dyDescent="0.2"/>
    <row r="33503" hidden="1" x14ac:dyDescent="0.2"/>
    <row r="33504" hidden="1" x14ac:dyDescent="0.2"/>
    <row r="33505" hidden="1" x14ac:dyDescent="0.2"/>
    <row r="33506" hidden="1" x14ac:dyDescent="0.2"/>
    <row r="33507" hidden="1" x14ac:dyDescent="0.2"/>
    <row r="33508" hidden="1" x14ac:dyDescent="0.2"/>
    <row r="33509" hidden="1" x14ac:dyDescent="0.2"/>
    <row r="33510" hidden="1" x14ac:dyDescent="0.2"/>
    <row r="33511" hidden="1" x14ac:dyDescent="0.2"/>
    <row r="33512" hidden="1" x14ac:dyDescent="0.2"/>
    <row r="33513" hidden="1" x14ac:dyDescent="0.2"/>
    <row r="33514" hidden="1" x14ac:dyDescent="0.2"/>
    <row r="33515" hidden="1" x14ac:dyDescent="0.2"/>
    <row r="33516" hidden="1" x14ac:dyDescent="0.2"/>
    <row r="33517" hidden="1" x14ac:dyDescent="0.2"/>
    <row r="33518" hidden="1" x14ac:dyDescent="0.2"/>
    <row r="33519" hidden="1" x14ac:dyDescent="0.2"/>
    <row r="33520" hidden="1" x14ac:dyDescent="0.2"/>
    <row r="33521" hidden="1" x14ac:dyDescent="0.2"/>
    <row r="33522" hidden="1" x14ac:dyDescent="0.2"/>
    <row r="33523" hidden="1" x14ac:dyDescent="0.2"/>
    <row r="33524" hidden="1" x14ac:dyDescent="0.2"/>
    <row r="33525" hidden="1" x14ac:dyDescent="0.2"/>
    <row r="33526" hidden="1" x14ac:dyDescent="0.2"/>
    <row r="33527" hidden="1" x14ac:dyDescent="0.2"/>
    <row r="33528" hidden="1" x14ac:dyDescent="0.2"/>
    <row r="33529" hidden="1" x14ac:dyDescent="0.2"/>
    <row r="33530" hidden="1" x14ac:dyDescent="0.2"/>
    <row r="33531" hidden="1" x14ac:dyDescent="0.2"/>
    <row r="33532" hidden="1" x14ac:dyDescent="0.2"/>
    <row r="33533" hidden="1" x14ac:dyDescent="0.2"/>
    <row r="33534" hidden="1" x14ac:dyDescent="0.2"/>
    <row r="33535" hidden="1" x14ac:dyDescent="0.2"/>
    <row r="33536" hidden="1" x14ac:dyDescent="0.2"/>
    <row r="33537" hidden="1" x14ac:dyDescent="0.2"/>
    <row r="33538" hidden="1" x14ac:dyDescent="0.2"/>
    <row r="33539" hidden="1" x14ac:dyDescent="0.2"/>
    <row r="33540" hidden="1" x14ac:dyDescent="0.2"/>
    <row r="33541" hidden="1" x14ac:dyDescent="0.2"/>
    <row r="33542" hidden="1" x14ac:dyDescent="0.2"/>
    <row r="33543" hidden="1" x14ac:dyDescent="0.2"/>
    <row r="33544" hidden="1" x14ac:dyDescent="0.2"/>
    <row r="33545" hidden="1" x14ac:dyDescent="0.2"/>
    <row r="33546" hidden="1" x14ac:dyDescent="0.2"/>
    <row r="33547" hidden="1" x14ac:dyDescent="0.2"/>
    <row r="33548" hidden="1" x14ac:dyDescent="0.2"/>
    <row r="33549" hidden="1" x14ac:dyDescent="0.2"/>
    <row r="33550" hidden="1" x14ac:dyDescent="0.2"/>
    <row r="33551" hidden="1" x14ac:dyDescent="0.2"/>
    <row r="33552" hidden="1" x14ac:dyDescent="0.2"/>
    <row r="33553" hidden="1" x14ac:dyDescent="0.2"/>
    <row r="33554" hidden="1" x14ac:dyDescent="0.2"/>
    <row r="33555" hidden="1" x14ac:dyDescent="0.2"/>
    <row r="33556" hidden="1" x14ac:dyDescent="0.2"/>
    <row r="33557" hidden="1" x14ac:dyDescent="0.2"/>
    <row r="33558" hidden="1" x14ac:dyDescent="0.2"/>
    <row r="33559" hidden="1" x14ac:dyDescent="0.2"/>
    <row r="33560" hidden="1" x14ac:dyDescent="0.2"/>
    <row r="33561" hidden="1" x14ac:dyDescent="0.2"/>
    <row r="33562" hidden="1" x14ac:dyDescent="0.2"/>
    <row r="33563" hidden="1" x14ac:dyDescent="0.2"/>
    <row r="33564" hidden="1" x14ac:dyDescent="0.2"/>
    <row r="33565" hidden="1" x14ac:dyDescent="0.2"/>
    <row r="33566" hidden="1" x14ac:dyDescent="0.2"/>
    <row r="33567" hidden="1" x14ac:dyDescent="0.2"/>
    <row r="33568" hidden="1" x14ac:dyDescent="0.2"/>
    <row r="33569" hidden="1" x14ac:dyDescent="0.2"/>
    <row r="33570" hidden="1" x14ac:dyDescent="0.2"/>
    <row r="33571" hidden="1" x14ac:dyDescent="0.2"/>
    <row r="33572" hidden="1" x14ac:dyDescent="0.2"/>
    <row r="33573" hidden="1" x14ac:dyDescent="0.2"/>
    <row r="33574" hidden="1" x14ac:dyDescent="0.2"/>
    <row r="33575" hidden="1" x14ac:dyDescent="0.2"/>
    <row r="33576" hidden="1" x14ac:dyDescent="0.2"/>
    <row r="33577" hidden="1" x14ac:dyDescent="0.2"/>
    <row r="33578" hidden="1" x14ac:dyDescent="0.2"/>
    <row r="33579" hidden="1" x14ac:dyDescent="0.2"/>
    <row r="33580" hidden="1" x14ac:dyDescent="0.2"/>
    <row r="33581" hidden="1" x14ac:dyDescent="0.2"/>
    <row r="33582" hidden="1" x14ac:dyDescent="0.2"/>
    <row r="33583" hidden="1" x14ac:dyDescent="0.2"/>
    <row r="33584" hidden="1" x14ac:dyDescent="0.2"/>
    <row r="33585" hidden="1" x14ac:dyDescent="0.2"/>
    <row r="33586" hidden="1" x14ac:dyDescent="0.2"/>
    <row r="33587" hidden="1" x14ac:dyDescent="0.2"/>
    <row r="33588" hidden="1" x14ac:dyDescent="0.2"/>
    <row r="33589" hidden="1" x14ac:dyDescent="0.2"/>
    <row r="33590" hidden="1" x14ac:dyDescent="0.2"/>
    <row r="33591" hidden="1" x14ac:dyDescent="0.2"/>
    <row r="33592" hidden="1" x14ac:dyDescent="0.2"/>
    <row r="33593" hidden="1" x14ac:dyDescent="0.2"/>
    <row r="33594" hidden="1" x14ac:dyDescent="0.2"/>
    <row r="33595" hidden="1" x14ac:dyDescent="0.2"/>
    <row r="33596" hidden="1" x14ac:dyDescent="0.2"/>
    <row r="33597" hidden="1" x14ac:dyDescent="0.2"/>
    <row r="33598" hidden="1" x14ac:dyDescent="0.2"/>
    <row r="33599" hidden="1" x14ac:dyDescent="0.2"/>
    <row r="33600" hidden="1" x14ac:dyDescent="0.2"/>
    <row r="33601" hidden="1" x14ac:dyDescent="0.2"/>
    <row r="33602" hidden="1" x14ac:dyDescent="0.2"/>
    <row r="33603" hidden="1" x14ac:dyDescent="0.2"/>
    <row r="33604" hidden="1" x14ac:dyDescent="0.2"/>
    <row r="33605" hidden="1" x14ac:dyDescent="0.2"/>
    <row r="33606" hidden="1" x14ac:dyDescent="0.2"/>
    <row r="33607" hidden="1" x14ac:dyDescent="0.2"/>
    <row r="33608" hidden="1" x14ac:dyDescent="0.2"/>
    <row r="33609" hidden="1" x14ac:dyDescent="0.2"/>
    <row r="33610" hidden="1" x14ac:dyDescent="0.2"/>
    <row r="33611" hidden="1" x14ac:dyDescent="0.2"/>
    <row r="33612" hidden="1" x14ac:dyDescent="0.2"/>
    <row r="33613" hidden="1" x14ac:dyDescent="0.2"/>
    <row r="33614" hidden="1" x14ac:dyDescent="0.2"/>
    <row r="33615" hidden="1" x14ac:dyDescent="0.2"/>
    <row r="33616" hidden="1" x14ac:dyDescent="0.2"/>
    <row r="33617" hidden="1" x14ac:dyDescent="0.2"/>
    <row r="33618" hidden="1" x14ac:dyDescent="0.2"/>
    <row r="33619" hidden="1" x14ac:dyDescent="0.2"/>
    <row r="33620" hidden="1" x14ac:dyDescent="0.2"/>
    <row r="33621" hidden="1" x14ac:dyDescent="0.2"/>
    <row r="33622" hidden="1" x14ac:dyDescent="0.2"/>
    <row r="33623" hidden="1" x14ac:dyDescent="0.2"/>
    <row r="33624" hidden="1" x14ac:dyDescent="0.2"/>
    <row r="33625" hidden="1" x14ac:dyDescent="0.2"/>
    <row r="33626" hidden="1" x14ac:dyDescent="0.2"/>
    <row r="33627" hidden="1" x14ac:dyDescent="0.2"/>
    <row r="33628" hidden="1" x14ac:dyDescent="0.2"/>
    <row r="33629" hidden="1" x14ac:dyDescent="0.2"/>
    <row r="33630" hidden="1" x14ac:dyDescent="0.2"/>
    <row r="33631" hidden="1" x14ac:dyDescent="0.2"/>
    <row r="33632" hidden="1" x14ac:dyDescent="0.2"/>
    <row r="33633" hidden="1" x14ac:dyDescent="0.2"/>
    <row r="33634" hidden="1" x14ac:dyDescent="0.2"/>
    <row r="33635" hidden="1" x14ac:dyDescent="0.2"/>
    <row r="33636" hidden="1" x14ac:dyDescent="0.2"/>
    <row r="33637" hidden="1" x14ac:dyDescent="0.2"/>
    <row r="33638" hidden="1" x14ac:dyDescent="0.2"/>
    <row r="33639" hidden="1" x14ac:dyDescent="0.2"/>
    <row r="33640" hidden="1" x14ac:dyDescent="0.2"/>
    <row r="33641" hidden="1" x14ac:dyDescent="0.2"/>
    <row r="33642" hidden="1" x14ac:dyDescent="0.2"/>
    <row r="33643" hidden="1" x14ac:dyDescent="0.2"/>
    <row r="33644" hidden="1" x14ac:dyDescent="0.2"/>
    <row r="33645" hidden="1" x14ac:dyDescent="0.2"/>
    <row r="33646" hidden="1" x14ac:dyDescent="0.2"/>
    <row r="33647" hidden="1" x14ac:dyDescent="0.2"/>
    <row r="33648" hidden="1" x14ac:dyDescent="0.2"/>
    <row r="33649" hidden="1" x14ac:dyDescent="0.2"/>
    <row r="33650" hidden="1" x14ac:dyDescent="0.2"/>
    <row r="33651" hidden="1" x14ac:dyDescent="0.2"/>
    <row r="33652" hidden="1" x14ac:dyDescent="0.2"/>
    <row r="33653" hidden="1" x14ac:dyDescent="0.2"/>
    <row r="33654" hidden="1" x14ac:dyDescent="0.2"/>
    <row r="33655" hidden="1" x14ac:dyDescent="0.2"/>
    <row r="33656" hidden="1" x14ac:dyDescent="0.2"/>
    <row r="33657" hidden="1" x14ac:dyDescent="0.2"/>
    <row r="33658" hidden="1" x14ac:dyDescent="0.2"/>
    <row r="33659" hidden="1" x14ac:dyDescent="0.2"/>
    <row r="33660" hidden="1" x14ac:dyDescent="0.2"/>
    <row r="33661" hidden="1" x14ac:dyDescent="0.2"/>
    <row r="33662" hidden="1" x14ac:dyDescent="0.2"/>
    <row r="33663" hidden="1" x14ac:dyDescent="0.2"/>
    <row r="33664" hidden="1" x14ac:dyDescent="0.2"/>
    <row r="33665" hidden="1" x14ac:dyDescent="0.2"/>
    <row r="33666" hidden="1" x14ac:dyDescent="0.2"/>
    <row r="33667" hidden="1" x14ac:dyDescent="0.2"/>
    <row r="33668" hidden="1" x14ac:dyDescent="0.2"/>
    <row r="33669" hidden="1" x14ac:dyDescent="0.2"/>
    <row r="33670" hidden="1" x14ac:dyDescent="0.2"/>
    <row r="33671" hidden="1" x14ac:dyDescent="0.2"/>
    <row r="33672" hidden="1" x14ac:dyDescent="0.2"/>
    <row r="33673" hidden="1" x14ac:dyDescent="0.2"/>
    <row r="33674" hidden="1" x14ac:dyDescent="0.2"/>
    <row r="33675" hidden="1" x14ac:dyDescent="0.2"/>
    <row r="33676" hidden="1" x14ac:dyDescent="0.2"/>
    <row r="33677" hidden="1" x14ac:dyDescent="0.2"/>
    <row r="33678" hidden="1" x14ac:dyDescent="0.2"/>
    <row r="33679" hidden="1" x14ac:dyDescent="0.2"/>
    <row r="33680" hidden="1" x14ac:dyDescent="0.2"/>
    <row r="33681" hidden="1" x14ac:dyDescent="0.2"/>
    <row r="33682" hidden="1" x14ac:dyDescent="0.2"/>
    <row r="33683" hidden="1" x14ac:dyDescent="0.2"/>
    <row r="33684" hidden="1" x14ac:dyDescent="0.2"/>
    <row r="33685" hidden="1" x14ac:dyDescent="0.2"/>
    <row r="33686" hidden="1" x14ac:dyDescent="0.2"/>
    <row r="33687" hidden="1" x14ac:dyDescent="0.2"/>
    <row r="33688" hidden="1" x14ac:dyDescent="0.2"/>
    <row r="33689" hidden="1" x14ac:dyDescent="0.2"/>
    <row r="33690" hidden="1" x14ac:dyDescent="0.2"/>
    <row r="33691" hidden="1" x14ac:dyDescent="0.2"/>
    <row r="33692" hidden="1" x14ac:dyDescent="0.2"/>
    <row r="33693" hidden="1" x14ac:dyDescent="0.2"/>
    <row r="33694" hidden="1" x14ac:dyDescent="0.2"/>
    <row r="33695" hidden="1" x14ac:dyDescent="0.2"/>
    <row r="33696" hidden="1" x14ac:dyDescent="0.2"/>
    <row r="33697" hidden="1" x14ac:dyDescent="0.2"/>
    <row r="33698" hidden="1" x14ac:dyDescent="0.2"/>
    <row r="33699" hidden="1" x14ac:dyDescent="0.2"/>
    <row r="33700" hidden="1" x14ac:dyDescent="0.2"/>
    <row r="33701" hidden="1" x14ac:dyDescent="0.2"/>
    <row r="33702" hidden="1" x14ac:dyDescent="0.2"/>
    <row r="33703" hidden="1" x14ac:dyDescent="0.2"/>
    <row r="33704" hidden="1" x14ac:dyDescent="0.2"/>
    <row r="33705" hidden="1" x14ac:dyDescent="0.2"/>
    <row r="33706" hidden="1" x14ac:dyDescent="0.2"/>
    <row r="33707" hidden="1" x14ac:dyDescent="0.2"/>
    <row r="33708" hidden="1" x14ac:dyDescent="0.2"/>
    <row r="33709" hidden="1" x14ac:dyDescent="0.2"/>
    <row r="33710" hidden="1" x14ac:dyDescent="0.2"/>
    <row r="33711" hidden="1" x14ac:dyDescent="0.2"/>
    <row r="33712" hidden="1" x14ac:dyDescent="0.2"/>
    <row r="33713" hidden="1" x14ac:dyDescent="0.2"/>
    <row r="33714" hidden="1" x14ac:dyDescent="0.2"/>
    <row r="33715" hidden="1" x14ac:dyDescent="0.2"/>
    <row r="33716" hidden="1" x14ac:dyDescent="0.2"/>
    <row r="33717" hidden="1" x14ac:dyDescent="0.2"/>
    <row r="33718" hidden="1" x14ac:dyDescent="0.2"/>
    <row r="33719" hidden="1" x14ac:dyDescent="0.2"/>
    <row r="33720" hidden="1" x14ac:dyDescent="0.2"/>
    <row r="33721" hidden="1" x14ac:dyDescent="0.2"/>
    <row r="33722" hidden="1" x14ac:dyDescent="0.2"/>
    <row r="33723" hidden="1" x14ac:dyDescent="0.2"/>
    <row r="33724" hidden="1" x14ac:dyDescent="0.2"/>
    <row r="33725" hidden="1" x14ac:dyDescent="0.2"/>
    <row r="33726" hidden="1" x14ac:dyDescent="0.2"/>
    <row r="33727" hidden="1" x14ac:dyDescent="0.2"/>
    <row r="33728" hidden="1" x14ac:dyDescent="0.2"/>
    <row r="33729" hidden="1" x14ac:dyDescent="0.2"/>
    <row r="33730" hidden="1" x14ac:dyDescent="0.2"/>
    <row r="33731" hidden="1" x14ac:dyDescent="0.2"/>
    <row r="33732" hidden="1" x14ac:dyDescent="0.2"/>
    <row r="33733" hidden="1" x14ac:dyDescent="0.2"/>
    <row r="33734" hidden="1" x14ac:dyDescent="0.2"/>
    <row r="33735" hidden="1" x14ac:dyDescent="0.2"/>
    <row r="33736" hidden="1" x14ac:dyDescent="0.2"/>
    <row r="33737" hidden="1" x14ac:dyDescent="0.2"/>
    <row r="33738" hidden="1" x14ac:dyDescent="0.2"/>
    <row r="33739" hidden="1" x14ac:dyDescent="0.2"/>
    <row r="33740" hidden="1" x14ac:dyDescent="0.2"/>
    <row r="33741" hidden="1" x14ac:dyDescent="0.2"/>
    <row r="33742" hidden="1" x14ac:dyDescent="0.2"/>
    <row r="33743" hidden="1" x14ac:dyDescent="0.2"/>
    <row r="33744" hidden="1" x14ac:dyDescent="0.2"/>
    <row r="33745" hidden="1" x14ac:dyDescent="0.2"/>
    <row r="33746" hidden="1" x14ac:dyDescent="0.2"/>
    <row r="33747" hidden="1" x14ac:dyDescent="0.2"/>
    <row r="33748" hidden="1" x14ac:dyDescent="0.2"/>
    <row r="33749" hidden="1" x14ac:dyDescent="0.2"/>
    <row r="33750" hidden="1" x14ac:dyDescent="0.2"/>
    <row r="33751" hidden="1" x14ac:dyDescent="0.2"/>
    <row r="33752" hidden="1" x14ac:dyDescent="0.2"/>
    <row r="33753" hidden="1" x14ac:dyDescent="0.2"/>
    <row r="33754" hidden="1" x14ac:dyDescent="0.2"/>
    <row r="33755" hidden="1" x14ac:dyDescent="0.2"/>
    <row r="33756" hidden="1" x14ac:dyDescent="0.2"/>
    <row r="33757" hidden="1" x14ac:dyDescent="0.2"/>
    <row r="33758" hidden="1" x14ac:dyDescent="0.2"/>
    <row r="33759" hidden="1" x14ac:dyDescent="0.2"/>
    <row r="33760" hidden="1" x14ac:dyDescent="0.2"/>
    <row r="33761" hidden="1" x14ac:dyDescent="0.2"/>
    <row r="33762" hidden="1" x14ac:dyDescent="0.2"/>
    <row r="33763" hidden="1" x14ac:dyDescent="0.2"/>
    <row r="33764" hidden="1" x14ac:dyDescent="0.2"/>
    <row r="33765" hidden="1" x14ac:dyDescent="0.2"/>
    <row r="33766" hidden="1" x14ac:dyDescent="0.2"/>
    <row r="33767" hidden="1" x14ac:dyDescent="0.2"/>
    <row r="33768" hidden="1" x14ac:dyDescent="0.2"/>
    <row r="33769" hidden="1" x14ac:dyDescent="0.2"/>
    <row r="33770" hidden="1" x14ac:dyDescent="0.2"/>
    <row r="33771" hidden="1" x14ac:dyDescent="0.2"/>
    <row r="33772" hidden="1" x14ac:dyDescent="0.2"/>
    <row r="33773" hidden="1" x14ac:dyDescent="0.2"/>
    <row r="33774" hidden="1" x14ac:dyDescent="0.2"/>
    <row r="33775" hidden="1" x14ac:dyDescent="0.2"/>
    <row r="33776" hidden="1" x14ac:dyDescent="0.2"/>
    <row r="33777" hidden="1" x14ac:dyDescent="0.2"/>
    <row r="33778" hidden="1" x14ac:dyDescent="0.2"/>
    <row r="33779" hidden="1" x14ac:dyDescent="0.2"/>
    <row r="33780" hidden="1" x14ac:dyDescent="0.2"/>
    <row r="33781" hidden="1" x14ac:dyDescent="0.2"/>
    <row r="33782" hidden="1" x14ac:dyDescent="0.2"/>
    <row r="33783" hidden="1" x14ac:dyDescent="0.2"/>
    <row r="33784" hidden="1" x14ac:dyDescent="0.2"/>
    <row r="33785" hidden="1" x14ac:dyDescent="0.2"/>
    <row r="33786" hidden="1" x14ac:dyDescent="0.2"/>
    <row r="33787" hidden="1" x14ac:dyDescent="0.2"/>
    <row r="33788" hidden="1" x14ac:dyDescent="0.2"/>
    <row r="33789" hidden="1" x14ac:dyDescent="0.2"/>
    <row r="33790" hidden="1" x14ac:dyDescent="0.2"/>
    <row r="33791" hidden="1" x14ac:dyDescent="0.2"/>
    <row r="33792" hidden="1" x14ac:dyDescent="0.2"/>
    <row r="33793" hidden="1" x14ac:dyDescent="0.2"/>
    <row r="33794" hidden="1" x14ac:dyDescent="0.2"/>
    <row r="33795" hidden="1" x14ac:dyDescent="0.2"/>
    <row r="33796" hidden="1" x14ac:dyDescent="0.2"/>
    <row r="33797" hidden="1" x14ac:dyDescent="0.2"/>
    <row r="33798" hidden="1" x14ac:dyDescent="0.2"/>
    <row r="33799" hidden="1" x14ac:dyDescent="0.2"/>
    <row r="33800" hidden="1" x14ac:dyDescent="0.2"/>
    <row r="33801" hidden="1" x14ac:dyDescent="0.2"/>
    <row r="33802" hidden="1" x14ac:dyDescent="0.2"/>
    <row r="33803" hidden="1" x14ac:dyDescent="0.2"/>
    <row r="33804" hidden="1" x14ac:dyDescent="0.2"/>
    <row r="33805" hidden="1" x14ac:dyDescent="0.2"/>
    <row r="33806" hidden="1" x14ac:dyDescent="0.2"/>
    <row r="33807" hidden="1" x14ac:dyDescent="0.2"/>
    <row r="33808" hidden="1" x14ac:dyDescent="0.2"/>
    <row r="33809" hidden="1" x14ac:dyDescent="0.2"/>
    <row r="33810" hidden="1" x14ac:dyDescent="0.2"/>
    <row r="33811" hidden="1" x14ac:dyDescent="0.2"/>
    <row r="33812" hidden="1" x14ac:dyDescent="0.2"/>
    <row r="33813" hidden="1" x14ac:dyDescent="0.2"/>
    <row r="33814" hidden="1" x14ac:dyDescent="0.2"/>
    <row r="33815" hidden="1" x14ac:dyDescent="0.2"/>
    <row r="33816" hidden="1" x14ac:dyDescent="0.2"/>
    <row r="33817" hidden="1" x14ac:dyDescent="0.2"/>
    <row r="33818" hidden="1" x14ac:dyDescent="0.2"/>
    <row r="33819" hidden="1" x14ac:dyDescent="0.2"/>
    <row r="33820" hidden="1" x14ac:dyDescent="0.2"/>
    <row r="33821" hidden="1" x14ac:dyDescent="0.2"/>
    <row r="33822" hidden="1" x14ac:dyDescent="0.2"/>
    <row r="33823" hidden="1" x14ac:dyDescent="0.2"/>
    <row r="33824" hidden="1" x14ac:dyDescent="0.2"/>
    <row r="33825" hidden="1" x14ac:dyDescent="0.2"/>
    <row r="33826" hidden="1" x14ac:dyDescent="0.2"/>
    <row r="33827" hidden="1" x14ac:dyDescent="0.2"/>
    <row r="33828" hidden="1" x14ac:dyDescent="0.2"/>
    <row r="33829" hidden="1" x14ac:dyDescent="0.2"/>
    <row r="33830" hidden="1" x14ac:dyDescent="0.2"/>
    <row r="33831" hidden="1" x14ac:dyDescent="0.2"/>
    <row r="33832" hidden="1" x14ac:dyDescent="0.2"/>
    <row r="33833" hidden="1" x14ac:dyDescent="0.2"/>
    <row r="33834" hidden="1" x14ac:dyDescent="0.2"/>
    <row r="33835" hidden="1" x14ac:dyDescent="0.2"/>
    <row r="33836" hidden="1" x14ac:dyDescent="0.2"/>
    <row r="33837" hidden="1" x14ac:dyDescent="0.2"/>
    <row r="33838" hidden="1" x14ac:dyDescent="0.2"/>
    <row r="33839" hidden="1" x14ac:dyDescent="0.2"/>
    <row r="33840" hidden="1" x14ac:dyDescent="0.2"/>
    <row r="33841" hidden="1" x14ac:dyDescent="0.2"/>
    <row r="33842" hidden="1" x14ac:dyDescent="0.2"/>
    <row r="33843" hidden="1" x14ac:dyDescent="0.2"/>
    <row r="33844" hidden="1" x14ac:dyDescent="0.2"/>
    <row r="33845" hidden="1" x14ac:dyDescent="0.2"/>
    <row r="33846" hidden="1" x14ac:dyDescent="0.2"/>
    <row r="33847" hidden="1" x14ac:dyDescent="0.2"/>
    <row r="33848" hidden="1" x14ac:dyDescent="0.2"/>
    <row r="33849" hidden="1" x14ac:dyDescent="0.2"/>
    <row r="33850" hidden="1" x14ac:dyDescent="0.2"/>
    <row r="33851" hidden="1" x14ac:dyDescent="0.2"/>
    <row r="33852" hidden="1" x14ac:dyDescent="0.2"/>
    <row r="33853" hidden="1" x14ac:dyDescent="0.2"/>
    <row r="33854" hidden="1" x14ac:dyDescent="0.2"/>
    <row r="33855" hidden="1" x14ac:dyDescent="0.2"/>
    <row r="33856" hidden="1" x14ac:dyDescent="0.2"/>
    <row r="33857" hidden="1" x14ac:dyDescent="0.2"/>
    <row r="33858" hidden="1" x14ac:dyDescent="0.2"/>
    <row r="33859" hidden="1" x14ac:dyDescent="0.2"/>
    <row r="33860" hidden="1" x14ac:dyDescent="0.2"/>
    <row r="33861" hidden="1" x14ac:dyDescent="0.2"/>
    <row r="33862" hidden="1" x14ac:dyDescent="0.2"/>
    <row r="33863" hidden="1" x14ac:dyDescent="0.2"/>
    <row r="33864" hidden="1" x14ac:dyDescent="0.2"/>
    <row r="33865" hidden="1" x14ac:dyDescent="0.2"/>
    <row r="33866" hidden="1" x14ac:dyDescent="0.2"/>
    <row r="33867" hidden="1" x14ac:dyDescent="0.2"/>
    <row r="33868" hidden="1" x14ac:dyDescent="0.2"/>
    <row r="33869" hidden="1" x14ac:dyDescent="0.2"/>
    <row r="33870" hidden="1" x14ac:dyDescent="0.2"/>
    <row r="33871" hidden="1" x14ac:dyDescent="0.2"/>
    <row r="33872" hidden="1" x14ac:dyDescent="0.2"/>
    <row r="33873" hidden="1" x14ac:dyDescent="0.2"/>
    <row r="33874" hidden="1" x14ac:dyDescent="0.2"/>
    <row r="33875" hidden="1" x14ac:dyDescent="0.2"/>
    <row r="33876" hidden="1" x14ac:dyDescent="0.2"/>
    <row r="33877" hidden="1" x14ac:dyDescent="0.2"/>
    <row r="33878" hidden="1" x14ac:dyDescent="0.2"/>
    <row r="33879" hidden="1" x14ac:dyDescent="0.2"/>
    <row r="33880" hidden="1" x14ac:dyDescent="0.2"/>
    <row r="33881" hidden="1" x14ac:dyDescent="0.2"/>
    <row r="33882" hidden="1" x14ac:dyDescent="0.2"/>
    <row r="33883" hidden="1" x14ac:dyDescent="0.2"/>
    <row r="33884" hidden="1" x14ac:dyDescent="0.2"/>
    <row r="33885" hidden="1" x14ac:dyDescent="0.2"/>
    <row r="33886" hidden="1" x14ac:dyDescent="0.2"/>
    <row r="33887" hidden="1" x14ac:dyDescent="0.2"/>
    <row r="33888" hidden="1" x14ac:dyDescent="0.2"/>
    <row r="33889" hidden="1" x14ac:dyDescent="0.2"/>
    <row r="33890" hidden="1" x14ac:dyDescent="0.2"/>
    <row r="33891" hidden="1" x14ac:dyDescent="0.2"/>
    <row r="33892" hidden="1" x14ac:dyDescent="0.2"/>
    <row r="33893" hidden="1" x14ac:dyDescent="0.2"/>
    <row r="33894" hidden="1" x14ac:dyDescent="0.2"/>
    <row r="33895" hidden="1" x14ac:dyDescent="0.2"/>
    <row r="33896" hidden="1" x14ac:dyDescent="0.2"/>
    <row r="33897" hidden="1" x14ac:dyDescent="0.2"/>
    <row r="33898" hidden="1" x14ac:dyDescent="0.2"/>
    <row r="33899" hidden="1" x14ac:dyDescent="0.2"/>
    <row r="33900" hidden="1" x14ac:dyDescent="0.2"/>
    <row r="33901" hidden="1" x14ac:dyDescent="0.2"/>
    <row r="33902" hidden="1" x14ac:dyDescent="0.2"/>
    <row r="33903" hidden="1" x14ac:dyDescent="0.2"/>
    <row r="33904" hidden="1" x14ac:dyDescent="0.2"/>
    <row r="33905" hidden="1" x14ac:dyDescent="0.2"/>
    <row r="33906" hidden="1" x14ac:dyDescent="0.2"/>
    <row r="33907" hidden="1" x14ac:dyDescent="0.2"/>
    <row r="33908" hidden="1" x14ac:dyDescent="0.2"/>
    <row r="33909" hidden="1" x14ac:dyDescent="0.2"/>
    <row r="33910" hidden="1" x14ac:dyDescent="0.2"/>
    <row r="33911" hidden="1" x14ac:dyDescent="0.2"/>
    <row r="33912" hidden="1" x14ac:dyDescent="0.2"/>
    <row r="33913" hidden="1" x14ac:dyDescent="0.2"/>
    <row r="33914" hidden="1" x14ac:dyDescent="0.2"/>
    <row r="33915" hidden="1" x14ac:dyDescent="0.2"/>
    <row r="33916" hidden="1" x14ac:dyDescent="0.2"/>
    <row r="33917" hidden="1" x14ac:dyDescent="0.2"/>
    <row r="33918" hidden="1" x14ac:dyDescent="0.2"/>
    <row r="33919" hidden="1" x14ac:dyDescent="0.2"/>
    <row r="33920" hidden="1" x14ac:dyDescent="0.2"/>
    <row r="33921" hidden="1" x14ac:dyDescent="0.2"/>
    <row r="33922" hidden="1" x14ac:dyDescent="0.2"/>
    <row r="33923" hidden="1" x14ac:dyDescent="0.2"/>
    <row r="33924" hidden="1" x14ac:dyDescent="0.2"/>
    <row r="33925" hidden="1" x14ac:dyDescent="0.2"/>
    <row r="33926" hidden="1" x14ac:dyDescent="0.2"/>
    <row r="33927" hidden="1" x14ac:dyDescent="0.2"/>
    <row r="33928" hidden="1" x14ac:dyDescent="0.2"/>
    <row r="33929" hidden="1" x14ac:dyDescent="0.2"/>
    <row r="33930" hidden="1" x14ac:dyDescent="0.2"/>
    <row r="33931" hidden="1" x14ac:dyDescent="0.2"/>
    <row r="33932" hidden="1" x14ac:dyDescent="0.2"/>
    <row r="33933" hidden="1" x14ac:dyDescent="0.2"/>
    <row r="33934" hidden="1" x14ac:dyDescent="0.2"/>
    <row r="33935" hidden="1" x14ac:dyDescent="0.2"/>
    <row r="33936" hidden="1" x14ac:dyDescent="0.2"/>
    <row r="33937" hidden="1" x14ac:dyDescent="0.2"/>
    <row r="33938" hidden="1" x14ac:dyDescent="0.2"/>
    <row r="33939" hidden="1" x14ac:dyDescent="0.2"/>
    <row r="33940" hidden="1" x14ac:dyDescent="0.2"/>
    <row r="33941" hidden="1" x14ac:dyDescent="0.2"/>
    <row r="33942" hidden="1" x14ac:dyDescent="0.2"/>
    <row r="33943" hidden="1" x14ac:dyDescent="0.2"/>
    <row r="33944" hidden="1" x14ac:dyDescent="0.2"/>
    <row r="33945" hidden="1" x14ac:dyDescent="0.2"/>
    <row r="33946" hidden="1" x14ac:dyDescent="0.2"/>
    <row r="33947" hidden="1" x14ac:dyDescent="0.2"/>
    <row r="33948" hidden="1" x14ac:dyDescent="0.2"/>
    <row r="33949" hidden="1" x14ac:dyDescent="0.2"/>
    <row r="33950" hidden="1" x14ac:dyDescent="0.2"/>
    <row r="33951" hidden="1" x14ac:dyDescent="0.2"/>
    <row r="33952" hidden="1" x14ac:dyDescent="0.2"/>
    <row r="33953" hidden="1" x14ac:dyDescent="0.2"/>
    <row r="33954" hidden="1" x14ac:dyDescent="0.2"/>
    <row r="33955" hidden="1" x14ac:dyDescent="0.2"/>
    <row r="33956" hidden="1" x14ac:dyDescent="0.2"/>
    <row r="33957" hidden="1" x14ac:dyDescent="0.2"/>
    <row r="33958" hidden="1" x14ac:dyDescent="0.2"/>
    <row r="33959" hidden="1" x14ac:dyDescent="0.2"/>
    <row r="33960" hidden="1" x14ac:dyDescent="0.2"/>
    <row r="33961" hidden="1" x14ac:dyDescent="0.2"/>
    <row r="33962" hidden="1" x14ac:dyDescent="0.2"/>
    <row r="33963" hidden="1" x14ac:dyDescent="0.2"/>
    <row r="33964" hidden="1" x14ac:dyDescent="0.2"/>
    <row r="33965" hidden="1" x14ac:dyDescent="0.2"/>
    <row r="33966" hidden="1" x14ac:dyDescent="0.2"/>
    <row r="33967" hidden="1" x14ac:dyDescent="0.2"/>
    <row r="33968" hidden="1" x14ac:dyDescent="0.2"/>
    <row r="33969" hidden="1" x14ac:dyDescent="0.2"/>
    <row r="33970" hidden="1" x14ac:dyDescent="0.2"/>
    <row r="33971" hidden="1" x14ac:dyDescent="0.2"/>
    <row r="33972" hidden="1" x14ac:dyDescent="0.2"/>
    <row r="33973" hidden="1" x14ac:dyDescent="0.2"/>
    <row r="33974" hidden="1" x14ac:dyDescent="0.2"/>
    <row r="33975" hidden="1" x14ac:dyDescent="0.2"/>
    <row r="33976" hidden="1" x14ac:dyDescent="0.2"/>
    <row r="33977" hidden="1" x14ac:dyDescent="0.2"/>
    <row r="33978" hidden="1" x14ac:dyDescent="0.2"/>
    <row r="33979" hidden="1" x14ac:dyDescent="0.2"/>
    <row r="33980" hidden="1" x14ac:dyDescent="0.2"/>
    <row r="33981" hidden="1" x14ac:dyDescent="0.2"/>
    <row r="33982" hidden="1" x14ac:dyDescent="0.2"/>
    <row r="33983" hidden="1" x14ac:dyDescent="0.2"/>
    <row r="33984" hidden="1" x14ac:dyDescent="0.2"/>
    <row r="33985" hidden="1" x14ac:dyDescent="0.2"/>
    <row r="33986" hidden="1" x14ac:dyDescent="0.2"/>
    <row r="33987" hidden="1" x14ac:dyDescent="0.2"/>
    <row r="33988" hidden="1" x14ac:dyDescent="0.2"/>
    <row r="33989" hidden="1" x14ac:dyDescent="0.2"/>
    <row r="33990" hidden="1" x14ac:dyDescent="0.2"/>
    <row r="33991" hidden="1" x14ac:dyDescent="0.2"/>
    <row r="33992" hidden="1" x14ac:dyDescent="0.2"/>
    <row r="33993" hidden="1" x14ac:dyDescent="0.2"/>
    <row r="33994" hidden="1" x14ac:dyDescent="0.2"/>
    <row r="33995" hidden="1" x14ac:dyDescent="0.2"/>
    <row r="33996" hidden="1" x14ac:dyDescent="0.2"/>
    <row r="33997" hidden="1" x14ac:dyDescent="0.2"/>
    <row r="33998" hidden="1" x14ac:dyDescent="0.2"/>
    <row r="33999" hidden="1" x14ac:dyDescent="0.2"/>
    <row r="34000" hidden="1" x14ac:dyDescent="0.2"/>
    <row r="34001" hidden="1" x14ac:dyDescent="0.2"/>
    <row r="34002" hidden="1" x14ac:dyDescent="0.2"/>
    <row r="34003" hidden="1" x14ac:dyDescent="0.2"/>
    <row r="34004" hidden="1" x14ac:dyDescent="0.2"/>
    <row r="34005" hidden="1" x14ac:dyDescent="0.2"/>
    <row r="34006" hidden="1" x14ac:dyDescent="0.2"/>
    <row r="34007" hidden="1" x14ac:dyDescent="0.2"/>
    <row r="34008" hidden="1" x14ac:dyDescent="0.2"/>
    <row r="34009" hidden="1" x14ac:dyDescent="0.2"/>
    <row r="34010" hidden="1" x14ac:dyDescent="0.2"/>
    <row r="34011" hidden="1" x14ac:dyDescent="0.2"/>
    <row r="34012" hidden="1" x14ac:dyDescent="0.2"/>
    <row r="34013" hidden="1" x14ac:dyDescent="0.2"/>
    <row r="34014" hidden="1" x14ac:dyDescent="0.2"/>
    <row r="34015" hidden="1" x14ac:dyDescent="0.2"/>
    <row r="34016" hidden="1" x14ac:dyDescent="0.2"/>
    <row r="34017" hidden="1" x14ac:dyDescent="0.2"/>
    <row r="34018" hidden="1" x14ac:dyDescent="0.2"/>
    <row r="34019" hidden="1" x14ac:dyDescent="0.2"/>
    <row r="34020" hidden="1" x14ac:dyDescent="0.2"/>
    <row r="34021" hidden="1" x14ac:dyDescent="0.2"/>
    <row r="34022" hidden="1" x14ac:dyDescent="0.2"/>
    <row r="34023" hidden="1" x14ac:dyDescent="0.2"/>
    <row r="34024" hidden="1" x14ac:dyDescent="0.2"/>
    <row r="34025" hidden="1" x14ac:dyDescent="0.2"/>
    <row r="34026" hidden="1" x14ac:dyDescent="0.2"/>
    <row r="34027" hidden="1" x14ac:dyDescent="0.2"/>
    <row r="34028" hidden="1" x14ac:dyDescent="0.2"/>
    <row r="34029" hidden="1" x14ac:dyDescent="0.2"/>
    <row r="34030" hidden="1" x14ac:dyDescent="0.2"/>
    <row r="34031" hidden="1" x14ac:dyDescent="0.2"/>
    <row r="34032" hidden="1" x14ac:dyDescent="0.2"/>
    <row r="34033" hidden="1" x14ac:dyDescent="0.2"/>
    <row r="34034" hidden="1" x14ac:dyDescent="0.2"/>
    <row r="34035" hidden="1" x14ac:dyDescent="0.2"/>
    <row r="34036" hidden="1" x14ac:dyDescent="0.2"/>
    <row r="34037" hidden="1" x14ac:dyDescent="0.2"/>
    <row r="34038" hidden="1" x14ac:dyDescent="0.2"/>
    <row r="34039" hidden="1" x14ac:dyDescent="0.2"/>
    <row r="34040" hidden="1" x14ac:dyDescent="0.2"/>
    <row r="34041" hidden="1" x14ac:dyDescent="0.2"/>
    <row r="34042" hidden="1" x14ac:dyDescent="0.2"/>
    <row r="34043" hidden="1" x14ac:dyDescent="0.2"/>
    <row r="34044" hidden="1" x14ac:dyDescent="0.2"/>
    <row r="34045" hidden="1" x14ac:dyDescent="0.2"/>
    <row r="34046" hidden="1" x14ac:dyDescent="0.2"/>
    <row r="34047" hidden="1" x14ac:dyDescent="0.2"/>
    <row r="34048" hidden="1" x14ac:dyDescent="0.2"/>
    <row r="34049" hidden="1" x14ac:dyDescent="0.2"/>
    <row r="34050" hidden="1" x14ac:dyDescent="0.2"/>
    <row r="34051" hidden="1" x14ac:dyDescent="0.2"/>
    <row r="34052" hidden="1" x14ac:dyDescent="0.2"/>
    <row r="34053" hidden="1" x14ac:dyDescent="0.2"/>
    <row r="34054" hidden="1" x14ac:dyDescent="0.2"/>
    <row r="34055" hidden="1" x14ac:dyDescent="0.2"/>
    <row r="34056" hidden="1" x14ac:dyDescent="0.2"/>
    <row r="34057" hidden="1" x14ac:dyDescent="0.2"/>
    <row r="34058" hidden="1" x14ac:dyDescent="0.2"/>
    <row r="34059" hidden="1" x14ac:dyDescent="0.2"/>
    <row r="34060" hidden="1" x14ac:dyDescent="0.2"/>
    <row r="34061" hidden="1" x14ac:dyDescent="0.2"/>
    <row r="34062" hidden="1" x14ac:dyDescent="0.2"/>
    <row r="34063" hidden="1" x14ac:dyDescent="0.2"/>
    <row r="34064" hidden="1" x14ac:dyDescent="0.2"/>
    <row r="34065" hidden="1" x14ac:dyDescent="0.2"/>
    <row r="34066" hidden="1" x14ac:dyDescent="0.2"/>
    <row r="34067" hidden="1" x14ac:dyDescent="0.2"/>
    <row r="34068" hidden="1" x14ac:dyDescent="0.2"/>
    <row r="34069" hidden="1" x14ac:dyDescent="0.2"/>
    <row r="34070" hidden="1" x14ac:dyDescent="0.2"/>
    <row r="34071" hidden="1" x14ac:dyDescent="0.2"/>
    <row r="34072" hidden="1" x14ac:dyDescent="0.2"/>
    <row r="34073" hidden="1" x14ac:dyDescent="0.2"/>
    <row r="34074" hidden="1" x14ac:dyDescent="0.2"/>
    <row r="34075" hidden="1" x14ac:dyDescent="0.2"/>
    <row r="34076" hidden="1" x14ac:dyDescent="0.2"/>
    <row r="34077" hidden="1" x14ac:dyDescent="0.2"/>
    <row r="34078" hidden="1" x14ac:dyDescent="0.2"/>
    <row r="34079" hidden="1" x14ac:dyDescent="0.2"/>
    <row r="34080" hidden="1" x14ac:dyDescent="0.2"/>
    <row r="34081" hidden="1" x14ac:dyDescent="0.2"/>
    <row r="34082" hidden="1" x14ac:dyDescent="0.2"/>
    <row r="34083" hidden="1" x14ac:dyDescent="0.2"/>
    <row r="34084" hidden="1" x14ac:dyDescent="0.2"/>
    <row r="34085" hidden="1" x14ac:dyDescent="0.2"/>
    <row r="34086" hidden="1" x14ac:dyDescent="0.2"/>
    <row r="34087" hidden="1" x14ac:dyDescent="0.2"/>
    <row r="34088" hidden="1" x14ac:dyDescent="0.2"/>
    <row r="34089" hidden="1" x14ac:dyDescent="0.2"/>
    <row r="34090" hidden="1" x14ac:dyDescent="0.2"/>
    <row r="34091" hidden="1" x14ac:dyDescent="0.2"/>
    <row r="34092" hidden="1" x14ac:dyDescent="0.2"/>
    <row r="34093" hidden="1" x14ac:dyDescent="0.2"/>
    <row r="34094" hidden="1" x14ac:dyDescent="0.2"/>
    <row r="34095" hidden="1" x14ac:dyDescent="0.2"/>
    <row r="34096" hidden="1" x14ac:dyDescent="0.2"/>
    <row r="34097" hidden="1" x14ac:dyDescent="0.2"/>
    <row r="34098" hidden="1" x14ac:dyDescent="0.2"/>
    <row r="34099" hidden="1" x14ac:dyDescent="0.2"/>
    <row r="34100" hidden="1" x14ac:dyDescent="0.2"/>
    <row r="34101" hidden="1" x14ac:dyDescent="0.2"/>
    <row r="34102" hidden="1" x14ac:dyDescent="0.2"/>
    <row r="34103" hidden="1" x14ac:dyDescent="0.2"/>
    <row r="34104" hidden="1" x14ac:dyDescent="0.2"/>
    <row r="34105" hidden="1" x14ac:dyDescent="0.2"/>
    <row r="34106" hidden="1" x14ac:dyDescent="0.2"/>
    <row r="34107" hidden="1" x14ac:dyDescent="0.2"/>
    <row r="34108" hidden="1" x14ac:dyDescent="0.2"/>
    <row r="34109" hidden="1" x14ac:dyDescent="0.2"/>
    <row r="34110" hidden="1" x14ac:dyDescent="0.2"/>
    <row r="34111" hidden="1" x14ac:dyDescent="0.2"/>
    <row r="34112" hidden="1" x14ac:dyDescent="0.2"/>
    <row r="34113" hidden="1" x14ac:dyDescent="0.2"/>
    <row r="34114" hidden="1" x14ac:dyDescent="0.2"/>
    <row r="34115" hidden="1" x14ac:dyDescent="0.2"/>
    <row r="34116" hidden="1" x14ac:dyDescent="0.2"/>
    <row r="34117" hidden="1" x14ac:dyDescent="0.2"/>
    <row r="34118" hidden="1" x14ac:dyDescent="0.2"/>
    <row r="34119" hidden="1" x14ac:dyDescent="0.2"/>
    <row r="34120" hidden="1" x14ac:dyDescent="0.2"/>
    <row r="34121" hidden="1" x14ac:dyDescent="0.2"/>
    <row r="34122" hidden="1" x14ac:dyDescent="0.2"/>
    <row r="34123" hidden="1" x14ac:dyDescent="0.2"/>
    <row r="34124" hidden="1" x14ac:dyDescent="0.2"/>
    <row r="34125" hidden="1" x14ac:dyDescent="0.2"/>
    <row r="34126" hidden="1" x14ac:dyDescent="0.2"/>
    <row r="34127" hidden="1" x14ac:dyDescent="0.2"/>
    <row r="34128" hidden="1" x14ac:dyDescent="0.2"/>
    <row r="34129" hidden="1" x14ac:dyDescent="0.2"/>
    <row r="34130" hidden="1" x14ac:dyDescent="0.2"/>
    <row r="34131" hidden="1" x14ac:dyDescent="0.2"/>
    <row r="34132" hidden="1" x14ac:dyDescent="0.2"/>
    <row r="34133" hidden="1" x14ac:dyDescent="0.2"/>
    <row r="34134" hidden="1" x14ac:dyDescent="0.2"/>
    <row r="34135" hidden="1" x14ac:dyDescent="0.2"/>
    <row r="34136" hidden="1" x14ac:dyDescent="0.2"/>
    <row r="34137" hidden="1" x14ac:dyDescent="0.2"/>
    <row r="34138" hidden="1" x14ac:dyDescent="0.2"/>
    <row r="34139" hidden="1" x14ac:dyDescent="0.2"/>
    <row r="34140" hidden="1" x14ac:dyDescent="0.2"/>
    <row r="34141" hidden="1" x14ac:dyDescent="0.2"/>
    <row r="34142" hidden="1" x14ac:dyDescent="0.2"/>
    <row r="34143" hidden="1" x14ac:dyDescent="0.2"/>
    <row r="34144" hidden="1" x14ac:dyDescent="0.2"/>
    <row r="34145" hidden="1" x14ac:dyDescent="0.2"/>
    <row r="34146" hidden="1" x14ac:dyDescent="0.2"/>
    <row r="34147" hidden="1" x14ac:dyDescent="0.2"/>
    <row r="34148" hidden="1" x14ac:dyDescent="0.2"/>
    <row r="34149" hidden="1" x14ac:dyDescent="0.2"/>
    <row r="34150" hidden="1" x14ac:dyDescent="0.2"/>
    <row r="34151" hidden="1" x14ac:dyDescent="0.2"/>
    <row r="34152" hidden="1" x14ac:dyDescent="0.2"/>
    <row r="34153" hidden="1" x14ac:dyDescent="0.2"/>
    <row r="34154" hidden="1" x14ac:dyDescent="0.2"/>
    <row r="34155" hidden="1" x14ac:dyDescent="0.2"/>
    <row r="34156" hidden="1" x14ac:dyDescent="0.2"/>
    <row r="34157" hidden="1" x14ac:dyDescent="0.2"/>
    <row r="34158" hidden="1" x14ac:dyDescent="0.2"/>
    <row r="34159" hidden="1" x14ac:dyDescent="0.2"/>
    <row r="34160" hidden="1" x14ac:dyDescent="0.2"/>
    <row r="34161" hidden="1" x14ac:dyDescent="0.2"/>
    <row r="34162" hidden="1" x14ac:dyDescent="0.2"/>
    <row r="34163" hidden="1" x14ac:dyDescent="0.2"/>
    <row r="34164" hidden="1" x14ac:dyDescent="0.2"/>
    <row r="34165" hidden="1" x14ac:dyDescent="0.2"/>
    <row r="34166" hidden="1" x14ac:dyDescent="0.2"/>
    <row r="34167" hidden="1" x14ac:dyDescent="0.2"/>
    <row r="34168" hidden="1" x14ac:dyDescent="0.2"/>
    <row r="34169" hidden="1" x14ac:dyDescent="0.2"/>
    <row r="34170" hidden="1" x14ac:dyDescent="0.2"/>
    <row r="34171" hidden="1" x14ac:dyDescent="0.2"/>
    <row r="34172" hidden="1" x14ac:dyDescent="0.2"/>
    <row r="34173" hidden="1" x14ac:dyDescent="0.2"/>
    <row r="34174" hidden="1" x14ac:dyDescent="0.2"/>
    <row r="34175" hidden="1" x14ac:dyDescent="0.2"/>
    <row r="34176" hidden="1" x14ac:dyDescent="0.2"/>
    <row r="34177" hidden="1" x14ac:dyDescent="0.2"/>
    <row r="34178" hidden="1" x14ac:dyDescent="0.2"/>
    <row r="34179" hidden="1" x14ac:dyDescent="0.2"/>
    <row r="34180" hidden="1" x14ac:dyDescent="0.2"/>
    <row r="34181" hidden="1" x14ac:dyDescent="0.2"/>
    <row r="34182" hidden="1" x14ac:dyDescent="0.2"/>
    <row r="34183" hidden="1" x14ac:dyDescent="0.2"/>
    <row r="34184" hidden="1" x14ac:dyDescent="0.2"/>
    <row r="34185" hidden="1" x14ac:dyDescent="0.2"/>
    <row r="34186" hidden="1" x14ac:dyDescent="0.2"/>
    <row r="34187" hidden="1" x14ac:dyDescent="0.2"/>
    <row r="34188" hidden="1" x14ac:dyDescent="0.2"/>
    <row r="34189" hidden="1" x14ac:dyDescent="0.2"/>
    <row r="34190" hidden="1" x14ac:dyDescent="0.2"/>
    <row r="34191" hidden="1" x14ac:dyDescent="0.2"/>
    <row r="34192" hidden="1" x14ac:dyDescent="0.2"/>
    <row r="34193" hidden="1" x14ac:dyDescent="0.2"/>
    <row r="34194" hidden="1" x14ac:dyDescent="0.2"/>
    <row r="34195" hidden="1" x14ac:dyDescent="0.2"/>
    <row r="34196" hidden="1" x14ac:dyDescent="0.2"/>
    <row r="34197" hidden="1" x14ac:dyDescent="0.2"/>
    <row r="34198" hidden="1" x14ac:dyDescent="0.2"/>
    <row r="34199" hidden="1" x14ac:dyDescent="0.2"/>
    <row r="34200" hidden="1" x14ac:dyDescent="0.2"/>
    <row r="34201" hidden="1" x14ac:dyDescent="0.2"/>
    <row r="34202" hidden="1" x14ac:dyDescent="0.2"/>
    <row r="34203" hidden="1" x14ac:dyDescent="0.2"/>
    <row r="34204" hidden="1" x14ac:dyDescent="0.2"/>
    <row r="34205" hidden="1" x14ac:dyDescent="0.2"/>
    <row r="34206" hidden="1" x14ac:dyDescent="0.2"/>
    <row r="34207" hidden="1" x14ac:dyDescent="0.2"/>
    <row r="34208" hidden="1" x14ac:dyDescent="0.2"/>
    <row r="34209" hidden="1" x14ac:dyDescent="0.2"/>
    <row r="34210" hidden="1" x14ac:dyDescent="0.2"/>
    <row r="34211" hidden="1" x14ac:dyDescent="0.2"/>
    <row r="34212" hidden="1" x14ac:dyDescent="0.2"/>
    <row r="34213" hidden="1" x14ac:dyDescent="0.2"/>
    <row r="34214" hidden="1" x14ac:dyDescent="0.2"/>
    <row r="34215" hidden="1" x14ac:dyDescent="0.2"/>
    <row r="34216" hidden="1" x14ac:dyDescent="0.2"/>
    <row r="34217" hidden="1" x14ac:dyDescent="0.2"/>
    <row r="34218" hidden="1" x14ac:dyDescent="0.2"/>
    <row r="34219" hidden="1" x14ac:dyDescent="0.2"/>
    <row r="34220" hidden="1" x14ac:dyDescent="0.2"/>
    <row r="34221" hidden="1" x14ac:dyDescent="0.2"/>
    <row r="34222" hidden="1" x14ac:dyDescent="0.2"/>
    <row r="34223" hidden="1" x14ac:dyDescent="0.2"/>
    <row r="34224" hidden="1" x14ac:dyDescent="0.2"/>
    <row r="34225" hidden="1" x14ac:dyDescent="0.2"/>
    <row r="34226" hidden="1" x14ac:dyDescent="0.2"/>
    <row r="34227" hidden="1" x14ac:dyDescent="0.2"/>
    <row r="34228" hidden="1" x14ac:dyDescent="0.2"/>
    <row r="34229" hidden="1" x14ac:dyDescent="0.2"/>
    <row r="34230" hidden="1" x14ac:dyDescent="0.2"/>
    <row r="34231" hidden="1" x14ac:dyDescent="0.2"/>
    <row r="34232" hidden="1" x14ac:dyDescent="0.2"/>
    <row r="34233" hidden="1" x14ac:dyDescent="0.2"/>
    <row r="34234" hidden="1" x14ac:dyDescent="0.2"/>
    <row r="34235" hidden="1" x14ac:dyDescent="0.2"/>
    <row r="34236" hidden="1" x14ac:dyDescent="0.2"/>
    <row r="34237" hidden="1" x14ac:dyDescent="0.2"/>
    <row r="34238" hidden="1" x14ac:dyDescent="0.2"/>
    <row r="34239" hidden="1" x14ac:dyDescent="0.2"/>
    <row r="34240" hidden="1" x14ac:dyDescent="0.2"/>
    <row r="34241" hidden="1" x14ac:dyDescent="0.2"/>
    <row r="34242" hidden="1" x14ac:dyDescent="0.2"/>
    <row r="34243" hidden="1" x14ac:dyDescent="0.2"/>
    <row r="34244" hidden="1" x14ac:dyDescent="0.2"/>
    <row r="34245" hidden="1" x14ac:dyDescent="0.2"/>
    <row r="34246" hidden="1" x14ac:dyDescent="0.2"/>
    <row r="34247" hidden="1" x14ac:dyDescent="0.2"/>
    <row r="34248" hidden="1" x14ac:dyDescent="0.2"/>
    <row r="34249" hidden="1" x14ac:dyDescent="0.2"/>
    <row r="34250" hidden="1" x14ac:dyDescent="0.2"/>
    <row r="34251" hidden="1" x14ac:dyDescent="0.2"/>
    <row r="34252" hidden="1" x14ac:dyDescent="0.2"/>
    <row r="34253" hidden="1" x14ac:dyDescent="0.2"/>
    <row r="34254" hidden="1" x14ac:dyDescent="0.2"/>
    <row r="34255" hidden="1" x14ac:dyDescent="0.2"/>
    <row r="34256" hidden="1" x14ac:dyDescent="0.2"/>
    <row r="34257" hidden="1" x14ac:dyDescent="0.2"/>
    <row r="34258" hidden="1" x14ac:dyDescent="0.2"/>
    <row r="34259" hidden="1" x14ac:dyDescent="0.2"/>
    <row r="34260" hidden="1" x14ac:dyDescent="0.2"/>
    <row r="34261" hidden="1" x14ac:dyDescent="0.2"/>
    <row r="34262" hidden="1" x14ac:dyDescent="0.2"/>
    <row r="34263" hidden="1" x14ac:dyDescent="0.2"/>
    <row r="34264" hidden="1" x14ac:dyDescent="0.2"/>
    <row r="34265" hidden="1" x14ac:dyDescent="0.2"/>
    <row r="34266" hidden="1" x14ac:dyDescent="0.2"/>
    <row r="34267" hidden="1" x14ac:dyDescent="0.2"/>
    <row r="34268" hidden="1" x14ac:dyDescent="0.2"/>
    <row r="34269" hidden="1" x14ac:dyDescent="0.2"/>
    <row r="34270" hidden="1" x14ac:dyDescent="0.2"/>
    <row r="34271" hidden="1" x14ac:dyDescent="0.2"/>
    <row r="34272" hidden="1" x14ac:dyDescent="0.2"/>
    <row r="34273" hidden="1" x14ac:dyDescent="0.2"/>
    <row r="34274" hidden="1" x14ac:dyDescent="0.2"/>
    <row r="34275" hidden="1" x14ac:dyDescent="0.2"/>
    <row r="34276" hidden="1" x14ac:dyDescent="0.2"/>
    <row r="34277" hidden="1" x14ac:dyDescent="0.2"/>
    <row r="34278" hidden="1" x14ac:dyDescent="0.2"/>
    <row r="34279" hidden="1" x14ac:dyDescent="0.2"/>
    <row r="34280" hidden="1" x14ac:dyDescent="0.2"/>
    <row r="34281" hidden="1" x14ac:dyDescent="0.2"/>
    <row r="34282" hidden="1" x14ac:dyDescent="0.2"/>
    <row r="34283" hidden="1" x14ac:dyDescent="0.2"/>
    <row r="34284" hidden="1" x14ac:dyDescent="0.2"/>
    <row r="34285" hidden="1" x14ac:dyDescent="0.2"/>
    <row r="34286" hidden="1" x14ac:dyDescent="0.2"/>
    <row r="34287" hidden="1" x14ac:dyDescent="0.2"/>
    <row r="34288" hidden="1" x14ac:dyDescent="0.2"/>
    <row r="34289" hidden="1" x14ac:dyDescent="0.2"/>
    <row r="34290" hidden="1" x14ac:dyDescent="0.2"/>
    <row r="34291" hidden="1" x14ac:dyDescent="0.2"/>
    <row r="34292" hidden="1" x14ac:dyDescent="0.2"/>
    <row r="34293" hidden="1" x14ac:dyDescent="0.2"/>
    <row r="34294" hidden="1" x14ac:dyDescent="0.2"/>
    <row r="34295" hidden="1" x14ac:dyDescent="0.2"/>
    <row r="34296" hidden="1" x14ac:dyDescent="0.2"/>
    <row r="34297" hidden="1" x14ac:dyDescent="0.2"/>
    <row r="34298" hidden="1" x14ac:dyDescent="0.2"/>
    <row r="34299" hidden="1" x14ac:dyDescent="0.2"/>
    <row r="34300" hidden="1" x14ac:dyDescent="0.2"/>
    <row r="34301" hidden="1" x14ac:dyDescent="0.2"/>
    <row r="34302" hidden="1" x14ac:dyDescent="0.2"/>
    <row r="34303" hidden="1" x14ac:dyDescent="0.2"/>
    <row r="34304" hidden="1" x14ac:dyDescent="0.2"/>
    <row r="34305" hidden="1" x14ac:dyDescent="0.2"/>
    <row r="34306" hidden="1" x14ac:dyDescent="0.2"/>
    <row r="34307" hidden="1" x14ac:dyDescent="0.2"/>
    <row r="34308" hidden="1" x14ac:dyDescent="0.2"/>
    <row r="34309" hidden="1" x14ac:dyDescent="0.2"/>
    <row r="34310" hidden="1" x14ac:dyDescent="0.2"/>
    <row r="34311" hidden="1" x14ac:dyDescent="0.2"/>
    <row r="34312" hidden="1" x14ac:dyDescent="0.2"/>
    <row r="34313" hidden="1" x14ac:dyDescent="0.2"/>
    <row r="34314" hidden="1" x14ac:dyDescent="0.2"/>
    <row r="34315" hidden="1" x14ac:dyDescent="0.2"/>
    <row r="34316" hidden="1" x14ac:dyDescent="0.2"/>
    <row r="34317" hidden="1" x14ac:dyDescent="0.2"/>
    <row r="34318" hidden="1" x14ac:dyDescent="0.2"/>
    <row r="34319" hidden="1" x14ac:dyDescent="0.2"/>
    <row r="34320" hidden="1" x14ac:dyDescent="0.2"/>
    <row r="34321" hidden="1" x14ac:dyDescent="0.2"/>
    <row r="34322" hidden="1" x14ac:dyDescent="0.2"/>
    <row r="34323" hidden="1" x14ac:dyDescent="0.2"/>
    <row r="34324" hidden="1" x14ac:dyDescent="0.2"/>
    <row r="34325" hidden="1" x14ac:dyDescent="0.2"/>
    <row r="34326" hidden="1" x14ac:dyDescent="0.2"/>
    <row r="34327" hidden="1" x14ac:dyDescent="0.2"/>
    <row r="34328" hidden="1" x14ac:dyDescent="0.2"/>
    <row r="34329" hidden="1" x14ac:dyDescent="0.2"/>
    <row r="34330" hidden="1" x14ac:dyDescent="0.2"/>
    <row r="34331" hidden="1" x14ac:dyDescent="0.2"/>
    <row r="34332" hidden="1" x14ac:dyDescent="0.2"/>
    <row r="34333" hidden="1" x14ac:dyDescent="0.2"/>
    <row r="34334" hidden="1" x14ac:dyDescent="0.2"/>
    <row r="34335" hidden="1" x14ac:dyDescent="0.2"/>
    <row r="34336" hidden="1" x14ac:dyDescent="0.2"/>
    <row r="34337" hidden="1" x14ac:dyDescent="0.2"/>
    <row r="34338" hidden="1" x14ac:dyDescent="0.2"/>
    <row r="34339" hidden="1" x14ac:dyDescent="0.2"/>
    <row r="34340" hidden="1" x14ac:dyDescent="0.2"/>
    <row r="34341" hidden="1" x14ac:dyDescent="0.2"/>
    <row r="34342" hidden="1" x14ac:dyDescent="0.2"/>
    <row r="34343" hidden="1" x14ac:dyDescent="0.2"/>
    <row r="34344" hidden="1" x14ac:dyDescent="0.2"/>
    <row r="34345" hidden="1" x14ac:dyDescent="0.2"/>
    <row r="34346" hidden="1" x14ac:dyDescent="0.2"/>
    <row r="34347" hidden="1" x14ac:dyDescent="0.2"/>
    <row r="34348" hidden="1" x14ac:dyDescent="0.2"/>
    <row r="34349" hidden="1" x14ac:dyDescent="0.2"/>
    <row r="34350" hidden="1" x14ac:dyDescent="0.2"/>
    <row r="34351" hidden="1" x14ac:dyDescent="0.2"/>
    <row r="34352" hidden="1" x14ac:dyDescent="0.2"/>
    <row r="34353" hidden="1" x14ac:dyDescent="0.2"/>
    <row r="34354" hidden="1" x14ac:dyDescent="0.2"/>
    <row r="34355" hidden="1" x14ac:dyDescent="0.2"/>
    <row r="34356" hidden="1" x14ac:dyDescent="0.2"/>
    <row r="34357" hidden="1" x14ac:dyDescent="0.2"/>
    <row r="34358" hidden="1" x14ac:dyDescent="0.2"/>
    <row r="34359" hidden="1" x14ac:dyDescent="0.2"/>
    <row r="34360" hidden="1" x14ac:dyDescent="0.2"/>
    <row r="34361" hidden="1" x14ac:dyDescent="0.2"/>
    <row r="34362" hidden="1" x14ac:dyDescent="0.2"/>
    <row r="34363" hidden="1" x14ac:dyDescent="0.2"/>
    <row r="34364" hidden="1" x14ac:dyDescent="0.2"/>
    <row r="34365" hidden="1" x14ac:dyDescent="0.2"/>
    <row r="34366" hidden="1" x14ac:dyDescent="0.2"/>
    <row r="34367" hidden="1" x14ac:dyDescent="0.2"/>
    <row r="34368" hidden="1" x14ac:dyDescent="0.2"/>
    <row r="34369" hidden="1" x14ac:dyDescent="0.2"/>
    <row r="34370" hidden="1" x14ac:dyDescent="0.2"/>
    <row r="34371" hidden="1" x14ac:dyDescent="0.2"/>
    <row r="34372" hidden="1" x14ac:dyDescent="0.2"/>
    <row r="34373" hidden="1" x14ac:dyDescent="0.2"/>
    <row r="34374" hidden="1" x14ac:dyDescent="0.2"/>
    <row r="34375" hidden="1" x14ac:dyDescent="0.2"/>
    <row r="34376" hidden="1" x14ac:dyDescent="0.2"/>
    <row r="34377" hidden="1" x14ac:dyDescent="0.2"/>
    <row r="34378" hidden="1" x14ac:dyDescent="0.2"/>
    <row r="34379" hidden="1" x14ac:dyDescent="0.2"/>
    <row r="34380" hidden="1" x14ac:dyDescent="0.2"/>
    <row r="34381" hidden="1" x14ac:dyDescent="0.2"/>
    <row r="34382" hidden="1" x14ac:dyDescent="0.2"/>
    <row r="34383" hidden="1" x14ac:dyDescent="0.2"/>
    <row r="34384" hidden="1" x14ac:dyDescent="0.2"/>
    <row r="34385" hidden="1" x14ac:dyDescent="0.2"/>
    <row r="34386" hidden="1" x14ac:dyDescent="0.2"/>
    <row r="34387" hidden="1" x14ac:dyDescent="0.2"/>
    <row r="34388" hidden="1" x14ac:dyDescent="0.2"/>
    <row r="34389" hidden="1" x14ac:dyDescent="0.2"/>
    <row r="34390" hidden="1" x14ac:dyDescent="0.2"/>
    <row r="34391" hidden="1" x14ac:dyDescent="0.2"/>
    <row r="34392" hidden="1" x14ac:dyDescent="0.2"/>
    <row r="34393" hidden="1" x14ac:dyDescent="0.2"/>
    <row r="34394" hidden="1" x14ac:dyDescent="0.2"/>
    <row r="34395" hidden="1" x14ac:dyDescent="0.2"/>
    <row r="34396" hidden="1" x14ac:dyDescent="0.2"/>
    <row r="34397" hidden="1" x14ac:dyDescent="0.2"/>
    <row r="34398" hidden="1" x14ac:dyDescent="0.2"/>
    <row r="34399" hidden="1" x14ac:dyDescent="0.2"/>
    <row r="34400" hidden="1" x14ac:dyDescent="0.2"/>
    <row r="34401" hidden="1" x14ac:dyDescent="0.2"/>
    <row r="34402" hidden="1" x14ac:dyDescent="0.2"/>
    <row r="34403" hidden="1" x14ac:dyDescent="0.2"/>
    <row r="34404" hidden="1" x14ac:dyDescent="0.2"/>
    <row r="34405" hidden="1" x14ac:dyDescent="0.2"/>
    <row r="34406" hidden="1" x14ac:dyDescent="0.2"/>
    <row r="34407" hidden="1" x14ac:dyDescent="0.2"/>
    <row r="34408" hidden="1" x14ac:dyDescent="0.2"/>
    <row r="34409" hidden="1" x14ac:dyDescent="0.2"/>
    <row r="34410" hidden="1" x14ac:dyDescent="0.2"/>
    <row r="34411" hidden="1" x14ac:dyDescent="0.2"/>
    <row r="34412" hidden="1" x14ac:dyDescent="0.2"/>
    <row r="34413" hidden="1" x14ac:dyDescent="0.2"/>
    <row r="34414" hidden="1" x14ac:dyDescent="0.2"/>
    <row r="34415" hidden="1" x14ac:dyDescent="0.2"/>
    <row r="34416" hidden="1" x14ac:dyDescent="0.2"/>
    <row r="34417" hidden="1" x14ac:dyDescent="0.2"/>
    <row r="34418" hidden="1" x14ac:dyDescent="0.2"/>
    <row r="34419" hidden="1" x14ac:dyDescent="0.2"/>
    <row r="34420" hidden="1" x14ac:dyDescent="0.2"/>
    <row r="34421" hidden="1" x14ac:dyDescent="0.2"/>
    <row r="34422" hidden="1" x14ac:dyDescent="0.2"/>
    <row r="34423" hidden="1" x14ac:dyDescent="0.2"/>
    <row r="34424" hidden="1" x14ac:dyDescent="0.2"/>
    <row r="34425" hidden="1" x14ac:dyDescent="0.2"/>
    <row r="34426" hidden="1" x14ac:dyDescent="0.2"/>
    <row r="34427" hidden="1" x14ac:dyDescent="0.2"/>
    <row r="34428" hidden="1" x14ac:dyDescent="0.2"/>
    <row r="34429" hidden="1" x14ac:dyDescent="0.2"/>
    <row r="34430" hidden="1" x14ac:dyDescent="0.2"/>
    <row r="34431" hidden="1" x14ac:dyDescent="0.2"/>
    <row r="34432" hidden="1" x14ac:dyDescent="0.2"/>
    <row r="34433" hidden="1" x14ac:dyDescent="0.2"/>
    <row r="34434" hidden="1" x14ac:dyDescent="0.2"/>
    <row r="34435" hidden="1" x14ac:dyDescent="0.2"/>
    <row r="34436" hidden="1" x14ac:dyDescent="0.2"/>
    <row r="34437" hidden="1" x14ac:dyDescent="0.2"/>
    <row r="34438" hidden="1" x14ac:dyDescent="0.2"/>
    <row r="34439" hidden="1" x14ac:dyDescent="0.2"/>
    <row r="34440" hidden="1" x14ac:dyDescent="0.2"/>
    <row r="34441" hidden="1" x14ac:dyDescent="0.2"/>
    <row r="34442" hidden="1" x14ac:dyDescent="0.2"/>
    <row r="34443" hidden="1" x14ac:dyDescent="0.2"/>
    <row r="34444" hidden="1" x14ac:dyDescent="0.2"/>
    <row r="34445" hidden="1" x14ac:dyDescent="0.2"/>
    <row r="34446" hidden="1" x14ac:dyDescent="0.2"/>
    <row r="34447" hidden="1" x14ac:dyDescent="0.2"/>
    <row r="34448" hidden="1" x14ac:dyDescent="0.2"/>
    <row r="34449" hidden="1" x14ac:dyDescent="0.2"/>
    <row r="34450" hidden="1" x14ac:dyDescent="0.2"/>
    <row r="34451" hidden="1" x14ac:dyDescent="0.2"/>
    <row r="34452" hidden="1" x14ac:dyDescent="0.2"/>
    <row r="34453" hidden="1" x14ac:dyDescent="0.2"/>
    <row r="34454" hidden="1" x14ac:dyDescent="0.2"/>
    <row r="34455" hidden="1" x14ac:dyDescent="0.2"/>
    <row r="34456" hidden="1" x14ac:dyDescent="0.2"/>
    <row r="34457" hidden="1" x14ac:dyDescent="0.2"/>
    <row r="34458" hidden="1" x14ac:dyDescent="0.2"/>
    <row r="34459" hidden="1" x14ac:dyDescent="0.2"/>
    <row r="34460" hidden="1" x14ac:dyDescent="0.2"/>
    <row r="34461" hidden="1" x14ac:dyDescent="0.2"/>
    <row r="34462" hidden="1" x14ac:dyDescent="0.2"/>
    <row r="34463" hidden="1" x14ac:dyDescent="0.2"/>
    <row r="34464" hidden="1" x14ac:dyDescent="0.2"/>
    <row r="34465" hidden="1" x14ac:dyDescent="0.2"/>
    <row r="34466" hidden="1" x14ac:dyDescent="0.2"/>
    <row r="34467" hidden="1" x14ac:dyDescent="0.2"/>
    <row r="34468" hidden="1" x14ac:dyDescent="0.2"/>
    <row r="34469" hidden="1" x14ac:dyDescent="0.2"/>
    <row r="34470" hidden="1" x14ac:dyDescent="0.2"/>
    <row r="34471" hidden="1" x14ac:dyDescent="0.2"/>
    <row r="34472" hidden="1" x14ac:dyDescent="0.2"/>
    <row r="34473" hidden="1" x14ac:dyDescent="0.2"/>
    <row r="34474" hidden="1" x14ac:dyDescent="0.2"/>
    <row r="34475" hidden="1" x14ac:dyDescent="0.2"/>
    <row r="34476" hidden="1" x14ac:dyDescent="0.2"/>
    <row r="34477" hidden="1" x14ac:dyDescent="0.2"/>
    <row r="34478" hidden="1" x14ac:dyDescent="0.2"/>
    <row r="34479" hidden="1" x14ac:dyDescent="0.2"/>
    <row r="34480" hidden="1" x14ac:dyDescent="0.2"/>
    <row r="34481" hidden="1" x14ac:dyDescent="0.2"/>
    <row r="34482" hidden="1" x14ac:dyDescent="0.2"/>
    <row r="34483" hidden="1" x14ac:dyDescent="0.2"/>
    <row r="34484" hidden="1" x14ac:dyDescent="0.2"/>
    <row r="34485" hidden="1" x14ac:dyDescent="0.2"/>
    <row r="34486" hidden="1" x14ac:dyDescent="0.2"/>
    <row r="34487" hidden="1" x14ac:dyDescent="0.2"/>
    <row r="34488" hidden="1" x14ac:dyDescent="0.2"/>
    <row r="34489" hidden="1" x14ac:dyDescent="0.2"/>
    <row r="34490" hidden="1" x14ac:dyDescent="0.2"/>
    <row r="34491" hidden="1" x14ac:dyDescent="0.2"/>
    <row r="34492" hidden="1" x14ac:dyDescent="0.2"/>
    <row r="34493" hidden="1" x14ac:dyDescent="0.2"/>
    <row r="34494" hidden="1" x14ac:dyDescent="0.2"/>
    <row r="34495" hidden="1" x14ac:dyDescent="0.2"/>
    <row r="34496" hidden="1" x14ac:dyDescent="0.2"/>
    <row r="34497" hidden="1" x14ac:dyDescent="0.2"/>
    <row r="34498" hidden="1" x14ac:dyDescent="0.2"/>
    <row r="34499" hidden="1" x14ac:dyDescent="0.2"/>
    <row r="34500" hidden="1" x14ac:dyDescent="0.2"/>
    <row r="34501" hidden="1" x14ac:dyDescent="0.2"/>
    <row r="34502" hidden="1" x14ac:dyDescent="0.2"/>
    <row r="34503" hidden="1" x14ac:dyDescent="0.2"/>
    <row r="34504" hidden="1" x14ac:dyDescent="0.2"/>
    <row r="34505" hidden="1" x14ac:dyDescent="0.2"/>
    <row r="34506" hidden="1" x14ac:dyDescent="0.2"/>
    <row r="34507" hidden="1" x14ac:dyDescent="0.2"/>
    <row r="34508" hidden="1" x14ac:dyDescent="0.2"/>
    <row r="34509" hidden="1" x14ac:dyDescent="0.2"/>
    <row r="34510" hidden="1" x14ac:dyDescent="0.2"/>
    <row r="34511" hidden="1" x14ac:dyDescent="0.2"/>
    <row r="34512" hidden="1" x14ac:dyDescent="0.2"/>
    <row r="34513" hidden="1" x14ac:dyDescent="0.2"/>
    <row r="34514" hidden="1" x14ac:dyDescent="0.2"/>
    <row r="34515" hidden="1" x14ac:dyDescent="0.2"/>
    <row r="34516" hidden="1" x14ac:dyDescent="0.2"/>
    <row r="34517" hidden="1" x14ac:dyDescent="0.2"/>
    <row r="34518" hidden="1" x14ac:dyDescent="0.2"/>
    <row r="34519" hidden="1" x14ac:dyDescent="0.2"/>
    <row r="34520" hidden="1" x14ac:dyDescent="0.2"/>
    <row r="34521" hidden="1" x14ac:dyDescent="0.2"/>
    <row r="34522" hidden="1" x14ac:dyDescent="0.2"/>
    <row r="34523" hidden="1" x14ac:dyDescent="0.2"/>
    <row r="34524" hidden="1" x14ac:dyDescent="0.2"/>
    <row r="34525" hidden="1" x14ac:dyDescent="0.2"/>
    <row r="34526" hidden="1" x14ac:dyDescent="0.2"/>
    <row r="34527" hidden="1" x14ac:dyDescent="0.2"/>
    <row r="34528" hidden="1" x14ac:dyDescent="0.2"/>
    <row r="34529" hidden="1" x14ac:dyDescent="0.2"/>
    <row r="34530" hidden="1" x14ac:dyDescent="0.2"/>
    <row r="34531" hidden="1" x14ac:dyDescent="0.2"/>
    <row r="34532" hidden="1" x14ac:dyDescent="0.2"/>
    <row r="34533" hidden="1" x14ac:dyDescent="0.2"/>
    <row r="34534" hidden="1" x14ac:dyDescent="0.2"/>
    <row r="34535" hidden="1" x14ac:dyDescent="0.2"/>
    <row r="34536" hidden="1" x14ac:dyDescent="0.2"/>
    <row r="34537" hidden="1" x14ac:dyDescent="0.2"/>
    <row r="34538" hidden="1" x14ac:dyDescent="0.2"/>
    <row r="34539" hidden="1" x14ac:dyDescent="0.2"/>
    <row r="34540" hidden="1" x14ac:dyDescent="0.2"/>
    <row r="34541" hidden="1" x14ac:dyDescent="0.2"/>
    <row r="34542" hidden="1" x14ac:dyDescent="0.2"/>
    <row r="34543" hidden="1" x14ac:dyDescent="0.2"/>
    <row r="34544" hidden="1" x14ac:dyDescent="0.2"/>
    <row r="34545" hidden="1" x14ac:dyDescent="0.2"/>
    <row r="34546" hidden="1" x14ac:dyDescent="0.2"/>
    <row r="34547" hidden="1" x14ac:dyDescent="0.2"/>
    <row r="34548" hidden="1" x14ac:dyDescent="0.2"/>
    <row r="34549" hidden="1" x14ac:dyDescent="0.2"/>
    <row r="34550" hidden="1" x14ac:dyDescent="0.2"/>
    <row r="34551" hidden="1" x14ac:dyDescent="0.2"/>
    <row r="34552" hidden="1" x14ac:dyDescent="0.2"/>
    <row r="34553" hidden="1" x14ac:dyDescent="0.2"/>
    <row r="34554" hidden="1" x14ac:dyDescent="0.2"/>
    <row r="34555" hidden="1" x14ac:dyDescent="0.2"/>
    <row r="34556" hidden="1" x14ac:dyDescent="0.2"/>
    <row r="34557" hidden="1" x14ac:dyDescent="0.2"/>
    <row r="34558" hidden="1" x14ac:dyDescent="0.2"/>
    <row r="34559" hidden="1" x14ac:dyDescent="0.2"/>
    <row r="34560" hidden="1" x14ac:dyDescent="0.2"/>
    <row r="34561" hidden="1" x14ac:dyDescent="0.2"/>
    <row r="34562" hidden="1" x14ac:dyDescent="0.2"/>
    <row r="34563" hidden="1" x14ac:dyDescent="0.2"/>
    <row r="34564" hidden="1" x14ac:dyDescent="0.2"/>
    <row r="34565" hidden="1" x14ac:dyDescent="0.2"/>
    <row r="34566" hidden="1" x14ac:dyDescent="0.2"/>
    <row r="34567" hidden="1" x14ac:dyDescent="0.2"/>
    <row r="34568" hidden="1" x14ac:dyDescent="0.2"/>
    <row r="34569" hidden="1" x14ac:dyDescent="0.2"/>
    <row r="34570" hidden="1" x14ac:dyDescent="0.2"/>
    <row r="34571" hidden="1" x14ac:dyDescent="0.2"/>
    <row r="34572" hidden="1" x14ac:dyDescent="0.2"/>
    <row r="34573" hidden="1" x14ac:dyDescent="0.2"/>
    <row r="34574" hidden="1" x14ac:dyDescent="0.2"/>
    <row r="34575" hidden="1" x14ac:dyDescent="0.2"/>
    <row r="34576" hidden="1" x14ac:dyDescent="0.2"/>
    <row r="34577" hidden="1" x14ac:dyDescent="0.2"/>
    <row r="34578" hidden="1" x14ac:dyDescent="0.2"/>
    <row r="34579" hidden="1" x14ac:dyDescent="0.2"/>
    <row r="34580" hidden="1" x14ac:dyDescent="0.2"/>
    <row r="34581" hidden="1" x14ac:dyDescent="0.2"/>
    <row r="34582" hidden="1" x14ac:dyDescent="0.2"/>
    <row r="34583" hidden="1" x14ac:dyDescent="0.2"/>
    <row r="34584" hidden="1" x14ac:dyDescent="0.2"/>
    <row r="34585" hidden="1" x14ac:dyDescent="0.2"/>
    <row r="34586" hidden="1" x14ac:dyDescent="0.2"/>
    <row r="34587" hidden="1" x14ac:dyDescent="0.2"/>
    <row r="34588" hidden="1" x14ac:dyDescent="0.2"/>
    <row r="34589" hidden="1" x14ac:dyDescent="0.2"/>
    <row r="34590" hidden="1" x14ac:dyDescent="0.2"/>
    <row r="34591" hidden="1" x14ac:dyDescent="0.2"/>
    <row r="34592" hidden="1" x14ac:dyDescent="0.2"/>
    <row r="34593" hidden="1" x14ac:dyDescent="0.2"/>
    <row r="34594" hidden="1" x14ac:dyDescent="0.2"/>
    <row r="34595" hidden="1" x14ac:dyDescent="0.2"/>
    <row r="34596" hidden="1" x14ac:dyDescent="0.2"/>
    <row r="34597" hidden="1" x14ac:dyDescent="0.2"/>
    <row r="34598" hidden="1" x14ac:dyDescent="0.2"/>
    <row r="34599" hidden="1" x14ac:dyDescent="0.2"/>
    <row r="34600" hidden="1" x14ac:dyDescent="0.2"/>
    <row r="34601" hidden="1" x14ac:dyDescent="0.2"/>
    <row r="34602" hidden="1" x14ac:dyDescent="0.2"/>
    <row r="34603" hidden="1" x14ac:dyDescent="0.2"/>
    <row r="34604" hidden="1" x14ac:dyDescent="0.2"/>
    <row r="34605" hidden="1" x14ac:dyDescent="0.2"/>
    <row r="34606" hidden="1" x14ac:dyDescent="0.2"/>
    <row r="34607" hidden="1" x14ac:dyDescent="0.2"/>
    <row r="34608" hidden="1" x14ac:dyDescent="0.2"/>
    <row r="34609" hidden="1" x14ac:dyDescent="0.2"/>
    <row r="34610" hidden="1" x14ac:dyDescent="0.2"/>
    <row r="34611" hidden="1" x14ac:dyDescent="0.2"/>
    <row r="34612" hidden="1" x14ac:dyDescent="0.2"/>
    <row r="34613" hidden="1" x14ac:dyDescent="0.2"/>
    <row r="34614" hidden="1" x14ac:dyDescent="0.2"/>
    <row r="34615" hidden="1" x14ac:dyDescent="0.2"/>
    <row r="34616" hidden="1" x14ac:dyDescent="0.2"/>
    <row r="34617" hidden="1" x14ac:dyDescent="0.2"/>
    <row r="34618" hidden="1" x14ac:dyDescent="0.2"/>
    <row r="34619" hidden="1" x14ac:dyDescent="0.2"/>
    <row r="34620" hidden="1" x14ac:dyDescent="0.2"/>
    <row r="34621" hidden="1" x14ac:dyDescent="0.2"/>
    <row r="34622" hidden="1" x14ac:dyDescent="0.2"/>
    <row r="34623" hidden="1" x14ac:dyDescent="0.2"/>
    <row r="34624" hidden="1" x14ac:dyDescent="0.2"/>
    <row r="34625" hidden="1" x14ac:dyDescent="0.2"/>
    <row r="34626" hidden="1" x14ac:dyDescent="0.2"/>
    <row r="34627" hidden="1" x14ac:dyDescent="0.2"/>
    <row r="34628" hidden="1" x14ac:dyDescent="0.2"/>
    <row r="34629" hidden="1" x14ac:dyDescent="0.2"/>
    <row r="34630" hidden="1" x14ac:dyDescent="0.2"/>
    <row r="34631" hidden="1" x14ac:dyDescent="0.2"/>
    <row r="34632" hidden="1" x14ac:dyDescent="0.2"/>
    <row r="34633" hidden="1" x14ac:dyDescent="0.2"/>
    <row r="34634" hidden="1" x14ac:dyDescent="0.2"/>
    <row r="34635" hidden="1" x14ac:dyDescent="0.2"/>
    <row r="34636" hidden="1" x14ac:dyDescent="0.2"/>
    <row r="34637" hidden="1" x14ac:dyDescent="0.2"/>
    <row r="34638" hidden="1" x14ac:dyDescent="0.2"/>
    <row r="34639" hidden="1" x14ac:dyDescent="0.2"/>
    <row r="34640" hidden="1" x14ac:dyDescent="0.2"/>
    <row r="34641" hidden="1" x14ac:dyDescent="0.2"/>
    <row r="34642" hidden="1" x14ac:dyDescent="0.2"/>
    <row r="34643" hidden="1" x14ac:dyDescent="0.2"/>
    <row r="34644" hidden="1" x14ac:dyDescent="0.2"/>
    <row r="34645" hidden="1" x14ac:dyDescent="0.2"/>
    <row r="34646" hidden="1" x14ac:dyDescent="0.2"/>
    <row r="34647" hidden="1" x14ac:dyDescent="0.2"/>
    <row r="34648" hidden="1" x14ac:dyDescent="0.2"/>
    <row r="34649" hidden="1" x14ac:dyDescent="0.2"/>
    <row r="34650" hidden="1" x14ac:dyDescent="0.2"/>
    <row r="34651" hidden="1" x14ac:dyDescent="0.2"/>
    <row r="34652" hidden="1" x14ac:dyDescent="0.2"/>
    <row r="34653" hidden="1" x14ac:dyDescent="0.2"/>
    <row r="34654" hidden="1" x14ac:dyDescent="0.2"/>
    <row r="34655" hidden="1" x14ac:dyDescent="0.2"/>
    <row r="34656" hidden="1" x14ac:dyDescent="0.2"/>
    <row r="34657" hidden="1" x14ac:dyDescent="0.2"/>
    <row r="34658" hidden="1" x14ac:dyDescent="0.2"/>
    <row r="34659" hidden="1" x14ac:dyDescent="0.2"/>
    <row r="34660" hidden="1" x14ac:dyDescent="0.2"/>
    <row r="34661" hidden="1" x14ac:dyDescent="0.2"/>
    <row r="34662" hidden="1" x14ac:dyDescent="0.2"/>
    <row r="34663" hidden="1" x14ac:dyDescent="0.2"/>
    <row r="34664" hidden="1" x14ac:dyDescent="0.2"/>
    <row r="34665" hidden="1" x14ac:dyDescent="0.2"/>
    <row r="34666" hidden="1" x14ac:dyDescent="0.2"/>
    <row r="34667" hidden="1" x14ac:dyDescent="0.2"/>
    <row r="34668" hidden="1" x14ac:dyDescent="0.2"/>
    <row r="34669" hidden="1" x14ac:dyDescent="0.2"/>
    <row r="34670" hidden="1" x14ac:dyDescent="0.2"/>
    <row r="34671" hidden="1" x14ac:dyDescent="0.2"/>
    <row r="34672" hidden="1" x14ac:dyDescent="0.2"/>
    <row r="34673" hidden="1" x14ac:dyDescent="0.2"/>
    <row r="34674" hidden="1" x14ac:dyDescent="0.2"/>
    <row r="34675" hidden="1" x14ac:dyDescent="0.2"/>
    <row r="34676" hidden="1" x14ac:dyDescent="0.2"/>
    <row r="34677" hidden="1" x14ac:dyDescent="0.2"/>
    <row r="34678" hidden="1" x14ac:dyDescent="0.2"/>
    <row r="34679" hidden="1" x14ac:dyDescent="0.2"/>
    <row r="34680" hidden="1" x14ac:dyDescent="0.2"/>
    <row r="34681" hidden="1" x14ac:dyDescent="0.2"/>
    <row r="34682" hidden="1" x14ac:dyDescent="0.2"/>
    <row r="34683" hidden="1" x14ac:dyDescent="0.2"/>
    <row r="34684" hidden="1" x14ac:dyDescent="0.2"/>
    <row r="34685" hidden="1" x14ac:dyDescent="0.2"/>
    <row r="34686" hidden="1" x14ac:dyDescent="0.2"/>
    <row r="34687" hidden="1" x14ac:dyDescent="0.2"/>
    <row r="34688" hidden="1" x14ac:dyDescent="0.2"/>
    <row r="34689" hidden="1" x14ac:dyDescent="0.2"/>
    <row r="34690" hidden="1" x14ac:dyDescent="0.2"/>
    <row r="34691" hidden="1" x14ac:dyDescent="0.2"/>
    <row r="34692" hidden="1" x14ac:dyDescent="0.2"/>
    <row r="34693" hidden="1" x14ac:dyDescent="0.2"/>
    <row r="34694" hidden="1" x14ac:dyDescent="0.2"/>
    <row r="34695" hidden="1" x14ac:dyDescent="0.2"/>
    <row r="34696" hidden="1" x14ac:dyDescent="0.2"/>
    <row r="34697" hidden="1" x14ac:dyDescent="0.2"/>
    <row r="34698" hidden="1" x14ac:dyDescent="0.2"/>
    <row r="34699" hidden="1" x14ac:dyDescent="0.2"/>
    <row r="34700" hidden="1" x14ac:dyDescent="0.2"/>
    <row r="34701" hidden="1" x14ac:dyDescent="0.2"/>
    <row r="34702" hidden="1" x14ac:dyDescent="0.2"/>
    <row r="34703" hidden="1" x14ac:dyDescent="0.2"/>
    <row r="34704" hidden="1" x14ac:dyDescent="0.2"/>
    <row r="34705" hidden="1" x14ac:dyDescent="0.2"/>
    <row r="34706" hidden="1" x14ac:dyDescent="0.2"/>
    <row r="34707" hidden="1" x14ac:dyDescent="0.2"/>
    <row r="34708" hidden="1" x14ac:dyDescent="0.2"/>
    <row r="34709" hidden="1" x14ac:dyDescent="0.2"/>
    <row r="34710" hidden="1" x14ac:dyDescent="0.2"/>
    <row r="34711" hidden="1" x14ac:dyDescent="0.2"/>
    <row r="34712" hidden="1" x14ac:dyDescent="0.2"/>
    <row r="34713" hidden="1" x14ac:dyDescent="0.2"/>
    <row r="34714" hidden="1" x14ac:dyDescent="0.2"/>
    <row r="34715" hidden="1" x14ac:dyDescent="0.2"/>
    <row r="34716" hidden="1" x14ac:dyDescent="0.2"/>
    <row r="34717" hidden="1" x14ac:dyDescent="0.2"/>
    <row r="34718" hidden="1" x14ac:dyDescent="0.2"/>
    <row r="34719" hidden="1" x14ac:dyDescent="0.2"/>
    <row r="34720" hidden="1" x14ac:dyDescent="0.2"/>
    <row r="34721" hidden="1" x14ac:dyDescent="0.2"/>
    <row r="34722" hidden="1" x14ac:dyDescent="0.2"/>
    <row r="34723" hidden="1" x14ac:dyDescent="0.2"/>
    <row r="34724" hidden="1" x14ac:dyDescent="0.2"/>
    <row r="34725" hidden="1" x14ac:dyDescent="0.2"/>
    <row r="34726" hidden="1" x14ac:dyDescent="0.2"/>
    <row r="34727" hidden="1" x14ac:dyDescent="0.2"/>
    <row r="34728" hidden="1" x14ac:dyDescent="0.2"/>
    <row r="34729" hidden="1" x14ac:dyDescent="0.2"/>
    <row r="34730" hidden="1" x14ac:dyDescent="0.2"/>
    <row r="34731" hidden="1" x14ac:dyDescent="0.2"/>
    <row r="34732" hidden="1" x14ac:dyDescent="0.2"/>
    <row r="34733" hidden="1" x14ac:dyDescent="0.2"/>
    <row r="34734" hidden="1" x14ac:dyDescent="0.2"/>
    <row r="34735" hidden="1" x14ac:dyDescent="0.2"/>
    <row r="34736" hidden="1" x14ac:dyDescent="0.2"/>
    <row r="34737" hidden="1" x14ac:dyDescent="0.2"/>
    <row r="34738" hidden="1" x14ac:dyDescent="0.2"/>
    <row r="34739" hidden="1" x14ac:dyDescent="0.2"/>
    <row r="34740" hidden="1" x14ac:dyDescent="0.2"/>
    <row r="34741" hidden="1" x14ac:dyDescent="0.2"/>
    <row r="34742" hidden="1" x14ac:dyDescent="0.2"/>
    <row r="34743" hidden="1" x14ac:dyDescent="0.2"/>
    <row r="34744" hidden="1" x14ac:dyDescent="0.2"/>
    <row r="34745" hidden="1" x14ac:dyDescent="0.2"/>
    <row r="34746" hidden="1" x14ac:dyDescent="0.2"/>
    <row r="34747" hidden="1" x14ac:dyDescent="0.2"/>
    <row r="34748" hidden="1" x14ac:dyDescent="0.2"/>
    <row r="34749" hidden="1" x14ac:dyDescent="0.2"/>
    <row r="34750" hidden="1" x14ac:dyDescent="0.2"/>
    <row r="34751" hidden="1" x14ac:dyDescent="0.2"/>
    <row r="34752" hidden="1" x14ac:dyDescent="0.2"/>
    <row r="34753" hidden="1" x14ac:dyDescent="0.2"/>
    <row r="34754" hidden="1" x14ac:dyDescent="0.2"/>
    <row r="34755" hidden="1" x14ac:dyDescent="0.2"/>
    <row r="34756" hidden="1" x14ac:dyDescent="0.2"/>
    <row r="34757" hidden="1" x14ac:dyDescent="0.2"/>
    <row r="34758" hidden="1" x14ac:dyDescent="0.2"/>
    <row r="34759" hidden="1" x14ac:dyDescent="0.2"/>
    <row r="34760" hidden="1" x14ac:dyDescent="0.2"/>
    <row r="34761" hidden="1" x14ac:dyDescent="0.2"/>
    <row r="34762" hidden="1" x14ac:dyDescent="0.2"/>
    <row r="34763" hidden="1" x14ac:dyDescent="0.2"/>
    <row r="34764" hidden="1" x14ac:dyDescent="0.2"/>
    <row r="34765" hidden="1" x14ac:dyDescent="0.2"/>
    <row r="34766" hidden="1" x14ac:dyDescent="0.2"/>
    <row r="34767" hidden="1" x14ac:dyDescent="0.2"/>
    <row r="34768" hidden="1" x14ac:dyDescent="0.2"/>
    <row r="34769" hidden="1" x14ac:dyDescent="0.2"/>
    <row r="34770" hidden="1" x14ac:dyDescent="0.2"/>
    <row r="34771" hidden="1" x14ac:dyDescent="0.2"/>
    <row r="34772" hidden="1" x14ac:dyDescent="0.2"/>
    <row r="34773" hidden="1" x14ac:dyDescent="0.2"/>
    <row r="34774" hidden="1" x14ac:dyDescent="0.2"/>
    <row r="34775" hidden="1" x14ac:dyDescent="0.2"/>
    <row r="34776" hidden="1" x14ac:dyDescent="0.2"/>
    <row r="34777" hidden="1" x14ac:dyDescent="0.2"/>
    <row r="34778" hidden="1" x14ac:dyDescent="0.2"/>
    <row r="34779" hidden="1" x14ac:dyDescent="0.2"/>
    <row r="34780" hidden="1" x14ac:dyDescent="0.2"/>
    <row r="34781" hidden="1" x14ac:dyDescent="0.2"/>
    <row r="34782" hidden="1" x14ac:dyDescent="0.2"/>
    <row r="34783" hidden="1" x14ac:dyDescent="0.2"/>
    <row r="34784" hidden="1" x14ac:dyDescent="0.2"/>
    <row r="34785" hidden="1" x14ac:dyDescent="0.2"/>
    <row r="34786" hidden="1" x14ac:dyDescent="0.2"/>
    <row r="34787" hidden="1" x14ac:dyDescent="0.2"/>
    <row r="34788" hidden="1" x14ac:dyDescent="0.2"/>
    <row r="34789" hidden="1" x14ac:dyDescent="0.2"/>
    <row r="34790" hidden="1" x14ac:dyDescent="0.2"/>
    <row r="34791" hidden="1" x14ac:dyDescent="0.2"/>
    <row r="34792" hidden="1" x14ac:dyDescent="0.2"/>
    <row r="34793" hidden="1" x14ac:dyDescent="0.2"/>
    <row r="34794" hidden="1" x14ac:dyDescent="0.2"/>
    <row r="34795" hidden="1" x14ac:dyDescent="0.2"/>
    <row r="34796" hidden="1" x14ac:dyDescent="0.2"/>
    <row r="34797" hidden="1" x14ac:dyDescent="0.2"/>
    <row r="34798" hidden="1" x14ac:dyDescent="0.2"/>
    <row r="34799" hidden="1" x14ac:dyDescent="0.2"/>
    <row r="34800" hidden="1" x14ac:dyDescent="0.2"/>
    <row r="34801" hidden="1" x14ac:dyDescent="0.2"/>
    <row r="34802" hidden="1" x14ac:dyDescent="0.2"/>
    <row r="34803" hidden="1" x14ac:dyDescent="0.2"/>
    <row r="34804" hidden="1" x14ac:dyDescent="0.2"/>
    <row r="34805" hidden="1" x14ac:dyDescent="0.2"/>
    <row r="34806" hidden="1" x14ac:dyDescent="0.2"/>
    <row r="34807" hidden="1" x14ac:dyDescent="0.2"/>
    <row r="34808" hidden="1" x14ac:dyDescent="0.2"/>
    <row r="34809" hidden="1" x14ac:dyDescent="0.2"/>
    <row r="34810" hidden="1" x14ac:dyDescent="0.2"/>
    <row r="34811" hidden="1" x14ac:dyDescent="0.2"/>
    <row r="34812" hidden="1" x14ac:dyDescent="0.2"/>
    <row r="34813" hidden="1" x14ac:dyDescent="0.2"/>
    <row r="34814" hidden="1" x14ac:dyDescent="0.2"/>
    <row r="34815" hidden="1" x14ac:dyDescent="0.2"/>
    <row r="34816" hidden="1" x14ac:dyDescent="0.2"/>
    <row r="34817" hidden="1" x14ac:dyDescent="0.2"/>
    <row r="34818" hidden="1" x14ac:dyDescent="0.2"/>
    <row r="34819" hidden="1" x14ac:dyDescent="0.2"/>
    <row r="34820" hidden="1" x14ac:dyDescent="0.2"/>
    <row r="34821" hidden="1" x14ac:dyDescent="0.2"/>
    <row r="34822" hidden="1" x14ac:dyDescent="0.2"/>
    <row r="34823" hidden="1" x14ac:dyDescent="0.2"/>
    <row r="34824" hidden="1" x14ac:dyDescent="0.2"/>
    <row r="34825" hidden="1" x14ac:dyDescent="0.2"/>
    <row r="34826" hidden="1" x14ac:dyDescent="0.2"/>
    <row r="34827" hidden="1" x14ac:dyDescent="0.2"/>
    <row r="34828" hidden="1" x14ac:dyDescent="0.2"/>
    <row r="34829" hidden="1" x14ac:dyDescent="0.2"/>
    <row r="34830" hidden="1" x14ac:dyDescent="0.2"/>
    <row r="34831" hidden="1" x14ac:dyDescent="0.2"/>
    <row r="34832" hidden="1" x14ac:dyDescent="0.2"/>
    <row r="34833" hidden="1" x14ac:dyDescent="0.2"/>
    <row r="34834" hidden="1" x14ac:dyDescent="0.2"/>
    <row r="34835" hidden="1" x14ac:dyDescent="0.2"/>
    <row r="34836" hidden="1" x14ac:dyDescent="0.2"/>
    <row r="34837" hidden="1" x14ac:dyDescent="0.2"/>
    <row r="34838" hidden="1" x14ac:dyDescent="0.2"/>
    <row r="34839" hidden="1" x14ac:dyDescent="0.2"/>
    <row r="34840" hidden="1" x14ac:dyDescent="0.2"/>
    <row r="34841" hidden="1" x14ac:dyDescent="0.2"/>
    <row r="34842" hidden="1" x14ac:dyDescent="0.2"/>
    <row r="34843" hidden="1" x14ac:dyDescent="0.2"/>
    <row r="34844" hidden="1" x14ac:dyDescent="0.2"/>
    <row r="34845" hidden="1" x14ac:dyDescent="0.2"/>
    <row r="34846" hidden="1" x14ac:dyDescent="0.2"/>
    <row r="34847" hidden="1" x14ac:dyDescent="0.2"/>
    <row r="34848" hidden="1" x14ac:dyDescent="0.2"/>
    <row r="34849" hidden="1" x14ac:dyDescent="0.2"/>
    <row r="34850" hidden="1" x14ac:dyDescent="0.2"/>
    <row r="34851" hidden="1" x14ac:dyDescent="0.2"/>
    <row r="34852" hidden="1" x14ac:dyDescent="0.2"/>
    <row r="34853" hidden="1" x14ac:dyDescent="0.2"/>
    <row r="34854" hidden="1" x14ac:dyDescent="0.2"/>
    <row r="34855" hidden="1" x14ac:dyDescent="0.2"/>
    <row r="34856" hidden="1" x14ac:dyDescent="0.2"/>
    <row r="34857" hidden="1" x14ac:dyDescent="0.2"/>
    <row r="34858" hidden="1" x14ac:dyDescent="0.2"/>
    <row r="34859" hidden="1" x14ac:dyDescent="0.2"/>
    <row r="34860" hidden="1" x14ac:dyDescent="0.2"/>
    <row r="34861" hidden="1" x14ac:dyDescent="0.2"/>
    <row r="34862" hidden="1" x14ac:dyDescent="0.2"/>
    <row r="34863" hidden="1" x14ac:dyDescent="0.2"/>
    <row r="34864" hidden="1" x14ac:dyDescent="0.2"/>
    <row r="34865" hidden="1" x14ac:dyDescent="0.2"/>
    <row r="34866" hidden="1" x14ac:dyDescent="0.2"/>
    <row r="34867" hidden="1" x14ac:dyDescent="0.2"/>
    <row r="34868" hidden="1" x14ac:dyDescent="0.2"/>
    <row r="34869" hidden="1" x14ac:dyDescent="0.2"/>
    <row r="34870" hidden="1" x14ac:dyDescent="0.2"/>
    <row r="34871" hidden="1" x14ac:dyDescent="0.2"/>
    <row r="34872" hidden="1" x14ac:dyDescent="0.2"/>
    <row r="34873" hidden="1" x14ac:dyDescent="0.2"/>
    <row r="34874" hidden="1" x14ac:dyDescent="0.2"/>
    <row r="34875" hidden="1" x14ac:dyDescent="0.2"/>
    <row r="34876" hidden="1" x14ac:dyDescent="0.2"/>
    <row r="34877" hidden="1" x14ac:dyDescent="0.2"/>
    <row r="34878" hidden="1" x14ac:dyDescent="0.2"/>
    <row r="34879" hidden="1" x14ac:dyDescent="0.2"/>
    <row r="34880" hidden="1" x14ac:dyDescent="0.2"/>
    <row r="34881" hidden="1" x14ac:dyDescent="0.2"/>
    <row r="34882" hidden="1" x14ac:dyDescent="0.2"/>
    <row r="34883" hidden="1" x14ac:dyDescent="0.2"/>
    <row r="34884" hidden="1" x14ac:dyDescent="0.2"/>
    <row r="34885" hidden="1" x14ac:dyDescent="0.2"/>
    <row r="34886" hidden="1" x14ac:dyDescent="0.2"/>
    <row r="34887" hidden="1" x14ac:dyDescent="0.2"/>
    <row r="34888" hidden="1" x14ac:dyDescent="0.2"/>
    <row r="34889" hidden="1" x14ac:dyDescent="0.2"/>
    <row r="34890" hidden="1" x14ac:dyDescent="0.2"/>
    <row r="34891" hidden="1" x14ac:dyDescent="0.2"/>
    <row r="34892" hidden="1" x14ac:dyDescent="0.2"/>
    <row r="34893" hidden="1" x14ac:dyDescent="0.2"/>
    <row r="34894" hidden="1" x14ac:dyDescent="0.2"/>
    <row r="34895" hidden="1" x14ac:dyDescent="0.2"/>
    <row r="34896" hidden="1" x14ac:dyDescent="0.2"/>
    <row r="34897" hidden="1" x14ac:dyDescent="0.2"/>
    <row r="34898" hidden="1" x14ac:dyDescent="0.2"/>
    <row r="34899" hidden="1" x14ac:dyDescent="0.2"/>
    <row r="34900" hidden="1" x14ac:dyDescent="0.2"/>
    <row r="34901" hidden="1" x14ac:dyDescent="0.2"/>
    <row r="34902" hidden="1" x14ac:dyDescent="0.2"/>
    <row r="34903" hidden="1" x14ac:dyDescent="0.2"/>
    <row r="34904" hidden="1" x14ac:dyDescent="0.2"/>
    <row r="34905" hidden="1" x14ac:dyDescent="0.2"/>
    <row r="34906" hidden="1" x14ac:dyDescent="0.2"/>
    <row r="34907" hidden="1" x14ac:dyDescent="0.2"/>
    <row r="34908" hidden="1" x14ac:dyDescent="0.2"/>
    <row r="34909" hidden="1" x14ac:dyDescent="0.2"/>
    <row r="34910" hidden="1" x14ac:dyDescent="0.2"/>
    <row r="34911" hidden="1" x14ac:dyDescent="0.2"/>
    <row r="34912" hidden="1" x14ac:dyDescent="0.2"/>
    <row r="34913" hidden="1" x14ac:dyDescent="0.2"/>
    <row r="34914" hidden="1" x14ac:dyDescent="0.2"/>
    <row r="34915" hidden="1" x14ac:dyDescent="0.2"/>
    <row r="34916" hidden="1" x14ac:dyDescent="0.2"/>
    <row r="34917" hidden="1" x14ac:dyDescent="0.2"/>
    <row r="34918" hidden="1" x14ac:dyDescent="0.2"/>
    <row r="34919" hidden="1" x14ac:dyDescent="0.2"/>
    <row r="34920" hidden="1" x14ac:dyDescent="0.2"/>
    <row r="34921" hidden="1" x14ac:dyDescent="0.2"/>
    <row r="34922" hidden="1" x14ac:dyDescent="0.2"/>
    <row r="34923" hidden="1" x14ac:dyDescent="0.2"/>
    <row r="34924" hidden="1" x14ac:dyDescent="0.2"/>
    <row r="34925" hidden="1" x14ac:dyDescent="0.2"/>
    <row r="34926" hidden="1" x14ac:dyDescent="0.2"/>
    <row r="34927" hidden="1" x14ac:dyDescent="0.2"/>
    <row r="34928" hidden="1" x14ac:dyDescent="0.2"/>
    <row r="34929" hidden="1" x14ac:dyDescent="0.2"/>
    <row r="34930" hidden="1" x14ac:dyDescent="0.2"/>
    <row r="34931" hidden="1" x14ac:dyDescent="0.2"/>
    <row r="34932" hidden="1" x14ac:dyDescent="0.2"/>
    <row r="34933" hidden="1" x14ac:dyDescent="0.2"/>
    <row r="34934" hidden="1" x14ac:dyDescent="0.2"/>
    <row r="34935" hidden="1" x14ac:dyDescent="0.2"/>
    <row r="34936" hidden="1" x14ac:dyDescent="0.2"/>
    <row r="34937" hidden="1" x14ac:dyDescent="0.2"/>
    <row r="34938" hidden="1" x14ac:dyDescent="0.2"/>
    <row r="34939" hidden="1" x14ac:dyDescent="0.2"/>
    <row r="34940" hidden="1" x14ac:dyDescent="0.2"/>
    <row r="34941" hidden="1" x14ac:dyDescent="0.2"/>
    <row r="34942" hidden="1" x14ac:dyDescent="0.2"/>
    <row r="34943" hidden="1" x14ac:dyDescent="0.2"/>
    <row r="34944" hidden="1" x14ac:dyDescent="0.2"/>
    <row r="34945" hidden="1" x14ac:dyDescent="0.2"/>
    <row r="34946" hidden="1" x14ac:dyDescent="0.2"/>
    <row r="34947" hidden="1" x14ac:dyDescent="0.2"/>
    <row r="34948" hidden="1" x14ac:dyDescent="0.2"/>
    <row r="34949" hidden="1" x14ac:dyDescent="0.2"/>
    <row r="34950" hidden="1" x14ac:dyDescent="0.2"/>
    <row r="34951" hidden="1" x14ac:dyDescent="0.2"/>
    <row r="34952" hidden="1" x14ac:dyDescent="0.2"/>
    <row r="34953" hidden="1" x14ac:dyDescent="0.2"/>
    <row r="34954" hidden="1" x14ac:dyDescent="0.2"/>
    <row r="34955" hidden="1" x14ac:dyDescent="0.2"/>
    <row r="34956" hidden="1" x14ac:dyDescent="0.2"/>
    <row r="34957" hidden="1" x14ac:dyDescent="0.2"/>
    <row r="34958" hidden="1" x14ac:dyDescent="0.2"/>
    <row r="34959" hidden="1" x14ac:dyDescent="0.2"/>
    <row r="34960" hidden="1" x14ac:dyDescent="0.2"/>
    <row r="34961" hidden="1" x14ac:dyDescent="0.2"/>
    <row r="34962" hidden="1" x14ac:dyDescent="0.2"/>
    <row r="34963" hidden="1" x14ac:dyDescent="0.2"/>
    <row r="34964" hidden="1" x14ac:dyDescent="0.2"/>
    <row r="34965" hidden="1" x14ac:dyDescent="0.2"/>
    <row r="34966" hidden="1" x14ac:dyDescent="0.2"/>
    <row r="34967" hidden="1" x14ac:dyDescent="0.2"/>
    <row r="34968" hidden="1" x14ac:dyDescent="0.2"/>
    <row r="34969" hidden="1" x14ac:dyDescent="0.2"/>
    <row r="34970" hidden="1" x14ac:dyDescent="0.2"/>
    <row r="34971" hidden="1" x14ac:dyDescent="0.2"/>
    <row r="34972" hidden="1" x14ac:dyDescent="0.2"/>
    <row r="34973" hidden="1" x14ac:dyDescent="0.2"/>
    <row r="34974" hidden="1" x14ac:dyDescent="0.2"/>
    <row r="34975" hidden="1" x14ac:dyDescent="0.2"/>
    <row r="34976" hidden="1" x14ac:dyDescent="0.2"/>
    <row r="34977" hidden="1" x14ac:dyDescent="0.2"/>
    <row r="34978" hidden="1" x14ac:dyDescent="0.2"/>
    <row r="34979" hidden="1" x14ac:dyDescent="0.2"/>
    <row r="34980" hidden="1" x14ac:dyDescent="0.2"/>
    <row r="34981" hidden="1" x14ac:dyDescent="0.2"/>
    <row r="34982" hidden="1" x14ac:dyDescent="0.2"/>
    <row r="34983" hidden="1" x14ac:dyDescent="0.2"/>
    <row r="34984" hidden="1" x14ac:dyDescent="0.2"/>
    <row r="34985" hidden="1" x14ac:dyDescent="0.2"/>
    <row r="34986" hidden="1" x14ac:dyDescent="0.2"/>
    <row r="34987" hidden="1" x14ac:dyDescent="0.2"/>
    <row r="34988" hidden="1" x14ac:dyDescent="0.2"/>
    <row r="34989" hidden="1" x14ac:dyDescent="0.2"/>
    <row r="34990" hidden="1" x14ac:dyDescent="0.2"/>
    <row r="34991" hidden="1" x14ac:dyDescent="0.2"/>
    <row r="34992" hidden="1" x14ac:dyDescent="0.2"/>
    <row r="34993" hidden="1" x14ac:dyDescent="0.2"/>
    <row r="34994" hidden="1" x14ac:dyDescent="0.2"/>
    <row r="34995" hidden="1" x14ac:dyDescent="0.2"/>
    <row r="34996" hidden="1" x14ac:dyDescent="0.2"/>
    <row r="34997" hidden="1" x14ac:dyDescent="0.2"/>
    <row r="34998" hidden="1" x14ac:dyDescent="0.2"/>
    <row r="34999" hidden="1" x14ac:dyDescent="0.2"/>
    <row r="35000" hidden="1" x14ac:dyDescent="0.2"/>
    <row r="35001" hidden="1" x14ac:dyDescent="0.2"/>
    <row r="35002" hidden="1" x14ac:dyDescent="0.2"/>
    <row r="35003" hidden="1" x14ac:dyDescent="0.2"/>
    <row r="35004" hidden="1" x14ac:dyDescent="0.2"/>
    <row r="35005" hidden="1" x14ac:dyDescent="0.2"/>
    <row r="35006" hidden="1" x14ac:dyDescent="0.2"/>
    <row r="35007" hidden="1" x14ac:dyDescent="0.2"/>
    <row r="35008" hidden="1" x14ac:dyDescent="0.2"/>
    <row r="35009" hidden="1" x14ac:dyDescent="0.2"/>
    <row r="35010" hidden="1" x14ac:dyDescent="0.2"/>
    <row r="35011" hidden="1" x14ac:dyDescent="0.2"/>
    <row r="35012" hidden="1" x14ac:dyDescent="0.2"/>
    <row r="35013" hidden="1" x14ac:dyDescent="0.2"/>
    <row r="35014" hidden="1" x14ac:dyDescent="0.2"/>
    <row r="35015" hidden="1" x14ac:dyDescent="0.2"/>
    <row r="35016" hidden="1" x14ac:dyDescent="0.2"/>
    <row r="35017" hidden="1" x14ac:dyDescent="0.2"/>
    <row r="35018" hidden="1" x14ac:dyDescent="0.2"/>
    <row r="35019" hidden="1" x14ac:dyDescent="0.2"/>
    <row r="35020" hidden="1" x14ac:dyDescent="0.2"/>
    <row r="35021" hidden="1" x14ac:dyDescent="0.2"/>
    <row r="35022" hidden="1" x14ac:dyDescent="0.2"/>
    <row r="35023" hidden="1" x14ac:dyDescent="0.2"/>
    <row r="35024" hidden="1" x14ac:dyDescent="0.2"/>
    <row r="35025" hidden="1" x14ac:dyDescent="0.2"/>
    <row r="35026" hidden="1" x14ac:dyDescent="0.2"/>
    <row r="35027" hidden="1" x14ac:dyDescent="0.2"/>
    <row r="35028" hidden="1" x14ac:dyDescent="0.2"/>
    <row r="35029" hidden="1" x14ac:dyDescent="0.2"/>
    <row r="35030" hidden="1" x14ac:dyDescent="0.2"/>
    <row r="35031" hidden="1" x14ac:dyDescent="0.2"/>
    <row r="35032" hidden="1" x14ac:dyDescent="0.2"/>
    <row r="35033" hidden="1" x14ac:dyDescent="0.2"/>
    <row r="35034" hidden="1" x14ac:dyDescent="0.2"/>
    <row r="35035" hidden="1" x14ac:dyDescent="0.2"/>
    <row r="35036" hidden="1" x14ac:dyDescent="0.2"/>
    <row r="35037" hidden="1" x14ac:dyDescent="0.2"/>
    <row r="35038" hidden="1" x14ac:dyDescent="0.2"/>
    <row r="35039" hidden="1" x14ac:dyDescent="0.2"/>
    <row r="35040" hidden="1" x14ac:dyDescent="0.2"/>
    <row r="35041" hidden="1" x14ac:dyDescent="0.2"/>
    <row r="35042" hidden="1" x14ac:dyDescent="0.2"/>
    <row r="35043" hidden="1" x14ac:dyDescent="0.2"/>
    <row r="35044" hidden="1" x14ac:dyDescent="0.2"/>
    <row r="35045" hidden="1" x14ac:dyDescent="0.2"/>
    <row r="35046" hidden="1" x14ac:dyDescent="0.2"/>
    <row r="35047" hidden="1" x14ac:dyDescent="0.2"/>
    <row r="35048" hidden="1" x14ac:dyDescent="0.2"/>
    <row r="35049" hidden="1" x14ac:dyDescent="0.2"/>
    <row r="35050" hidden="1" x14ac:dyDescent="0.2"/>
    <row r="35051" hidden="1" x14ac:dyDescent="0.2"/>
    <row r="35052" hidden="1" x14ac:dyDescent="0.2"/>
    <row r="35053" hidden="1" x14ac:dyDescent="0.2"/>
    <row r="35054" hidden="1" x14ac:dyDescent="0.2"/>
    <row r="35055" hidden="1" x14ac:dyDescent="0.2"/>
    <row r="35056" hidden="1" x14ac:dyDescent="0.2"/>
    <row r="35057" hidden="1" x14ac:dyDescent="0.2"/>
    <row r="35058" hidden="1" x14ac:dyDescent="0.2"/>
    <row r="35059" hidden="1" x14ac:dyDescent="0.2"/>
    <row r="35060" hidden="1" x14ac:dyDescent="0.2"/>
    <row r="35061" hidden="1" x14ac:dyDescent="0.2"/>
    <row r="35062" hidden="1" x14ac:dyDescent="0.2"/>
    <row r="35063" hidden="1" x14ac:dyDescent="0.2"/>
    <row r="35064" hidden="1" x14ac:dyDescent="0.2"/>
    <row r="35065" hidden="1" x14ac:dyDescent="0.2"/>
    <row r="35066" hidden="1" x14ac:dyDescent="0.2"/>
    <row r="35067" hidden="1" x14ac:dyDescent="0.2"/>
    <row r="35068" hidden="1" x14ac:dyDescent="0.2"/>
    <row r="35069" hidden="1" x14ac:dyDescent="0.2"/>
    <row r="35070" hidden="1" x14ac:dyDescent="0.2"/>
    <row r="35071" hidden="1" x14ac:dyDescent="0.2"/>
    <row r="35072" hidden="1" x14ac:dyDescent="0.2"/>
    <row r="35073" hidden="1" x14ac:dyDescent="0.2"/>
    <row r="35074" hidden="1" x14ac:dyDescent="0.2"/>
    <row r="35075" hidden="1" x14ac:dyDescent="0.2"/>
    <row r="35076" hidden="1" x14ac:dyDescent="0.2"/>
    <row r="35077" hidden="1" x14ac:dyDescent="0.2"/>
    <row r="35078" hidden="1" x14ac:dyDescent="0.2"/>
    <row r="35079" hidden="1" x14ac:dyDescent="0.2"/>
    <row r="35080" hidden="1" x14ac:dyDescent="0.2"/>
    <row r="35081" hidden="1" x14ac:dyDescent="0.2"/>
    <row r="35082" hidden="1" x14ac:dyDescent="0.2"/>
    <row r="35083" hidden="1" x14ac:dyDescent="0.2"/>
    <row r="35084" hidden="1" x14ac:dyDescent="0.2"/>
    <row r="35085" hidden="1" x14ac:dyDescent="0.2"/>
    <row r="35086" hidden="1" x14ac:dyDescent="0.2"/>
    <row r="35087" hidden="1" x14ac:dyDescent="0.2"/>
    <row r="35088" hidden="1" x14ac:dyDescent="0.2"/>
    <row r="35089" hidden="1" x14ac:dyDescent="0.2"/>
    <row r="35090" hidden="1" x14ac:dyDescent="0.2"/>
    <row r="35091" hidden="1" x14ac:dyDescent="0.2"/>
    <row r="35092" hidden="1" x14ac:dyDescent="0.2"/>
    <row r="35093" hidden="1" x14ac:dyDescent="0.2"/>
    <row r="35094" hidden="1" x14ac:dyDescent="0.2"/>
    <row r="35095" hidden="1" x14ac:dyDescent="0.2"/>
    <row r="35096" hidden="1" x14ac:dyDescent="0.2"/>
    <row r="35097" hidden="1" x14ac:dyDescent="0.2"/>
    <row r="35098" hidden="1" x14ac:dyDescent="0.2"/>
    <row r="35099" hidden="1" x14ac:dyDescent="0.2"/>
    <row r="35100" hidden="1" x14ac:dyDescent="0.2"/>
    <row r="35101" hidden="1" x14ac:dyDescent="0.2"/>
    <row r="35102" hidden="1" x14ac:dyDescent="0.2"/>
    <row r="35103" hidden="1" x14ac:dyDescent="0.2"/>
    <row r="35104" hidden="1" x14ac:dyDescent="0.2"/>
    <row r="35105" hidden="1" x14ac:dyDescent="0.2"/>
    <row r="35106" hidden="1" x14ac:dyDescent="0.2"/>
    <row r="35107" hidden="1" x14ac:dyDescent="0.2"/>
    <row r="35108" hidden="1" x14ac:dyDescent="0.2"/>
    <row r="35109" hidden="1" x14ac:dyDescent="0.2"/>
    <row r="35110" hidden="1" x14ac:dyDescent="0.2"/>
    <row r="35111" hidden="1" x14ac:dyDescent="0.2"/>
    <row r="35112" hidden="1" x14ac:dyDescent="0.2"/>
    <row r="35113" hidden="1" x14ac:dyDescent="0.2"/>
    <row r="35114" hidden="1" x14ac:dyDescent="0.2"/>
    <row r="35115" hidden="1" x14ac:dyDescent="0.2"/>
    <row r="35116" hidden="1" x14ac:dyDescent="0.2"/>
    <row r="35117" hidden="1" x14ac:dyDescent="0.2"/>
    <row r="35118" hidden="1" x14ac:dyDescent="0.2"/>
    <row r="35119" hidden="1" x14ac:dyDescent="0.2"/>
    <row r="35120" hidden="1" x14ac:dyDescent="0.2"/>
    <row r="35121" hidden="1" x14ac:dyDescent="0.2"/>
    <row r="35122" hidden="1" x14ac:dyDescent="0.2"/>
    <row r="35123" hidden="1" x14ac:dyDescent="0.2"/>
    <row r="35124" hidden="1" x14ac:dyDescent="0.2"/>
    <row r="35125" hidden="1" x14ac:dyDescent="0.2"/>
    <row r="35126" hidden="1" x14ac:dyDescent="0.2"/>
    <row r="35127" hidden="1" x14ac:dyDescent="0.2"/>
    <row r="35128" hidden="1" x14ac:dyDescent="0.2"/>
    <row r="35129" hidden="1" x14ac:dyDescent="0.2"/>
    <row r="35130" hidden="1" x14ac:dyDescent="0.2"/>
    <row r="35131" hidden="1" x14ac:dyDescent="0.2"/>
    <row r="35132" hidden="1" x14ac:dyDescent="0.2"/>
    <row r="35133" hidden="1" x14ac:dyDescent="0.2"/>
    <row r="35134" hidden="1" x14ac:dyDescent="0.2"/>
    <row r="35135" hidden="1" x14ac:dyDescent="0.2"/>
    <row r="35136" hidden="1" x14ac:dyDescent="0.2"/>
    <row r="35137" hidden="1" x14ac:dyDescent="0.2"/>
    <row r="35138" hidden="1" x14ac:dyDescent="0.2"/>
    <row r="35139" hidden="1" x14ac:dyDescent="0.2"/>
    <row r="35140" hidden="1" x14ac:dyDescent="0.2"/>
    <row r="35141" hidden="1" x14ac:dyDescent="0.2"/>
    <row r="35142" hidden="1" x14ac:dyDescent="0.2"/>
    <row r="35143" hidden="1" x14ac:dyDescent="0.2"/>
    <row r="35144" hidden="1" x14ac:dyDescent="0.2"/>
    <row r="35145" hidden="1" x14ac:dyDescent="0.2"/>
    <row r="35146" hidden="1" x14ac:dyDescent="0.2"/>
    <row r="35147" hidden="1" x14ac:dyDescent="0.2"/>
    <row r="35148" hidden="1" x14ac:dyDescent="0.2"/>
    <row r="35149" hidden="1" x14ac:dyDescent="0.2"/>
    <row r="35150" hidden="1" x14ac:dyDescent="0.2"/>
    <row r="35151" hidden="1" x14ac:dyDescent="0.2"/>
    <row r="35152" hidden="1" x14ac:dyDescent="0.2"/>
    <row r="35153" hidden="1" x14ac:dyDescent="0.2"/>
    <row r="35154" hidden="1" x14ac:dyDescent="0.2"/>
    <row r="35155" hidden="1" x14ac:dyDescent="0.2"/>
    <row r="35156" hidden="1" x14ac:dyDescent="0.2"/>
    <row r="35157" hidden="1" x14ac:dyDescent="0.2"/>
    <row r="35158" hidden="1" x14ac:dyDescent="0.2"/>
    <row r="35159" hidden="1" x14ac:dyDescent="0.2"/>
    <row r="35160" hidden="1" x14ac:dyDescent="0.2"/>
    <row r="35161" hidden="1" x14ac:dyDescent="0.2"/>
    <row r="35162" hidden="1" x14ac:dyDescent="0.2"/>
    <row r="35163" hidden="1" x14ac:dyDescent="0.2"/>
    <row r="35164" hidden="1" x14ac:dyDescent="0.2"/>
    <row r="35165" hidden="1" x14ac:dyDescent="0.2"/>
    <row r="35166" hidden="1" x14ac:dyDescent="0.2"/>
    <row r="35167" hidden="1" x14ac:dyDescent="0.2"/>
    <row r="35168" hidden="1" x14ac:dyDescent="0.2"/>
    <row r="35169" hidden="1" x14ac:dyDescent="0.2"/>
    <row r="35170" hidden="1" x14ac:dyDescent="0.2"/>
    <row r="35171" hidden="1" x14ac:dyDescent="0.2"/>
    <row r="35172" hidden="1" x14ac:dyDescent="0.2"/>
    <row r="35173" hidden="1" x14ac:dyDescent="0.2"/>
    <row r="35174" hidden="1" x14ac:dyDescent="0.2"/>
    <row r="35175" hidden="1" x14ac:dyDescent="0.2"/>
    <row r="35176" hidden="1" x14ac:dyDescent="0.2"/>
    <row r="35177" hidden="1" x14ac:dyDescent="0.2"/>
    <row r="35178" hidden="1" x14ac:dyDescent="0.2"/>
    <row r="35179" hidden="1" x14ac:dyDescent="0.2"/>
    <row r="35180" hidden="1" x14ac:dyDescent="0.2"/>
    <row r="35181" hidden="1" x14ac:dyDescent="0.2"/>
    <row r="35182" hidden="1" x14ac:dyDescent="0.2"/>
    <row r="35183" hidden="1" x14ac:dyDescent="0.2"/>
    <row r="35184" hidden="1" x14ac:dyDescent="0.2"/>
    <row r="35185" hidden="1" x14ac:dyDescent="0.2"/>
    <row r="35186" hidden="1" x14ac:dyDescent="0.2"/>
    <row r="35187" hidden="1" x14ac:dyDescent="0.2"/>
    <row r="35188" hidden="1" x14ac:dyDescent="0.2"/>
    <row r="35189" hidden="1" x14ac:dyDescent="0.2"/>
    <row r="35190" hidden="1" x14ac:dyDescent="0.2"/>
    <row r="35191" hidden="1" x14ac:dyDescent="0.2"/>
    <row r="35192" hidden="1" x14ac:dyDescent="0.2"/>
    <row r="35193" hidden="1" x14ac:dyDescent="0.2"/>
    <row r="35194" hidden="1" x14ac:dyDescent="0.2"/>
    <row r="35195" hidden="1" x14ac:dyDescent="0.2"/>
    <row r="35196" hidden="1" x14ac:dyDescent="0.2"/>
    <row r="35197" hidden="1" x14ac:dyDescent="0.2"/>
    <row r="35198" hidden="1" x14ac:dyDescent="0.2"/>
    <row r="35199" hidden="1" x14ac:dyDescent="0.2"/>
    <row r="35200" hidden="1" x14ac:dyDescent="0.2"/>
    <row r="35201" hidden="1" x14ac:dyDescent="0.2"/>
    <row r="35202" hidden="1" x14ac:dyDescent="0.2"/>
    <row r="35203" hidden="1" x14ac:dyDescent="0.2"/>
    <row r="35204" hidden="1" x14ac:dyDescent="0.2"/>
    <row r="35205" hidden="1" x14ac:dyDescent="0.2"/>
    <row r="35206" hidden="1" x14ac:dyDescent="0.2"/>
    <row r="35207" hidden="1" x14ac:dyDescent="0.2"/>
    <row r="35208" hidden="1" x14ac:dyDescent="0.2"/>
    <row r="35209" hidden="1" x14ac:dyDescent="0.2"/>
    <row r="35210" hidden="1" x14ac:dyDescent="0.2"/>
    <row r="35211" hidden="1" x14ac:dyDescent="0.2"/>
    <row r="35212" hidden="1" x14ac:dyDescent="0.2"/>
    <row r="35213" hidden="1" x14ac:dyDescent="0.2"/>
    <row r="35214" hidden="1" x14ac:dyDescent="0.2"/>
    <row r="35215" hidden="1" x14ac:dyDescent="0.2"/>
    <row r="35216" hidden="1" x14ac:dyDescent="0.2"/>
    <row r="35217" hidden="1" x14ac:dyDescent="0.2"/>
    <row r="35218" hidden="1" x14ac:dyDescent="0.2"/>
    <row r="35219" hidden="1" x14ac:dyDescent="0.2"/>
    <row r="35220" hidden="1" x14ac:dyDescent="0.2"/>
    <row r="35221" hidden="1" x14ac:dyDescent="0.2"/>
    <row r="35222" hidden="1" x14ac:dyDescent="0.2"/>
    <row r="35223" hidden="1" x14ac:dyDescent="0.2"/>
    <row r="35224" hidden="1" x14ac:dyDescent="0.2"/>
    <row r="35225" hidden="1" x14ac:dyDescent="0.2"/>
    <row r="35226" hidden="1" x14ac:dyDescent="0.2"/>
    <row r="35227" hidden="1" x14ac:dyDescent="0.2"/>
    <row r="35228" hidden="1" x14ac:dyDescent="0.2"/>
    <row r="35229" hidden="1" x14ac:dyDescent="0.2"/>
    <row r="35230" hidden="1" x14ac:dyDescent="0.2"/>
    <row r="35231" hidden="1" x14ac:dyDescent="0.2"/>
    <row r="35232" hidden="1" x14ac:dyDescent="0.2"/>
    <row r="35233" hidden="1" x14ac:dyDescent="0.2"/>
    <row r="35234" hidden="1" x14ac:dyDescent="0.2"/>
    <row r="35235" hidden="1" x14ac:dyDescent="0.2"/>
    <row r="35236" hidden="1" x14ac:dyDescent="0.2"/>
    <row r="35237" hidden="1" x14ac:dyDescent="0.2"/>
    <row r="35238" hidden="1" x14ac:dyDescent="0.2"/>
    <row r="35239" hidden="1" x14ac:dyDescent="0.2"/>
    <row r="35240" hidden="1" x14ac:dyDescent="0.2"/>
    <row r="35241" hidden="1" x14ac:dyDescent="0.2"/>
    <row r="35242" hidden="1" x14ac:dyDescent="0.2"/>
    <row r="35243" hidden="1" x14ac:dyDescent="0.2"/>
    <row r="35244" hidden="1" x14ac:dyDescent="0.2"/>
    <row r="35245" hidden="1" x14ac:dyDescent="0.2"/>
    <row r="35246" hidden="1" x14ac:dyDescent="0.2"/>
    <row r="35247" hidden="1" x14ac:dyDescent="0.2"/>
    <row r="35248" hidden="1" x14ac:dyDescent="0.2"/>
    <row r="35249" hidden="1" x14ac:dyDescent="0.2"/>
    <row r="35250" hidden="1" x14ac:dyDescent="0.2"/>
    <row r="35251" hidden="1" x14ac:dyDescent="0.2"/>
    <row r="35252" hidden="1" x14ac:dyDescent="0.2"/>
    <row r="35253" hidden="1" x14ac:dyDescent="0.2"/>
    <row r="35254" hidden="1" x14ac:dyDescent="0.2"/>
    <row r="35255" hidden="1" x14ac:dyDescent="0.2"/>
    <row r="35256" hidden="1" x14ac:dyDescent="0.2"/>
    <row r="35257" hidden="1" x14ac:dyDescent="0.2"/>
    <row r="35258" hidden="1" x14ac:dyDescent="0.2"/>
    <row r="35259" hidden="1" x14ac:dyDescent="0.2"/>
    <row r="35260" hidden="1" x14ac:dyDescent="0.2"/>
    <row r="35261" hidden="1" x14ac:dyDescent="0.2"/>
    <row r="35262" hidden="1" x14ac:dyDescent="0.2"/>
    <row r="35263" hidden="1" x14ac:dyDescent="0.2"/>
    <row r="35264" hidden="1" x14ac:dyDescent="0.2"/>
    <row r="35265" hidden="1" x14ac:dyDescent="0.2"/>
    <row r="35266" hidden="1" x14ac:dyDescent="0.2"/>
    <row r="35267" hidden="1" x14ac:dyDescent="0.2"/>
    <row r="35268" hidden="1" x14ac:dyDescent="0.2"/>
    <row r="35269" hidden="1" x14ac:dyDescent="0.2"/>
    <row r="35270" hidden="1" x14ac:dyDescent="0.2"/>
    <row r="35271" hidden="1" x14ac:dyDescent="0.2"/>
    <row r="35272" hidden="1" x14ac:dyDescent="0.2"/>
    <row r="35273" hidden="1" x14ac:dyDescent="0.2"/>
    <row r="35274" hidden="1" x14ac:dyDescent="0.2"/>
    <row r="35275" hidden="1" x14ac:dyDescent="0.2"/>
    <row r="35276" hidden="1" x14ac:dyDescent="0.2"/>
    <row r="35277" hidden="1" x14ac:dyDescent="0.2"/>
    <row r="35278" hidden="1" x14ac:dyDescent="0.2"/>
    <row r="35279" hidden="1" x14ac:dyDescent="0.2"/>
    <row r="35280" hidden="1" x14ac:dyDescent="0.2"/>
    <row r="35281" hidden="1" x14ac:dyDescent="0.2"/>
    <row r="35282" hidden="1" x14ac:dyDescent="0.2"/>
    <row r="35283" hidden="1" x14ac:dyDescent="0.2"/>
    <row r="35284" hidden="1" x14ac:dyDescent="0.2"/>
    <row r="35285" hidden="1" x14ac:dyDescent="0.2"/>
    <row r="35286" hidden="1" x14ac:dyDescent="0.2"/>
    <row r="35287" hidden="1" x14ac:dyDescent="0.2"/>
    <row r="35288" hidden="1" x14ac:dyDescent="0.2"/>
    <row r="35289" hidden="1" x14ac:dyDescent="0.2"/>
    <row r="35290" hidden="1" x14ac:dyDescent="0.2"/>
    <row r="35291" hidden="1" x14ac:dyDescent="0.2"/>
    <row r="35292" hidden="1" x14ac:dyDescent="0.2"/>
    <row r="35293" hidden="1" x14ac:dyDescent="0.2"/>
    <row r="35294" hidden="1" x14ac:dyDescent="0.2"/>
    <row r="35295" hidden="1" x14ac:dyDescent="0.2"/>
    <row r="35296" hidden="1" x14ac:dyDescent="0.2"/>
    <row r="35297" hidden="1" x14ac:dyDescent="0.2"/>
    <row r="35298" hidden="1" x14ac:dyDescent="0.2"/>
    <row r="35299" hidden="1" x14ac:dyDescent="0.2"/>
    <row r="35300" hidden="1" x14ac:dyDescent="0.2"/>
    <row r="35301" hidden="1" x14ac:dyDescent="0.2"/>
    <row r="35302" hidden="1" x14ac:dyDescent="0.2"/>
    <row r="35303" hidden="1" x14ac:dyDescent="0.2"/>
    <row r="35304" hidden="1" x14ac:dyDescent="0.2"/>
    <row r="35305" hidden="1" x14ac:dyDescent="0.2"/>
    <row r="35306" hidden="1" x14ac:dyDescent="0.2"/>
    <row r="35307" hidden="1" x14ac:dyDescent="0.2"/>
    <row r="35308" hidden="1" x14ac:dyDescent="0.2"/>
    <row r="35309" hidden="1" x14ac:dyDescent="0.2"/>
    <row r="35310" hidden="1" x14ac:dyDescent="0.2"/>
    <row r="35311" hidden="1" x14ac:dyDescent="0.2"/>
    <row r="35312" hidden="1" x14ac:dyDescent="0.2"/>
    <row r="35313" hidden="1" x14ac:dyDescent="0.2"/>
    <row r="35314" hidden="1" x14ac:dyDescent="0.2"/>
    <row r="35315" hidden="1" x14ac:dyDescent="0.2"/>
    <row r="35316" hidden="1" x14ac:dyDescent="0.2"/>
    <row r="35317" hidden="1" x14ac:dyDescent="0.2"/>
    <row r="35318" hidden="1" x14ac:dyDescent="0.2"/>
    <row r="35319" hidden="1" x14ac:dyDescent="0.2"/>
    <row r="35320" hidden="1" x14ac:dyDescent="0.2"/>
    <row r="35321" hidden="1" x14ac:dyDescent="0.2"/>
    <row r="35322" hidden="1" x14ac:dyDescent="0.2"/>
    <row r="35323" hidden="1" x14ac:dyDescent="0.2"/>
    <row r="35324" hidden="1" x14ac:dyDescent="0.2"/>
    <row r="35325" hidden="1" x14ac:dyDescent="0.2"/>
    <row r="35326" hidden="1" x14ac:dyDescent="0.2"/>
    <row r="35327" hidden="1" x14ac:dyDescent="0.2"/>
    <row r="35328" hidden="1" x14ac:dyDescent="0.2"/>
    <row r="35329" hidden="1" x14ac:dyDescent="0.2"/>
    <row r="35330" hidden="1" x14ac:dyDescent="0.2"/>
    <row r="35331" hidden="1" x14ac:dyDescent="0.2"/>
    <row r="35332" hidden="1" x14ac:dyDescent="0.2"/>
    <row r="35333" hidden="1" x14ac:dyDescent="0.2"/>
    <row r="35334" hidden="1" x14ac:dyDescent="0.2"/>
    <row r="35335" hidden="1" x14ac:dyDescent="0.2"/>
    <row r="35336" hidden="1" x14ac:dyDescent="0.2"/>
    <row r="35337" hidden="1" x14ac:dyDescent="0.2"/>
    <row r="35338" hidden="1" x14ac:dyDescent="0.2"/>
    <row r="35339" hidden="1" x14ac:dyDescent="0.2"/>
    <row r="35340" hidden="1" x14ac:dyDescent="0.2"/>
    <row r="35341" hidden="1" x14ac:dyDescent="0.2"/>
    <row r="35342" hidden="1" x14ac:dyDescent="0.2"/>
    <row r="35343" hidden="1" x14ac:dyDescent="0.2"/>
    <row r="35344" hidden="1" x14ac:dyDescent="0.2"/>
    <row r="35345" hidden="1" x14ac:dyDescent="0.2"/>
    <row r="35346" hidden="1" x14ac:dyDescent="0.2"/>
    <row r="35347" hidden="1" x14ac:dyDescent="0.2"/>
    <row r="35348" hidden="1" x14ac:dyDescent="0.2"/>
    <row r="35349" hidden="1" x14ac:dyDescent="0.2"/>
    <row r="35350" hidden="1" x14ac:dyDescent="0.2"/>
    <row r="35351" hidden="1" x14ac:dyDescent="0.2"/>
    <row r="35352" hidden="1" x14ac:dyDescent="0.2"/>
    <row r="35353" hidden="1" x14ac:dyDescent="0.2"/>
    <row r="35354" hidden="1" x14ac:dyDescent="0.2"/>
    <row r="35355" hidden="1" x14ac:dyDescent="0.2"/>
    <row r="35356" hidden="1" x14ac:dyDescent="0.2"/>
    <row r="35357" hidden="1" x14ac:dyDescent="0.2"/>
    <row r="35358" hidden="1" x14ac:dyDescent="0.2"/>
    <row r="35359" hidden="1" x14ac:dyDescent="0.2"/>
    <row r="35360" hidden="1" x14ac:dyDescent="0.2"/>
    <row r="35361" hidden="1" x14ac:dyDescent="0.2"/>
    <row r="35362" hidden="1" x14ac:dyDescent="0.2"/>
    <row r="35363" hidden="1" x14ac:dyDescent="0.2"/>
    <row r="35364" hidden="1" x14ac:dyDescent="0.2"/>
    <row r="35365" hidden="1" x14ac:dyDescent="0.2"/>
    <row r="35366" hidden="1" x14ac:dyDescent="0.2"/>
    <row r="35367" hidden="1" x14ac:dyDescent="0.2"/>
    <row r="35368" hidden="1" x14ac:dyDescent="0.2"/>
    <row r="35369" hidden="1" x14ac:dyDescent="0.2"/>
    <row r="35370" hidden="1" x14ac:dyDescent="0.2"/>
    <row r="35371" hidden="1" x14ac:dyDescent="0.2"/>
    <row r="35372" hidden="1" x14ac:dyDescent="0.2"/>
    <row r="35373" hidden="1" x14ac:dyDescent="0.2"/>
    <row r="35374" hidden="1" x14ac:dyDescent="0.2"/>
    <row r="35375" hidden="1" x14ac:dyDescent="0.2"/>
    <row r="35376" hidden="1" x14ac:dyDescent="0.2"/>
    <row r="35377" hidden="1" x14ac:dyDescent="0.2"/>
    <row r="35378" hidden="1" x14ac:dyDescent="0.2"/>
    <row r="35379" hidden="1" x14ac:dyDescent="0.2"/>
    <row r="35380" hidden="1" x14ac:dyDescent="0.2"/>
    <row r="35381" hidden="1" x14ac:dyDescent="0.2"/>
    <row r="35382" hidden="1" x14ac:dyDescent="0.2"/>
    <row r="35383" hidden="1" x14ac:dyDescent="0.2"/>
    <row r="35384" hidden="1" x14ac:dyDescent="0.2"/>
    <row r="35385" hidden="1" x14ac:dyDescent="0.2"/>
    <row r="35386" hidden="1" x14ac:dyDescent="0.2"/>
    <row r="35387" hidden="1" x14ac:dyDescent="0.2"/>
    <row r="35388" hidden="1" x14ac:dyDescent="0.2"/>
    <row r="35389" hidden="1" x14ac:dyDescent="0.2"/>
    <row r="35390" hidden="1" x14ac:dyDescent="0.2"/>
    <row r="35391" hidden="1" x14ac:dyDescent="0.2"/>
    <row r="35392" hidden="1" x14ac:dyDescent="0.2"/>
    <row r="35393" hidden="1" x14ac:dyDescent="0.2"/>
    <row r="35394" hidden="1" x14ac:dyDescent="0.2"/>
    <row r="35395" hidden="1" x14ac:dyDescent="0.2"/>
    <row r="35396" hidden="1" x14ac:dyDescent="0.2"/>
    <row r="35397" hidden="1" x14ac:dyDescent="0.2"/>
    <row r="35398" hidden="1" x14ac:dyDescent="0.2"/>
    <row r="35399" hidden="1" x14ac:dyDescent="0.2"/>
    <row r="35400" hidden="1" x14ac:dyDescent="0.2"/>
    <row r="35401" hidden="1" x14ac:dyDescent="0.2"/>
    <row r="35402" hidden="1" x14ac:dyDescent="0.2"/>
    <row r="35403" hidden="1" x14ac:dyDescent="0.2"/>
    <row r="35404" hidden="1" x14ac:dyDescent="0.2"/>
    <row r="35405" hidden="1" x14ac:dyDescent="0.2"/>
    <row r="35406" hidden="1" x14ac:dyDescent="0.2"/>
    <row r="35407" hidden="1" x14ac:dyDescent="0.2"/>
    <row r="35408" hidden="1" x14ac:dyDescent="0.2"/>
    <row r="35409" hidden="1" x14ac:dyDescent="0.2"/>
    <row r="35410" hidden="1" x14ac:dyDescent="0.2"/>
    <row r="35411" hidden="1" x14ac:dyDescent="0.2"/>
    <row r="35412" hidden="1" x14ac:dyDescent="0.2"/>
    <row r="35413" hidden="1" x14ac:dyDescent="0.2"/>
    <row r="35414" hidden="1" x14ac:dyDescent="0.2"/>
    <row r="35415" hidden="1" x14ac:dyDescent="0.2"/>
    <row r="35416" hidden="1" x14ac:dyDescent="0.2"/>
    <row r="35417" hidden="1" x14ac:dyDescent="0.2"/>
    <row r="35418" hidden="1" x14ac:dyDescent="0.2"/>
    <row r="35419" hidden="1" x14ac:dyDescent="0.2"/>
    <row r="35420" hidden="1" x14ac:dyDescent="0.2"/>
    <row r="35421" hidden="1" x14ac:dyDescent="0.2"/>
    <row r="35422" hidden="1" x14ac:dyDescent="0.2"/>
    <row r="35423" hidden="1" x14ac:dyDescent="0.2"/>
    <row r="35424" hidden="1" x14ac:dyDescent="0.2"/>
    <row r="35425" hidden="1" x14ac:dyDescent="0.2"/>
    <row r="35426" hidden="1" x14ac:dyDescent="0.2"/>
    <row r="35427" hidden="1" x14ac:dyDescent="0.2"/>
    <row r="35428" hidden="1" x14ac:dyDescent="0.2"/>
    <row r="35429" hidden="1" x14ac:dyDescent="0.2"/>
    <row r="35430" hidden="1" x14ac:dyDescent="0.2"/>
    <row r="35431" hidden="1" x14ac:dyDescent="0.2"/>
    <row r="35432" hidden="1" x14ac:dyDescent="0.2"/>
    <row r="35433" hidden="1" x14ac:dyDescent="0.2"/>
    <row r="35434" hidden="1" x14ac:dyDescent="0.2"/>
    <row r="35435" hidden="1" x14ac:dyDescent="0.2"/>
    <row r="35436" hidden="1" x14ac:dyDescent="0.2"/>
    <row r="35437" hidden="1" x14ac:dyDescent="0.2"/>
    <row r="35438" hidden="1" x14ac:dyDescent="0.2"/>
    <row r="35439" hidden="1" x14ac:dyDescent="0.2"/>
    <row r="35440" hidden="1" x14ac:dyDescent="0.2"/>
    <row r="35441" hidden="1" x14ac:dyDescent="0.2"/>
    <row r="35442" hidden="1" x14ac:dyDescent="0.2"/>
    <row r="35443" hidden="1" x14ac:dyDescent="0.2"/>
    <row r="35444" hidden="1" x14ac:dyDescent="0.2"/>
    <row r="35445" hidden="1" x14ac:dyDescent="0.2"/>
    <row r="35446" hidden="1" x14ac:dyDescent="0.2"/>
    <row r="35447" hidden="1" x14ac:dyDescent="0.2"/>
    <row r="35448" hidden="1" x14ac:dyDescent="0.2"/>
    <row r="35449" hidden="1" x14ac:dyDescent="0.2"/>
    <row r="35450" hidden="1" x14ac:dyDescent="0.2"/>
    <row r="35451" hidden="1" x14ac:dyDescent="0.2"/>
    <row r="35452" hidden="1" x14ac:dyDescent="0.2"/>
    <row r="35453" hidden="1" x14ac:dyDescent="0.2"/>
    <row r="35454" hidden="1" x14ac:dyDescent="0.2"/>
    <row r="35455" hidden="1" x14ac:dyDescent="0.2"/>
    <row r="35456" hidden="1" x14ac:dyDescent="0.2"/>
    <row r="35457" hidden="1" x14ac:dyDescent="0.2"/>
    <row r="35458" hidden="1" x14ac:dyDescent="0.2"/>
    <row r="35459" hidden="1" x14ac:dyDescent="0.2"/>
    <row r="35460" hidden="1" x14ac:dyDescent="0.2"/>
    <row r="35461" hidden="1" x14ac:dyDescent="0.2"/>
    <row r="35462" hidden="1" x14ac:dyDescent="0.2"/>
    <row r="35463" hidden="1" x14ac:dyDescent="0.2"/>
    <row r="35464" hidden="1" x14ac:dyDescent="0.2"/>
    <row r="35465" hidden="1" x14ac:dyDescent="0.2"/>
    <row r="35466" hidden="1" x14ac:dyDescent="0.2"/>
    <row r="35467" hidden="1" x14ac:dyDescent="0.2"/>
    <row r="35468" hidden="1" x14ac:dyDescent="0.2"/>
    <row r="35469" hidden="1" x14ac:dyDescent="0.2"/>
    <row r="35470" hidden="1" x14ac:dyDescent="0.2"/>
    <row r="35471" hidden="1" x14ac:dyDescent="0.2"/>
    <row r="35472" hidden="1" x14ac:dyDescent="0.2"/>
    <row r="35473" hidden="1" x14ac:dyDescent="0.2"/>
    <row r="35474" hidden="1" x14ac:dyDescent="0.2"/>
    <row r="35475" hidden="1" x14ac:dyDescent="0.2"/>
    <row r="35476" hidden="1" x14ac:dyDescent="0.2"/>
    <row r="35477" hidden="1" x14ac:dyDescent="0.2"/>
    <row r="35478" hidden="1" x14ac:dyDescent="0.2"/>
    <row r="35479" hidden="1" x14ac:dyDescent="0.2"/>
    <row r="35480" hidden="1" x14ac:dyDescent="0.2"/>
    <row r="35481" hidden="1" x14ac:dyDescent="0.2"/>
    <row r="35482" hidden="1" x14ac:dyDescent="0.2"/>
    <row r="35483" hidden="1" x14ac:dyDescent="0.2"/>
    <row r="35484" hidden="1" x14ac:dyDescent="0.2"/>
    <row r="35485" hidden="1" x14ac:dyDescent="0.2"/>
    <row r="35486" hidden="1" x14ac:dyDescent="0.2"/>
    <row r="35487" hidden="1" x14ac:dyDescent="0.2"/>
    <row r="35488" hidden="1" x14ac:dyDescent="0.2"/>
    <row r="35489" hidden="1" x14ac:dyDescent="0.2"/>
    <row r="35490" hidden="1" x14ac:dyDescent="0.2"/>
    <row r="35491" hidden="1" x14ac:dyDescent="0.2"/>
    <row r="35492" hidden="1" x14ac:dyDescent="0.2"/>
    <row r="35493" hidden="1" x14ac:dyDescent="0.2"/>
    <row r="35494" hidden="1" x14ac:dyDescent="0.2"/>
    <row r="35495" hidden="1" x14ac:dyDescent="0.2"/>
    <row r="35496" hidden="1" x14ac:dyDescent="0.2"/>
    <row r="35497" hidden="1" x14ac:dyDescent="0.2"/>
    <row r="35498" hidden="1" x14ac:dyDescent="0.2"/>
    <row r="35499" hidden="1" x14ac:dyDescent="0.2"/>
    <row r="35500" hidden="1" x14ac:dyDescent="0.2"/>
    <row r="35501" hidden="1" x14ac:dyDescent="0.2"/>
    <row r="35502" hidden="1" x14ac:dyDescent="0.2"/>
    <row r="35503" hidden="1" x14ac:dyDescent="0.2"/>
    <row r="35504" hidden="1" x14ac:dyDescent="0.2"/>
    <row r="35505" hidden="1" x14ac:dyDescent="0.2"/>
    <row r="35506" hidden="1" x14ac:dyDescent="0.2"/>
    <row r="35507" hidden="1" x14ac:dyDescent="0.2"/>
    <row r="35508" hidden="1" x14ac:dyDescent="0.2"/>
    <row r="35509" hidden="1" x14ac:dyDescent="0.2"/>
    <row r="35510" hidden="1" x14ac:dyDescent="0.2"/>
    <row r="35511" hidden="1" x14ac:dyDescent="0.2"/>
    <row r="35512" hidden="1" x14ac:dyDescent="0.2"/>
    <row r="35513" hidden="1" x14ac:dyDescent="0.2"/>
    <row r="35514" hidden="1" x14ac:dyDescent="0.2"/>
    <row r="35515" hidden="1" x14ac:dyDescent="0.2"/>
    <row r="35516" hidden="1" x14ac:dyDescent="0.2"/>
    <row r="35517" hidden="1" x14ac:dyDescent="0.2"/>
    <row r="35518" hidden="1" x14ac:dyDescent="0.2"/>
    <row r="35519" hidden="1" x14ac:dyDescent="0.2"/>
    <row r="35520" hidden="1" x14ac:dyDescent="0.2"/>
    <row r="35521" hidden="1" x14ac:dyDescent="0.2"/>
    <row r="35522" hidden="1" x14ac:dyDescent="0.2"/>
    <row r="35523" hidden="1" x14ac:dyDescent="0.2"/>
    <row r="35524" hidden="1" x14ac:dyDescent="0.2"/>
    <row r="35525" hidden="1" x14ac:dyDescent="0.2"/>
    <row r="35526" hidden="1" x14ac:dyDescent="0.2"/>
    <row r="35527" hidden="1" x14ac:dyDescent="0.2"/>
    <row r="35528" hidden="1" x14ac:dyDescent="0.2"/>
    <row r="35529" hidden="1" x14ac:dyDescent="0.2"/>
    <row r="35530" hidden="1" x14ac:dyDescent="0.2"/>
    <row r="35531" hidden="1" x14ac:dyDescent="0.2"/>
    <row r="35532" hidden="1" x14ac:dyDescent="0.2"/>
    <row r="35533" hidden="1" x14ac:dyDescent="0.2"/>
    <row r="35534" hidden="1" x14ac:dyDescent="0.2"/>
    <row r="35535" hidden="1" x14ac:dyDescent="0.2"/>
    <row r="35536" hidden="1" x14ac:dyDescent="0.2"/>
    <row r="35537" hidden="1" x14ac:dyDescent="0.2"/>
    <row r="35538" hidden="1" x14ac:dyDescent="0.2"/>
    <row r="35539" hidden="1" x14ac:dyDescent="0.2"/>
    <row r="35540" hidden="1" x14ac:dyDescent="0.2"/>
    <row r="35541" hidden="1" x14ac:dyDescent="0.2"/>
    <row r="35542" hidden="1" x14ac:dyDescent="0.2"/>
    <row r="35543" hidden="1" x14ac:dyDescent="0.2"/>
    <row r="35544" hidden="1" x14ac:dyDescent="0.2"/>
    <row r="35545" hidden="1" x14ac:dyDescent="0.2"/>
    <row r="35546" hidden="1" x14ac:dyDescent="0.2"/>
    <row r="35547" hidden="1" x14ac:dyDescent="0.2"/>
    <row r="35548" hidden="1" x14ac:dyDescent="0.2"/>
    <row r="35549" hidden="1" x14ac:dyDescent="0.2"/>
    <row r="35550" hidden="1" x14ac:dyDescent="0.2"/>
    <row r="35551" hidden="1" x14ac:dyDescent="0.2"/>
    <row r="35552" hidden="1" x14ac:dyDescent="0.2"/>
    <row r="35553" hidden="1" x14ac:dyDescent="0.2"/>
    <row r="35554" hidden="1" x14ac:dyDescent="0.2"/>
    <row r="35555" hidden="1" x14ac:dyDescent="0.2"/>
    <row r="35556" hidden="1" x14ac:dyDescent="0.2"/>
    <row r="35557" hidden="1" x14ac:dyDescent="0.2"/>
    <row r="35558" hidden="1" x14ac:dyDescent="0.2"/>
    <row r="35559" hidden="1" x14ac:dyDescent="0.2"/>
    <row r="35560" hidden="1" x14ac:dyDescent="0.2"/>
    <row r="35561" hidden="1" x14ac:dyDescent="0.2"/>
    <row r="35562" hidden="1" x14ac:dyDescent="0.2"/>
    <row r="35563" hidden="1" x14ac:dyDescent="0.2"/>
    <row r="35564" hidden="1" x14ac:dyDescent="0.2"/>
    <row r="35565" hidden="1" x14ac:dyDescent="0.2"/>
    <row r="35566" hidden="1" x14ac:dyDescent="0.2"/>
    <row r="35567" hidden="1" x14ac:dyDescent="0.2"/>
    <row r="35568" hidden="1" x14ac:dyDescent="0.2"/>
    <row r="35569" hidden="1" x14ac:dyDescent="0.2"/>
    <row r="35570" hidden="1" x14ac:dyDescent="0.2"/>
    <row r="35571" hidden="1" x14ac:dyDescent="0.2"/>
    <row r="35572" hidden="1" x14ac:dyDescent="0.2"/>
    <row r="35573" hidden="1" x14ac:dyDescent="0.2"/>
    <row r="35574" hidden="1" x14ac:dyDescent="0.2"/>
    <row r="35575" hidden="1" x14ac:dyDescent="0.2"/>
    <row r="35576" hidden="1" x14ac:dyDescent="0.2"/>
    <row r="35577" hidden="1" x14ac:dyDescent="0.2"/>
    <row r="35578" hidden="1" x14ac:dyDescent="0.2"/>
    <row r="35579" hidden="1" x14ac:dyDescent="0.2"/>
    <row r="35580" hidden="1" x14ac:dyDescent="0.2"/>
    <row r="35581" hidden="1" x14ac:dyDescent="0.2"/>
    <row r="35582" hidden="1" x14ac:dyDescent="0.2"/>
    <row r="35583" hidden="1" x14ac:dyDescent="0.2"/>
    <row r="35584" hidden="1" x14ac:dyDescent="0.2"/>
    <row r="35585" hidden="1" x14ac:dyDescent="0.2"/>
    <row r="35586" hidden="1" x14ac:dyDescent="0.2"/>
    <row r="35587" hidden="1" x14ac:dyDescent="0.2"/>
    <row r="35588" hidden="1" x14ac:dyDescent="0.2"/>
    <row r="35589" hidden="1" x14ac:dyDescent="0.2"/>
    <row r="35590" hidden="1" x14ac:dyDescent="0.2"/>
    <row r="35591" hidden="1" x14ac:dyDescent="0.2"/>
    <row r="35592" hidden="1" x14ac:dyDescent="0.2"/>
    <row r="35593" hidden="1" x14ac:dyDescent="0.2"/>
    <row r="35594" hidden="1" x14ac:dyDescent="0.2"/>
    <row r="35595" hidden="1" x14ac:dyDescent="0.2"/>
    <row r="35596" hidden="1" x14ac:dyDescent="0.2"/>
    <row r="35597" hidden="1" x14ac:dyDescent="0.2"/>
    <row r="35598" hidden="1" x14ac:dyDescent="0.2"/>
    <row r="35599" hidden="1" x14ac:dyDescent="0.2"/>
    <row r="35600" hidden="1" x14ac:dyDescent="0.2"/>
    <row r="35601" hidden="1" x14ac:dyDescent="0.2"/>
    <row r="35602" hidden="1" x14ac:dyDescent="0.2"/>
    <row r="35603" hidden="1" x14ac:dyDescent="0.2"/>
    <row r="35604" hidden="1" x14ac:dyDescent="0.2"/>
    <row r="35605" hidden="1" x14ac:dyDescent="0.2"/>
    <row r="35606" hidden="1" x14ac:dyDescent="0.2"/>
    <row r="35607" hidden="1" x14ac:dyDescent="0.2"/>
    <row r="35608" hidden="1" x14ac:dyDescent="0.2"/>
    <row r="35609" hidden="1" x14ac:dyDescent="0.2"/>
    <row r="35610" hidden="1" x14ac:dyDescent="0.2"/>
    <row r="35611" hidden="1" x14ac:dyDescent="0.2"/>
    <row r="35612" hidden="1" x14ac:dyDescent="0.2"/>
    <row r="35613" hidden="1" x14ac:dyDescent="0.2"/>
    <row r="35614" hidden="1" x14ac:dyDescent="0.2"/>
    <row r="35615" hidden="1" x14ac:dyDescent="0.2"/>
    <row r="35616" hidden="1" x14ac:dyDescent="0.2"/>
    <row r="35617" hidden="1" x14ac:dyDescent="0.2"/>
    <row r="35618" hidden="1" x14ac:dyDescent="0.2"/>
    <row r="35619" hidden="1" x14ac:dyDescent="0.2"/>
    <row r="35620" hidden="1" x14ac:dyDescent="0.2"/>
    <row r="35621" hidden="1" x14ac:dyDescent="0.2"/>
    <row r="35622" hidden="1" x14ac:dyDescent="0.2"/>
    <row r="35623" hidden="1" x14ac:dyDescent="0.2"/>
    <row r="35624" hidden="1" x14ac:dyDescent="0.2"/>
    <row r="35625" hidden="1" x14ac:dyDescent="0.2"/>
    <row r="35626" hidden="1" x14ac:dyDescent="0.2"/>
    <row r="35627" hidden="1" x14ac:dyDescent="0.2"/>
    <row r="35628" hidden="1" x14ac:dyDescent="0.2"/>
    <row r="35629" hidden="1" x14ac:dyDescent="0.2"/>
    <row r="35630" hidden="1" x14ac:dyDescent="0.2"/>
    <row r="35631" hidden="1" x14ac:dyDescent="0.2"/>
    <row r="35632" hidden="1" x14ac:dyDescent="0.2"/>
    <row r="35633" hidden="1" x14ac:dyDescent="0.2"/>
    <row r="35634" hidden="1" x14ac:dyDescent="0.2"/>
    <row r="35635" hidden="1" x14ac:dyDescent="0.2"/>
    <row r="35636" hidden="1" x14ac:dyDescent="0.2"/>
    <row r="35637" hidden="1" x14ac:dyDescent="0.2"/>
    <row r="35638" hidden="1" x14ac:dyDescent="0.2"/>
    <row r="35639" hidden="1" x14ac:dyDescent="0.2"/>
    <row r="35640" hidden="1" x14ac:dyDescent="0.2"/>
    <row r="35641" hidden="1" x14ac:dyDescent="0.2"/>
    <row r="35642" hidden="1" x14ac:dyDescent="0.2"/>
    <row r="35643" hidden="1" x14ac:dyDescent="0.2"/>
    <row r="35644" hidden="1" x14ac:dyDescent="0.2"/>
    <row r="35645" hidden="1" x14ac:dyDescent="0.2"/>
    <row r="35646" hidden="1" x14ac:dyDescent="0.2"/>
    <row r="35647" hidden="1" x14ac:dyDescent="0.2"/>
    <row r="35648" hidden="1" x14ac:dyDescent="0.2"/>
    <row r="35649" hidden="1" x14ac:dyDescent="0.2"/>
    <row r="35650" hidden="1" x14ac:dyDescent="0.2"/>
    <row r="35651" hidden="1" x14ac:dyDescent="0.2"/>
    <row r="35652" hidden="1" x14ac:dyDescent="0.2"/>
    <row r="35653" hidden="1" x14ac:dyDescent="0.2"/>
    <row r="35654" hidden="1" x14ac:dyDescent="0.2"/>
    <row r="35655" hidden="1" x14ac:dyDescent="0.2"/>
    <row r="35656" hidden="1" x14ac:dyDescent="0.2"/>
    <row r="35657" hidden="1" x14ac:dyDescent="0.2"/>
    <row r="35658" hidden="1" x14ac:dyDescent="0.2"/>
    <row r="35659" hidden="1" x14ac:dyDescent="0.2"/>
    <row r="35660" hidden="1" x14ac:dyDescent="0.2"/>
    <row r="35661" hidden="1" x14ac:dyDescent="0.2"/>
    <row r="35662" hidden="1" x14ac:dyDescent="0.2"/>
    <row r="35663" hidden="1" x14ac:dyDescent="0.2"/>
    <row r="35664" hidden="1" x14ac:dyDescent="0.2"/>
    <row r="35665" hidden="1" x14ac:dyDescent="0.2"/>
    <row r="35666" hidden="1" x14ac:dyDescent="0.2"/>
    <row r="35667" hidden="1" x14ac:dyDescent="0.2"/>
    <row r="35668" hidden="1" x14ac:dyDescent="0.2"/>
    <row r="35669" hidden="1" x14ac:dyDescent="0.2"/>
    <row r="35670" hidden="1" x14ac:dyDescent="0.2"/>
    <row r="35671" hidden="1" x14ac:dyDescent="0.2"/>
    <row r="35672" hidden="1" x14ac:dyDescent="0.2"/>
    <row r="35673" hidden="1" x14ac:dyDescent="0.2"/>
    <row r="35674" hidden="1" x14ac:dyDescent="0.2"/>
    <row r="35675" hidden="1" x14ac:dyDescent="0.2"/>
    <row r="35676" hidden="1" x14ac:dyDescent="0.2"/>
    <row r="35677" hidden="1" x14ac:dyDescent="0.2"/>
    <row r="35678" hidden="1" x14ac:dyDescent="0.2"/>
    <row r="35679" hidden="1" x14ac:dyDescent="0.2"/>
    <row r="35680" hidden="1" x14ac:dyDescent="0.2"/>
    <row r="35681" hidden="1" x14ac:dyDescent="0.2"/>
    <row r="35682" hidden="1" x14ac:dyDescent="0.2"/>
    <row r="35683" hidden="1" x14ac:dyDescent="0.2"/>
    <row r="35684" hidden="1" x14ac:dyDescent="0.2"/>
    <row r="35685" hidden="1" x14ac:dyDescent="0.2"/>
    <row r="35686" hidden="1" x14ac:dyDescent="0.2"/>
    <row r="35687" hidden="1" x14ac:dyDescent="0.2"/>
    <row r="35688" hidden="1" x14ac:dyDescent="0.2"/>
    <row r="35689" hidden="1" x14ac:dyDescent="0.2"/>
    <row r="35690" hidden="1" x14ac:dyDescent="0.2"/>
    <row r="35691" hidden="1" x14ac:dyDescent="0.2"/>
    <row r="35692" hidden="1" x14ac:dyDescent="0.2"/>
    <row r="35693" hidden="1" x14ac:dyDescent="0.2"/>
    <row r="35694" hidden="1" x14ac:dyDescent="0.2"/>
    <row r="35695" hidden="1" x14ac:dyDescent="0.2"/>
    <row r="35696" hidden="1" x14ac:dyDescent="0.2"/>
    <row r="35697" hidden="1" x14ac:dyDescent="0.2"/>
    <row r="35698" hidden="1" x14ac:dyDescent="0.2"/>
    <row r="35699" hidden="1" x14ac:dyDescent="0.2"/>
    <row r="35700" hidden="1" x14ac:dyDescent="0.2"/>
    <row r="35701" hidden="1" x14ac:dyDescent="0.2"/>
    <row r="35702" hidden="1" x14ac:dyDescent="0.2"/>
    <row r="35703" hidden="1" x14ac:dyDescent="0.2"/>
    <row r="35704" hidden="1" x14ac:dyDescent="0.2"/>
    <row r="35705" hidden="1" x14ac:dyDescent="0.2"/>
    <row r="35706" hidden="1" x14ac:dyDescent="0.2"/>
    <row r="35707" hidden="1" x14ac:dyDescent="0.2"/>
    <row r="35708" hidden="1" x14ac:dyDescent="0.2"/>
    <row r="35709" hidden="1" x14ac:dyDescent="0.2"/>
    <row r="35710" hidden="1" x14ac:dyDescent="0.2"/>
    <row r="35711" hidden="1" x14ac:dyDescent="0.2"/>
    <row r="35712" hidden="1" x14ac:dyDescent="0.2"/>
    <row r="35713" hidden="1" x14ac:dyDescent="0.2"/>
    <row r="35714" hidden="1" x14ac:dyDescent="0.2"/>
    <row r="35715" hidden="1" x14ac:dyDescent="0.2"/>
    <row r="35716" hidden="1" x14ac:dyDescent="0.2"/>
    <row r="35717" hidden="1" x14ac:dyDescent="0.2"/>
    <row r="35718" hidden="1" x14ac:dyDescent="0.2"/>
    <row r="35719" hidden="1" x14ac:dyDescent="0.2"/>
    <row r="35720" hidden="1" x14ac:dyDescent="0.2"/>
    <row r="35721" hidden="1" x14ac:dyDescent="0.2"/>
    <row r="35722" hidden="1" x14ac:dyDescent="0.2"/>
    <row r="35723" hidden="1" x14ac:dyDescent="0.2"/>
    <row r="35724" hidden="1" x14ac:dyDescent="0.2"/>
    <row r="35725" hidden="1" x14ac:dyDescent="0.2"/>
    <row r="35726" hidden="1" x14ac:dyDescent="0.2"/>
    <row r="35727" hidden="1" x14ac:dyDescent="0.2"/>
    <row r="35728" hidden="1" x14ac:dyDescent="0.2"/>
    <row r="35729" hidden="1" x14ac:dyDescent="0.2"/>
    <row r="35730" hidden="1" x14ac:dyDescent="0.2"/>
    <row r="35731" hidden="1" x14ac:dyDescent="0.2"/>
    <row r="35732" hidden="1" x14ac:dyDescent="0.2"/>
    <row r="35733" hidden="1" x14ac:dyDescent="0.2"/>
    <row r="35734" hidden="1" x14ac:dyDescent="0.2"/>
    <row r="35735" hidden="1" x14ac:dyDescent="0.2"/>
    <row r="35736" hidden="1" x14ac:dyDescent="0.2"/>
    <row r="35737" hidden="1" x14ac:dyDescent="0.2"/>
    <row r="35738" hidden="1" x14ac:dyDescent="0.2"/>
    <row r="35739" hidden="1" x14ac:dyDescent="0.2"/>
    <row r="35740" hidden="1" x14ac:dyDescent="0.2"/>
    <row r="35741" hidden="1" x14ac:dyDescent="0.2"/>
    <row r="35742" hidden="1" x14ac:dyDescent="0.2"/>
    <row r="35743" hidden="1" x14ac:dyDescent="0.2"/>
    <row r="35744" hidden="1" x14ac:dyDescent="0.2"/>
    <row r="35745" hidden="1" x14ac:dyDescent="0.2"/>
    <row r="35746" hidden="1" x14ac:dyDescent="0.2"/>
    <row r="35747" hidden="1" x14ac:dyDescent="0.2"/>
    <row r="35748" hidden="1" x14ac:dyDescent="0.2"/>
    <row r="35749" hidden="1" x14ac:dyDescent="0.2"/>
    <row r="35750" hidden="1" x14ac:dyDescent="0.2"/>
    <row r="35751" hidden="1" x14ac:dyDescent="0.2"/>
    <row r="35752" hidden="1" x14ac:dyDescent="0.2"/>
    <row r="35753" hidden="1" x14ac:dyDescent="0.2"/>
    <row r="35754" hidden="1" x14ac:dyDescent="0.2"/>
    <row r="35755" hidden="1" x14ac:dyDescent="0.2"/>
    <row r="35756" hidden="1" x14ac:dyDescent="0.2"/>
    <row r="35757" hidden="1" x14ac:dyDescent="0.2"/>
    <row r="35758" hidden="1" x14ac:dyDescent="0.2"/>
    <row r="35759" hidden="1" x14ac:dyDescent="0.2"/>
    <row r="35760" hidden="1" x14ac:dyDescent="0.2"/>
    <row r="35761" hidden="1" x14ac:dyDescent="0.2"/>
    <row r="35762" hidden="1" x14ac:dyDescent="0.2"/>
    <row r="35763" hidden="1" x14ac:dyDescent="0.2"/>
    <row r="35764" hidden="1" x14ac:dyDescent="0.2"/>
    <row r="35765" hidden="1" x14ac:dyDescent="0.2"/>
    <row r="35766" hidden="1" x14ac:dyDescent="0.2"/>
    <row r="35767" hidden="1" x14ac:dyDescent="0.2"/>
    <row r="35768" hidden="1" x14ac:dyDescent="0.2"/>
    <row r="35769" hidden="1" x14ac:dyDescent="0.2"/>
    <row r="35770" hidden="1" x14ac:dyDescent="0.2"/>
    <row r="35771" hidden="1" x14ac:dyDescent="0.2"/>
    <row r="35772" hidden="1" x14ac:dyDescent="0.2"/>
    <row r="35773" hidden="1" x14ac:dyDescent="0.2"/>
    <row r="35774" hidden="1" x14ac:dyDescent="0.2"/>
    <row r="35775" hidden="1" x14ac:dyDescent="0.2"/>
    <row r="35776" hidden="1" x14ac:dyDescent="0.2"/>
    <row r="35777" hidden="1" x14ac:dyDescent="0.2"/>
    <row r="35778" hidden="1" x14ac:dyDescent="0.2"/>
    <row r="35779" hidden="1" x14ac:dyDescent="0.2"/>
    <row r="35780" hidden="1" x14ac:dyDescent="0.2"/>
    <row r="35781" hidden="1" x14ac:dyDescent="0.2"/>
    <row r="35782" hidden="1" x14ac:dyDescent="0.2"/>
    <row r="35783" hidden="1" x14ac:dyDescent="0.2"/>
    <row r="35784" hidden="1" x14ac:dyDescent="0.2"/>
    <row r="35785" hidden="1" x14ac:dyDescent="0.2"/>
    <row r="35786" hidden="1" x14ac:dyDescent="0.2"/>
    <row r="35787" hidden="1" x14ac:dyDescent="0.2"/>
    <row r="35788" hidden="1" x14ac:dyDescent="0.2"/>
    <row r="35789" hidden="1" x14ac:dyDescent="0.2"/>
    <row r="35790" hidden="1" x14ac:dyDescent="0.2"/>
    <row r="35791" hidden="1" x14ac:dyDescent="0.2"/>
    <row r="35792" hidden="1" x14ac:dyDescent="0.2"/>
    <row r="35793" hidden="1" x14ac:dyDescent="0.2"/>
    <row r="35794" hidden="1" x14ac:dyDescent="0.2"/>
    <row r="35795" hidden="1" x14ac:dyDescent="0.2"/>
    <row r="35796" hidden="1" x14ac:dyDescent="0.2"/>
    <row r="35797" hidden="1" x14ac:dyDescent="0.2"/>
    <row r="35798" hidden="1" x14ac:dyDescent="0.2"/>
    <row r="35799" hidden="1" x14ac:dyDescent="0.2"/>
    <row r="35800" hidden="1" x14ac:dyDescent="0.2"/>
    <row r="35801" hidden="1" x14ac:dyDescent="0.2"/>
    <row r="35802" hidden="1" x14ac:dyDescent="0.2"/>
    <row r="35803" hidden="1" x14ac:dyDescent="0.2"/>
    <row r="35804" hidden="1" x14ac:dyDescent="0.2"/>
    <row r="35805" hidden="1" x14ac:dyDescent="0.2"/>
    <row r="35806" hidden="1" x14ac:dyDescent="0.2"/>
    <row r="35807" hidden="1" x14ac:dyDescent="0.2"/>
    <row r="35808" hidden="1" x14ac:dyDescent="0.2"/>
    <row r="35809" hidden="1" x14ac:dyDescent="0.2"/>
    <row r="35810" hidden="1" x14ac:dyDescent="0.2"/>
    <row r="35811" hidden="1" x14ac:dyDescent="0.2"/>
    <row r="35812" hidden="1" x14ac:dyDescent="0.2"/>
    <row r="35813" hidden="1" x14ac:dyDescent="0.2"/>
    <row r="35814" hidden="1" x14ac:dyDescent="0.2"/>
    <row r="35815" hidden="1" x14ac:dyDescent="0.2"/>
    <row r="35816" hidden="1" x14ac:dyDescent="0.2"/>
    <row r="35817" hidden="1" x14ac:dyDescent="0.2"/>
    <row r="35818" hidden="1" x14ac:dyDescent="0.2"/>
    <row r="35819" hidden="1" x14ac:dyDescent="0.2"/>
    <row r="35820" hidden="1" x14ac:dyDescent="0.2"/>
    <row r="35821" hidden="1" x14ac:dyDescent="0.2"/>
    <row r="35822" hidden="1" x14ac:dyDescent="0.2"/>
    <row r="35823" hidden="1" x14ac:dyDescent="0.2"/>
    <row r="35824" hidden="1" x14ac:dyDescent="0.2"/>
    <row r="35825" hidden="1" x14ac:dyDescent="0.2"/>
    <row r="35826" hidden="1" x14ac:dyDescent="0.2"/>
    <row r="35827" hidden="1" x14ac:dyDescent="0.2"/>
    <row r="35828" hidden="1" x14ac:dyDescent="0.2"/>
    <row r="35829" hidden="1" x14ac:dyDescent="0.2"/>
    <row r="35830" hidden="1" x14ac:dyDescent="0.2"/>
    <row r="35831" hidden="1" x14ac:dyDescent="0.2"/>
    <row r="35832" hidden="1" x14ac:dyDescent="0.2"/>
    <row r="35833" hidden="1" x14ac:dyDescent="0.2"/>
    <row r="35834" hidden="1" x14ac:dyDescent="0.2"/>
    <row r="35835" hidden="1" x14ac:dyDescent="0.2"/>
    <row r="35836" hidden="1" x14ac:dyDescent="0.2"/>
    <row r="35837" hidden="1" x14ac:dyDescent="0.2"/>
    <row r="35838" hidden="1" x14ac:dyDescent="0.2"/>
    <row r="35839" hidden="1" x14ac:dyDescent="0.2"/>
    <row r="35840" hidden="1" x14ac:dyDescent="0.2"/>
    <row r="35841" hidden="1" x14ac:dyDescent="0.2"/>
    <row r="35842" hidden="1" x14ac:dyDescent="0.2"/>
    <row r="35843" hidden="1" x14ac:dyDescent="0.2"/>
    <row r="35844" hidden="1" x14ac:dyDescent="0.2"/>
    <row r="35845" hidden="1" x14ac:dyDescent="0.2"/>
    <row r="35846" hidden="1" x14ac:dyDescent="0.2"/>
    <row r="35847" hidden="1" x14ac:dyDescent="0.2"/>
    <row r="35848" hidden="1" x14ac:dyDescent="0.2"/>
    <row r="35849" hidden="1" x14ac:dyDescent="0.2"/>
    <row r="35850" hidden="1" x14ac:dyDescent="0.2"/>
    <row r="35851" hidden="1" x14ac:dyDescent="0.2"/>
    <row r="35852" hidden="1" x14ac:dyDescent="0.2"/>
    <row r="35853" hidden="1" x14ac:dyDescent="0.2"/>
    <row r="35854" hidden="1" x14ac:dyDescent="0.2"/>
    <row r="35855" hidden="1" x14ac:dyDescent="0.2"/>
    <row r="35856" hidden="1" x14ac:dyDescent="0.2"/>
    <row r="35857" hidden="1" x14ac:dyDescent="0.2"/>
    <row r="35858" hidden="1" x14ac:dyDescent="0.2"/>
    <row r="35859" hidden="1" x14ac:dyDescent="0.2"/>
    <row r="35860" hidden="1" x14ac:dyDescent="0.2"/>
    <row r="35861" hidden="1" x14ac:dyDescent="0.2"/>
    <row r="35862" hidden="1" x14ac:dyDescent="0.2"/>
    <row r="35863" hidden="1" x14ac:dyDescent="0.2"/>
    <row r="35864" hidden="1" x14ac:dyDescent="0.2"/>
    <row r="35865" hidden="1" x14ac:dyDescent="0.2"/>
    <row r="35866" hidden="1" x14ac:dyDescent="0.2"/>
    <row r="35867" hidden="1" x14ac:dyDescent="0.2"/>
    <row r="35868" hidden="1" x14ac:dyDescent="0.2"/>
    <row r="35869" hidden="1" x14ac:dyDescent="0.2"/>
    <row r="35870" hidden="1" x14ac:dyDescent="0.2"/>
    <row r="35871" hidden="1" x14ac:dyDescent="0.2"/>
    <row r="35872" hidden="1" x14ac:dyDescent="0.2"/>
    <row r="35873" hidden="1" x14ac:dyDescent="0.2"/>
    <row r="35874" hidden="1" x14ac:dyDescent="0.2"/>
    <row r="35875" hidden="1" x14ac:dyDescent="0.2"/>
    <row r="35876" hidden="1" x14ac:dyDescent="0.2"/>
    <row r="35877" hidden="1" x14ac:dyDescent="0.2"/>
    <row r="35878" hidden="1" x14ac:dyDescent="0.2"/>
    <row r="35879" hidden="1" x14ac:dyDescent="0.2"/>
    <row r="35880" hidden="1" x14ac:dyDescent="0.2"/>
    <row r="35881" hidden="1" x14ac:dyDescent="0.2"/>
    <row r="35882" hidden="1" x14ac:dyDescent="0.2"/>
    <row r="35883" hidden="1" x14ac:dyDescent="0.2"/>
    <row r="35884" hidden="1" x14ac:dyDescent="0.2"/>
    <row r="35885" hidden="1" x14ac:dyDescent="0.2"/>
    <row r="35886" hidden="1" x14ac:dyDescent="0.2"/>
    <row r="35887" hidden="1" x14ac:dyDescent="0.2"/>
    <row r="35888" hidden="1" x14ac:dyDescent="0.2"/>
    <row r="35889" hidden="1" x14ac:dyDescent="0.2"/>
    <row r="35890" hidden="1" x14ac:dyDescent="0.2"/>
    <row r="35891" hidden="1" x14ac:dyDescent="0.2"/>
    <row r="35892" hidden="1" x14ac:dyDescent="0.2"/>
    <row r="35893" hidden="1" x14ac:dyDescent="0.2"/>
    <row r="35894" hidden="1" x14ac:dyDescent="0.2"/>
    <row r="35895" hidden="1" x14ac:dyDescent="0.2"/>
    <row r="35896" hidden="1" x14ac:dyDescent="0.2"/>
    <row r="35897" hidden="1" x14ac:dyDescent="0.2"/>
    <row r="35898" hidden="1" x14ac:dyDescent="0.2"/>
    <row r="35899" hidden="1" x14ac:dyDescent="0.2"/>
    <row r="35900" hidden="1" x14ac:dyDescent="0.2"/>
    <row r="35901" hidden="1" x14ac:dyDescent="0.2"/>
    <row r="35902" hidden="1" x14ac:dyDescent="0.2"/>
    <row r="35903" hidden="1" x14ac:dyDescent="0.2"/>
    <row r="35904" hidden="1" x14ac:dyDescent="0.2"/>
    <row r="35905" hidden="1" x14ac:dyDescent="0.2"/>
    <row r="35906" hidden="1" x14ac:dyDescent="0.2"/>
    <row r="35907" hidden="1" x14ac:dyDescent="0.2"/>
    <row r="35908" hidden="1" x14ac:dyDescent="0.2"/>
    <row r="35909" hidden="1" x14ac:dyDescent="0.2"/>
    <row r="35910" hidden="1" x14ac:dyDescent="0.2"/>
    <row r="35911" hidden="1" x14ac:dyDescent="0.2"/>
    <row r="35912" hidden="1" x14ac:dyDescent="0.2"/>
    <row r="35913" hidden="1" x14ac:dyDescent="0.2"/>
    <row r="35914" hidden="1" x14ac:dyDescent="0.2"/>
    <row r="35915" hidden="1" x14ac:dyDescent="0.2"/>
    <row r="35916" hidden="1" x14ac:dyDescent="0.2"/>
    <row r="35917" hidden="1" x14ac:dyDescent="0.2"/>
    <row r="35918" hidden="1" x14ac:dyDescent="0.2"/>
    <row r="35919" hidden="1" x14ac:dyDescent="0.2"/>
    <row r="35920" hidden="1" x14ac:dyDescent="0.2"/>
    <row r="35921" hidden="1" x14ac:dyDescent="0.2"/>
    <row r="35922" hidden="1" x14ac:dyDescent="0.2"/>
    <row r="35923" hidden="1" x14ac:dyDescent="0.2"/>
    <row r="35924" hidden="1" x14ac:dyDescent="0.2"/>
    <row r="35925" hidden="1" x14ac:dyDescent="0.2"/>
    <row r="35926" hidden="1" x14ac:dyDescent="0.2"/>
    <row r="35927" hidden="1" x14ac:dyDescent="0.2"/>
    <row r="35928" hidden="1" x14ac:dyDescent="0.2"/>
    <row r="35929" hidden="1" x14ac:dyDescent="0.2"/>
    <row r="35930" hidden="1" x14ac:dyDescent="0.2"/>
    <row r="35931" hidden="1" x14ac:dyDescent="0.2"/>
    <row r="35932" hidden="1" x14ac:dyDescent="0.2"/>
    <row r="35933" hidden="1" x14ac:dyDescent="0.2"/>
    <row r="35934" hidden="1" x14ac:dyDescent="0.2"/>
    <row r="35935" hidden="1" x14ac:dyDescent="0.2"/>
    <row r="35936" hidden="1" x14ac:dyDescent="0.2"/>
    <row r="35937" hidden="1" x14ac:dyDescent="0.2"/>
    <row r="35938" hidden="1" x14ac:dyDescent="0.2"/>
    <row r="35939" hidden="1" x14ac:dyDescent="0.2"/>
    <row r="35940" hidden="1" x14ac:dyDescent="0.2"/>
    <row r="35941" hidden="1" x14ac:dyDescent="0.2"/>
    <row r="35942" hidden="1" x14ac:dyDescent="0.2"/>
    <row r="35943" hidden="1" x14ac:dyDescent="0.2"/>
    <row r="35944" hidden="1" x14ac:dyDescent="0.2"/>
    <row r="35945" hidden="1" x14ac:dyDescent="0.2"/>
    <row r="35946" hidden="1" x14ac:dyDescent="0.2"/>
    <row r="35947" hidden="1" x14ac:dyDescent="0.2"/>
    <row r="35948" hidden="1" x14ac:dyDescent="0.2"/>
    <row r="35949" hidden="1" x14ac:dyDescent="0.2"/>
    <row r="35950" hidden="1" x14ac:dyDescent="0.2"/>
    <row r="35951" hidden="1" x14ac:dyDescent="0.2"/>
    <row r="35952" hidden="1" x14ac:dyDescent="0.2"/>
    <row r="35953" hidden="1" x14ac:dyDescent="0.2"/>
    <row r="35954" hidden="1" x14ac:dyDescent="0.2"/>
    <row r="35955" hidden="1" x14ac:dyDescent="0.2"/>
    <row r="35956" hidden="1" x14ac:dyDescent="0.2"/>
    <row r="35957" hidden="1" x14ac:dyDescent="0.2"/>
    <row r="35958" hidden="1" x14ac:dyDescent="0.2"/>
    <row r="35959" hidden="1" x14ac:dyDescent="0.2"/>
    <row r="35960" hidden="1" x14ac:dyDescent="0.2"/>
    <row r="35961" hidden="1" x14ac:dyDescent="0.2"/>
    <row r="35962" hidden="1" x14ac:dyDescent="0.2"/>
    <row r="35963" hidden="1" x14ac:dyDescent="0.2"/>
    <row r="35964" hidden="1" x14ac:dyDescent="0.2"/>
    <row r="35965" hidden="1" x14ac:dyDescent="0.2"/>
    <row r="35966" hidden="1" x14ac:dyDescent="0.2"/>
    <row r="35967" hidden="1" x14ac:dyDescent="0.2"/>
    <row r="35968" hidden="1" x14ac:dyDescent="0.2"/>
    <row r="35969" hidden="1" x14ac:dyDescent="0.2"/>
    <row r="35970" hidden="1" x14ac:dyDescent="0.2"/>
    <row r="35971" hidden="1" x14ac:dyDescent="0.2"/>
    <row r="35972" hidden="1" x14ac:dyDescent="0.2"/>
    <row r="35973" hidden="1" x14ac:dyDescent="0.2"/>
    <row r="35974" hidden="1" x14ac:dyDescent="0.2"/>
    <row r="35975" hidden="1" x14ac:dyDescent="0.2"/>
    <row r="35976" hidden="1" x14ac:dyDescent="0.2"/>
    <row r="35977" hidden="1" x14ac:dyDescent="0.2"/>
    <row r="35978" hidden="1" x14ac:dyDescent="0.2"/>
    <row r="35979" hidden="1" x14ac:dyDescent="0.2"/>
    <row r="35980" hidden="1" x14ac:dyDescent="0.2"/>
    <row r="35981" hidden="1" x14ac:dyDescent="0.2"/>
    <row r="35982" hidden="1" x14ac:dyDescent="0.2"/>
    <row r="35983" hidden="1" x14ac:dyDescent="0.2"/>
    <row r="35984" hidden="1" x14ac:dyDescent="0.2"/>
    <row r="35985" hidden="1" x14ac:dyDescent="0.2"/>
    <row r="35986" hidden="1" x14ac:dyDescent="0.2"/>
    <row r="35987" hidden="1" x14ac:dyDescent="0.2"/>
    <row r="35988" hidden="1" x14ac:dyDescent="0.2"/>
    <row r="35989" hidden="1" x14ac:dyDescent="0.2"/>
    <row r="35990" hidden="1" x14ac:dyDescent="0.2"/>
    <row r="35991" hidden="1" x14ac:dyDescent="0.2"/>
    <row r="35992" hidden="1" x14ac:dyDescent="0.2"/>
    <row r="35993" hidden="1" x14ac:dyDescent="0.2"/>
    <row r="35994" hidden="1" x14ac:dyDescent="0.2"/>
    <row r="35995" hidden="1" x14ac:dyDescent="0.2"/>
    <row r="35996" hidden="1" x14ac:dyDescent="0.2"/>
    <row r="35997" hidden="1" x14ac:dyDescent="0.2"/>
    <row r="35998" hidden="1" x14ac:dyDescent="0.2"/>
    <row r="35999" hidden="1" x14ac:dyDescent="0.2"/>
    <row r="36000" hidden="1" x14ac:dyDescent="0.2"/>
    <row r="36001" hidden="1" x14ac:dyDescent="0.2"/>
    <row r="36002" hidden="1" x14ac:dyDescent="0.2"/>
    <row r="36003" hidden="1" x14ac:dyDescent="0.2"/>
    <row r="36004" hidden="1" x14ac:dyDescent="0.2"/>
    <row r="36005" hidden="1" x14ac:dyDescent="0.2"/>
    <row r="36006" hidden="1" x14ac:dyDescent="0.2"/>
    <row r="36007" hidden="1" x14ac:dyDescent="0.2"/>
    <row r="36008" hidden="1" x14ac:dyDescent="0.2"/>
    <row r="36009" hidden="1" x14ac:dyDescent="0.2"/>
    <row r="36010" hidden="1" x14ac:dyDescent="0.2"/>
    <row r="36011" hidden="1" x14ac:dyDescent="0.2"/>
    <row r="36012" hidden="1" x14ac:dyDescent="0.2"/>
    <row r="36013" hidden="1" x14ac:dyDescent="0.2"/>
    <row r="36014" hidden="1" x14ac:dyDescent="0.2"/>
    <row r="36015" hidden="1" x14ac:dyDescent="0.2"/>
    <row r="36016" hidden="1" x14ac:dyDescent="0.2"/>
    <row r="36017" hidden="1" x14ac:dyDescent="0.2"/>
    <row r="36018" hidden="1" x14ac:dyDescent="0.2"/>
    <row r="36019" hidden="1" x14ac:dyDescent="0.2"/>
    <row r="36020" hidden="1" x14ac:dyDescent="0.2"/>
    <row r="36021" hidden="1" x14ac:dyDescent="0.2"/>
    <row r="36022" hidden="1" x14ac:dyDescent="0.2"/>
    <row r="36023" hidden="1" x14ac:dyDescent="0.2"/>
    <row r="36024" hidden="1" x14ac:dyDescent="0.2"/>
    <row r="36025" hidden="1" x14ac:dyDescent="0.2"/>
    <row r="36026" hidden="1" x14ac:dyDescent="0.2"/>
    <row r="36027" hidden="1" x14ac:dyDescent="0.2"/>
    <row r="36028" hidden="1" x14ac:dyDescent="0.2"/>
    <row r="36029" hidden="1" x14ac:dyDescent="0.2"/>
    <row r="36030" hidden="1" x14ac:dyDescent="0.2"/>
    <row r="36031" hidden="1" x14ac:dyDescent="0.2"/>
    <row r="36032" hidden="1" x14ac:dyDescent="0.2"/>
    <row r="36033" hidden="1" x14ac:dyDescent="0.2"/>
    <row r="36034" hidden="1" x14ac:dyDescent="0.2"/>
    <row r="36035" hidden="1" x14ac:dyDescent="0.2"/>
    <row r="36036" hidden="1" x14ac:dyDescent="0.2"/>
    <row r="36037" hidden="1" x14ac:dyDescent="0.2"/>
    <row r="36038" hidden="1" x14ac:dyDescent="0.2"/>
    <row r="36039" hidden="1" x14ac:dyDescent="0.2"/>
    <row r="36040" hidden="1" x14ac:dyDescent="0.2"/>
    <row r="36041" hidden="1" x14ac:dyDescent="0.2"/>
    <row r="36042" hidden="1" x14ac:dyDescent="0.2"/>
    <row r="36043" hidden="1" x14ac:dyDescent="0.2"/>
    <row r="36044" hidden="1" x14ac:dyDescent="0.2"/>
    <row r="36045" hidden="1" x14ac:dyDescent="0.2"/>
    <row r="36046" hidden="1" x14ac:dyDescent="0.2"/>
    <row r="36047" hidden="1" x14ac:dyDescent="0.2"/>
    <row r="36048" hidden="1" x14ac:dyDescent="0.2"/>
    <row r="36049" hidden="1" x14ac:dyDescent="0.2"/>
    <row r="36050" hidden="1" x14ac:dyDescent="0.2"/>
    <row r="36051" hidden="1" x14ac:dyDescent="0.2"/>
    <row r="36052" hidden="1" x14ac:dyDescent="0.2"/>
    <row r="36053" hidden="1" x14ac:dyDescent="0.2"/>
    <row r="36054" hidden="1" x14ac:dyDescent="0.2"/>
    <row r="36055" hidden="1" x14ac:dyDescent="0.2"/>
    <row r="36056" hidden="1" x14ac:dyDescent="0.2"/>
    <row r="36057" hidden="1" x14ac:dyDescent="0.2"/>
    <row r="36058" hidden="1" x14ac:dyDescent="0.2"/>
    <row r="36059" hidden="1" x14ac:dyDescent="0.2"/>
    <row r="36060" hidden="1" x14ac:dyDescent="0.2"/>
    <row r="36061" hidden="1" x14ac:dyDescent="0.2"/>
    <row r="36062" hidden="1" x14ac:dyDescent="0.2"/>
    <row r="36063" hidden="1" x14ac:dyDescent="0.2"/>
    <row r="36064" hidden="1" x14ac:dyDescent="0.2"/>
    <row r="36065" hidden="1" x14ac:dyDescent="0.2"/>
    <row r="36066" hidden="1" x14ac:dyDescent="0.2"/>
    <row r="36067" hidden="1" x14ac:dyDescent="0.2"/>
    <row r="36068" hidden="1" x14ac:dyDescent="0.2"/>
    <row r="36069" hidden="1" x14ac:dyDescent="0.2"/>
    <row r="36070" hidden="1" x14ac:dyDescent="0.2"/>
    <row r="36071" hidden="1" x14ac:dyDescent="0.2"/>
    <row r="36072" hidden="1" x14ac:dyDescent="0.2"/>
    <row r="36073" hidden="1" x14ac:dyDescent="0.2"/>
    <row r="36074" hidden="1" x14ac:dyDescent="0.2"/>
    <row r="36075" hidden="1" x14ac:dyDescent="0.2"/>
    <row r="36076" hidden="1" x14ac:dyDescent="0.2"/>
    <row r="36077" hidden="1" x14ac:dyDescent="0.2"/>
    <row r="36078" hidden="1" x14ac:dyDescent="0.2"/>
    <row r="36079" hidden="1" x14ac:dyDescent="0.2"/>
    <row r="36080" hidden="1" x14ac:dyDescent="0.2"/>
    <row r="36081" hidden="1" x14ac:dyDescent="0.2"/>
    <row r="36082" hidden="1" x14ac:dyDescent="0.2"/>
    <row r="36083" hidden="1" x14ac:dyDescent="0.2"/>
    <row r="36084" hidden="1" x14ac:dyDescent="0.2"/>
    <row r="36085" hidden="1" x14ac:dyDescent="0.2"/>
    <row r="36086" hidden="1" x14ac:dyDescent="0.2"/>
    <row r="36087" hidden="1" x14ac:dyDescent="0.2"/>
    <row r="36088" hidden="1" x14ac:dyDescent="0.2"/>
    <row r="36089" hidden="1" x14ac:dyDescent="0.2"/>
    <row r="36090" hidden="1" x14ac:dyDescent="0.2"/>
    <row r="36091" hidden="1" x14ac:dyDescent="0.2"/>
    <row r="36092" hidden="1" x14ac:dyDescent="0.2"/>
    <row r="36093" hidden="1" x14ac:dyDescent="0.2"/>
    <row r="36094" hidden="1" x14ac:dyDescent="0.2"/>
    <row r="36095" hidden="1" x14ac:dyDescent="0.2"/>
    <row r="36096" hidden="1" x14ac:dyDescent="0.2"/>
    <row r="36097" hidden="1" x14ac:dyDescent="0.2"/>
    <row r="36098" hidden="1" x14ac:dyDescent="0.2"/>
    <row r="36099" hidden="1" x14ac:dyDescent="0.2"/>
    <row r="36100" hidden="1" x14ac:dyDescent="0.2"/>
    <row r="36101" hidden="1" x14ac:dyDescent="0.2"/>
    <row r="36102" hidden="1" x14ac:dyDescent="0.2"/>
    <row r="36103" hidden="1" x14ac:dyDescent="0.2"/>
    <row r="36104" hidden="1" x14ac:dyDescent="0.2"/>
    <row r="36105" hidden="1" x14ac:dyDescent="0.2"/>
    <row r="36106" hidden="1" x14ac:dyDescent="0.2"/>
    <row r="36107" hidden="1" x14ac:dyDescent="0.2"/>
    <row r="36108" hidden="1" x14ac:dyDescent="0.2"/>
    <row r="36109" hidden="1" x14ac:dyDescent="0.2"/>
    <row r="36110" hidden="1" x14ac:dyDescent="0.2"/>
    <row r="36111" hidden="1" x14ac:dyDescent="0.2"/>
    <row r="36112" hidden="1" x14ac:dyDescent="0.2"/>
    <row r="36113" hidden="1" x14ac:dyDescent="0.2"/>
    <row r="36114" hidden="1" x14ac:dyDescent="0.2"/>
    <row r="36115" hidden="1" x14ac:dyDescent="0.2"/>
    <row r="36116" hidden="1" x14ac:dyDescent="0.2"/>
    <row r="36117" hidden="1" x14ac:dyDescent="0.2"/>
    <row r="36118" hidden="1" x14ac:dyDescent="0.2"/>
    <row r="36119" hidden="1" x14ac:dyDescent="0.2"/>
    <row r="36120" hidden="1" x14ac:dyDescent="0.2"/>
    <row r="36121" hidden="1" x14ac:dyDescent="0.2"/>
    <row r="36122" hidden="1" x14ac:dyDescent="0.2"/>
    <row r="36123" hidden="1" x14ac:dyDescent="0.2"/>
    <row r="36124" hidden="1" x14ac:dyDescent="0.2"/>
    <row r="36125" hidden="1" x14ac:dyDescent="0.2"/>
    <row r="36126" hidden="1" x14ac:dyDescent="0.2"/>
    <row r="36127" hidden="1" x14ac:dyDescent="0.2"/>
    <row r="36128" hidden="1" x14ac:dyDescent="0.2"/>
    <row r="36129" hidden="1" x14ac:dyDescent="0.2"/>
    <row r="36130" hidden="1" x14ac:dyDescent="0.2"/>
    <row r="36131" hidden="1" x14ac:dyDescent="0.2"/>
    <row r="36132" hidden="1" x14ac:dyDescent="0.2"/>
    <row r="36133" hidden="1" x14ac:dyDescent="0.2"/>
    <row r="36134" hidden="1" x14ac:dyDescent="0.2"/>
    <row r="36135" hidden="1" x14ac:dyDescent="0.2"/>
    <row r="36136" hidden="1" x14ac:dyDescent="0.2"/>
    <row r="36137" hidden="1" x14ac:dyDescent="0.2"/>
    <row r="36138" hidden="1" x14ac:dyDescent="0.2"/>
    <row r="36139" hidden="1" x14ac:dyDescent="0.2"/>
    <row r="36140" hidden="1" x14ac:dyDescent="0.2"/>
    <row r="36141" hidden="1" x14ac:dyDescent="0.2"/>
    <row r="36142" hidden="1" x14ac:dyDescent="0.2"/>
    <row r="36143" hidden="1" x14ac:dyDescent="0.2"/>
    <row r="36144" hidden="1" x14ac:dyDescent="0.2"/>
    <row r="36145" hidden="1" x14ac:dyDescent="0.2"/>
    <row r="36146" hidden="1" x14ac:dyDescent="0.2"/>
    <row r="36147" hidden="1" x14ac:dyDescent="0.2"/>
    <row r="36148" hidden="1" x14ac:dyDescent="0.2"/>
    <row r="36149" hidden="1" x14ac:dyDescent="0.2"/>
    <row r="36150" hidden="1" x14ac:dyDescent="0.2"/>
    <row r="36151" hidden="1" x14ac:dyDescent="0.2"/>
    <row r="36152" hidden="1" x14ac:dyDescent="0.2"/>
    <row r="36153" hidden="1" x14ac:dyDescent="0.2"/>
    <row r="36154" hidden="1" x14ac:dyDescent="0.2"/>
    <row r="36155" hidden="1" x14ac:dyDescent="0.2"/>
    <row r="36156" hidden="1" x14ac:dyDescent="0.2"/>
    <row r="36157" hidden="1" x14ac:dyDescent="0.2"/>
    <row r="36158" hidden="1" x14ac:dyDescent="0.2"/>
    <row r="36159" hidden="1" x14ac:dyDescent="0.2"/>
    <row r="36160" hidden="1" x14ac:dyDescent="0.2"/>
    <row r="36161" hidden="1" x14ac:dyDescent="0.2"/>
    <row r="36162" hidden="1" x14ac:dyDescent="0.2"/>
    <row r="36163" hidden="1" x14ac:dyDescent="0.2"/>
    <row r="36164" hidden="1" x14ac:dyDescent="0.2"/>
    <row r="36165" hidden="1" x14ac:dyDescent="0.2"/>
    <row r="36166" hidden="1" x14ac:dyDescent="0.2"/>
    <row r="36167" hidden="1" x14ac:dyDescent="0.2"/>
    <row r="36168" hidden="1" x14ac:dyDescent="0.2"/>
    <row r="36169" hidden="1" x14ac:dyDescent="0.2"/>
    <row r="36170" hidden="1" x14ac:dyDescent="0.2"/>
    <row r="36171" hidden="1" x14ac:dyDescent="0.2"/>
    <row r="36172" hidden="1" x14ac:dyDescent="0.2"/>
    <row r="36173" hidden="1" x14ac:dyDescent="0.2"/>
    <row r="36174" hidden="1" x14ac:dyDescent="0.2"/>
    <row r="36175" hidden="1" x14ac:dyDescent="0.2"/>
    <row r="36176" hidden="1" x14ac:dyDescent="0.2"/>
    <row r="36177" hidden="1" x14ac:dyDescent="0.2"/>
    <row r="36178" hidden="1" x14ac:dyDescent="0.2"/>
    <row r="36179" hidden="1" x14ac:dyDescent="0.2"/>
    <row r="36180" hidden="1" x14ac:dyDescent="0.2"/>
    <row r="36181" hidden="1" x14ac:dyDescent="0.2"/>
    <row r="36182" hidden="1" x14ac:dyDescent="0.2"/>
    <row r="36183" hidden="1" x14ac:dyDescent="0.2"/>
    <row r="36184" hidden="1" x14ac:dyDescent="0.2"/>
    <row r="36185" hidden="1" x14ac:dyDescent="0.2"/>
    <row r="36186" hidden="1" x14ac:dyDescent="0.2"/>
    <row r="36187" hidden="1" x14ac:dyDescent="0.2"/>
    <row r="36188" hidden="1" x14ac:dyDescent="0.2"/>
    <row r="36189" hidden="1" x14ac:dyDescent="0.2"/>
    <row r="36190" hidden="1" x14ac:dyDescent="0.2"/>
    <row r="36191" hidden="1" x14ac:dyDescent="0.2"/>
    <row r="36192" hidden="1" x14ac:dyDescent="0.2"/>
    <row r="36193" hidden="1" x14ac:dyDescent="0.2"/>
    <row r="36194" hidden="1" x14ac:dyDescent="0.2"/>
    <row r="36195" hidden="1" x14ac:dyDescent="0.2"/>
    <row r="36196" hidden="1" x14ac:dyDescent="0.2"/>
    <row r="36197" hidden="1" x14ac:dyDescent="0.2"/>
    <row r="36198" hidden="1" x14ac:dyDescent="0.2"/>
    <row r="36199" hidden="1" x14ac:dyDescent="0.2"/>
    <row r="36200" hidden="1" x14ac:dyDescent="0.2"/>
    <row r="36201" hidden="1" x14ac:dyDescent="0.2"/>
    <row r="36202" hidden="1" x14ac:dyDescent="0.2"/>
    <row r="36203" hidden="1" x14ac:dyDescent="0.2"/>
    <row r="36204" hidden="1" x14ac:dyDescent="0.2"/>
    <row r="36205" hidden="1" x14ac:dyDescent="0.2"/>
    <row r="36206" hidden="1" x14ac:dyDescent="0.2"/>
    <row r="36207" hidden="1" x14ac:dyDescent="0.2"/>
    <row r="36208" hidden="1" x14ac:dyDescent="0.2"/>
    <row r="36209" hidden="1" x14ac:dyDescent="0.2"/>
    <row r="36210" hidden="1" x14ac:dyDescent="0.2"/>
    <row r="36211" hidden="1" x14ac:dyDescent="0.2"/>
    <row r="36212" hidden="1" x14ac:dyDescent="0.2"/>
    <row r="36213" hidden="1" x14ac:dyDescent="0.2"/>
    <row r="36214" hidden="1" x14ac:dyDescent="0.2"/>
    <row r="36215" hidden="1" x14ac:dyDescent="0.2"/>
    <row r="36216" hidden="1" x14ac:dyDescent="0.2"/>
    <row r="36217" hidden="1" x14ac:dyDescent="0.2"/>
    <row r="36218" hidden="1" x14ac:dyDescent="0.2"/>
    <row r="36219" hidden="1" x14ac:dyDescent="0.2"/>
    <row r="36220" hidden="1" x14ac:dyDescent="0.2"/>
    <row r="36221" hidden="1" x14ac:dyDescent="0.2"/>
    <row r="36222" hidden="1" x14ac:dyDescent="0.2"/>
    <row r="36223" hidden="1" x14ac:dyDescent="0.2"/>
    <row r="36224" hidden="1" x14ac:dyDescent="0.2"/>
    <row r="36225" hidden="1" x14ac:dyDescent="0.2"/>
    <row r="36226" hidden="1" x14ac:dyDescent="0.2"/>
    <row r="36227" hidden="1" x14ac:dyDescent="0.2"/>
    <row r="36228" hidden="1" x14ac:dyDescent="0.2"/>
    <row r="36229" hidden="1" x14ac:dyDescent="0.2"/>
    <row r="36230" hidden="1" x14ac:dyDescent="0.2"/>
    <row r="36231" hidden="1" x14ac:dyDescent="0.2"/>
    <row r="36232" hidden="1" x14ac:dyDescent="0.2"/>
    <row r="36233" hidden="1" x14ac:dyDescent="0.2"/>
    <row r="36234" hidden="1" x14ac:dyDescent="0.2"/>
    <row r="36235" hidden="1" x14ac:dyDescent="0.2"/>
    <row r="36236" hidden="1" x14ac:dyDescent="0.2"/>
    <row r="36237" hidden="1" x14ac:dyDescent="0.2"/>
    <row r="36238" hidden="1" x14ac:dyDescent="0.2"/>
    <row r="36239" hidden="1" x14ac:dyDescent="0.2"/>
    <row r="36240" hidden="1" x14ac:dyDescent="0.2"/>
    <row r="36241" hidden="1" x14ac:dyDescent="0.2"/>
    <row r="36242" hidden="1" x14ac:dyDescent="0.2"/>
    <row r="36243" hidden="1" x14ac:dyDescent="0.2"/>
    <row r="36244" hidden="1" x14ac:dyDescent="0.2"/>
    <row r="36245" hidden="1" x14ac:dyDescent="0.2"/>
    <row r="36246" hidden="1" x14ac:dyDescent="0.2"/>
    <row r="36247" hidden="1" x14ac:dyDescent="0.2"/>
    <row r="36248" hidden="1" x14ac:dyDescent="0.2"/>
    <row r="36249" hidden="1" x14ac:dyDescent="0.2"/>
    <row r="36250" hidden="1" x14ac:dyDescent="0.2"/>
    <row r="36251" hidden="1" x14ac:dyDescent="0.2"/>
    <row r="36252" hidden="1" x14ac:dyDescent="0.2"/>
    <row r="36253" hidden="1" x14ac:dyDescent="0.2"/>
    <row r="36254" hidden="1" x14ac:dyDescent="0.2"/>
    <row r="36255" hidden="1" x14ac:dyDescent="0.2"/>
    <row r="36256" hidden="1" x14ac:dyDescent="0.2"/>
    <row r="36257" hidden="1" x14ac:dyDescent="0.2"/>
    <row r="36258" hidden="1" x14ac:dyDescent="0.2"/>
    <row r="36259" hidden="1" x14ac:dyDescent="0.2"/>
    <row r="36260" hidden="1" x14ac:dyDescent="0.2"/>
    <row r="36261" hidden="1" x14ac:dyDescent="0.2"/>
    <row r="36262" hidden="1" x14ac:dyDescent="0.2"/>
    <row r="36263" hidden="1" x14ac:dyDescent="0.2"/>
    <row r="36264" hidden="1" x14ac:dyDescent="0.2"/>
    <row r="36265" hidden="1" x14ac:dyDescent="0.2"/>
    <row r="36266" hidden="1" x14ac:dyDescent="0.2"/>
    <row r="36267" hidden="1" x14ac:dyDescent="0.2"/>
    <row r="36268" hidden="1" x14ac:dyDescent="0.2"/>
    <row r="36269" hidden="1" x14ac:dyDescent="0.2"/>
    <row r="36270" hidden="1" x14ac:dyDescent="0.2"/>
    <row r="36271" hidden="1" x14ac:dyDescent="0.2"/>
    <row r="36272" hidden="1" x14ac:dyDescent="0.2"/>
    <row r="36273" hidden="1" x14ac:dyDescent="0.2"/>
    <row r="36274" hidden="1" x14ac:dyDescent="0.2"/>
    <row r="36275" hidden="1" x14ac:dyDescent="0.2"/>
    <row r="36276" hidden="1" x14ac:dyDescent="0.2"/>
    <row r="36277" hidden="1" x14ac:dyDescent="0.2"/>
    <row r="36278" hidden="1" x14ac:dyDescent="0.2"/>
    <row r="36279" hidden="1" x14ac:dyDescent="0.2"/>
    <row r="36280" hidden="1" x14ac:dyDescent="0.2"/>
    <row r="36281" hidden="1" x14ac:dyDescent="0.2"/>
    <row r="36282" hidden="1" x14ac:dyDescent="0.2"/>
    <row r="36283" hidden="1" x14ac:dyDescent="0.2"/>
    <row r="36284" hidden="1" x14ac:dyDescent="0.2"/>
    <row r="36285" hidden="1" x14ac:dyDescent="0.2"/>
    <row r="36286" hidden="1" x14ac:dyDescent="0.2"/>
    <row r="36287" hidden="1" x14ac:dyDescent="0.2"/>
    <row r="36288" hidden="1" x14ac:dyDescent="0.2"/>
    <row r="36289" hidden="1" x14ac:dyDescent="0.2"/>
    <row r="36290" hidden="1" x14ac:dyDescent="0.2"/>
    <row r="36291" hidden="1" x14ac:dyDescent="0.2"/>
    <row r="36292" hidden="1" x14ac:dyDescent="0.2"/>
    <row r="36293" hidden="1" x14ac:dyDescent="0.2"/>
    <row r="36294" hidden="1" x14ac:dyDescent="0.2"/>
    <row r="36295" hidden="1" x14ac:dyDescent="0.2"/>
    <row r="36296" hidden="1" x14ac:dyDescent="0.2"/>
    <row r="36297" hidden="1" x14ac:dyDescent="0.2"/>
    <row r="36298" hidden="1" x14ac:dyDescent="0.2"/>
    <row r="36299" hidden="1" x14ac:dyDescent="0.2"/>
    <row r="36300" hidden="1" x14ac:dyDescent="0.2"/>
    <row r="36301" hidden="1" x14ac:dyDescent="0.2"/>
    <row r="36302" hidden="1" x14ac:dyDescent="0.2"/>
    <row r="36303" hidden="1" x14ac:dyDescent="0.2"/>
    <row r="36304" hidden="1" x14ac:dyDescent="0.2"/>
    <row r="36305" hidden="1" x14ac:dyDescent="0.2"/>
    <row r="36306" hidden="1" x14ac:dyDescent="0.2"/>
    <row r="36307" hidden="1" x14ac:dyDescent="0.2"/>
    <row r="36308" hidden="1" x14ac:dyDescent="0.2"/>
    <row r="36309" hidden="1" x14ac:dyDescent="0.2"/>
    <row r="36310" hidden="1" x14ac:dyDescent="0.2"/>
    <row r="36311" hidden="1" x14ac:dyDescent="0.2"/>
    <row r="36312" hidden="1" x14ac:dyDescent="0.2"/>
    <row r="36313" hidden="1" x14ac:dyDescent="0.2"/>
    <row r="36314" hidden="1" x14ac:dyDescent="0.2"/>
    <row r="36315" hidden="1" x14ac:dyDescent="0.2"/>
    <row r="36316" hidden="1" x14ac:dyDescent="0.2"/>
    <row r="36317" hidden="1" x14ac:dyDescent="0.2"/>
    <row r="36318" hidden="1" x14ac:dyDescent="0.2"/>
    <row r="36319" hidden="1" x14ac:dyDescent="0.2"/>
    <row r="36320" hidden="1" x14ac:dyDescent="0.2"/>
    <row r="36321" hidden="1" x14ac:dyDescent="0.2"/>
    <row r="36322" hidden="1" x14ac:dyDescent="0.2"/>
    <row r="36323" hidden="1" x14ac:dyDescent="0.2"/>
    <row r="36324" hidden="1" x14ac:dyDescent="0.2"/>
    <row r="36325" hidden="1" x14ac:dyDescent="0.2"/>
    <row r="36326" hidden="1" x14ac:dyDescent="0.2"/>
    <row r="36327" hidden="1" x14ac:dyDescent="0.2"/>
    <row r="36328" hidden="1" x14ac:dyDescent="0.2"/>
    <row r="36329" hidden="1" x14ac:dyDescent="0.2"/>
    <row r="36330" hidden="1" x14ac:dyDescent="0.2"/>
    <row r="36331" hidden="1" x14ac:dyDescent="0.2"/>
    <row r="36332" hidden="1" x14ac:dyDescent="0.2"/>
    <row r="36333" hidden="1" x14ac:dyDescent="0.2"/>
    <row r="36334" hidden="1" x14ac:dyDescent="0.2"/>
    <row r="36335" hidden="1" x14ac:dyDescent="0.2"/>
    <row r="36336" hidden="1" x14ac:dyDescent="0.2"/>
    <row r="36337" hidden="1" x14ac:dyDescent="0.2"/>
    <row r="36338" hidden="1" x14ac:dyDescent="0.2"/>
    <row r="36339" hidden="1" x14ac:dyDescent="0.2"/>
    <row r="36340" hidden="1" x14ac:dyDescent="0.2"/>
    <row r="36341" hidden="1" x14ac:dyDescent="0.2"/>
    <row r="36342" hidden="1" x14ac:dyDescent="0.2"/>
    <row r="36343" hidden="1" x14ac:dyDescent="0.2"/>
    <row r="36344" hidden="1" x14ac:dyDescent="0.2"/>
    <row r="36345" hidden="1" x14ac:dyDescent="0.2"/>
    <row r="36346" hidden="1" x14ac:dyDescent="0.2"/>
    <row r="36347" hidden="1" x14ac:dyDescent="0.2"/>
    <row r="36348" hidden="1" x14ac:dyDescent="0.2"/>
    <row r="36349" hidden="1" x14ac:dyDescent="0.2"/>
    <row r="36350" hidden="1" x14ac:dyDescent="0.2"/>
    <row r="36351" hidden="1" x14ac:dyDescent="0.2"/>
    <row r="36352" hidden="1" x14ac:dyDescent="0.2"/>
    <row r="36353" hidden="1" x14ac:dyDescent="0.2"/>
    <row r="36354" hidden="1" x14ac:dyDescent="0.2"/>
    <row r="36355" hidden="1" x14ac:dyDescent="0.2"/>
    <row r="36356" hidden="1" x14ac:dyDescent="0.2"/>
    <row r="36357" hidden="1" x14ac:dyDescent="0.2"/>
    <row r="36358" hidden="1" x14ac:dyDescent="0.2"/>
    <row r="36359" hidden="1" x14ac:dyDescent="0.2"/>
    <row r="36360" hidden="1" x14ac:dyDescent="0.2"/>
    <row r="36361" hidden="1" x14ac:dyDescent="0.2"/>
    <row r="36362" hidden="1" x14ac:dyDescent="0.2"/>
    <row r="36363" hidden="1" x14ac:dyDescent="0.2"/>
    <row r="36364" hidden="1" x14ac:dyDescent="0.2"/>
    <row r="36365" hidden="1" x14ac:dyDescent="0.2"/>
    <row r="36366" hidden="1" x14ac:dyDescent="0.2"/>
    <row r="36367" hidden="1" x14ac:dyDescent="0.2"/>
    <row r="36368" hidden="1" x14ac:dyDescent="0.2"/>
    <row r="36369" hidden="1" x14ac:dyDescent="0.2"/>
    <row r="36370" hidden="1" x14ac:dyDescent="0.2"/>
    <row r="36371" hidden="1" x14ac:dyDescent="0.2"/>
    <row r="36372" hidden="1" x14ac:dyDescent="0.2"/>
    <row r="36373" hidden="1" x14ac:dyDescent="0.2"/>
    <row r="36374" hidden="1" x14ac:dyDescent="0.2"/>
    <row r="36375" hidden="1" x14ac:dyDescent="0.2"/>
    <row r="36376" hidden="1" x14ac:dyDescent="0.2"/>
    <row r="36377" hidden="1" x14ac:dyDescent="0.2"/>
    <row r="36378" hidden="1" x14ac:dyDescent="0.2"/>
    <row r="36379" hidden="1" x14ac:dyDescent="0.2"/>
    <row r="36380" hidden="1" x14ac:dyDescent="0.2"/>
    <row r="36381" hidden="1" x14ac:dyDescent="0.2"/>
    <row r="36382" hidden="1" x14ac:dyDescent="0.2"/>
    <row r="36383" hidden="1" x14ac:dyDescent="0.2"/>
    <row r="36384" hidden="1" x14ac:dyDescent="0.2"/>
    <row r="36385" hidden="1" x14ac:dyDescent="0.2"/>
    <row r="36386" hidden="1" x14ac:dyDescent="0.2"/>
    <row r="36387" hidden="1" x14ac:dyDescent="0.2"/>
    <row r="36388" hidden="1" x14ac:dyDescent="0.2"/>
    <row r="36389" hidden="1" x14ac:dyDescent="0.2"/>
    <row r="36390" hidden="1" x14ac:dyDescent="0.2"/>
    <row r="36391" hidden="1" x14ac:dyDescent="0.2"/>
    <row r="36392" hidden="1" x14ac:dyDescent="0.2"/>
    <row r="36393" hidden="1" x14ac:dyDescent="0.2"/>
    <row r="36394" hidden="1" x14ac:dyDescent="0.2"/>
    <row r="36395" hidden="1" x14ac:dyDescent="0.2"/>
    <row r="36396" hidden="1" x14ac:dyDescent="0.2"/>
    <row r="36397" hidden="1" x14ac:dyDescent="0.2"/>
    <row r="36398" hidden="1" x14ac:dyDescent="0.2"/>
    <row r="36399" hidden="1" x14ac:dyDescent="0.2"/>
    <row r="36400" hidden="1" x14ac:dyDescent="0.2"/>
    <row r="36401" hidden="1" x14ac:dyDescent="0.2"/>
    <row r="36402" hidden="1" x14ac:dyDescent="0.2"/>
    <row r="36403" hidden="1" x14ac:dyDescent="0.2"/>
    <row r="36404" hidden="1" x14ac:dyDescent="0.2"/>
    <row r="36405" hidden="1" x14ac:dyDescent="0.2"/>
    <row r="36406" hidden="1" x14ac:dyDescent="0.2"/>
    <row r="36407" hidden="1" x14ac:dyDescent="0.2"/>
    <row r="36408" hidden="1" x14ac:dyDescent="0.2"/>
    <row r="36409" hidden="1" x14ac:dyDescent="0.2"/>
    <row r="36410" hidden="1" x14ac:dyDescent="0.2"/>
    <row r="36411" hidden="1" x14ac:dyDescent="0.2"/>
    <row r="36412" hidden="1" x14ac:dyDescent="0.2"/>
    <row r="36413" hidden="1" x14ac:dyDescent="0.2"/>
    <row r="36414" hidden="1" x14ac:dyDescent="0.2"/>
    <row r="36415" hidden="1" x14ac:dyDescent="0.2"/>
    <row r="36416" hidden="1" x14ac:dyDescent="0.2"/>
    <row r="36417" hidden="1" x14ac:dyDescent="0.2"/>
    <row r="36418" hidden="1" x14ac:dyDescent="0.2"/>
    <row r="36419" hidden="1" x14ac:dyDescent="0.2"/>
    <row r="36420" hidden="1" x14ac:dyDescent="0.2"/>
    <row r="36421" hidden="1" x14ac:dyDescent="0.2"/>
    <row r="36422" hidden="1" x14ac:dyDescent="0.2"/>
    <row r="36423" hidden="1" x14ac:dyDescent="0.2"/>
    <row r="36424" hidden="1" x14ac:dyDescent="0.2"/>
    <row r="36425" hidden="1" x14ac:dyDescent="0.2"/>
    <row r="36426" hidden="1" x14ac:dyDescent="0.2"/>
    <row r="36427" hidden="1" x14ac:dyDescent="0.2"/>
    <row r="36428" hidden="1" x14ac:dyDescent="0.2"/>
    <row r="36429" hidden="1" x14ac:dyDescent="0.2"/>
    <row r="36430" hidden="1" x14ac:dyDescent="0.2"/>
    <row r="36431" hidden="1" x14ac:dyDescent="0.2"/>
    <row r="36432" hidden="1" x14ac:dyDescent="0.2"/>
    <row r="36433" hidden="1" x14ac:dyDescent="0.2"/>
    <row r="36434" hidden="1" x14ac:dyDescent="0.2"/>
    <row r="36435" hidden="1" x14ac:dyDescent="0.2"/>
    <row r="36436" hidden="1" x14ac:dyDescent="0.2"/>
    <row r="36437" hidden="1" x14ac:dyDescent="0.2"/>
    <row r="36438" hidden="1" x14ac:dyDescent="0.2"/>
    <row r="36439" hidden="1" x14ac:dyDescent="0.2"/>
    <row r="36440" hidden="1" x14ac:dyDescent="0.2"/>
    <row r="36441" hidden="1" x14ac:dyDescent="0.2"/>
    <row r="36442" hidden="1" x14ac:dyDescent="0.2"/>
    <row r="36443" hidden="1" x14ac:dyDescent="0.2"/>
    <row r="36444" hidden="1" x14ac:dyDescent="0.2"/>
    <row r="36445" hidden="1" x14ac:dyDescent="0.2"/>
    <row r="36446" hidden="1" x14ac:dyDescent="0.2"/>
    <row r="36447" hidden="1" x14ac:dyDescent="0.2"/>
    <row r="36448" hidden="1" x14ac:dyDescent="0.2"/>
    <row r="36449" hidden="1" x14ac:dyDescent="0.2"/>
    <row r="36450" hidden="1" x14ac:dyDescent="0.2"/>
    <row r="36451" hidden="1" x14ac:dyDescent="0.2"/>
    <row r="36452" hidden="1" x14ac:dyDescent="0.2"/>
    <row r="36453" hidden="1" x14ac:dyDescent="0.2"/>
    <row r="36454" hidden="1" x14ac:dyDescent="0.2"/>
    <row r="36455" hidden="1" x14ac:dyDescent="0.2"/>
    <row r="36456" hidden="1" x14ac:dyDescent="0.2"/>
    <row r="36457" hidden="1" x14ac:dyDescent="0.2"/>
    <row r="36458" hidden="1" x14ac:dyDescent="0.2"/>
    <row r="36459" hidden="1" x14ac:dyDescent="0.2"/>
    <row r="36460" hidden="1" x14ac:dyDescent="0.2"/>
    <row r="36461" hidden="1" x14ac:dyDescent="0.2"/>
    <row r="36462" hidden="1" x14ac:dyDescent="0.2"/>
    <row r="36463" hidden="1" x14ac:dyDescent="0.2"/>
    <row r="36464" hidden="1" x14ac:dyDescent="0.2"/>
    <row r="36465" hidden="1" x14ac:dyDescent="0.2"/>
    <row r="36466" hidden="1" x14ac:dyDescent="0.2"/>
    <row r="36467" hidden="1" x14ac:dyDescent="0.2"/>
    <row r="36468" hidden="1" x14ac:dyDescent="0.2"/>
    <row r="36469" hidden="1" x14ac:dyDescent="0.2"/>
    <row r="36470" hidden="1" x14ac:dyDescent="0.2"/>
    <row r="36471" hidden="1" x14ac:dyDescent="0.2"/>
    <row r="36472" hidden="1" x14ac:dyDescent="0.2"/>
    <row r="36473" hidden="1" x14ac:dyDescent="0.2"/>
    <row r="36474" hidden="1" x14ac:dyDescent="0.2"/>
    <row r="36475" hidden="1" x14ac:dyDescent="0.2"/>
    <row r="36476" hidden="1" x14ac:dyDescent="0.2"/>
    <row r="36477" hidden="1" x14ac:dyDescent="0.2"/>
    <row r="36478" hidden="1" x14ac:dyDescent="0.2"/>
    <row r="36479" hidden="1" x14ac:dyDescent="0.2"/>
    <row r="36480" hidden="1" x14ac:dyDescent="0.2"/>
    <row r="36481" hidden="1" x14ac:dyDescent="0.2"/>
    <row r="36482" hidden="1" x14ac:dyDescent="0.2"/>
    <row r="36483" hidden="1" x14ac:dyDescent="0.2"/>
    <row r="36484" hidden="1" x14ac:dyDescent="0.2"/>
    <row r="36485" hidden="1" x14ac:dyDescent="0.2"/>
    <row r="36486" hidden="1" x14ac:dyDescent="0.2"/>
    <row r="36487" hidden="1" x14ac:dyDescent="0.2"/>
    <row r="36488" hidden="1" x14ac:dyDescent="0.2"/>
    <row r="36489" hidden="1" x14ac:dyDescent="0.2"/>
    <row r="36490" hidden="1" x14ac:dyDescent="0.2"/>
    <row r="36491" hidden="1" x14ac:dyDescent="0.2"/>
    <row r="36492" hidden="1" x14ac:dyDescent="0.2"/>
    <row r="36493" hidden="1" x14ac:dyDescent="0.2"/>
    <row r="36494" hidden="1" x14ac:dyDescent="0.2"/>
    <row r="36495" hidden="1" x14ac:dyDescent="0.2"/>
    <row r="36496" hidden="1" x14ac:dyDescent="0.2"/>
    <row r="36497" hidden="1" x14ac:dyDescent="0.2"/>
    <row r="36498" hidden="1" x14ac:dyDescent="0.2"/>
    <row r="36499" hidden="1" x14ac:dyDescent="0.2"/>
    <row r="36500" hidden="1" x14ac:dyDescent="0.2"/>
    <row r="36501" hidden="1" x14ac:dyDescent="0.2"/>
    <row r="36502" hidden="1" x14ac:dyDescent="0.2"/>
    <row r="36503" hidden="1" x14ac:dyDescent="0.2"/>
    <row r="36504" hidden="1" x14ac:dyDescent="0.2"/>
    <row r="36505" hidden="1" x14ac:dyDescent="0.2"/>
    <row r="36506" hidden="1" x14ac:dyDescent="0.2"/>
    <row r="36507" hidden="1" x14ac:dyDescent="0.2"/>
    <row r="36508" hidden="1" x14ac:dyDescent="0.2"/>
    <row r="36509" hidden="1" x14ac:dyDescent="0.2"/>
    <row r="36510" hidden="1" x14ac:dyDescent="0.2"/>
    <row r="36511" hidden="1" x14ac:dyDescent="0.2"/>
    <row r="36512" hidden="1" x14ac:dyDescent="0.2"/>
    <row r="36513" hidden="1" x14ac:dyDescent="0.2"/>
    <row r="36514" hidden="1" x14ac:dyDescent="0.2"/>
    <row r="36515" hidden="1" x14ac:dyDescent="0.2"/>
    <row r="36516" hidden="1" x14ac:dyDescent="0.2"/>
    <row r="36517" hidden="1" x14ac:dyDescent="0.2"/>
    <row r="36518" hidden="1" x14ac:dyDescent="0.2"/>
    <row r="36519" hidden="1" x14ac:dyDescent="0.2"/>
    <row r="36520" hidden="1" x14ac:dyDescent="0.2"/>
    <row r="36521" hidden="1" x14ac:dyDescent="0.2"/>
    <row r="36522" hidden="1" x14ac:dyDescent="0.2"/>
    <row r="36523" hidden="1" x14ac:dyDescent="0.2"/>
    <row r="36524" hidden="1" x14ac:dyDescent="0.2"/>
    <row r="36525" hidden="1" x14ac:dyDescent="0.2"/>
    <row r="36526" hidden="1" x14ac:dyDescent="0.2"/>
    <row r="36527" hidden="1" x14ac:dyDescent="0.2"/>
    <row r="36528" hidden="1" x14ac:dyDescent="0.2"/>
    <row r="36529" hidden="1" x14ac:dyDescent="0.2"/>
    <row r="36530" hidden="1" x14ac:dyDescent="0.2"/>
    <row r="36531" hidden="1" x14ac:dyDescent="0.2"/>
    <row r="36532" hidden="1" x14ac:dyDescent="0.2"/>
    <row r="36533" hidden="1" x14ac:dyDescent="0.2"/>
    <row r="36534" hidden="1" x14ac:dyDescent="0.2"/>
    <row r="36535" hidden="1" x14ac:dyDescent="0.2"/>
    <row r="36536" hidden="1" x14ac:dyDescent="0.2"/>
    <row r="36537" hidden="1" x14ac:dyDescent="0.2"/>
    <row r="36538" hidden="1" x14ac:dyDescent="0.2"/>
    <row r="36539" hidden="1" x14ac:dyDescent="0.2"/>
    <row r="36540" hidden="1" x14ac:dyDescent="0.2"/>
    <row r="36541" hidden="1" x14ac:dyDescent="0.2"/>
    <row r="36542" hidden="1" x14ac:dyDescent="0.2"/>
    <row r="36543" hidden="1" x14ac:dyDescent="0.2"/>
    <row r="36544" hidden="1" x14ac:dyDescent="0.2"/>
    <row r="36545" hidden="1" x14ac:dyDescent="0.2"/>
    <row r="36546" hidden="1" x14ac:dyDescent="0.2"/>
    <row r="36547" hidden="1" x14ac:dyDescent="0.2"/>
    <row r="36548" hidden="1" x14ac:dyDescent="0.2"/>
    <row r="36549" hidden="1" x14ac:dyDescent="0.2"/>
    <row r="36550" hidden="1" x14ac:dyDescent="0.2"/>
    <row r="36551" hidden="1" x14ac:dyDescent="0.2"/>
    <row r="36552" hidden="1" x14ac:dyDescent="0.2"/>
    <row r="36553" hidden="1" x14ac:dyDescent="0.2"/>
    <row r="36554" hidden="1" x14ac:dyDescent="0.2"/>
    <row r="36555" hidden="1" x14ac:dyDescent="0.2"/>
    <row r="36556" hidden="1" x14ac:dyDescent="0.2"/>
    <row r="36557" hidden="1" x14ac:dyDescent="0.2"/>
    <row r="36558" hidden="1" x14ac:dyDescent="0.2"/>
    <row r="36559" hidden="1" x14ac:dyDescent="0.2"/>
    <row r="36560" hidden="1" x14ac:dyDescent="0.2"/>
    <row r="36561" hidden="1" x14ac:dyDescent="0.2"/>
    <row r="36562" hidden="1" x14ac:dyDescent="0.2"/>
    <row r="36563" hidden="1" x14ac:dyDescent="0.2"/>
    <row r="36564" hidden="1" x14ac:dyDescent="0.2"/>
    <row r="36565" hidden="1" x14ac:dyDescent="0.2"/>
    <row r="36566" hidden="1" x14ac:dyDescent="0.2"/>
    <row r="36567" hidden="1" x14ac:dyDescent="0.2"/>
    <row r="36568" hidden="1" x14ac:dyDescent="0.2"/>
    <row r="36569" hidden="1" x14ac:dyDescent="0.2"/>
    <row r="36570" hidden="1" x14ac:dyDescent="0.2"/>
    <row r="36571" hidden="1" x14ac:dyDescent="0.2"/>
    <row r="36572" hidden="1" x14ac:dyDescent="0.2"/>
    <row r="36573" hidden="1" x14ac:dyDescent="0.2"/>
    <row r="36574" hidden="1" x14ac:dyDescent="0.2"/>
    <row r="36575" hidden="1" x14ac:dyDescent="0.2"/>
    <row r="36576" hidden="1" x14ac:dyDescent="0.2"/>
    <row r="36577" hidden="1" x14ac:dyDescent="0.2"/>
    <row r="36578" hidden="1" x14ac:dyDescent="0.2"/>
    <row r="36579" hidden="1" x14ac:dyDescent="0.2"/>
    <row r="36580" hidden="1" x14ac:dyDescent="0.2"/>
    <row r="36581" hidden="1" x14ac:dyDescent="0.2"/>
    <row r="36582" hidden="1" x14ac:dyDescent="0.2"/>
    <row r="36583" hidden="1" x14ac:dyDescent="0.2"/>
    <row r="36584" hidden="1" x14ac:dyDescent="0.2"/>
    <row r="36585" hidden="1" x14ac:dyDescent="0.2"/>
    <row r="36586" hidden="1" x14ac:dyDescent="0.2"/>
    <row r="36587" hidden="1" x14ac:dyDescent="0.2"/>
    <row r="36588" hidden="1" x14ac:dyDescent="0.2"/>
    <row r="36589" hidden="1" x14ac:dyDescent="0.2"/>
    <row r="36590" hidden="1" x14ac:dyDescent="0.2"/>
    <row r="36591" hidden="1" x14ac:dyDescent="0.2"/>
    <row r="36592" hidden="1" x14ac:dyDescent="0.2"/>
    <row r="36593" hidden="1" x14ac:dyDescent="0.2"/>
    <row r="36594" hidden="1" x14ac:dyDescent="0.2"/>
    <row r="36595" hidden="1" x14ac:dyDescent="0.2"/>
    <row r="36596" hidden="1" x14ac:dyDescent="0.2"/>
    <row r="36597" hidden="1" x14ac:dyDescent="0.2"/>
    <row r="36598" hidden="1" x14ac:dyDescent="0.2"/>
    <row r="36599" hidden="1" x14ac:dyDescent="0.2"/>
    <row r="36600" hidden="1" x14ac:dyDescent="0.2"/>
    <row r="36601" hidden="1" x14ac:dyDescent="0.2"/>
    <row r="36602" hidden="1" x14ac:dyDescent="0.2"/>
    <row r="36603" hidden="1" x14ac:dyDescent="0.2"/>
    <row r="36604" hidden="1" x14ac:dyDescent="0.2"/>
    <row r="36605" hidden="1" x14ac:dyDescent="0.2"/>
    <row r="36606" hidden="1" x14ac:dyDescent="0.2"/>
    <row r="36607" hidden="1" x14ac:dyDescent="0.2"/>
    <row r="36608" hidden="1" x14ac:dyDescent="0.2"/>
    <row r="36609" hidden="1" x14ac:dyDescent="0.2"/>
    <row r="36610" hidden="1" x14ac:dyDescent="0.2"/>
    <row r="36611" hidden="1" x14ac:dyDescent="0.2"/>
    <row r="36612" hidden="1" x14ac:dyDescent="0.2"/>
    <row r="36613" hidden="1" x14ac:dyDescent="0.2"/>
    <row r="36614" hidden="1" x14ac:dyDescent="0.2"/>
    <row r="36615" hidden="1" x14ac:dyDescent="0.2"/>
    <row r="36616" hidden="1" x14ac:dyDescent="0.2"/>
    <row r="36617" hidden="1" x14ac:dyDescent="0.2"/>
    <row r="36618" hidden="1" x14ac:dyDescent="0.2"/>
    <row r="36619" hidden="1" x14ac:dyDescent="0.2"/>
    <row r="36620" hidden="1" x14ac:dyDescent="0.2"/>
    <row r="36621" hidden="1" x14ac:dyDescent="0.2"/>
    <row r="36622" hidden="1" x14ac:dyDescent="0.2"/>
    <row r="36623" hidden="1" x14ac:dyDescent="0.2"/>
    <row r="36624" hidden="1" x14ac:dyDescent="0.2"/>
    <row r="36625" hidden="1" x14ac:dyDescent="0.2"/>
    <row r="36626" hidden="1" x14ac:dyDescent="0.2"/>
    <row r="36627" hidden="1" x14ac:dyDescent="0.2"/>
    <row r="36628" hidden="1" x14ac:dyDescent="0.2"/>
    <row r="36629" hidden="1" x14ac:dyDescent="0.2"/>
    <row r="36630" hidden="1" x14ac:dyDescent="0.2"/>
    <row r="36631" hidden="1" x14ac:dyDescent="0.2"/>
    <row r="36632" hidden="1" x14ac:dyDescent="0.2"/>
    <row r="36633" hidden="1" x14ac:dyDescent="0.2"/>
    <row r="36634" hidden="1" x14ac:dyDescent="0.2"/>
    <row r="36635" hidden="1" x14ac:dyDescent="0.2"/>
    <row r="36636" hidden="1" x14ac:dyDescent="0.2"/>
    <row r="36637" hidden="1" x14ac:dyDescent="0.2"/>
    <row r="36638" hidden="1" x14ac:dyDescent="0.2"/>
    <row r="36639" hidden="1" x14ac:dyDescent="0.2"/>
    <row r="36640" hidden="1" x14ac:dyDescent="0.2"/>
    <row r="36641" hidden="1" x14ac:dyDescent="0.2"/>
    <row r="36642" hidden="1" x14ac:dyDescent="0.2"/>
    <row r="36643" hidden="1" x14ac:dyDescent="0.2"/>
    <row r="36644" hidden="1" x14ac:dyDescent="0.2"/>
    <row r="36645" hidden="1" x14ac:dyDescent="0.2"/>
    <row r="36646" hidden="1" x14ac:dyDescent="0.2"/>
    <row r="36647" hidden="1" x14ac:dyDescent="0.2"/>
    <row r="36648" hidden="1" x14ac:dyDescent="0.2"/>
    <row r="36649" hidden="1" x14ac:dyDescent="0.2"/>
    <row r="36650" hidden="1" x14ac:dyDescent="0.2"/>
    <row r="36651" hidden="1" x14ac:dyDescent="0.2"/>
    <row r="36652" hidden="1" x14ac:dyDescent="0.2"/>
    <row r="36653" hidden="1" x14ac:dyDescent="0.2"/>
    <row r="36654" hidden="1" x14ac:dyDescent="0.2"/>
    <row r="36655" hidden="1" x14ac:dyDescent="0.2"/>
    <row r="36656" hidden="1" x14ac:dyDescent="0.2"/>
    <row r="36657" hidden="1" x14ac:dyDescent="0.2"/>
    <row r="36658" hidden="1" x14ac:dyDescent="0.2"/>
    <row r="36659" hidden="1" x14ac:dyDescent="0.2"/>
    <row r="36660" hidden="1" x14ac:dyDescent="0.2"/>
    <row r="36661" hidden="1" x14ac:dyDescent="0.2"/>
    <row r="36662" hidden="1" x14ac:dyDescent="0.2"/>
    <row r="36663" hidden="1" x14ac:dyDescent="0.2"/>
    <row r="36664" hidden="1" x14ac:dyDescent="0.2"/>
    <row r="36665" hidden="1" x14ac:dyDescent="0.2"/>
    <row r="36666" hidden="1" x14ac:dyDescent="0.2"/>
    <row r="36667" hidden="1" x14ac:dyDescent="0.2"/>
    <row r="36668" hidden="1" x14ac:dyDescent="0.2"/>
    <row r="36669" hidden="1" x14ac:dyDescent="0.2"/>
    <row r="36670" hidden="1" x14ac:dyDescent="0.2"/>
    <row r="36671" hidden="1" x14ac:dyDescent="0.2"/>
    <row r="36672" hidden="1" x14ac:dyDescent="0.2"/>
    <row r="36673" hidden="1" x14ac:dyDescent="0.2"/>
    <row r="36674" hidden="1" x14ac:dyDescent="0.2"/>
    <row r="36675" hidden="1" x14ac:dyDescent="0.2"/>
    <row r="36676" hidden="1" x14ac:dyDescent="0.2"/>
    <row r="36677" hidden="1" x14ac:dyDescent="0.2"/>
    <row r="36678" hidden="1" x14ac:dyDescent="0.2"/>
    <row r="36679" hidden="1" x14ac:dyDescent="0.2"/>
    <row r="36680" hidden="1" x14ac:dyDescent="0.2"/>
    <row r="36681" hidden="1" x14ac:dyDescent="0.2"/>
    <row r="36682" hidden="1" x14ac:dyDescent="0.2"/>
    <row r="36683" hidden="1" x14ac:dyDescent="0.2"/>
    <row r="36684" hidden="1" x14ac:dyDescent="0.2"/>
    <row r="36685" hidden="1" x14ac:dyDescent="0.2"/>
    <row r="36686" hidden="1" x14ac:dyDescent="0.2"/>
    <row r="36687" hidden="1" x14ac:dyDescent="0.2"/>
    <row r="36688" hidden="1" x14ac:dyDescent="0.2"/>
    <row r="36689" hidden="1" x14ac:dyDescent="0.2"/>
    <row r="36690" hidden="1" x14ac:dyDescent="0.2"/>
    <row r="36691" hidden="1" x14ac:dyDescent="0.2"/>
    <row r="36692" hidden="1" x14ac:dyDescent="0.2"/>
    <row r="36693" hidden="1" x14ac:dyDescent="0.2"/>
    <row r="36694" hidden="1" x14ac:dyDescent="0.2"/>
    <row r="36695" hidden="1" x14ac:dyDescent="0.2"/>
    <row r="36696" hidden="1" x14ac:dyDescent="0.2"/>
    <row r="36697" hidden="1" x14ac:dyDescent="0.2"/>
    <row r="36698" hidden="1" x14ac:dyDescent="0.2"/>
    <row r="36699" hidden="1" x14ac:dyDescent="0.2"/>
    <row r="36700" hidden="1" x14ac:dyDescent="0.2"/>
    <row r="36701" hidden="1" x14ac:dyDescent="0.2"/>
    <row r="36702" hidden="1" x14ac:dyDescent="0.2"/>
    <row r="36703" hidden="1" x14ac:dyDescent="0.2"/>
    <row r="36704" hidden="1" x14ac:dyDescent="0.2"/>
    <row r="36705" hidden="1" x14ac:dyDescent="0.2"/>
    <row r="36706" hidden="1" x14ac:dyDescent="0.2"/>
    <row r="36707" hidden="1" x14ac:dyDescent="0.2"/>
    <row r="36708" hidden="1" x14ac:dyDescent="0.2"/>
    <row r="36709" hidden="1" x14ac:dyDescent="0.2"/>
    <row r="36710" hidden="1" x14ac:dyDescent="0.2"/>
    <row r="36711" hidden="1" x14ac:dyDescent="0.2"/>
    <row r="36712" hidden="1" x14ac:dyDescent="0.2"/>
    <row r="36713" hidden="1" x14ac:dyDescent="0.2"/>
    <row r="36714" hidden="1" x14ac:dyDescent="0.2"/>
    <row r="36715" hidden="1" x14ac:dyDescent="0.2"/>
    <row r="36716" hidden="1" x14ac:dyDescent="0.2"/>
    <row r="36717" hidden="1" x14ac:dyDescent="0.2"/>
    <row r="36718" hidden="1" x14ac:dyDescent="0.2"/>
    <row r="36719" hidden="1" x14ac:dyDescent="0.2"/>
    <row r="36720" hidden="1" x14ac:dyDescent="0.2"/>
    <row r="36721" hidden="1" x14ac:dyDescent="0.2"/>
    <row r="36722" hidden="1" x14ac:dyDescent="0.2"/>
    <row r="36723" hidden="1" x14ac:dyDescent="0.2"/>
    <row r="36724" hidden="1" x14ac:dyDescent="0.2"/>
    <row r="36725" hidden="1" x14ac:dyDescent="0.2"/>
    <row r="36726" hidden="1" x14ac:dyDescent="0.2"/>
    <row r="36727" hidden="1" x14ac:dyDescent="0.2"/>
    <row r="36728" hidden="1" x14ac:dyDescent="0.2"/>
    <row r="36729" hidden="1" x14ac:dyDescent="0.2"/>
    <row r="36730" hidden="1" x14ac:dyDescent="0.2"/>
    <row r="36731" hidden="1" x14ac:dyDescent="0.2"/>
    <row r="36732" hidden="1" x14ac:dyDescent="0.2"/>
    <row r="36733" hidden="1" x14ac:dyDescent="0.2"/>
    <row r="36734" hidden="1" x14ac:dyDescent="0.2"/>
    <row r="36735" hidden="1" x14ac:dyDescent="0.2"/>
    <row r="36736" hidden="1" x14ac:dyDescent="0.2"/>
    <row r="36737" hidden="1" x14ac:dyDescent="0.2"/>
    <row r="36738" hidden="1" x14ac:dyDescent="0.2"/>
    <row r="36739" hidden="1" x14ac:dyDescent="0.2"/>
    <row r="36740" hidden="1" x14ac:dyDescent="0.2"/>
    <row r="36741" hidden="1" x14ac:dyDescent="0.2"/>
    <row r="36742" hidden="1" x14ac:dyDescent="0.2"/>
    <row r="36743" hidden="1" x14ac:dyDescent="0.2"/>
    <row r="36744" hidden="1" x14ac:dyDescent="0.2"/>
    <row r="36745" hidden="1" x14ac:dyDescent="0.2"/>
    <row r="36746" hidden="1" x14ac:dyDescent="0.2"/>
    <row r="36747" hidden="1" x14ac:dyDescent="0.2"/>
    <row r="36748" hidden="1" x14ac:dyDescent="0.2"/>
    <row r="36749" hidden="1" x14ac:dyDescent="0.2"/>
    <row r="36750" hidden="1" x14ac:dyDescent="0.2"/>
    <row r="36751" hidden="1" x14ac:dyDescent="0.2"/>
    <row r="36752" hidden="1" x14ac:dyDescent="0.2"/>
    <row r="36753" hidden="1" x14ac:dyDescent="0.2"/>
    <row r="36754" hidden="1" x14ac:dyDescent="0.2"/>
    <row r="36755" hidden="1" x14ac:dyDescent="0.2"/>
    <row r="36756" hidden="1" x14ac:dyDescent="0.2"/>
    <row r="36757" hidden="1" x14ac:dyDescent="0.2"/>
    <row r="36758" hidden="1" x14ac:dyDescent="0.2"/>
    <row r="36759" hidden="1" x14ac:dyDescent="0.2"/>
    <row r="36760" hidden="1" x14ac:dyDescent="0.2"/>
    <row r="36761" hidden="1" x14ac:dyDescent="0.2"/>
    <row r="36762" hidden="1" x14ac:dyDescent="0.2"/>
    <row r="36763" hidden="1" x14ac:dyDescent="0.2"/>
    <row r="36764" hidden="1" x14ac:dyDescent="0.2"/>
    <row r="36765" hidden="1" x14ac:dyDescent="0.2"/>
    <row r="36766" hidden="1" x14ac:dyDescent="0.2"/>
    <row r="36767" hidden="1" x14ac:dyDescent="0.2"/>
    <row r="36768" hidden="1" x14ac:dyDescent="0.2"/>
    <row r="36769" hidden="1" x14ac:dyDescent="0.2"/>
    <row r="36770" hidden="1" x14ac:dyDescent="0.2"/>
    <row r="36771" hidden="1" x14ac:dyDescent="0.2"/>
    <row r="36772" hidden="1" x14ac:dyDescent="0.2"/>
    <row r="36773" hidden="1" x14ac:dyDescent="0.2"/>
    <row r="36774" hidden="1" x14ac:dyDescent="0.2"/>
    <row r="36775" hidden="1" x14ac:dyDescent="0.2"/>
    <row r="36776" hidden="1" x14ac:dyDescent="0.2"/>
    <row r="36777" hidden="1" x14ac:dyDescent="0.2"/>
    <row r="36778" hidden="1" x14ac:dyDescent="0.2"/>
    <row r="36779" hidden="1" x14ac:dyDescent="0.2"/>
    <row r="36780" hidden="1" x14ac:dyDescent="0.2"/>
    <row r="36781" hidden="1" x14ac:dyDescent="0.2"/>
    <row r="36782" hidden="1" x14ac:dyDescent="0.2"/>
    <row r="36783" hidden="1" x14ac:dyDescent="0.2"/>
    <row r="36784" hidden="1" x14ac:dyDescent="0.2"/>
    <row r="36785" hidden="1" x14ac:dyDescent="0.2"/>
    <row r="36786" hidden="1" x14ac:dyDescent="0.2"/>
    <row r="36787" hidden="1" x14ac:dyDescent="0.2"/>
    <row r="36788" hidden="1" x14ac:dyDescent="0.2"/>
    <row r="36789" hidden="1" x14ac:dyDescent="0.2"/>
    <row r="36790" hidden="1" x14ac:dyDescent="0.2"/>
    <row r="36791" hidden="1" x14ac:dyDescent="0.2"/>
    <row r="36792" hidden="1" x14ac:dyDescent="0.2"/>
    <row r="36793" hidden="1" x14ac:dyDescent="0.2"/>
    <row r="36794" hidden="1" x14ac:dyDescent="0.2"/>
    <row r="36795" hidden="1" x14ac:dyDescent="0.2"/>
    <row r="36796" hidden="1" x14ac:dyDescent="0.2"/>
    <row r="36797" hidden="1" x14ac:dyDescent="0.2"/>
    <row r="36798" hidden="1" x14ac:dyDescent="0.2"/>
    <row r="36799" hidden="1" x14ac:dyDescent="0.2"/>
    <row r="36800" hidden="1" x14ac:dyDescent="0.2"/>
    <row r="36801" hidden="1" x14ac:dyDescent="0.2"/>
    <row r="36802" hidden="1" x14ac:dyDescent="0.2"/>
    <row r="36803" hidden="1" x14ac:dyDescent="0.2"/>
    <row r="36804" hidden="1" x14ac:dyDescent="0.2"/>
    <row r="36805" hidden="1" x14ac:dyDescent="0.2"/>
    <row r="36806" hidden="1" x14ac:dyDescent="0.2"/>
    <row r="36807" hidden="1" x14ac:dyDescent="0.2"/>
    <row r="36808" hidden="1" x14ac:dyDescent="0.2"/>
    <row r="36809" hidden="1" x14ac:dyDescent="0.2"/>
    <row r="36810" hidden="1" x14ac:dyDescent="0.2"/>
    <row r="36811" hidden="1" x14ac:dyDescent="0.2"/>
    <row r="36812" hidden="1" x14ac:dyDescent="0.2"/>
    <row r="36813" hidden="1" x14ac:dyDescent="0.2"/>
    <row r="36814" hidden="1" x14ac:dyDescent="0.2"/>
    <row r="36815" hidden="1" x14ac:dyDescent="0.2"/>
    <row r="36816" hidden="1" x14ac:dyDescent="0.2"/>
    <row r="36817" hidden="1" x14ac:dyDescent="0.2"/>
    <row r="36818" hidden="1" x14ac:dyDescent="0.2"/>
    <row r="36819" hidden="1" x14ac:dyDescent="0.2"/>
    <row r="36820" hidden="1" x14ac:dyDescent="0.2"/>
    <row r="36821" hidden="1" x14ac:dyDescent="0.2"/>
    <row r="36822" hidden="1" x14ac:dyDescent="0.2"/>
    <row r="36823" hidden="1" x14ac:dyDescent="0.2"/>
    <row r="36824" hidden="1" x14ac:dyDescent="0.2"/>
    <row r="36825" hidden="1" x14ac:dyDescent="0.2"/>
    <row r="36826" hidden="1" x14ac:dyDescent="0.2"/>
    <row r="36827" hidden="1" x14ac:dyDescent="0.2"/>
    <row r="36828" hidden="1" x14ac:dyDescent="0.2"/>
    <row r="36829" hidden="1" x14ac:dyDescent="0.2"/>
    <row r="36830" hidden="1" x14ac:dyDescent="0.2"/>
    <row r="36831" hidden="1" x14ac:dyDescent="0.2"/>
    <row r="36832" hidden="1" x14ac:dyDescent="0.2"/>
    <row r="36833" hidden="1" x14ac:dyDescent="0.2"/>
    <row r="36834" hidden="1" x14ac:dyDescent="0.2"/>
    <row r="36835" hidden="1" x14ac:dyDescent="0.2"/>
    <row r="36836" hidden="1" x14ac:dyDescent="0.2"/>
    <row r="36837" hidden="1" x14ac:dyDescent="0.2"/>
    <row r="36838" hidden="1" x14ac:dyDescent="0.2"/>
    <row r="36839" hidden="1" x14ac:dyDescent="0.2"/>
    <row r="36840" hidden="1" x14ac:dyDescent="0.2"/>
    <row r="36841" hidden="1" x14ac:dyDescent="0.2"/>
    <row r="36842" hidden="1" x14ac:dyDescent="0.2"/>
    <row r="36843" hidden="1" x14ac:dyDescent="0.2"/>
    <row r="36844" hidden="1" x14ac:dyDescent="0.2"/>
    <row r="36845" hidden="1" x14ac:dyDescent="0.2"/>
    <row r="36846" hidden="1" x14ac:dyDescent="0.2"/>
    <row r="36847" hidden="1" x14ac:dyDescent="0.2"/>
    <row r="36848" hidden="1" x14ac:dyDescent="0.2"/>
    <row r="36849" hidden="1" x14ac:dyDescent="0.2"/>
    <row r="36850" hidden="1" x14ac:dyDescent="0.2"/>
    <row r="36851" hidden="1" x14ac:dyDescent="0.2"/>
    <row r="36852" hidden="1" x14ac:dyDescent="0.2"/>
    <row r="36853" hidden="1" x14ac:dyDescent="0.2"/>
    <row r="36854" hidden="1" x14ac:dyDescent="0.2"/>
    <row r="36855" hidden="1" x14ac:dyDescent="0.2"/>
    <row r="36856" hidden="1" x14ac:dyDescent="0.2"/>
    <row r="36857" hidden="1" x14ac:dyDescent="0.2"/>
    <row r="36858" hidden="1" x14ac:dyDescent="0.2"/>
    <row r="36859" hidden="1" x14ac:dyDescent="0.2"/>
    <row r="36860" hidden="1" x14ac:dyDescent="0.2"/>
    <row r="36861" hidden="1" x14ac:dyDescent="0.2"/>
    <row r="36862" hidden="1" x14ac:dyDescent="0.2"/>
    <row r="36863" hidden="1" x14ac:dyDescent="0.2"/>
    <row r="36864" hidden="1" x14ac:dyDescent="0.2"/>
    <row r="36865" hidden="1" x14ac:dyDescent="0.2"/>
    <row r="36866" hidden="1" x14ac:dyDescent="0.2"/>
    <row r="36867" hidden="1" x14ac:dyDescent="0.2"/>
    <row r="36868" hidden="1" x14ac:dyDescent="0.2"/>
    <row r="36869" hidden="1" x14ac:dyDescent="0.2"/>
    <row r="36870" hidden="1" x14ac:dyDescent="0.2"/>
    <row r="36871" hidden="1" x14ac:dyDescent="0.2"/>
    <row r="36872" hidden="1" x14ac:dyDescent="0.2"/>
    <row r="36873" hidden="1" x14ac:dyDescent="0.2"/>
    <row r="36874" hidden="1" x14ac:dyDescent="0.2"/>
    <row r="36875" hidden="1" x14ac:dyDescent="0.2"/>
    <row r="36876" hidden="1" x14ac:dyDescent="0.2"/>
    <row r="36877" hidden="1" x14ac:dyDescent="0.2"/>
    <row r="36878" hidden="1" x14ac:dyDescent="0.2"/>
    <row r="36879" hidden="1" x14ac:dyDescent="0.2"/>
    <row r="36880" hidden="1" x14ac:dyDescent="0.2"/>
    <row r="36881" hidden="1" x14ac:dyDescent="0.2"/>
    <row r="36882" hidden="1" x14ac:dyDescent="0.2"/>
    <row r="36883" hidden="1" x14ac:dyDescent="0.2"/>
    <row r="36884" hidden="1" x14ac:dyDescent="0.2"/>
    <row r="36885" hidden="1" x14ac:dyDescent="0.2"/>
    <row r="36886" hidden="1" x14ac:dyDescent="0.2"/>
    <row r="36887" hidden="1" x14ac:dyDescent="0.2"/>
    <row r="36888" hidden="1" x14ac:dyDescent="0.2"/>
    <row r="36889" hidden="1" x14ac:dyDescent="0.2"/>
    <row r="36890" hidden="1" x14ac:dyDescent="0.2"/>
    <row r="36891" hidden="1" x14ac:dyDescent="0.2"/>
    <row r="36892" hidden="1" x14ac:dyDescent="0.2"/>
    <row r="36893" hidden="1" x14ac:dyDescent="0.2"/>
    <row r="36894" hidden="1" x14ac:dyDescent="0.2"/>
    <row r="36895" hidden="1" x14ac:dyDescent="0.2"/>
    <row r="36896" hidden="1" x14ac:dyDescent="0.2"/>
    <row r="36897" hidden="1" x14ac:dyDescent="0.2"/>
    <row r="36898" hidden="1" x14ac:dyDescent="0.2"/>
    <row r="36899" hidden="1" x14ac:dyDescent="0.2"/>
    <row r="36900" hidden="1" x14ac:dyDescent="0.2"/>
    <row r="36901" hidden="1" x14ac:dyDescent="0.2"/>
    <row r="36902" hidden="1" x14ac:dyDescent="0.2"/>
    <row r="36903" hidden="1" x14ac:dyDescent="0.2"/>
    <row r="36904" hidden="1" x14ac:dyDescent="0.2"/>
    <row r="36905" hidden="1" x14ac:dyDescent="0.2"/>
    <row r="36906" hidden="1" x14ac:dyDescent="0.2"/>
    <row r="36907" hidden="1" x14ac:dyDescent="0.2"/>
    <row r="36908" hidden="1" x14ac:dyDescent="0.2"/>
    <row r="36909" hidden="1" x14ac:dyDescent="0.2"/>
    <row r="36910" hidden="1" x14ac:dyDescent="0.2"/>
    <row r="36911" hidden="1" x14ac:dyDescent="0.2"/>
    <row r="36912" hidden="1" x14ac:dyDescent="0.2"/>
    <row r="36913" hidden="1" x14ac:dyDescent="0.2"/>
    <row r="36914" hidden="1" x14ac:dyDescent="0.2"/>
    <row r="36915" hidden="1" x14ac:dyDescent="0.2"/>
    <row r="36916" hidden="1" x14ac:dyDescent="0.2"/>
    <row r="36917" hidden="1" x14ac:dyDescent="0.2"/>
    <row r="36918" hidden="1" x14ac:dyDescent="0.2"/>
    <row r="36919" hidden="1" x14ac:dyDescent="0.2"/>
    <row r="36920" hidden="1" x14ac:dyDescent="0.2"/>
    <row r="36921" hidden="1" x14ac:dyDescent="0.2"/>
    <row r="36922" hidden="1" x14ac:dyDescent="0.2"/>
    <row r="36923" hidden="1" x14ac:dyDescent="0.2"/>
    <row r="36924" hidden="1" x14ac:dyDescent="0.2"/>
    <row r="36925" hidden="1" x14ac:dyDescent="0.2"/>
    <row r="36926" hidden="1" x14ac:dyDescent="0.2"/>
    <row r="36927" hidden="1" x14ac:dyDescent="0.2"/>
    <row r="36928" hidden="1" x14ac:dyDescent="0.2"/>
    <row r="36929" hidden="1" x14ac:dyDescent="0.2"/>
    <row r="36930" hidden="1" x14ac:dyDescent="0.2"/>
    <row r="36931" hidden="1" x14ac:dyDescent="0.2"/>
    <row r="36932" hidden="1" x14ac:dyDescent="0.2"/>
    <row r="36933" hidden="1" x14ac:dyDescent="0.2"/>
    <row r="36934" hidden="1" x14ac:dyDescent="0.2"/>
    <row r="36935" hidden="1" x14ac:dyDescent="0.2"/>
    <row r="36936" hidden="1" x14ac:dyDescent="0.2"/>
    <row r="36937" hidden="1" x14ac:dyDescent="0.2"/>
    <row r="36938" hidden="1" x14ac:dyDescent="0.2"/>
    <row r="36939" hidden="1" x14ac:dyDescent="0.2"/>
    <row r="36940" hidden="1" x14ac:dyDescent="0.2"/>
    <row r="36941" hidden="1" x14ac:dyDescent="0.2"/>
    <row r="36942" hidden="1" x14ac:dyDescent="0.2"/>
    <row r="36943" hidden="1" x14ac:dyDescent="0.2"/>
    <row r="36944" hidden="1" x14ac:dyDescent="0.2"/>
    <row r="36945" hidden="1" x14ac:dyDescent="0.2"/>
    <row r="36946" hidden="1" x14ac:dyDescent="0.2"/>
    <row r="36947" hidden="1" x14ac:dyDescent="0.2"/>
    <row r="36948" hidden="1" x14ac:dyDescent="0.2"/>
    <row r="36949" hidden="1" x14ac:dyDescent="0.2"/>
    <row r="36950" hidden="1" x14ac:dyDescent="0.2"/>
    <row r="36951" hidden="1" x14ac:dyDescent="0.2"/>
    <row r="36952" hidden="1" x14ac:dyDescent="0.2"/>
    <row r="36953" hidden="1" x14ac:dyDescent="0.2"/>
    <row r="36954" hidden="1" x14ac:dyDescent="0.2"/>
    <row r="36955" hidden="1" x14ac:dyDescent="0.2"/>
    <row r="36956" hidden="1" x14ac:dyDescent="0.2"/>
    <row r="36957" hidden="1" x14ac:dyDescent="0.2"/>
    <row r="36958" hidden="1" x14ac:dyDescent="0.2"/>
    <row r="36959" hidden="1" x14ac:dyDescent="0.2"/>
    <row r="36960" hidden="1" x14ac:dyDescent="0.2"/>
    <row r="36961" hidden="1" x14ac:dyDescent="0.2"/>
    <row r="36962" hidden="1" x14ac:dyDescent="0.2"/>
    <row r="36963" hidden="1" x14ac:dyDescent="0.2"/>
    <row r="36964" hidden="1" x14ac:dyDescent="0.2"/>
    <row r="36965" hidden="1" x14ac:dyDescent="0.2"/>
    <row r="36966" hidden="1" x14ac:dyDescent="0.2"/>
    <row r="36967" hidden="1" x14ac:dyDescent="0.2"/>
    <row r="36968" hidden="1" x14ac:dyDescent="0.2"/>
    <row r="36969" hidden="1" x14ac:dyDescent="0.2"/>
    <row r="36970" hidden="1" x14ac:dyDescent="0.2"/>
    <row r="36971" hidden="1" x14ac:dyDescent="0.2"/>
    <row r="36972" hidden="1" x14ac:dyDescent="0.2"/>
    <row r="36973" hidden="1" x14ac:dyDescent="0.2"/>
    <row r="36974" hidden="1" x14ac:dyDescent="0.2"/>
    <row r="36975" hidden="1" x14ac:dyDescent="0.2"/>
    <row r="36976" hidden="1" x14ac:dyDescent="0.2"/>
    <row r="36977" hidden="1" x14ac:dyDescent="0.2"/>
    <row r="36978" hidden="1" x14ac:dyDescent="0.2"/>
    <row r="36979" hidden="1" x14ac:dyDescent="0.2"/>
    <row r="36980" hidden="1" x14ac:dyDescent="0.2"/>
    <row r="36981" hidden="1" x14ac:dyDescent="0.2"/>
    <row r="36982" hidden="1" x14ac:dyDescent="0.2"/>
    <row r="36983" hidden="1" x14ac:dyDescent="0.2"/>
    <row r="36984" hidden="1" x14ac:dyDescent="0.2"/>
    <row r="36985" hidden="1" x14ac:dyDescent="0.2"/>
    <row r="36986" hidden="1" x14ac:dyDescent="0.2"/>
    <row r="36987" hidden="1" x14ac:dyDescent="0.2"/>
    <row r="36988" hidden="1" x14ac:dyDescent="0.2"/>
    <row r="36989" hidden="1" x14ac:dyDescent="0.2"/>
    <row r="36990" hidden="1" x14ac:dyDescent="0.2"/>
    <row r="36991" hidden="1" x14ac:dyDescent="0.2"/>
    <row r="36992" hidden="1" x14ac:dyDescent="0.2"/>
    <row r="36993" hidden="1" x14ac:dyDescent="0.2"/>
    <row r="36994" hidden="1" x14ac:dyDescent="0.2"/>
    <row r="36995" hidden="1" x14ac:dyDescent="0.2"/>
    <row r="36996" hidden="1" x14ac:dyDescent="0.2"/>
    <row r="36997" hidden="1" x14ac:dyDescent="0.2"/>
    <row r="36998" hidden="1" x14ac:dyDescent="0.2"/>
    <row r="36999" hidden="1" x14ac:dyDescent="0.2"/>
    <row r="37000" hidden="1" x14ac:dyDescent="0.2"/>
    <row r="37001" hidden="1" x14ac:dyDescent="0.2"/>
    <row r="37002" hidden="1" x14ac:dyDescent="0.2"/>
    <row r="37003" hidden="1" x14ac:dyDescent="0.2"/>
    <row r="37004" hidden="1" x14ac:dyDescent="0.2"/>
    <row r="37005" hidden="1" x14ac:dyDescent="0.2"/>
    <row r="37006" hidden="1" x14ac:dyDescent="0.2"/>
    <row r="37007" hidden="1" x14ac:dyDescent="0.2"/>
    <row r="37008" hidden="1" x14ac:dyDescent="0.2"/>
    <row r="37009" hidden="1" x14ac:dyDescent="0.2"/>
    <row r="37010" hidden="1" x14ac:dyDescent="0.2"/>
    <row r="37011" hidden="1" x14ac:dyDescent="0.2"/>
    <row r="37012" hidden="1" x14ac:dyDescent="0.2"/>
    <row r="37013" hidden="1" x14ac:dyDescent="0.2"/>
    <row r="37014" hidden="1" x14ac:dyDescent="0.2"/>
    <row r="37015" hidden="1" x14ac:dyDescent="0.2"/>
    <row r="37016" hidden="1" x14ac:dyDescent="0.2"/>
    <row r="37017" hidden="1" x14ac:dyDescent="0.2"/>
    <row r="37018" hidden="1" x14ac:dyDescent="0.2"/>
    <row r="37019" hidden="1" x14ac:dyDescent="0.2"/>
    <row r="37020" hidden="1" x14ac:dyDescent="0.2"/>
    <row r="37021" hidden="1" x14ac:dyDescent="0.2"/>
    <row r="37022" hidden="1" x14ac:dyDescent="0.2"/>
    <row r="37023" hidden="1" x14ac:dyDescent="0.2"/>
    <row r="37024" hidden="1" x14ac:dyDescent="0.2"/>
    <row r="37025" hidden="1" x14ac:dyDescent="0.2"/>
    <row r="37026" hidden="1" x14ac:dyDescent="0.2"/>
    <row r="37027" hidden="1" x14ac:dyDescent="0.2"/>
    <row r="37028" hidden="1" x14ac:dyDescent="0.2"/>
    <row r="37029" hidden="1" x14ac:dyDescent="0.2"/>
    <row r="37030" hidden="1" x14ac:dyDescent="0.2"/>
    <row r="37031" hidden="1" x14ac:dyDescent="0.2"/>
    <row r="37032" hidden="1" x14ac:dyDescent="0.2"/>
    <row r="37033" hidden="1" x14ac:dyDescent="0.2"/>
    <row r="37034" hidden="1" x14ac:dyDescent="0.2"/>
    <row r="37035" hidden="1" x14ac:dyDescent="0.2"/>
    <row r="37036" hidden="1" x14ac:dyDescent="0.2"/>
    <row r="37037" hidden="1" x14ac:dyDescent="0.2"/>
    <row r="37038" hidden="1" x14ac:dyDescent="0.2"/>
    <row r="37039" hidden="1" x14ac:dyDescent="0.2"/>
    <row r="37040" hidden="1" x14ac:dyDescent="0.2"/>
    <row r="37041" hidden="1" x14ac:dyDescent="0.2"/>
    <row r="37042" hidden="1" x14ac:dyDescent="0.2"/>
    <row r="37043" hidden="1" x14ac:dyDescent="0.2"/>
    <row r="37044" hidden="1" x14ac:dyDescent="0.2"/>
    <row r="37045" hidden="1" x14ac:dyDescent="0.2"/>
    <row r="37046" hidden="1" x14ac:dyDescent="0.2"/>
    <row r="37047" hidden="1" x14ac:dyDescent="0.2"/>
    <row r="37048" hidden="1" x14ac:dyDescent="0.2"/>
    <row r="37049" hidden="1" x14ac:dyDescent="0.2"/>
    <row r="37050" hidden="1" x14ac:dyDescent="0.2"/>
    <row r="37051" hidden="1" x14ac:dyDescent="0.2"/>
    <row r="37052" hidden="1" x14ac:dyDescent="0.2"/>
    <row r="37053" hidden="1" x14ac:dyDescent="0.2"/>
    <row r="37054" hidden="1" x14ac:dyDescent="0.2"/>
    <row r="37055" hidden="1" x14ac:dyDescent="0.2"/>
    <row r="37056" hidden="1" x14ac:dyDescent="0.2"/>
    <row r="37057" hidden="1" x14ac:dyDescent="0.2"/>
    <row r="37058" hidden="1" x14ac:dyDescent="0.2"/>
    <row r="37059" hidden="1" x14ac:dyDescent="0.2"/>
    <row r="37060" hidden="1" x14ac:dyDescent="0.2"/>
    <row r="37061" hidden="1" x14ac:dyDescent="0.2"/>
    <row r="37062" hidden="1" x14ac:dyDescent="0.2"/>
    <row r="37063" hidden="1" x14ac:dyDescent="0.2"/>
    <row r="37064" hidden="1" x14ac:dyDescent="0.2"/>
    <row r="37065" hidden="1" x14ac:dyDescent="0.2"/>
    <row r="37066" hidden="1" x14ac:dyDescent="0.2"/>
    <row r="37067" hidden="1" x14ac:dyDescent="0.2"/>
    <row r="37068" hidden="1" x14ac:dyDescent="0.2"/>
    <row r="37069" hidden="1" x14ac:dyDescent="0.2"/>
    <row r="37070" hidden="1" x14ac:dyDescent="0.2"/>
    <row r="37071" hidden="1" x14ac:dyDescent="0.2"/>
    <row r="37072" hidden="1" x14ac:dyDescent="0.2"/>
    <row r="37073" hidden="1" x14ac:dyDescent="0.2"/>
    <row r="37074" hidden="1" x14ac:dyDescent="0.2"/>
    <row r="37075" hidden="1" x14ac:dyDescent="0.2"/>
    <row r="37076" hidden="1" x14ac:dyDescent="0.2"/>
    <row r="37077" hidden="1" x14ac:dyDescent="0.2"/>
    <row r="37078" hidden="1" x14ac:dyDescent="0.2"/>
    <row r="37079" hidden="1" x14ac:dyDescent="0.2"/>
    <row r="37080" hidden="1" x14ac:dyDescent="0.2"/>
    <row r="37081" hidden="1" x14ac:dyDescent="0.2"/>
    <row r="37082" hidden="1" x14ac:dyDescent="0.2"/>
    <row r="37083" hidden="1" x14ac:dyDescent="0.2"/>
    <row r="37084" hidden="1" x14ac:dyDescent="0.2"/>
    <row r="37085" hidden="1" x14ac:dyDescent="0.2"/>
    <row r="37086" hidden="1" x14ac:dyDescent="0.2"/>
    <row r="37087" hidden="1" x14ac:dyDescent="0.2"/>
    <row r="37088" hidden="1" x14ac:dyDescent="0.2"/>
    <row r="37089" hidden="1" x14ac:dyDescent="0.2"/>
    <row r="37090" hidden="1" x14ac:dyDescent="0.2"/>
    <row r="37091" hidden="1" x14ac:dyDescent="0.2"/>
    <row r="37092" hidden="1" x14ac:dyDescent="0.2"/>
    <row r="37093" hidden="1" x14ac:dyDescent="0.2"/>
    <row r="37094" hidden="1" x14ac:dyDescent="0.2"/>
    <row r="37095" hidden="1" x14ac:dyDescent="0.2"/>
    <row r="37096" hidden="1" x14ac:dyDescent="0.2"/>
    <row r="37097" hidden="1" x14ac:dyDescent="0.2"/>
    <row r="37098" hidden="1" x14ac:dyDescent="0.2"/>
    <row r="37099" hidden="1" x14ac:dyDescent="0.2"/>
    <row r="37100" hidden="1" x14ac:dyDescent="0.2"/>
    <row r="37101" hidden="1" x14ac:dyDescent="0.2"/>
    <row r="37102" hidden="1" x14ac:dyDescent="0.2"/>
    <row r="37103" hidden="1" x14ac:dyDescent="0.2"/>
    <row r="37104" hidden="1" x14ac:dyDescent="0.2"/>
    <row r="37105" hidden="1" x14ac:dyDescent="0.2"/>
    <row r="37106" hidden="1" x14ac:dyDescent="0.2"/>
    <row r="37107" hidden="1" x14ac:dyDescent="0.2"/>
    <row r="37108" hidden="1" x14ac:dyDescent="0.2"/>
    <row r="37109" hidden="1" x14ac:dyDescent="0.2"/>
    <row r="37110" hidden="1" x14ac:dyDescent="0.2"/>
    <row r="37111" hidden="1" x14ac:dyDescent="0.2"/>
    <row r="37112" hidden="1" x14ac:dyDescent="0.2"/>
    <row r="37113" hidden="1" x14ac:dyDescent="0.2"/>
    <row r="37114" hidden="1" x14ac:dyDescent="0.2"/>
    <row r="37115" hidden="1" x14ac:dyDescent="0.2"/>
    <row r="37116" hidden="1" x14ac:dyDescent="0.2"/>
    <row r="37117" hidden="1" x14ac:dyDescent="0.2"/>
    <row r="37118" hidden="1" x14ac:dyDescent="0.2"/>
    <row r="37119" hidden="1" x14ac:dyDescent="0.2"/>
    <row r="37120" hidden="1" x14ac:dyDescent="0.2"/>
    <row r="37121" hidden="1" x14ac:dyDescent="0.2"/>
    <row r="37122" hidden="1" x14ac:dyDescent="0.2"/>
    <row r="37123" hidden="1" x14ac:dyDescent="0.2"/>
    <row r="37124" hidden="1" x14ac:dyDescent="0.2"/>
    <row r="37125" hidden="1" x14ac:dyDescent="0.2"/>
    <row r="37126" hidden="1" x14ac:dyDescent="0.2"/>
    <row r="37127" hidden="1" x14ac:dyDescent="0.2"/>
    <row r="37128" hidden="1" x14ac:dyDescent="0.2"/>
    <row r="37129" hidden="1" x14ac:dyDescent="0.2"/>
    <row r="37130" hidden="1" x14ac:dyDescent="0.2"/>
    <row r="37131" hidden="1" x14ac:dyDescent="0.2"/>
    <row r="37132" hidden="1" x14ac:dyDescent="0.2"/>
    <row r="37133" hidden="1" x14ac:dyDescent="0.2"/>
    <row r="37134" hidden="1" x14ac:dyDescent="0.2"/>
    <row r="37135" hidden="1" x14ac:dyDescent="0.2"/>
    <row r="37136" hidden="1" x14ac:dyDescent="0.2"/>
    <row r="37137" hidden="1" x14ac:dyDescent="0.2"/>
    <row r="37138" hidden="1" x14ac:dyDescent="0.2"/>
    <row r="37139" hidden="1" x14ac:dyDescent="0.2"/>
    <row r="37140" hidden="1" x14ac:dyDescent="0.2"/>
    <row r="37141" hidden="1" x14ac:dyDescent="0.2"/>
    <row r="37142" hidden="1" x14ac:dyDescent="0.2"/>
    <row r="37143" hidden="1" x14ac:dyDescent="0.2"/>
    <row r="37144" hidden="1" x14ac:dyDescent="0.2"/>
    <row r="37145" hidden="1" x14ac:dyDescent="0.2"/>
    <row r="37146" hidden="1" x14ac:dyDescent="0.2"/>
    <row r="37147" hidden="1" x14ac:dyDescent="0.2"/>
    <row r="37148" hidden="1" x14ac:dyDescent="0.2"/>
    <row r="37149" hidden="1" x14ac:dyDescent="0.2"/>
    <row r="37150" hidden="1" x14ac:dyDescent="0.2"/>
    <row r="37151" hidden="1" x14ac:dyDescent="0.2"/>
    <row r="37152" hidden="1" x14ac:dyDescent="0.2"/>
    <row r="37153" hidden="1" x14ac:dyDescent="0.2"/>
    <row r="37154" hidden="1" x14ac:dyDescent="0.2"/>
    <row r="37155" hidden="1" x14ac:dyDescent="0.2"/>
    <row r="37156" hidden="1" x14ac:dyDescent="0.2"/>
    <row r="37157" hidden="1" x14ac:dyDescent="0.2"/>
    <row r="37158" hidden="1" x14ac:dyDescent="0.2"/>
    <row r="37159" hidden="1" x14ac:dyDescent="0.2"/>
    <row r="37160" hidden="1" x14ac:dyDescent="0.2"/>
    <row r="37161" hidden="1" x14ac:dyDescent="0.2"/>
    <row r="37162" hidden="1" x14ac:dyDescent="0.2"/>
    <row r="37163" hidden="1" x14ac:dyDescent="0.2"/>
    <row r="37164" hidden="1" x14ac:dyDescent="0.2"/>
    <row r="37165" hidden="1" x14ac:dyDescent="0.2"/>
    <row r="37166" hidden="1" x14ac:dyDescent="0.2"/>
    <row r="37167" hidden="1" x14ac:dyDescent="0.2"/>
    <row r="37168" hidden="1" x14ac:dyDescent="0.2"/>
    <row r="37169" hidden="1" x14ac:dyDescent="0.2"/>
    <row r="37170" hidden="1" x14ac:dyDescent="0.2"/>
    <row r="37171" hidden="1" x14ac:dyDescent="0.2"/>
    <row r="37172" hidden="1" x14ac:dyDescent="0.2"/>
    <row r="37173" hidden="1" x14ac:dyDescent="0.2"/>
    <row r="37174" hidden="1" x14ac:dyDescent="0.2"/>
    <row r="37175" hidden="1" x14ac:dyDescent="0.2"/>
    <row r="37176" hidden="1" x14ac:dyDescent="0.2"/>
    <row r="37177" hidden="1" x14ac:dyDescent="0.2"/>
    <row r="37178" hidden="1" x14ac:dyDescent="0.2"/>
    <row r="37179" hidden="1" x14ac:dyDescent="0.2"/>
    <row r="37180" hidden="1" x14ac:dyDescent="0.2"/>
    <row r="37181" hidden="1" x14ac:dyDescent="0.2"/>
    <row r="37182" hidden="1" x14ac:dyDescent="0.2"/>
    <row r="37183" hidden="1" x14ac:dyDescent="0.2"/>
    <row r="37184" hidden="1" x14ac:dyDescent="0.2"/>
    <row r="37185" hidden="1" x14ac:dyDescent="0.2"/>
    <row r="37186" hidden="1" x14ac:dyDescent="0.2"/>
    <row r="37187" hidden="1" x14ac:dyDescent="0.2"/>
    <row r="37188" hidden="1" x14ac:dyDescent="0.2"/>
    <row r="37189" hidden="1" x14ac:dyDescent="0.2"/>
    <row r="37190" hidden="1" x14ac:dyDescent="0.2"/>
    <row r="37191" hidden="1" x14ac:dyDescent="0.2"/>
    <row r="37192" hidden="1" x14ac:dyDescent="0.2"/>
    <row r="37193" hidden="1" x14ac:dyDescent="0.2"/>
    <row r="37194" hidden="1" x14ac:dyDescent="0.2"/>
    <row r="37195" hidden="1" x14ac:dyDescent="0.2"/>
    <row r="37196" hidden="1" x14ac:dyDescent="0.2"/>
    <row r="37197" hidden="1" x14ac:dyDescent="0.2"/>
    <row r="37198" hidden="1" x14ac:dyDescent="0.2"/>
    <row r="37199" hidden="1" x14ac:dyDescent="0.2"/>
    <row r="37200" hidden="1" x14ac:dyDescent="0.2"/>
    <row r="37201" hidden="1" x14ac:dyDescent="0.2"/>
    <row r="37202" hidden="1" x14ac:dyDescent="0.2"/>
    <row r="37203" hidden="1" x14ac:dyDescent="0.2"/>
    <row r="37204" hidden="1" x14ac:dyDescent="0.2"/>
    <row r="37205" hidden="1" x14ac:dyDescent="0.2"/>
    <row r="37206" hidden="1" x14ac:dyDescent="0.2"/>
    <row r="37207" hidden="1" x14ac:dyDescent="0.2"/>
    <row r="37208" hidden="1" x14ac:dyDescent="0.2"/>
    <row r="37209" hidden="1" x14ac:dyDescent="0.2"/>
    <row r="37210" hidden="1" x14ac:dyDescent="0.2"/>
    <row r="37211" hidden="1" x14ac:dyDescent="0.2"/>
    <row r="37212" hidden="1" x14ac:dyDescent="0.2"/>
    <row r="37213" hidden="1" x14ac:dyDescent="0.2"/>
    <row r="37214" hidden="1" x14ac:dyDescent="0.2"/>
    <row r="37215" hidden="1" x14ac:dyDescent="0.2"/>
    <row r="37216" hidden="1" x14ac:dyDescent="0.2"/>
    <row r="37217" hidden="1" x14ac:dyDescent="0.2"/>
    <row r="37218" hidden="1" x14ac:dyDescent="0.2"/>
    <row r="37219" hidden="1" x14ac:dyDescent="0.2"/>
    <row r="37220" hidden="1" x14ac:dyDescent="0.2"/>
    <row r="37221" hidden="1" x14ac:dyDescent="0.2"/>
    <row r="37222" hidden="1" x14ac:dyDescent="0.2"/>
    <row r="37223" hidden="1" x14ac:dyDescent="0.2"/>
    <row r="37224" hidden="1" x14ac:dyDescent="0.2"/>
    <row r="37225" hidden="1" x14ac:dyDescent="0.2"/>
    <row r="37226" hidden="1" x14ac:dyDescent="0.2"/>
    <row r="37227" hidden="1" x14ac:dyDescent="0.2"/>
    <row r="37228" hidden="1" x14ac:dyDescent="0.2"/>
    <row r="37229" hidden="1" x14ac:dyDescent="0.2"/>
    <row r="37230" hidden="1" x14ac:dyDescent="0.2"/>
    <row r="37231" hidden="1" x14ac:dyDescent="0.2"/>
    <row r="37232" hidden="1" x14ac:dyDescent="0.2"/>
    <row r="37233" hidden="1" x14ac:dyDescent="0.2"/>
    <row r="37234" hidden="1" x14ac:dyDescent="0.2"/>
    <row r="37235" hidden="1" x14ac:dyDescent="0.2"/>
    <row r="37236" hidden="1" x14ac:dyDescent="0.2"/>
    <row r="37237" hidden="1" x14ac:dyDescent="0.2"/>
    <row r="37238" hidden="1" x14ac:dyDescent="0.2"/>
    <row r="37239" hidden="1" x14ac:dyDescent="0.2"/>
    <row r="37240" hidden="1" x14ac:dyDescent="0.2"/>
    <row r="37241" hidden="1" x14ac:dyDescent="0.2"/>
    <row r="37242" hidden="1" x14ac:dyDescent="0.2"/>
    <row r="37243" hidden="1" x14ac:dyDescent="0.2"/>
    <row r="37244" hidden="1" x14ac:dyDescent="0.2"/>
    <row r="37245" hidden="1" x14ac:dyDescent="0.2"/>
    <row r="37246" hidden="1" x14ac:dyDescent="0.2"/>
    <row r="37247" hidden="1" x14ac:dyDescent="0.2"/>
    <row r="37248" hidden="1" x14ac:dyDescent="0.2"/>
    <row r="37249" hidden="1" x14ac:dyDescent="0.2"/>
    <row r="37250" hidden="1" x14ac:dyDescent="0.2"/>
    <row r="37251" hidden="1" x14ac:dyDescent="0.2"/>
    <row r="37252" hidden="1" x14ac:dyDescent="0.2"/>
    <row r="37253" hidden="1" x14ac:dyDescent="0.2"/>
    <row r="37254" hidden="1" x14ac:dyDescent="0.2"/>
    <row r="37255" hidden="1" x14ac:dyDescent="0.2"/>
    <row r="37256" hidden="1" x14ac:dyDescent="0.2"/>
    <row r="37257" hidden="1" x14ac:dyDescent="0.2"/>
    <row r="37258" hidden="1" x14ac:dyDescent="0.2"/>
    <row r="37259" hidden="1" x14ac:dyDescent="0.2"/>
    <row r="37260" hidden="1" x14ac:dyDescent="0.2"/>
    <row r="37261" hidden="1" x14ac:dyDescent="0.2"/>
    <row r="37262" hidden="1" x14ac:dyDescent="0.2"/>
    <row r="37263" hidden="1" x14ac:dyDescent="0.2"/>
    <row r="37264" hidden="1" x14ac:dyDescent="0.2"/>
    <row r="37265" hidden="1" x14ac:dyDescent="0.2"/>
    <row r="37266" hidden="1" x14ac:dyDescent="0.2"/>
    <row r="37267" hidden="1" x14ac:dyDescent="0.2"/>
    <row r="37268" hidden="1" x14ac:dyDescent="0.2"/>
    <row r="37269" hidden="1" x14ac:dyDescent="0.2"/>
    <row r="37270" hidden="1" x14ac:dyDescent="0.2"/>
    <row r="37271" hidden="1" x14ac:dyDescent="0.2"/>
    <row r="37272" hidden="1" x14ac:dyDescent="0.2"/>
    <row r="37273" hidden="1" x14ac:dyDescent="0.2"/>
    <row r="37274" hidden="1" x14ac:dyDescent="0.2"/>
    <row r="37275" hidden="1" x14ac:dyDescent="0.2"/>
    <row r="37276" hidden="1" x14ac:dyDescent="0.2"/>
    <row r="37277" hidden="1" x14ac:dyDescent="0.2"/>
    <row r="37278" hidden="1" x14ac:dyDescent="0.2"/>
    <row r="37279" hidden="1" x14ac:dyDescent="0.2"/>
    <row r="37280" hidden="1" x14ac:dyDescent="0.2"/>
    <row r="37281" hidden="1" x14ac:dyDescent="0.2"/>
    <row r="37282" hidden="1" x14ac:dyDescent="0.2"/>
    <row r="37283" hidden="1" x14ac:dyDescent="0.2"/>
    <row r="37284" hidden="1" x14ac:dyDescent="0.2"/>
    <row r="37285" hidden="1" x14ac:dyDescent="0.2"/>
    <row r="37286" hidden="1" x14ac:dyDescent="0.2"/>
    <row r="37287" hidden="1" x14ac:dyDescent="0.2"/>
    <row r="37288" hidden="1" x14ac:dyDescent="0.2"/>
    <row r="37289" hidden="1" x14ac:dyDescent="0.2"/>
    <row r="37290" hidden="1" x14ac:dyDescent="0.2"/>
    <row r="37291" hidden="1" x14ac:dyDescent="0.2"/>
    <row r="37292" hidden="1" x14ac:dyDescent="0.2"/>
    <row r="37293" hidden="1" x14ac:dyDescent="0.2"/>
    <row r="37294" hidden="1" x14ac:dyDescent="0.2"/>
    <row r="37295" hidden="1" x14ac:dyDescent="0.2"/>
    <row r="37296" hidden="1" x14ac:dyDescent="0.2"/>
    <row r="37297" hidden="1" x14ac:dyDescent="0.2"/>
    <row r="37298" hidden="1" x14ac:dyDescent="0.2"/>
    <row r="37299" hidden="1" x14ac:dyDescent="0.2"/>
    <row r="37300" hidden="1" x14ac:dyDescent="0.2"/>
    <row r="37301" hidden="1" x14ac:dyDescent="0.2"/>
    <row r="37302" hidden="1" x14ac:dyDescent="0.2"/>
    <row r="37303" hidden="1" x14ac:dyDescent="0.2"/>
    <row r="37304" hidden="1" x14ac:dyDescent="0.2"/>
    <row r="37305" hidden="1" x14ac:dyDescent="0.2"/>
    <row r="37306" hidden="1" x14ac:dyDescent="0.2"/>
    <row r="37307" hidden="1" x14ac:dyDescent="0.2"/>
    <row r="37308" hidden="1" x14ac:dyDescent="0.2"/>
    <row r="37309" hidden="1" x14ac:dyDescent="0.2"/>
    <row r="37310" hidden="1" x14ac:dyDescent="0.2"/>
    <row r="37311" hidden="1" x14ac:dyDescent="0.2"/>
    <row r="37312" hidden="1" x14ac:dyDescent="0.2"/>
    <row r="37313" hidden="1" x14ac:dyDescent="0.2"/>
    <row r="37314" hidden="1" x14ac:dyDescent="0.2"/>
    <row r="37315" hidden="1" x14ac:dyDescent="0.2"/>
    <row r="37316" hidden="1" x14ac:dyDescent="0.2"/>
    <row r="37317" hidden="1" x14ac:dyDescent="0.2"/>
    <row r="37318" hidden="1" x14ac:dyDescent="0.2"/>
    <row r="37319" hidden="1" x14ac:dyDescent="0.2"/>
    <row r="37320" hidden="1" x14ac:dyDescent="0.2"/>
    <row r="37321" hidden="1" x14ac:dyDescent="0.2"/>
    <row r="37322" hidden="1" x14ac:dyDescent="0.2"/>
    <row r="37323" hidden="1" x14ac:dyDescent="0.2"/>
    <row r="37324" hidden="1" x14ac:dyDescent="0.2"/>
    <row r="37325" hidden="1" x14ac:dyDescent="0.2"/>
    <row r="37326" hidden="1" x14ac:dyDescent="0.2"/>
    <row r="37327" hidden="1" x14ac:dyDescent="0.2"/>
    <row r="37328" hidden="1" x14ac:dyDescent="0.2"/>
    <row r="37329" hidden="1" x14ac:dyDescent="0.2"/>
    <row r="37330" hidden="1" x14ac:dyDescent="0.2"/>
    <row r="37331" hidden="1" x14ac:dyDescent="0.2"/>
    <row r="37332" hidden="1" x14ac:dyDescent="0.2"/>
    <row r="37333" hidden="1" x14ac:dyDescent="0.2"/>
    <row r="37334" hidden="1" x14ac:dyDescent="0.2"/>
    <row r="37335" hidden="1" x14ac:dyDescent="0.2"/>
    <row r="37336" hidden="1" x14ac:dyDescent="0.2"/>
    <row r="37337" hidden="1" x14ac:dyDescent="0.2"/>
    <row r="37338" hidden="1" x14ac:dyDescent="0.2"/>
    <row r="37339" hidden="1" x14ac:dyDescent="0.2"/>
    <row r="37340" hidden="1" x14ac:dyDescent="0.2"/>
    <row r="37341" hidden="1" x14ac:dyDescent="0.2"/>
    <row r="37342" hidden="1" x14ac:dyDescent="0.2"/>
    <row r="37343" hidden="1" x14ac:dyDescent="0.2"/>
    <row r="37344" hidden="1" x14ac:dyDescent="0.2"/>
    <row r="37345" hidden="1" x14ac:dyDescent="0.2"/>
    <row r="37346" hidden="1" x14ac:dyDescent="0.2"/>
    <row r="37347" hidden="1" x14ac:dyDescent="0.2"/>
    <row r="37348" hidden="1" x14ac:dyDescent="0.2"/>
    <row r="37349" hidden="1" x14ac:dyDescent="0.2"/>
    <row r="37350" hidden="1" x14ac:dyDescent="0.2"/>
    <row r="37351" hidden="1" x14ac:dyDescent="0.2"/>
    <row r="37352" hidden="1" x14ac:dyDescent="0.2"/>
    <row r="37353" hidden="1" x14ac:dyDescent="0.2"/>
    <row r="37354" hidden="1" x14ac:dyDescent="0.2"/>
    <row r="37355" hidden="1" x14ac:dyDescent="0.2"/>
    <row r="37356" hidden="1" x14ac:dyDescent="0.2"/>
    <row r="37357" hidden="1" x14ac:dyDescent="0.2"/>
    <row r="37358" hidden="1" x14ac:dyDescent="0.2"/>
    <row r="37359" hidden="1" x14ac:dyDescent="0.2"/>
    <row r="37360" hidden="1" x14ac:dyDescent="0.2"/>
    <row r="37361" hidden="1" x14ac:dyDescent="0.2"/>
    <row r="37362" hidden="1" x14ac:dyDescent="0.2"/>
    <row r="37363" hidden="1" x14ac:dyDescent="0.2"/>
    <row r="37364" hidden="1" x14ac:dyDescent="0.2"/>
    <row r="37365" hidden="1" x14ac:dyDescent="0.2"/>
    <row r="37366" hidden="1" x14ac:dyDescent="0.2"/>
    <row r="37367" hidden="1" x14ac:dyDescent="0.2"/>
    <row r="37368" hidden="1" x14ac:dyDescent="0.2"/>
    <row r="37369" hidden="1" x14ac:dyDescent="0.2"/>
    <row r="37370" hidden="1" x14ac:dyDescent="0.2"/>
    <row r="37371" hidden="1" x14ac:dyDescent="0.2"/>
    <row r="37372" hidden="1" x14ac:dyDescent="0.2"/>
    <row r="37373" hidden="1" x14ac:dyDescent="0.2"/>
    <row r="37374" hidden="1" x14ac:dyDescent="0.2"/>
    <row r="37375" hidden="1" x14ac:dyDescent="0.2"/>
    <row r="37376" hidden="1" x14ac:dyDescent="0.2"/>
    <row r="37377" hidden="1" x14ac:dyDescent="0.2"/>
    <row r="37378" hidden="1" x14ac:dyDescent="0.2"/>
    <row r="37379" hidden="1" x14ac:dyDescent="0.2"/>
    <row r="37380" hidden="1" x14ac:dyDescent="0.2"/>
    <row r="37381" hidden="1" x14ac:dyDescent="0.2"/>
    <row r="37382" hidden="1" x14ac:dyDescent="0.2"/>
    <row r="37383" hidden="1" x14ac:dyDescent="0.2"/>
    <row r="37384" hidden="1" x14ac:dyDescent="0.2"/>
    <row r="37385" hidden="1" x14ac:dyDescent="0.2"/>
    <row r="37386" hidden="1" x14ac:dyDescent="0.2"/>
    <row r="37387" hidden="1" x14ac:dyDescent="0.2"/>
    <row r="37388" hidden="1" x14ac:dyDescent="0.2"/>
    <row r="37389" hidden="1" x14ac:dyDescent="0.2"/>
    <row r="37390" hidden="1" x14ac:dyDescent="0.2"/>
    <row r="37391" hidden="1" x14ac:dyDescent="0.2"/>
    <row r="37392" hidden="1" x14ac:dyDescent="0.2"/>
    <row r="37393" hidden="1" x14ac:dyDescent="0.2"/>
    <row r="37394" hidden="1" x14ac:dyDescent="0.2"/>
    <row r="37395" hidden="1" x14ac:dyDescent="0.2"/>
    <row r="37396" hidden="1" x14ac:dyDescent="0.2"/>
    <row r="37397" hidden="1" x14ac:dyDescent="0.2"/>
    <row r="37398" hidden="1" x14ac:dyDescent="0.2"/>
    <row r="37399" hidden="1" x14ac:dyDescent="0.2"/>
    <row r="37400" hidden="1" x14ac:dyDescent="0.2"/>
    <row r="37401" hidden="1" x14ac:dyDescent="0.2"/>
    <row r="37402" hidden="1" x14ac:dyDescent="0.2"/>
    <row r="37403" hidden="1" x14ac:dyDescent="0.2"/>
    <row r="37404" hidden="1" x14ac:dyDescent="0.2"/>
    <row r="37405" hidden="1" x14ac:dyDescent="0.2"/>
    <row r="37406" hidden="1" x14ac:dyDescent="0.2"/>
    <row r="37407" hidden="1" x14ac:dyDescent="0.2"/>
    <row r="37408" hidden="1" x14ac:dyDescent="0.2"/>
    <row r="37409" hidden="1" x14ac:dyDescent="0.2"/>
    <row r="37410" hidden="1" x14ac:dyDescent="0.2"/>
    <row r="37411" hidden="1" x14ac:dyDescent="0.2"/>
    <row r="37412" hidden="1" x14ac:dyDescent="0.2"/>
    <row r="37413" hidden="1" x14ac:dyDescent="0.2"/>
    <row r="37414" hidden="1" x14ac:dyDescent="0.2"/>
    <row r="37415" hidden="1" x14ac:dyDescent="0.2"/>
    <row r="37416" hidden="1" x14ac:dyDescent="0.2"/>
    <row r="37417" hidden="1" x14ac:dyDescent="0.2"/>
    <row r="37418" hidden="1" x14ac:dyDescent="0.2"/>
    <row r="37419" hidden="1" x14ac:dyDescent="0.2"/>
    <row r="37420" hidden="1" x14ac:dyDescent="0.2"/>
    <row r="37421" hidden="1" x14ac:dyDescent="0.2"/>
    <row r="37422" hidden="1" x14ac:dyDescent="0.2"/>
    <row r="37423" hidden="1" x14ac:dyDescent="0.2"/>
    <row r="37424" hidden="1" x14ac:dyDescent="0.2"/>
    <row r="37425" hidden="1" x14ac:dyDescent="0.2"/>
    <row r="37426" hidden="1" x14ac:dyDescent="0.2"/>
    <row r="37427" hidden="1" x14ac:dyDescent="0.2"/>
    <row r="37428" hidden="1" x14ac:dyDescent="0.2"/>
    <row r="37429" hidden="1" x14ac:dyDescent="0.2"/>
    <row r="37430" hidden="1" x14ac:dyDescent="0.2"/>
    <row r="37431" hidden="1" x14ac:dyDescent="0.2"/>
    <row r="37432" hidden="1" x14ac:dyDescent="0.2"/>
    <row r="37433" hidden="1" x14ac:dyDescent="0.2"/>
    <row r="37434" hidden="1" x14ac:dyDescent="0.2"/>
    <row r="37435" hidden="1" x14ac:dyDescent="0.2"/>
    <row r="37436" hidden="1" x14ac:dyDescent="0.2"/>
    <row r="37437" hidden="1" x14ac:dyDescent="0.2"/>
    <row r="37438" hidden="1" x14ac:dyDescent="0.2"/>
    <row r="37439" hidden="1" x14ac:dyDescent="0.2"/>
    <row r="37440" hidden="1" x14ac:dyDescent="0.2"/>
    <row r="37441" hidden="1" x14ac:dyDescent="0.2"/>
    <row r="37442" hidden="1" x14ac:dyDescent="0.2"/>
    <row r="37443" hidden="1" x14ac:dyDescent="0.2"/>
    <row r="37444" hidden="1" x14ac:dyDescent="0.2"/>
    <row r="37445" hidden="1" x14ac:dyDescent="0.2"/>
    <row r="37446" hidden="1" x14ac:dyDescent="0.2"/>
    <row r="37447" hidden="1" x14ac:dyDescent="0.2"/>
    <row r="37448" hidden="1" x14ac:dyDescent="0.2"/>
    <row r="37449" hidden="1" x14ac:dyDescent="0.2"/>
    <row r="37450" hidden="1" x14ac:dyDescent="0.2"/>
    <row r="37451" hidden="1" x14ac:dyDescent="0.2"/>
    <row r="37452" hidden="1" x14ac:dyDescent="0.2"/>
    <row r="37453" hidden="1" x14ac:dyDescent="0.2"/>
    <row r="37454" hidden="1" x14ac:dyDescent="0.2"/>
    <row r="37455" hidden="1" x14ac:dyDescent="0.2"/>
    <row r="37456" hidden="1" x14ac:dyDescent="0.2"/>
    <row r="37457" hidden="1" x14ac:dyDescent="0.2"/>
    <row r="37458" hidden="1" x14ac:dyDescent="0.2"/>
    <row r="37459" hidden="1" x14ac:dyDescent="0.2"/>
    <row r="37460" hidden="1" x14ac:dyDescent="0.2"/>
    <row r="37461" hidden="1" x14ac:dyDescent="0.2"/>
    <row r="37462" hidden="1" x14ac:dyDescent="0.2"/>
    <row r="37463" hidden="1" x14ac:dyDescent="0.2"/>
    <row r="37464" hidden="1" x14ac:dyDescent="0.2"/>
    <row r="37465" hidden="1" x14ac:dyDescent="0.2"/>
    <row r="37466" hidden="1" x14ac:dyDescent="0.2"/>
    <row r="37467" hidden="1" x14ac:dyDescent="0.2"/>
    <row r="37468" hidden="1" x14ac:dyDescent="0.2"/>
    <row r="37469" hidden="1" x14ac:dyDescent="0.2"/>
    <row r="37470" hidden="1" x14ac:dyDescent="0.2"/>
    <row r="37471" hidden="1" x14ac:dyDescent="0.2"/>
    <row r="37472" hidden="1" x14ac:dyDescent="0.2"/>
    <row r="37473" hidden="1" x14ac:dyDescent="0.2"/>
    <row r="37474" hidden="1" x14ac:dyDescent="0.2"/>
    <row r="37475" hidden="1" x14ac:dyDescent="0.2"/>
    <row r="37476" hidden="1" x14ac:dyDescent="0.2"/>
    <row r="37477" hidden="1" x14ac:dyDescent="0.2"/>
    <row r="37478" hidden="1" x14ac:dyDescent="0.2"/>
    <row r="37479" hidden="1" x14ac:dyDescent="0.2"/>
    <row r="37480" hidden="1" x14ac:dyDescent="0.2"/>
    <row r="37481" hidden="1" x14ac:dyDescent="0.2"/>
    <row r="37482" hidden="1" x14ac:dyDescent="0.2"/>
    <row r="37483" hidden="1" x14ac:dyDescent="0.2"/>
    <row r="37484" hidden="1" x14ac:dyDescent="0.2"/>
    <row r="37485" hidden="1" x14ac:dyDescent="0.2"/>
    <row r="37486" hidden="1" x14ac:dyDescent="0.2"/>
    <row r="37487" hidden="1" x14ac:dyDescent="0.2"/>
    <row r="37488" hidden="1" x14ac:dyDescent="0.2"/>
    <row r="37489" hidden="1" x14ac:dyDescent="0.2"/>
    <row r="37490" hidden="1" x14ac:dyDescent="0.2"/>
    <row r="37491" hidden="1" x14ac:dyDescent="0.2"/>
    <row r="37492" hidden="1" x14ac:dyDescent="0.2"/>
    <row r="37493" hidden="1" x14ac:dyDescent="0.2"/>
    <row r="37494" hidden="1" x14ac:dyDescent="0.2"/>
    <row r="37495" hidden="1" x14ac:dyDescent="0.2"/>
    <row r="37496" hidden="1" x14ac:dyDescent="0.2"/>
    <row r="37497" hidden="1" x14ac:dyDescent="0.2"/>
    <row r="37498" hidden="1" x14ac:dyDescent="0.2"/>
    <row r="37499" hidden="1" x14ac:dyDescent="0.2"/>
    <row r="37500" hidden="1" x14ac:dyDescent="0.2"/>
    <row r="37501" hidden="1" x14ac:dyDescent="0.2"/>
    <row r="37502" hidden="1" x14ac:dyDescent="0.2"/>
    <row r="37503" hidden="1" x14ac:dyDescent="0.2"/>
    <row r="37504" hidden="1" x14ac:dyDescent="0.2"/>
    <row r="37505" hidden="1" x14ac:dyDescent="0.2"/>
    <row r="37506" hidden="1" x14ac:dyDescent="0.2"/>
    <row r="37507" hidden="1" x14ac:dyDescent="0.2"/>
    <row r="37508" hidden="1" x14ac:dyDescent="0.2"/>
    <row r="37509" hidden="1" x14ac:dyDescent="0.2"/>
    <row r="37510" hidden="1" x14ac:dyDescent="0.2"/>
    <row r="37511" hidden="1" x14ac:dyDescent="0.2"/>
    <row r="37512" hidden="1" x14ac:dyDescent="0.2"/>
    <row r="37513" hidden="1" x14ac:dyDescent="0.2"/>
    <row r="37514" hidden="1" x14ac:dyDescent="0.2"/>
    <row r="37515" hidden="1" x14ac:dyDescent="0.2"/>
    <row r="37516" hidden="1" x14ac:dyDescent="0.2"/>
    <row r="37517" hidden="1" x14ac:dyDescent="0.2"/>
    <row r="37518" hidden="1" x14ac:dyDescent="0.2"/>
    <row r="37519" hidden="1" x14ac:dyDescent="0.2"/>
    <row r="37520" hidden="1" x14ac:dyDescent="0.2"/>
    <row r="37521" hidden="1" x14ac:dyDescent="0.2"/>
    <row r="37522" hidden="1" x14ac:dyDescent="0.2"/>
    <row r="37523" hidden="1" x14ac:dyDescent="0.2"/>
    <row r="37524" hidden="1" x14ac:dyDescent="0.2"/>
    <row r="37525" hidden="1" x14ac:dyDescent="0.2"/>
    <row r="37526" hidden="1" x14ac:dyDescent="0.2"/>
    <row r="37527" hidden="1" x14ac:dyDescent="0.2"/>
    <row r="37528" hidden="1" x14ac:dyDescent="0.2"/>
    <row r="37529" hidden="1" x14ac:dyDescent="0.2"/>
    <row r="37530" hidden="1" x14ac:dyDescent="0.2"/>
    <row r="37531" hidden="1" x14ac:dyDescent="0.2"/>
    <row r="37532" hidden="1" x14ac:dyDescent="0.2"/>
    <row r="37533" hidden="1" x14ac:dyDescent="0.2"/>
    <row r="37534" hidden="1" x14ac:dyDescent="0.2"/>
    <row r="37535" hidden="1" x14ac:dyDescent="0.2"/>
    <row r="37536" hidden="1" x14ac:dyDescent="0.2"/>
    <row r="37537" hidden="1" x14ac:dyDescent="0.2"/>
    <row r="37538" hidden="1" x14ac:dyDescent="0.2"/>
    <row r="37539" hidden="1" x14ac:dyDescent="0.2"/>
    <row r="37540" hidden="1" x14ac:dyDescent="0.2"/>
    <row r="37541" hidden="1" x14ac:dyDescent="0.2"/>
    <row r="37542" hidden="1" x14ac:dyDescent="0.2"/>
    <row r="37543" hidden="1" x14ac:dyDescent="0.2"/>
    <row r="37544" hidden="1" x14ac:dyDescent="0.2"/>
    <row r="37545" hidden="1" x14ac:dyDescent="0.2"/>
    <row r="37546" hidden="1" x14ac:dyDescent="0.2"/>
    <row r="37547" hidden="1" x14ac:dyDescent="0.2"/>
    <row r="37548" hidden="1" x14ac:dyDescent="0.2"/>
    <row r="37549" hidden="1" x14ac:dyDescent="0.2"/>
    <row r="37550" hidden="1" x14ac:dyDescent="0.2"/>
    <row r="37551" hidden="1" x14ac:dyDescent="0.2"/>
    <row r="37552" hidden="1" x14ac:dyDescent="0.2"/>
    <row r="37553" hidden="1" x14ac:dyDescent="0.2"/>
    <row r="37554" hidden="1" x14ac:dyDescent="0.2"/>
    <row r="37555" hidden="1" x14ac:dyDescent="0.2"/>
    <row r="37556" hidden="1" x14ac:dyDescent="0.2"/>
    <row r="37557" hidden="1" x14ac:dyDescent="0.2"/>
    <row r="37558" hidden="1" x14ac:dyDescent="0.2"/>
    <row r="37559" hidden="1" x14ac:dyDescent="0.2"/>
    <row r="37560" hidden="1" x14ac:dyDescent="0.2"/>
    <row r="37561" hidden="1" x14ac:dyDescent="0.2"/>
    <row r="37562" hidden="1" x14ac:dyDescent="0.2"/>
    <row r="37563" hidden="1" x14ac:dyDescent="0.2"/>
    <row r="37564" hidden="1" x14ac:dyDescent="0.2"/>
    <row r="37565" hidden="1" x14ac:dyDescent="0.2"/>
    <row r="37566" hidden="1" x14ac:dyDescent="0.2"/>
    <row r="37567" hidden="1" x14ac:dyDescent="0.2"/>
    <row r="37568" hidden="1" x14ac:dyDescent="0.2"/>
    <row r="37569" hidden="1" x14ac:dyDescent="0.2"/>
    <row r="37570" hidden="1" x14ac:dyDescent="0.2"/>
    <row r="37571" hidden="1" x14ac:dyDescent="0.2"/>
    <row r="37572" hidden="1" x14ac:dyDescent="0.2"/>
    <row r="37573" hidden="1" x14ac:dyDescent="0.2"/>
    <row r="37574" hidden="1" x14ac:dyDescent="0.2"/>
    <row r="37575" hidden="1" x14ac:dyDescent="0.2"/>
    <row r="37576" hidden="1" x14ac:dyDescent="0.2"/>
    <row r="37577" hidden="1" x14ac:dyDescent="0.2"/>
    <row r="37578" hidden="1" x14ac:dyDescent="0.2"/>
    <row r="37579" hidden="1" x14ac:dyDescent="0.2"/>
    <row r="37580" hidden="1" x14ac:dyDescent="0.2"/>
    <row r="37581" hidden="1" x14ac:dyDescent="0.2"/>
    <row r="37582" hidden="1" x14ac:dyDescent="0.2"/>
    <row r="37583" hidden="1" x14ac:dyDescent="0.2"/>
    <row r="37584" hidden="1" x14ac:dyDescent="0.2"/>
    <row r="37585" hidden="1" x14ac:dyDescent="0.2"/>
    <row r="37586" hidden="1" x14ac:dyDescent="0.2"/>
    <row r="37587" hidden="1" x14ac:dyDescent="0.2"/>
    <row r="37588" hidden="1" x14ac:dyDescent="0.2"/>
    <row r="37589" hidden="1" x14ac:dyDescent="0.2"/>
    <row r="37590" hidden="1" x14ac:dyDescent="0.2"/>
    <row r="37591" hidden="1" x14ac:dyDescent="0.2"/>
    <row r="37592" hidden="1" x14ac:dyDescent="0.2"/>
    <row r="37593" hidden="1" x14ac:dyDescent="0.2"/>
    <row r="37594" hidden="1" x14ac:dyDescent="0.2"/>
    <row r="37595" hidden="1" x14ac:dyDescent="0.2"/>
    <row r="37596" hidden="1" x14ac:dyDescent="0.2"/>
    <row r="37597" hidden="1" x14ac:dyDescent="0.2"/>
    <row r="37598" hidden="1" x14ac:dyDescent="0.2"/>
    <row r="37599" hidden="1" x14ac:dyDescent="0.2"/>
    <row r="37600" hidden="1" x14ac:dyDescent="0.2"/>
    <row r="37601" hidden="1" x14ac:dyDescent="0.2"/>
    <row r="37602" hidden="1" x14ac:dyDescent="0.2"/>
    <row r="37603" hidden="1" x14ac:dyDescent="0.2"/>
    <row r="37604" hidden="1" x14ac:dyDescent="0.2"/>
    <row r="37605" hidden="1" x14ac:dyDescent="0.2"/>
    <row r="37606" hidden="1" x14ac:dyDescent="0.2"/>
    <row r="37607" hidden="1" x14ac:dyDescent="0.2"/>
    <row r="37608" hidden="1" x14ac:dyDescent="0.2"/>
    <row r="37609" hidden="1" x14ac:dyDescent="0.2"/>
    <row r="37610" hidden="1" x14ac:dyDescent="0.2"/>
    <row r="37611" hidden="1" x14ac:dyDescent="0.2"/>
    <row r="37612" hidden="1" x14ac:dyDescent="0.2"/>
    <row r="37613" hidden="1" x14ac:dyDescent="0.2"/>
    <row r="37614" hidden="1" x14ac:dyDescent="0.2"/>
    <row r="37615" hidden="1" x14ac:dyDescent="0.2"/>
    <row r="37616" hidden="1" x14ac:dyDescent="0.2"/>
    <row r="37617" hidden="1" x14ac:dyDescent="0.2"/>
    <row r="37618" hidden="1" x14ac:dyDescent="0.2"/>
    <row r="37619" hidden="1" x14ac:dyDescent="0.2"/>
    <row r="37620" hidden="1" x14ac:dyDescent="0.2"/>
    <row r="37621" hidden="1" x14ac:dyDescent="0.2"/>
    <row r="37622" hidden="1" x14ac:dyDescent="0.2"/>
    <row r="37623" hidden="1" x14ac:dyDescent="0.2"/>
    <row r="37624" hidden="1" x14ac:dyDescent="0.2"/>
    <row r="37625" hidden="1" x14ac:dyDescent="0.2"/>
    <row r="37626" hidden="1" x14ac:dyDescent="0.2"/>
    <row r="37627" hidden="1" x14ac:dyDescent="0.2"/>
    <row r="37628" hidden="1" x14ac:dyDescent="0.2"/>
    <row r="37629" hidden="1" x14ac:dyDescent="0.2"/>
    <row r="37630" hidden="1" x14ac:dyDescent="0.2"/>
    <row r="37631" hidden="1" x14ac:dyDescent="0.2"/>
    <row r="37632" hidden="1" x14ac:dyDescent="0.2"/>
    <row r="37633" hidden="1" x14ac:dyDescent="0.2"/>
    <row r="37634" hidden="1" x14ac:dyDescent="0.2"/>
    <row r="37635" hidden="1" x14ac:dyDescent="0.2"/>
    <row r="37636" hidden="1" x14ac:dyDescent="0.2"/>
    <row r="37637" hidden="1" x14ac:dyDescent="0.2"/>
    <row r="37638" hidden="1" x14ac:dyDescent="0.2"/>
    <row r="37639" hidden="1" x14ac:dyDescent="0.2"/>
    <row r="37640" hidden="1" x14ac:dyDescent="0.2"/>
    <row r="37641" hidden="1" x14ac:dyDescent="0.2"/>
    <row r="37642" hidden="1" x14ac:dyDescent="0.2"/>
    <row r="37643" hidden="1" x14ac:dyDescent="0.2"/>
    <row r="37644" hidden="1" x14ac:dyDescent="0.2"/>
    <row r="37645" hidden="1" x14ac:dyDescent="0.2"/>
    <row r="37646" hidden="1" x14ac:dyDescent="0.2"/>
    <row r="37647" hidden="1" x14ac:dyDescent="0.2"/>
    <row r="37648" hidden="1" x14ac:dyDescent="0.2"/>
    <row r="37649" hidden="1" x14ac:dyDescent="0.2"/>
    <row r="37650" hidden="1" x14ac:dyDescent="0.2"/>
    <row r="37651" hidden="1" x14ac:dyDescent="0.2"/>
    <row r="37652" hidden="1" x14ac:dyDescent="0.2"/>
    <row r="37653" hidden="1" x14ac:dyDescent="0.2"/>
    <row r="37654" hidden="1" x14ac:dyDescent="0.2"/>
    <row r="37655" hidden="1" x14ac:dyDescent="0.2"/>
    <row r="37656" hidden="1" x14ac:dyDescent="0.2"/>
    <row r="37657" hidden="1" x14ac:dyDescent="0.2"/>
    <row r="37658" hidden="1" x14ac:dyDescent="0.2"/>
    <row r="37659" hidden="1" x14ac:dyDescent="0.2"/>
    <row r="37660" hidden="1" x14ac:dyDescent="0.2"/>
    <row r="37661" hidden="1" x14ac:dyDescent="0.2"/>
    <row r="37662" hidden="1" x14ac:dyDescent="0.2"/>
    <row r="37663" hidden="1" x14ac:dyDescent="0.2"/>
    <row r="37664" hidden="1" x14ac:dyDescent="0.2"/>
    <row r="37665" hidden="1" x14ac:dyDescent="0.2"/>
    <row r="37666" hidden="1" x14ac:dyDescent="0.2"/>
    <row r="37667" hidden="1" x14ac:dyDescent="0.2"/>
    <row r="37668" hidden="1" x14ac:dyDescent="0.2"/>
    <row r="37669" hidden="1" x14ac:dyDescent="0.2"/>
    <row r="37670" hidden="1" x14ac:dyDescent="0.2"/>
    <row r="37671" hidden="1" x14ac:dyDescent="0.2"/>
    <row r="37672" hidden="1" x14ac:dyDescent="0.2"/>
    <row r="37673" hidden="1" x14ac:dyDescent="0.2"/>
    <row r="37674" hidden="1" x14ac:dyDescent="0.2"/>
    <row r="37675" hidden="1" x14ac:dyDescent="0.2"/>
    <row r="37676" hidden="1" x14ac:dyDescent="0.2"/>
    <row r="37677" hidden="1" x14ac:dyDescent="0.2"/>
    <row r="37678" hidden="1" x14ac:dyDescent="0.2"/>
    <row r="37679" hidden="1" x14ac:dyDescent="0.2"/>
    <row r="37680" hidden="1" x14ac:dyDescent="0.2"/>
    <row r="37681" hidden="1" x14ac:dyDescent="0.2"/>
    <row r="37682" hidden="1" x14ac:dyDescent="0.2"/>
    <row r="37683" hidden="1" x14ac:dyDescent="0.2"/>
    <row r="37684" hidden="1" x14ac:dyDescent="0.2"/>
    <row r="37685" hidden="1" x14ac:dyDescent="0.2"/>
    <row r="37686" hidden="1" x14ac:dyDescent="0.2"/>
    <row r="37687" hidden="1" x14ac:dyDescent="0.2"/>
    <row r="37688" hidden="1" x14ac:dyDescent="0.2"/>
    <row r="37689" hidden="1" x14ac:dyDescent="0.2"/>
    <row r="37690" hidden="1" x14ac:dyDescent="0.2"/>
    <row r="37691" hidden="1" x14ac:dyDescent="0.2"/>
    <row r="37692" hidden="1" x14ac:dyDescent="0.2"/>
    <row r="37693" hidden="1" x14ac:dyDescent="0.2"/>
    <row r="37694" hidden="1" x14ac:dyDescent="0.2"/>
    <row r="37695" hidden="1" x14ac:dyDescent="0.2"/>
    <row r="37696" hidden="1" x14ac:dyDescent="0.2"/>
    <row r="37697" hidden="1" x14ac:dyDescent="0.2"/>
    <row r="37698" hidden="1" x14ac:dyDescent="0.2"/>
    <row r="37699" hidden="1" x14ac:dyDescent="0.2"/>
    <row r="37700" hidden="1" x14ac:dyDescent="0.2"/>
    <row r="37701" hidden="1" x14ac:dyDescent="0.2"/>
    <row r="37702" hidden="1" x14ac:dyDescent="0.2"/>
    <row r="37703" hidden="1" x14ac:dyDescent="0.2"/>
    <row r="37704" hidden="1" x14ac:dyDescent="0.2"/>
    <row r="37705" hidden="1" x14ac:dyDescent="0.2"/>
    <row r="37706" hidden="1" x14ac:dyDescent="0.2"/>
    <row r="37707" hidden="1" x14ac:dyDescent="0.2"/>
    <row r="37708" hidden="1" x14ac:dyDescent="0.2"/>
    <row r="37709" hidden="1" x14ac:dyDescent="0.2"/>
    <row r="37710" hidden="1" x14ac:dyDescent="0.2"/>
    <row r="37711" hidden="1" x14ac:dyDescent="0.2"/>
    <row r="37712" hidden="1" x14ac:dyDescent="0.2"/>
    <row r="37713" hidden="1" x14ac:dyDescent="0.2"/>
    <row r="37714" hidden="1" x14ac:dyDescent="0.2"/>
    <row r="37715" hidden="1" x14ac:dyDescent="0.2"/>
    <row r="37716" hidden="1" x14ac:dyDescent="0.2"/>
    <row r="37717" hidden="1" x14ac:dyDescent="0.2"/>
    <row r="37718" hidden="1" x14ac:dyDescent="0.2"/>
    <row r="37719" hidden="1" x14ac:dyDescent="0.2"/>
    <row r="37720" hidden="1" x14ac:dyDescent="0.2"/>
    <row r="37721" hidden="1" x14ac:dyDescent="0.2"/>
    <row r="37722" hidden="1" x14ac:dyDescent="0.2"/>
    <row r="37723" hidden="1" x14ac:dyDescent="0.2"/>
    <row r="37724" hidden="1" x14ac:dyDescent="0.2"/>
    <row r="37725" hidden="1" x14ac:dyDescent="0.2"/>
    <row r="37726" hidden="1" x14ac:dyDescent="0.2"/>
    <row r="37727" hidden="1" x14ac:dyDescent="0.2"/>
    <row r="37728" hidden="1" x14ac:dyDescent="0.2"/>
    <row r="37729" hidden="1" x14ac:dyDescent="0.2"/>
    <row r="37730" hidden="1" x14ac:dyDescent="0.2"/>
    <row r="37731" hidden="1" x14ac:dyDescent="0.2"/>
    <row r="37732" hidden="1" x14ac:dyDescent="0.2"/>
    <row r="37733" hidden="1" x14ac:dyDescent="0.2"/>
    <row r="37734" hidden="1" x14ac:dyDescent="0.2"/>
    <row r="37735" hidden="1" x14ac:dyDescent="0.2"/>
    <row r="37736" hidden="1" x14ac:dyDescent="0.2"/>
    <row r="37737" hidden="1" x14ac:dyDescent="0.2"/>
    <row r="37738" hidden="1" x14ac:dyDescent="0.2"/>
    <row r="37739" hidden="1" x14ac:dyDescent="0.2"/>
    <row r="37740" hidden="1" x14ac:dyDescent="0.2"/>
    <row r="37741" hidden="1" x14ac:dyDescent="0.2"/>
    <row r="37742" hidden="1" x14ac:dyDescent="0.2"/>
    <row r="37743" hidden="1" x14ac:dyDescent="0.2"/>
    <row r="37744" hidden="1" x14ac:dyDescent="0.2"/>
    <row r="37745" hidden="1" x14ac:dyDescent="0.2"/>
    <row r="37746" hidden="1" x14ac:dyDescent="0.2"/>
    <row r="37747" hidden="1" x14ac:dyDescent="0.2"/>
    <row r="37748" hidden="1" x14ac:dyDescent="0.2"/>
    <row r="37749" hidden="1" x14ac:dyDescent="0.2"/>
    <row r="37750" hidden="1" x14ac:dyDescent="0.2"/>
    <row r="37751" hidden="1" x14ac:dyDescent="0.2"/>
    <row r="37752" hidden="1" x14ac:dyDescent="0.2"/>
    <row r="37753" hidden="1" x14ac:dyDescent="0.2"/>
    <row r="37754" hidden="1" x14ac:dyDescent="0.2"/>
    <row r="37755" hidden="1" x14ac:dyDescent="0.2"/>
    <row r="37756" hidden="1" x14ac:dyDescent="0.2"/>
    <row r="37757" hidden="1" x14ac:dyDescent="0.2"/>
    <row r="37758" hidden="1" x14ac:dyDescent="0.2"/>
    <row r="37759" hidden="1" x14ac:dyDescent="0.2"/>
    <row r="37760" hidden="1" x14ac:dyDescent="0.2"/>
    <row r="37761" hidden="1" x14ac:dyDescent="0.2"/>
    <row r="37762" hidden="1" x14ac:dyDescent="0.2"/>
    <row r="37763" hidden="1" x14ac:dyDescent="0.2"/>
    <row r="37764" hidden="1" x14ac:dyDescent="0.2"/>
    <row r="37765" hidden="1" x14ac:dyDescent="0.2"/>
    <row r="37766" hidden="1" x14ac:dyDescent="0.2"/>
    <row r="37767" hidden="1" x14ac:dyDescent="0.2"/>
    <row r="37768" hidden="1" x14ac:dyDescent="0.2"/>
    <row r="37769" hidden="1" x14ac:dyDescent="0.2"/>
    <row r="37770" hidden="1" x14ac:dyDescent="0.2"/>
    <row r="37771" hidden="1" x14ac:dyDescent="0.2"/>
    <row r="37772" hidden="1" x14ac:dyDescent="0.2"/>
    <row r="37773" hidden="1" x14ac:dyDescent="0.2"/>
    <row r="37774" hidden="1" x14ac:dyDescent="0.2"/>
    <row r="37775" hidden="1" x14ac:dyDescent="0.2"/>
    <row r="37776" hidden="1" x14ac:dyDescent="0.2"/>
    <row r="37777" hidden="1" x14ac:dyDescent="0.2"/>
    <row r="37778" hidden="1" x14ac:dyDescent="0.2"/>
    <row r="37779" hidden="1" x14ac:dyDescent="0.2"/>
    <row r="37780" hidden="1" x14ac:dyDescent="0.2"/>
    <row r="37781" hidden="1" x14ac:dyDescent="0.2"/>
    <row r="37782" hidden="1" x14ac:dyDescent="0.2"/>
    <row r="37783" hidden="1" x14ac:dyDescent="0.2"/>
    <row r="37784" hidden="1" x14ac:dyDescent="0.2"/>
    <row r="37785" hidden="1" x14ac:dyDescent="0.2"/>
    <row r="37786" hidden="1" x14ac:dyDescent="0.2"/>
    <row r="37787" hidden="1" x14ac:dyDescent="0.2"/>
    <row r="37788" hidden="1" x14ac:dyDescent="0.2"/>
    <row r="37789" hidden="1" x14ac:dyDescent="0.2"/>
    <row r="37790" hidden="1" x14ac:dyDescent="0.2"/>
    <row r="37791" hidden="1" x14ac:dyDescent="0.2"/>
    <row r="37792" hidden="1" x14ac:dyDescent="0.2"/>
    <row r="37793" hidden="1" x14ac:dyDescent="0.2"/>
    <row r="37794" hidden="1" x14ac:dyDescent="0.2"/>
    <row r="37795" hidden="1" x14ac:dyDescent="0.2"/>
    <row r="37796" hidden="1" x14ac:dyDescent="0.2"/>
    <row r="37797" hidden="1" x14ac:dyDescent="0.2"/>
    <row r="37798" hidden="1" x14ac:dyDescent="0.2"/>
    <row r="37799" hidden="1" x14ac:dyDescent="0.2"/>
    <row r="37800" hidden="1" x14ac:dyDescent="0.2"/>
    <row r="37801" hidden="1" x14ac:dyDescent="0.2"/>
    <row r="37802" hidden="1" x14ac:dyDescent="0.2"/>
    <row r="37803" hidden="1" x14ac:dyDescent="0.2"/>
    <row r="37804" hidden="1" x14ac:dyDescent="0.2"/>
    <row r="37805" hidden="1" x14ac:dyDescent="0.2"/>
    <row r="37806" hidden="1" x14ac:dyDescent="0.2"/>
    <row r="37807" hidden="1" x14ac:dyDescent="0.2"/>
    <row r="37808" hidden="1" x14ac:dyDescent="0.2"/>
    <row r="37809" hidden="1" x14ac:dyDescent="0.2"/>
    <row r="37810" hidden="1" x14ac:dyDescent="0.2"/>
    <row r="37811" hidden="1" x14ac:dyDescent="0.2"/>
    <row r="37812" hidden="1" x14ac:dyDescent="0.2"/>
    <row r="37813" hidden="1" x14ac:dyDescent="0.2"/>
    <row r="37814" hidden="1" x14ac:dyDescent="0.2"/>
    <row r="37815" hidden="1" x14ac:dyDescent="0.2"/>
    <row r="37816" hidden="1" x14ac:dyDescent="0.2"/>
    <row r="37817" hidden="1" x14ac:dyDescent="0.2"/>
    <row r="37818" hidden="1" x14ac:dyDescent="0.2"/>
    <row r="37819" hidden="1" x14ac:dyDescent="0.2"/>
    <row r="37820" hidden="1" x14ac:dyDescent="0.2"/>
    <row r="37821" hidden="1" x14ac:dyDescent="0.2"/>
    <row r="37822" hidden="1" x14ac:dyDescent="0.2"/>
    <row r="37823" hidden="1" x14ac:dyDescent="0.2"/>
    <row r="37824" hidden="1" x14ac:dyDescent="0.2"/>
    <row r="37825" hidden="1" x14ac:dyDescent="0.2"/>
    <row r="37826" hidden="1" x14ac:dyDescent="0.2"/>
    <row r="37827" hidden="1" x14ac:dyDescent="0.2"/>
    <row r="37828" hidden="1" x14ac:dyDescent="0.2"/>
    <row r="37829" hidden="1" x14ac:dyDescent="0.2"/>
    <row r="37830" hidden="1" x14ac:dyDescent="0.2"/>
    <row r="37831" hidden="1" x14ac:dyDescent="0.2"/>
    <row r="37832" hidden="1" x14ac:dyDescent="0.2"/>
    <row r="37833" hidden="1" x14ac:dyDescent="0.2"/>
    <row r="37834" hidden="1" x14ac:dyDescent="0.2"/>
    <row r="37835" hidden="1" x14ac:dyDescent="0.2"/>
    <row r="37836" hidden="1" x14ac:dyDescent="0.2"/>
    <row r="37837" hidden="1" x14ac:dyDescent="0.2"/>
    <row r="37838" hidden="1" x14ac:dyDescent="0.2"/>
    <row r="37839" hidden="1" x14ac:dyDescent="0.2"/>
    <row r="37840" hidden="1" x14ac:dyDescent="0.2"/>
    <row r="37841" hidden="1" x14ac:dyDescent="0.2"/>
    <row r="37842" hidden="1" x14ac:dyDescent="0.2"/>
    <row r="37843" hidden="1" x14ac:dyDescent="0.2"/>
    <row r="37844" hidden="1" x14ac:dyDescent="0.2"/>
    <row r="37845" hidden="1" x14ac:dyDescent="0.2"/>
    <row r="37846" hidden="1" x14ac:dyDescent="0.2"/>
    <row r="37847" hidden="1" x14ac:dyDescent="0.2"/>
    <row r="37848" hidden="1" x14ac:dyDescent="0.2"/>
    <row r="37849" hidden="1" x14ac:dyDescent="0.2"/>
    <row r="37850" hidden="1" x14ac:dyDescent="0.2"/>
    <row r="37851" hidden="1" x14ac:dyDescent="0.2"/>
    <row r="37852" hidden="1" x14ac:dyDescent="0.2"/>
    <row r="37853" hidden="1" x14ac:dyDescent="0.2"/>
    <row r="37854" hidden="1" x14ac:dyDescent="0.2"/>
    <row r="37855" hidden="1" x14ac:dyDescent="0.2"/>
    <row r="37856" hidden="1" x14ac:dyDescent="0.2"/>
    <row r="37857" hidden="1" x14ac:dyDescent="0.2"/>
    <row r="37858" hidden="1" x14ac:dyDescent="0.2"/>
    <row r="37859" hidden="1" x14ac:dyDescent="0.2"/>
    <row r="37860" hidden="1" x14ac:dyDescent="0.2"/>
    <row r="37861" hidden="1" x14ac:dyDescent="0.2"/>
    <row r="37862" hidden="1" x14ac:dyDescent="0.2"/>
    <row r="37863" hidden="1" x14ac:dyDescent="0.2"/>
    <row r="37864" hidden="1" x14ac:dyDescent="0.2"/>
    <row r="37865" hidden="1" x14ac:dyDescent="0.2"/>
    <row r="37866" hidden="1" x14ac:dyDescent="0.2"/>
    <row r="37867" hidden="1" x14ac:dyDescent="0.2"/>
    <row r="37868" hidden="1" x14ac:dyDescent="0.2"/>
    <row r="37869" hidden="1" x14ac:dyDescent="0.2"/>
    <row r="37870" hidden="1" x14ac:dyDescent="0.2"/>
    <row r="37871" hidden="1" x14ac:dyDescent="0.2"/>
    <row r="37872" hidden="1" x14ac:dyDescent="0.2"/>
    <row r="37873" hidden="1" x14ac:dyDescent="0.2"/>
    <row r="37874" hidden="1" x14ac:dyDescent="0.2"/>
    <row r="37875" hidden="1" x14ac:dyDescent="0.2"/>
    <row r="37876" hidden="1" x14ac:dyDescent="0.2"/>
    <row r="37877" hidden="1" x14ac:dyDescent="0.2"/>
    <row r="37878" hidden="1" x14ac:dyDescent="0.2"/>
    <row r="37879" hidden="1" x14ac:dyDescent="0.2"/>
    <row r="37880" hidden="1" x14ac:dyDescent="0.2"/>
    <row r="37881" hidden="1" x14ac:dyDescent="0.2"/>
    <row r="37882" hidden="1" x14ac:dyDescent="0.2"/>
    <row r="37883" hidden="1" x14ac:dyDescent="0.2"/>
    <row r="37884" hidden="1" x14ac:dyDescent="0.2"/>
    <row r="37885" hidden="1" x14ac:dyDescent="0.2"/>
    <row r="37886" hidden="1" x14ac:dyDescent="0.2"/>
    <row r="37887" hidden="1" x14ac:dyDescent="0.2"/>
    <row r="37888" hidden="1" x14ac:dyDescent="0.2"/>
    <row r="37889" hidden="1" x14ac:dyDescent="0.2"/>
    <row r="37890" hidden="1" x14ac:dyDescent="0.2"/>
    <row r="37891" hidden="1" x14ac:dyDescent="0.2"/>
    <row r="37892" hidden="1" x14ac:dyDescent="0.2"/>
    <row r="37893" hidden="1" x14ac:dyDescent="0.2"/>
    <row r="37894" hidden="1" x14ac:dyDescent="0.2"/>
    <row r="37895" hidden="1" x14ac:dyDescent="0.2"/>
    <row r="37896" hidden="1" x14ac:dyDescent="0.2"/>
    <row r="37897" hidden="1" x14ac:dyDescent="0.2"/>
    <row r="37898" hidden="1" x14ac:dyDescent="0.2"/>
    <row r="37899" hidden="1" x14ac:dyDescent="0.2"/>
    <row r="37900" hidden="1" x14ac:dyDescent="0.2"/>
    <row r="37901" hidden="1" x14ac:dyDescent="0.2"/>
    <row r="37902" hidden="1" x14ac:dyDescent="0.2"/>
    <row r="37903" hidden="1" x14ac:dyDescent="0.2"/>
    <row r="37904" hidden="1" x14ac:dyDescent="0.2"/>
    <row r="37905" hidden="1" x14ac:dyDescent="0.2"/>
    <row r="37906" hidden="1" x14ac:dyDescent="0.2"/>
    <row r="37907" hidden="1" x14ac:dyDescent="0.2"/>
    <row r="37908" hidden="1" x14ac:dyDescent="0.2"/>
    <row r="37909" hidden="1" x14ac:dyDescent="0.2"/>
    <row r="37910" hidden="1" x14ac:dyDescent="0.2"/>
    <row r="37911" hidden="1" x14ac:dyDescent="0.2"/>
    <row r="37912" hidden="1" x14ac:dyDescent="0.2"/>
    <row r="37913" hidden="1" x14ac:dyDescent="0.2"/>
    <row r="37914" hidden="1" x14ac:dyDescent="0.2"/>
    <row r="37915" hidden="1" x14ac:dyDescent="0.2"/>
    <row r="37916" hidden="1" x14ac:dyDescent="0.2"/>
    <row r="37917" hidden="1" x14ac:dyDescent="0.2"/>
    <row r="37918" hidden="1" x14ac:dyDescent="0.2"/>
    <row r="37919" hidden="1" x14ac:dyDescent="0.2"/>
    <row r="37920" hidden="1" x14ac:dyDescent="0.2"/>
    <row r="37921" hidden="1" x14ac:dyDescent="0.2"/>
    <row r="37922" hidden="1" x14ac:dyDescent="0.2"/>
    <row r="37923" hidden="1" x14ac:dyDescent="0.2"/>
    <row r="37924" hidden="1" x14ac:dyDescent="0.2"/>
    <row r="37925" hidden="1" x14ac:dyDescent="0.2"/>
    <row r="37926" hidden="1" x14ac:dyDescent="0.2"/>
    <row r="37927" hidden="1" x14ac:dyDescent="0.2"/>
    <row r="37928" hidden="1" x14ac:dyDescent="0.2"/>
    <row r="37929" hidden="1" x14ac:dyDescent="0.2"/>
    <row r="37930" hidden="1" x14ac:dyDescent="0.2"/>
    <row r="37931" hidden="1" x14ac:dyDescent="0.2"/>
    <row r="37932" hidden="1" x14ac:dyDescent="0.2"/>
    <row r="37933" hidden="1" x14ac:dyDescent="0.2"/>
    <row r="37934" hidden="1" x14ac:dyDescent="0.2"/>
    <row r="37935" hidden="1" x14ac:dyDescent="0.2"/>
    <row r="37936" hidden="1" x14ac:dyDescent="0.2"/>
    <row r="37937" hidden="1" x14ac:dyDescent="0.2"/>
    <row r="37938" hidden="1" x14ac:dyDescent="0.2"/>
    <row r="37939" hidden="1" x14ac:dyDescent="0.2"/>
    <row r="37940" hidden="1" x14ac:dyDescent="0.2"/>
    <row r="37941" hidden="1" x14ac:dyDescent="0.2"/>
    <row r="37942" hidden="1" x14ac:dyDescent="0.2"/>
    <row r="37943" hidden="1" x14ac:dyDescent="0.2"/>
    <row r="37944" hidden="1" x14ac:dyDescent="0.2"/>
    <row r="37945" hidden="1" x14ac:dyDescent="0.2"/>
    <row r="37946" hidden="1" x14ac:dyDescent="0.2"/>
    <row r="37947" hidden="1" x14ac:dyDescent="0.2"/>
    <row r="37948" hidden="1" x14ac:dyDescent="0.2"/>
    <row r="37949" hidden="1" x14ac:dyDescent="0.2"/>
    <row r="37950" hidden="1" x14ac:dyDescent="0.2"/>
    <row r="37951" hidden="1" x14ac:dyDescent="0.2"/>
    <row r="37952" hidden="1" x14ac:dyDescent="0.2"/>
    <row r="37953" hidden="1" x14ac:dyDescent="0.2"/>
    <row r="37954" hidden="1" x14ac:dyDescent="0.2"/>
    <row r="37955" hidden="1" x14ac:dyDescent="0.2"/>
    <row r="37956" hidden="1" x14ac:dyDescent="0.2"/>
    <row r="37957" hidden="1" x14ac:dyDescent="0.2"/>
    <row r="37958" hidden="1" x14ac:dyDescent="0.2"/>
    <row r="37959" hidden="1" x14ac:dyDescent="0.2"/>
    <row r="37960" hidden="1" x14ac:dyDescent="0.2"/>
    <row r="37961" hidden="1" x14ac:dyDescent="0.2"/>
    <row r="37962" hidden="1" x14ac:dyDescent="0.2"/>
    <row r="37963" hidden="1" x14ac:dyDescent="0.2"/>
    <row r="37964" hidden="1" x14ac:dyDescent="0.2"/>
    <row r="37965" hidden="1" x14ac:dyDescent="0.2"/>
    <row r="37966" hidden="1" x14ac:dyDescent="0.2"/>
    <row r="37967" hidden="1" x14ac:dyDescent="0.2"/>
    <row r="37968" hidden="1" x14ac:dyDescent="0.2"/>
    <row r="37969" hidden="1" x14ac:dyDescent="0.2"/>
    <row r="37970" hidden="1" x14ac:dyDescent="0.2"/>
    <row r="37971" hidden="1" x14ac:dyDescent="0.2"/>
    <row r="37972" hidden="1" x14ac:dyDescent="0.2"/>
    <row r="37973" hidden="1" x14ac:dyDescent="0.2"/>
    <row r="37974" hidden="1" x14ac:dyDescent="0.2"/>
    <row r="37975" hidden="1" x14ac:dyDescent="0.2"/>
    <row r="37976" hidden="1" x14ac:dyDescent="0.2"/>
    <row r="37977" hidden="1" x14ac:dyDescent="0.2"/>
    <row r="37978" hidden="1" x14ac:dyDescent="0.2"/>
    <row r="37979" hidden="1" x14ac:dyDescent="0.2"/>
    <row r="37980" hidden="1" x14ac:dyDescent="0.2"/>
    <row r="37981" hidden="1" x14ac:dyDescent="0.2"/>
    <row r="37982" hidden="1" x14ac:dyDescent="0.2"/>
    <row r="37983" hidden="1" x14ac:dyDescent="0.2"/>
    <row r="37984" hidden="1" x14ac:dyDescent="0.2"/>
    <row r="37985" hidden="1" x14ac:dyDescent="0.2"/>
    <row r="37986" hidden="1" x14ac:dyDescent="0.2"/>
    <row r="37987" hidden="1" x14ac:dyDescent="0.2"/>
    <row r="37988" hidden="1" x14ac:dyDescent="0.2"/>
    <row r="37989" hidden="1" x14ac:dyDescent="0.2"/>
    <row r="37990" hidden="1" x14ac:dyDescent="0.2"/>
    <row r="37991" hidden="1" x14ac:dyDescent="0.2"/>
    <row r="37992" hidden="1" x14ac:dyDescent="0.2"/>
    <row r="37993" hidden="1" x14ac:dyDescent="0.2"/>
    <row r="37994" hidden="1" x14ac:dyDescent="0.2"/>
    <row r="37995" hidden="1" x14ac:dyDescent="0.2"/>
    <row r="37996" hidden="1" x14ac:dyDescent="0.2"/>
    <row r="37997" hidden="1" x14ac:dyDescent="0.2"/>
    <row r="37998" hidden="1" x14ac:dyDescent="0.2"/>
    <row r="37999" hidden="1" x14ac:dyDescent="0.2"/>
    <row r="38000" hidden="1" x14ac:dyDescent="0.2"/>
    <row r="38001" hidden="1" x14ac:dyDescent="0.2"/>
    <row r="38002" hidden="1" x14ac:dyDescent="0.2"/>
    <row r="38003" hidden="1" x14ac:dyDescent="0.2"/>
    <row r="38004" hidden="1" x14ac:dyDescent="0.2"/>
    <row r="38005" hidden="1" x14ac:dyDescent="0.2"/>
    <row r="38006" hidden="1" x14ac:dyDescent="0.2"/>
    <row r="38007" hidden="1" x14ac:dyDescent="0.2"/>
    <row r="38008" hidden="1" x14ac:dyDescent="0.2"/>
    <row r="38009" hidden="1" x14ac:dyDescent="0.2"/>
    <row r="38010" hidden="1" x14ac:dyDescent="0.2"/>
    <row r="38011" hidden="1" x14ac:dyDescent="0.2"/>
    <row r="38012" hidden="1" x14ac:dyDescent="0.2"/>
    <row r="38013" hidden="1" x14ac:dyDescent="0.2"/>
    <row r="38014" hidden="1" x14ac:dyDescent="0.2"/>
    <row r="38015" hidden="1" x14ac:dyDescent="0.2"/>
    <row r="38016" hidden="1" x14ac:dyDescent="0.2"/>
    <row r="38017" hidden="1" x14ac:dyDescent="0.2"/>
    <row r="38018" hidden="1" x14ac:dyDescent="0.2"/>
    <row r="38019" hidden="1" x14ac:dyDescent="0.2"/>
    <row r="38020" hidden="1" x14ac:dyDescent="0.2"/>
    <row r="38021" hidden="1" x14ac:dyDescent="0.2"/>
    <row r="38022" hidden="1" x14ac:dyDescent="0.2"/>
    <row r="38023" hidden="1" x14ac:dyDescent="0.2"/>
    <row r="38024" hidden="1" x14ac:dyDescent="0.2"/>
    <row r="38025" hidden="1" x14ac:dyDescent="0.2"/>
    <row r="38026" hidden="1" x14ac:dyDescent="0.2"/>
    <row r="38027" hidden="1" x14ac:dyDescent="0.2"/>
    <row r="38028" hidden="1" x14ac:dyDescent="0.2"/>
    <row r="38029" hidden="1" x14ac:dyDescent="0.2"/>
    <row r="38030" hidden="1" x14ac:dyDescent="0.2"/>
    <row r="38031" hidden="1" x14ac:dyDescent="0.2"/>
    <row r="38032" hidden="1" x14ac:dyDescent="0.2"/>
    <row r="38033" hidden="1" x14ac:dyDescent="0.2"/>
    <row r="38034" hidden="1" x14ac:dyDescent="0.2"/>
    <row r="38035" hidden="1" x14ac:dyDescent="0.2"/>
    <row r="38036" hidden="1" x14ac:dyDescent="0.2"/>
    <row r="38037" hidden="1" x14ac:dyDescent="0.2"/>
    <row r="38038" hidden="1" x14ac:dyDescent="0.2"/>
    <row r="38039" hidden="1" x14ac:dyDescent="0.2"/>
    <row r="38040" hidden="1" x14ac:dyDescent="0.2"/>
    <row r="38041" hidden="1" x14ac:dyDescent="0.2"/>
    <row r="38042" hidden="1" x14ac:dyDescent="0.2"/>
    <row r="38043" hidden="1" x14ac:dyDescent="0.2"/>
    <row r="38044" hidden="1" x14ac:dyDescent="0.2"/>
    <row r="38045" hidden="1" x14ac:dyDescent="0.2"/>
    <row r="38046" hidden="1" x14ac:dyDescent="0.2"/>
    <row r="38047" hidden="1" x14ac:dyDescent="0.2"/>
    <row r="38048" hidden="1" x14ac:dyDescent="0.2"/>
    <row r="38049" hidden="1" x14ac:dyDescent="0.2"/>
    <row r="38050" hidden="1" x14ac:dyDescent="0.2"/>
    <row r="38051" hidden="1" x14ac:dyDescent="0.2"/>
    <row r="38052" hidden="1" x14ac:dyDescent="0.2"/>
    <row r="38053" hidden="1" x14ac:dyDescent="0.2"/>
    <row r="38054" hidden="1" x14ac:dyDescent="0.2"/>
    <row r="38055" hidden="1" x14ac:dyDescent="0.2"/>
    <row r="38056" hidden="1" x14ac:dyDescent="0.2"/>
    <row r="38057" hidden="1" x14ac:dyDescent="0.2"/>
    <row r="38058" hidden="1" x14ac:dyDescent="0.2"/>
    <row r="38059" hidden="1" x14ac:dyDescent="0.2"/>
    <row r="38060" hidden="1" x14ac:dyDescent="0.2"/>
    <row r="38061" hidden="1" x14ac:dyDescent="0.2"/>
    <row r="38062" hidden="1" x14ac:dyDescent="0.2"/>
    <row r="38063" hidden="1" x14ac:dyDescent="0.2"/>
    <row r="38064" hidden="1" x14ac:dyDescent="0.2"/>
    <row r="38065" hidden="1" x14ac:dyDescent="0.2"/>
    <row r="38066" hidden="1" x14ac:dyDescent="0.2"/>
    <row r="38067" hidden="1" x14ac:dyDescent="0.2"/>
    <row r="38068" hidden="1" x14ac:dyDescent="0.2"/>
    <row r="38069" hidden="1" x14ac:dyDescent="0.2"/>
    <row r="38070" hidden="1" x14ac:dyDescent="0.2"/>
    <row r="38071" hidden="1" x14ac:dyDescent="0.2"/>
    <row r="38072" hidden="1" x14ac:dyDescent="0.2"/>
    <row r="38073" hidden="1" x14ac:dyDescent="0.2"/>
    <row r="38074" hidden="1" x14ac:dyDescent="0.2"/>
    <row r="38075" hidden="1" x14ac:dyDescent="0.2"/>
    <row r="38076" hidden="1" x14ac:dyDescent="0.2"/>
    <row r="38077" hidden="1" x14ac:dyDescent="0.2"/>
    <row r="38078" hidden="1" x14ac:dyDescent="0.2"/>
    <row r="38079" hidden="1" x14ac:dyDescent="0.2"/>
    <row r="38080" hidden="1" x14ac:dyDescent="0.2"/>
    <row r="38081" hidden="1" x14ac:dyDescent="0.2"/>
    <row r="38082" hidden="1" x14ac:dyDescent="0.2"/>
    <row r="38083" hidden="1" x14ac:dyDescent="0.2"/>
    <row r="38084" hidden="1" x14ac:dyDescent="0.2"/>
    <row r="38085" hidden="1" x14ac:dyDescent="0.2"/>
    <row r="38086" hidden="1" x14ac:dyDescent="0.2"/>
    <row r="38087" hidden="1" x14ac:dyDescent="0.2"/>
    <row r="38088" hidden="1" x14ac:dyDescent="0.2"/>
    <row r="38089" hidden="1" x14ac:dyDescent="0.2"/>
    <row r="38090" hidden="1" x14ac:dyDescent="0.2"/>
    <row r="38091" hidden="1" x14ac:dyDescent="0.2"/>
    <row r="38092" hidden="1" x14ac:dyDescent="0.2"/>
    <row r="38093" hidden="1" x14ac:dyDescent="0.2"/>
    <row r="38094" hidden="1" x14ac:dyDescent="0.2"/>
    <row r="38095" hidden="1" x14ac:dyDescent="0.2"/>
    <row r="38096" hidden="1" x14ac:dyDescent="0.2"/>
    <row r="38097" hidden="1" x14ac:dyDescent="0.2"/>
    <row r="38098" hidden="1" x14ac:dyDescent="0.2"/>
    <row r="38099" hidden="1" x14ac:dyDescent="0.2"/>
    <row r="38100" hidden="1" x14ac:dyDescent="0.2"/>
    <row r="38101" hidden="1" x14ac:dyDescent="0.2"/>
    <row r="38102" hidden="1" x14ac:dyDescent="0.2"/>
    <row r="38103" hidden="1" x14ac:dyDescent="0.2"/>
    <row r="38104" hidden="1" x14ac:dyDescent="0.2"/>
    <row r="38105" hidden="1" x14ac:dyDescent="0.2"/>
    <row r="38106" hidden="1" x14ac:dyDescent="0.2"/>
    <row r="38107" hidden="1" x14ac:dyDescent="0.2"/>
    <row r="38108" hidden="1" x14ac:dyDescent="0.2"/>
    <row r="38109" hidden="1" x14ac:dyDescent="0.2"/>
    <row r="38110" hidden="1" x14ac:dyDescent="0.2"/>
    <row r="38111" hidden="1" x14ac:dyDescent="0.2"/>
    <row r="38112" hidden="1" x14ac:dyDescent="0.2"/>
    <row r="38113" hidden="1" x14ac:dyDescent="0.2"/>
    <row r="38114" hidden="1" x14ac:dyDescent="0.2"/>
    <row r="38115" hidden="1" x14ac:dyDescent="0.2"/>
    <row r="38116" hidden="1" x14ac:dyDescent="0.2"/>
    <row r="38117" hidden="1" x14ac:dyDescent="0.2"/>
    <row r="38118" hidden="1" x14ac:dyDescent="0.2"/>
    <row r="38119" hidden="1" x14ac:dyDescent="0.2"/>
    <row r="38120" hidden="1" x14ac:dyDescent="0.2"/>
    <row r="38121" hidden="1" x14ac:dyDescent="0.2"/>
    <row r="38122" hidden="1" x14ac:dyDescent="0.2"/>
    <row r="38123" hidden="1" x14ac:dyDescent="0.2"/>
    <row r="38124" hidden="1" x14ac:dyDescent="0.2"/>
    <row r="38125" hidden="1" x14ac:dyDescent="0.2"/>
    <row r="38126" hidden="1" x14ac:dyDescent="0.2"/>
    <row r="38127" hidden="1" x14ac:dyDescent="0.2"/>
    <row r="38128" hidden="1" x14ac:dyDescent="0.2"/>
    <row r="38129" hidden="1" x14ac:dyDescent="0.2"/>
    <row r="38130" hidden="1" x14ac:dyDescent="0.2"/>
    <row r="38131" hidden="1" x14ac:dyDescent="0.2"/>
    <row r="38132" hidden="1" x14ac:dyDescent="0.2"/>
    <row r="38133" hidden="1" x14ac:dyDescent="0.2"/>
    <row r="38134" hidden="1" x14ac:dyDescent="0.2"/>
    <row r="38135" hidden="1" x14ac:dyDescent="0.2"/>
    <row r="38136" hidden="1" x14ac:dyDescent="0.2"/>
    <row r="38137" hidden="1" x14ac:dyDescent="0.2"/>
    <row r="38138" hidden="1" x14ac:dyDescent="0.2"/>
    <row r="38139" hidden="1" x14ac:dyDescent="0.2"/>
    <row r="38140" hidden="1" x14ac:dyDescent="0.2"/>
    <row r="38141" hidden="1" x14ac:dyDescent="0.2"/>
    <row r="38142" hidden="1" x14ac:dyDescent="0.2"/>
    <row r="38143" hidden="1" x14ac:dyDescent="0.2"/>
    <row r="38144" hidden="1" x14ac:dyDescent="0.2"/>
    <row r="38145" hidden="1" x14ac:dyDescent="0.2"/>
    <row r="38146" hidden="1" x14ac:dyDescent="0.2"/>
    <row r="38147" hidden="1" x14ac:dyDescent="0.2"/>
    <row r="38148" hidden="1" x14ac:dyDescent="0.2"/>
    <row r="38149" hidden="1" x14ac:dyDescent="0.2"/>
    <row r="38150" hidden="1" x14ac:dyDescent="0.2"/>
    <row r="38151" hidden="1" x14ac:dyDescent="0.2"/>
    <row r="38152" hidden="1" x14ac:dyDescent="0.2"/>
    <row r="38153" hidden="1" x14ac:dyDescent="0.2"/>
    <row r="38154" hidden="1" x14ac:dyDescent="0.2"/>
    <row r="38155" hidden="1" x14ac:dyDescent="0.2"/>
    <row r="38156" hidden="1" x14ac:dyDescent="0.2"/>
    <row r="38157" hidden="1" x14ac:dyDescent="0.2"/>
    <row r="38158" hidden="1" x14ac:dyDescent="0.2"/>
    <row r="38159" hidden="1" x14ac:dyDescent="0.2"/>
    <row r="38160" hidden="1" x14ac:dyDescent="0.2"/>
    <row r="38161" hidden="1" x14ac:dyDescent="0.2"/>
    <row r="38162" hidden="1" x14ac:dyDescent="0.2"/>
    <row r="38163" hidden="1" x14ac:dyDescent="0.2"/>
    <row r="38164" hidden="1" x14ac:dyDescent="0.2"/>
    <row r="38165" hidden="1" x14ac:dyDescent="0.2"/>
    <row r="38166" hidden="1" x14ac:dyDescent="0.2"/>
    <row r="38167" hidden="1" x14ac:dyDescent="0.2"/>
    <row r="38168" hidden="1" x14ac:dyDescent="0.2"/>
    <row r="38169" hidden="1" x14ac:dyDescent="0.2"/>
    <row r="38170" hidden="1" x14ac:dyDescent="0.2"/>
    <row r="38171" hidden="1" x14ac:dyDescent="0.2"/>
    <row r="38172" hidden="1" x14ac:dyDescent="0.2"/>
    <row r="38173" hidden="1" x14ac:dyDescent="0.2"/>
    <row r="38174" hidden="1" x14ac:dyDescent="0.2"/>
    <row r="38175" hidden="1" x14ac:dyDescent="0.2"/>
    <row r="38176" hidden="1" x14ac:dyDescent="0.2"/>
    <row r="38177" hidden="1" x14ac:dyDescent="0.2"/>
    <row r="38178" hidden="1" x14ac:dyDescent="0.2"/>
    <row r="38179" hidden="1" x14ac:dyDescent="0.2"/>
    <row r="38180" hidden="1" x14ac:dyDescent="0.2"/>
    <row r="38181" hidden="1" x14ac:dyDescent="0.2"/>
    <row r="38182" hidden="1" x14ac:dyDescent="0.2"/>
    <row r="38183" hidden="1" x14ac:dyDescent="0.2"/>
    <row r="38184" hidden="1" x14ac:dyDescent="0.2"/>
    <row r="38185" hidden="1" x14ac:dyDescent="0.2"/>
    <row r="38186" hidden="1" x14ac:dyDescent="0.2"/>
    <row r="38187" hidden="1" x14ac:dyDescent="0.2"/>
    <row r="38188" hidden="1" x14ac:dyDescent="0.2"/>
    <row r="38189" hidden="1" x14ac:dyDescent="0.2"/>
    <row r="38190" hidden="1" x14ac:dyDescent="0.2"/>
    <row r="38191" hidden="1" x14ac:dyDescent="0.2"/>
    <row r="38192" hidden="1" x14ac:dyDescent="0.2"/>
    <row r="38193" hidden="1" x14ac:dyDescent="0.2"/>
    <row r="38194" hidden="1" x14ac:dyDescent="0.2"/>
    <row r="38195" hidden="1" x14ac:dyDescent="0.2"/>
    <row r="38196" hidden="1" x14ac:dyDescent="0.2"/>
    <row r="38197" hidden="1" x14ac:dyDescent="0.2"/>
    <row r="38198" hidden="1" x14ac:dyDescent="0.2"/>
    <row r="38199" hidden="1" x14ac:dyDescent="0.2"/>
    <row r="38200" hidden="1" x14ac:dyDescent="0.2"/>
    <row r="38201" hidden="1" x14ac:dyDescent="0.2"/>
    <row r="38202" hidden="1" x14ac:dyDescent="0.2"/>
    <row r="38203" hidden="1" x14ac:dyDescent="0.2"/>
    <row r="38204" hidden="1" x14ac:dyDescent="0.2"/>
    <row r="38205" hidden="1" x14ac:dyDescent="0.2"/>
    <row r="38206" hidden="1" x14ac:dyDescent="0.2"/>
    <row r="38207" hidden="1" x14ac:dyDescent="0.2"/>
    <row r="38208" hidden="1" x14ac:dyDescent="0.2"/>
    <row r="38209" hidden="1" x14ac:dyDescent="0.2"/>
    <row r="38210" hidden="1" x14ac:dyDescent="0.2"/>
    <row r="38211" hidden="1" x14ac:dyDescent="0.2"/>
    <row r="38212" hidden="1" x14ac:dyDescent="0.2"/>
    <row r="38213" hidden="1" x14ac:dyDescent="0.2"/>
    <row r="38214" hidden="1" x14ac:dyDescent="0.2"/>
    <row r="38215" hidden="1" x14ac:dyDescent="0.2"/>
    <row r="38216" hidden="1" x14ac:dyDescent="0.2"/>
    <row r="38217" hidden="1" x14ac:dyDescent="0.2"/>
    <row r="38218" hidden="1" x14ac:dyDescent="0.2"/>
    <row r="38219" hidden="1" x14ac:dyDescent="0.2"/>
    <row r="38220" hidden="1" x14ac:dyDescent="0.2"/>
    <row r="38221" hidden="1" x14ac:dyDescent="0.2"/>
    <row r="38222" hidden="1" x14ac:dyDescent="0.2"/>
    <row r="38223" hidden="1" x14ac:dyDescent="0.2"/>
    <row r="38224" hidden="1" x14ac:dyDescent="0.2"/>
    <row r="38225" hidden="1" x14ac:dyDescent="0.2"/>
    <row r="38226" hidden="1" x14ac:dyDescent="0.2"/>
    <row r="38227" hidden="1" x14ac:dyDescent="0.2"/>
    <row r="38228" hidden="1" x14ac:dyDescent="0.2"/>
    <row r="38229" hidden="1" x14ac:dyDescent="0.2"/>
    <row r="38230" hidden="1" x14ac:dyDescent="0.2"/>
    <row r="38231" hidden="1" x14ac:dyDescent="0.2"/>
    <row r="38232" hidden="1" x14ac:dyDescent="0.2"/>
    <row r="38233" hidden="1" x14ac:dyDescent="0.2"/>
    <row r="38234" hidden="1" x14ac:dyDescent="0.2"/>
    <row r="38235" hidden="1" x14ac:dyDescent="0.2"/>
    <row r="38236" hidden="1" x14ac:dyDescent="0.2"/>
    <row r="38237" hidden="1" x14ac:dyDescent="0.2"/>
    <row r="38238" hidden="1" x14ac:dyDescent="0.2"/>
    <row r="38239" hidden="1" x14ac:dyDescent="0.2"/>
    <row r="38240" hidden="1" x14ac:dyDescent="0.2"/>
    <row r="38241" hidden="1" x14ac:dyDescent="0.2"/>
    <row r="38242" hidden="1" x14ac:dyDescent="0.2"/>
    <row r="38243" hidden="1" x14ac:dyDescent="0.2"/>
    <row r="38244" hidden="1" x14ac:dyDescent="0.2"/>
    <row r="38245" hidden="1" x14ac:dyDescent="0.2"/>
    <row r="38246" hidden="1" x14ac:dyDescent="0.2"/>
    <row r="38247" hidden="1" x14ac:dyDescent="0.2"/>
    <row r="38248" hidden="1" x14ac:dyDescent="0.2"/>
    <row r="38249" hidden="1" x14ac:dyDescent="0.2"/>
    <row r="38250" hidden="1" x14ac:dyDescent="0.2"/>
    <row r="38251" hidden="1" x14ac:dyDescent="0.2"/>
    <row r="38252" hidden="1" x14ac:dyDescent="0.2"/>
    <row r="38253" hidden="1" x14ac:dyDescent="0.2"/>
    <row r="38254" hidden="1" x14ac:dyDescent="0.2"/>
    <row r="38255" hidden="1" x14ac:dyDescent="0.2"/>
    <row r="38256" hidden="1" x14ac:dyDescent="0.2"/>
    <row r="38257" hidden="1" x14ac:dyDescent="0.2"/>
    <row r="38258" hidden="1" x14ac:dyDescent="0.2"/>
    <row r="38259" hidden="1" x14ac:dyDescent="0.2"/>
    <row r="38260" hidden="1" x14ac:dyDescent="0.2"/>
    <row r="38261" hidden="1" x14ac:dyDescent="0.2"/>
    <row r="38262" hidden="1" x14ac:dyDescent="0.2"/>
    <row r="38263" hidden="1" x14ac:dyDescent="0.2"/>
    <row r="38264" hidden="1" x14ac:dyDescent="0.2"/>
    <row r="38265" hidden="1" x14ac:dyDescent="0.2"/>
    <row r="38266" hidden="1" x14ac:dyDescent="0.2"/>
    <row r="38267" hidden="1" x14ac:dyDescent="0.2"/>
    <row r="38268" hidden="1" x14ac:dyDescent="0.2"/>
    <row r="38269" hidden="1" x14ac:dyDescent="0.2"/>
    <row r="38270" hidden="1" x14ac:dyDescent="0.2"/>
    <row r="38271" hidden="1" x14ac:dyDescent="0.2"/>
    <row r="38272" hidden="1" x14ac:dyDescent="0.2"/>
    <row r="38273" hidden="1" x14ac:dyDescent="0.2"/>
    <row r="38274" hidden="1" x14ac:dyDescent="0.2"/>
    <row r="38275" hidden="1" x14ac:dyDescent="0.2"/>
    <row r="38276" hidden="1" x14ac:dyDescent="0.2"/>
    <row r="38277" hidden="1" x14ac:dyDescent="0.2"/>
    <row r="38278" hidden="1" x14ac:dyDescent="0.2"/>
    <row r="38279" hidden="1" x14ac:dyDescent="0.2"/>
    <row r="38280" hidden="1" x14ac:dyDescent="0.2"/>
    <row r="38281" hidden="1" x14ac:dyDescent="0.2"/>
    <row r="38282" hidden="1" x14ac:dyDescent="0.2"/>
    <row r="38283" hidden="1" x14ac:dyDescent="0.2"/>
    <row r="38284" hidden="1" x14ac:dyDescent="0.2"/>
    <row r="38285" hidden="1" x14ac:dyDescent="0.2"/>
    <row r="38286" hidden="1" x14ac:dyDescent="0.2"/>
    <row r="38287" hidden="1" x14ac:dyDescent="0.2"/>
    <row r="38288" hidden="1" x14ac:dyDescent="0.2"/>
    <row r="38289" hidden="1" x14ac:dyDescent="0.2"/>
    <row r="38290" hidden="1" x14ac:dyDescent="0.2"/>
    <row r="38291" hidden="1" x14ac:dyDescent="0.2"/>
    <row r="38292" hidden="1" x14ac:dyDescent="0.2"/>
    <row r="38293" hidden="1" x14ac:dyDescent="0.2"/>
    <row r="38294" hidden="1" x14ac:dyDescent="0.2"/>
    <row r="38295" hidden="1" x14ac:dyDescent="0.2"/>
    <row r="38296" hidden="1" x14ac:dyDescent="0.2"/>
    <row r="38297" hidden="1" x14ac:dyDescent="0.2"/>
    <row r="38298" hidden="1" x14ac:dyDescent="0.2"/>
    <row r="38299" hidden="1" x14ac:dyDescent="0.2"/>
    <row r="38300" hidden="1" x14ac:dyDescent="0.2"/>
    <row r="38301" hidden="1" x14ac:dyDescent="0.2"/>
    <row r="38302" hidden="1" x14ac:dyDescent="0.2"/>
    <row r="38303" hidden="1" x14ac:dyDescent="0.2"/>
    <row r="38304" hidden="1" x14ac:dyDescent="0.2"/>
    <row r="38305" hidden="1" x14ac:dyDescent="0.2"/>
    <row r="38306" hidden="1" x14ac:dyDescent="0.2"/>
    <row r="38307" hidden="1" x14ac:dyDescent="0.2"/>
    <row r="38308" hidden="1" x14ac:dyDescent="0.2"/>
    <row r="38309" hidden="1" x14ac:dyDescent="0.2"/>
    <row r="38310" hidden="1" x14ac:dyDescent="0.2"/>
    <row r="38311" hidden="1" x14ac:dyDescent="0.2"/>
    <row r="38312" hidden="1" x14ac:dyDescent="0.2"/>
    <row r="38313" hidden="1" x14ac:dyDescent="0.2"/>
    <row r="38314" hidden="1" x14ac:dyDescent="0.2"/>
    <row r="38315" hidden="1" x14ac:dyDescent="0.2"/>
    <row r="38316" hidden="1" x14ac:dyDescent="0.2"/>
    <row r="38317" hidden="1" x14ac:dyDescent="0.2"/>
    <row r="38318" hidden="1" x14ac:dyDescent="0.2"/>
    <row r="38319" hidden="1" x14ac:dyDescent="0.2"/>
    <row r="38320" hidden="1" x14ac:dyDescent="0.2"/>
    <row r="38321" hidden="1" x14ac:dyDescent="0.2"/>
    <row r="38322" hidden="1" x14ac:dyDescent="0.2"/>
    <row r="38323" hidden="1" x14ac:dyDescent="0.2"/>
    <row r="38324" hidden="1" x14ac:dyDescent="0.2"/>
    <row r="38325" hidden="1" x14ac:dyDescent="0.2"/>
    <row r="38326" hidden="1" x14ac:dyDescent="0.2"/>
    <row r="38327" hidden="1" x14ac:dyDescent="0.2"/>
    <row r="38328" hidden="1" x14ac:dyDescent="0.2"/>
    <row r="38329" hidden="1" x14ac:dyDescent="0.2"/>
    <row r="38330" hidden="1" x14ac:dyDescent="0.2"/>
    <row r="38331" hidden="1" x14ac:dyDescent="0.2"/>
    <row r="38332" hidden="1" x14ac:dyDescent="0.2"/>
    <row r="38333" hidden="1" x14ac:dyDescent="0.2"/>
    <row r="38334" hidden="1" x14ac:dyDescent="0.2"/>
    <row r="38335" hidden="1" x14ac:dyDescent="0.2"/>
    <row r="38336" hidden="1" x14ac:dyDescent="0.2"/>
    <row r="38337" hidden="1" x14ac:dyDescent="0.2"/>
    <row r="38338" hidden="1" x14ac:dyDescent="0.2"/>
    <row r="38339" hidden="1" x14ac:dyDescent="0.2"/>
    <row r="38340" hidden="1" x14ac:dyDescent="0.2"/>
    <row r="38341" hidden="1" x14ac:dyDescent="0.2"/>
    <row r="38342" hidden="1" x14ac:dyDescent="0.2"/>
    <row r="38343" hidden="1" x14ac:dyDescent="0.2"/>
    <row r="38344" hidden="1" x14ac:dyDescent="0.2"/>
    <row r="38345" hidden="1" x14ac:dyDescent="0.2"/>
    <row r="38346" hidden="1" x14ac:dyDescent="0.2"/>
    <row r="38347" hidden="1" x14ac:dyDescent="0.2"/>
    <row r="38348" hidden="1" x14ac:dyDescent="0.2"/>
    <row r="38349" hidden="1" x14ac:dyDescent="0.2"/>
    <row r="38350" hidden="1" x14ac:dyDescent="0.2"/>
    <row r="38351" hidden="1" x14ac:dyDescent="0.2"/>
    <row r="38352" hidden="1" x14ac:dyDescent="0.2"/>
    <row r="38353" hidden="1" x14ac:dyDescent="0.2"/>
    <row r="38354" hidden="1" x14ac:dyDescent="0.2"/>
    <row r="38355" hidden="1" x14ac:dyDescent="0.2"/>
    <row r="38356" hidden="1" x14ac:dyDescent="0.2"/>
    <row r="38357" hidden="1" x14ac:dyDescent="0.2"/>
    <row r="38358" hidden="1" x14ac:dyDescent="0.2"/>
    <row r="38359" hidden="1" x14ac:dyDescent="0.2"/>
    <row r="38360" hidden="1" x14ac:dyDescent="0.2"/>
    <row r="38361" hidden="1" x14ac:dyDescent="0.2"/>
    <row r="38362" hidden="1" x14ac:dyDescent="0.2"/>
    <row r="38363" hidden="1" x14ac:dyDescent="0.2"/>
    <row r="38364" hidden="1" x14ac:dyDescent="0.2"/>
    <row r="38365" hidden="1" x14ac:dyDescent="0.2"/>
    <row r="38366" hidden="1" x14ac:dyDescent="0.2"/>
    <row r="38367" hidden="1" x14ac:dyDescent="0.2"/>
    <row r="38368" hidden="1" x14ac:dyDescent="0.2"/>
    <row r="38369" hidden="1" x14ac:dyDescent="0.2"/>
    <row r="38370" hidden="1" x14ac:dyDescent="0.2"/>
    <row r="38371" hidden="1" x14ac:dyDescent="0.2"/>
    <row r="38372" hidden="1" x14ac:dyDescent="0.2"/>
    <row r="38373" hidden="1" x14ac:dyDescent="0.2"/>
    <row r="38374" hidden="1" x14ac:dyDescent="0.2"/>
    <row r="38375" hidden="1" x14ac:dyDescent="0.2"/>
    <row r="38376" hidden="1" x14ac:dyDescent="0.2"/>
    <row r="38377" hidden="1" x14ac:dyDescent="0.2"/>
    <row r="38378" hidden="1" x14ac:dyDescent="0.2"/>
    <row r="38379" hidden="1" x14ac:dyDescent="0.2"/>
    <row r="38380" hidden="1" x14ac:dyDescent="0.2"/>
    <row r="38381" hidden="1" x14ac:dyDescent="0.2"/>
    <row r="38382" hidden="1" x14ac:dyDescent="0.2"/>
    <row r="38383" hidden="1" x14ac:dyDescent="0.2"/>
    <row r="38384" hidden="1" x14ac:dyDescent="0.2"/>
    <row r="38385" hidden="1" x14ac:dyDescent="0.2"/>
    <row r="38386" hidden="1" x14ac:dyDescent="0.2"/>
    <row r="38387" hidden="1" x14ac:dyDescent="0.2"/>
    <row r="38388" hidden="1" x14ac:dyDescent="0.2"/>
    <row r="38389" hidden="1" x14ac:dyDescent="0.2"/>
    <row r="38390" hidden="1" x14ac:dyDescent="0.2"/>
    <row r="38391" hidden="1" x14ac:dyDescent="0.2"/>
    <row r="38392" hidden="1" x14ac:dyDescent="0.2"/>
    <row r="38393" hidden="1" x14ac:dyDescent="0.2"/>
    <row r="38394" hidden="1" x14ac:dyDescent="0.2"/>
    <row r="38395" hidden="1" x14ac:dyDescent="0.2"/>
    <row r="38396" hidden="1" x14ac:dyDescent="0.2"/>
    <row r="38397" hidden="1" x14ac:dyDescent="0.2"/>
    <row r="38398" hidden="1" x14ac:dyDescent="0.2"/>
    <row r="38399" hidden="1" x14ac:dyDescent="0.2"/>
    <row r="38400" hidden="1" x14ac:dyDescent="0.2"/>
    <row r="38401" hidden="1" x14ac:dyDescent="0.2"/>
    <row r="38402" hidden="1" x14ac:dyDescent="0.2"/>
    <row r="38403" hidden="1" x14ac:dyDescent="0.2"/>
    <row r="38404" hidden="1" x14ac:dyDescent="0.2"/>
    <row r="38405" hidden="1" x14ac:dyDescent="0.2"/>
    <row r="38406" hidden="1" x14ac:dyDescent="0.2"/>
    <row r="38407" hidden="1" x14ac:dyDescent="0.2"/>
    <row r="38408" hidden="1" x14ac:dyDescent="0.2"/>
    <row r="38409" hidden="1" x14ac:dyDescent="0.2"/>
    <row r="38410" hidden="1" x14ac:dyDescent="0.2"/>
    <row r="38411" hidden="1" x14ac:dyDescent="0.2"/>
    <row r="38412" hidden="1" x14ac:dyDescent="0.2"/>
    <row r="38413" hidden="1" x14ac:dyDescent="0.2"/>
    <row r="38414" hidden="1" x14ac:dyDescent="0.2"/>
    <row r="38415" hidden="1" x14ac:dyDescent="0.2"/>
    <row r="38416" hidden="1" x14ac:dyDescent="0.2"/>
    <row r="38417" hidden="1" x14ac:dyDescent="0.2"/>
    <row r="38418" hidden="1" x14ac:dyDescent="0.2"/>
    <row r="38419" hidden="1" x14ac:dyDescent="0.2"/>
    <row r="38420" hidden="1" x14ac:dyDescent="0.2"/>
    <row r="38421" hidden="1" x14ac:dyDescent="0.2"/>
    <row r="38422" hidden="1" x14ac:dyDescent="0.2"/>
    <row r="38423" hidden="1" x14ac:dyDescent="0.2"/>
    <row r="38424" hidden="1" x14ac:dyDescent="0.2"/>
    <row r="38425" hidden="1" x14ac:dyDescent="0.2"/>
    <row r="38426" hidden="1" x14ac:dyDescent="0.2"/>
    <row r="38427" hidden="1" x14ac:dyDescent="0.2"/>
    <row r="38428" hidden="1" x14ac:dyDescent="0.2"/>
    <row r="38429" hidden="1" x14ac:dyDescent="0.2"/>
    <row r="38430" hidden="1" x14ac:dyDescent="0.2"/>
    <row r="38431" hidden="1" x14ac:dyDescent="0.2"/>
    <row r="38432" hidden="1" x14ac:dyDescent="0.2"/>
    <row r="38433" hidden="1" x14ac:dyDescent="0.2"/>
    <row r="38434" hidden="1" x14ac:dyDescent="0.2"/>
    <row r="38435" hidden="1" x14ac:dyDescent="0.2"/>
    <row r="38436" hidden="1" x14ac:dyDescent="0.2"/>
    <row r="38437" hidden="1" x14ac:dyDescent="0.2"/>
    <row r="38438" hidden="1" x14ac:dyDescent="0.2"/>
    <row r="38439" hidden="1" x14ac:dyDescent="0.2"/>
    <row r="38440" hidden="1" x14ac:dyDescent="0.2"/>
    <row r="38441" hidden="1" x14ac:dyDescent="0.2"/>
    <row r="38442" hidden="1" x14ac:dyDescent="0.2"/>
    <row r="38443" hidden="1" x14ac:dyDescent="0.2"/>
    <row r="38444" hidden="1" x14ac:dyDescent="0.2"/>
    <row r="38445" hidden="1" x14ac:dyDescent="0.2"/>
    <row r="38446" hidden="1" x14ac:dyDescent="0.2"/>
    <row r="38447" hidden="1" x14ac:dyDescent="0.2"/>
    <row r="38448" hidden="1" x14ac:dyDescent="0.2"/>
    <row r="38449" hidden="1" x14ac:dyDescent="0.2"/>
    <row r="38450" hidden="1" x14ac:dyDescent="0.2"/>
    <row r="38451" hidden="1" x14ac:dyDescent="0.2"/>
    <row r="38452" hidden="1" x14ac:dyDescent="0.2"/>
    <row r="38453" hidden="1" x14ac:dyDescent="0.2"/>
    <row r="38454" hidden="1" x14ac:dyDescent="0.2"/>
    <row r="38455" hidden="1" x14ac:dyDescent="0.2"/>
    <row r="38456" hidden="1" x14ac:dyDescent="0.2"/>
    <row r="38457" hidden="1" x14ac:dyDescent="0.2"/>
    <row r="38458" hidden="1" x14ac:dyDescent="0.2"/>
    <row r="38459" hidden="1" x14ac:dyDescent="0.2"/>
    <row r="38460" hidden="1" x14ac:dyDescent="0.2"/>
    <row r="38461" hidden="1" x14ac:dyDescent="0.2"/>
    <row r="38462" hidden="1" x14ac:dyDescent="0.2"/>
    <row r="38463" hidden="1" x14ac:dyDescent="0.2"/>
    <row r="38464" hidden="1" x14ac:dyDescent="0.2"/>
    <row r="38465" hidden="1" x14ac:dyDescent="0.2"/>
    <row r="38466" hidden="1" x14ac:dyDescent="0.2"/>
    <row r="38467" hidden="1" x14ac:dyDescent="0.2"/>
    <row r="38468" hidden="1" x14ac:dyDescent="0.2"/>
    <row r="38469" hidden="1" x14ac:dyDescent="0.2"/>
    <row r="38470" hidden="1" x14ac:dyDescent="0.2"/>
    <row r="38471" hidden="1" x14ac:dyDescent="0.2"/>
    <row r="38472" hidden="1" x14ac:dyDescent="0.2"/>
    <row r="38473" hidden="1" x14ac:dyDescent="0.2"/>
    <row r="38474" hidden="1" x14ac:dyDescent="0.2"/>
    <row r="38475" hidden="1" x14ac:dyDescent="0.2"/>
    <row r="38476" hidden="1" x14ac:dyDescent="0.2"/>
    <row r="38477" hidden="1" x14ac:dyDescent="0.2"/>
    <row r="38478" hidden="1" x14ac:dyDescent="0.2"/>
    <row r="38479" hidden="1" x14ac:dyDescent="0.2"/>
    <row r="38480" hidden="1" x14ac:dyDescent="0.2"/>
    <row r="38481" hidden="1" x14ac:dyDescent="0.2"/>
    <row r="38482" hidden="1" x14ac:dyDescent="0.2"/>
    <row r="38483" hidden="1" x14ac:dyDescent="0.2"/>
    <row r="38484" hidden="1" x14ac:dyDescent="0.2"/>
    <row r="38485" hidden="1" x14ac:dyDescent="0.2"/>
    <row r="38486" hidden="1" x14ac:dyDescent="0.2"/>
    <row r="38487" hidden="1" x14ac:dyDescent="0.2"/>
    <row r="38488" hidden="1" x14ac:dyDescent="0.2"/>
    <row r="38489" hidden="1" x14ac:dyDescent="0.2"/>
    <row r="38490" hidden="1" x14ac:dyDescent="0.2"/>
    <row r="38491" hidden="1" x14ac:dyDescent="0.2"/>
    <row r="38492" hidden="1" x14ac:dyDescent="0.2"/>
    <row r="38493" hidden="1" x14ac:dyDescent="0.2"/>
    <row r="38494" hidden="1" x14ac:dyDescent="0.2"/>
    <row r="38495" hidden="1" x14ac:dyDescent="0.2"/>
    <row r="38496" hidden="1" x14ac:dyDescent="0.2"/>
    <row r="38497" hidden="1" x14ac:dyDescent="0.2"/>
    <row r="38498" hidden="1" x14ac:dyDescent="0.2"/>
    <row r="38499" hidden="1" x14ac:dyDescent="0.2"/>
    <row r="38500" hidden="1" x14ac:dyDescent="0.2"/>
    <row r="38501" hidden="1" x14ac:dyDescent="0.2"/>
    <row r="38502" hidden="1" x14ac:dyDescent="0.2"/>
    <row r="38503" hidden="1" x14ac:dyDescent="0.2"/>
    <row r="38504" hidden="1" x14ac:dyDescent="0.2"/>
    <row r="38505" hidden="1" x14ac:dyDescent="0.2"/>
    <row r="38506" hidden="1" x14ac:dyDescent="0.2"/>
    <row r="38507" hidden="1" x14ac:dyDescent="0.2"/>
    <row r="38508" hidden="1" x14ac:dyDescent="0.2"/>
    <row r="38509" hidden="1" x14ac:dyDescent="0.2"/>
    <row r="38510" hidden="1" x14ac:dyDescent="0.2"/>
    <row r="38511" hidden="1" x14ac:dyDescent="0.2"/>
    <row r="38512" hidden="1" x14ac:dyDescent="0.2"/>
    <row r="38513" hidden="1" x14ac:dyDescent="0.2"/>
    <row r="38514" hidden="1" x14ac:dyDescent="0.2"/>
    <row r="38515" hidden="1" x14ac:dyDescent="0.2"/>
    <row r="38516" hidden="1" x14ac:dyDescent="0.2"/>
    <row r="38517" hidden="1" x14ac:dyDescent="0.2"/>
    <row r="38518" hidden="1" x14ac:dyDescent="0.2"/>
    <row r="38519" hidden="1" x14ac:dyDescent="0.2"/>
    <row r="38520" hidden="1" x14ac:dyDescent="0.2"/>
    <row r="38521" hidden="1" x14ac:dyDescent="0.2"/>
    <row r="38522" hidden="1" x14ac:dyDescent="0.2"/>
    <row r="38523" hidden="1" x14ac:dyDescent="0.2"/>
    <row r="38524" hidden="1" x14ac:dyDescent="0.2"/>
    <row r="38525" hidden="1" x14ac:dyDescent="0.2"/>
    <row r="38526" hidden="1" x14ac:dyDescent="0.2"/>
    <row r="38527" hidden="1" x14ac:dyDescent="0.2"/>
    <row r="38528" hidden="1" x14ac:dyDescent="0.2"/>
    <row r="38529" hidden="1" x14ac:dyDescent="0.2"/>
    <row r="38530" hidden="1" x14ac:dyDescent="0.2"/>
    <row r="38531" hidden="1" x14ac:dyDescent="0.2"/>
    <row r="38532" hidden="1" x14ac:dyDescent="0.2"/>
    <row r="38533" hidden="1" x14ac:dyDescent="0.2"/>
    <row r="38534" hidden="1" x14ac:dyDescent="0.2"/>
    <row r="38535" hidden="1" x14ac:dyDescent="0.2"/>
    <row r="38536" hidden="1" x14ac:dyDescent="0.2"/>
    <row r="38537" hidden="1" x14ac:dyDescent="0.2"/>
    <row r="38538" hidden="1" x14ac:dyDescent="0.2"/>
    <row r="38539" hidden="1" x14ac:dyDescent="0.2"/>
    <row r="38540" hidden="1" x14ac:dyDescent="0.2"/>
    <row r="38541" hidden="1" x14ac:dyDescent="0.2"/>
    <row r="38542" hidden="1" x14ac:dyDescent="0.2"/>
    <row r="38543" hidden="1" x14ac:dyDescent="0.2"/>
    <row r="38544" hidden="1" x14ac:dyDescent="0.2"/>
    <row r="38545" hidden="1" x14ac:dyDescent="0.2"/>
    <row r="38546" hidden="1" x14ac:dyDescent="0.2"/>
    <row r="38547" hidden="1" x14ac:dyDescent="0.2"/>
    <row r="38548" hidden="1" x14ac:dyDescent="0.2"/>
    <row r="38549" hidden="1" x14ac:dyDescent="0.2"/>
    <row r="38550" hidden="1" x14ac:dyDescent="0.2"/>
    <row r="38551" hidden="1" x14ac:dyDescent="0.2"/>
    <row r="38552" hidden="1" x14ac:dyDescent="0.2"/>
    <row r="38553" hidden="1" x14ac:dyDescent="0.2"/>
    <row r="38554" hidden="1" x14ac:dyDescent="0.2"/>
    <row r="38555" hidden="1" x14ac:dyDescent="0.2"/>
    <row r="38556" hidden="1" x14ac:dyDescent="0.2"/>
    <row r="38557" hidden="1" x14ac:dyDescent="0.2"/>
    <row r="38558" hidden="1" x14ac:dyDescent="0.2"/>
    <row r="38559" hidden="1" x14ac:dyDescent="0.2"/>
    <row r="38560" hidden="1" x14ac:dyDescent="0.2"/>
    <row r="38561" hidden="1" x14ac:dyDescent="0.2"/>
    <row r="38562" hidden="1" x14ac:dyDescent="0.2"/>
    <row r="38563" hidden="1" x14ac:dyDescent="0.2"/>
    <row r="38564" hidden="1" x14ac:dyDescent="0.2"/>
    <row r="38565" hidden="1" x14ac:dyDescent="0.2"/>
    <row r="38566" hidden="1" x14ac:dyDescent="0.2"/>
    <row r="38567" hidden="1" x14ac:dyDescent="0.2"/>
    <row r="38568" hidden="1" x14ac:dyDescent="0.2"/>
    <row r="38569" hidden="1" x14ac:dyDescent="0.2"/>
    <row r="38570" hidden="1" x14ac:dyDescent="0.2"/>
    <row r="38571" hidden="1" x14ac:dyDescent="0.2"/>
    <row r="38572" hidden="1" x14ac:dyDescent="0.2"/>
    <row r="38573" hidden="1" x14ac:dyDescent="0.2"/>
    <row r="38574" hidden="1" x14ac:dyDescent="0.2"/>
    <row r="38575" hidden="1" x14ac:dyDescent="0.2"/>
    <row r="38576" hidden="1" x14ac:dyDescent="0.2"/>
    <row r="38577" hidden="1" x14ac:dyDescent="0.2"/>
    <row r="38578" hidden="1" x14ac:dyDescent="0.2"/>
    <row r="38579" hidden="1" x14ac:dyDescent="0.2"/>
    <row r="38580" hidden="1" x14ac:dyDescent="0.2"/>
    <row r="38581" hidden="1" x14ac:dyDescent="0.2"/>
    <row r="38582" hidden="1" x14ac:dyDescent="0.2"/>
    <row r="38583" hidden="1" x14ac:dyDescent="0.2"/>
    <row r="38584" hidden="1" x14ac:dyDescent="0.2"/>
    <row r="38585" hidden="1" x14ac:dyDescent="0.2"/>
    <row r="38586" hidden="1" x14ac:dyDescent="0.2"/>
    <row r="38587" hidden="1" x14ac:dyDescent="0.2"/>
    <row r="38588" hidden="1" x14ac:dyDescent="0.2"/>
    <row r="38589" hidden="1" x14ac:dyDescent="0.2"/>
    <row r="38590" hidden="1" x14ac:dyDescent="0.2"/>
    <row r="38591" hidden="1" x14ac:dyDescent="0.2"/>
    <row r="38592" hidden="1" x14ac:dyDescent="0.2"/>
    <row r="38593" hidden="1" x14ac:dyDescent="0.2"/>
    <row r="38594" hidden="1" x14ac:dyDescent="0.2"/>
    <row r="38595" hidden="1" x14ac:dyDescent="0.2"/>
    <row r="38596" hidden="1" x14ac:dyDescent="0.2"/>
    <row r="38597" hidden="1" x14ac:dyDescent="0.2"/>
    <row r="38598" hidden="1" x14ac:dyDescent="0.2"/>
    <row r="38599" hidden="1" x14ac:dyDescent="0.2"/>
    <row r="38600" hidden="1" x14ac:dyDescent="0.2"/>
    <row r="38601" hidden="1" x14ac:dyDescent="0.2"/>
    <row r="38602" hidden="1" x14ac:dyDescent="0.2"/>
    <row r="38603" hidden="1" x14ac:dyDescent="0.2"/>
    <row r="38604" hidden="1" x14ac:dyDescent="0.2"/>
    <row r="38605" hidden="1" x14ac:dyDescent="0.2"/>
    <row r="38606" hidden="1" x14ac:dyDescent="0.2"/>
    <row r="38607" hidden="1" x14ac:dyDescent="0.2"/>
    <row r="38608" hidden="1" x14ac:dyDescent="0.2"/>
    <row r="38609" hidden="1" x14ac:dyDescent="0.2"/>
    <row r="38610" hidden="1" x14ac:dyDescent="0.2"/>
    <row r="38611" hidden="1" x14ac:dyDescent="0.2"/>
    <row r="38612" hidden="1" x14ac:dyDescent="0.2"/>
    <row r="38613" hidden="1" x14ac:dyDescent="0.2"/>
    <row r="38614" hidden="1" x14ac:dyDescent="0.2"/>
    <row r="38615" hidden="1" x14ac:dyDescent="0.2"/>
    <row r="38616" hidden="1" x14ac:dyDescent="0.2"/>
    <row r="38617" hidden="1" x14ac:dyDescent="0.2"/>
    <row r="38618" hidden="1" x14ac:dyDescent="0.2"/>
    <row r="38619" hidden="1" x14ac:dyDescent="0.2"/>
    <row r="38620" hidden="1" x14ac:dyDescent="0.2"/>
    <row r="38621" hidden="1" x14ac:dyDescent="0.2"/>
    <row r="38622" hidden="1" x14ac:dyDescent="0.2"/>
    <row r="38623" hidden="1" x14ac:dyDescent="0.2"/>
    <row r="38624" hidden="1" x14ac:dyDescent="0.2"/>
    <row r="38625" hidden="1" x14ac:dyDescent="0.2"/>
    <row r="38626" hidden="1" x14ac:dyDescent="0.2"/>
    <row r="38627" hidden="1" x14ac:dyDescent="0.2"/>
    <row r="38628" hidden="1" x14ac:dyDescent="0.2"/>
    <row r="38629" hidden="1" x14ac:dyDescent="0.2"/>
    <row r="38630" hidden="1" x14ac:dyDescent="0.2"/>
    <row r="38631" hidden="1" x14ac:dyDescent="0.2"/>
    <row r="38632" hidden="1" x14ac:dyDescent="0.2"/>
    <row r="38633" hidden="1" x14ac:dyDescent="0.2"/>
    <row r="38634" hidden="1" x14ac:dyDescent="0.2"/>
    <row r="38635" hidden="1" x14ac:dyDescent="0.2"/>
    <row r="38636" hidden="1" x14ac:dyDescent="0.2"/>
    <row r="38637" hidden="1" x14ac:dyDescent="0.2"/>
    <row r="38638" hidden="1" x14ac:dyDescent="0.2"/>
    <row r="38639" hidden="1" x14ac:dyDescent="0.2"/>
    <row r="38640" hidden="1" x14ac:dyDescent="0.2"/>
    <row r="38641" hidden="1" x14ac:dyDescent="0.2"/>
    <row r="38642" hidden="1" x14ac:dyDescent="0.2"/>
    <row r="38643" hidden="1" x14ac:dyDescent="0.2"/>
    <row r="38644" hidden="1" x14ac:dyDescent="0.2"/>
    <row r="38645" hidden="1" x14ac:dyDescent="0.2"/>
    <row r="38646" hidden="1" x14ac:dyDescent="0.2"/>
    <row r="38647" hidden="1" x14ac:dyDescent="0.2"/>
    <row r="38648" hidden="1" x14ac:dyDescent="0.2"/>
    <row r="38649" hidden="1" x14ac:dyDescent="0.2"/>
    <row r="38650" hidden="1" x14ac:dyDescent="0.2"/>
    <row r="38651" hidden="1" x14ac:dyDescent="0.2"/>
    <row r="38652" hidden="1" x14ac:dyDescent="0.2"/>
    <row r="38653" hidden="1" x14ac:dyDescent="0.2"/>
    <row r="38654" hidden="1" x14ac:dyDescent="0.2"/>
    <row r="38655" hidden="1" x14ac:dyDescent="0.2"/>
    <row r="38656" hidden="1" x14ac:dyDescent="0.2"/>
    <row r="38657" hidden="1" x14ac:dyDescent="0.2"/>
    <row r="38658" hidden="1" x14ac:dyDescent="0.2"/>
    <row r="38659" hidden="1" x14ac:dyDescent="0.2"/>
    <row r="38660" hidden="1" x14ac:dyDescent="0.2"/>
    <row r="38661" hidden="1" x14ac:dyDescent="0.2"/>
    <row r="38662" hidden="1" x14ac:dyDescent="0.2"/>
    <row r="38663" hidden="1" x14ac:dyDescent="0.2"/>
    <row r="38664" hidden="1" x14ac:dyDescent="0.2"/>
    <row r="38665" hidden="1" x14ac:dyDescent="0.2"/>
    <row r="38666" hidden="1" x14ac:dyDescent="0.2"/>
    <row r="38667" hidden="1" x14ac:dyDescent="0.2"/>
    <row r="38668" hidden="1" x14ac:dyDescent="0.2"/>
    <row r="38669" hidden="1" x14ac:dyDescent="0.2"/>
    <row r="38670" hidden="1" x14ac:dyDescent="0.2"/>
    <row r="38671" hidden="1" x14ac:dyDescent="0.2"/>
    <row r="38672" hidden="1" x14ac:dyDescent="0.2"/>
    <row r="38673" hidden="1" x14ac:dyDescent="0.2"/>
    <row r="38674" hidden="1" x14ac:dyDescent="0.2"/>
    <row r="38675" hidden="1" x14ac:dyDescent="0.2"/>
    <row r="38676" hidden="1" x14ac:dyDescent="0.2"/>
    <row r="38677" hidden="1" x14ac:dyDescent="0.2"/>
    <row r="38678" hidden="1" x14ac:dyDescent="0.2"/>
    <row r="38679" hidden="1" x14ac:dyDescent="0.2"/>
    <row r="38680" hidden="1" x14ac:dyDescent="0.2"/>
    <row r="38681" hidden="1" x14ac:dyDescent="0.2"/>
    <row r="38682" hidden="1" x14ac:dyDescent="0.2"/>
    <row r="38683" hidden="1" x14ac:dyDescent="0.2"/>
    <row r="38684" hidden="1" x14ac:dyDescent="0.2"/>
    <row r="38685" hidden="1" x14ac:dyDescent="0.2"/>
    <row r="38686" hidden="1" x14ac:dyDescent="0.2"/>
    <row r="38687" hidden="1" x14ac:dyDescent="0.2"/>
    <row r="38688" hidden="1" x14ac:dyDescent="0.2"/>
    <row r="38689" hidden="1" x14ac:dyDescent="0.2"/>
    <row r="38690" hidden="1" x14ac:dyDescent="0.2"/>
    <row r="38691" hidden="1" x14ac:dyDescent="0.2"/>
    <row r="38692" hidden="1" x14ac:dyDescent="0.2"/>
    <row r="38693" hidden="1" x14ac:dyDescent="0.2"/>
    <row r="38694" hidden="1" x14ac:dyDescent="0.2"/>
    <row r="38695" hidden="1" x14ac:dyDescent="0.2"/>
    <row r="38696" hidden="1" x14ac:dyDescent="0.2"/>
    <row r="38697" hidden="1" x14ac:dyDescent="0.2"/>
    <row r="38698" hidden="1" x14ac:dyDescent="0.2"/>
    <row r="38699" hidden="1" x14ac:dyDescent="0.2"/>
    <row r="38700" hidden="1" x14ac:dyDescent="0.2"/>
    <row r="38701" hidden="1" x14ac:dyDescent="0.2"/>
    <row r="38702" hidden="1" x14ac:dyDescent="0.2"/>
    <row r="38703" hidden="1" x14ac:dyDescent="0.2"/>
    <row r="38704" hidden="1" x14ac:dyDescent="0.2"/>
    <row r="38705" hidden="1" x14ac:dyDescent="0.2"/>
    <row r="38706" hidden="1" x14ac:dyDescent="0.2"/>
    <row r="38707" hidden="1" x14ac:dyDescent="0.2"/>
    <row r="38708" hidden="1" x14ac:dyDescent="0.2"/>
    <row r="38709" hidden="1" x14ac:dyDescent="0.2"/>
    <row r="38710" hidden="1" x14ac:dyDescent="0.2"/>
    <row r="38711" hidden="1" x14ac:dyDescent="0.2"/>
    <row r="38712" hidden="1" x14ac:dyDescent="0.2"/>
    <row r="38713" hidden="1" x14ac:dyDescent="0.2"/>
    <row r="38714" hidden="1" x14ac:dyDescent="0.2"/>
    <row r="38715" hidden="1" x14ac:dyDescent="0.2"/>
    <row r="38716" hidden="1" x14ac:dyDescent="0.2"/>
    <row r="38717" hidden="1" x14ac:dyDescent="0.2"/>
    <row r="38718" hidden="1" x14ac:dyDescent="0.2"/>
    <row r="38719" hidden="1" x14ac:dyDescent="0.2"/>
    <row r="38720" hidden="1" x14ac:dyDescent="0.2"/>
    <row r="38721" hidden="1" x14ac:dyDescent="0.2"/>
    <row r="38722" hidden="1" x14ac:dyDescent="0.2"/>
    <row r="38723" hidden="1" x14ac:dyDescent="0.2"/>
    <row r="38724" hidden="1" x14ac:dyDescent="0.2"/>
    <row r="38725" hidden="1" x14ac:dyDescent="0.2"/>
    <row r="38726" hidden="1" x14ac:dyDescent="0.2"/>
    <row r="38727" hidden="1" x14ac:dyDescent="0.2"/>
    <row r="38728" hidden="1" x14ac:dyDescent="0.2"/>
    <row r="38729" hidden="1" x14ac:dyDescent="0.2"/>
    <row r="38730" hidden="1" x14ac:dyDescent="0.2"/>
    <row r="38731" hidden="1" x14ac:dyDescent="0.2"/>
    <row r="38732" hidden="1" x14ac:dyDescent="0.2"/>
    <row r="38733" hidden="1" x14ac:dyDescent="0.2"/>
    <row r="38734" hidden="1" x14ac:dyDescent="0.2"/>
    <row r="38735" hidden="1" x14ac:dyDescent="0.2"/>
    <row r="38736" hidden="1" x14ac:dyDescent="0.2"/>
    <row r="38737" hidden="1" x14ac:dyDescent="0.2"/>
    <row r="38738" hidden="1" x14ac:dyDescent="0.2"/>
    <row r="38739" hidden="1" x14ac:dyDescent="0.2"/>
    <row r="38740" hidden="1" x14ac:dyDescent="0.2"/>
    <row r="38741" hidden="1" x14ac:dyDescent="0.2"/>
    <row r="38742" hidden="1" x14ac:dyDescent="0.2"/>
    <row r="38743" hidden="1" x14ac:dyDescent="0.2"/>
    <row r="38744" hidden="1" x14ac:dyDescent="0.2"/>
    <row r="38745" hidden="1" x14ac:dyDescent="0.2"/>
    <row r="38746" hidden="1" x14ac:dyDescent="0.2"/>
    <row r="38747" hidden="1" x14ac:dyDescent="0.2"/>
    <row r="38748" hidden="1" x14ac:dyDescent="0.2"/>
    <row r="38749" hidden="1" x14ac:dyDescent="0.2"/>
    <row r="38750" hidden="1" x14ac:dyDescent="0.2"/>
    <row r="38751" hidden="1" x14ac:dyDescent="0.2"/>
    <row r="38752" hidden="1" x14ac:dyDescent="0.2"/>
    <row r="38753" hidden="1" x14ac:dyDescent="0.2"/>
    <row r="38754" hidden="1" x14ac:dyDescent="0.2"/>
    <row r="38755" hidden="1" x14ac:dyDescent="0.2"/>
    <row r="38756" hidden="1" x14ac:dyDescent="0.2"/>
    <row r="38757" hidden="1" x14ac:dyDescent="0.2"/>
    <row r="38758" hidden="1" x14ac:dyDescent="0.2"/>
    <row r="38759" hidden="1" x14ac:dyDescent="0.2"/>
    <row r="38760" hidden="1" x14ac:dyDescent="0.2"/>
    <row r="38761" hidden="1" x14ac:dyDescent="0.2"/>
    <row r="38762" hidden="1" x14ac:dyDescent="0.2"/>
    <row r="38763" hidden="1" x14ac:dyDescent="0.2"/>
    <row r="38764" hidden="1" x14ac:dyDescent="0.2"/>
    <row r="38765" hidden="1" x14ac:dyDescent="0.2"/>
    <row r="38766" hidden="1" x14ac:dyDescent="0.2"/>
    <row r="38767" hidden="1" x14ac:dyDescent="0.2"/>
    <row r="38768" hidden="1" x14ac:dyDescent="0.2"/>
    <row r="38769" hidden="1" x14ac:dyDescent="0.2"/>
    <row r="38770" hidden="1" x14ac:dyDescent="0.2"/>
    <row r="38771" hidden="1" x14ac:dyDescent="0.2"/>
    <row r="38772" hidden="1" x14ac:dyDescent="0.2"/>
    <row r="38773" hidden="1" x14ac:dyDescent="0.2"/>
    <row r="38774" hidden="1" x14ac:dyDescent="0.2"/>
    <row r="38775" hidden="1" x14ac:dyDescent="0.2"/>
    <row r="38776" hidden="1" x14ac:dyDescent="0.2"/>
    <row r="38777" hidden="1" x14ac:dyDescent="0.2"/>
    <row r="38778" hidden="1" x14ac:dyDescent="0.2"/>
    <row r="38779" hidden="1" x14ac:dyDescent="0.2"/>
    <row r="38780" hidden="1" x14ac:dyDescent="0.2"/>
    <row r="38781" hidden="1" x14ac:dyDescent="0.2"/>
    <row r="38782" hidden="1" x14ac:dyDescent="0.2"/>
    <row r="38783" hidden="1" x14ac:dyDescent="0.2"/>
    <row r="38784" hidden="1" x14ac:dyDescent="0.2"/>
    <row r="38785" hidden="1" x14ac:dyDescent="0.2"/>
    <row r="38786" hidden="1" x14ac:dyDescent="0.2"/>
    <row r="38787" hidden="1" x14ac:dyDescent="0.2"/>
    <row r="38788" hidden="1" x14ac:dyDescent="0.2"/>
    <row r="38789" hidden="1" x14ac:dyDescent="0.2"/>
    <row r="38790" hidden="1" x14ac:dyDescent="0.2"/>
    <row r="38791" hidden="1" x14ac:dyDescent="0.2"/>
    <row r="38792" hidden="1" x14ac:dyDescent="0.2"/>
    <row r="38793" hidden="1" x14ac:dyDescent="0.2"/>
    <row r="38794" hidden="1" x14ac:dyDescent="0.2"/>
    <row r="38795" hidden="1" x14ac:dyDescent="0.2"/>
    <row r="38796" hidden="1" x14ac:dyDescent="0.2"/>
    <row r="38797" hidden="1" x14ac:dyDescent="0.2"/>
    <row r="38798" hidden="1" x14ac:dyDescent="0.2"/>
    <row r="38799" hidden="1" x14ac:dyDescent="0.2"/>
    <row r="38800" hidden="1" x14ac:dyDescent="0.2"/>
    <row r="38801" hidden="1" x14ac:dyDescent="0.2"/>
    <row r="38802" hidden="1" x14ac:dyDescent="0.2"/>
    <row r="38803" hidden="1" x14ac:dyDescent="0.2"/>
    <row r="38804" hidden="1" x14ac:dyDescent="0.2"/>
    <row r="38805" hidden="1" x14ac:dyDescent="0.2"/>
    <row r="38806" hidden="1" x14ac:dyDescent="0.2"/>
    <row r="38807" hidden="1" x14ac:dyDescent="0.2"/>
    <row r="38808" hidden="1" x14ac:dyDescent="0.2"/>
    <row r="38809" hidden="1" x14ac:dyDescent="0.2"/>
    <row r="38810" hidden="1" x14ac:dyDescent="0.2"/>
    <row r="38811" hidden="1" x14ac:dyDescent="0.2"/>
    <row r="38812" hidden="1" x14ac:dyDescent="0.2"/>
    <row r="38813" hidden="1" x14ac:dyDescent="0.2"/>
    <row r="38814" hidden="1" x14ac:dyDescent="0.2"/>
    <row r="38815" hidden="1" x14ac:dyDescent="0.2"/>
    <row r="38816" hidden="1" x14ac:dyDescent="0.2"/>
    <row r="38817" hidden="1" x14ac:dyDescent="0.2"/>
    <row r="38818" hidden="1" x14ac:dyDescent="0.2"/>
    <row r="38819" hidden="1" x14ac:dyDescent="0.2"/>
    <row r="38820" hidden="1" x14ac:dyDescent="0.2"/>
    <row r="38821" hidden="1" x14ac:dyDescent="0.2"/>
    <row r="38822" hidden="1" x14ac:dyDescent="0.2"/>
    <row r="38823" hidden="1" x14ac:dyDescent="0.2"/>
    <row r="38824" hidden="1" x14ac:dyDescent="0.2"/>
    <row r="38825" hidden="1" x14ac:dyDescent="0.2"/>
    <row r="38826" hidden="1" x14ac:dyDescent="0.2"/>
    <row r="38827" hidden="1" x14ac:dyDescent="0.2"/>
    <row r="38828" hidden="1" x14ac:dyDescent="0.2"/>
    <row r="38829" hidden="1" x14ac:dyDescent="0.2"/>
    <row r="38830" hidden="1" x14ac:dyDescent="0.2"/>
    <row r="38831" hidden="1" x14ac:dyDescent="0.2"/>
    <row r="38832" hidden="1" x14ac:dyDescent="0.2"/>
    <row r="38833" hidden="1" x14ac:dyDescent="0.2"/>
    <row r="38834" hidden="1" x14ac:dyDescent="0.2"/>
    <row r="38835" hidden="1" x14ac:dyDescent="0.2"/>
    <row r="38836" hidden="1" x14ac:dyDescent="0.2"/>
    <row r="38837" hidden="1" x14ac:dyDescent="0.2"/>
    <row r="38838" hidden="1" x14ac:dyDescent="0.2"/>
    <row r="38839" hidden="1" x14ac:dyDescent="0.2"/>
    <row r="38840" hidden="1" x14ac:dyDescent="0.2"/>
    <row r="38841" hidden="1" x14ac:dyDescent="0.2"/>
    <row r="38842" hidden="1" x14ac:dyDescent="0.2"/>
    <row r="38843" hidden="1" x14ac:dyDescent="0.2"/>
    <row r="38844" hidden="1" x14ac:dyDescent="0.2"/>
    <row r="38845" hidden="1" x14ac:dyDescent="0.2"/>
    <row r="38846" hidden="1" x14ac:dyDescent="0.2"/>
    <row r="38847" hidden="1" x14ac:dyDescent="0.2"/>
    <row r="38848" hidden="1" x14ac:dyDescent="0.2"/>
    <row r="38849" hidden="1" x14ac:dyDescent="0.2"/>
    <row r="38850" hidden="1" x14ac:dyDescent="0.2"/>
    <row r="38851" hidden="1" x14ac:dyDescent="0.2"/>
    <row r="38852" hidden="1" x14ac:dyDescent="0.2"/>
    <row r="38853" hidden="1" x14ac:dyDescent="0.2"/>
    <row r="38854" hidden="1" x14ac:dyDescent="0.2"/>
    <row r="38855" hidden="1" x14ac:dyDescent="0.2"/>
    <row r="38856" hidden="1" x14ac:dyDescent="0.2"/>
    <row r="38857" hidden="1" x14ac:dyDescent="0.2"/>
    <row r="38858" hidden="1" x14ac:dyDescent="0.2"/>
    <row r="38859" hidden="1" x14ac:dyDescent="0.2"/>
    <row r="38860" hidden="1" x14ac:dyDescent="0.2"/>
    <row r="38861" hidden="1" x14ac:dyDescent="0.2"/>
    <row r="38862" hidden="1" x14ac:dyDescent="0.2"/>
    <row r="38863" hidden="1" x14ac:dyDescent="0.2"/>
    <row r="38864" hidden="1" x14ac:dyDescent="0.2"/>
    <row r="38865" hidden="1" x14ac:dyDescent="0.2"/>
    <row r="38866" hidden="1" x14ac:dyDescent="0.2"/>
    <row r="38867" hidden="1" x14ac:dyDescent="0.2"/>
    <row r="38868" hidden="1" x14ac:dyDescent="0.2"/>
    <row r="38869" hidden="1" x14ac:dyDescent="0.2"/>
    <row r="38870" hidden="1" x14ac:dyDescent="0.2"/>
    <row r="38871" hidden="1" x14ac:dyDescent="0.2"/>
    <row r="38872" hidden="1" x14ac:dyDescent="0.2"/>
    <row r="38873" hidden="1" x14ac:dyDescent="0.2"/>
    <row r="38874" hidden="1" x14ac:dyDescent="0.2"/>
    <row r="38875" hidden="1" x14ac:dyDescent="0.2"/>
    <row r="38876" hidden="1" x14ac:dyDescent="0.2"/>
    <row r="38877" hidden="1" x14ac:dyDescent="0.2"/>
    <row r="38878" hidden="1" x14ac:dyDescent="0.2"/>
    <row r="38879" hidden="1" x14ac:dyDescent="0.2"/>
    <row r="38880" hidden="1" x14ac:dyDescent="0.2"/>
    <row r="38881" hidden="1" x14ac:dyDescent="0.2"/>
    <row r="38882" hidden="1" x14ac:dyDescent="0.2"/>
    <row r="38883" hidden="1" x14ac:dyDescent="0.2"/>
    <row r="38884" hidden="1" x14ac:dyDescent="0.2"/>
    <row r="38885" hidden="1" x14ac:dyDescent="0.2"/>
    <row r="38886" hidden="1" x14ac:dyDescent="0.2"/>
    <row r="38887" hidden="1" x14ac:dyDescent="0.2"/>
    <row r="38888" hidden="1" x14ac:dyDescent="0.2"/>
    <row r="38889" hidden="1" x14ac:dyDescent="0.2"/>
    <row r="38890" hidden="1" x14ac:dyDescent="0.2"/>
    <row r="38891" hidden="1" x14ac:dyDescent="0.2"/>
    <row r="38892" hidden="1" x14ac:dyDescent="0.2"/>
    <row r="38893" hidden="1" x14ac:dyDescent="0.2"/>
    <row r="38894" hidden="1" x14ac:dyDescent="0.2"/>
    <row r="38895" hidden="1" x14ac:dyDescent="0.2"/>
    <row r="38896" hidden="1" x14ac:dyDescent="0.2"/>
    <row r="38897" hidden="1" x14ac:dyDescent="0.2"/>
    <row r="38898" hidden="1" x14ac:dyDescent="0.2"/>
    <row r="38899" hidden="1" x14ac:dyDescent="0.2"/>
    <row r="38900" hidden="1" x14ac:dyDescent="0.2"/>
    <row r="38901" hidden="1" x14ac:dyDescent="0.2"/>
    <row r="38902" hidden="1" x14ac:dyDescent="0.2"/>
    <row r="38903" hidden="1" x14ac:dyDescent="0.2"/>
    <row r="38904" hidden="1" x14ac:dyDescent="0.2"/>
    <row r="38905" hidden="1" x14ac:dyDescent="0.2"/>
    <row r="38906" hidden="1" x14ac:dyDescent="0.2"/>
    <row r="38907" hidden="1" x14ac:dyDescent="0.2"/>
    <row r="38908" hidden="1" x14ac:dyDescent="0.2"/>
    <row r="38909" hidden="1" x14ac:dyDescent="0.2"/>
    <row r="38910" hidden="1" x14ac:dyDescent="0.2"/>
    <row r="38911" hidden="1" x14ac:dyDescent="0.2"/>
    <row r="38912" hidden="1" x14ac:dyDescent="0.2"/>
    <row r="38913" hidden="1" x14ac:dyDescent="0.2"/>
    <row r="38914" hidden="1" x14ac:dyDescent="0.2"/>
    <row r="38915" hidden="1" x14ac:dyDescent="0.2"/>
    <row r="38916" hidden="1" x14ac:dyDescent="0.2"/>
    <row r="38917" hidden="1" x14ac:dyDescent="0.2"/>
    <row r="38918" hidden="1" x14ac:dyDescent="0.2"/>
    <row r="38919" hidden="1" x14ac:dyDescent="0.2"/>
    <row r="38920" hidden="1" x14ac:dyDescent="0.2"/>
    <row r="38921" hidden="1" x14ac:dyDescent="0.2"/>
    <row r="38922" hidden="1" x14ac:dyDescent="0.2"/>
    <row r="38923" hidden="1" x14ac:dyDescent="0.2"/>
    <row r="38924" hidden="1" x14ac:dyDescent="0.2"/>
    <row r="38925" hidden="1" x14ac:dyDescent="0.2"/>
    <row r="38926" hidden="1" x14ac:dyDescent="0.2"/>
    <row r="38927" hidden="1" x14ac:dyDescent="0.2"/>
    <row r="38928" hidden="1" x14ac:dyDescent="0.2"/>
    <row r="38929" hidden="1" x14ac:dyDescent="0.2"/>
    <row r="38930" hidden="1" x14ac:dyDescent="0.2"/>
    <row r="38931" hidden="1" x14ac:dyDescent="0.2"/>
    <row r="38932" hidden="1" x14ac:dyDescent="0.2"/>
    <row r="38933" hidden="1" x14ac:dyDescent="0.2"/>
    <row r="38934" hidden="1" x14ac:dyDescent="0.2"/>
    <row r="38935" hidden="1" x14ac:dyDescent="0.2"/>
    <row r="38936" hidden="1" x14ac:dyDescent="0.2"/>
    <row r="38937" hidden="1" x14ac:dyDescent="0.2"/>
    <row r="38938" hidden="1" x14ac:dyDescent="0.2"/>
    <row r="38939" hidden="1" x14ac:dyDescent="0.2"/>
    <row r="38940" hidden="1" x14ac:dyDescent="0.2"/>
    <row r="38941" hidden="1" x14ac:dyDescent="0.2"/>
    <row r="38942" hidden="1" x14ac:dyDescent="0.2"/>
    <row r="38943" hidden="1" x14ac:dyDescent="0.2"/>
    <row r="38944" hidden="1" x14ac:dyDescent="0.2"/>
    <row r="38945" hidden="1" x14ac:dyDescent="0.2"/>
    <row r="38946" hidden="1" x14ac:dyDescent="0.2"/>
    <row r="38947" hidden="1" x14ac:dyDescent="0.2"/>
    <row r="38948" hidden="1" x14ac:dyDescent="0.2"/>
    <row r="38949" hidden="1" x14ac:dyDescent="0.2"/>
    <row r="38950" hidden="1" x14ac:dyDescent="0.2"/>
    <row r="38951" hidden="1" x14ac:dyDescent="0.2"/>
    <row r="38952" hidden="1" x14ac:dyDescent="0.2"/>
    <row r="38953" hidden="1" x14ac:dyDescent="0.2"/>
    <row r="38954" hidden="1" x14ac:dyDescent="0.2"/>
    <row r="38955" hidden="1" x14ac:dyDescent="0.2"/>
    <row r="38956" hidden="1" x14ac:dyDescent="0.2"/>
    <row r="38957" hidden="1" x14ac:dyDescent="0.2"/>
    <row r="38958" hidden="1" x14ac:dyDescent="0.2"/>
    <row r="38959" hidden="1" x14ac:dyDescent="0.2"/>
    <row r="38960" hidden="1" x14ac:dyDescent="0.2"/>
    <row r="38961" hidden="1" x14ac:dyDescent="0.2"/>
    <row r="38962" hidden="1" x14ac:dyDescent="0.2"/>
    <row r="38963" hidden="1" x14ac:dyDescent="0.2"/>
    <row r="38964" hidden="1" x14ac:dyDescent="0.2"/>
    <row r="38965" hidden="1" x14ac:dyDescent="0.2"/>
    <row r="38966" hidden="1" x14ac:dyDescent="0.2"/>
    <row r="38967" hidden="1" x14ac:dyDescent="0.2"/>
    <row r="38968" hidden="1" x14ac:dyDescent="0.2"/>
    <row r="38969" hidden="1" x14ac:dyDescent="0.2"/>
    <row r="38970" hidden="1" x14ac:dyDescent="0.2"/>
    <row r="38971" hidden="1" x14ac:dyDescent="0.2"/>
    <row r="38972" hidden="1" x14ac:dyDescent="0.2"/>
    <row r="38973" hidden="1" x14ac:dyDescent="0.2"/>
    <row r="38974" hidden="1" x14ac:dyDescent="0.2"/>
    <row r="38975" hidden="1" x14ac:dyDescent="0.2"/>
    <row r="38976" hidden="1" x14ac:dyDescent="0.2"/>
    <row r="38977" hidden="1" x14ac:dyDescent="0.2"/>
    <row r="38978" hidden="1" x14ac:dyDescent="0.2"/>
    <row r="38979" hidden="1" x14ac:dyDescent="0.2"/>
    <row r="38980" hidden="1" x14ac:dyDescent="0.2"/>
    <row r="38981" hidden="1" x14ac:dyDescent="0.2"/>
    <row r="38982" hidden="1" x14ac:dyDescent="0.2"/>
    <row r="38983" hidden="1" x14ac:dyDescent="0.2"/>
    <row r="38984" hidden="1" x14ac:dyDescent="0.2"/>
    <row r="38985" hidden="1" x14ac:dyDescent="0.2"/>
    <row r="38986" hidden="1" x14ac:dyDescent="0.2"/>
    <row r="38987" hidden="1" x14ac:dyDescent="0.2"/>
    <row r="38988" hidden="1" x14ac:dyDescent="0.2"/>
    <row r="38989" hidden="1" x14ac:dyDescent="0.2"/>
    <row r="38990" hidden="1" x14ac:dyDescent="0.2"/>
    <row r="38991" hidden="1" x14ac:dyDescent="0.2"/>
    <row r="38992" hidden="1" x14ac:dyDescent="0.2"/>
    <row r="38993" hidden="1" x14ac:dyDescent="0.2"/>
    <row r="38994" hidden="1" x14ac:dyDescent="0.2"/>
    <row r="38995" hidden="1" x14ac:dyDescent="0.2"/>
    <row r="38996" hidden="1" x14ac:dyDescent="0.2"/>
    <row r="38997" hidden="1" x14ac:dyDescent="0.2"/>
    <row r="38998" hidden="1" x14ac:dyDescent="0.2"/>
    <row r="38999" hidden="1" x14ac:dyDescent="0.2"/>
    <row r="39000" hidden="1" x14ac:dyDescent="0.2"/>
    <row r="39001" hidden="1" x14ac:dyDescent="0.2"/>
    <row r="39002" hidden="1" x14ac:dyDescent="0.2"/>
    <row r="39003" hidden="1" x14ac:dyDescent="0.2"/>
    <row r="39004" hidden="1" x14ac:dyDescent="0.2"/>
    <row r="39005" hidden="1" x14ac:dyDescent="0.2"/>
    <row r="39006" hidden="1" x14ac:dyDescent="0.2"/>
    <row r="39007" hidden="1" x14ac:dyDescent="0.2"/>
    <row r="39008" hidden="1" x14ac:dyDescent="0.2"/>
    <row r="39009" hidden="1" x14ac:dyDescent="0.2"/>
    <row r="39010" hidden="1" x14ac:dyDescent="0.2"/>
    <row r="39011" hidden="1" x14ac:dyDescent="0.2"/>
    <row r="39012" hidden="1" x14ac:dyDescent="0.2"/>
    <row r="39013" hidden="1" x14ac:dyDescent="0.2"/>
    <row r="39014" hidden="1" x14ac:dyDescent="0.2"/>
    <row r="39015" hidden="1" x14ac:dyDescent="0.2"/>
    <row r="39016" hidden="1" x14ac:dyDescent="0.2"/>
    <row r="39017" hidden="1" x14ac:dyDescent="0.2"/>
    <row r="39018" hidden="1" x14ac:dyDescent="0.2"/>
    <row r="39019" hidden="1" x14ac:dyDescent="0.2"/>
    <row r="39020" hidden="1" x14ac:dyDescent="0.2"/>
    <row r="39021" hidden="1" x14ac:dyDescent="0.2"/>
    <row r="39022" hidden="1" x14ac:dyDescent="0.2"/>
    <row r="39023" hidden="1" x14ac:dyDescent="0.2"/>
    <row r="39024" hidden="1" x14ac:dyDescent="0.2"/>
    <row r="39025" hidden="1" x14ac:dyDescent="0.2"/>
    <row r="39026" hidden="1" x14ac:dyDescent="0.2"/>
    <row r="39027" hidden="1" x14ac:dyDescent="0.2"/>
    <row r="39028" hidden="1" x14ac:dyDescent="0.2"/>
    <row r="39029" hidden="1" x14ac:dyDescent="0.2"/>
    <row r="39030" hidden="1" x14ac:dyDescent="0.2"/>
    <row r="39031" hidden="1" x14ac:dyDescent="0.2"/>
    <row r="39032" hidden="1" x14ac:dyDescent="0.2"/>
    <row r="39033" hidden="1" x14ac:dyDescent="0.2"/>
    <row r="39034" hidden="1" x14ac:dyDescent="0.2"/>
    <row r="39035" hidden="1" x14ac:dyDescent="0.2"/>
    <row r="39036" hidden="1" x14ac:dyDescent="0.2"/>
    <row r="39037" hidden="1" x14ac:dyDescent="0.2"/>
    <row r="39038" hidden="1" x14ac:dyDescent="0.2"/>
    <row r="39039" hidden="1" x14ac:dyDescent="0.2"/>
    <row r="39040" hidden="1" x14ac:dyDescent="0.2"/>
    <row r="39041" hidden="1" x14ac:dyDescent="0.2"/>
    <row r="39042" hidden="1" x14ac:dyDescent="0.2"/>
    <row r="39043" hidden="1" x14ac:dyDescent="0.2"/>
    <row r="39044" hidden="1" x14ac:dyDescent="0.2"/>
    <row r="39045" hidden="1" x14ac:dyDescent="0.2"/>
    <row r="39046" hidden="1" x14ac:dyDescent="0.2"/>
    <row r="39047" hidden="1" x14ac:dyDescent="0.2"/>
    <row r="39048" hidden="1" x14ac:dyDescent="0.2"/>
    <row r="39049" hidden="1" x14ac:dyDescent="0.2"/>
    <row r="39050" hidden="1" x14ac:dyDescent="0.2"/>
    <row r="39051" hidden="1" x14ac:dyDescent="0.2"/>
    <row r="39052" hidden="1" x14ac:dyDescent="0.2"/>
    <row r="39053" hidden="1" x14ac:dyDescent="0.2"/>
    <row r="39054" hidden="1" x14ac:dyDescent="0.2"/>
    <row r="39055" hidden="1" x14ac:dyDescent="0.2"/>
    <row r="39056" hidden="1" x14ac:dyDescent="0.2"/>
    <row r="39057" hidden="1" x14ac:dyDescent="0.2"/>
    <row r="39058" hidden="1" x14ac:dyDescent="0.2"/>
    <row r="39059" hidden="1" x14ac:dyDescent="0.2"/>
    <row r="39060" hidden="1" x14ac:dyDescent="0.2"/>
    <row r="39061" hidden="1" x14ac:dyDescent="0.2"/>
    <row r="39062" hidden="1" x14ac:dyDescent="0.2"/>
    <row r="39063" hidden="1" x14ac:dyDescent="0.2"/>
    <row r="39064" hidden="1" x14ac:dyDescent="0.2"/>
    <row r="39065" hidden="1" x14ac:dyDescent="0.2"/>
    <row r="39066" hidden="1" x14ac:dyDescent="0.2"/>
    <row r="39067" hidden="1" x14ac:dyDescent="0.2"/>
    <row r="39068" hidden="1" x14ac:dyDescent="0.2"/>
    <row r="39069" hidden="1" x14ac:dyDescent="0.2"/>
    <row r="39070" hidden="1" x14ac:dyDescent="0.2"/>
    <row r="39071" hidden="1" x14ac:dyDescent="0.2"/>
    <row r="39072" hidden="1" x14ac:dyDescent="0.2"/>
    <row r="39073" hidden="1" x14ac:dyDescent="0.2"/>
    <row r="39074" hidden="1" x14ac:dyDescent="0.2"/>
    <row r="39075" hidden="1" x14ac:dyDescent="0.2"/>
    <row r="39076" hidden="1" x14ac:dyDescent="0.2"/>
    <row r="39077" hidden="1" x14ac:dyDescent="0.2"/>
    <row r="39078" hidden="1" x14ac:dyDescent="0.2"/>
    <row r="39079" hidden="1" x14ac:dyDescent="0.2"/>
    <row r="39080" hidden="1" x14ac:dyDescent="0.2"/>
    <row r="39081" hidden="1" x14ac:dyDescent="0.2"/>
    <row r="39082" hidden="1" x14ac:dyDescent="0.2"/>
    <row r="39083" hidden="1" x14ac:dyDescent="0.2"/>
    <row r="39084" hidden="1" x14ac:dyDescent="0.2"/>
    <row r="39085" hidden="1" x14ac:dyDescent="0.2"/>
    <row r="39086" hidden="1" x14ac:dyDescent="0.2"/>
    <row r="39087" hidden="1" x14ac:dyDescent="0.2"/>
    <row r="39088" hidden="1" x14ac:dyDescent="0.2"/>
    <row r="39089" hidden="1" x14ac:dyDescent="0.2"/>
    <row r="39090" hidden="1" x14ac:dyDescent="0.2"/>
    <row r="39091" hidden="1" x14ac:dyDescent="0.2"/>
    <row r="39092" hidden="1" x14ac:dyDescent="0.2"/>
    <row r="39093" hidden="1" x14ac:dyDescent="0.2"/>
    <row r="39094" hidden="1" x14ac:dyDescent="0.2"/>
    <row r="39095" hidden="1" x14ac:dyDescent="0.2"/>
    <row r="39096" hidden="1" x14ac:dyDescent="0.2"/>
    <row r="39097" hidden="1" x14ac:dyDescent="0.2"/>
    <row r="39098" hidden="1" x14ac:dyDescent="0.2"/>
    <row r="39099" hidden="1" x14ac:dyDescent="0.2"/>
    <row r="39100" hidden="1" x14ac:dyDescent="0.2"/>
    <row r="39101" hidden="1" x14ac:dyDescent="0.2"/>
    <row r="39102" hidden="1" x14ac:dyDescent="0.2"/>
    <row r="39103" hidden="1" x14ac:dyDescent="0.2"/>
    <row r="39104" hidden="1" x14ac:dyDescent="0.2"/>
    <row r="39105" hidden="1" x14ac:dyDescent="0.2"/>
    <row r="39106" hidden="1" x14ac:dyDescent="0.2"/>
    <row r="39107" hidden="1" x14ac:dyDescent="0.2"/>
    <row r="39108" hidden="1" x14ac:dyDescent="0.2"/>
    <row r="39109" hidden="1" x14ac:dyDescent="0.2"/>
    <row r="39110" hidden="1" x14ac:dyDescent="0.2"/>
    <row r="39111" hidden="1" x14ac:dyDescent="0.2"/>
    <row r="39112" hidden="1" x14ac:dyDescent="0.2"/>
    <row r="39113" hidden="1" x14ac:dyDescent="0.2"/>
    <row r="39114" hidden="1" x14ac:dyDescent="0.2"/>
    <row r="39115" hidden="1" x14ac:dyDescent="0.2"/>
    <row r="39116" hidden="1" x14ac:dyDescent="0.2"/>
    <row r="39117" hidden="1" x14ac:dyDescent="0.2"/>
    <row r="39118" hidden="1" x14ac:dyDescent="0.2"/>
    <row r="39119" hidden="1" x14ac:dyDescent="0.2"/>
    <row r="39120" hidden="1" x14ac:dyDescent="0.2"/>
    <row r="39121" hidden="1" x14ac:dyDescent="0.2"/>
    <row r="39122" hidden="1" x14ac:dyDescent="0.2"/>
    <row r="39123" hidden="1" x14ac:dyDescent="0.2"/>
    <row r="39124" hidden="1" x14ac:dyDescent="0.2"/>
    <row r="39125" hidden="1" x14ac:dyDescent="0.2"/>
    <row r="39126" hidden="1" x14ac:dyDescent="0.2"/>
    <row r="39127" hidden="1" x14ac:dyDescent="0.2"/>
    <row r="39128" hidden="1" x14ac:dyDescent="0.2"/>
    <row r="39129" hidden="1" x14ac:dyDescent="0.2"/>
    <row r="39130" hidden="1" x14ac:dyDescent="0.2"/>
    <row r="39131" hidden="1" x14ac:dyDescent="0.2"/>
    <row r="39132" hidden="1" x14ac:dyDescent="0.2"/>
    <row r="39133" hidden="1" x14ac:dyDescent="0.2"/>
    <row r="39134" hidden="1" x14ac:dyDescent="0.2"/>
    <row r="39135" hidden="1" x14ac:dyDescent="0.2"/>
    <row r="39136" hidden="1" x14ac:dyDescent="0.2"/>
    <row r="39137" hidden="1" x14ac:dyDescent="0.2"/>
    <row r="39138" hidden="1" x14ac:dyDescent="0.2"/>
    <row r="39139" hidden="1" x14ac:dyDescent="0.2"/>
    <row r="39140" hidden="1" x14ac:dyDescent="0.2"/>
    <row r="39141" hidden="1" x14ac:dyDescent="0.2"/>
    <row r="39142" hidden="1" x14ac:dyDescent="0.2"/>
    <row r="39143" hidden="1" x14ac:dyDescent="0.2"/>
    <row r="39144" hidden="1" x14ac:dyDescent="0.2"/>
    <row r="39145" hidden="1" x14ac:dyDescent="0.2"/>
    <row r="39146" hidden="1" x14ac:dyDescent="0.2"/>
    <row r="39147" hidden="1" x14ac:dyDescent="0.2"/>
    <row r="39148" hidden="1" x14ac:dyDescent="0.2"/>
    <row r="39149" hidden="1" x14ac:dyDescent="0.2"/>
    <row r="39150" hidden="1" x14ac:dyDescent="0.2"/>
    <row r="39151" hidden="1" x14ac:dyDescent="0.2"/>
    <row r="39152" hidden="1" x14ac:dyDescent="0.2"/>
    <row r="39153" hidden="1" x14ac:dyDescent="0.2"/>
    <row r="39154" hidden="1" x14ac:dyDescent="0.2"/>
    <row r="39155" hidden="1" x14ac:dyDescent="0.2"/>
    <row r="39156" hidden="1" x14ac:dyDescent="0.2"/>
    <row r="39157" hidden="1" x14ac:dyDescent="0.2"/>
    <row r="39158" hidden="1" x14ac:dyDescent="0.2"/>
    <row r="39159" hidden="1" x14ac:dyDescent="0.2"/>
    <row r="39160" hidden="1" x14ac:dyDescent="0.2"/>
    <row r="39161" hidden="1" x14ac:dyDescent="0.2"/>
    <row r="39162" hidden="1" x14ac:dyDescent="0.2"/>
    <row r="39163" hidden="1" x14ac:dyDescent="0.2"/>
    <row r="39164" hidden="1" x14ac:dyDescent="0.2"/>
    <row r="39165" hidden="1" x14ac:dyDescent="0.2"/>
    <row r="39166" hidden="1" x14ac:dyDescent="0.2"/>
    <row r="39167" hidden="1" x14ac:dyDescent="0.2"/>
    <row r="39168" hidden="1" x14ac:dyDescent="0.2"/>
    <row r="39169" hidden="1" x14ac:dyDescent="0.2"/>
    <row r="39170" hidden="1" x14ac:dyDescent="0.2"/>
    <row r="39171" hidden="1" x14ac:dyDescent="0.2"/>
    <row r="39172" hidden="1" x14ac:dyDescent="0.2"/>
    <row r="39173" hidden="1" x14ac:dyDescent="0.2"/>
    <row r="39174" hidden="1" x14ac:dyDescent="0.2"/>
    <row r="39175" hidden="1" x14ac:dyDescent="0.2"/>
    <row r="39176" hidden="1" x14ac:dyDescent="0.2"/>
    <row r="39177" hidden="1" x14ac:dyDescent="0.2"/>
    <row r="39178" hidden="1" x14ac:dyDescent="0.2"/>
    <row r="39179" hidden="1" x14ac:dyDescent="0.2"/>
    <row r="39180" hidden="1" x14ac:dyDescent="0.2"/>
    <row r="39181" hidden="1" x14ac:dyDescent="0.2"/>
    <row r="39182" hidden="1" x14ac:dyDescent="0.2"/>
    <row r="39183" hidden="1" x14ac:dyDescent="0.2"/>
    <row r="39184" hidden="1" x14ac:dyDescent="0.2"/>
    <row r="39185" hidden="1" x14ac:dyDescent="0.2"/>
    <row r="39186" hidden="1" x14ac:dyDescent="0.2"/>
    <row r="39187" hidden="1" x14ac:dyDescent="0.2"/>
    <row r="39188" hidden="1" x14ac:dyDescent="0.2"/>
    <row r="39189" hidden="1" x14ac:dyDescent="0.2"/>
    <row r="39190" hidden="1" x14ac:dyDescent="0.2"/>
    <row r="39191" hidden="1" x14ac:dyDescent="0.2"/>
    <row r="39192" hidden="1" x14ac:dyDescent="0.2"/>
    <row r="39193" hidden="1" x14ac:dyDescent="0.2"/>
    <row r="39194" hidden="1" x14ac:dyDescent="0.2"/>
    <row r="39195" hidden="1" x14ac:dyDescent="0.2"/>
    <row r="39196" hidden="1" x14ac:dyDescent="0.2"/>
    <row r="39197" hidden="1" x14ac:dyDescent="0.2"/>
    <row r="39198" hidden="1" x14ac:dyDescent="0.2"/>
    <row r="39199" hidden="1" x14ac:dyDescent="0.2"/>
    <row r="39200" hidden="1" x14ac:dyDescent="0.2"/>
    <row r="39201" hidden="1" x14ac:dyDescent="0.2"/>
    <row r="39202" hidden="1" x14ac:dyDescent="0.2"/>
    <row r="39203" hidden="1" x14ac:dyDescent="0.2"/>
    <row r="39204" hidden="1" x14ac:dyDescent="0.2"/>
    <row r="39205" hidden="1" x14ac:dyDescent="0.2"/>
    <row r="39206" hidden="1" x14ac:dyDescent="0.2"/>
    <row r="39207" hidden="1" x14ac:dyDescent="0.2"/>
    <row r="39208" hidden="1" x14ac:dyDescent="0.2"/>
    <row r="39209" hidden="1" x14ac:dyDescent="0.2"/>
    <row r="39210" hidden="1" x14ac:dyDescent="0.2"/>
    <row r="39211" hidden="1" x14ac:dyDescent="0.2"/>
    <row r="39212" hidden="1" x14ac:dyDescent="0.2"/>
    <row r="39213" hidden="1" x14ac:dyDescent="0.2"/>
    <row r="39214" hidden="1" x14ac:dyDescent="0.2"/>
    <row r="39215" hidden="1" x14ac:dyDescent="0.2"/>
    <row r="39216" hidden="1" x14ac:dyDescent="0.2"/>
    <row r="39217" hidden="1" x14ac:dyDescent="0.2"/>
    <row r="39218" hidden="1" x14ac:dyDescent="0.2"/>
    <row r="39219" hidden="1" x14ac:dyDescent="0.2"/>
    <row r="39220" hidden="1" x14ac:dyDescent="0.2"/>
    <row r="39221" hidden="1" x14ac:dyDescent="0.2"/>
    <row r="39222" hidden="1" x14ac:dyDescent="0.2"/>
    <row r="39223" hidden="1" x14ac:dyDescent="0.2"/>
    <row r="39224" hidden="1" x14ac:dyDescent="0.2"/>
    <row r="39225" hidden="1" x14ac:dyDescent="0.2"/>
    <row r="39226" hidden="1" x14ac:dyDescent="0.2"/>
    <row r="39227" hidden="1" x14ac:dyDescent="0.2"/>
    <row r="39228" hidden="1" x14ac:dyDescent="0.2"/>
    <row r="39229" hidden="1" x14ac:dyDescent="0.2"/>
    <row r="39230" hidden="1" x14ac:dyDescent="0.2"/>
    <row r="39231" hidden="1" x14ac:dyDescent="0.2"/>
    <row r="39232" hidden="1" x14ac:dyDescent="0.2"/>
    <row r="39233" hidden="1" x14ac:dyDescent="0.2"/>
    <row r="39234" hidden="1" x14ac:dyDescent="0.2"/>
    <row r="39235" hidden="1" x14ac:dyDescent="0.2"/>
    <row r="39236" hidden="1" x14ac:dyDescent="0.2"/>
    <row r="39237" hidden="1" x14ac:dyDescent="0.2"/>
    <row r="39238" hidden="1" x14ac:dyDescent="0.2"/>
    <row r="39239" hidden="1" x14ac:dyDescent="0.2"/>
    <row r="39240" hidden="1" x14ac:dyDescent="0.2"/>
    <row r="39241" hidden="1" x14ac:dyDescent="0.2"/>
    <row r="39242" hidden="1" x14ac:dyDescent="0.2"/>
    <row r="39243" hidden="1" x14ac:dyDescent="0.2"/>
    <row r="39244" hidden="1" x14ac:dyDescent="0.2"/>
    <row r="39245" hidden="1" x14ac:dyDescent="0.2"/>
    <row r="39246" hidden="1" x14ac:dyDescent="0.2"/>
    <row r="39247" hidden="1" x14ac:dyDescent="0.2"/>
    <row r="39248" hidden="1" x14ac:dyDescent="0.2"/>
    <row r="39249" hidden="1" x14ac:dyDescent="0.2"/>
    <row r="39250" hidden="1" x14ac:dyDescent="0.2"/>
    <row r="39251" hidden="1" x14ac:dyDescent="0.2"/>
    <row r="39252" hidden="1" x14ac:dyDescent="0.2"/>
    <row r="39253" hidden="1" x14ac:dyDescent="0.2"/>
    <row r="39254" hidden="1" x14ac:dyDescent="0.2"/>
    <row r="39255" hidden="1" x14ac:dyDescent="0.2"/>
    <row r="39256" hidden="1" x14ac:dyDescent="0.2"/>
    <row r="39257" hidden="1" x14ac:dyDescent="0.2"/>
    <row r="39258" hidden="1" x14ac:dyDescent="0.2"/>
    <row r="39259" hidden="1" x14ac:dyDescent="0.2"/>
    <row r="39260" hidden="1" x14ac:dyDescent="0.2"/>
    <row r="39261" hidden="1" x14ac:dyDescent="0.2"/>
    <row r="39262" hidden="1" x14ac:dyDescent="0.2"/>
    <row r="39263" hidden="1" x14ac:dyDescent="0.2"/>
    <row r="39264" hidden="1" x14ac:dyDescent="0.2"/>
    <row r="39265" hidden="1" x14ac:dyDescent="0.2"/>
    <row r="39266" hidden="1" x14ac:dyDescent="0.2"/>
    <row r="39267" hidden="1" x14ac:dyDescent="0.2"/>
    <row r="39268" hidden="1" x14ac:dyDescent="0.2"/>
    <row r="39269" hidden="1" x14ac:dyDescent="0.2"/>
    <row r="39270" hidden="1" x14ac:dyDescent="0.2"/>
    <row r="39271" hidden="1" x14ac:dyDescent="0.2"/>
    <row r="39272" hidden="1" x14ac:dyDescent="0.2"/>
    <row r="39273" hidden="1" x14ac:dyDescent="0.2"/>
    <row r="39274" hidden="1" x14ac:dyDescent="0.2"/>
    <row r="39275" hidden="1" x14ac:dyDescent="0.2"/>
    <row r="39276" hidden="1" x14ac:dyDescent="0.2"/>
    <row r="39277" hidden="1" x14ac:dyDescent="0.2"/>
    <row r="39278" hidden="1" x14ac:dyDescent="0.2"/>
    <row r="39279" hidden="1" x14ac:dyDescent="0.2"/>
    <row r="39280" hidden="1" x14ac:dyDescent="0.2"/>
    <row r="39281" hidden="1" x14ac:dyDescent="0.2"/>
    <row r="39282" hidden="1" x14ac:dyDescent="0.2"/>
    <row r="39283" hidden="1" x14ac:dyDescent="0.2"/>
    <row r="39284" hidden="1" x14ac:dyDescent="0.2"/>
    <row r="39285" hidden="1" x14ac:dyDescent="0.2"/>
    <row r="39286" hidden="1" x14ac:dyDescent="0.2"/>
    <row r="39287" hidden="1" x14ac:dyDescent="0.2"/>
    <row r="39288" hidden="1" x14ac:dyDescent="0.2"/>
    <row r="39289" hidden="1" x14ac:dyDescent="0.2"/>
    <row r="39290" hidden="1" x14ac:dyDescent="0.2"/>
    <row r="39291" hidden="1" x14ac:dyDescent="0.2"/>
    <row r="39292" hidden="1" x14ac:dyDescent="0.2"/>
    <row r="39293" hidden="1" x14ac:dyDescent="0.2"/>
    <row r="39294" hidden="1" x14ac:dyDescent="0.2"/>
    <row r="39295" hidden="1" x14ac:dyDescent="0.2"/>
    <row r="39296" hidden="1" x14ac:dyDescent="0.2"/>
    <row r="39297" hidden="1" x14ac:dyDescent="0.2"/>
    <row r="39298" hidden="1" x14ac:dyDescent="0.2"/>
    <row r="39299" hidden="1" x14ac:dyDescent="0.2"/>
    <row r="39300" hidden="1" x14ac:dyDescent="0.2"/>
    <row r="39301" hidden="1" x14ac:dyDescent="0.2"/>
    <row r="39302" hidden="1" x14ac:dyDescent="0.2"/>
    <row r="39303" hidden="1" x14ac:dyDescent="0.2"/>
    <row r="39304" hidden="1" x14ac:dyDescent="0.2"/>
    <row r="39305" hidden="1" x14ac:dyDescent="0.2"/>
    <row r="39306" hidden="1" x14ac:dyDescent="0.2"/>
    <row r="39307" hidden="1" x14ac:dyDescent="0.2"/>
    <row r="39308" hidden="1" x14ac:dyDescent="0.2"/>
    <row r="39309" hidden="1" x14ac:dyDescent="0.2"/>
    <row r="39310" hidden="1" x14ac:dyDescent="0.2"/>
    <row r="39311" hidden="1" x14ac:dyDescent="0.2"/>
    <row r="39312" hidden="1" x14ac:dyDescent="0.2"/>
    <row r="39313" hidden="1" x14ac:dyDescent="0.2"/>
    <row r="39314" hidden="1" x14ac:dyDescent="0.2"/>
    <row r="39315" hidden="1" x14ac:dyDescent="0.2"/>
    <row r="39316" hidden="1" x14ac:dyDescent="0.2"/>
    <row r="39317" hidden="1" x14ac:dyDescent="0.2"/>
    <row r="39318" hidden="1" x14ac:dyDescent="0.2"/>
    <row r="39319" hidden="1" x14ac:dyDescent="0.2"/>
    <row r="39320" hidden="1" x14ac:dyDescent="0.2"/>
    <row r="39321" hidden="1" x14ac:dyDescent="0.2"/>
    <row r="39322" hidden="1" x14ac:dyDescent="0.2"/>
    <row r="39323" hidden="1" x14ac:dyDescent="0.2"/>
    <row r="39324" hidden="1" x14ac:dyDescent="0.2"/>
    <row r="39325" hidden="1" x14ac:dyDescent="0.2"/>
    <row r="39326" hidden="1" x14ac:dyDescent="0.2"/>
    <row r="39327" hidden="1" x14ac:dyDescent="0.2"/>
    <row r="39328" hidden="1" x14ac:dyDescent="0.2"/>
    <row r="39329" hidden="1" x14ac:dyDescent="0.2"/>
    <row r="39330" hidden="1" x14ac:dyDescent="0.2"/>
    <row r="39331" hidden="1" x14ac:dyDescent="0.2"/>
    <row r="39332" hidden="1" x14ac:dyDescent="0.2"/>
    <row r="39333" hidden="1" x14ac:dyDescent="0.2"/>
    <row r="39334" hidden="1" x14ac:dyDescent="0.2"/>
    <row r="39335" hidden="1" x14ac:dyDescent="0.2"/>
    <row r="39336" hidden="1" x14ac:dyDescent="0.2"/>
    <row r="39337" hidden="1" x14ac:dyDescent="0.2"/>
    <row r="39338" hidden="1" x14ac:dyDescent="0.2"/>
    <row r="39339" hidden="1" x14ac:dyDescent="0.2"/>
    <row r="39340" hidden="1" x14ac:dyDescent="0.2"/>
    <row r="39341" hidden="1" x14ac:dyDescent="0.2"/>
    <row r="39342" hidden="1" x14ac:dyDescent="0.2"/>
    <row r="39343" hidden="1" x14ac:dyDescent="0.2"/>
    <row r="39344" hidden="1" x14ac:dyDescent="0.2"/>
    <row r="39345" hidden="1" x14ac:dyDescent="0.2"/>
    <row r="39346" hidden="1" x14ac:dyDescent="0.2"/>
    <row r="39347" hidden="1" x14ac:dyDescent="0.2"/>
    <row r="39348" hidden="1" x14ac:dyDescent="0.2"/>
    <row r="39349" hidden="1" x14ac:dyDescent="0.2"/>
    <row r="39350" hidden="1" x14ac:dyDescent="0.2"/>
    <row r="39351" hidden="1" x14ac:dyDescent="0.2"/>
    <row r="39352" hidden="1" x14ac:dyDescent="0.2"/>
    <row r="39353" hidden="1" x14ac:dyDescent="0.2"/>
    <row r="39354" hidden="1" x14ac:dyDescent="0.2"/>
    <row r="39355" hidden="1" x14ac:dyDescent="0.2"/>
    <row r="39356" hidden="1" x14ac:dyDescent="0.2"/>
    <row r="39357" hidden="1" x14ac:dyDescent="0.2"/>
    <row r="39358" hidden="1" x14ac:dyDescent="0.2"/>
    <row r="39359" hidden="1" x14ac:dyDescent="0.2"/>
    <row r="39360" hidden="1" x14ac:dyDescent="0.2"/>
    <row r="39361" hidden="1" x14ac:dyDescent="0.2"/>
    <row r="39362" hidden="1" x14ac:dyDescent="0.2"/>
    <row r="39363" hidden="1" x14ac:dyDescent="0.2"/>
    <row r="39364" hidden="1" x14ac:dyDescent="0.2"/>
    <row r="39365" hidden="1" x14ac:dyDescent="0.2"/>
    <row r="39366" hidden="1" x14ac:dyDescent="0.2"/>
    <row r="39367" hidden="1" x14ac:dyDescent="0.2"/>
    <row r="39368" hidden="1" x14ac:dyDescent="0.2"/>
    <row r="39369" hidden="1" x14ac:dyDescent="0.2"/>
    <row r="39370" hidden="1" x14ac:dyDescent="0.2"/>
    <row r="39371" hidden="1" x14ac:dyDescent="0.2"/>
    <row r="39372" hidden="1" x14ac:dyDescent="0.2"/>
    <row r="39373" hidden="1" x14ac:dyDescent="0.2"/>
    <row r="39374" hidden="1" x14ac:dyDescent="0.2"/>
    <row r="39375" hidden="1" x14ac:dyDescent="0.2"/>
    <row r="39376" hidden="1" x14ac:dyDescent="0.2"/>
    <row r="39377" hidden="1" x14ac:dyDescent="0.2"/>
    <row r="39378" hidden="1" x14ac:dyDescent="0.2"/>
    <row r="39379" hidden="1" x14ac:dyDescent="0.2"/>
    <row r="39380" hidden="1" x14ac:dyDescent="0.2"/>
    <row r="39381" hidden="1" x14ac:dyDescent="0.2"/>
    <row r="39382" hidden="1" x14ac:dyDescent="0.2"/>
    <row r="39383" hidden="1" x14ac:dyDescent="0.2"/>
    <row r="39384" hidden="1" x14ac:dyDescent="0.2"/>
    <row r="39385" hidden="1" x14ac:dyDescent="0.2"/>
    <row r="39386" hidden="1" x14ac:dyDescent="0.2"/>
    <row r="39387" hidden="1" x14ac:dyDescent="0.2"/>
    <row r="39388" hidden="1" x14ac:dyDescent="0.2"/>
    <row r="39389" hidden="1" x14ac:dyDescent="0.2"/>
    <row r="39390" hidden="1" x14ac:dyDescent="0.2"/>
    <row r="39391" hidden="1" x14ac:dyDescent="0.2"/>
    <row r="39392" hidden="1" x14ac:dyDescent="0.2"/>
    <row r="39393" hidden="1" x14ac:dyDescent="0.2"/>
    <row r="39394" hidden="1" x14ac:dyDescent="0.2"/>
    <row r="39395" hidden="1" x14ac:dyDescent="0.2"/>
    <row r="39396" hidden="1" x14ac:dyDescent="0.2"/>
    <row r="39397" hidden="1" x14ac:dyDescent="0.2"/>
    <row r="39398" hidden="1" x14ac:dyDescent="0.2"/>
    <row r="39399" hidden="1" x14ac:dyDescent="0.2"/>
    <row r="39400" hidden="1" x14ac:dyDescent="0.2"/>
    <row r="39401" hidden="1" x14ac:dyDescent="0.2"/>
    <row r="39402" hidden="1" x14ac:dyDescent="0.2"/>
    <row r="39403" hidden="1" x14ac:dyDescent="0.2"/>
    <row r="39404" hidden="1" x14ac:dyDescent="0.2"/>
    <row r="39405" hidden="1" x14ac:dyDescent="0.2"/>
    <row r="39406" hidden="1" x14ac:dyDescent="0.2"/>
    <row r="39407" hidden="1" x14ac:dyDescent="0.2"/>
    <row r="39408" hidden="1" x14ac:dyDescent="0.2"/>
    <row r="39409" hidden="1" x14ac:dyDescent="0.2"/>
    <row r="39410" hidden="1" x14ac:dyDescent="0.2"/>
    <row r="39411" hidden="1" x14ac:dyDescent="0.2"/>
    <row r="39412" hidden="1" x14ac:dyDescent="0.2"/>
    <row r="39413" hidden="1" x14ac:dyDescent="0.2"/>
    <row r="39414" hidden="1" x14ac:dyDescent="0.2"/>
    <row r="39415" hidden="1" x14ac:dyDescent="0.2"/>
    <row r="39416" hidden="1" x14ac:dyDescent="0.2"/>
    <row r="39417" hidden="1" x14ac:dyDescent="0.2"/>
    <row r="39418" hidden="1" x14ac:dyDescent="0.2"/>
    <row r="39419" hidden="1" x14ac:dyDescent="0.2"/>
    <row r="39420" hidden="1" x14ac:dyDescent="0.2"/>
    <row r="39421" hidden="1" x14ac:dyDescent="0.2"/>
    <row r="39422" hidden="1" x14ac:dyDescent="0.2"/>
    <row r="39423" hidden="1" x14ac:dyDescent="0.2"/>
    <row r="39424" hidden="1" x14ac:dyDescent="0.2"/>
    <row r="39425" hidden="1" x14ac:dyDescent="0.2"/>
    <row r="39426" hidden="1" x14ac:dyDescent="0.2"/>
    <row r="39427" hidden="1" x14ac:dyDescent="0.2"/>
    <row r="39428" hidden="1" x14ac:dyDescent="0.2"/>
    <row r="39429" hidden="1" x14ac:dyDescent="0.2"/>
    <row r="39430" hidden="1" x14ac:dyDescent="0.2"/>
    <row r="39431" hidden="1" x14ac:dyDescent="0.2"/>
    <row r="39432" hidden="1" x14ac:dyDescent="0.2"/>
    <row r="39433" hidden="1" x14ac:dyDescent="0.2"/>
    <row r="39434" hidden="1" x14ac:dyDescent="0.2"/>
    <row r="39435" hidden="1" x14ac:dyDescent="0.2"/>
    <row r="39436" hidden="1" x14ac:dyDescent="0.2"/>
    <row r="39437" hidden="1" x14ac:dyDescent="0.2"/>
    <row r="39438" hidden="1" x14ac:dyDescent="0.2"/>
    <row r="39439" hidden="1" x14ac:dyDescent="0.2"/>
    <row r="39440" hidden="1" x14ac:dyDescent="0.2"/>
    <row r="39441" hidden="1" x14ac:dyDescent="0.2"/>
    <row r="39442" hidden="1" x14ac:dyDescent="0.2"/>
    <row r="39443" hidden="1" x14ac:dyDescent="0.2"/>
    <row r="39444" hidden="1" x14ac:dyDescent="0.2"/>
    <row r="39445" hidden="1" x14ac:dyDescent="0.2"/>
    <row r="39446" hidden="1" x14ac:dyDescent="0.2"/>
    <row r="39447" hidden="1" x14ac:dyDescent="0.2"/>
    <row r="39448" hidden="1" x14ac:dyDescent="0.2"/>
    <row r="39449" hidden="1" x14ac:dyDescent="0.2"/>
    <row r="39450" hidden="1" x14ac:dyDescent="0.2"/>
    <row r="39451" hidden="1" x14ac:dyDescent="0.2"/>
    <row r="39452" hidden="1" x14ac:dyDescent="0.2"/>
    <row r="39453" hidden="1" x14ac:dyDescent="0.2"/>
    <row r="39454" hidden="1" x14ac:dyDescent="0.2"/>
    <row r="39455" hidden="1" x14ac:dyDescent="0.2"/>
    <row r="39456" hidden="1" x14ac:dyDescent="0.2"/>
    <row r="39457" hidden="1" x14ac:dyDescent="0.2"/>
    <row r="39458" hidden="1" x14ac:dyDescent="0.2"/>
    <row r="39459" hidden="1" x14ac:dyDescent="0.2"/>
    <row r="39460" hidden="1" x14ac:dyDescent="0.2"/>
    <row r="39461" hidden="1" x14ac:dyDescent="0.2"/>
    <row r="39462" hidden="1" x14ac:dyDescent="0.2"/>
    <row r="39463" hidden="1" x14ac:dyDescent="0.2"/>
    <row r="39464" hidden="1" x14ac:dyDescent="0.2"/>
    <row r="39465" hidden="1" x14ac:dyDescent="0.2"/>
    <row r="39466" hidden="1" x14ac:dyDescent="0.2"/>
    <row r="39467" hidden="1" x14ac:dyDescent="0.2"/>
    <row r="39468" hidden="1" x14ac:dyDescent="0.2"/>
    <row r="39469" hidden="1" x14ac:dyDescent="0.2"/>
    <row r="39470" hidden="1" x14ac:dyDescent="0.2"/>
    <row r="39471" hidden="1" x14ac:dyDescent="0.2"/>
    <row r="39472" hidden="1" x14ac:dyDescent="0.2"/>
    <row r="39473" hidden="1" x14ac:dyDescent="0.2"/>
    <row r="39474" hidden="1" x14ac:dyDescent="0.2"/>
    <row r="39475" hidden="1" x14ac:dyDescent="0.2"/>
    <row r="39476" hidden="1" x14ac:dyDescent="0.2"/>
    <row r="39477" hidden="1" x14ac:dyDescent="0.2"/>
    <row r="39478" hidden="1" x14ac:dyDescent="0.2"/>
    <row r="39479" hidden="1" x14ac:dyDescent="0.2"/>
    <row r="39480" hidden="1" x14ac:dyDescent="0.2"/>
    <row r="39481" hidden="1" x14ac:dyDescent="0.2"/>
    <row r="39482" hidden="1" x14ac:dyDescent="0.2"/>
    <row r="39483" hidden="1" x14ac:dyDescent="0.2"/>
    <row r="39484" hidden="1" x14ac:dyDescent="0.2"/>
    <row r="39485" hidden="1" x14ac:dyDescent="0.2"/>
    <row r="39486" hidden="1" x14ac:dyDescent="0.2"/>
    <row r="39487" hidden="1" x14ac:dyDescent="0.2"/>
    <row r="39488" hidden="1" x14ac:dyDescent="0.2"/>
    <row r="39489" hidden="1" x14ac:dyDescent="0.2"/>
    <row r="39490" hidden="1" x14ac:dyDescent="0.2"/>
    <row r="39491" hidden="1" x14ac:dyDescent="0.2"/>
    <row r="39492" hidden="1" x14ac:dyDescent="0.2"/>
    <row r="39493" hidden="1" x14ac:dyDescent="0.2"/>
    <row r="39494" hidden="1" x14ac:dyDescent="0.2"/>
    <row r="39495" hidden="1" x14ac:dyDescent="0.2"/>
    <row r="39496" hidden="1" x14ac:dyDescent="0.2"/>
    <row r="39497" hidden="1" x14ac:dyDescent="0.2"/>
    <row r="39498" hidden="1" x14ac:dyDescent="0.2"/>
    <row r="39499" hidden="1" x14ac:dyDescent="0.2"/>
    <row r="39500" hidden="1" x14ac:dyDescent="0.2"/>
    <row r="39501" hidden="1" x14ac:dyDescent="0.2"/>
    <row r="39502" hidden="1" x14ac:dyDescent="0.2"/>
    <row r="39503" hidden="1" x14ac:dyDescent="0.2"/>
    <row r="39504" hidden="1" x14ac:dyDescent="0.2"/>
    <row r="39505" hidden="1" x14ac:dyDescent="0.2"/>
    <row r="39506" hidden="1" x14ac:dyDescent="0.2"/>
    <row r="39507" hidden="1" x14ac:dyDescent="0.2"/>
    <row r="39508" hidden="1" x14ac:dyDescent="0.2"/>
    <row r="39509" hidden="1" x14ac:dyDescent="0.2"/>
    <row r="39510" hidden="1" x14ac:dyDescent="0.2"/>
    <row r="39511" hidden="1" x14ac:dyDescent="0.2"/>
    <row r="39512" hidden="1" x14ac:dyDescent="0.2"/>
    <row r="39513" hidden="1" x14ac:dyDescent="0.2"/>
    <row r="39514" hidden="1" x14ac:dyDescent="0.2"/>
    <row r="39515" hidden="1" x14ac:dyDescent="0.2"/>
    <row r="39516" hidden="1" x14ac:dyDescent="0.2"/>
    <row r="39517" hidden="1" x14ac:dyDescent="0.2"/>
    <row r="39518" hidden="1" x14ac:dyDescent="0.2"/>
    <row r="39519" hidden="1" x14ac:dyDescent="0.2"/>
    <row r="39520" hidden="1" x14ac:dyDescent="0.2"/>
    <row r="39521" hidden="1" x14ac:dyDescent="0.2"/>
    <row r="39522" hidden="1" x14ac:dyDescent="0.2"/>
    <row r="39523" hidden="1" x14ac:dyDescent="0.2"/>
    <row r="39524" hidden="1" x14ac:dyDescent="0.2"/>
    <row r="39525" hidden="1" x14ac:dyDescent="0.2"/>
    <row r="39526" hidden="1" x14ac:dyDescent="0.2"/>
    <row r="39527" hidden="1" x14ac:dyDescent="0.2"/>
    <row r="39528" hidden="1" x14ac:dyDescent="0.2"/>
    <row r="39529" hidden="1" x14ac:dyDescent="0.2"/>
    <row r="39530" hidden="1" x14ac:dyDescent="0.2"/>
    <row r="39531" hidden="1" x14ac:dyDescent="0.2"/>
    <row r="39532" hidden="1" x14ac:dyDescent="0.2"/>
    <row r="39533" hidden="1" x14ac:dyDescent="0.2"/>
    <row r="39534" hidden="1" x14ac:dyDescent="0.2"/>
    <row r="39535" hidden="1" x14ac:dyDescent="0.2"/>
    <row r="39536" hidden="1" x14ac:dyDescent="0.2"/>
    <row r="39537" hidden="1" x14ac:dyDescent="0.2"/>
    <row r="39538" hidden="1" x14ac:dyDescent="0.2"/>
    <row r="39539" hidden="1" x14ac:dyDescent="0.2"/>
    <row r="39540" hidden="1" x14ac:dyDescent="0.2"/>
    <row r="39541" hidden="1" x14ac:dyDescent="0.2"/>
    <row r="39542" hidden="1" x14ac:dyDescent="0.2"/>
    <row r="39543" hidden="1" x14ac:dyDescent="0.2"/>
    <row r="39544" hidden="1" x14ac:dyDescent="0.2"/>
    <row r="39545" hidden="1" x14ac:dyDescent="0.2"/>
    <row r="39546" hidden="1" x14ac:dyDescent="0.2"/>
    <row r="39547" hidden="1" x14ac:dyDescent="0.2"/>
    <row r="39548" hidden="1" x14ac:dyDescent="0.2"/>
    <row r="39549" hidden="1" x14ac:dyDescent="0.2"/>
    <row r="39550" hidden="1" x14ac:dyDescent="0.2"/>
    <row r="39551" hidden="1" x14ac:dyDescent="0.2"/>
    <row r="39552" hidden="1" x14ac:dyDescent="0.2"/>
    <row r="39553" hidden="1" x14ac:dyDescent="0.2"/>
    <row r="39554" hidden="1" x14ac:dyDescent="0.2"/>
    <row r="39555" hidden="1" x14ac:dyDescent="0.2"/>
    <row r="39556" hidden="1" x14ac:dyDescent="0.2"/>
    <row r="39557" hidden="1" x14ac:dyDescent="0.2"/>
    <row r="39558" hidden="1" x14ac:dyDescent="0.2"/>
    <row r="39559" hidden="1" x14ac:dyDescent="0.2"/>
    <row r="39560" hidden="1" x14ac:dyDescent="0.2"/>
    <row r="39561" hidden="1" x14ac:dyDescent="0.2"/>
    <row r="39562" hidden="1" x14ac:dyDescent="0.2"/>
    <row r="39563" hidden="1" x14ac:dyDescent="0.2"/>
    <row r="39564" hidden="1" x14ac:dyDescent="0.2"/>
    <row r="39565" hidden="1" x14ac:dyDescent="0.2"/>
    <row r="39566" hidden="1" x14ac:dyDescent="0.2"/>
    <row r="39567" hidden="1" x14ac:dyDescent="0.2"/>
    <row r="39568" hidden="1" x14ac:dyDescent="0.2"/>
    <row r="39569" hidden="1" x14ac:dyDescent="0.2"/>
    <row r="39570" hidden="1" x14ac:dyDescent="0.2"/>
    <row r="39571" hidden="1" x14ac:dyDescent="0.2"/>
    <row r="39572" hidden="1" x14ac:dyDescent="0.2"/>
    <row r="39573" hidden="1" x14ac:dyDescent="0.2"/>
    <row r="39574" hidden="1" x14ac:dyDescent="0.2"/>
    <row r="39575" hidden="1" x14ac:dyDescent="0.2"/>
    <row r="39576" hidden="1" x14ac:dyDescent="0.2"/>
    <row r="39577" hidden="1" x14ac:dyDescent="0.2"/>
    <row r="39578" hidden="1" x14ac:dyDescent="0.2"/>
    <row r="39579" hidden="1" x14ac:dyDescent="0.2"/>
    <row r="39580" hidden="1" x14ac:dyDescent="0.2"/>
    <row r="39581" hidden="1" x14ac:dyDescent="0.2"/>
    <row r="39582" hidden="1" x14ac:dyDescent="0.2"/>
    <row r="39583" hidden="1" x14ac:dyDescent="0.2"/>
    <row r="39584" hidden="1" x14ac:dyDescent="0.2"/>
    <row r="39585" hidden="1" x14ac:dyDescent="0.2"/>
    <row r="39586" hidden="1" x14ac:dyDescent="0.2"/>
    <row r="39587" hidden="1" x14ac:dyDescent="0.2"/>
    <row r="39588" hidden="1" x14ac:dyDescent="0.2"/>
    <row r="39589" hidden="1" x14ac:dyDescent="0.2"/>
    <row r="39590" hidden="1" x14ac:dyDescent="0.2"/>
    <row r="39591" hidden="1" x14ac:dyDescent="0.2"/>
    <row r="39592" hidden="1" x14ac:dyDescent="0.2"/>
    <row r="39593" hidden="1" x14ac:dyDescent="0.2"/>
    <row r="39594" hidden="1" x14ac:dyDescent="0.2"/>
    <row r="39595" hidden="1" x14ac:dyDescent="0.2"/>
    <row r="39596" hidden="1" x14ac:dyDescent="0.2"/>
    <row r="39597" hidden="1" x14ac:dyDescent="0.2"/>
    <row r="39598" hidden="1" x14ac:dyDescent="0.2"/>
    <row r="39599" hidden="1" x14ac:dyDescent="0.2"/>
    <row r="39600" hidden="1" x14ac:dyDescent="0.2"/>
    <row r="39601" hidden="1" x14ac:dyDescent="0.2"/>
    <row r="39602" hidden="1" x14ac:dyDescent="0.2"/>
    <row r="39603" hidden="1" x14ac:dyDescent="0.2"/>
    <row r="39604" hidden="1" x14ac:dyDescent="0.2"/>
    <row r="39605" hidden="1" x14ac:dyDescent="0.2"/>
    <row r="39606" hidden="1" x14ac:dyDescent="0.2"/>
    <row r="39607" hidden="1" x14ac:dyDescent="0.2"/>
    <row r="39608" hidden="1" x14ac:dyDescent="0.2"/>
    <row r="39609" hidden="1" x14ac:dyDescent="0.2"/>
    <row r="39610" hidden="1" x14ac:dyDescent="0.2"/>
    <row r="39611" hidden="1" x14ac:dyDescent="0.2"/>
    <row r="39612" hidden="1" x14ac:dyDescent="0.2"/>
    <row r="39613" hidden="1" x14ac:dyDescent="0.2"/>
    <row r="39614" hidden="1" x14ac:dyDescent="0.2"/>
    <row r="39615" hidden="1" x14ac:dyDescent="0.2"/>
    <row r="39616" hidden="1" x14ac:dyDescent="0.2"/>
    <row r="39617" hidden="1" x14ac:dyDescent="0.2"/>
    <row r="39618" hidden="1" x14ac:dyDescent="0.2"/>
    <row r="39619" hidden="1" x14ac:dyDescent="0.2"/>
    <row r="39620" hidden="1" x14ac:dyDescent="0.2"/>
    <row r="39621" hidden="1" x14ac:dyDescent="0.2"/>
    <row r="39622" hidden="1" x14ac:dyDescent="0.2"/>
    <row r="39623" hidden="1" x14ac:dyDescent="0.2"/>
    <row r="39624" hidden="1" x14ac:dyDescent="0.2"/>
    <row r="39625" hidden="1" x14ac:dyDescent="0.2"/>
    <row r="39626" hidden="1" x14ac:dyDescent="0.2"/>
    <row r="39627" hidden="1" x14ac:dyDescent="0.2"/>
    <row r="39628" hidden="1" x14ac:dyDescent="0.2"/>
    <row r="39629" hidden="1" x14ac:dyDescent="0.2"/>
    <row r="39630" hidden="1" x14ac:dyDescent="0.2"/>
    <row r="39631" hidden="1" x14ac:dyDescent="0.2"/>
    <row r="39632" hidden="1" x14ac:dyDescent="0.2"/>
    <row r="39633" hidden="1" x14ac:dyDescent="0.2"/>
    <row r="39634" hidden="1" x14ac:dyDescent="0.2"/>
    <row r="39635" hidden="1" x14ac:dyDescent="0.2"/>
    <row r="39636" hidden="1" x14ac:dyDescent="0.2"/>
    <row r="39637" hidden="1" x14ac:dyDescent="0.2"/>
    <row r="39638" hidden="1" x14ac:dyDescent="0.2"/>
    <row r="39639" hidden="1" x14ac:dyDescent="0.2"/>
    <row r="39640" hidden="1" x14ac:dyDescent="0.2"/>
    <row r="39641" hidden="1" x14ac:dyDescent="0.2"/>
    <row r="39642" hidden="1" x14ac:dyDescent="0.2"/>
    <row r="39643" hidden="1" x14ac:dyDescent="0.2"/>
    <row r="39644" hidden="1" x14ac:dyDescent="0.2"/>
    <row r="39645" hidden="1" x14ac:dyDescent="0.2"/>
    <row r="39646" hidden="1" x14ac:dyDescent="0.2"/>
    <row r="39647" hidden="1" x14ac:dyDescent="0.2"/>
    <row r="39648" hidden="1" x14ac:dyDescent="0.2"/>
    <row r="39649" hidden="1" x14ac:dyDescent="0.2"/>
    <row r="39650" hidden="1" x14ac:dyDescent="0.2"/>
    <row r="39651" hidden="1" x14ac:dyDescent="0.2"/>
    <row r="39652" hidden="1" x14ac:dyDescent="0.2"/>
    <row r="39653" hidden="1" x14ac:dyDescent="0.2"/>
    <row r="39654" hidden="1" x14ac:dyDescent="0.2"/>
    <row r="39655" hidden="1" x14ac:dyDescent="0.2"/>
    <row r="39656" hidden="1" x14ac:dyDescent="0.2"/>
    <row r="39657" hidden="1" x14ac:dyDescent="0.2"/>
    <row r="39658" hidden="1" x14ac:dyDescent="0.2"/>
    <row r="39659" hidden="1" x14ac:dyDescent="0.2"/>
    <row r="39660" hidden="1" x14ac:dyDescent="0.2"/>
    <row r="39661" hidden="1" x14ac:dyDescent="0.2"/>
    <row r="39662" hidden="1" x14ac:dyDescent="0.2"/>
    <row r="39663" hidden="1" x14ac:dyDescent="0.2"/>
    <row r="39664" hidden="1" x14ac:dyDescent="0.2"/>
    <row r="39665" hidden="1" x14ac:dyDescent="0.2"/>
    <row r="39666" hidden="1" x14ac:dyDescent="0.2"/>
    <row r="39667" hidden="1" x14ac:dyDescent="0.2"/>
    <row r="39668" hidden="1" x14ac:dyDescent="0.2"/>
    <row r="39669" hidden="1" x14ac:dyDescent="0.2"/>
    <row r="39670" hidden="1" x14ac:dyDescent="0.2"/>
    <row r="39671" hidden="1" x14ac:dyDescent="0.2"/>
    <row r="39672" hidden="1" x14ac:dyDescent="0.2"/>
    <row r="39673" hidden="1" x14ac:dyDescent="0.2"/>
    <row r="39674" hidden="1" x14ac:dyDescent="0.2"/>
    <row r="39675" hidden="1" x14ac:dyDescent="0.2"/>
    <row r="39676" hidden="1" x14ac:dyDescent="0.2"/>
    <row r="39677" hidden="1" x14ac:dyDescent="0.2"/>
    <row r="39678" hidden="1" x14ac:dyDescent="0.2"/>
    <row r="39679" hidden="1" x14ac:dyDescent="0.2"/>
    <row r="39680" hidden="1" x14ac:dyDescent="0.2"/>
    <row r="39681" hidden="1" x14ac:dyDescent="0.2"/>
    <row r="39682" hidden="1" x14ac:dyDescent="0.2"/>
    <row r="39683" hidden="1" x14ac:dyDescent="0.2"/>
    <row r="39684" hidden="1" x14ac:dyDescent="0.2"/>
    <row r="39685" hidden="1" x14ac:dyDescent="0.2"/>
    <row r="39686" hidden="1" x14ac:dyDescent="0.2"/>
    <row r="39687" hidden="1" x14ac:dyDescent="0.2"/>
    <row r="39688" hidden="1" x14ac:dyDescent="0.2"/>
    <row r="39689" hidden="1" x14ac:dyDescent="0.2"/>
    <row r="39690" hidden="1" x14ac:dyDescent="0.2"/>
    <row r="39691" hidden="1" x14ac:dyDescent="0.2"/>
    <row r="39692" hidden="1" x14ac:dyDescent="0.2"/>
    <row r="39693" hidden="1" x14ac:dyDescent="0.2"/>
    <row r="39694" hidden="1" x14ac:dyDescent="0.2"/>
    <row r="39695" hidden="1" x14ac:dyDescent="0.2"/>
    <row r="39696" hidden="1" x14ac:dyDescent="0.2"/>
    <row r="39697" hidden="1" x14ac:dyDescent="0.2"/>
    <row r="39698" hidden="1" x14ac:dyDescent="0.2"/>
    <row r="39699" hidden="1" x14ac:dyDescent="0.2"/>
    <row r="39700" hidden="1" x14ac:dyDescent="0.2"/>
    <row r="39701" hidden="1" x14ac:dyDescent="0.2"/>
    <row r="39702" hidden="1" x14ac:dyDescent="0.2"/>
    <row r="39703" hidden="1" x14ac:dyDescent="0.2"/>
    <row r="39704" hidden="1" x14ac:dyDescent="0.2"/>
    <row r="39705" hidden="1" x14ac:dyDescent="0.2"/>
    <row r="39706" hidden="1" x14ac:dyDescent="0.2"/>
    <row r="39707" hidden="1" x14ac:dyDescent="0.2"/>
    <row r="39708" hidden="1" x14ac:dyDescent="0.2"/>
    <row r="39709" hidden="1" x14ac:dyDescent="0.2"/>
    <row r="39710" hidden="1" x14ac:dyDescent="0.2"/>
    <row r="39711" hidden="1" x14ac:dyDescent="0.2"/>
    <row r="39712" hidden="1" x14ac:dyDescent="0.2"/>
    <row r="39713" hidden="1" x14ac:dyDescent="0.2"/>
    <row r="39714" hidden="1" x14ac:dyDescent="0.2"/>
    <row r="39715" hidden="1" x14ac:dyDescent="0.2"/>
    <row r="39716" hidden="1" x14ac:dyDescent="0.2"/>
    <row r="39717" hidden="1" x14ac:dyDescent="0.2"/>
    <row r="39718" hidden="1" x14ac:dyDescent="0.2"/>
    <row r="39719" hidden="1" x14ac:dyDescent="0.2"/>
    <row r="39720" hidden="1" x14ac:dyDescent="0.2"/>
    <row r="39721" hidden="1" x14ac:dyDescent="0.2"/>
    <row r="39722" hidden="1" x14ac:dyDescent="0.2"/>
    <row r="39723" hidden="1" x14ac:dyDescent="0.2"/>
    <row r="39724" hidden="1" x14ac:dyDescent="0.2"/>
    <row r="39725" hidden="1" x14ac:dyDescent="0.2"/>
    <row r="39726" hidden="1" x14ac:dyDescent="0.2"/>
    <row r="39727" hidden="1" x14ac:dyDescent="0.2"/>
    <row r="39728" hidden="1" x14ac:dyDescent="0.2"/>
    <row r="39729" hidden="1" x14ac:dyDescent="0.2"/>
    <row r="39730" hidden="1" x14ac:dyDescent="0.2"/>
    <row r="39731" hidden="1" x14ac:dyDescent="0.2"/>
    <row r="39732" hidden="1" x14ac:dyDescent="0.2"/>
    <row r="39733" hidden="1" x14ac:dyDescent="0.2"/>
    <row r="39734" hidden="1" x14ac:dyDescent="0.2"/>
    <row r="39735" hidden="1" x14ac:dyDescent="0.2"/>
    <row r="39736" hidden="1" x14ac:dyDescent="0.2"/>
    <row r="39737" hidden="1" x14ac:dyDescent="0.2"/>
    <row r="39738" hidden="1" x14ac:dyDescent="0.2"/>
    <row r="39739" hidden="1" x14ac:dyDescent="0.2"/>
    <row r="39740" hidden="1" x14ac:dyDescent="0.2"/>
    <row r="39741" hidden="1" x14ac:dyDescent="0.2"/>
    <row r="39742" hidden="1" x14ac:dyDescent="0.2"/>
    <row r="39743" hidden="1" x14ac:dyDescent="0.2"/>
    <row r="39744" hidden="1" x14ac:dyDescent="0.2"/>
    <row r="39745" hidden="1" x14ac:dyDescent="0.2"/>
    <row r="39746" hidden="1" x14ac:dyDescent="0.2"/>
    <row r="39747" hidden="1" x14ac:dyDescent="0.2"/>
    <row r="39748" hidden="1" x14ac:dyDescent="0.2"/>
    <row r="39749" hidden="1" x14ac:dyDescent="0.2"/>
    <row r="39750" hidden="1" x14ac:dyDescent="0.2"/>
    <row r="39751" hidden="1" x14ac:dyDescent="0.2"/>
    <row r="39752" hidden="1" x14ac:dyDescent="0.2"/>
    <row r="39753" hidden="1" x14ac:dyDescent="0.2"/>
    <row r="39754" hidden="1" x14ac:dyDescent="0.2"/>
    <row r="39755" hidden="1" x14ac:dyDescent="0.2"/>
    <row r="39756" hidden="1" x14ac:dyDescent="0.2"/>
    <row r="39757" hidden="1" x14ac:dyDescent="0.2"/>
    <row r="39758" hidden="1" x14ac:dyDescent="0.2"/>
    <row r="39759" hidden="1" x14ac:dyDescent="0.2"/>
    <row r="39760" hidden="1" x14ac:dyDescent="0.2"/>
    <row r="39761" hidden="1" x14ac:dyDescent="0.2"/>
    <row r="39762" hidden="1" x14ac:dyDescent="0.2"/>
    <row r="39763" hidden="1" x14ac:dyDescent="0.2"/>
    <row r="39764" hidden="1" x14ac:dyDescent="0.2"/>
    <row r="39765" hidden="1" x14ac:dyDescent="0.2"/>
    <row r="39766" hidden="1" x14ac:dyDescent="0.2"/>
    <row r="39767" hidden="1" x14ac:dyDescent="0.2"/>
    <row r="39768" hidden="1" x14ac:dyDescent="0.2"/>
    <row r="39769" hidden="1" x14ac:dyDescent="0.2"/>
    <row r="39770" hidden="1" x14ac:dyDescent="0.2"/>
    <row r="39771" hidden="1" x14ac:dyDescent="0.2"/>
    <row r="39772" hidden="1" x14ac:dyDescent="0.2"/>
    <row r="39773" hidden="1" x14ac:dyDescent="0.2"/>
    <row r="39774" hidden="1" x14ac:dyDescent="0.2"/>
    <row r="39775" hidden="1" x14ac:dyDescent="0.2"/>
    <row r="39776" hidden="1" x14ac:dyDescent="0.2"/>
    <row r="39777" hidden="1" x14ac:dyDescent="0.2"/>
    <row r="39778" hidden="1" x14ac:dyDescent="0.2"/>
    <row r="39779" hidden="1" x14ac:dyDescent="0.2"/>
    <row r="39780" hidden="1" x14ac:dyDescent="0.2"/>
    <row r="39781" hidden="1" x14ac:dyDescent="0.2"/>
    <row r="39782" hidden="1" x14ac:dyDescent="0.2"/>
    <row r="39783" hidden="1" x14ac:dyDescent="0.2"/>
    <row r="39784" hidden="1" x14ac:dyDescent="0.2"/>
    <row r="39785" hidden="1" x14ac:dyDescent="0.2"/>
    <row r="39786" hidden="1" x14ac:dyDescent="0.2"/>
    <row r="39787" hidden="1" x14ac:dyDescent="0.2"/>
    <row r="39788" hidden="1" x14ac:dyDescent="0.2"/>
    <row r="39789" hidden="1" x14ac:dyDescent="0.2"/>
    <row r="39790" hidden="1" x14ac:dyDescent="0.2"/>
    <row r="39791" hidden="1" x14ac:dyDescent="0.2"/>
    <row r="39792" hidden="1" x14ac:dyDescent="0.2"/>
    <row r="39793" hidden="1" x14ac:dyDescent="0.2"/>
    <row r="39794" hidden="1" x14ac:dyDescent="0.2"/>
    <row r="39795" hidden="1" x14ac:dyDescent="0.2"/>
    <row r="39796" hidden="1" x14ac:dyDescent="0.2"/>
    <row r="39797" hidden="1" x14ac:dyDescent="0.2"/>
    <row r="39798" hidden="1" x14ac:dyDescent="0.2"/>
    <row r="39799" hidden="1" x14ac:dyDescent="0.2"/>
    <row r="39800" hidden="1" x14ac:dyDescent="0.2"/>
    <row r="39801" hidden="1" x14ac:dyDescent="0.2"/>
    <row r="39802" hidden="1" x14ac:dyDescent="0.2"/>
    <row r="39803" hidden="1" x14ac:dyDescent="0.2"/>
    <row r="39804" hidden="1" x14ac:dyDescent="0.2"/>
    <row r="39805" hidden="1" x14ac:dyDescent="0.2"/>
    <row r="39806" hidden="1" x14ac:dyDescent="0.2"/>
    <row r="39807" hidden="1" x14ac:dyDescent="0.2"/>
    <row r="39808" hidden="1" x14ac:dyDescent="0.2"/>
    <row r="39809" hidden="1" x14ac:dyDescent="0.2"/>
    <row r="39810" hidden="1" x14ac:dyDescent="0.2"/>
    <row r="39811" hidden="1" x14ac:dyDescent="0.2"/>
    <row r="39812" hidden="1" x14ac:dyDescent="0.2"/>
    <row r="39813" hidden="1" x14ac:dyDescent="0.2"/>
    <row r="39814" hidden="1" x14ac:dyDescent="0.2"/>
    <row r="39815" hidden="1" x14ac:dyDescent="0.2"/>
    <row r="39816" hidden="1" x14ac:dyDescent="0.2"/>
    <row r="39817" hidden="1" x14ac:dyDescent="0.2"/>
    <row r="39818" hidden="1" x14ac:dyDescent="0.2"/>
    <row r="39819" hidden="1" x14ac:dyDescent="0.2"/>
    <row r="39820" hidden="1" x14ac:dyDescent="0.2"/>
    <row r="39821" hidden="1" x14ac:dyDescent="0.2"/>
    <row r="39822" hidden="1" x14ac:dyDescent="0.2"/>
    <row r="39823" hidden="1" x14ac:dyDescent="0.2"/>
    <row r="39824" hidden="1" x14ac:dyDescent="0.2"/>
    <row r="39825" hidden="1" x14ac:dyDescent="0.2"/>
    <row r="39826" hidden="1" x14ac:dyDescent="0.2"/>
    <row r="39827" hidden="1" x14ac:dyDescent="0.2"/>
    <row r="39828" hidden="1" x14ac:dyDescent="0.2"/>
    <row r="39829" hidden="1" x14ac:dyDescent="0.2"/>
    <row r="39830" hidden="1" x14ac:dyDescent="0.2"/>
    <row r="39831" hidden="1" x14ac:dyDescent="0.2"/>
    <row r="39832" hidden="1" x14ac:dyDescent="0.2"/>
    <row r="39833" hidden="1" x14ac:dyDescent="0.2"/>
    <row r="39834" hidden="1" x14ac:dyDescent="0.2"/>
    <row r="39835" hidden="1" x14ac:dyDescent="0.2"/>
    <row r="39836" hidden="1" x14ac:dyDescent="0.2"/>
    <row r="39837" hidden="1" x14ac:dyDescent="0.2"/>
    <row r="39838" hidden="1" x14ac:dyDescent="0.2"/>
    <row r="39839" hidden="1" x14ac:dyDescent="0.2"/>
    <row r="39840" hidden="1" x14ac:dyDescent="0.2"/>
    <row r="39841" hidden="1" x14ac:dyDescent="0.2"/>
    <row r="39842" hidden="1" x14ac:dyDescent="0.2"/>
    <row r="39843" hidden="1" x14ac:dyDescent="0.2"/>
    <row r="39844" hidden="1" x14ac:dyDescent="0.2"/>
    <row r="39845" hidden="1" x14ac:dyDescent="0.2"/>
    <row r="39846" hidden="1" x14ac:dyDescent="0.2"/>
    <row r="39847" hidden="1" x14ac:dyDescent="0.2"/>
    <row r="39848" hidden="1" x14ac:dyDescent="0.2"/>
    <row r="39849" hidden="1" x14ac:dyDescent="0.2"/>
    <row r="39850" hidden="1" x14ac:dyDescent="0.2"/>
    <row r="39851" hidden="1" x14ac:dyDescent="0.2"/>
    <row r="39852" hidden="1" x14ac:dyDescent="0.2"/>
    <row r="39853" hidden="1" x14ac:dyDescent="0.2"/>
    <row r="39854" hidden="1" x14ac:dyDescent="0.2"/>
    <row r="39855" hidden="1" x14ac:dyDescent="0.2"/>
    <row r="39856" hidden="1" x14ac:dyDescent="0.2"/>
    <row r="39857" hidden="1" x14ac:dyDescent="0.2"/>
    <row r="39858" hidden="1" x14ac:dyDescent="0.2"/>
    <row r="39859" hidden="1" x14ac:dyDescent="0.2"/>
    <row r="39860" hidden="1" x14ac:dyDescent="0.2"/>
    <row r="39861" hidden="1" x14ac:dyDescent="0.2"/>
    <row r="39862" hidden="1" x14ac:dyDescent="0.2"/>
    <row r="39863" hidden="1" x14ac:dyDescent="0.2"/>
    <row r="39864" hidden="1" x14ac:dyDescent="0.2"/>
    <row r="39865" hidden="1" x14ac:dyDescent="0.2"/>
    <row r="39866" hidden="1" x14ac:dyDescent="0.2"/>
    <row r="39867" hidden="1" x14ac:dyDescent="0.2"/>
    <row r="39868" hidden="1" x14ac:dyDescent="0.2"/>
    <row r="39869" hidden="1" x14ac:dyDescent="0.2"/>
    <row r="39870" hidden="1" x14ac:dyDescent="0.2"/>
    <row r="39871" hidden="1" x14ac:dyDescent="0.2"/>
    <row r="39872" hidden="1" x14ac:dyDescent="0.2"/>
    <row r="39873" hidden="1" x14ac:dyDescent="0.2"/>
    <row r="39874" hidden="1" x14ac:dyDescent="0.2"/>
    <row r="39875" hidden="1" x14ac:dyDescent="0.2"/>
    <row r="39876" hidden="1" x14ac:dyDescent="0.2"/>
    <row r="39877" hidden="1" x14ac:dyDescent="0.2"/>
    <row r="39878" hidden="1" x14ac:dyDescent="0.2"/>
    <row r="39879" hidden="1" x14ac:dyDescent="0.2"/>
    <row r="39880" hidden="1" x14ac:dyDescent="0.2"/>
    <row r="39881" hidden="1" x14ac:dyDescent="0.2"/>
    <row r="39882" hidden="1" x14ac:dyDescent="0.2"/>
    <row r="39883" hidden="1" x14ac:dyDescent="0.2"/>
    <row r="39884" hidden="1" x14ac:dyDescent="0.2"/>
    <row r="39885" hidden="1" x14ac:dyDescent="0.2"/>
    <row r="39886" hidden="1" x14ac:dyDescent="0.2"/>
    <row r="39887" hidden="1" x14ac:dyDescent="0.2"/>
    <row r="39888" hidden="1" x14ac:dyDescent="0.2"/>
    <row r="39889" hidden="1" x14ac:dyDescent="0.2"/>
    <row r="39890" hidden="1" x14ac:dyDescent="0.2"/>
    <row r="39891" hidden="1" x14ac:dyDescent="0.2"/>
    <row r="39892" hidden="1" x14ac:dyDescent="0.2"/>
    <row r="39893" hidden="1" x14ac:dyDescent="0.2"/>
    <row r="39894" hidden="1" x14ac:dyDescent="0.2"/>
    <row r="39895" hidden="1" x14ac:dyDescent="0.2"/>
    <row r="39896" hidden="1" x14ac:dyDescent="0.2"/>
    <row r="39897" hidden="1" x14ac:dyDescent="0.2"/>
    <row r="39898" hidden="1" x14ac:dyDescent="0.2"/>
    <row r="39899" hidden="1" x14ac:dyDescent="0.2"/>
    <row r="39900" hidden="1" x14ac:dyDescent="0.2"/>
    <row r="39901" hidden="1" x14ac:dyDescent="0.2"/>
    <row r="39902" hidden="1" x14ac:dyDescent="0.2"/>
    <row r="39903" hidden="1" x14ac:dyDescent="0.2"/>
    <row r="39904" hidden="1" x14ac:dyDescent="0.2"/>
    <row r="39905" hidden="1" x14ac:dyDescent="0.2"/>
    <row r="39906" hidden="1" x14ac:dyDescent="0.2"/>
    <row r="39907" hidden="1" x14ac:dyDescent="0.2"/>
    <row r="39908" hidden="1" x14ac:dyDescent="0.2"/>
    <row r="39909" hidden="1" x14ac:dyDescent="0.2"/>
    <row r="39910" hidden="1" x14ac:dyDescent="0.2"/>
    <row r="39911" hidden="1" x14ac:dyDescent="0.2"/>
    <row r="39912" hidden="1" x14ac:dyDescent="0.2"/>
    <row r="39913" hidden="1" x14ac:dyDescent="0.2"/>
    <row r="39914" hidden="1" x14ac:dyDescent="0.2"/>
    <row r="39915" hidden="1" x14ac:dyDescent="0.2"/>
    <row r="39916" hidden="1" x14ac:dyDescent="0.2"/>
    <row r="39917" hidden="1" x14ac:dyDescent="0.2"/>
    <row r="39918" hidden="1" x14ac:dyDescent="0.2"/>
    <row r="39919" hidden="1" x14ac:dyDescent="0.2"/>
    <row r="39920" hidden="1" x14ac:dyDescent="0.2"/>
    <row r="39921" hidden="1" x14ac:dyDescent="0.2"/>
    <row r="39922" hidden="1" x14ac:dyDescent="0.2"/>
    <row r="39923" hidden="1" x14ac:dyDescent="0.2"/>
    <row r="39924" hidden="1" x14ac:dyDescent="0.2"/>
    <row r="39925" hidden="1" x14ac:dyDescent="0.2"/>
    <row r="39926" hidden="1" x14ac:dyDescent="0.2"/>
    <row r="39927" hidden="1" x14ac:dyDescent="0.2"/>
    <row r="39928" hidden="1" x14ac:dyDescent="0.2"/>
    <row r="39929" hidden="1" x14ac:dyDescent="0.2"/>
    <row r="39930" hidden="1" x14ac:dyDescent="0.2"/>
    <row r="39931" hidden="1" x14ac:dyDescent="0.2"/>
    <row r="39932" hidden="1" x14ac:dyDescent="0.2"/>
    <row r="39933" hidden="1" x14ac:dyDescent="0.2"/>
    <row r="39934" hidden="1" x14ac:dyDescent="0.2"/>
    <row r="39935" hidden="1" x14ac:dyDescent="0.2"/>
    <row r="39936" hidden="1" x14ac:dyDescent="0.2"/>
    <row r="39937" hidden="1" x14ac:dyDescent="0.2"/>
    <row r="39938" hidden="1" x14ac:dyDescent="0.2"/>
    <row r="39939" hidden="1" x14ac:dyDescent="0.2"/>
    <row r="39940" hidden="1" x14ac:dyDescent="0.2"/>
    <row r="39941" hidden="1" x14ac:dyDescent="0.2"/>
    <row r="39942" hidden="1" x14ac:dyDescent="0.2"/>
    <row r="39943" hidden="1" x14ac:dyDescent="0.2"/>
    <row r="39944" hidden="1" x14ac:dyDescent="0.2"/>
    <row r="39945" hidden="1" x14ac:dyDescent="0.2"/>
    <row r="39946" hidden="1" x14ac:dyDescent="0.2"/>
    <row r="39947" hidden="1" x14ac:dyDescent="0.2"/>
    <row r="39948" hidden="1" x14ac:dyDescent="0.2"/>
    <row r="39949" hidden="1" x14ac:dyDescent="0.2"/>
    <row r="39950" hidden="1" x14ac:dyDescent="0.2"/>
    <row r="39951" hidden="1" x14ac:dyDescent="0.2"/>
    <row r="39952" hidden="1" x14ac:dyDescent="0.2"/>
    <row r="39953" hidden="1" x14ac:dyDescent="0.2"/>
    <row r="39954" hidden="1" x14ac:dyDescent="0.2"/>
    <row r="39955" hidden="1" x14ac:dyDescent="0.2"/>
    <row r="39956" hidden="1" x14ac:dyDescent="0.2"/>
    <row r="39957" hidden="1" x14ac:dyDescent="0.2"/>
    <row r="39958" hidden="1" x14ac:dyDescent="0.2"/>
    <row r="39959" hidden="1" x14ac:dyDescent="0.2"/>
    <row r="39960" hidden="1" x14ac:dyDescent="0.2"/>
    <row r="39961" hidden="1" x14ac:dyDescent="0.2"/>
    <row r="39962" hidden="1" x14ac:dyDescent="0.2"/>
    <row r="39963" hidden="1" x14ac:dyDescent="0.2"/>
    <row r="39964" hidden="1" x14ac:dyDescent="0.2"/>
    <row r="39965" hidden="1" x14ac:dyDescent="0.2"/>
    <row r="39966" hidden="1" x14ac:dyDescent="0.2"/>
    <row r="39967" hidden="1" x14ac:dyDescent="0.2"/>
    <row r="39968" hidden="1" x14ac:dyDescent="0.2"/>
    <row r="39969" hidden="1" x14ac:dyDescent="0.2"/>
    <row r="39970" hidden="1" x14ac:dyDescent="0.2"/>
    <row r="39971" hidden="1" x14ac:dyDescent="0.2"/>
    <row r="39972" hidden="1" x14ac:dyDescent="0.2"/>
    <row r="39973" hidden="1" x14ac:dyDescent="0.2"/>
    <row r="39974" hidden="1" x14ac:dyDescent="0.2"/>
    <row r="39975" hidden="1" x14ac:dyDescent="0.2"/>
    <row r="39976" hidden="1" x14ac:dyDescent="0.2"/>
    <row r="39977" hidden="1" x14ac:dyDescent="0.2"/>
    <row r="39978" hidden="1" x14ac:dyDescent="0.2"/>
    <row r="39979" hidden="1" x14ac:dyDescent="0.2"/>
    <row r="39980" hidden="1" x14ac:dyDescent="0.2"/>
    <row r="39981" hidden="1" x14ac:dyDescent="0.2"/>
    <row r="39982" hidden="1" x14ac:dyDescent="0.2"/>
    <row r="39983" hidden="1" x14ac:dyDescent="0.2"/>
    <row r="39984" hidden="1" x14ac:dyDescent="0.2"/>
    <row r="39985" hidden="1" x14ac:dyDescent="0.2"/>
    <row r="39986" hidden="1" x14ac:dyDescent="0.2"/>
    <row r="39987" hidden="1" x14ac:dyDescent="0.2"/>
    <row r="39988" hidden="1" x14ac:dyDescent="0.2"/>
    <row r="39989" hidden="1" x14ac:dyDescent="0.2"/>
    <row r="39990" hidden="1" x14ac:dyDescent="0.2"/>
    <row r="39991" hidden="1" x14ac:dyDescent="0.2"/>
    <row r="39992" hidden="1" x14ac:dyDescent="0.2"/>
    <row r="39993" hidden="1" x14ac:dyDescent="0.2"/>
    <row r="39994" hidden="1" x14ac:dyDescent="0.2"/>
    <row r="39995" hidden="1" x14ac:dyDescent="0.2"/>
    <row r="39996" hidden="1" x14ac:dyDescent="0.2"/>
    <row r="39997" hidden="1" x14ac:dyDescent="0.2"/>
    <row r="39998" hidden="1" x14ac:dyDescent="0.2"/>
    <row r="39999" hidden="1" x14ac:dyDescent="0.2"/>
    <row r="40000" hidden="1" x14ac:dyDescent="0.2"/>
    <row r="40001" hidden="1" x14ac:dyDescent="0.2"/>
    <row r="40002" hidden="1" x14ac:dyDescent="0.2"/>
    <row r="40003" hidden="1" x14ac:dyDescent="0.2"/>
    <row r="40004" hidden="1" x14ac:dyDescent="0.2"/>
    <row r="40005" hidden="1" x14ac:dyDescent="0.2"/>
    <row r="40006" hidden="1" x14ac:dyDescent="0.2"/>
    <row r="40007" hidden="1" x14ac:dyDescent="0.2"/>
    <row r="40008" hidden="1" x14ac:dyDescent="0.2"/>
    <row r="40009" hidden="1" x14ac:dyDescent="0.2"/>
    <row r="40010" hidden="1" x14ac:dyDescent="0.2"/>
    <row r="40011" hidden="1" x14ac:dyDescent="0.2"/>
    <row r="40012" hidden="1" x14ac:dyDescent="0.2"/>
    <row r="40013" hidden="1" x14ac:dyDescent="0.2"/>
    <row r="40014" hidden="1" x14ac:dyDescent="0.2"/>
    <row r="40015" hidden="1" x14ac:dyDescent="0.2"/>
    <row r="40016" hidden="1" x14ac:dyDescent="0.2"/>
    <row r="40017" hidden="1" x14ac:dyDescent="0.2"/>
    <row r="40018" hidden="1" x14ac:dyDescent="0.2"/>
    <row r="40019" hidden="1" x14ac:dyDescent="0.2"/>
    <row r="40020" hidden="1" x14ac:dyDescent="0.2"/>
    <row r="40021" hidden="1" x14ac:dyDescent="0.2"/>
    <row r="40022" hidden="1" x14ac:dyDescent="0.2"/>
    <row r="40023" hidden="1" x14ac:dyDescent="0.2"/>
    <row r="40024" hidden="1" x14ac:dyDescent="0.2"/>
    <row r="40025" hidden="1" x14ac:dyDescent="0.2"/>
    <row r="40026" hidden="1" x14ac:dyDescent="0.2"/>
    <row r="40027" hidden="1" x14ac:dyDescent="0.2"/>
    <row r="40028" hidden="1" x14ac:dyDescent="0.2"/>
    <row r="40029" hidden="1" x14ac:dyDescent="0.2"/>
    <row r="40030" hidden="1" x14ac:dyDescent="0.2"/>
    <row r="40031" hidden="1" x14ac:dyDescent="0.2"/>
    <row r="40032" hidden="1" x14ac:dyDescent="0.2"/>
    <row r="40033" hidden="1" x14ac:dyDescent="0.2"/>
    <row r="40034" hidden="1" x14ac:dyDescent="0.2"/>
    <row r="40035" hidden="1" x14ac:dyDescent="0.2"/>
    <row r="40036" hidden="1" x14ac:dyDescent="0.2"/>
    <row r="40037" hidden="1" x14ac:dyDescent="0.2"/>
    <row r="40038" hidden="1" x14ac:dyDescent="0.2"/>
    <row r="40039" hidden="1" x14ac:dyDescent="0.2"/>
    <row r="40040" hidden="1" x14ac:dyDescent="0.2"/>
    <row r="40041" hidden="1" x14ac:dyDescent="0.2"/>
    <row r="40042" hidden="1" x14ac:dyDescent="0.2"/>
    <row r="40043" hidden="1" x14ac:dyDescent="0.2"/>
    <row r="40044" hidden="1" x14ac:dyDescent="0.2"/>
    <row r="40045" hidden="1" x14ac:dyDescent="0.2"/>
    <row r="40046" hidden="1" x14ac:dyDescent="0.2"/>
    <row r="40047" hidden="1" x14ac:dyDescent="0.2"/>
    <row r="40048" hidden="1" x14ac:dyDescent="0.2"/>
    <row r="40049" hidden="1" x14ac:dyDescent="0.2"/>
    <row r="40050" hidden="1" x14ac:dyDescent="0.2"/>
    <row r="40051" hidden="1" x14ac:dyDescent="0.2"/>
    <row r="40052" hidden="1" x14ac:dyDescent="0.2"/>
    <row r="40053" hidden="1" x14ac:dyDescent="0.2"/>
    <row r="40054" hidden="1" x14ac:dyDescent="0.2"/>
    <row r="40055" hidden="1" x14ac:dyDescent="0.2"/>
    <row r="40056" hidden="1" x14ac:dyDescent="0.2"/>
    <row r="40057" hidden="1" x14ac:dyDescent="0.2"/>
    <row r="40058" hidden="1" x14ac:dyDescent="0.2"/>
    <row r="40059" hidden="1" x14ac:dyDescent="0.2"/>
    <row r="40060" hidden="1" x14ac:dyDescent="0.2"/>
    <row r="40061" hidden="1" x14ac:dyDescent="0.2"/>
    <row r="40062" hidden="1" x14ac:dyDescent="0.2"/>
    <row r="40063" hidden="1" x14ac:dyDescent="0.2"/>
    <row r="40064" hidden="1" x14ac:dyDescent="0.2"/>
    <row r="40065" hidden="1" x14ac:dyDescent="0.2"/>
    <row r="40066" hidden="1" x14ac:dyDescent="0.2"/>
    <row r="40067" hidden="1" x14ac:dyDescent="0.2"/>
    <row r="40068" hidden="1" x14ac:dyDescent="0.2"/>
    <row r="40069" hidden="1" x14ac:dyDescent="0.2"/>
    <row r="40070" hidden="1" x14ac:dyDescent="0.2"/>
    <row r="40071" hidden="1" x14ac:dyDescent="0.2"/>
    <row r="40072" hidden="1" x14ac:dyDescent="0.2"/>
    <row r="40073" hidden="1" x14ac:dyDescent="0.2"/>
    <row r="40074" hidden="1" x14ac:dyDescent="0.2"/>
    <row r="40075" hidden="1" x14ac:dyDescent="0.2"/>
    <row r="40076" hidden="1" x14ac:dyDescent="0.2"/>
    <row r="40077" hidden="1" x14ac:dyDescent="0.2"/>
    <row r="40078" hidden="1" x14ac:dyDescent="0.2"/>
    <row r="40079" hidden="1" x14ac:dyDescent="0.2"/>
    <row r="40080" hidden="1" x14ac:dyDescent="0.2"/>
    <row r="40081" hidden="1" x14ac:dyDescent="0.2"/>
    <row r="40082" hidden="1" x14ac:dyDescent="0.2"/>
    <row r="40083" hidden="1" x14ac:dyDescent="0.2"/>
    <row r="40084" hidden="1" x14ac:dyDescent="0.2"/>
    <row r="40085" hidden="1" x14ac:dyDescent="0.2"/>
    <row r="40086" hidden="1" x14ac:dyDescent="0.2"/>
    <row r="40087" hidden="1" x14ac:dyDescent="0.2"/>
    <row r="40088" hidden="1" x14ac:dyDescent="0.2"/>
    <row r="40089" hidden="1" x14ac:dyDescent="0.2"/>
    <row r="40090" hidden="1" x14ac:dyDescent="0.2"/>
    <row r="40091" hidden="1" x14ac:dyDescent="0.2"/>
    <row r="40092" hidden="1" x14ac:dyDescent="0.2"/>
    <row r="40093" hidden="1" x14ac:dyDescent="0.2"/>
    <row r="40094" hidden="1" x14ac:dyDescent="0.2"/>
    <row r="40095" hidden="1" x14ac:dyDescent="0.2"/>
    <row r="40096" hidden="1" x14ac:dyDescent="0.2"/>
    <row r="40097" hidden="1" x14ac:dyDescent="0.2"/>
    <row r="40098" hidden="1" x14ac:dyDescent="0.2"/>
    <row r="40099" hidden="1" x14ac:dyDescent="0.2"/>
    <row r="40100" hidden="1" x14ac:dyDescent="0.2"/>
    <row r="40101" hidden="1" x14ac:dyDescent="0.2"/>
    <row r="40102" hidden="1" x14ac:dyDescent="0.2"/>
    <row r="40103" hidden="1" x14ac:dyDescent="0.2"/>
    <row r="40104" hidden="1" x14ac:dyDescent="0.2"/>
    <row r="40105" hidden="1" x14ac:dyDescent="0.2"/>
    <row r="40106" hidden="1" x14ac:dyDescent="0.2"/>
    <row r="40107" hidden="1" x14ac:dyDescent="0.2"/>
    <row r="40108" hidden="1" x14ac:dyDescent="0.2"/>
    <row r="40109" hidden="1" x14ac:dyDescent="0.2"/>
    <row r="40110" hidden="1" x14ac:dyDescent="0.2"/>
    <row r="40111" hidden="1" x14ac:dyDescent="0.2"/>
    <row r="40112" hidden="1" x14ac:dyDescent="0.2"/>
    <row r="40113" hidden="1" x14ac:dyDescent="0.2"/>
    <row r="40114" hidden="1" x14ac:dyDescent="0.2"/>
    <row r="40115" hidden="1" x14ac:dyDescent="0.2"/>
    <row r="40116" hidden="1" x14ac:dyDescent="0.2"/>
    <row r="40117" hidden="1" x14ac:dyDescent="0.2"/>
    <row r="40118" hidden="1" x14ac:dyDescent="0.2"/>
    <row r="40119" hidden="1" x14ac:dyDescent="0.2"/>
    <row r="40120" hidden="1" x14ac:dyDescent="0.2"/>
    <row r="40121" hidden="1" x14ac:dyDescent="0.2"/>
    <row r="40122" hidden="1" x14ac:dyDescent="0.2"/>
    <row r="40123" hidden="1" x14ac:dyDescent="0.2"/>
    <row r="40124" hidden="1" x14ac:dyDescent="0.2"/>
    <row r="40125" hidden="1" x14ac:dyDescent="0.2"/>
    <row r="40126" hidden="1" x14ac:dyDescent="0.2"/>
    <row r="40127" hidden="1" x14ac:dyDescent="0.2"/>
    <row r="40128" hidden="1" x14ac:dyDescent="0.2"/>
    <row r="40129" hidden="1" x14ac:dyDescent="0.2"/>
    <row r="40130" hidden="1" x14ac:dyDescent="0.2"/>
    <row r="40131" hidden="1" x14ac:dyDescent="0.2"/>
    <row r="40132" hidden="1" x14ac:dyDescent="0.2"/>
    <row r="40133" hidden="1" x14ac:dyDescent="0.2"/>
    <row r="40134" hidden="1" x14ac:dyDescent="0.2"/>
    <row r="40135" hidden="1" x14ac:dyDescent="0.2"/>
    <row r="40136" hidden="1" x14ac:dyDescent="0.2"/>
    <row r="40137" hidden="1" x14ac:dyDescent="0.2"/>
    <row r="40138" hidden="1" x14ac:dyDescent="0.2"/>
    <row r="40139" hidden="1" x14ac:dyDescent="0.2"/>
    <row r="40140" hidden="1" x14ac:dyDescent="0.2"/>
    <row r="40141" hidden="1" x14ac:dyDescent="0.2"/>
    <row r="40142" hidden="1" x14ac:dyDescent="0.2"/>
    <row r="40143" hidden="1" x14ac:dyDescent="0.2"/>
    <row r="40144" hidden="1" x14ac:dyDescent="0.2"/>
    <row r="40145" hidden="1" x14ac:dyDescent="0.2"/>
    <row r="40146" hidden="1" x14ac:dyDescent="0.2"/>
    <row r="40147" hidden="1" x14ac:dyDescent="0.2"/>
    <row r="40148" hidden="1" x14ac:dyDescent="0.2"/>
    <row r="40149" hidden="1" x14ac:dyDescent="0.2"/>
    <row r="40150" hidden="1" x14ac:dyDescent="0.2"/>
    <row r="40151" hidden="1" x14ac:dyDescent="0.2"/>
    <row r="40152" hidden="1" x14ac:dyDescent="0.2"/>
    <row r="40153" hidden="1" x14ac:dyDescent="0.2"/>
    <row r="40154" hidden="1" x14ac:dyDescent="0.2"/>
    <row r="40155" hidden="1" x14ac:dyDescent="0.2"/>
    <row r="40156" hidden="1" x14ac:dyDescent="0.2"/>
    <row r="40157" hidden="1" x14ac:dyDescent="0.2"/>
    <row r="40158" hidden="1" x14ac:dyDescent="0.2"/>
    <row r="40159" hidden="1" x14ac:dyDescent="0.2"/>
    <row r="40160" hidden="1" x14ac:dyDescent="0.2"/>
    <row r="40161" hidden="1" x14ac:dyDescent="0.2"/>
    <row r="40162" hidden="1" x14ac:dyDescent="0.2"/>
    <row r="40163" hidden="1" x14ac:dyDescent="0.2"/>
    <row r="40164" hidden="1" x14ac:dyDescent="0.2"/>
    <row r="40165" hidden="1" x14ac:dyDescent="0.2"/>
    <row r="40166" hidden="1" x14ac:dyDescent="0.2"/>
    <row r="40167" hidden="1" x14ac:dyDescent="0.2"/>
    <row r="40168" hidden="1" x14ac:dyDescent="0.2"/>
    <row r="40169" hidden="1" x14ac:dyDescent="0.2"/>
    <row r="40170" hidden="1" x14ac:dyDescent="0.2"/>
    <row r="40171" hidden="1" x14ac:dyDescent="0.2"/>
    <row r="40172" hidden="1" x14ac:dyDescent="0.2"/>
    <row r="40173" hidden="1" x14ac:dyDescent="0.2"/>
    <row r="40174" hidden="1" x14ac:dyDescent="0.2"/>
    <row r="40175" hidden="1" x14ac:dyDescent="0.2"/>
    <row r="40176" hidden="1" x14ac:dyDescent="0.2"/>
    <row r="40177" hidden="1" x14ac:dyDescent="0.2"/>
    <row r="40178" hidden="1" x14ac:dyDescent="0.2"/>
    <row r="40179" hidden="1" x14ac:dyDescent="0.2"/>
    <row r="40180" hidden="1" x14ac:dyDescent="0.2"/>
    <row r="40181" hidden="1" x14ac:dyDescent="0.2"/>
    <row r="40182" hidden="1" x14ac:dyDescent="0.2"/>
    <row r="40183" hidden="1" x14ac:dyDescent="0.2"/>
    <row r="40184" hidden="1" x14ac:dyDescent="0.2"/>
    <row r="40185" hidden="1" x14ac:dyDescent="0.2"/>
    <row r="40186" hidden="1" x14ac:dyDescent="0.2"/>
    <row r="40187" hidden="1" x14ac:dyDescent="0.2"/>
    <row r="40188" hidden="1" x14ac:dyDescent="0.2"/>
    <row r="40189" hidden="1" x14ac:dyDescent="0.2"/>
    <row r="40190" hidden="1" x14ac:dyDescent="0.2"/>
    <row r="40191" hidden="1" x14ac:dyDescent="0.2"/>
    <row r="40192" hidden="1" x14ac:dyDescent="0.2"/>
    <row r="40193" hidden="1" x14ac:dyDescent="0.2"/>
    <row r="40194" hidden="1" x14ac:dyDescent="0.2"/>
    <row r="40195" hidden="1" x14ac:dyDescent="0.2"/>
    <row r="40196" hidden="1" x14ac:dyDescent="0.2"/>
    <row r="40197" hidden="1" x14ac:dyDescent="0.2"/>
    <row r="40198" hidden="1" x14ac:dyDescent="0.2"/>
    <row r="40199" hidden="1" x14ac:dyDescent="0.2"/>
    <row r="40200" hidden="1" x14ac:dyDescent="0.2"/>
    <row r="40201" hidden="1" x14ac:dyDescent="0.2"/>
    <row r="40202" hidden="1" x14ac:dyDescent="0.2"/>
    <row r="40203" hidden="1" x14ac:dyDescent="0.2"/>
    <row r="40204" hidden="1" x14ac:dyDescent="0.2"/>
    <row r="40205" hidden="1" x14ac:dyDescent="0.2"/>
    <row r="40206" hidden="1" x14ac:dyDescent="0.2"/>
    <row r="40207" hidden="1" x14ac:dyDescent="0.2"/>
    <row r="40208" hidden="1" x14ac:dyDescent="0.2"/>
    <row r="40209" hidden="1" x14ac:dyDescent="0.2"/>
    <row r="40210" hidden="1" x14ac:dyDescent="0.2"/>
    <row r="40211" hidden="1" x14ac:dyDescent="0.2"/>
    <row r="40212" hidden="1" x14ac:dyDescent="0.2"/>
    <row r="40213" hidden="1" x14ac:dyDescent="0.2"/>
    <row r="40214" hidden="1" x14ac:dyDescent="0.2"/>
    <row r="40215" hidden="1" x14ac:dyDescent="0.2"/>
    <row r="40216" hidden="1" x14ac:dyDescent="0.2"/>
    <row r="40217" hidden="1" x14ac:dyDescent="0.2"/>
    <row r="40218" hidden="1" x14ac:dyDescent="0.2"/>
    <row r="40219" hidden="1" x14ac:dyDescent="0.2"/>
    <row r="40220" hidden="1" x14ac:dyDescent="0.2"/>
    <row r="40221" hidden="1" x14ac:dyDescent="0.2"/>
    <row r="40222" hidden="1" x14ac:dyDescent="0.2"/>
    <row r="40223" hidden="1" x14ac:dyDescent="0.2"/>
    <row r="40224" hidden="1" x14ac:dyDescent="0.2"/>
    <row r="40225" hidden="1" x14ac:dyDescent="0.2"/>
    <row r="40226" hidden="1" x14ac:dyDescent="0.2"/>
    <row r="40227" hidden="1" x14ac:dyDescent="0.2"/>
    <row r="40228" hidden="1" x14ac:dyDescent="0.2"/>
    <row r="40229" hidden="1" x14ac:dyDescent="0.2"/>
    <row r="40230" hidden="1" x14ac:dyDescent="0.2"/>
    <row r="40231" hidden="1" x14ac:dyDescent="0.2"/>
    <row r="40232" hidden="1" x14ac:dyDescent="0.2"/>
    <row r="40233" hidden="1" x14ac:dyDescent="0.2"/>
    <row r="40234" hidden="1" x14ac:dyDescent="0.2"/>
    <row r="40235" hidden="1" x14ac:dyDescent="0.2"/>
    <row r="40236" hidden="1" x14ac:dyDescent="0.2"/>
    <row r="40237" hidden="1" x14ac:dyDescent="0.2"/>
    <row r="40238" hidden="1" x14ac:dyDescent="0.2"/>
    <row r="40239" hidden="1" x14ac:dyDescent="0.2"/>
    <row r="40240" hidden="1" x14ac:dyDescent="0.2"/>
    <row r="40241" hidden="1" x14ac:dyDescent="0.2"/>
    <row r="40242" hidden="1" x14ac:dyDescent="0.2"/>
    <row r="40243" hidden="1" x14ac:dyDescent="0.2"/>
    <row r="40244" hidden="1" x14ac:dyDescent="0.2"/>
    <row r="40245" hidden="1" x14ac:dyDescent="0.2"/>
    <row r="40246" hidden="1" x14ac:dyDescent="0.2"/>
    <row r="40247" hidden="1" x14ac:dyDescent="0.2"/>
    <row r="40248" hidden="1" x14ac:dyDescent="0.2"/>
    <row r="40249" hidden="1" x14ac:dyDescent="0.2"/>
    <row r="40250" hidden="1" x14ac:dyDescent="0.2"/>
    <row r="40251" hidden="1" x14ac:dyDescent="0.2"/>
    <row r="40252" hidden="1" x14ac:dyDescent="0.2"/>
    <row r="40253" hidden="1" x14ac:dyDescent="0.2"/>
    <row r="40254" hidden="1" x14ac:dyDescent="0.2"/>
    <row r="40255" hidden="1" x14ac:dyDescent="0.2"/>
    <row r="40256" hidden="1" x14ac:dyDescent="0.2"/>
    <row r="40257" hidden="1" x14ac:dyDescent="0.2"/>
    <row r="40258" hidden="1" x14ac:dyDescent="0.2"/>
    <row r="40259" hidden="1" x14ac:dyDescent="0.2"/>
    <row r="40260" hidden="1" x14ac:dyDescent="0.2"/>
    <row r="40261" hidden="1" x14ac:dyDescent="0.2"/>
    <row r="40262" hidden="1" x14ac:dyDescent="0.2"/>
    <row r="40263" hidden="1" x14ac:dyDescent="0.2"/>
    <row r="40264" hidden="1" x14ac:dyDescent="0.2"/>
    <row r="40265" hidden="1" x14ac:dyDescent="0.2"/>
    <row r="40266" hidden="1" x14ac:dyDescent="0.2"/>
    <row r="40267" hidden="1" x14ac:dyDescent="0.2"/>
    <row r="40268" hidden="1" x14ac:dyDescent="0.2"/>
    <row r="40269" hidden="1" x14ac:dyDescent="0.2"/>
    <row r="40270" hidden="1" x14ac:dyDescent="0.2"/>
    <row r="40271" hidden="1" x14ac:dyDescent="0.2"/>
    <row r="40272" hidden="1" x14ac:dyDescent="0.2"/>
    <row r="40273" hidden="1" x14ac:dyDescent="0.2"/>
    <row r="40274" hidden="1" x14ac:dyDescent="0.2"/>
    <row r="40275" hidden="1" x14ac:dyDescent="0.2"/>
    <row r="40276" hidden="1" x14ac:dyDescent="0.2"/>
    <row r="40277" hidden="1" x14ac:dyDescent="0.2"/>
    <row r="40278" hidden="1" x14ac:dyDescent="0.2"/>
    <row r="40279" hidden="1" x14ac:dyDescent="0.2"/>
    <row r="40280" hidden="1" x14ac:dyDescent="0.2"/>
    <row r="40281" hidden="1" x14ac:dyDescent="0.2"/>
    <row r="40282" hidden="1" x14ac:dyDescent="0.2"/>
    <row r="40283" hidden="1" x14ac:dyDescent="0.2"/>
    <row r="40284" hidden="1" x14ac:dyDescent="0.2"/>
    <row r="40285" hidden="1" x14ac:dyDescent="0.2"/>
    <row r="40286" hidden="1" x14ac:dyDescent="0.2"/>
    <row r="40287" hidden="1" x14ac:dyDescent="0.2"/>
    <row r="40288" hidden="1" x14ac:dyDescent="0.2"/>
    <row r="40289" hidden="1" x14ac:dyDescent="0.2"/>
    <row r="40290" hidden="1" x14ac:dyDescent="0.2"/>
    <row r="40291" hidden="1" x14ac:dyDescent="0.2"/>
    <row r="40292" hidden="1" x14ac:dyDescent="0.2"/>
    <row r="40293" hidden="1" x14ac:dyDescent="0.2"/>
    <row r="40294" hidden="1" x14ac:dyDescent="0.2"/>
    <row r="40295" hidden="1" x14ac:dyDescent="0.2"/>
    <row r="40296" hidden="1" x14ac:dyDescent="0.2"/>
    <row r="40297" hidden="1" x14ac:dyDescent="0.2"/>
    <row r="40298" hidden="1" x14ac:dyDescent="0.2"/>
    <row r="40299" hidden="1" x14ac:dyDescent="0.2"/>
    <row r="40300" hidden="1" x14ac:dyDescent="0.2"/>
    <row r="40301" hidden="1" x14ac:dyDescent="0.2"/>
    <row r="40302" hidden="1" x14ac:dyDescent="0.2"/>
    <row r="40303" hidden="1" x14ac:dyDescent="0.2"/>
    <row r="40304" hidden="1" x14ac:dyDescent="0.2"/>
    <row r="40305" hidden="1" x14ac:dyDescent="0.2"/>
    <row r="40306" hidden="1" x14ac:dyDescent="0.2"/>
    <row r="40307" hidden="1" x14ac:dyDescent="0.2"/>
    <row r="40308" hidden="1" x14ac:dyDescent="0.2"/>
    <row r="40309" hidden="1" x14ac:dyDescent="0.2"/>
    <row r="40310" hidden="1" x14ac:dyDescent="0.2"/>
    <row r="40311" hidden="1" x14ac:dyDescent="0.2"/>
    <row r="40312" hidden="1" x14ac:dyDescent="0.2"/>
    <row r="40313" hidden="1" x14ac:dyDescent="0.2"/>
    <row r="40314" hidden="1" x14ac:dyDescent="0.2"/>
    <row r="40315" hidden="1" x14ac:dyDescent="0.2"/>
    <row r="40316" hidden="1" x14ac:dyDescent="0.2"/>
    <row r="40317" hidden="1" x14ac:dyDescent="0.2"/>
    <row r="40318" hidden="1" x14ac:dyDescent="0.2"/>
    <row r="40319" hidden="1" x14ac:dyDescent="0.2"/>
    <row r="40320" hidden="1" x14ac:dyDescent="0.2"/>
    <row r="40321" hidden="1" x14ac:dyDescent="0.2"/>
    <row r="40322" hidden="1" x14ac:dyDescent="0.2"/>
    <row r="40323" hidden="1" x14ac:dyDescent="0.2"/>
    <row r="40324" hidden="1" x14ac:dyDescent="0.2"/>
    <row r="40325" hidden="1" x14ac:dyDescent="0.2"/>
    <row r="40326" hidden="1" x14ac:dyDescent="0.2"/>
    <row r="40327" hidden="1" x14ac:dyDescent="0.2"/>
    <row r="40328" hidden="1" x14ac:dyDescent="0.2"/>
    <row r="40329" hidden="1" x14ac:dyDescent="0.2"/>
    <row r="40330" hidden="1" x14ac:dyDescent="0.2"/>
    <row r="40331" hidden="1" x14ac:dyDescent="0.2"/>
    <row r="40332" hidden="1" x14ac:dyDescent="0.2"/>
    <row r="40333" hidden="1" x14ac:dyDescent="0.2"/>
    <row r="40334" hidden="1" x14ac:dyDescent="0.2"/>
    <row r="40335" hidden="1" x14ac:dyDescent="0.2"/>
    <row r="40336" hidden="1" x14ac:dyDescent="0.2"/>
    <row r="40337" hidden="1" x14ac:dyDescent="0.2"/>
    <row r="40338" hidden="1" x14ac:dyDescent="0.2"/>
    <row r="40339" hidden="1" x14ac:dyDescent="0.2"/>
    <row r="40340" hidden="1" x14ac:dyDescent="0.2"/>
    <row r="40341" hidden="1" x14ac:dyDescent="0.2"/>
    <row r="40342" hidden="1" x14ac:dyDescent="0.2"/>
    <row r="40343" hidden="1" x14ac:dyDescent="0.2"/>
    <row r="40344" hidden="1" x14ac:dyDescent="0.2"/>
    <row r="40345" hidden="1" x14ac:dyDescent="0.2"/>
    <row r="40346" hidden="1" x14ac:dyDescent="0.2"/>
    <row r="40347" hidden="1" x14ac:dyDescent="0.2"/>
    <row r="40348" hidden="1" x14ac:dyDescent="0.2"/>
    <row r="40349" hidden="1" x14ac:dyDescent="0.2"/>
    <row r="40350" hidden="1" x14ac:dyDescent="0.2"/>
    <row r="40351" hidden="1" x14ac:dyDescent="0.2"/>
    <row r="40352" hidden="1" x14ac:dyDescent="0.2"/>
    <row r="40353" hidden="1" x14ac:dyDescent="0.2"/>
    <row r="40354" hidden="1" x14ac:dyDescent="0.2"/>
    <row r="40355" hidden="1" x14ac:dyDescent="0.2"/>
    <row r="40356" hidden="1" x14ac:dyDescent="0.2"/>
    <row r="40357" hidden="1" x14ac:dyDescent="0.2"/>
    <row r="40358" hidden="1" x14ac:dyDescent="0.2"/>
    <row r="40359" hidden="1" x14ac:dyDescent="0.2"/>
    <row r="40360" hidden="1" x14ac:dyDescent="0.2"/>
    <row r="40361" hidden="1" x14ac:dyDescent="0.2"/>
    <row r="40362" hidden="1" x14ac:dyDescent="0.2"/>
    <row r="40363" hidden="1" x14ac:dyDescent="0.2"/>
    <row r="40364" hidden="1" x14ac:dyDescent="0.2"/>
    <row r="40365" hidden="1" x14ac:dyDescent="0.2"/>
    <row r="40366" hidden="1" x14ac:dyDescent="0.2"/>
    <row r="40367" hidden="1" x14ac:dyDescent="0.2"/>
    <row r="40368" hidden="1" x14ac:dyDescent="0.2"/>
    <row r="40369" hidden="1" x14ac:dyDescent="0.2"/>
    <row r="40370" hidden="1" x14ac:dyDescent="0.2"/>
    <row r="40371" hidden="1" x14ac:dyDescent="0.2"/>
    <row r="40372" hidden="1" x14ac:dyDescent="0.2"/>
    <row r="40373" hidden="1" x14ac:dyDescent="0.2"/>
    <row r="40374" hidden="1" x14ac:dyDescent="0.2"/>
    <row r="40375" hidden="1" x14ac:dyDescent="0.2"/>
    <row r="40376" hidden="1" x14ac:dyDescent="0.2"/>
    <row r="40377" hidden="1" x14ac:dyDescent="0.2"/>
    <row r="40378" hidden="1" x14ac:dyDescent="0.2"/>
    <row r="40379" hidden="1" x14ac:dyDescent="0.2"/>
    <row r="40380" hidden="1" x14ac:dyDescent="0.2"/>
    <row r="40381" hidden="1" x14ac:dyDescent="0.2"/>
    <row r="40382" hidden="1" x14ac:dyDescent="0.2"/>
    <row r="40383" hidden="1" x14ac:dyDescent="0.2"/>
    <row r="40384" hidden="1" x14ac:dyDescent="0.2"/>
    <row r="40385" hidden="1" x14ac:dyDescent="0.2"/>
    <row r="40386" hidden="1" x14ac:dyDescent="0.2"/>
    <row r="40387" hidden="1" x14ac:dyDescent="0.2"/>
    <row r="40388" hidden="1" x14ac:dyDescent="0.2"/>
    <row r="40389" hidden="1" x14ac:dyDescent="0.2"/>
    <row r="40390" hidden="1" x14ac:dyDescent="0.2"/>
    <row r="40391" hidden="1" x14ac:dyDescent="0.2"/>
    <row r="40392" hidden="1" x14ac:dyDescent="0.2"/>
    <row r="40393" hidden="1" x14ac:dyDescent="0.2"/>
    <row r="40394" hidden="1" x14ac:dyDescent="0.2"/>
    <row r="40395" hidden="1" x14ac:dyDescent="0.2"/>
    <row r="40396" hidden="1" x14ac:dyDescent="0.2"/>
    <row r="40397" hidden="1" x14ac:dyDescent="0.2"/>
    <row r="40398" hidden="1" x14ac:dyDescent="0.2"/>
    <row r="40399" hidden="1" x14ac:dyDescent="0.2"/>
    <row r="40400" hidden="1" x14ac:dyDescent="0.2"/>
    <row r="40401" hidden="1" x14ac:dyDescent="0.2"/>
    <row r="40402" hidden="1" x14ac:dyDescent="0.2"/>
    <row r="40403" hidden="1" x14ac:dyDescent="0.2"/>
    <row r="40404" hidden="1" x14ac:dyDescent="0.2"/>
    <row r="40405" hidden="1" x14ac:dyDescent="0.2"/>
    <row r="40406" hidden="1" x14ac:dyDescent="0.2"/>
    <row r="40407" hidden="1" x14ac:dyDescent="0.2"/>
    <row r="40408" hidden="1" x14ac:dyDescent="0.2"/>
    <row r="40409" hidden="1" x14ac:dyDescent="0.2"/>
    <row r="40410" hidden="1" x14ac:dyDescent="0.2"/>
    <row r="40411" hidden="1" x14ac:dyDescent="0.2"/>
    <row r="40412" hidden="1" x14ac:dyDescent="0.2"/>
    <row r="40413" hidden="1" x14ac:dyDescent="0.2"/>
    <row r="40414" hidden="1" x14ac:dyDescent="0.2"/>
    <row r="40415" hidden="1" x14ac:dyDescent="0.2"/>
    <row r="40416" hidden="1" x14ac:dyDescent="0.2"/>
    <row r="40417" hidden="1" x14ac:dyDescent="0.2"/>
    <row r="40418" hidden="1" x14ac:dyDescent="0.2"/>
    <row r="40419" hidden="1" x14ac:dyDescent="0.2"/>
    <row r="40420" hidden="1" x14ac:dyDescent="0.2"/>
    <row r="40421" hidden="1" x14ac:dyDescent="0.2"/>
    <row r="40422" hidden="1" x14ac:dyDescent="0.2"/>
    <row r="40423" hidden="1" x14ac:dyDescent="0.2"/>
    <row r="40424" hidden="1" x14ac:dyDescent="0.2"/>
    <row r="40425" hidden="1" x14ac:dyDescent="0.2"/>
    <row r="40426" hidden="1" x14ac:dyDescent="0.2"/>
    <row r="40427" hidden="1" x14ac:dyDescent="0.2"/>
    <row r="40428" hidden="1" x14ac:dyDescent="0.2"/>
    <row r="40429" hidden="1" x14ac:dyDescent="0.2"/>
    <row r="40430" hidden="1" x14ac:dyDescent="0.2"/>
    <row r="40431" hidden="1" x14ac:dyDescent="0.2"/>
    <row r="40432" hidden="1" x14ac:dyDescent="0.2"/>
    <row r="40433" hidden="1" x14ac:dyDescent="0.2"/>
    <row r="40434" hidden="1" x14ac:dyDescent="0.2"/>
    <row r="40435" hidden="1" x14ac:dyDescent="0.2"/>
    <row r="40436" hidden="1" x14ac:dyDescent="0.2"/>
    <row r="40437" hidden="1" x14ac:dyDescent="0.2"/>
    <row r="40438" hidden="1" x14ac:dyDescent="0.2"/>
    <row r="40439" hidden="1" x14ac:dyDescent="0.2"/>
    <row r="40440" hidden="1" x14ac:dyDescent="0.2"/>
    <row r="40441" hidden="1" x14ac:dyDescent="0.2"/>
    <row r="40442" hidden="1" x14ac:dyDescent="0.2"/>
    <row r="40443" hidden="1" x14ac:dyDescent="0.2"/>
    <row r="40444" hidden="1" x14ac:dyDescent="0.2"/>
    <row r="40445" hidden="1" x14ac:dyDescent="0.2"/>
    <row r="40446" hidden="1" x14ac:dyDescent="0.2"/>
    <row r="40447" hidden="1" x14ac:dyDescent="0.2"/>
    <row r="40448" hidden="1" x14ac:dyDescent="0.2"/>
    <row r="40449" hidden="1" x14ac:dyDescent="0.2"/>
    <row r="40450" hidden="1" x14ac:dyDescent="0.2"/>
    <row r="40451" hidden="1" x14ac:dyDescent="0.2"/>
    <row r="40452" hidden="1" x14ac:dyDescent="0.2"/>
    <row r="40453" hidden="1" x14ac:dyDescent="0.2"/>
    <row r="40454" hidden="1" x14ac:dyDescent="0.2"/>
    <row r="40455" hidden="1" x14ac:dyDescent="0.2"/>
    <row r="40456" hidden="1" x14ac:dyDescent="0.2"/>
    <row r="40457" hidden="1" x14ac:dyDescent="0.2"/>
    <row r="40458" hidden="1" x14ac:dyDescent="0.2"/>
    <row r="40459" hidden="1" x14ac:dyDescent="0.2"/>
    <row r="40460" hidden="1" x14ac:dyDescent="0.2"/>
    <row r="40461" hidden="1" x14ac:dyDescent="0.2"/>
    <row r="40462" hidden="1" x14ac:dyDescent="0.2"/>
    <row r="40463" hidden="1" x14ac:dyDescent="0.2"/>
    <row r="40464" hidden="1" x14ac:dyDescent="0.2"/>
    <row r="40465" hidden="1" x14ac:dyDescent="0.2"/>
    <row r="40466" hidden="1" x14ac:dyDescent="0.2"/>
    <row r="40467" hidden="1" x14ac:dyDescent="0.2"/>
    <row r="40468" hidden="1" x14ac:dyDescent="0.2"/>
    <row r="40469" hidden="1" x14ac:dyDescent="0.2"/>
    <row r="40470" hidden="1" x14ac:dyDescent="0.2"/>
    <row r="40471" hidden="1" x14ac:dyDescent="0.2"/>
    <row r="40472" hidden="1" x14ac:dyDescent="0.2"/>
    <row r="40473" hidden="1" x14ac:dyDescent="0.2"/>
    <row r="40474" hidden="1" x14ac:dyDescent="0.2"/>
    <row r="40475" hidden="1" x14ac:dyDescent="0.2"/>
    <row r="40476" hidden="1" x14ac:dyDescent="0.2"/>
    <row r="40477" hidden="1" x14ac:dyDescent="0.2"/>
    <row r="40478" hidden="1" x14ac:dyDescent="0.2"/>
    <row r="40479" hidden="1" x14ac:dyDescent="0.2"/>
    <row r="40480" hidden="1" x14ac:dyDescent="0.2"/>
    <row r="40481" hidden="1" x14ac:dyDescent="0.2"/>
    <row r="40482" hidden="1" x14ac:dyDescent="0.2"/>
    <row r="40483" hidden="1" x14ac:dyDescent="0.2"/>
    <row r="40484" hidden="1" x14ac:dyDescent="0.2"/>
    <row r="40485" hidden="1" x14ac:dyDescent="0.2"/>
    <row r="40486" hidden="1" x14ac:dyDescent="0.2"/>
    <row r="40487" hidden="1" x14ac:dyDescent="0.2"/>
    <row r="40488" hidden="1" x14ac:dyDescent="0.2"/>
    <row r="40489" hidden="1" x14ac:dyDescent="0.2"/>
    <row r="40490" hidden="1" x14ac:dyDescent="0.2"/>
    <row r="40491" hidden="1" x14ac:dyDescent="0.2"/>
    <row r="40492" hidden="1" x14ac:dyDescent="0.2"/>
    <row r="40493" hidden="1" x14ac:dyDescent="0.2"/>
    <row r="40494" hidden="1" x14ac:dyDescent="0.2"/>
    <row r="40495" hidden="1" x14ac:dyDescent="0.2"/>
    <row r="40496" hidden="1" x14ac:dyDescent="0.2"/>
    <row r="40497" hidden="1" x14ac:dyDescent="0.2"/>
    <row r="40498" hidden="1" x14ac:dyDescent="0.2"/>
    <row r="40499" hidden="1" x14ac:dyDescent="0.2"/>
    <row r="40500" hidden="1" x14ac:dyDescent="0.2"/>
    <row r="40501" hidden="1" x14ac:dyDescent="0.2"/>
    <row r="40502" hidden="1" x14ac:dyDescent="0.2"/>
    <row r="40503" hidden="1" x14ac:dyDescent="0.2"/>
    <row r="40504" hidden="1" x14ac:dyDescent="0.2"/>
    <row r="40505" hidden="1" x14ac:dyDescent="0.2"/>
    <row r="40506" hidden="1" x14ac:dyDescent="0.2"/>
    <row r="40507" hidden="1" x14ac:dyDescent="0.2"/>
    <row r="40508" hidden="1" x14ac:dyDescent="0.2"/>
    <row r="40509" hidden="1" x14ac:dyDescent="0.2"/>
    <row r="40510" hidden="1" x14ac:dyDescent="0.2"/>
    <row r="40511" hidden="1" x14ac:dyDescent="0.2"/>
    <row r="40512" hidden="1" x14ac:dyDescent="0.2"/>
    <row r="40513" hidden="1" x14ac:dyDescent="0.2"/>
    <row r="40514" hidden="1" x14ac:dyDescent="0.2"/>
    <row r="40515" hidden="1" x14ac:dyDescent="0.2"/>
    <row r="40516" hidden="1" x14ac:dyDescent="0.2"/>
    <row r="40517" hidden="1" x14ac:dyDescent="0.2"/>
    <row r="40518" hidden="1" x14ac:dyDescent="0.2"/>
    <row r="40519" hidden="1" x14ac:dyDescent="0.2"/>
    <row r="40520" hidden="1" x14ac:dyDescent="0.2"/>
    <row r="40521" hidden="1" x14ac:dyDescent="0.2"/>
    <row r="40522" hidden="1" x14ac:dyDescent="0.2"/>
    <row r="40523" hidden="1" x14ac:dyDescent="0.2"/>
    <row r="40524" hidden="1" x14ac:dyDescent="0.2"/>
    <row r="40525" hidden="1" x14ac:dyDescent="0.2"/>
    <row r="40526" hidden="1" x14ac:dyDescent="0.2"/>
    <row r="40527" hidden="1" x14ac:dyDescent="0.2"/>
    <row r="40528" hidden="1" x14ac:dyDescent="0.2"/>
    <row r="40529" hidden="1" x14ac:dyDescent="0.2"/>
    <row r="40530" hidden="1" x14ac:dyDescent="0.2"/>
    <row r="40531" hidden="1" x14ac:dyDescent="0.2"/>
    <row r="40532" hidden="1" x14ac:dyDescent="0.2"/>
    <row r="40533" hidden="1" x14ac:dyDescent="0.2"/>
    <row r="40534" hidden="1" x14ac:dyDescent="0.2"/>
    <row r="40535" hidden="1" x14ac:dyDescent="0.2"/>
    <row r="40536" hidden="1" x14ac:dyDescent="0.2"/>
    <row r="40537" hidden="1" x14ac:dyDescent="0.2"/>
    <row r="40538" hidden="1" x14ac:dyDescent="0.2"/>
    <row r="40539" hidden="1" x14ac:dyDescent="0.2"/>
    <row r="40540" hidden="1" x14ac:dyDescent="0.2"/>
    <row r="40541" hidden="1" x14ac:dyDescent="0.2"/>
    <row r="40542" hidden="1" x14ac:dyDescent="0.2"/>
    <row r="40543" hidden="1" x14ac:dyDescent="0.2"/>
    <row r="40544" hidden="1" x14ac:dyDescent="0.2"/>
    <row r="40545" hidden="1" x14ac:dyDescent="0.2"/>
    <row r="40546" hidden="1" x14ac:dyDescent="0.2"/>
    <row r="40547" hidden="1" x14ac:dyDescent="0.2"/>
    <row r="40548" hidden="1" x14ac:dyDescent="0.2"/>
    <row r="40549" hidden="1" x14ac:dyDescent="0.2"/>
    <row r="40550" hidden="1" x14ac:dyDescent="0.2"/>
    <row r="40551" hidden="1" x14ac:dyDescent="0.2"/>
    <row r="40552" hidden="1" x14ac:dyDescent="0.2"/>
    <row r="40553" hidden="1" x14ac:dyDescent="0.2"/>
    <row r="40554" hidden="1" x14ac:dyDescent="0.2"/>
    <row r="40555" hidden="1" x14ac:dyDescent="0.2"/>
    <row r="40556" hidden="1" x14ac:dyDescent="0.2"/>
    <row r="40557" hidden="1" x14ac:dyDescent="0.2"/>
    <row r="40558" hidden="1" x14ac:dyDescent="0.2"/>
    <row r="40559" hidden="1" x14ac:dyDescent="0.2"/>
    <row r="40560" hidden="1" x14ac:dyDescent="0.2"/>
    <row r="40561" hidden="1" x14ac:dyDescent="0.2"/>
    <row r="40562" hidden="1" x14ac:dyDescent="0.2"/>
    <row r="40563" hidden="1" x14ac:dyDescent="0.2"/>
    <row r="40564" hidden="1" x14ac:dyDescent="0.2"/>
    <row r="40565" hidden="1" x14ac:dyDescent="0.2"/>
    <row r="40566" hidden="1" x14ac:dyDescent="0.2"/>
    <row r="40567" hidden="1" x14ac:dyDescent="0.2"/>
    <row r="40568" hidden="1" x14ac:dyDescent="0.2"/>
    <row r="40569" hidden="1" x14ac:dyDescent="0.2"/>
    <row r="40570" hidden="1" x14ac:dyDescent="0.2"/>
    <row r="40571" hidden="1" x14ac:dyDescent="0.2"/>
    <row r="40572" hidden="1" x14ac:dyDescent="0.2"/>
    <row r="40573" hidden="1" x14ac:dyDescent="0.2"/>
    <row r="40574" hidden="1" x14ac:dyDescent="0.2"/>
    <row r="40575" hidden="1" x14ac:dyDescent="0.2"/>
    <row r="40576" hidden="1" x14ac:dyDescent="0.2"/>
    <row r="40577" hidden="1" x14ac:dyDescent="0.2"/>
    <row r="40578" hidden="1" x14ac:dyDescent="0.2"/>
    <row r="40579" hidden="1" x14ac:dyDescent="0.2"/>
    <row r="40580" hidden="1" x14ac:dyDescent="0.2"/>
    <row r="40581" hidden="1" x14ac:dyDescent="0.2"/>
    <row r="40582" hidden="1" x14ac:dyDescent="0.2"/>
    <row r="40583" hidden="1" x14ac:dyDescent="0.2"/>
    <row r="40584" hidden="1" x14ac:dyDescent="0.2"/>
    <row r="40585" hidden="1" x14ac:dyDescent="0.2"/>
    <row r="40586" hidden="1" x14ac:dyDescent="0.2"/>
    <row r="40587" hidden="1" x14ac:dyDescent="0.2"/>
    <row r="40588" hidden="1" x14ac:dyDescent="0.2"/>
    <row r="40589" hidden="1" x14ac:dyDescent="0.2"/>
    <row r="40590" hidden="1" x14ac:dyDescent="0.2"/>
    <row r="40591" hidden="1" x14ac:dyDescent="0.2"/>
    <row r="40592" hidden="1" x14ac:dyDescent="0.2"/>
    <row r="40593" hidden="1" x14ac:dyDescent="0.2"/>
    <row r="40594" hidden="1" x14ac:dyDescent="0.2"/>
    <row r="40595" hidden="1" x14ac:dyDescent="0.2"/>
    <row r="40596" hidden="1" x14ac:dyDescent="0.2"/>
    <row r="40597" hidden="1" x14ac:dyDescent="0.2"/>
    <row r="40598" hidden="1" x14ac:dyDescent="0.2"/>
    <row r="40599" hidden="1" x14ac:dyDescent="0.2"/>
    <row r="40600" hidden="1" x14ac:dyDescent="0.2"/>
    <row r="40601" hidden="1" x14ac:dyDescent="0.2"/>
    <row r="40602" hidden="1" x14ac:dyDescent="0.2"/>
    <row r="40603" hidden="1" x14ac:dyDescent="0.2"/>
    <row r="40604" hidden="1" x14ac:dyDescent="0.2"/>
    <row r="40605" hidden="1" x14ac:dyDescent="0.2"/>
    <row r="40606" hidden="1" x14ac:dyDescent="0.2"/>
    <row r="40607" hidden="1" x14ac:dyDescent="0.2"/>
    <row r="40608" hidden="1" x14ac:dyDescent="0.2"/>
    <row r="40609" hidden="1" x14ac:dyDescent="0.2"/>
    <row r="40610" hidden="1" x14ac:dyDescent="0.2"/>
    <row r="40611" hidden="1" x14ac:dyDescent="0.2"/>
    <row r="40612" hidden="1" x14ac:dyDescent="0.2"/>
    <row r="40613" hidden="1" x14ac:dyDescent="0.2"/>
    <row r="40614" hidden="1" x14ac:dyDescent="0.2"/>
    <row r="40615" hidden="1" x14ac:dyDescent="0.2"/>
    <row r="40616" hidden="1" x14ac:dyDescent="0.2"/>
    <row r="40617" hidden="1" x14ac:dyDescent="0.2"/>
    <row r="40618" hidden="1" x14ac:dyDescent="0.2"/>
    <row r="40619" hidden="1" x14ac:dyDescent="0.2"/>
    <row r="40620" hidden="1" x14ac:dyDescent="0.2"/>
    <row r="40621" hidden="1" x14ac:dyDescent="0.2"/>
    <row r="40622" hidden="1" x14ac:dyDescent="0.2"/>
    <row r="40623" hidden="1" x14ac:dyDescent="0.2"/>
    <row r="40624" hidden="1" x14ac:dyDescent="0.2"/>
    <row r="40625" hidden="1" x14ac:dyDescent="0.2"/>
    <row r="40626" hidden="1" x14ac:dyDescent="0.2"/>
    <row r="40627" hidden="1" x14ac:dyDescent="0.2"/>
    <row r="40628" hidden="1" x14ac:dyDescent="0.2"/>
    <row r="40629" hidden="1" x14ac:dyDescent="0.2"/>
    <row r="40630" hidden="1" x14ac:dyDescent="0.2"/>
    <row r="40631" hidden="1" x14ac:dyDescent="0.2"/>
    <row r="40632" hidden="1" x14ac:dyDescent="0.2"/>
    <row r="40633" hidden="1" x14ac:dyDescent="0.2"/>
    <row r="40634" hidden="1" x14ac:dyDescent="0.2"/>
    <row r="40635" hidden="1" x14ac:dyDescent="0.2"/>
    <row r="40636" hidden="1" x14ac:dyDescent="0.2"/>
    <row r="40637" hidden="1" x14ac:dyDescent="0.2"/>
    <row r="40638" hidden="1" x14ac:dyDescent="0.2"/>
    <row r="40639" hidden="1" x14ac:dyDescent="0.2"/>
    <row r="40640" hidden="1" x14ac:dyDescent="0.2"/>
    <row r="40641" hidden="1" x14ac:dyDescent="0.2"/>
    <row r="40642" hidden="1" x14ac:dyDescent="0.2"/>
    <row r="40643" hidden="1" x14ac:dyDescent="0.2"/>
    <row r="40644" hidden="1" x14ac:dyDescent="0.2"/>
    <row r="40645" hidden="1" x14ac:dyDescent="0.2"/>
    <row r="40646" hidden="1" x14ac:dyDescent="0.2"/>
    <row r="40647" hidden="1" x14ac:dyDescent="0.2"/>
    <row r="40648" hidden="1" x14ac:dyDescent="0.2"/>
    <row r="40649" hidden="1" x14ac:dyDescent="0.2"/>
    <row r="40650" hidden="1" x14ac:dyDescent="0.2"/>
    <row r="40651" hidden="1" x14ac:dyDescent="0.2"/>
    <row r="40652" hidden="1" x14ac:dyDescent="0.2"/>
    <row r="40653" hidden="1" x14ac:dyDescent="0.2"/>
    <row r="40654" hidden="1" x14ac:dyDescent="0.2"/>
    <row r="40655" hidden="1" x14ac:dyDescent="0.2"/>
    <row r="40656" hidden="1" x14ac:dyDescent="0.2"/>
    <row r="40657" hidden="1" x14ac:dyDescent="0.2"/>
    <row r="40658" hidden="1" x14ac:dyDescent="0.2"/>
    <row r="40659" hidden="1" x14ac:dyDescent="0.2"/>
    <row r="40660" hidden="1" x14ac:dyDescent="0.2"/>
    <row r="40661" hidden="1" x14ac:dyDescent="0.2"/>
    <row r="40662" hidden="1" x14ac:dyDescent="0.2"/>
    <row r="40663" hidden="1" x14ac:dyDescent="0.2"/>
    <row r="40664" hidden="1" x14ac:dyDescent="0.2"/>
    <row r="40665" hidden="1" x14ac:dyDescent="0.2"/>
    <row r="40666" hidden="1" x14ac:dyDescent="0.2"/>
    <row r="40667" hidden="1" x14ac:dyDescent="0.2"/>
    <row r="40668" hidden="1" x14ac:dyDescent="0.2"/>
    <row r="40669" hidden="1" x14ac:dyDescent="0.2"/>
    <row r="40670" hidden="1" x14ac:dyDescent="0.2"/>
    <row r="40671" hidden="1" x14ac:dyDescent="0.2"/>
    <row r="40672" hidden="1" x14ac:dyDescent="0.2"/>
    <row r="40673" hidden="1" x14ac:dyDescent="0.2"/>
    <row r="40674" hidden="1" x14ac:dyDescent="0.2"/>
    <row r="40675" hidden="1" x14ac:dyDescent="0.2"/>
    <row r="40676" hidden="1" x14ac:dyDescent="0.2"/>
    <row r="40677" hidden="1" x14ac:dyDescent="0.2"/>
    <row r="40678" hidden="1" x14ac:dyDescent="0.2"/>
    <row r="40679" hidden="1" x14ac:dyDescent="0.2"/>
    <row r="40680" hidden="1" x14ac:dyDescent="0.2"/>
    <row r="40681" hidden="1" x14ac:dyDescent="0.2"/>
    <row r="40682" hidden="1" x14ac:dyDescent="0.2"/>
    <row r="40683" hidden="1" x14ac:dyDescent="0.2"/>
    <row r="40684" hidden="1" x14ac:dyDescent="0.2"/>
    <row r="40685" hidden="1" x14ac:dyDescent="0.2"/>
    <row r="40686" hidden="1" x14ac:dyDescent="0.2"/>
    <row r="40687" hidden="1" x14ac:dyDescent="0.2"/>
    <row r="40688" hidden="1" x14ac:dyDescent="0.2"/>
    <row r="40689" hidden="1" x14ac:dyDescent="0.2"/>
    <row r="40690" hidden="1" x14ac:dyDescent="0.2"/>
    <row r="40691" hidden="1" x14ac:dyDescent="0.2"/>
    <row r="40692" hidden="1" x14ac:dyDescent="0.2"/>
    <row r="40693" hidden="1" x14ac:dyDescent="0.2"/>
    <row r="40694" hidden="1" x14ac:dyDescent="0.2"/>
    <row r="40695" hidden="1" x14ac:dyDescent="0.2"/>
    <row r="40696" hidden="1" x14ac:dyDescent="0.2"/>
    <row r="40697" hidden="1" x14ac:dyDescent="0.2"/>
    <row r="40698" hidden="1" x14ac:dyDescent="0.2"/>
    <row r="40699" hidden="1" x14ac:dyDescent="0.2"/>
    <row r="40700" hidden="1" x14ac:dyDescent="0.2"/>
    <row r="40701" hidden="1" x14ac:dyDescent="0.2"/>
    <row r="40702" hidden="1" x14ac:dyDescent="0.2"/>
    <row r="40703" hidden="1" x14ac:dyDescent="0.2"/>
    <row r="40704" hidden="1" x14ac:dyDescent="0.2"/>
    <row r="40705" hidden="1" x14ac:dyDescent="0.2"/>
    <row r="40706" hidden="1" x14ac:dyDescent="0.2"/>
    <row r="40707" hidden="1" x14ac:dyDescent="0.2"/>
    <row r="40708" hidden="1" x14ac:dyDescent="0.2"/>
    <row r="40709" hidden="1" x14ac:dyDescent="0.2"/>
    <row r="40710" hidden="1" x14ac:dyDescent="0.2"/>
    <row r="40711" hidden="1" x14ac:dyDescent="0.2"/>
    <row r="40712" hidden="1" x14ac:dyDescent="0.2"/>
    <row r="40713" hidden="1" x14ac:dyDescent="0.2"/>
    <row r="40714" hidden="1" x14ac:dyDescent="0.2"/>
    <row r="40715" hidden="1" x14ac:dyDescent="0.2"/>
    <row r="40716" hidden="1" x14ac:dyDescent="0.2"/>
    <row r="40717" hidden="1" x14ac:dyDescent="0.2"/>
    <row r="40718" hidden="1" x14ac:dyDescent="0.2"/>
    <row r="40719" hidden="1" x14ac:dyDescent="0.2"/>
    <row r="40720" hidden="1" x14ac:dyDescent="0.2"/>
    <row r="40721" hidden="1" x14ac:dyDescent="0.2"/>
    <row r="40722" hidden="1" x14ac:dyDescent="0.2"/>
    <row r="40723" hidden="1" x14ac:dyDescent="0.2"/>
    <row r="40724" hidden="1" x14ac:dyDescent="0.2"/>
    <row r="40725" hidden="1" x14ac:dyDescent="0.2"/>
    <row r="40726" hidden="1" x14ac:dyDescent="0.2"/>
    <row r="40727" hidden="1" x14ac:dyDescent="0.2"/>
    <row r="40728" hidden="1" x14ac:dyDescent="0.2"/>
    <row r="40729" hidden="1" x14ac:dyDescent="0.2"/>
    <row r="40730" hidden="1" x14ac:dyDescent="0.2"/>
    <row r="40731" hidden="1" x14ac:dyDescent="0.2"/>
    <row r="40732" hidden="1" x14ac:dyDescent="0.2"/>
    <row r="40733" hidden="1" x14ac:dyDescent="0.2"/>
    <row r="40734" hidden="1" x14ac:dyDescent="0.2"/>
    <row r="40735" hidden="1" x14ac:dyDescent="0.2"/>
    <row r="40736" hidden="1" x14ac:dyDescent="0.2"/>
    <row r="40737" hidden="1" x14ac:dyDescent="0.2"/>
    <row r="40738" hidden="1" x14ac:dyDescent="0.2"/>
    <row r="40739" hidden="1" x14ac:dyDescent="0.2"/>
    <row r="40740" hidden="1" x14ac:dyDescent="0.2"/>
    <row r="40741" hidden="1" x14ac:dyDescent="0.2"/>
    <row r="40742" hidden="1" x14ac:dyDescent="0.2"/>
    <row r="40743" hidden="1" x14ac:dyDescent="0.2"/>
    <row r="40744" hidden="1" x14ac:dyDescent="0.2"/>
    <row r="40745" hidden="1" x14ac:dyDescent="0.2"/>
    <row r="40746" hidden="1" x14ac:dyDescent="0.2"/>
    <row r="40747" hidden="1" x14ac:dyDescent="0.2"/>
    <row r="40748" hidden="1" x14ac:dyDescent="0.2"/>
    <row r="40749" hidden="1" x14ac:dyDescent="0.2"/>
    <row r="40750" hidden="1" x14ac:dyDescent="0.2"/>
    <row r="40751" hidden="1" x14ac:dyDescent="0.2"/>
    <row r="40752" hidden="1" x14ac:dyDescent="0.2"/>
    <row r="40753" hidden="1" x14ac:dyDescent="0.2"/>
    <row r="40754" hidden="1" x14ac:dyDescent="0.2"/>
    <row r="40755" hidden="1" x14ac:dyDescent="0.2"/>
    <row r="40756" hidden="1" x14ac:dyDescent="0.2"/>
    <row r="40757" hidden="1" x14ac:dyDescent="0.2"/>
    <row r="40758" hidden="1" x14ac:dyDescent="0.2"/>
    <row r="40759" hidden="1" x14ac:dyDescent="0.2"/>
    <row r="40760" hidden="1" x14ac:dyDescent="0.2"/>
    <row r="40761" hidden="1" x14ac:dyDescent="0.2"/>
    <row r="40762" hidden="1" x14ac:dyDescent="0.2"/>
    <row r="40763" hidden="1" x14ac:dyDescent="0.2"/>
    <row r="40764" hidden="1" x14ac:dyDescent="0.2"/>
    <row r="40765" hidden="1" x14ac:dyDescent="0.2"/>
    <row r="40766" hidden="1" x14ac:dyDescent="0.2"/>
    <row r="40767" hidden="1" x14ac:dyDescent="0.2"/>
    <row r="40768" hidden="1" x14ac:dyDescent="0.2"/>
    <row r="40769" hidden="1" x14ac:dyDescent="0.2"/>
    <row r="40770" hidden="1" x14ac:dyDescent="0.2"/>
    <row r="40771" hidden="1" x14ac:dyDescent="0.2"/>
    <row r="40772" hidden="1" x14ac:dyDescent="0.2"/>
    <row r="40773" hidden="1" x14ac:dyDescent="0.2"/>
    <row r="40774" hidden="1" x14ac:dyDescent="0.2"/>
    <row r="40775" hidden="1" x14ac:dyDescent="0.2"/>
    <row r="40776" hidden="1" x14ac:dyDescent="0.2"/>
    <row r="40777" hidden="1" x14ac:dyDescent="0.2"/>
    <row r="40778" hidden="1" x14ac:dyDescent="0.2"/>
    <row r="40779" hidden="1" x14ac:dyDescent="0.2"/>
    <row r="40780" hidden="1" x14ac:dyDescent="0.2"/>
    <row r="40781" hidden="1" x14ac:dyDescent="0.2"/>
    <row r="40782" hidden="1" x14ac:dyDescent="0.2"/>
    <row r="40783" hidden="1" x14ac:dyDescent="0.2"/>
    <row r="40784" hidden="1" x14ac:dyDescent="0.2"/>
    <row r="40785" hidden="1" x14ac:dyDescent="0.2"/>
    <row r="40786" hidden="1" x14ac:dyDescent="0.2"/>
    <row r="40787" hidden="1" x14ac:dyDescent="0.2"/>
    <row r="40788" hidden="1" x14ac:dyDescent="0.2"/>
    <row r="40789" hidden="1" x14ac:dyDescent="0.2"/>
    <row r="40790" hidden="1" x14ac:dyDescent="0.2"/>
    <row r="40791" hidden="1" x14ac:dyDescent="0.2"/>
    <row r="40792" hidden="1" x14ac:dyDescent="0.2"/>
    <row r="40793" hidden="1" x14ac:dyDescent="0.2"/>
    <row r="40794" hidden="1" x14ac:dyDescent="0.2"/>
    <row r="40795" hidden="1" x14ac:dyDescent="0.2"/>
    <row r="40796" hidden="1" x14ac:dyDescent="0.2"/>
    <row r="40797" hidden="1" x14ac:dyDescent="0.2"/>
    <row r="40798" hidden="1" x14ac:dyDescent="0.2"/>
    <row r="40799" hidden="1" x14ac:dyDescent="0.2"/>
    <row r="40800" hidden="1" x14ac:dyDescent="0.2"/>
    <row r="40801" hidden="1" x14ac:dyDescent="0.2"/>
    <row r="40802" hidden="1" x14ac:dyDescent="0.2"/>
    <row r="40803" hidden="1" x14ac:dyDescent="0.2"/>
    <row r="40804" hidden="1" x14ac:dyDescent="0.2"/>
    <row r="40805" hidden="1" x14ac:dyDescent="0.2"/>
    <row r="40806" hidden="1" x14ac:dyDescent="0.2"/>
    <row r="40807" hidden="1" x14ac:dyDescent="0.2"/>
    <row r="40808" hidden="1" x14ac:dyDescent="0.2"/>
    <row r="40809" hidden="1" x14ac:dyDescent="0.2"/>
    <row r="40810" hidden="1" x14ac:dyDescent="0.2"/>
    <row r="40811" hidden="1" x14ac:dyDescent="0.2"/>
    <row r="40812" hidden="1" x14ac:dyDescent="0.2"/>
    <row r="40813" hidden="1" x14ac:dyDescent="0.2"/>
    <row r="40814" hidden="1" x14ac:dyDescent="0.2"/>
    <row r="40815" hidden="1" x14ac:dyDescent="0.2"/>
    <row r="40816" hidden="1" x14ac:dyDescent="0.2"/>
    <row r="40817" hidden="1" x14ac:dyDescent="0.2"/>
    <row r="40818" hidden="1" x14ac:dyDescent="0.2"/>
    <row r="40819" hidden="1" x14ac:dyDescent="0.2"/>
    <row r="40820" hidden="1" x14ac:dyDescent="0.2"/>
    <row r="40821" hidden="1" x14ac:dyDescent="0.2"/>
    <row r="40822" hidden="1" x14ac:dyDescent="0.2"/>
    <row r="40823" hidden="1" x14ac:dyDescent="0.2"/>
    <row r="40824" hidden="1" x14ac:dyDescent="0.2"/>
    <row r="40825" hidden="1" x14ac:dyDescent="0.2"/>
    <row r="40826" hidden="1" x14ac:dyDescent="0.2"/>
    <row r="40827" hidden="1" x14ac:dyDescent="0.2"/>
    <row r="40828" hidden="1" x14ac:dyDescent="0.2"/>
    <row r="40829" hidden="1" x14ac:dyDescent="0.2"/>
    <row r="40830" hidden="1" x14ac:dyDescent="0.2"/>
    <row r="40831" hidden="1" x14ac:dyDescent="0.2"/>
    <row r="40832" hidden="1" x14ac:dyDescent="0.2"/>
    <row r="40833" hidden="1" x14ac:dyDescent="0.2"/>
    <row r="40834" hidden="1" x14ac:dyDescent="0.2"/>
    <row r="40835" hidden="1" x14ac:dyDescent="0.2"/>
    <row r="40836" hidden="1" x14ac:dyDescent="0.2"/>
    <row r="40837" hidden="1" x14ac:dyDescent="0.2"/>
    <row r="40838" hidden="1" x14ac:dyDescent="0.2"/>
    <row r="40839" hidden="1" x14ac:dyDescent="0.2"/>
    <row r="40840" hidden="1" x14ac:dyDescent="0.2"/>
    <row r="40841" hidden="1" x14ac:dyDescent="0.2"/>
    <row r="40842" hidden="1" x14ac:dyDescent="0.2"/>
    <row r="40843" hidden="1" x14ac:dyDescent="0.2"/>
    <row r="40844" hidden="1" x14ac:dyDescent="0.2"/>
    <row r="40845" hidden="1" x14ac:dyDescent="0.2"/>
    <row r="40846" hidden="1" x14ac:dyDescent="0.2"/>
    <row r="40847" hidden="1" x14ac:dyDescent="0.2"/>
    <row r="40848" hidden="1" x14ac:dyDescent="0.2"/>
    <row r="40849" hidden="1" x14ac:dyDescent="0.2"/>
    <row r="40850" hidden="1" x14ac:dyDescent="0.2"/>
    <row r="40851" hidden="1" x14ac:dyDescent="0.2"/>
    <row r="40852" hidden="1" x14ac:dyDescent="0.2"/>
    <row r="40853" hidden="1" x14ac:dyDescent="0.2"/>
    <row r="40854" hidden="1" x14ac:dyDescent="0.2"/>
    <row r="40855" hidden="1" x14ac:dyDescent="0.2"/>
    <row r="40856" hidden="1" x14ac:dyDescent="0.2"/>
    <row r="40857" hidden="1" x14ac:dyDescent="0.2"/>
    <row r="40858" hidden="1" x14ac:dyDescent="0.2"/>
    <row r="40859" hidden="1" x14ac:dyDescent="0.2"/>
    <row r="40860" hidden="1" x14ac:dyDescent="0.2"/>
    <row r="40861" hidden="1" x14ac:dyDescent="0.2"/>
    <row r="40862" hidden="1" x14ac:dyDescent="0.2"/>
    <row r="40863" hidden="1" x14ac:dyDescent="0.2"/>
    <row r="40864" hidden="1" x14ac:dyDescent="0.2"/>
    <row r="40865" hidden="1" x14ac:dyDescent="0.2"/>
    <row r="40866" hidden="1" x14ac:dyDescent="0.2"/>
    <row r="40867" hidden="1" x14ac:dyDescent="0.2"/>
    <row r="40868" hidden="1" x14ac:dyDescent="0.2"/>
    <row r="40869" hidden="1" x14ac:dyDescent="0.2"/>
    <row r="40870" hidden="1" x14ac:dyDescent="0.2"/>
    <row r="40871" hidden="1" x14ac:dyDescent="0.2"/>
    <row r="40872" hidden="1" x14ac:dyDescent="0.2"/>
    <row r="40873" hidden="1" x14ac:dyDescent="0.2"/>
    <row r="40874" hidden="1" x14ac:dyDescent="0.2"/>
    <row r="40875" hidden="1" x14ac:dyDescent="0.2"/>
    <row r="40876" hidden="1" x14ac:dyDescent="0.2"/>
    <row r="40877" hidden="1" x14ac:dyDescent="0.2"/>
    <row r="40878" hidden="1" x14ac:dyDescent="0.2"/>
    <row r="40879" hidden="1" x14ac:dyDescent="0.2"/>
    <row r="40880" hidden="1" x14ac:dyDescent="0.2"/>
    <row r="40881" hidden="1" x14ac:dyDescent="0.2"/>
    <row r="40882" hidden="1" x14ac:dyDescent="0.2"/>
    <row r="40883" hidden="1" x14ac:dyDescent="0.2"/>
    <row r="40884" hidden="1" x14ac:dyDescent="0.2"/>
    <row r="40885" hidden="1" x14ac:dyDescent="0.2"/>
    <row r="40886" hidden="1" x14ac:dyDescent="0.2"/>
    <row r="40887" hidden="1" x14ac:dyDescent="0.2"/>
    <row r="40888" hidden="1" x14ac:dyDescent="0.2"/>
    <row r="40889" hidden="1" x14ac:dyDescent="0.2"/>
    <row r="40890" hidden="1" x14ac:dyDescent="0.2"/>
    <row r="40891" hidden="1" x14ac:dyDescent="0.2"/>
    <row r="40892" hidden="1" x14ac:dyDescent="0.2"/>
    <row r="40893" hidden="1" x14ac:dyDescent="0.2"/>
    <row r="40894" hidden="1" x14ac:dyDescent="0.2"/>
    <row r="40895" hidden="1" x14ac:dyDescent="0.2"/>
    <row r="40896" hidden="1" x14ac:dyDescent="0.2"/>
    <row r="40897" hidden="1" x14ac:dyDescent="0.2"/>
    <row r="40898" hidden="1" x14ac:dyDescent="0.2"/>
    <row r="40899" hidden="1" x14ac:dyDescent="0.2"/>
    <row r="40900" hidden="1" x14ac:dyDescent="0.2"/>
    <row r="40901" hidden="1" x14ac:dyDescent="0.2"/>
    <row r="40902" hidden="1" x14ac:dyDescent="0.2"/>
    <row r="40903" hidden="1" x14ac:dyDescent="0.2"/>
    <row r="40904" hidden="1" x14ac:dyDescent="0.2"/>
    <row r="40905" hidden="1" x14ac:dyDescent="0.2"/>
    <row r="40906" hidden="1" x14ac:dyDescent="0.2"/>
    <row r="40907" hidden="1" x14ac:dyDescent="0.2"/>
    <row r="40908" hidden="1" x14ac:dyDescent="0.2"/>
    <row r="40909" hidden="1" x14ac:dyDescent="0.2"/>
    <row r="40910" hidden="1" x14ac:dyDescent="0.2"/>
    <row r="40911" hidden="1" x14ac:dyDescent="0.2"/>
    <row r="40912" hidden="1" x14ac:dyDescent="0.2"/>
    <row r="40913" hidden="1" x14ac:dyDescent="0.2"/>
    <row r="40914" hidden="1" x14ac:dyDescent="0.2"/>
    <row r="40915" hidden="1" x14ac:dyDescent="0.2"/>
    <row r="40916" hidden="1" x14ac:dyDescent="0.2"/>
    <row r="40917" hidden="1" x14ac:dyDescent="0.2"/>
    <row r="40918" hidden="1" x14ac:dyDescent="0.2"/>
    <row r="40919" hidden="1" x14ac:dyDescent="0.2"/>
    <row r="40920" hidden="1" x14ac:dyDescent="0.2"/>
    <row r="40921" hidden="1" x14ac:dyDescent="0.2"/>
    <row r="40922" hidden="1" x14ac:dyDescent="0.2"/>
    <row r="40923" hidden="1" x14ac:dyDescent="0.2"/>
    <row r="40924" hidden="1" x14ac:dyDescent="0.2"/>
    <row r="40925" hidden="1" x14ac:dyDescent="0.2"/>
    <row r="40926" hidden="1" x14ac:dyDescent="0.2"/>
    <row r="40927" hidden="1" x14ac:dyDescent="0.2"/>
    <row r="40928" hidden="1" x14ac:dyDescent="0.2"/>
    <row r="40929" hidden="1" x14ac:dyDescent="0.2"/>
    <row r="40930" hidden="1" x14ac:dyDescent="0.2"/>
    <row r="40931" hidden="1" x14ac:dyDescent="0.2"/>
    <row r="40932" hidden="1" x14ac:dyDescent="0.2"/>
    <row r="40933" hidden="1" x14ac:dyDescent="0.2"/>
    <row r="40934" hidden="1" x14ac:dyDescent="0.2"/>
    <row r="40935" hidden="1" x14ac:dyDescent="0.2"/>
    <row r="40936" hidden="1" x14ac:dyDescent="0.2"/>
    <row r="40937" hidden="1" x14ac:dyDescent="0.2"/>
    <row r="40938" hidden="1" x14ac:dyDescent="0.2"/>
    <row r="40939" hidden="1" x14ac:dyDescent="0.2"/>
    <row r="40940" hidden="1" x14ac:dyDescent="0.2"/>
    <row r="40941" hidden="1" x14ac:dyDescent="0.2"/>
    <row r="40942" hidden="1" x14ac:dyDescent="0.2"/>
    <row r="40943" hidden="1" x14ac:dyDescent="0.2"/>
    <row r="40944" hidden="1" x14ac:dyDescent="0.2"/>
    <row r="40945" hidden="1" x14ac:dyDescent="0.2"/>
    <row r="40946" hidden="1" x14ac:dyDescent="0.2"/>
    <row r="40947" hidden="1" x14ac:dyDescent="0.2"/>
    <row r="40948" hidden="1" x14ac:dyDescent="0.2"/>
    <row r="40949" hidden="1" x14ac:dyDescent="0.2"/>
    <row r="40950" hidden="1" x14ac:dyDescent="0.2"/>
    <row r="40951" hidden="1" x14ac:dyDescent="0.2"/>
    <row r="40952" hidden="1" x14ac:dyDescent="0.2"/>
    <row r="40953" hidden="1" x14ac:dyDescent="0.2"/>
    <row r="40954" hidden="1" x14ac:dyDescent="0.2"/>
    <row r="40955" hidden="1" x14ac:dyDescent="0.2"/>
    <row r="40956" hidden="1" x14ac:dyDescent="0.2"/>
    <row r="40957" hidden="1" x14ac:dyDescent="0.2"/>
    <row r="40958" hidden="1" x14ac:dyDescent="0.2"/>
    <row r="40959" hidden="1" x14ac:dyDescent="0.2"/>
    <row r="40960" hidden="1" x14ac:dyDescent="0.2"/>
    <row r="40961" hidden="1" x14ac:dyDescent="0.2"/>
    <row r="40962" hidden="1" x14ac:dyDescent="0.2"/>
    <row r="40963" hidden="1" x14ac:dyDescent="0.2"/>
    <row r="40964" hidden="1" x14ac:dyDescent="0.2"/>
    <row r="40965" hidden="1" x14ac:dyDescent="0.2"/>
    <row r="40966" hidden="1" x14ac:dyDescent="0.2"/>
    <row r="40967" hidden="1" x14ac:dyDescent="0.2"/>
    <row r="40968" hidden="1" x14ac:dyDescent="0.2"/>
    <row r="40969" hidden="1" x14ac:dyDescent="0.2"/>
    <row r="40970" hidden="1" x14ac:dyDescent="0.2"/>
    <row r="40971" hidden="1" x14ac:dyDescent="0.2"/>
    <row r="40972" hidden="1" x14ac:dyDescent="0.2"/>
    <row r="40973" hidden="1" x14ac:dyDescent="0.2"/>
    <row r="40974" hidden="1" x14ac:dyDescent="0.2"/>
    <row r="40975" hidden="1" x14ac:dyDescent="0.2"/>
    <row r="40976" hidden="1" x14ac:dyDescent="0.2"/>
    <row r="40977" hidden="1" x14ac:dyDescent="0.2"/>
    <row r="40978" hidden="1" x14ac:dyDescent="0.2"/>
    <row r="40979" hidden="1" x14ac:dyDescent="0.2"/>
    <row r="40980" hidden="1" x14ac:dyDescent="0.2"/>
    <row r="40981" hidden="1" x14ac:dyDescent="0.2"/>
    <row r="40982" hidden="1" x14ac:dyDescent="0.2"/>
    <row r="40983" hidden="1" x14ac:dyDescent="0.2"/>
    <row r="40984" hidden="1" x14ac:dyDescent="0.2"/>
    <row r="40985" hidden="1" x14ac:dyDescent="0.2"/>
    <row r="40986" hidden="1" x14ac:dyDescent="0.2"/>
    <row r="40987" hidden="1" x14ac:dyDescent="0.2"/>
    <row r="40988" hidden="1" x14ac:dyDescent="0.2"/>
    <row r="40989" hidden="1" x14ac:dyDescent="0.2"/>
    <row r="40990" hidden="1" x14ac:dyDescent="0.2"/>
    <row r="40991" hidden="1" x14ac:dyDescent="0.2"/>
    <row r="40992" hidden="1" x14ac:dyDescent="0.2"/>
    <row r="40993" hidden="1" x14ac:dyDescent="0.2"/>
    <row r="40994" hidden="1" x14ac:dyDescent="0.2"/>
    <row r="40995" hidden="1" x14ac:dyDescent="0.2"/>
    <row r="40996" hidden="1" x14ac:dyDescent="0.2"/>
    <row r="40997" hidden="1" x14ac:dyDescent="0.2"/>
    <row r="40998" hidden="1" x14ac:dyDescent="0.2"/>
    <row r="40999" hidden="1" x14ac:dyDescent="0.2"/>
    <row r="41000" hidden="1" x14ac:dyDescent="0.2"/>
    <row r="41001" hidden="1" x14ac:dyDescent="0.2"/>
    <row r="41002" hidden="1" x14ac:dyDescent="0.2"/>
    <row r="41003" hidden="1" x14ac:dyDescent="0.2"/>
    <row r="41004" hidden="1" x14ac:dyDescent="0.2"/>
    <row r="41005" hidden="1" x14ac:dyDescent="0.2"/>
    <row r="41006" hidden="1" x14ac:dyDescent="0.2"/>
    <row r="41007" hidden="1" x14ac:dyDescent="0.2"/>
    <row r="41008" hidden="1" x14ac:dyDescent="0.2"/>
    <row r="41009" hidden="1" x14ac:dyDescent="0.2"/>
    <row r="41010" hidden="1" x14ac:dyDescent="0.2"/>
    <row r="41011" hidden="1" x14ac:dyDescent="0.2"/>
    <row r="41012" hidden="1" x14ac:dyDescent="0.2"/>
    <row r="41013" hidden="1" x14ac:dyDescent="0.2"/>
    <row r="41014" hidden="1" x14ac:dyDescent="0.2"/>
    <row r="41015" hidden="1" x14ac:dyDescent="0.2"/>
    <row r="41016" hidden="1" x14ac:dyDescent="0.2"/>
    <row r="41017" hidden="1" x14ac:dyDescent="0.2"/>
    <row r="41018" hidden="1" x14ac:dyDescent="0.2"/>
    <row r="41019" hidden="1" x14ac:dyDescent="0.2"/>
    <row r="41020" hidden="1" x14ac:dyDescent="0.2"/>
    <row r="41021" hidden="1" x14ac:dyDescent="0.2"/>
    <row r="41022" hidden="1" x14ac:dyDescent="0.2"/>
    <row r="41023" hidden="1" x14ac:dyDescent="0.2"/>
    <row r="41024" hidden="1" x14ac:dyDescent="0.2"/>
    <row r="41025" hidden="1" x14ac:dyDescent="0.2"/>
    <row r="41026" hidden="1" x14ac:dyDescent="0.2"/>
    <row r="41027" hidden="1" x14ac:dyDescent="0.2"/>
    <row r="41028" hidden="1" x14ac:dyDescent="0.2"/>
    <row r="41029" hidden="1" x14ac:dyDescent="0.2"/>
    <row r="41030" hidden="1" x14ac:dyDescent="0.2"/>
    <row r="41031" hidden="1" x14ac:dyDescent="0.2"/>
    <row r="41032" hidden="1" x14ac:dyDescent="0.2"/>
    <row r="41033" hidden="1" x14ac:dyDescent="0.2"/>
    <row r="41034" hidden="1" x14ac:dyDescent="0.2"/>
    <row r="41035" hidden="1" x14ac:dyDescent="0.2"/>
    <row r="41036" hidden="1" x14ac:dyDescent="0.2"/>
    <row r="41037" hidden="1" x14ac:dyDescent="0.2"/>
    <row r="41038" hidden="1" x14ac:dyDescent="0.2"/>
    <row r="41039" hidden="1" x14ac:dyDescent="0.2"/>
    <row r="41040" hidden="1" x14ac:dyDescent="0.2"/>
    <row r="41041" hidden="1" x14ac:dyDescent="0.2"/>
    <row r="41042" hidden="1" x14ac:dyDescent="0.2"/>
    <row r="41043" hidden="1" x14ac:dyDescent="0.2"/>
    <row r="41044" hidden="1" x14ac:dyDescent="0.2"/>
    <row r="41045" hidden="1" x14ac:dyDescent="0.2"/>
    <row r="41046" hidden="1" x14ac:dyDescent="0.2"/>
    <row r="41047" hidden="1" x14ac:dyDescent="0.2"/>
    <row r="41048" hidden="1" x14ac:dyDescent="0.2"/>
    <row r="41049" hidden="1" x14ac:dyDescent="0.2"/>
    <row r="41050" hidden="1" x14ac:dyDescent="0.2"/>
    <row r="41051" hidden="1" x14ac:dyDescent="0.2"/>
    <row r="41052" hidden="1" x14ac:dyDescent="0.2"/>
    <row r="41053" hidden="1" x14ac:dyDescent="0.2"/>
    <row r="41054" hidden="1" x14ac:dyDescent="0.2"/>
    <row r="41055" hidden="1" x14ac:dyDescent="0.2"/>
    <row r="41056" hidden="1" x14ac:dyDescent="0.2"/>
    <row r="41057" hidden="1" x14ac:dyDescent="0.2"/>
    <row r="41058" hidden="1" x14ac:dyDescent="0.2"/>
    <row r="41059" hidden="1" x14ac:dyDescent="0.2"/>
    <row r="41060" hidden="1" x14ac:dyDescent="0.2"/>
    <row r="41061" hidden="1" x14ac:dyDescent="0.2"/>
    <row r="41062" hidden="1" x14ac:dyDescent="0.2"/>
    <row r="41063" hidden="1" x14ac:dyDescent="0.2"/>
    <row r="41064" hidden="1" x14ac:dyDescent="0.2"/>
    <row r="41065" hidden="1" x14ac:dyDescent="0.2"/>
    <row r="41066" hidden="1" x14ac:dyDescent="0.2"/>
    <row r="41067" hidden="1" x14ac:dyDescent="0.2"/>
    <row r="41068" hidden="1" x14ac:dyDescent="0.2"/>
    <row r="41069" hidden="1" x14ac:dyDescent="0.2"/>
    <row r="41070" hidden="1" x14ac:dyDescent="0.2"/>
    <row r="41071" hidden="1" x14ac:dyDescent="0.2"/>
    <row r="41072" hidden="1" x14ac:dyDescent="0.2"/>
    <row r="41073" hidden="1" x14ac:dyDescent="0.2"/>
    <row r="41074" hidden="1" x14ac:dyDescent="0.2"/>
    <row r="41075" hidden="1" x14ac:dyDescent="0.2"/>
    <row r="41076" hidden="1" x14ac:dyDescent="0.2"/>
    <row r="41077" hidden="1" x14ac:dyDescent="0.2"/>
    <row r="41078" hidden="1" x14ac:dyDescent="0.2"/>
    <row r="41079" hidden="1" x14ac:dyDescent="0.2"/>
    <row r="41080" hidden="1" x14ac:dyDescent="0.2"/>
    <row r="41081" hidden="1" x14ac:dyDescent="0.2"/>
    <row r="41082" hidden="1" x14ac:dyDescent="0.2"/>
    <row r="41083" hidden="1" x14ac:dyDescent="0.2"/>
    <row r="41084" hidden="1" x14ac:dyDescent="0.2"/>
    <row r="41085" hidden="1" x14ac:dyDescent="0.2"/>
    <row r="41086" hidden="1" x14ac:dyDescent="0.2"/>
    <row r="41087" hidden="1" x14ac:dyDescent="0.2"/>
    <row r="41088" hidden="1" x14ac:dyDescent="0.2"/>
    <row r="41089" hidden="1" x14ac:dyDescent="0.2"/>
    <row r="41090" hidden="1" x14ac:dyDescent="0.2"/>
    <row r="41091" hidden="1" x14ac:dyDescent="0.2"/>
    <row r="41092" hidden="1" x14ac:dyDescent="0.2"/>
    <row r="41093" hidden="1" x14ac:dyDescent="0.2"/>
    <row r="41094" hidden="1" x14ac:dyDescent="0.2"/>
    <row r="41095" hidden="1" x14ac:dyDescent="0.2"/>
    <row r="41096" hidden="1" x14ac:dyDescent="0.2"/>
    <row r="41097" hidden="1" x14ac:dyDescent="0.2"/>
    <row r="41098" hidden="1" x14ac:dyDescent="0.2"/>
    <row r="41099" hidden="1" x14ac:dyDescent="0.2"/>
    <row r="41100" hidden="1" x14ac:dyDescent="0.2"/>
    <row r="41101" hidden="1" x14ac:dyDescent="0.2"/>
    <row r="41102" hidden="1" x14ac:dyDescent="0.2"/>
    <row r="41103" hidden="1" x14ac:dyDescent="0.2"/>
    <row r="41104" hidden="1" x14ac:dyDescent="0.2"/>
    <row r="41105" hidden="1" x14ac:dyDescent="0.2"/>
    <row r="41106" hidden="1" x14ac:dyDescent="0.2"/>
    <row r="41107" hidden="1" x14ac:dyDescent="0.2"/>
    <row r="41108" hidden="1" x14ac:dyDescent="0.2"/>
    <row r="41109" hidden="1" x14ac:dyDescent="0.2"/>
    <row r="41110" hidden="1" x14ac:dyDescent="0.2"/>
    <row r="41111" hidden="1" x14ac:dyDescent="0.2"/>
    <row r="41112" hidden="1" x14ac:dyDescent="0.2"/>
    <row r="41113" hidden="1" x14ac:dyDescent="0.2"/>
    <row r="41114" hidden="1" x14ac:dyDescent="0.2"/>
    <row r="41115" hidden="1" x14ac:dyDescent="0.2"/>
    <row r="41116" hidden="1" x14ac:dyDescent="0.2"/>
    <row r="41117" hidden="1" x14ac:dyDescent="0.2"/>
    <row r="41118" hidden="1" x14ac:dyDescent="0.2"/>
    <row r="41119" hidden="1" x14ac:dyDescent="0.2"/>
    <row r="41120" hidden="1" x14ac:dyDescent="0.2"/>
    <row r="41121" hidden="1" x14ac:dyDescent="0.2"/>
    <row r="41122" hidden="1" x14ac:dyDescent="0.2"/>
    <row r="41123" hidden="1" x14ac:dyDescent="0.2"/>
    <row r="41124" hidden="1" x14ac:dyDescent="0.2"/>
    <row r="41125" hidden="1" x14ac:dyDescent="0.2"/>
    <row r="41126" hidden="1" x14ac:dyDescent="0.2"/>
    <row r="41127" hidden="1" x14ac:dyDescent="0.2"/>
    <row r="41128" hidden="1" x14ac:dyDescent="0.2"/>
    <row r="41129" hidden="1" x14ac:dyDescent="0.2"/>
    <row r="41130" hidden="1" x14ac:dyDescent="0.2"/>
    <row r="41131" hidden="1" x14ac:dyDescent="0.2"/>
    <row r="41132" hidden="1" x14ac:dyDescent="0.2"/>
    <row r="41133" hidden="1" x14ac:dyDescent="0.2"/>
    <row r="41134" hidden="1" x14ac:dyDescent="0.2"/>
    <row r="41135" hidden="1" x14ac:dyDescent="0.2"/>
    <row r="41136" hidden="1" x14ac:dyDescent="0.2"/>
    <row r="41137" hidden="1" x14ac:dyDescent="0.2"/>
    <row r="41138" hidden="1" x14ac:dyDescent="0.2"/>
    <row r="41139" hidden="1" x14ac:dyDescent="0.2"/>
    <row r="41140" hidden="1" x14ac:dyDescent="0.2"/>
    <row r="41141" hidden="1" x14ac:dyDescent="0.2"/>
    <row r="41142" hidden="1" x14ac:dyDescent="0.2"/>
    <row r="41143" hidden="1" x14ac:dyDescent="0.2"/>
    <row r="41144" hidden="1" x14ac:dyDescent="0.2"/>
    <row r="41145" hidden="1" x14ac:dyDescent="0.2"/>
    <row r="41146" hidden="1" x14ac:dyDescent="0.2"/>
    <row r="41147" hidden="1" x14ac:dyDescent="0.2"/>
    <row r="41148" hidden="1" x14ac:dyDescent="0.2"/>
    <row r="41149" hidden="1" x14ac:dyDescent="0.2"/>
    <row r="41150" hidden="1" x14ac:dyDescent="0.2"/>
    <row r="41151" hidden="1" x14ac:dyDescent="0.2"/>
    <row r="41152" hidden="1" x14ac:dyDescent="0.2"/>
    <row r="41153" hidden="1" x14ac:dyDescent="0.2"/>
    <row r="41154" hidden="1" x14ac:dyDescent="0.2"/>
    <row r="41155" hidden="1" x14ac:dyDescent="0.2"/>
    <row r="41156" hidden="1" x14ac:dyDescent="0.2"/>
    <row r="41157" hidden="1" x14ac:dyDescent="0.2"/>
    <row r="41158" hidden="1" x14ac:dyDescent="0.2"/>
    <row r="41159" hidden="1" x14ac:dyDescent="0.2"/>
    <row r="41160" hidden="1" x14ac:dyDescent="0.2"/>
    <row r="41161" hidden="1" x14ac:dyDescent="0.2"/>
    <row r="41162" hidden="1" x14ac:dyDescent="0.2"/>
    <row r="41163" hidden="1" x14ac:dyDescent="0.2"/>
    <row r="41164" hidden="1" x14ac:dyDescent="0.2"/>
    <row r="41165" hidden="1" x14ac:dyDescent="0.2"/>
    <row r="41166" hidden="1" x14ac:dyDescent="0.2"/>
    <row r="41167" hidden="1" x14ac:dyDescent="0.2"/>
    <row r="41168" hidden="1" x14ac:dyDescent="0.2"/>
    <row r="41169" hidden="1" x14ac:dyDescent="0.2"/>
    <row r="41170" hidden="1" x14ac:dyDescent="0.2"/>
    <row r="41171" hidden="1" x14ac:dyDescent="0.2"/>
    <row r="41172" hidden="1" x14ac:dyDescent="0.2"/>
    <row r="41173" hidden="1" x14ac:dyDescent="0.2"/>
    <row r="41174" hidden="1" x14ac:dyDescent="0.2"/>
    <row r="41175" hidden="1" x14ac:dyDescent="0.2"/>
    <row r="41176" hidden="1" x14ac:dyDescent="0.2"/>
    <row r="41177" hidden="1" x14ac:dyDescent="0.2"/>
    <row r="41178" hidden="1" x14ac:dyDescent="0.2"/>
    <row r="41179" hidden="1" x14ac:dyDescent="0.2"/>
    <row r="41180" hidden="1" x14ac:dyDescent="0.2"/>
    <row r="41181" hidden="1" x14ac:dyDescent="0.2"/>
    <row r="41182" hidden="1" x14ac:dyDescent="0.2"/>
    <row r="41183" hidden="1" x14ac:dyDescent="0.2"/>
    <row r="41184" hidden="1" x14ac:dyDescent="0.2"/>
    <row r="41185" hidden="1" x14ac:dyDescent="0.2"/>
    <row r="41186" hidden="1" x14ac:dyDescent="0.2"/>
    <row r="41187" hidden="1" x14ac:dyDescent="0.2"/>
    <row r="41188" hidden="1" x14ac:dyDescent="0.2"/>
    <row r="41189" hidden="1" x14ac:dyDescent="0.2"/>
    <row r="41190" hidden="1" x14ac:dyDescent="0.2"/>
    <row r="41191" hidden="1" x14ac:dyDescent="0.2"/>
    <row r="41192" hidden="1" x14ac:dyDescent="0.2"/>
    <row r="41193" hidden="1" x14ac:dyDescent="0.2"/>
    <row r="41194" hidden="1" x14ac:dyDescent="0.2"/>
    <row r="41195" hidden="1" x14ac:dyDescent="0.2"/>
    <row r="41196" hidden="1" x14ac:dyDescent="0.2"/>
    <row r="41197" hidden="1" x14ac:dyDescent="0.2"/>
    <row r="41198" hidden="1" x14ac:dyDescent="0.2"/>
    <row r="41199" hidden="1" x14ac:dyDescent="0.2"/>
    <row r="41200" hidden="1" x14ac:dyDescent="0.2"/>
    <row r="41201" hidden="1" x14ac:dyDescent="0.2"/>
    <row r="41202" hidden="1" x14ac:dyDescent="0.2"/>
    <row r="41203" hidden="1" x14ac:dyDescent="0.2"/>
    <row r="41204" hidden="1" x14ac:dyDescent="0.2"/>
    <row r="41205" hidden="1" x14ac:dyDescent="0.2"/>
    <row r="41206" hidden="1" x14ac:dyDescent="0.2"/>
    <row r="41207" hidden="1" x14ac:dyDescent="0.2"/>
    <row r="41208" hidden="1" x14ac:dyDescent="0.2"/>
    <row r="41209" hidden="1" x14ac:dyDescent="0.2"/>
    <row r="41210" hidden="1" x14ac:dyDescent="0.2"/>
    <row r="41211" hidden="1" x14ac:dyDescent="0.2"/>
    <row r="41212" hidden="1" x14ac:dyDescent="0.2"/>
    <row r="41213" hidden="1" x14ac:dyDescent="0.2"/>
    <row r="41214" hidden="1" x14ac:dyDescent="0.2"/>
    <row r="41215" hidden="1" x14ac:dyDescent="0.2"/>
    <row r="41216" hidden="1" x14ac:dyDescent="0.2"/>
    <row r="41217" hidden="1" x14ac:dyDescent="0.2"/>
    <row r="41218" hidden="1" x14ac:dyDescent="0.2"/>
    <row r="41219" hidden="1" x14ac:dyDescent="0.2"/>
    <row r="41220" hidden="1" x14ac:dyDescent="0.2"/>
    <row r="41221" hidden="1" x14ac:dyDescent="0.2"/>
    <row r="41222" hidden="1" x14ac:dyDescent="0.2"/>
    <row r="41223" hidden="1" x14ac:dyDescent="0.2"/>
    <row r="41224" hidden="1" x14ac:dyDescent="0.2"/>
    <row r="41225" hidden="1" x14ac:dyDescent="0.2"/>
    <row r="41226" hidden="1" x14ac:dyDescent="0.2"/>
    <row r="41227" hidden="1" x14ac:dyDescent="0.2"/>
    <row r="41228" hidden="1" x14ac:dyDescent="0.2"/>
    <row r="41229" hidden="1" x14ac:dyDescent="0.2"/>
    <row r="41230" hidden="1" x14ac:dyDescent="0.2"/>
    <row r="41231" hidden="1" x14ac:dyDescent="0.2"/>
    <row r="41232" hidden="1" x14ac:dyDescent="0.2"/>
    <row r="41233" hidden="1" x14ac:dyDescent="0.2"/>
    <row r="41234" hidden="1" x14ac:dyDescent="0.2"/>
    <row r="41235" hidden="1" x14ac:dyDescent="0.2"/>
    <row r="41236" hidden="1" x14ac:dyDescent="0.2"/>
    <row r="41237" hidden="1" x14ac:dyDescent="0.2"/>
    <row r="41238" hidden="1" x14ac:dyDescent="0.2"/>
    <row r="41239" hidden="1" x14ac:dyDescent="0.2"/>
    <row r="41240" hidden="1" x14ac:dyDescent="0.2"/>
    <row r="41241" hidden="1" x14ac:dyDescent="0.2"/>
    <row r="41242" hidden="1" x14ac:dyDescent="0.2"/>
    <row r="41243" hidden="1" x14ac:dyDescent="0.2"/>
    <row r="41244" hidden="1" x14ac:dyDescent="0.2"/>
    <row r="41245" hidden="1" x14ac:dyDescent="0.2"/>
    <row r="41246" hidden="1" x14ac:dyDescent="0.2"/>
    <row r="41247" hidden="1" x14ac:dyDescent="0.2"/>
    <row r="41248" hidden="1" x14ac:dyDescent="0.2"/>
    <row r="41249" hidden="1" x14ac:dyDescent="0.2"/>
    <row r="41250" hidden="1" x14ac:dyDescent="0.2"/>
    <row r="41251" hidden="1" x14ac:dyDescent="0.2"/>
    <row r="41252" hidden="1" x14ac:dyDescent="0.2"/>
    <row r="41253" hidden="1" x14ac:dyDescent="0.2"/>
    <row r="41254" hidden="1" x14ac:dyDescent="0.2"/>
    <row r="41255" hidden="1" x14ac:dyDescent="0.2"/>
    <row r="41256" hidden="1" x14ac:dyDescent="0.2"/>
    <row r="41257" hidden="1" x14ac:dyDescent="0.2"/>
    <row r="41258" hidden="1" x14ac:dyDescent="0.2"/>
    <row r="41259" hidden="1" x14ac:dyDescent="0.2"/>
    <row r="41260" hidden="1" x14ac:dyDescent="0.2"/>
    <row r="41261" hidden="1" x14ac:dyDescent="0.2"/>
    <row r="41262" hidden="1" x14ac:dyDescent="0.2"/>
    <row r="41263" hidden="1" x14ac:dyDescent="0.2"/>
    <row r="41264" hidden="1" x14ac:dyDescent="0.2"/>
    <row r="41265" hidden="1" x14ac:dyDescent="0.2"/>
    <row r="41266" hidden="1" x14ac:dyDescent="0.2"/>
    <row r="41267" hidden="1" x14ac:dyDescent="0.2"/>
    <row r="41268" hidden="1" x14ac:dyDescent="0.2"/>
    <row r="41269" hidden="1" x14ac:dyDescent="0.2"/>
    <row r="41270" hidden="1" x14ac:dyDescent="0.2"/>
    <row r="41271" hidden="1" x14ac:dyDescent="0.2"/>
    <row r="41272" hidden="1" x14ac:dyDescent="0.2"/>
    <row r="41273" hidden="1" x14ac:dyDescent="0.2"/>
    <row r="41274" hidden="1" x14ac:dyDescent="0.2"/>
    <row r="41275" hidden="1" x14ac:dyDescent="0.2"/>
    <row r="41276" hidden="1" x14ac:dyDescent="0.2"/>
    <row r="41277" hidden="1" x14ac:dyDescent="0.2"/>
    <row r="41278" hidden="1" x14ac:dyDescent="0.2"/>
    <row r="41279" hidden="1" x14ac:dyDescent="0.2"/>
    <row r="41280" hidden="1" x14ac:dyDescent="0.2"/>
    <row r="41281" hidden="1" x14ac:dyDescent="0.2"/>
    <row r="41282" hidden="1" x14ac:dyDescent="0.2"/>
    <row r="41283" hidden="1" x14ac:dyDescent="0.2"/>
    <row r="41284" hidden="1" x14ac:dyDescent="0.2"/>
    <row r="41285" hidden="1" x14ac:dyDescent="0.2"/>
    <row r="41286" hidden="1" x14ac:dyDescent="0.2"/>
    <row r="41287" hidden="1" x14ac:dyDescent="0.2"/>
    <row r="41288" hidden="1" x14ac:dyDescent="0.2"/>
    <row r="41289" hidden="1" x14ac:dyDescent="0.2"/>
    <row r="41290" hidden="1" x14ac:dyDescent="0.2"/>
    <row r="41291" hidden="1" x14ac:dyDescent="0.2"/>
    <row r="41292" hidden="1" x14ac:dyDescent="0.2"/>
    <row r="41293" hidden="1" x14ac:dyDescent="0.2"/>
    <row r="41294" hidden="1" x14ac:dyDescent="0.2"/>
    <row r="41295" hidden="1" x14ac:dyDescent="0.2"/>
    <row r="41296" hidden="1" x14ac:dyDescent="0.2"/>
    <row r="41297" hidden="1" x14ac:dyDescent="0.2"/>
    <row r="41298" hidden="1" x14ac:dyDescent="0.2"/>
    <row r="41299" hidden="1" x14ac:dyDescent="0.2"/>
    <row r="41300" hidden="1" x14ac:dyDescent="0.2"/>
    <row r="41301" hidden="1" x14ac:dyDescent="0.2"/>
    <row r="41302" hidden="1" x14ac:dyDescent="0.2"/>
    <row r="41303" hidden="1" x14ac:dyDescent="0.2"/>
    <row r="41304" hidden="1" x14ac:dyDescent="0.2"/>
    <row r="41305" hidden="1" x14ac:dyDescent="0.2"/>
    <row r="41306" hidden="1" x14ac:dyDescent="0.2"/>
    <row r="41307" hidden="1" x14ac:dyDescent="0.2"/>
    <row r="41308" hidden="1" x14ac:dyDescent="0.2"/>
    <row r="41309" hidden="1" x14ac:dyDescent="0.2"/>
    <row r="41310" hidden="1" x14ac:dyDescent="0.2"/>
    <row r="41311" hidden="1" x14ac:dyDescent="0.2"/>
    <row r="41312" hidden="1" x14ac:dyDescent="0.2"/>
    <row r="41313" hidden="1" x14ac:dyDescent="0.2"/>
    <row r="41314" hidden="1" x14ac:dyDescent="0.2"/>
    <row r="41315" hidden="1" x14ac:dyDescent="0.2"/>
    <row r="41316" hidden="1" x14ac:dyDescent="0.2"/>
    <row r="41317" hidden="1" x14ac:dyDescent="0.2"/>
    <row r="41318" hidden="1" x14ac:dyDescent="0.2"/>
    <row r="41319" hidden="1" x14ac:dyDescent="0.2"/>
    <row r="41320" hidden="1" x14ac:dyDescent="0.2"/>
    <row r="41321" hidden="1" x14ac:dyDescent="0.2"/>
    <row r="41322" hidden="1" x14ac:dyDescent="0.2"/>
    <row r="41323" hidden="1" x14ac:dyDescent="0.2"/>
    <row r="41324" hidden="1" x14ac:dyDescent="0.2"/>
    <row r="41325" hidden="1" x14ac:dyDescent="0.2"/>
    <row r="41326" hidden="1" x14ac:dyDescent="0.2"/>
    <row r="41327" hidden="1" x14ac:dyDescent="0.2"/>
    <row r="41328" hidden="1" x14ac:dyDescent="0.2"/>
    <row r="41329" hidden="1" x14ac:dyDescent="0.2"/>
    <row r="41330" hidden="1" x14ac:dyDescent="0.2"/>
    <row r="41331" hidden="1" x14ac:dyDescent="0.2"/>
    <row r="41332" hidden="1" x14ac:dyDescent="0.2"/>
    <row r="41333" hidden="1" x14ac:dyDescent="0.2"/>
    <row r="41334" hidden="1" x14ac:dyDescent="0.2"/>
    <row r="41335" hidden="1" x14ac:dyDescent="0.2"/>
    <row r="41336" hidden="1" x14ac:dyDescent="0.2"/>
    <row r="41337" hidden="1" x14ac:dyDescent="0.2"/>
    <row r="41338" hidden="1" x14ac:dyDescent="0.2"/>
    <row r="41339" hidden="1" x14ac:dyDescent="0.2"/>
    <row r="41340" hidden="1" x14ac:dyDescent="0.2"/>
    <row r="41341" hidden="1" x14ac:dyDescent="0.2"/>
    <row r="41342" hidden="1" x14ac:dyDescent="0.2"/>
    <row r="41343" hidden="1" x14ac:dyDescent="0.2"/>
    <row r="41344" hidden="1" x14ac:dyDescent="0.2"/>
    <row r="41345" hidden="1" x14ac:dyDescent="0.2"/>
    <row r="41346" hidden="1" x14ac:dyDescent="0.2"/>
    <row r="41347" hidden="1" x14ac:dyDescent="0.2"/>
    <row r="41348" hidden="1" x14ac:dyDescent="0.2"/>
    <row r="41349" hidden="1" x14ac:dyDescent="0.2"/>
    <row r="41350" hidden="1" x14ac:dyDescent="0.2"/>
    <row r="41351" hidden="1" x14ac:dyDescent="0.2"/>
    <row r="41352" hidden="1" x14ac:dyDescent="0.2"/>
    <row r="41353" hidden="1" x14ac:dyDescent="0.2"/>
    <row r="41354" hidden="1" x14ac:dyDescent="0.2"/>
    <row r="41355" hidden="1" x14ac:dyDescent="0.2"/>
    <row r="41356" hidden="1" x14ac:dyDescent="0.2"/>
    <row r="41357" hidden="1" x14ac:dyDescent="0.2"/>
    <row r="41358" hidden="1" x14ac:dyDescent="0.2"/>
    <row r="41359" hidden="1" x14ac:dyDescent="0.2"/>
    <row r="41360" hidden="1" x14ac:dyDescent="0.2"/>
    <row r="41361" hidden="1" x14ac:dyDescent="0.2"/>
    <row r="41362" hidden="1" x14ac:dyDescent="0.2"/>
    <row r="41363" hidden="1" x14ac:dyDescent="0.2"/>
    <row r="41364" hidden="1" x14ac:dyDescent="0.2"/>
    <row r="41365" hidden="1" x14ac:dyDescent="0.2"/>
    <row r="41366" hidden="1" x14ac:dyDescent="0.2"/>
    <row r="41367" hidden="1" x14ac:dyDescent="0.2"/>
    <row r="41368" hidden="1" x14ac:dyDescent="0.2"/>
    <row r="41369" hidden="1" x14ac:dyDescent="0.2"/>
    <row r="41370" hidden="1" x14ac:dyDescent="0.2"/>
    <row r="41371" hidden="1" x14ac:dyDescent="0.2"/>
    <row r="41372" hidden="1" x14ac:dyDescent="0.2"/>
    <row r="41373" hidden="1" x14ac:dyDescent="0.2"/>
    <row r="41374" hidden="1" x14ac:dyDescent="0.2"/>
    <row r="41375" hidden="1" x14ac:dyDescent="0.2"/>
    <row r="41376" hidden="1" x14ac:dyDescent="0.2"/>
    <row r="41377" hidden="1" x14ac:dyDescent="0.2"/>
    <row r="41378" hidden="1" x14ac:dyDescent="0.2"/>
    <row r="41379" hidden="1" x14ac:dyDescent="0.2"/>
    <row r="41380" hidden="1" x14ac:dyDescent="0.2"/>
    <row r="41381" hidden="1" x14ac:dyDescent="0.2"/>
    <row r="41382" hidden="1" x14ac:dyDescent="0.2"/>
    <row r="41383" hidden="1" x14ac:dyDescent="0.2"/>
    <row r="41384" hidden="1" x14ac:dyDescent="0.2"/>
    <row r="41385" hidden="1" x14ac:dyDescent="0.2"/>
    <row r="41386" hidden="1" x14ac:dyDescent="0.2"/>
    <row r="41387" hidden="1" x14ac:dyDescent="0.2"/>
    <row r="41388" hidden="1" x14ac:dyDescent="0.2"/>
    <row r="41389" hidden="1" x14ac:dyDescent="0.2"/>
    <row r="41390" hidden="1" x14ac:dyDescent="0.2"/>
    <row r="41391" hidden="1" x14ac:dyDescent="0.2"/>
    <row r="41392" hidden="1" x14ac:dyDescent="0.2"/>
    <row r="41393" hidden="1" x14ac:dyDescent="0.2"/>
    <row r="41394" hidden="1" x14ac:dyDescent="0.2"/>
    <row r="41395" hidden="1" x14ac:dyDescent="0.2"/>
    <row r="41396" hidden="1" x14ac:dyDescent="0.2"/>
    <row r="41397" hidden="1" x14ac:dyDescent="0.2"/>
    <row r="41398" hidden="1" x14ac:dyDescent="0.2"/>
    <row r="41399" hidden="1" x14ac:dyDescent="0.2"/>
    <row r="41400" hidden="1" x14ac:dyDescent="0.2"/>
    <row r="41401" hidden="1" x14ac:dyDescent="0.2"/>
    <row r="41402" hidden="1" x14ac:dyDescent="0.2"/>
    <row r="41403" hidden="1" x14ac:dyDescent="0.2"/>
    <row r="41404" hidden="1" x14ac:dyDescent="0.2"/>
    <row r="41405" hidden="1" x14ac:dyDescent="0.2"/>
    <row r="41406" hidden="1" x14ac:dyDescent="0.2"/>
    <row r="41407" hidden="1" x14ac:dyDescent="0.2"/>
    <row r="41408" hidden="1" x14ac:dyDescent="0.2"/>
    <row r="41409" hidden="1" x14ac:dyDescent="0.2"/>
    <row r="41410" hidden="1" x14ac:dyDescent="0.2"/>
    <row r="41411" hidden="1" x14ac:dyDescent="0.2"/>
    <row r="41412" hidden="1" x14ac:dyDescent="0.2"/>
    <row r="41413" hidden="1" x14ac:dyDescent="0.2"/>
    <row r="41414" hidden="1" x14ac:dyDescent="0.2"/>
    <row r="41415" hidden="1" x14ac:dyDescent="0.2"/>
    <row r="41416" hidden="1" x14ac:dyDescent="0.2"/>
    <row r="41417" hidden="1" x14ac:dyDescent="0.2"/>
    <row r="41418" hidden="1" x14ac:dyDescent="0.2"/>
    <row r="41419" hidden="1" x14ac:dyDescent="0.2"/>
    <row r="41420" hidden="1" x14ac:dyDescent="0.2"/>
    <row r="41421" hidden="1" x14ac:dyDescent="0.2"/>
    <row r="41422" hidden="1" x14ac:dyDescent="0.2"/>
    <row r="41423" hidden="1" x14ac:dyDescent="0.2"/>
    <row r="41424" hidden="1" x14ac:dyDescent="0.2"/>
    <row r="41425" hidden="1" x14ac:dyDescent="0.2"/>
    <row r="41426" hidden="1" x14ac:dyDescent="0.2"/>
    <row r="41427" hidden="1" x14ac:dyDescent="0.2"/>
    <row r="41428" hidden="1" x14ac:dyDescent="0.2"/>
    <row r="41429" hidden="1" x14ac:dyDescent="0.2"/>
    <row r="41430" hidden="1" x14ac:dyDescent="0.2"/>
    <row r="41431" hidden="1" x14ac:dyDescent="0.2"/>
    <row r="41432" hidden="1" x14ac:dyDescent="0.2"/>
    <row r="41433" hidden="1" x14ac:dyDescent="0.2"/>
    <row r="41434" hidden="1" x14ac:dyDescent="0.2"/>
    <row r="41435" hidden="1" x14ac:dyDescent="0.2"/>
    <row r="41436" hidden="1" x14ac:dyDescent="0.2"/>
    <row r="41437" hidden="1" x14ac:dyDescent="0.2"/>
    <row r="41438" hidden="1" x14ac:dyDescent="0.2"/>
    <row r="41439" hidden="1" x14ac:dyDescent="0.2"/>
    <row r="41440" hidden="1" x14ac:dyDescent="0.2"/>
    <row r="41441" hidden="1" x14ac:dyDescent="0.2"/>
    <row r="41442" hidden="1" x14ac:dyDescent="0.2"/>
    <row r="41443" hidden="1" x14ac:dyDescent="0.2"/>
    <row r="41444" hidden="1" x14ac:dyDescent="0.2"/>
    <row r="41445" hidden="1" x14ac:dyDescent="0.2"/>
    <row r="41446" hidden="1" x14ac:dyDescent="0.2"/>
    <row r="41447" hidden="1" x14ac:dyDescent="0.2"/>
    <row r="41448" hidden="1" x14ac:dyDescent="0.2"/>
    <row r="41449" hidden="1" x14ac:dyDescent="0.2"/>
    <row r="41450" hidden="1" x14ac:dyDescent="0.2"/>
    <row r="41451" hidden="1" x14ac:dyDescent="0.2"/>
    <row r="41452" hidden="1" x14ac:dyDescent="0.2"/>
    <row r="41453" hidden="1" x14ac:dyDescent="0.2"/>
    <row r="41454" hidden="1" x14ac:dyDescent="0.2"/>
    <row r="41455" hidden="1" x14ac:dyDescent="0.2"/>
    <row r="41456" hidden="1" x14ac:dyDescent="0.2"/>
    <row r="41457" hidden="1" x14ac:dyDescent="0.2"/>
    <row r="41458" hidden="1" x14ac:dyDescent="0.2"/>
    <row r="41459" hidden="1" x14ac:dyDescent="0.2"/>
    <row r="41460" hidden="1" x14ac:dyDescent="0.2"/>
    <row r="41461" hidden="1" x14ac:dyDescent="0.2"/>
    <row r="41462" hidden="1" x14ac:dyDescent="0.2"/>
    <row r="41463" hidden="1" x14ac:dyDescent="0.2"/>
    <row r="41464" hidden="1" x14ac:dyDescent="0.2"/>
    <row r="41465" hidden="1" x14ac:dyDescent="0.2"/>
    <row r="41466" hidden="1" x14ac:dyDescent="0.2"/>
    <row r="41467" hidden="1" x14ac:dyDescent="0.2"/>
    <row r="41468" hidden="1" x14ac:dyDescent="0.2"/>
    <row r="41469" hidden="1" x14ac:dyDescent="0.2"/>
    <row r="41470" hidden="1" x14ac:dyDescent="0.2"/>
    <row r="41471" hidden="1" x14ac:dyDescent="0.2"/>
    <row r="41472" hidden="1" x14ac:dyDescent="0.2"/>
    <row r="41473" hidden="1" x14ac:dyDescent="0.2"/>
    <row r="41474" hidden="1" x14ac:dyDescent="0.2"/>
    <row r="41475" hidden="1" x14ac:dyDescent="0.2"/>
    <row r="41476" hidden="1" x14ac:dyDescent="0.2"/>
    <row r="41477" hidden="1" x14ac:dyDescent="0.2"/>
    <row r="41478" hidden="1" x14ac:dyDescent="0.2"/>
    <row r="41479" hidden="1" x14ac:dyDescent="0.2"/>
    <row r="41480" hidden="1" x14ac:dyDescent="0.2"/>
    <row r="41481" hidden="1" x14ac:dyDescent="0.2"/>
    <row r="41482" hidden="1" x14ac:dyDescent="0.2"/>
    <row r="41483" hidden="1" x14ac:dyDescent="0.2"/>
    <row r="41484" hidden="1" x14ac:dyDescent="0.2"/>
    <row r="41485" hidden="1" x14ac:dyDescent="0.2"/>
    <row r="41486" hidden="1" x14ac:dyDescent="0.2"/>
    <row r="41487" hidden="1" x14ac:dyDescent="0.2"/>
    <row r="41488" hidden="1" x14ac:dyDescent="0.2"/>
    <row r="41489" hidden="1" x14ac:dyDescent="0.2"/>
    <row r="41490" hidden="1" x14ac:dyDescent="0.2"/>
    <row r="41491" hidden="1" x14ac:dyDescent="0.2"/>
    <row r="41492" hidden="1" x14ac:dyDescent="0.2"/>
    <row r="41493" hidden="1" x14ac:dyDescent="0.2"/>
    <row r="41494" hidden="1" x14ac:dyDescent="0.2"/>
    <row r="41495" hidden="1" x14ac:dyDescent="0.2"/>
    <row r="41496" hidden="1" x14ac:dyDescent="0.2"/>
    <row r="41497" hidden="1" x14ac:dyDescent="0.2"/>
    <row r="41498" hidden="1" x14ac:dyDescent="0.2"/>
    <row r="41499" hidden="1" x14ac:dyDescent="0.2"/>
    <row r="41500" hidden="1" x14ac:dyDescent="0.2"/>
    <row r="41501" hidden="1" x14ac:dyDescent="0.2"/>
    <row r="41502" hidden="1" x14ac:dyDescent="0.2"/>
    <row r="41503" hidden="1" x14ac:dyDescent="0.2"/>
    <row r="41504" hidden="1" x14ac:dyDescent="0.2"/>
    <row r="41505" hidden="1" x14ac:dyDescent="0.2"/>
    <row r="41506" hidden="1" x14ac:dyDescent="0.2"/>
    <row r="41507" hidden="1" x14ac:dyDescent="0.2"/>
    <row r="41508" hidden="1" x14ac:dyDescent="0.2"/>
    <row r="41509" hidden="1" x14ac:dyDescent="0.2"/>
    <row r="41510" hidden="1" x14ac:dyDescent="0.2"/>
    <row r="41511" hidden="1" x14ac:dyDescent="0.2"/>
    <row r="41512" hidden="1" x14ac:dyDescent="0.2"/>
    <row r="41513" hidden="1" x14ac:dyDescent="0.2"/>
    <row r="41514" hidden="1" x14ac:dyDescent="0.2"/>
    <row r="41515" hidden="1" x14ac:dyDescent="0.2"/>
    <row r="41516" hidden="1" x14ac:dyDescent="0.2"/>
    <row r="41517" hidden="1" x14ac:dyDescent="0.2"/>
    <row r="41518" hidden="1" x14ac:dyDescent="0.2"/>
    <row r="41519" hidden="1" x14ac:dyDescent="0.2"/>
    <row r="41520" hidden="1" x14ac:dyDescent="0.2"/>
    <row r="41521" hidden="1" x14ac:dyDescent="0.2"/>
    <row r="41522" hidden="1" x14ac:dyDescent="0.2"/>
    <row r="41523" hidden="1" x14ac:dyDescent="0.2"/>
    <row r="41524" hidden="1" x14ac:dyDescent="0.2"/>
    <row r="41525" hidden="1" x14ac:dyDescent="0.2"/>
    <row r="41526" hidden="1" x14ac:dyDescent="0.2"/>
    <row r="41527" hidden="1" x14ac:dyDescent="0.2"/>
    <row r="41528" hidden="1" x14ac:dyDescent="0.2"/>
    <row r="41529" hidden="1" x14ac:dyDescent="0.2"/>
    <row r="41530" hidden="1" x14ac:dyDescent="0.2"/>
    <row r="41531" hidden="1" x14ac:dyDescent="0.2"/>
    <row r="41532" hidden="1" x14ac:dyDescent="0.2"/>
    <row r="41533" hidden="1" x14ac:dyDescent="0.2"/>
    <row r="41534" hidden="1" x14ac:dyDescent="0.2"/>
    <row r="41535" hidden="1" x14ac:dyDescent="0.2"/>
    <row r="41536" hidden="1" x14ac:dyDescent="0.2"/>
    <row r="41537" hidden="1" x14ac:dyDescent="0.2"/>
    <row r="41538" hidden="1" x14ac:dyDescent="0.2"/>
    <row r="41539" hidden="1" x14ac:dyDescent="0.2"/>
    <row r="41540" hidden="1" x14ac:dyDescent="0.2"/>
    <row r="41541" hidden="1" x14ac:dyDescent="0.2"/>
    <row r="41542" hidden="1" x14ac:dyDescent="0.2"/>
    <row r="41543" hidden="1" x14ac:dyDescent="0.2"/>
    <row r="41544" hidden="1" x14ac:dyDescent="0.2"/>
    <row r="41545" hidden="1" x14ac:dyDescent="0.2"/>
    <row r="41546" hidden="1" x14ac:dyDescent="0.2"/>
    <row r="41547" hidden="1" x14ac:dyDescent="0.2"/>
    <row r="41548" hidden="1" x14ac:dyDescent="0.2"/>
    <row r="41549" hidden="1" x14ac:dyDescent="0.2"/>
    <row r="41550" hidden="1" x14ac:dyDescent="0.2"/>
    <row r="41551" hidden="1" x14ac:dyDescent="0.2"/>
    <row r="41552" hidden="1" x14ac:dyDescent="0.2"/>
    <row r="41553" hidden="1" x14ac:dyDescent="0.2"/>
    <row r="41554" hidden="1" x14ac:dyDescent="0.2"/>
    <row r="41555" hidden="1" x14ac:dyDescent="0.2"/>
    <row r="41556" hidden="1" x14ac:dyDescent="0.2"/>
    <row r="41557" hidden="1" x14ac:dyDescent="0.2"/>
    <row r="41558" hidden="1" x14ac:dyDescent="0.2"/>
    <row r="41559" hidden="1" x14ac:dyDescent="0.2"/>
    <row r="41560" hidden="1" x14ac:dyDescent="0.2"/>
    <row r="41561" hidden="1" x14ac:dyDescent="0.2"/>
    <row r="41562" hidden="1" x14ac:dyDescent="0.2"/>
    <row r="41563" hidden="1" x14ac:dyDescent="0.2"/>
    <row r="41564" hidden="1" x14ac:dyDescent="0.2"/>
    <row r="41565" hidden="1" x14ac:dyDescent="0.2"/>
    <row r="41566" hidden="1" x14ac:dyDescent="0.2"/>
    <row r="41567" hidden="1" x14ac:dyDescent="0.2"/>
    <row r="41568" hidden="1" x14ac:dyDescent="0.2"/>
    <row r="41569" hidden="1" x14ac:dyDescent="0.2"/>
    <row r="41570" hidden="1" x14ac:dyDescent="0.2"/>
    <row r="41571" hidden="1" x14ac:dyDescent="0.2"/>
    <row r="41572" hidden="1" x14ac:dyDescent="0.2"/>
    <row r="41573" hidden="1" x14ac:dyDescent="0.2"/>
    <row r="41574" hidden="1" x14ac:dyDescent="0.2"/>
    <row r="41575" hidden="1" x14ac:dyDescent="0.2"/>
    <row r="41576" hidden="1" x14ac:dyDescent="0.2"/>
    <row r="41577" hidden="1" x14ac:dyDescent="0.2"/>
    <row r="41578" hidden="1" x14ac:dyDescent="0.2"/>
    <row r="41579" hidden="1" x14ac:dyDescent="0.2"/>
    <row r="41580" hidden="1" x14ac:dyDescent="0.2"/>
    <row r="41581" hidden="1" x14ac:dyDescent="0.2"/>
    <row r="41582" hidden="1" x14ac:dyDescent="0.2"/>
    <row r="41583" hidden="1" x14ac:dyDescent="0.2"/>
    <row r="41584" hidden="1" x14ac:dyDescent="0.2"/>
    <row r="41585" hidden="1" x14ac:dyDescent="0.2"/>
    <row r="41586" hidden="1" x14ac:dyDescent="0.2"/>
    <row r="41587" hidden="1" x14ac:dyDescent="0.2"/>
    <row r="41588" hidden="1" x14ac:dyDescent="0.2"/>
    <row r="41589" hidden="1" x14ac:dyDescent="0.2"/>
    <row r="41590" hidden="1" x14ac:dyDescent="0.2"/>
    <row r="41591" hidden="1" x14ac:dyDescent="0.2"/>
    <row r="41592" hidden="1" x14ac:dyDescent="0.2"/>
    <row r="41593" hidden="1" x14ac:dyDescent="0.2"/>
    <row r="41594" hidden="1" x14ac:dyDescent="0.2"/>
    <row r="41595" hidden="1" x14ac:dyDescent="0.2"/>
    <row r="41596" hidden="1" x14ac:dyDescent="0.2"/>
    <row r="41597" hidden="1" x14ac:dyDescent="0.2"/>
    <row r="41598" hidden="1" x14ac:dyDescent="0.2"/>
    <row r="41599" hidden="1" x14ac:dyDescent="0.2"/>
    <row r="41600" hidden="1" x14ac:dyDescent="0.2"/>
    <row r="41601" hidden="1" x14ac:dyDescent="0.2"/>
    <row r="41602" hidden="1" x14ac:dyDescent="0.2"/>
    <row r="41603" hidden="1" x14ac:dyDescent="0.2"/>
    <row r="41604" hidden="1" x14ac:dyDescent="0.2"/>
    <row r="41605" hidden="1" x14ac:dyDescent="0.2"/>
    <row r="41606" hidden="1" x14ac:dyDescent="0.2"/>
    <row r="41607" hidden="1" x14ac:dyDescent="0.2"/>
    <row r="41608" hidden="1" x14ac:dyDescent="0.2"/>
    <row r="41609" hidden="1" x14ac:dyDescent="0.2"/>
    <row r="41610" hidden="1" x14ac:dyDescent="0.2"/>
    <row r="41611" hidden="1" x14ac:dyDescent="0.2"/>
    <row r="41612" hidden="1" x14ac:dyDescent="0.2"/>
    <row r="41613" hidden="1" x14ac:dyDescent="0.2"/>
    <row r="41614" hidden="1" x14ac:dyDescent="0.2"/>
    <row r="41615" hidden="1" x14ac:dyDescent="0.2"/>
    <row r="41616" hidden="1" x14ac:dyDescent="0.2"/>
    <row r="41617" hidden="1" x14ac:dyDescent="0.2"/>
    <row r="41618" hidden="1" x14ac:dyDescent="0.2"/>
    <row r="41619" hidden="1" x14ac:dyDescent="0.2"/>
    <row r="41620" hidden="1" x14ac:dyDescent="0.2"/>
    <row r="41621" hidden="1" x14ac:dyDescent="0.2"/>
    <row r="41622" hidden="1" x14ac:dyDescent="0.2"/>
    <row r="41623" hidden="1" x14ac:dyDescent="0.2"/>
    <row r="41624" hidden="1" x14ac:dyDescent="0.2"/>
    <row r="41625" hidden="1" x14ac:dyDescent="0.2"/>
    <row r="41626" hidden="1" x14ac:dyDescent="0.2"/>
    <row r="41627" hidden="1" x14ac:dyDescent="0.2"/>
    <row r="41628" hidden="1" x14ac:dyDescent="0.2"/>
    <row r="41629" hidden="1" x14ac:dyDescent="0.2"/>
    <row r="41630" hidden="1" x14ac:dyDescent="0.2"/>
    <row r="41631" hidden="1" x14ac:dyDescent="0.2"/>
    <row r="41632" hidden="1" x14ac:dyDescent="0.2"/>
    <row r="41633" hidden="1" x14ac:dyDescent="0.2"/>
    <row r="41634" hidden="1" x14ac:dyDescent="0.2"/>
    <row r="41635" hidden="1" x14ac:dyDescent="0.2"/>
    <row r="41636" hidden="1" x14ac:dyDescent="0.2"/>
    <row r="41637" hidden="1" x14ac:dyDescent="0.2"/>
    <row r="41638" hidden="1" x14ac:dyDescent="0.2"/>
    <row r="41639" hidden="1" x14ac:dyDescent="0.2"/>
    <row r="41640" hidden="1" x14ac:dyDescent="0.2"/>
    <row r="41641" hidden="1" x14ac:dyDescent="0.2"/>
    <row r="41642" hidden="1" x14ac:dyDescent="0.2"/>
    <row r="41643" hidden="1" x14ac:dyDescent="0.2"/>
    <row r="41644" hidden="1" x14ac:dyDescent="0.2"/>
    <row r="41645" hidden="1" x14ac:dyDescent="0.2"/>
    <row r="41646" hidden="1" x14ac:dyDescent="0.2"/>
    <row r="41647" hidden="1" x14ac:dyDescent="0.2"/>
    <row r="41648" hidden="1" x14ac:dyDescent="0.2"/>
    <row r="41649" hidden="1" x14ac:dyDescent="0.2"/>
    <row r="41650" hidden="1" x14ac:dyDescent="0.2"/>
    <row r="41651" hidden="1" x14ac:dyDescent="0.2"/>
    <row r="41652" hidden="1" x14ac:dyDescent="0.2"/>
    <row r="41653" hidden="1" x14ac:dyDescent="0.2"/>
    <row r="41654" hidden="1" x14ac:dyDescent="0.2"/>
    <row r="41655" hidden="1" x14ac:dyDescent="0.2"/>
    <row r="41656" hidden="1" x14ac:dyDescent="0.2"/>
    <row r="41657" hidden="1" x14ac:dyDescent="0.2"/>
    <row r="41658" hidden="1" x14ac:dyDescent="0.2"/>
    <row r="41659" hidden="1" x14ac:dyDescent="0.2"/>
    <row r="41660" hidden="1" x14ac:dyDescent="0.2"/>
    <row r="41661" hidden="1" x14ac:dyDescent="0.2"/>
    <row r="41662" hidden="1" x14ac:dyDescent="0.2"/>
    <row r="41663" hidden="1" x14ac:dyDescent="0.2"/>
    <row r="41664" hidden="1" x14ac:dyDescent="0.2"/>
    <row r="41665" hidden="1" x14ac:dyDescent="0.2"/>
    <row r="41666" hidden="1" x14ac:dyDescent="0.2"/>
    <row r="41667" hidden="1" x14ac:dyDescent="0.2"/>
    <row r="41668" hidden="1" x14ac:dyDescent="0.2"/>
    <row r="41669" hidden="1" x14ac:dyDescent="0.2"/>
    <row r="41670" hidden="1" x14ac:dyDescent="0.2"/>
    <row r="41671" hidden="1" x14ac:dyDescent="0.2"/>
    <row r="41672" hidden="1" x14ac:dyDescent="0.2"/>
    <row r="41673" hidden="1" x14ac:dyDescent="0.2"/>
    <row r="41674" hidden="1" x14ac:dyDescent="0.2"/>
    <row r="41675" hidden="1" x14ac:dyDescent="0.2"/>
    <row r="41676" hidden="1" x14ac:dyDescent="0.2"/>
    <row r="41677" hidden="1" x14ac:dyDescent="0.2"/>
    <row r="41678" hidden="1" x14ac:dyDescent="0.2"/>
    <row r="41679" hidden="1" x14ac:dyDescent="0.2"/>
    <row r="41680" hidden="1" x14ac:dyDescent="0.2"/>
    <row r="41681" hidden="1" x14ac:dyDescent="0.2"/>
    <row r="41682" hidden="1" x14ac:dyDescent="0.2"/>
    <row r="41683" hidden="1" x14ac:dyDescent="0.2"/>
    <row r="41684" hidden="1" x14ac:dyDescent="0.2"/>
    <row r="41685" hidden="1" x14ac:dyDescent="0.2"/>
    <row r="41686" hidden="1" x14ac:dyDescent="0.2"/>
    <row r="41687" hidden="1" x14ac:dyDescent="0.2"/>
    <row r="41688" hidden="1" x14ac:dyDescent="0.2"/>
    <row r="41689" hidden="1" x14ac:dyDescent="0.2"/>
    <row r="41690" hidden="1" x14ac:dyDescent="0.2"/>
    <row r="41691" hidden="1" x14ac:dyDescent="0.2"/>
    <row r="41692" hidden="1" x14ac:dyDescent="0.2"/>
    <row r="41693" hidden="1" x14ac:dyDescent="0.2"/>
    <row r="41694" hidden="1" x14ac:dyDescent="0.2"/>
    <row r="41695" hidden="1" x14ac:dyDescent="0.2"/>
    <row r="41696" hidden="1" x14ac:dyDescent="0.2"/>
    <row r="41697" hidden="1" x14ac:dyDescent="0.2"/>
    <row r="41698" hidden="1" x14ac:dyDescent="0.2"/>
    <row r="41699" hidden="1" x14ac:dyDescent="0.2"/>
    <row r="41700" hidden="1" x14ac:dyDescent="0.2"/>
    <row r="41701" hidden="1" x14ac:dyDescent="0.2"/>
    <row r="41702" hidden="1" x14ac:dyDescent="0.2"/>
    <row r="41703" hidden="1" x14ac:dyDescent="0.2"/>
    <row r="41704" hidden="1" x14ac:dyDescent="0.2"/>
    <row r="41705" hidden="1" x14ac:dyDescent="0.2"/>
    <row r="41706" hidden="1" x14ac:dyDescent="0.2"/>
    <row r="41707" hidden="1" x14ac:dyDescent="0.2"/>
    <row r="41708" hidden="1" x14ac:dyDescent="0.2"/>
    <row r="41709" hidden="1" x14ac:dyDescent="0.2"/>
    <row r="41710" hidden="1" x14ac:dyDescent="0.2"/>
    <row r="41711" hidden="1" x14ac:dyDescent="0.2"/>
    <row r="41712" hidden="1" x14ac:dyDescent="0.2"/>
    <row r="41713" hidden="1" x14ac:dyDescent="0.2"/>
    <row r="41714" hidden="1" x14ac:dyDescent="0.2"/>
    <row r="41715" hidden="1" x14ac:dyDescent="0.2"/>
    <row r="41716" hidden="1" x14ac:dyDescent="0.2"/>
    <row r="41717" hidden="1" x14ac:dyDescent="0.2"/>
    <row r="41718" hidden="1" x14ac:dyDescent="0.2"/>
    <row r="41719" hidden="1" x14ac:dyDescent="0.2"/>
    <row r="41720" hidden="1" x14ac:dyDescent="0.2"/>
    <row r="41721" hidden="1" x14ac:dyDescent="0.2"/>
    <row r="41722" hidden="1" x14ac:dyDescent="0.2"/>
    <row r="41723" hidden="1" x14ac:dyDescent="0.2"/>
    <row r="41724" hidden="1" x14ac:dyDescent="0.2"/>
    <row r="41725" hidden="1" x14ac:dyDescent="0.2"/>
    <row r="41726" hidden="1" x14ac:dyDescent="0.2"/>
    <row r="41727" hidden="1" x14ac:dyDescent="0.2"/>
    <row r="41728" hidden="1" x14ac:dyDescent="0.2"/>
    <row r="41729" hidden="1" x14ac:dyDescent="0.2"/>
    <row r="41730" hidden="1" x14ac:dyDescent="0.2"/>
    <row r="41731" hidden="1" x14ac:dyDescent="0.2"/>
    <row r="41732" hidden="1" x14ac:dyDescent="0.2"/>
    <row r="41733" hidden="1" x14ac:dyDescent="0.2"/>
    <row r="41734" hidden="1" x14ac:dyDescent="0.2"/>
    <row r="41735" hidden="1" x14ac:dyDescent="0.2"/>
    <row r="41736" hidden="1" x14ac:dyDescent="0.2"/>
    <row r="41737" hidden="1" x14ac:dyDescent="0.2"/>
    <row r="41738" hidden="1" x14ac:dyDescent="0.2"/>
    <row r="41739" hidden="1" x14ac:dyDescent="0.2"/>
    <row r="41740" hidden="1" x14ac:dyDescent="0.2"/>
    <row r="41741" hidden="1" x14ac:dyDescent="0.2"/>
    <row r="41742" hidden="1" x14ac:dyDescent="0.2"/>
    <row r="41743" hidden="1" x14ac:dyDescent="0.2"/>
    <row r="41744" hidden="1" x14ac:dyDescent="0.2"/>
    <row r="41745" hidden="1" x14ac:dyDescent="0.2"/>
    <row r="41746" hidden="1" x14ac:dyDescent="0.2"/>
    <row r="41747" hidden="1" x14ac:dyDescent="0.2"/>
    <row r="41748" hidden="1" x14ac:dyDescent="0.2"/>
    <row r="41749" hidden="1" x14ac:dyDescent="0.2"/>
    <row r="41750" hidden="1" x14ac:dyDescent="0.2"/>
    <row r="41751" hidden="1" x14ac:dyDescent="0.2"/>
    <row r="41752" hidden="1" x14ac:dyDescent="0.2"/>
    <row r="41753" hidden="1" x14ac:dyDescent="0.2"/>
    <row r="41754" hidden="1" x14ac:dyDescent="0.2"/>
    <row r="41755" hidden="1" x14ac:dyDescent="0.2"/>
    <row r="41756" hidden="1" x14ac:dyDescent="0.2"/>
    <row r="41757" hidden="1" x14ac:dyDescent="0.2"/>
    <row r="41758" hidden="1" x14ac:dyDescent="0.2"/>
    <row r="41759" hidden="1" x14ac:dyDescent="0.2"/>
    <row r="41760" hidden="1" x14ac:dyDescent="0.2"/>
    <row r="41761" hidden="1" x14ac:dyDescent="0.2"/>
    <row r="41762" hidden="1" x14ac:dyDescent="0.2"/>
    <row r="41763" hidden="1" x14ac:dyDescent="0.2"/>
    <row r="41764" hidden="1" x14ac:dyDescent="0.2"/>
    <row r="41765" hidden="1" x14ac:dyDescent="0.2"/>
    <row r="41766" hidden="1" x14ac:dyDescent="0.2"/>
    <row r="41767" hidden="1" x14ac:dyDescent="0.2"/>
    <row r="41768" hidden="1" x14ac:dyDescent="0.2"/>
    <row r="41769" hidden="1" x14ac:dyDescent="0.2"/>
    <row r="41770" hidden="1" x14ac:dyDescent="0.2"/>
    <row r="41771" hidden="1" x14ac:dyDescent="0.2"/>
    <row r="41772" hidden="1" x14ac:dyDescent="0.2"/>
    <row r="41773" hidden="1" x14ac:dyDescent="0.2"/>
    <row r="41774" hidden="1" x14ac:dyDescent="0.2"/>
    <row r="41775" hidden="1" x14ac:dyDescent="0.2"/>
    <row r="41776" hidden="1" x14ac:dyDescent="0.2"/>
    <row r="41777" hidden="1" x14ac:dyDescent="0.2"/>
    <row r="41778" hidden="1" x14ac:dyDescent="0.2"/>
    <row r="41779" hidden="1" x14ac:dyDescent="0.2"/>
    <row r="41780" hidden="1" x14ac:dyDescent="0.2"/>
    <row r="41781" hidden="1" x14ac:dyDescent="0.2"/>
    <row r="41782" hidden="1" x14ac:dyDescent="0.2"/>
    <row r="41783" hidden="1" x14ac:dyDescent="0.2"/>
    <row r="41784" hidden="1" x14ac:dyDescent="0.2"/>
    <row r="41785" hidden="1" x14ac:dyDescent="0.2"/>
    <row r="41786" hidden="1" x14ac:dyDescent="0.2"/>
    <row r="41787" hidden="1" x14ac:dyDescent="0.2"/>
    <row r="41788" hidden="1" x14ac:dyDescent="0.2"/>
    <row r="41789" hidden="1" x14ac:dyDescent="0.2"/>
    <row r="41790" hidden="1" x14ac:dyDescent="0.2"/>
    <row r="41791" hidden="1" x14ac:dyDescent="0.2"/>
    <row r="41792" hidden="1" x14ac:dyDescent="0.2"/>
    <row r="41793" hidden="1" x14ac:dyDescent="0.2"/>
    <row r="41794" hidden="1" x14ac:dyDescent="0.2"/>
    <row r="41795" hidden="1" x14ac:dyDescent="0.2"/>
    <row r="41796" hidden="1" x14ac:dyDescent="0.2"/>
    <row r="41797" hidden="1" x14ac:dyDescent="0.2"/>
    <row r="41798" hidden="1" x14ac:dyDescent="0.2"/>
    <row r="41799" hidden="1" x14ac:dyDescent="0.2"/>
    <row r="41800" hidden="1" x14ac:dyDescent="0.2"/>
    <row r="41801" hidden="1" x14ac:dyDescent="0.2"/>
    <row r="41802" hidden="1" x14ac:dyDescent="0.2"/>
    <row r="41803" hidden="1" x14ac:dyDescent="0.2"/>
    <row r="41804" hidden="1" x14ac:dyDescent="0.2"/>
    <row r="41805" hidden="1" x14ac:dyDescent="0.2"/>
    <row r="41806" hidden="1" x14ac:dyDescent="0.2"/>
    <row r="41807" hidden="1" x14ac:dyDescent="0.2"/>
    <row r="41808" hidden="1" x14ac:dyDescent="0.2"/>
    <row r="41809" hidden="1" x14ac:dyDescent="0.2"/>
    <row r="41810" hidden="1" x14ac:dyDescent="0.2"/>
    <row r="41811" hidden="1" x14ac:dyDescent="0.2"/>
    <row r="41812" hidden="1" x14ac:dyDescent="0.2"/>
    <row r="41813" hidden="1" x14ac:dyDescent="0.2"/>
    <row r="41814" hidden="1" x14ac:dyDescent="0.2"/>
    <row r="41815" hidden="1" x14ac:dyDescent="0.2"/>
    <row r="41816" hidden="1" x14ac:dyDescent="0.2"/>
    <row r="41817" hidden="1" x14ac:dyDescent="0.2"/>
    <row r="41818" hidden="1" x14ac:dyDescent="0.2"/>
    <row r="41819" hidden="1" x14ac:dyDescent="0.2"/>
    <row r="41820" hidden="1" x14ac:dyDescent="0.2"/>
    <row r="41821" hidden="1" x14ac:dyDescent="0.2"/>
    <row r="41822" hidden="1" x14ac:dyDescent="0.2"/>
    <row r="41823" hidden="1" x14ac:dyDescent="0.2"/>
    <row r="41824" hidden="1" x14ac:dyDescent="0.2"/>
    <row r="41825" hidden="1" x14ac:dyDescent="0.2"/>
    <row r="41826" hidden="1" x14ac:dyDescent="0.2"/>
    <row r="41827" hidden="1" x14ac:dyDescent="0.2"/>
    <row r="41828" hidden="1" x14ac:dyDescent="0.2"/>
    <row r="41829" hidden="1" x14ac:dyDescent="0.2"/>
    <row r="41830" hidden="1" x14ac:dyDescent="0.2"/>
    <row r="41831" hidden="1" x14ac:dyDescent="0.2"/>
    <row r="41832" hidden="1" x14ac:dyDescent="0.2"/>
    <row r="41833" hidden="1" x14ac:dyDescent="0.2"/>
    <row r="41834" hidden="1" x14ac:dyDescent="0.2"/>
    <row r="41835" hidden="1" x14ac:dyDescent="0.2"/>
    <row r="41836" hidden="1" x14ac:dyDescent="0.2"/>
    <row r="41837" hidden="1" x14ac:dyDescent="0.2"/>
    <row r="41838" hidden="1" x14ac:dyDescent="0.2"/>
    <row r="41839" hidden="1" x14ac:dyDescent="0.2"/>
    <row r="41840" hidden="1" x14ac:dyDescent="0.2"/>
    <row r="41841" hidden="1" x14ac:dyDescent="0.2"/>
    <row r="41842" hidden="1" x14ac:dyDescent="0.2"/>
    <row r="41843" hidden="1" x14ac:dyDescent="0.2"/>
    <row r="41844" hidden="1" x14ac:dyDescent="0.2"/>
    <row r="41845" hidden="1" x14ac:dyDescent="0.2"/>
    <row r="41846" hidden="1" x14ac:dyDescent="0.2"/>
    <row r="41847" hidden="1" x14ac:dyDescent="0.2"/>
    <row r="41848" hidden="1" x14ac:dyDescent="0.2"/>
    <row r="41849" hidden="1" x14ac:dyDescent="0.2"/>
    <row r="41850" hidden="1" x14ac:dyDescent="0.2"/>
    <row r="41851" hidden="1" x14ac:dyDescent="0.2"/>
    <row r="41852" hidden="1" x14ac:dyDescent="0.2"/>
    <row r="41853" hidden="1" x14ac:dyDescent="0.2"/>
    <row r="41854" hidden="1" x14ac:dyDescent="0.2"/>
    <row r="41855" hidden="1" x14ac:dyDescent="0.2"/>
    <row r="41856" hidden="1" x14ac:dyDescent="0.2"/>
    <row r="41857" hidden="1" x14ac:dyDescent="0.2"/>
    <row r="41858" hidden="1" x14ac:dyDescent="0.2"/>
    <row r="41859" hidden="1" x14ac:dyDescent="0.2"/>
    <row r="41860" hidden="1" x14ac:dyDescent="0.2"/>
    <row r="41861" hidden="1" x14ac:dyDescent="0.2"/>
    <row r="41862" hidden="1" x14ac:dyDescent="0.2"/>
    <row r="41863" hidden="1" x14ac:dyDescent="0.2"/>
    <row r="41864" hidden="1" x14ac:dyDescent="0.2"/>
    <row r="41865" hidden="1" x14ac:dyDescent="0.2"/>
    <row r="41866" hidden="1" x14ac:dyDescent="0.2"/>
    <row r="41867" hidden="1" x14ac:dyDescent="0.2"/>
    <row r="41868" hidden="1" x14ac:dyDescent="0.2"/>
    <row r="41869" hidden="1" x14ac:dyDescent="0.2"/>
    <row r="41870" hidden="1" x14ac:dyDescent="0.2"/>
    <row r="41871" hidden="1" x14ac:dyDescent="0.2"/>
    <row r="41872" hidden="1" x14ac:dyDescent="0.2"/>
    <row r="41873" hidden="1" x14ac:dyDescent="0.2"/>
    <row r="41874" hidden="1" x14ac:dyDescent="0.2"/>
    <row r="41875" hidden="1" x14ac:dyDescent="0.2"/>
    <row r="41876" hidden="1" x14ac:dyDescent="0.2"/>
    <row r="41877" hidden="1" x14ac:dyDescent="0.2"/>
    <row r="41878" hidden="1" x14ac:dyDescent="0.2"/>
    <row r="41879" hidden="1" x14ac:dyDescent="0.2"/>
    <row r="41880" hidden="1" x14ac:dyDescent="0.2"/>
    <row r="41881" hidden="1" x14ac:dyDescent="0.2"/>
    <row r="41882" hidden="1" x14ac:dyDescent="0.2"/>
    <row r="41883" hidden="1" x14ac:dyDescent="0.2"/>
    <row r="41884" hidden="1" x14ac:dyDescent="0.2"/>
    <row r="41885" hidden="1" x14ac:dyDescent="0.2"/>
    <row r="41886" hidden="1" x14ac:dyDescent="0.2"/>
    <row r="41887" hidden="1" x14ac:dyDescent="0.2"/>
    <row r="41888" hidden="1" x14ac:dyDescent="0.2"/>
    <row r="41889" hidden="1" x14ac:dyDescent="0.2"/>
    <row r="41890" hidden="1" x14ac:dyDescent="0.2"/>
    <row r="41891" hidden="1" x14ac:dyDescent="0.2"/>
    <row r="41892" hidden="1" x14ac:dyDescent="0.2"/>
    <row r="41893" hidden="1" x14ac:dyDescent="0.2"/>
    <row r="41894" hidden="1" x14ac:dyDescent="0.2"/>
    <row r="41895" hidden="1" x14ac:dyDescent="0.2"/>
    <row r="41896" hidden="1" x14ac:dyDescent="0.2"/>
    <row r="41897" hidden="1" x14ac:dyDescent="0.2"/>
    <row r="41898" hidden="1" x14ac:dyDescent="0.2"/>
    <row r="41899" hidden="1" x14ac:dyDescent="0.2"/>
    <row r="41900" hidden="1" x14ac:dyDescent="0.2"/>
    <row r="41901" hidden="1" x14ac:dyDescent="0.2"/>
    <row r="41902" hidden="1" x14ac:dyDescent="0.2"/>
    <row r="41903" hidden="1" x14ac:dyDescent="0.2"/>
    <row r="41904" hidden="1" x14ac:dyDescent="0.2"/>
    <row r="41905" hidden="1" x14ac:dyDescent="0.2"/>
    <row r="41906" hidden="1" x14ac:dyDescent="0.2"/>
    <row r="41907" hidden="1" x14ac:dyDescent="0.2"/>
    <row r="41908" hidden="1" x14ac:dyDescent="0.2"/>
    <row r="41909" hidden="1" x14ac:dyDescent="0.2"/>
    <row r="41910" hidden="1" x14ac:dyDescent="0.2"/>
    <row r="41911" hidden="1" x14ac:dyDescent="0.2"/>
    <row r="41912" hidden="1" x14ac:dyDescent="0.2"/>
    <row r="41913" hidden="1" x14ac:dyDescent="0.2"/>
    <row r="41914" hidden="1" x14ac:dyDescent="0.2"/>
    <row r="41915" hidden="1" x14ac:dyDescent="0.2"/>
    <row r="41916" hidden="1" x14ac:dyDescent="0.2"/>
    <row r="41917" hidden="1" x14ac:dyDescent="0.2"/>
    <row r="41918" hidden="1" x14ac:dyDescent="0.2"/>
    <row r="41919" hidden="1" x14ac:dyDescent="0.2"/>
    <row r="41920" hidden="1" x14ac:dyDescent="0.2"/>
    <row r="41921" hidden="1" x14ac:dyDescent="0.2"/>
    <row r="41922" hidden="1" x14ac:dyDescent="0.2"/>
    <row r="41923" hidden="1" x14ac:dyDescent="0.2"/>
    <row r="41924" hidden="1" x14ac:dyDescent="0.2"/>
    <row r="41925" hidden="1" x14ac:dyDescent="0.2"/>
    <row r="41926" hidden="1" x14ac:dyDescent="0.2"/>
    <row r="41927" hidden="1" x14ac:dyDescent="0.2"/>
    <row r="41928" hidden="1" x14ac:dyDescent="0.2"/>
    <row r="41929" hidden="1" x14ac:dyDescent="0.2"/>
    <row r="41930" hidden="1" x14ac:dyDescent="0.2"/>
    <row r="41931" hidden="1" x14ac:dyDescent="0.2"/>
    <row r="41932" hidden="1" x14ac:dyDescent="0.2"/>
    <row r="41933" hidden="1" x14ac:dyDescent="0.2"/>
    <row r="41934" hidden="1" x14ac:dyDescent="0.2"/>
    <row r="41935" hidden="1" x14ac:dyDescent="0.2"/>
    <row r="41936" hidden="1" x14ac:dyDescent="0.2"/>
    <row r="41937" hidden="1" x14ac:dyDescent="0.2"/>
    <row r="41938" hidden="1" x14ac:dyDescent="0.2"/>
    <row r="41939" hidden="1" x14ac:dyDescent="0.2"/>
    <row r="41940" hidden="1" x14ac:dyDescent="0.2"/>
    <row r="41941" hidden="1" x14ac:dyDescent="0.2"/>
    <row r="41942" hidden="1" x14ac:dyDescent="0.2"/>
    <row r="41943" hidden="1" x14ac:dyDescent="0.2"/>
    <row r="41944" hidden="1" x14ac:dyDescent="0.2"/>
    <row r="41945" hidden="1" x14ac:dyDescent="0.2"/>
    <row r="41946" hidden="1" x14ac:dyDescent="0.2"/>
    <row r="41947" hidden="1" x14ac:dyDescent="0.2"/>
    <row r="41948" hidden="1" x14ac:dyDescent="0.2"/>
    <row r="41949" hidden="1" x14ac:dyDescent="0.2"/>
    <row r="41950" hidden="1" x14ac:dyDescent="0.2"/>
    <row r="41951" hidden="1" x14ac:dyDescent="0.2"/>
    <row r="41952" hidden="1" x14ac:dyDescent="0.2"/>
    <row r="41953" hidden="1" x14ac:dyDescent="0.2"/>
    <row r="41954" hidden="1" x14ac:dyDescent="0.2"/>
    <row r="41955" hidden="1" x14ac:dyDescent="0.2"/>
    <row r="41956" hidden="1" x14ac:dyDescent="0.2"/>
    <row r="41957" hidden="1" x14ac:dyDescent="0.2"/>
    <row r="41958" hidden="1" x14ac:dyDescent="0.2"/>
    <row r="41959" hidden="1" x14ac:dyDescent="0.2"/>
    <row r="41960" hidden="1" x14ac:dyDescent="0.2"/>
    <row r="41961" hidden="1" x14ac:dyDescent="0.2"/>
    <row r="41962" hidden="1" x14ac:dyDescent="0.2"/>
    <row r="41963" hidden="1" x14ac:dyDescent="0.2"/>
    <row r="41964" hidden="1" x14ac:dyDescent="0.2"/>
    <row r="41965" hidden="1" x14ac:dyDescent="0.2"/>
    <row r="41966" hidden="1" x14ac:dyDescent="0.2"/>
    <row r="41967" hidden="1" x14ac:dyDescent="0.2"/>
    <row r="41968" hidden="1" x14ac:dyDescent="0.2"/>
    <row r="41969" hidden="1" x14ac:dyDescent="0.2"/>
    <row r="41970" hidden="1" x14ac:dyDescent="0.2"/>
    <row r="41971" hidden="1" x14ac:dyDescent="0.2"/>
    <row r="41972" hidden="1" x14ac:dyDescent="0.2"/>
    <row r="41973" hidden="1" x14ac:dyDescent="0.2"/>
    <row r="41974" hidden="1" x14ac:dyDescent="0.2"/>
    <row r="41975" hidden="1" x14ac:dyDescent="0.2"/>
    <row r="41976" hidden="1" x14ac:dyDescent="0.2"/>
    <row r="41977" hidden="1" x14ac:dyDescent="0.2"/>
    <row r="41978" hidden="1" x14ac:dyDescent="0.2"/>
    <row r="41979" hidden="1" x14ac:dyDescent="0.2"/>
    <row r="41980" hidden="1" x14ac:dyDescent="0.2"/>
    <row r="41981" hidden="1" x14ac:dyDescent="0.2"/>
    <row r="41982" hidden="1" x14ac:dyDescent="0.2"/>
    <row r="41983" hidden="1" x14ac:dyDescent="0.2"/>
    <row r="41984" hidden="1" x14ac:dyDescent="0.2"/>
    <row r="41985" hidden="1" x14ac:dyDescent="0.2"/>
    <row r="41986" hidden="1" x14ac:dyDescent="0.2"/>
    <row r="41987" hidden="1" x14ac:dyDescent="0.2"/>
    <row r="41988" hidden="1" x14ac:dyDescent="0.2"/>
    <row r="41989" hidden="1" x14ac:dyDescent="0.2"/>
    <row r="41990" hidden="1" x14ac:dyDescent="0.2"/>
    <row r="41991" hidden="1" x14ac:dyDescent="0.2"/>
    <row r="41992" hidden="1" x14ac:dyDescent="0.2"/>
    <row r="41993" hidden="1" x14ac:dyDescent="0.2"/>
    <row r="41994" hidden="1" x14ac:dyDescent="0.2"/>
    <row r="41995" hidden="1" x14ac:dyDescent="0.2"/>
    <row r="41996" hidden="1" x14ac:dyDescent="0.2"/>
    <row r="41997" hidden="1" x14ac:dyDescent="0.2"/>
    <row r="41998" hidden="1" x14ac:dyDescent="0.2"/>
    <row r="41999" hidden="1" x14ac:dyDescent="0.2"/>
    <row r="42000" hidden="1" x14ac:dyDescent="0.2"/>
    <row r="42001" hidden="1" x14ac:dyDescent="0.2"/>
    <row r="42002" hidden="1" x14ac:dyDescent="0.2"/>
    <row r="42003" hidden="1" x14ac:dyDescent="0.2"/>
    <row r="42004" hidden="1" x14ac:dyDescent="0.2"/>
    <row r="42005" hidden="1" x14ac:dyDescent="0.2"/>
    <row r="42006" hidden="1" x14ac:dyDescent="0.2"/>
    <row r="42007" hidden="1" x14ac:dyDescent="0.2"/>
    <row r="42008" hidden="1" x14ac:dyDescent="0.2"/>
    <row r="42009" hidden="1" x14ac:dyDescent="0.2"/>
    <row r="42010" hidden="1" x14ac:dyDescent="0.2"/>
    <row r="42011" hidden="1" x14ac:dyDescent="0.2"/>
    <row r="42012" hidden="1" x14ac:dyDescent="0.2"/>
    <row r="42013" hidden="1" x14ac:dyDescent="0.2"/>
    <row r="42014" hidden="1" x14ac:dyDescent="0.2"/>
    <row r="42015" hidden="1" x14ac:dyDescent="0.2"/>
    <row r="42016" hidden="1" x14ac:dyDescent="0.2"/>
    <row r="42017" hidden="1" x14ac:dyDescent="0.2"/>
    <row r="42018" hidden="1" x14ac:dyDescent="0.2"/>
    <row r="42019" hidden="1" x14ac:dyDescent="0.2"/>
    <row r="42020" hidden="1" x14ac:dyDescent="0.2"/>
    <row r="42021" hidden="1" x14ac:dyDescent="0.2"/>
    <row r="42022" hidden="1" x14ac:dyDescent="0.2"/>
    <row r="42023" hidden="1" x14ac:dyDescent="0.2"/>
    <row r="42024" hidden="1" x14ac:dyDescent="0.2"/>
    <row r="42025" hidden="1" x14ac:dyDescent="0.2"/>
    <row r="42026" hidden="1" x14ac:dyDescent="0.2"/>
    <row r="42027" hidden="1" x14ac:dyDescent="0.2"/>
    <row r="42028" hidden="1" x14ac:dyDescent="0.2"/>
    <row r="42029" hidden="1" x14ac:dyDescent="0.2"/>
    <row r="42030" hidden="1" x14ac:dyDescent="0.2"/>
    <row r="42031" hidden="1" x14ac:dyDescent="0.2"/>
    <row r="42032" hidden="1" x14ac:dyDescent="0.2"/>
    <row r="42033" hidden="1" x14ac:dyDescent="0.2"/>
    <row r="42034" hidden="1" x14ac:dyDescent="0.2"/>
    <row r="42035" hidden="1" x14ac:dyDescent="0.2"/>
    <row r="42036" hidden="1" x14ac:dyDescent="0.2"/>
    <row r="42037" hidden="1" x14ac:dyDescent="0.2"/>
    <row r="42038" hidden="1" x14ac:dyDescent="0.2"/>
    <row r="42039" hidden="1" x14ac:dyDescent="0.2"/>
    <row r="42040" hidden="1" x14ac:dyDescent="0.2"/>
    <row r="42041" hidden="1" x14ac:dyDescent="0.2"/>
    <row r="42042" hidden="1" x14ac:dyDescent="0.2"/>
    <row r="42043" hidden="1" x14ac:dyDescent="0.2"/>
    <row r="42044" hidden="1" x14ac:dyDescent="0.2"/>
    <row r="42045" hidden="1" x14ac:dyDescent="0.2"/>
    <row r="42046" hidden="1" x14ac:dyDescent="0.2"/>
    <row r="42047" hidden="1" x14ac:dyDescent="0.2"/>
    <row r="42048" hidden="1" x14ac:dyDescent="0.2"/>
    <row r="42049" hidden="1" x14ac:dyDescent="0.2"/>
    <row r="42050" hidden="1" x14ac:dyDescent="0.2"/>
    <row r="42051" hidden="1" x14ac:dyDescent="0.2"/>
    <row r="42052" hidden="1" x14ac:dyDescent="0.2"/>
    <row r="42053" hidden="1" x14ac:dyDescent="0.2"/>
    <row r="42054" hidden="1" x14ac:dyDescent="0.2"/>
    <row r="42055" hidden="1" x14ac:dyDescent="0.2"/>
    <row r="42056" hidden="1" x14ac:dyDescent="0.2"/>
    <row r="42057" hidden="1" x14ac:dyDescent="0.2"/>
    <row r="42058" hidden="1" x14ac:dyDescent="0.2"/>
    <row r="42059" hidden="1" x14ac:dyDescent="0.2"/>
    <row r="42060" hidden="1" x14ac:dyDescent="0.2"/>
    <row r="42061" hidden="1" x14ac:dyDescent="0.2"/>
    <row r="42062" hidden="1" x14ac:dyDescent="0.2"/>
    <row r="42063" hidden="1" x14ac:dyDescent="0.2"/>
    <row r="42064" hidden="1" x14ac:dyDescent="0.2"/>
    <row r="42065" hidden="1" x14ac:dyDescent="0.2"/>
    <row r="42066" hidden="1" x14ac:dyDescent="0.2"/>
    <row r="42067" hidden="1" x14ac:dyDescent="0.2"/>
    <row r="42068" hidden="1" x14ac:dyDescent="0.2"/>
    <row r="42069" hidden="1" x14ac:dyDescent="0.2"/>
    <row r="42070" hidden="1" x14ac:dyDescent="0.2"/>
    <row r="42071" hidden="1" x14ac:dyDescent="0.2"/>
    <row r="42072" hidden="1" x14ac:dyDescent="0.2"/>
    <row r="42073" hidden="1" x14ac:dyDescent="0.2"/>
    <row r="42074" hidden="1" x14ac:dyDescent="0.2"/>
    <row r="42075" hidden="1" x14ac:dyDescent="0.2"/>
    <row r="42076" hidden="1" x14ac:dyDescent="0.2"/>
    <row r="42077" hidden="1" x14ac:dyDescent="0.2"/>
    <row r="42078" hidden="1" x14ac:dyDescent="0.2"/>
    <row r="42079" hidden="1" x14ac:dyDescent="0.2"/>
    <row r="42080" hidden="1" x14ac:dyDescent="0.2"/>
    <row r="42081" hidden="1" x14ac:dyDescent="0.2"/>
    <row r="42082" hidden="1" x14ac:dyDescent="0.2"/>
    <row r="42083" hidden="1" x14ac:dyDescent="0.2"/>
    <row r="42084" hidden="1" x14ac:dyDescent="0.2"/>
    <row r="42085" hidden="1" x14ac:dyDescent="0.2"/>
    <row r="42086" hidden="1" x14ac:dyDescent="0.2"/>
    <row r="42087" hidden="1" x14ac:dyDescent="0.2"/>
    <row r="42088" hidden="1" x14ac:dyDescent="0.2"/>
    <row r="42089" hidden="1" x14ac:dyDescent="0.2"/>
    <row r="42090" hidden="1" x14ac:dyDescent="0.2"/>
    <row r="42091" hidden="1" x14ac:dyDescent="0.2"/>
    <row r="42092" hidden="1" x14ac:dyDescent="0.2"/>
    <row r="42093" hidden="1" x14ac:dyDescent="0.2"/>
    <row r="42094" hidden="1" x14ac:dyDescent="0.2"/>
    <row r="42095" hidden="1" x14ac:dyDescent="0.2"/>
    <row r="42096" hidden="1" x14ac:dyDescent="0.2"/>
    <row r="42097" hidden="1" x14ac:dyDescent="0.2"/>
    <row r="42098" hidden="1" x14ac:dyDescent="0.2"/>
    <row r="42099" hidden="1" x14ac:dyDescent="0.2"/>
    <row r="42100" hidden="1" x14ac:dyDescent="0.2"/>
    <row r="42101" hidden="1" x14ac:dyDescent="0.2"/>
    <row r="42102" hidden="1" x14ac:dyDescent="0.2"/>
    <row r="42103" hidden="1" x14ac:dyDescent="0.2"/>
    <row r="42104" hidden="1" x14ac:dyDescent="0.2"/>
    <row r="42105" hidden="1" x14ac:dyDescent="0.2"/>
    <row r="42106" hidden="1" x14ac:dyDescent="0.2"/>
    <row r="42107" hidden="1" x14ac:dyDescent="0.2"/>
    <row r="42108" hidden="1" x14ac:dyDescent="0.2"/>
    <row r="42109" hidden="1" x14ac:dyDescent="0.2"/>
    <row r="42110" hidden="1" x14ac:dyDescent="0.2"/>
    <row r="42111" hidden="1" x14ac:dyDescent="0.2"/>
    <row r="42112" hidden="1" x14ac:dyDescent="0.2"/>
    <row r="42113" hidden="1" x14ac:dyDescent="0.2"/>
    <row r="42114" hidden="1" x14ac:dyDescent="0.2"/>
    <row r="42115" hidden="1" x14ac:dyDescent="0.2"/>
    <row r="42116" hidden="1" x14ac:dyDescent="0.2"/>
    <row r="42117" hidden="1" x14ac:dyDescent="0.2"/>
    <row r="42118" hidden="1" x14ac:dyDescent="0.2"/>
    <row r="42119" hidden="1" x14ac:dyDescent="0.2"/>
    <row r="42120" hidden="1" x14ac:dyDescent="0.2"/>
    <row r="42121" hidden="1" x14ac:dyDescent="0.2"/>
    <row r="42122" hidden="1" x14ac:dyDescent="0.2"/>
    <row r="42123" hidden="1" x14ac:dyDescent="0.2"/>
    <row r="42124" hidden="1" x14ac:dyDescent="0.2"/>
    <row r="42125" hidden="1" x14ac:dyDescent="0.2"/>
    <row r="42126" hidden="1" x14ac:dyDescent="0.2"/>
    <row r="42127" hidden="1" x14ac:dyDescent="0.2"/>
    <row r="42128" hidden="1" x14ac:dyDescent="0.2"/>
    <row r="42129" hidden="1" x14ac:dyDescent="0.2"/>
    <row r="42130" hidden="1" x14ac:dyDescent="0.2"/>
    <row r="42131" hidden="1" x14ac:dyDescent="0.2"/>
    <row r="42132" hidden="1" x14ac:dyDescent="0.2"/>
    <row r="42133" hidden="1" x14ac:dyDescent="0.2"/>
    <row r="42134" hidden="1" x14ac:dyDescent="0.2"/>
    <row r="42135" hidden="1" x14ac:dyDescent="0.2"/>
    <row r="42136" hidden="1" x14ac:dyDescent="0.2"/>
    <row r="42137" hidden="1" x14ac:dyDescent="0.2"/>
    <row r="42138" hidden="1" x14ac:dyDescent="0.2"/>
    <row r="42139" hidden="1" x14ac:dyDescent="0.2"/>
    <row r="42140" hidden="1" x14ac:dyDescent="0.2"/>
    <row r="42141" hidden="1" x14ac:dyDescent="0.2"/>
    <row r="42142" hidden="1" x14ac:dyDescent="0.2"/>
    <row r="42143" hidden="1" x14ac:dyDescent="0.2"/>
    <row r="42144" hidden="1" x14ac:dyDescent="0.2"/>
    <row r="42145" hidden="1" x14ac:dyDescent="0.2"/>
    <row r="42146" hidden="1" x14ac:dyDescent="0.2"/>
    <row r="42147" hidden="1" x14ac:dyDescent="0.2"/>
    <row r="42148" hidden="1" x14ac:dyDescent="0.2"/>
    <row r="42149" hidden="1" x14ac:dyDescent="0.2"/>
    <row r="42150" hidden="1" x14ac:dyDescent="0.2"/>
    <row r="42151" hidden="1" x14ac:dyDescent="0.2"/>
    <row r="42152" hidden="1" x14ac:dyDescent="0.2"/>
    <row r="42153" hidden="1" x14ac:dyDescent="0.2"/>
    <row r="42154" hidden="1" x14ac:dyDescent="0.2"/>
    <row r="42155" hidden="1" x14ac:dyDescent="0.2"/>
    <row r="42156" hidden="1" x14ac:dyDescent="0.2"/>
    <row r="42157" hidden="1" x14ac:dyDescent="0.2"/>
    <row r="42158" hidden="1" x14ac:dyDescent="0.2"/>
    <row r="42159" hidden="1" x14ac:dyDescent="0.2"/>
    <row r="42160" hidden="1" x14ac:dyDescent="0.2"/>
    <row r="42161" hidden="1" x14ac:dyDescent="0.2"/>
    <row r="42162" hidden="1" x14ac:dyDescent="0.2"/>
    <row r="42163" hidden="1" x14ac:dyDescent="0.2"/>
    <row r="42164" hidden="1" x14ac:dyDescent="0.2"/>
    <row r="42165" hidden="1" x14ac:dyDescent="0.2"/>
    <row r="42166" hidden="1" x14ac:dyDescent="0.2"/>
    <row r="42167" hidden="1" x14ac:dyDescent="0.2"/>
    <row r="42168" hidden="1" x14ac:dyDescent="0.2"/>
    <row r="42169" hidden="1" x14ac:dyDescent="0.2"/>
    <row r="42170" hidden="1" x14ac:dyDescent="0.2"/>
    <row r="42171" hidden="1" x14ac:dyDescent="0.2"/>
    <row r="42172" hidden="1" x14ac:dyDescent="0.2"/>
    <row r="42173" hidden="1" x14ac:dyDescent="0.2"/>
    <row r="42174" hidden="1" x14ac:dyDescent="0.2"/>
    <row r="42175" hidden="1" x14ac:dyDescent="0.2"/>
    <row r="42176" hidden="1" x14ac:dyDescent="0.2"/>
    <row r="42177" hidden="1" x14ac:dyDescent="0.2"/>
    <row r="42178" hidden="1" x14ac:dyDescent="0.2"/>
    <row r="42179" hidden="1" x14ac:dyDescent="0.2"/>
    <row r="42180" hidden="1" x14ac:dyDescent="0.2"/>
    <row r="42181" hidden="1" x14ac:dyDescent="0.2"/>
    <row r="42182" hidden="1" x14ac:dyDescent="0.2"/>
    <row r="42183" hidden="1" x14ac:dyDescent="0.2"/>
    <row r="42184" hidden="1" x14ac:dyDescent="0.2"/>
    <row r="42185" hidden="1" x14ac:dyDescent="0.2"/>
    <row r="42186" hidden="1" x14ac:dyDescent="0.2"/>
    <row r="42187" hidden="1" x14ac:dyDescent="0.2"/>
    <row r="42188" hidden="1" x14ac:dyDescent="0.2"/>
    <row r="42189" hidden="1" x14ac:dyDescent="0.2"/>
    <row r="42190" hidden="1" x14ac:dyDescent="0.2"/>
    <row r="42191" hidden="1" x14ac:dyDescent="0.2"/>
    <row r="42192" hidden="1" x14ac:dyDescent="0.2"/>
    <row r="42193" hidden="1" x14ac:dyDescent="0.2"/>
    <row r="42194" hidden="1" x14ac:dyDescent="0.2"/>
    <row r="42195" hidden="1" x14ac:dyDescent="0.2"/>
    <row r="42196" hidden="1" x14ac:dyDescent="0.2"/>
    <row r="42197" hidden="1" x14ac:dyDescent="0.2"/>
    <row r="42198" hidden="1" x14ac:dyDescent="0.2"/>
    <row r="42199" hidden="1" x14ac:dyDescent="0.2"/>
    <row r="42200" hidden="1" x14ac:dyDescent="0.2"/>
    <row r="42201" hidden="1" x14ac:dyDescent="0.2"/>
    <row r="42202" hidden="1" x14ac:dyDescent="0.2"/>
    <row r="42203" hidden="1" x14ac:dyDescent="0.2"/>
    <row r="42204" hidden="1" x14ac:dyDescent="0.2"/>
    <row r="42205" hidden="1" x14ac:dyDescent="0.2"/>
    <row r="42206" hidden="1" x14ac:dyDescent="0.2"/>
    <row r="42207" hidden="1" x14ac:dyDescent="0.2"/>
    <row r="42208" hidden="1" x14ac:dyDescent="0.2"/>
    <row r="42209" hidden="1" x14ac:dyDescent="0.2"/>
    <row r="42210" hidden="1" x14ac:dyDescent="0.2"/>
    <row r="42211" hidden="1" x14ac:dyDescent="0.2"/>
    <row r="42212" hidden="1" x14ac:dyDescent="0.2"/>
    <row r="42213" hidden="1" x14ac:dyDescent="0.2"/>
    <row r="42214" hidden="1" x14ac:dyDescent="0.2"/>
    <row r="42215" hidden="1" x14ac:dyDescent="0.2"/>
    <row r="42216" hidden="1" x14ac:dyDescent="0.2"/>
    <row r="42217" hidden="1" x14ac:dyDescent="0.2"/>
    <row r="42218" hidden="1" x14ac:dyDescent="0.2"/>
    <row r="42219" hidden="1" x14ac:dyDescent="0.2"/>
    <row r="42220" hidden="1" x14ac:dyDescent="0.2"/>
    <row r="42221" hidden="1" x14ac:dyDescent="0.2"/>
    <row r="42222" hidden="1" x14ac:dyDescent="0.2"/>
    <row r="42223" hidden="1" x14ac:dyDescent="0.2"/>
    <row r="42224" hidden="1" x14ac:dyDescent="0.2"/>
    <row r="42225" hidden="1" x14ac:dyDescent="0.2"/>
    <row r="42226" hidden="1" x14ac:dyDescent="0.2"/>
    <row r="42227" hidden="1" x14ac:dyDescent="0.2"/>
    <row r="42228" hidden="1" x14ac:dyDescent="0.2"/>
    <row r="42229" hidden="1" x14ac:dyDescent="0.2"/>
    <row r="42230" hidden="1" x14ac:dyDescent="0.2"/>
    <row r="42231" hidden="1" x14ac:dyDescent="0.2"/>
    <row r="42232" hidden="1" x14ac:dyDescent="0.2"/>
    <row r="42233" hidden="1" x14ac:dyDescent="0.2"/>
    <row r="42234" hidden="1" x14ac:dyDescent="0.2"/>
    <row r="42235" hidden="1" x14ac:dyDescent="0.2"/>
    <row r="42236" hidden="1" x14ac:dyDescent="0.2"/>
    <row r="42237" hidden="1" x14ac:dyDescent="0.2"/>
    <row r="42238" hidden="1" x14ac:dyDescent="0.2"/>
    <row r="42239" hidden="1" x14ac:dyDescent="0.2"/>
    <row r="42240" hidden="1" x14ac:dyDescent="0.2"/>
    <row r="42241" hidden="1" x14ac:dyDescent="0.2"/>
    <row r="42242" hidden="1" x14ac:dyDescent="0.2"/>
    <row r="42243" hidden="1" x14ac:dyDescent="0.2"/>
    <row r="42244" hidden="1" x14ac:dyDescent="0.2"/>
    <row r="42245" hidden="1" x14ac:dyDescent="0.2"/>
    <row r="42246" hidden="1" x14ac:dyDescent="0.2"/>
    <row r="42247" hidden="1" x14ac:dyDescent="0.2"/>
    <row r="42248" hidden="1" x14ac:dyDescent="0.2"/>
    <row r="42249" hidden="1" x14ac:dyDescent="0.2"/>
    <row r="42250" hidden="1" x14ac:dyDescent="0.2"/>
    <row r="42251" hidden="1" x14ac:dyDescent="0.2"/>
    <row r="42252" hidden="1" x14ac:dyDescent="0.2"/>
    <row r="42253" hidden="1" x14ac:dyDescent="0.2"/>
    <row r="42254" hidden="1" x14ac:dyDescent="0.2"/>
    <row r="42255" hidden="1" x14ac:dyDescent="0.2"/>
    <row r="42256" hidden="1" x14ac:dyDescent="0.2"/>
    <row r="42257" hidden="1" x14ac:dyDescent="0.2"/>
    <row r="42258" hidden="1" x14ac:dyDescent="0.2"/>
    <row r="42259" hidden="1" x14ac:dyDescent="0.2"/>
    <row r="42260" hidden="1" x14ac:dyDescent="0.2"/>
    <row r="42261" hidden="1" x14ac:dyDescent="0.2"/>
    <row r="42262" hidden="1" x14ac:dyDescent="0.2"/>
    <row r="42263" hidden="1" x14ac:dyDescent="0.2"/>
    <row r="42264" hidden="1" x14ac:dyDescent="0.2"/>
    <row r="42265" hidden="1" x14ac:dyDescent="0.2"/>
    <row r="42266" hidden="1" x14ac:dyDescent="0.2"/>
    <row r="42267" hidden="1" x14ac:dyDescent="0.2"/>
    <row r="42268" hidden="1" x14ac:dyDescent="0.2"/>
    <row r="42269" hidden="1" x14ac:dyDescent="0.2"/>
    <row r="42270" hidden="1" x14ac:dyDescent="0.2"/>
    <row r="42271" hidden="1" x14ac:dyDescent="0.2"/>
    <row r="42272" hidden="1" x14ac:dyDescent="0.2"/>
    <row r="42273" hidden="1" x14ac:dyDescent="0.2"/>
    <row r="42274" hidden="1" x14ac:dyDescent="0.2"/>
    <row r="42275" hidden="1" x14ac:dyDescent="0.2"/>
    <row r="42276" hidden="1" x14ac:dyDescent="0.2"/>
    <row r="42277" hidden="1" x14ac:dyDescent="0.2"/>
    <row r="42278" hidden="1" x14ac:dyDescent="0.2"/>
    <row r="42279" hidden="1" x14ac:dyDescent="0.2"/>
    <row r="42280" hidden="1" x14ac:dyDescent="0.2"/>
    <row r="42281" hidden="1" x14ac:dyDescent="0.2"/>
    <row r="42282" hidden="1" x14ac:dyDescent="0.2"/>
    <row r="42283" hidden="1" x14ac:dyDescent="0.2"/>
    <row r="42284" hidden="1" x14ac:dyDescent="0.2"/>
    <row r="42285" hidden="1" x14ac:dyDescent="0.2"/>
    <row r="42286" hidden="1" x14ac:dyDescent="0.2"/>
    <row r="42287" hidden="1" x14ac:dyDescent="0.2"/>
    <row r="42288" hidden="1" x14ac:dyDescent="0.2"/>
    <row r="42289" hidden="1" x14ac:dyDescent="0.2"/>
    <row r="42290" hidden="1" x14ac:dyDescent="0.2"/>
    <row r="42291" hidden="1" x14ac:dyDescent="0.2"/>
    <row r="42292" hidden="1" x14ac:dyDescent="0.2"/>
    <row r="42293" hidden="1" x14ac:dyDescent="0.2"/>
    <row r="42294" hidden="1" x14ac:dyDescent="0.2"/>
    <row r="42295" hidden="1" x14ac:dyDescent="0.2"/>
    <row r="42296" hidden="1" x14ac:dyDescent="0.2"/>
    <row r="42297" hidden="1" x14ac:dyDescent="0.2"/>
    <row r="42298" hidden="1" x14ac:dyDescent="0.2"/>
    <row r="42299" hidden="1" x14ac:dyDescent="0.2"/>
    <row r="42300" hidden="1" x14ac:dyDescent="0.2"/>
    <row r="42301" hidden="1" x14ac:dyDescent="0.2"/>
    <row r="42302" hidden="1" x14ac:dyDescent="0.2"/>
    <row r="42303" hidden="1" x14ac:dyDescent="0.2"/>
    <row r="42304" hidden="1" x14ac:dyDescent="0.2"/>
    <row r="42305" hidden="1" x14ac:dyDescent="0.2"/>
    <row r="42306" hidden="1" x14ac:dyDescent="0.2"/>
    <row r="42307" hidden="1" x14ac:dyDescent="0.2"/>
    <row r="42308" hidden="1" x14ac:dyDescent="0.2"/>
    <row r="42309" hidden="1" x14ac:dyDescent="0.2"/>
    <row r="42310" hidden="1" x14ac:dyDescent="0.2"/>
    <row r="42311" hidden="1" x14ac:dyDescent="0.2"/>
    <row r="42312" hidden="1" x14ac:dyDescent="0.2"/>
    <row r="42313" hidden="1" x14ac:dyDescent="0.2"/>
    <row r="42314" hidden="1" x14ac:dyDescent="0.2"/>
    <row r="42315" hidden="1" x14ac:dyDescent="0.2"/>
    <row r="42316" hidden="1" x14ac:dyDescent="0.2"/>
    <row r="42317" hidden="1" x14ac:dyDescent="0.2"/>
    <row r="42318" hidden="1" x14ac:dyDescent="0.2"/>
    <row r="42319" hidden="1" x14ac:dyDescent="0.2"/>
    <row r="42320" hidden="1" x14ac:dyDescent="0.2"/>
    <row r="42321" hidden="1" x14ac:dyDescent="0.2"/>
    <row r="42322" hidden="1" x14ac:dyDescent="0.2"/>
    <row r="42323" hidden="1" x14ac:dyDescent="0.2"/>
    <row r="42324" hidden="1" x14ac:dyDescent="0.2"/>
    <row r="42325" hidden="1" x14ac:dyDescent="0.2"/>
    <row r="42326" hidden="1" x14ac:dyDescent="0.2"/>
    <row r="42327" hidden="1" x14ac:dyDescent="0.2"/>
    <row r="42328" hidden="1" x14ac:dyDescent="0.2"/>
    <row r="42329" hidden="1" x14ac:dyDescent="0.2"/>
    <row r="42330" hidden="1" x14ac:dyDescent="0.2"/>
    <row r="42331" hidden="1" x14ac:dyDescent="0.2"/>
    <row r="42332" hidden="1" x14ac:dyDescent="0.2"/>
    <row r="42333" hidden="1" x14ac:dyDescent="0.2"/>
    <row r="42334" hidden="1" x14ac:dyDescent="0.2"/>
    <row r="42335" hidden="1" x14ac:dyDescent="0.2"/>
    <row r="42336" hidden="1" x14ac:dyDescent="0.2"/>
    <row r="42337" hidden="1" x14ac:dyDescent="0.2"/>
    <row r="42338" hidden="1" x14ac:dyDescent="0.2"/>
    <row r="42339" hidden="1" x14ac:dyDescent="0.2"/>
    <row r="42340" hidden="1" x14ac:dyDescent="0.2"/>
    <row r="42341" hidden="1" x14ac:dyDescent="0.2"/>
    <row r="42342" hidden="1" x14ac:dyDescent="0.2"/>
    <row r="42343" hidden="1" x14ac:dyDescent="0.2"/>
    <row r="42344" hidden="1" x14ac:dyDescent="0.2"/>
    <row r="42345" hidden="1" x14ac:dyDescent="0.2"/>
    <row r="42346" hidden="1" x14ac:dyDescent="0.2"/>
    <row r="42347" hidden="1" x14ac:dyDescent="0.2"/>
    <row r="42348" hidden="1" x14ac:dyDescent="0.2"/>
    <row r="42349" hidden="1" x14ac:dyDescent="0.2"/>
    <row r="42350" hidden="1" x14ac:dyDescent="0.2"/>
    <row r="42351" hidden="1" x14ac:dyDescent="0.2"/>
    <row r="42352" hidden="1" x14ac:dyDescent="0.2"/>
    <row r="42353" hidden="1" x14ac:dyDescent="0.2"/>
    <row r="42354" hidden="1" x14ac:dyDescent="0.2"/>
    <row r="42355" hidden="1" x14ac:dyDescent="0.2"/>
    <row r="42356" hidden="1" x14ac:dyDescent="0.2"/>
    <row r="42357" hidden="1" x14ac:dyDescent="0.2"/>
    <row r="42358" hidden="1" x14ac:dyDescent="0.2"/>
    <row r="42359" hidden="1" x14ac:dyDescent="0.2"/>
    <row r="42360" hidden="1" x14ac:dyDescent="0.2"/>
    <row r="42361" hidden="1" x14ac:dyDescent="0.2"/>
    <row r="42362" hidden="1" x14ac:dyDescent="0.2"/>
    <row r="42363" hidden="1" x14ac:dyDescent="0.2"/>
    <row r="42364" hidden="1" x14ac:dyDescent="0.2"/>
    <row r="42365" hidden="1" x14ac:dyDescent="0.2"/>
    <row r="42366" hidden="1" x14ac:dyDescent="0.2"/>
    <row r="42367" hidden="1" x14ac:dyDescent="0.2"/>
    <row r="42368" hidden="1" x14ac:dyDescent="0.2"/>
    <row r="42369" hidden="1" x14ac:dyDescent="0.2"/>
    <row r="42370" hidden="1" x14ac:dyDescent="0.2"/>
    <row r="42371" hidden="1" x14ac:dyDescent="0.2"/>
    <row r="42372" hidden="1" x14ac:dyDescent="0.2"/>
    <row r="42373" hidden="1" x14ac:dyDescent="0.2"/>
    <row r="42374" hidden="1" x14ac:dyDescent="0.2"/>
    <row r="42375" hidden="1" x14ac:dyDescent="0.2"/>
    <row r="42376" hidden="1" x14ac:dyDescent="0.2"/>
    <row r="42377" hidden="1" x14ac:dyDescent="0.2"/>
    <row r="42378" hidden="1" x14ac:dyDescent="0.2"/>
    <row r="42379" hidden="1" x14ac:dyDescent="0.2"/>
    <row r="42380" hidden="1" x14ac:dyDescent="0.2"/>
    <row r="42381" hidden="1" x14ac:dyDescent="0.2"/>
    <row r="42382" hidden="1" x14ac:dyDescent="0.2"/>
    <row r="42383" hidden="1" x14ac:dyDescent="0.2"/>
    <row r="42384" hidden="1" x14ac:dyDescent="0.2"/>
    <row r="42385" hidden="1" x14ac:dyDescent="0.2"/>
    <row r="42386" hidden="1" x14ac:dyDescent="0.2"/>
    <row r="42387" hidden="1" x14ac:dyDescent="0.2"/>
    <row r="42388" hidden="1" x14ac:dyDescent="0.2"/>
    <row r="42389" hidden="1" x14ac:dyDescent="0.2"/>
    <row r="42390" hidden="1" x14ac:dyDescent="0.2"/>
    <row r="42391" hidden="1" x14ac:dyDescent="0.2"/>
    <row r="42392" hidden="1" x14ac:dyDescent="0.2"/>
    <row r="42393" hidden="1" x14ac:dyDescent="0.2"/>
    <row r="42394" hidden="1" x14ac:dyDescent="0.2"/>
    <row r="42395" hidden="1" x14ac:dyDescent="0.2"/>
    <row r="42396" hidden="1" x14ac:dyDescent="0.2"/>
    <row r="42397" hidden="1" x14ac:dyDescent="0.2"/>
    <row r="42398" hidden="1" x14ac:dyDescent="0.2"/>
    <row r="42399" hidden="1" x14ac:dyDescent="0.2"/>
    <row r="42400" hidden="1" x14ac:dyDescent="0.2"/>
    <row r="42401" hidden="1" x14ac:dyDescent="0.2"/>
    <row r="42402" hidden="1" x14ac:dyDescent="0.2"/>
    <row r="42403" hidden="1" x14ac:dyDescent="0.2"/>
    <row r="42404" hidden="1" x14ac:dyDescent="0.2"/>
    <row r="42405" hidden="1" x14ac:dyDescent="0.2"/>
    <row r="42406" hidden="1" x14ac:dyDescent="0.2"/>
    <row r="42407" hidden="1" x14ac:dyDescent="0.2"/>
    <row r="42408" hidden="1" x14ac:dyDescent="0.2"/>
    <row r="42409" hidden="1" x14ac:dyDescent="0.2"/>
    <row r="42410" hidden="1" x14ac:dyDescent="0.2"/>
    <row r="42411" hidden="1" x14ac:dyDescent="0.2"/>
    <row r="42412" hidden="1" x14ac:dyDescent="0.2"/>
    <row r="42413" hidden="1" x14ac:dyDescent="0.2"/>
    <row r="42414" hidden="1" x14ac:dyDescent="0.2"/>
    <row r="42415" hidden="1" x14ac:dyDescent="0.2"/>
    <row r="42416" hidden="1" x14ac:dyDescent="0.2"/>
    <row r="42417" hidden="1" x14ac:dyDescent="0.2"/>
    <row r="42418" hidden="1" x14ac:dyDescent="0.2"/>
    <row r="42419" hidden="1" x14ac:dyDescent="0.2"/>
    <row r="42420" hidden="1" x14ac:dyDescent="0.2"/>
    <row r="42421" hidden="1" x14ac:dyDescent="0.2"/>
    <row r="42422" hidden="1" x14ac:dyDescent="0.2"/>
    <row r="42423" hidden="1" x14ac:dyDescent="0.2"/>
    <row r="42424" hidden="1" x14ac:dyDescent="0.2"/>
    <row r="42425" hidden="1" x14ac:dyDescent="0.2"/>
    <row r="42426" hidden="1" x14ac:dyDescent="0.2"/>
    <row r="42427" hidden="1" x14ac:dyDescent="0.2"/>
    <row r="42428" hidden="1" x14ac:dyDescent="0.2"/>
    <row r="42429" hidden="1" x14ac:dyDescent="0.2"/>
    <row r="42430" hidden="1" x14ac:dyDescent="0.2"/>
    <row r="42431" hidden="1" x14ac:dyDescent="0.2"/>
    <row r="42432" hidden="1" x14ac:dyDescent="0.2"/>
    <row r="42433" hidden="1" x14ac:dyDescent="0.2"/>
    <row r="42434" hidden="1" x14ac:dyDescent="0.2"/>
    <row r="42435" hidden="1" x14ac:dyDescent="0.2"/>
    <row r="42436" hidden="1" x14ac:dyDescent="0.2"/>
    <row r="42437" hidden="1" x14ac:dyDescent="0.2"/>
    <row r="42438" hidden="1" x14ac:dyDescent="0.2"/>
    <row r="42439" hidden="1" x14ac:dyDescent="0.2"/>
    <row r="42440" hidden="1" x14ac:dyDescent="0.2"/>
    <row r="42441" hidden="1" x14ac:dyDescent="0.2"/>
    <row r="42442" hidden="1" x14ac:dyDescent="0.2"/>
    <row r="42443" hidden="1" x14ac:dyDescent="0.2"/>
    <row r="42444" hidden="1" x14ac:dyDescent="0.2"/>
    <row r="42445" hidden="1" x14ac:dyDescent="0.2"/>
    <row r="42446" hidden="1" x14ac:dyDescent="0.2"/>
    <row r="42447" hidden="1" x14ac:dyDescent="0.2"/>
    <row r="42448" hidden="1" x14ac:dyDescent="0.2"/>
    <row r="42449" hidden="1" x14ac:dyDescent="0.2"/>
    <row r="42450" hidden="1" x14ac:dyDescent="0.2"/>
    <row r="42451" hidden="1" x14ac:dyDescent="0.2"/>
    <row r="42452" hidden="1" x14ac:dyDescent="0.2"/>
    <row r="42453" hidden="1" x14ac:dyDescent="0.2"/>
    <row r="42454" hidden="1" x14ac:dyDescent="0.2"/>
    <row r="42455" hidden="1" x14ac:dyDescent="0.2"/>
    <row r="42456" hidden="1" x14ac:dyDescent="0.2"/>
    <row r="42457" hidden="1" x14ac:dyDescent="0.2"/>
    <row r="42458" hidden="1" x14ac:dyDescent="0.2"/>
    <row r="42459" hidden="1" x14ac:dyDescent="0.2"/>
    <row r="42460" hidden="1" x14ac:dyDescent="0.2"/>
    <row r="42461" hidden="1" x14ac:dyDescent="0.2"/>
    <row r="42462" hidden="1" x14ac:dyDescent="0.2"/>
    <row r="42463" hidden="1" x14ac:dyDescent="0.2"/>
    <row r="42464" hidden="1" x14ac:dyDescent="0.2"/>
    <row r="42465" hidden="1" x14ac:dyDescent="0.2"/>
    <row r="42466" hidden="1" x14ac:dyDescent="0.2"/>
    <row r="42467" hidden="1" x14ac:dyDescent="0.2"/>
    <row r="42468" hidden="1" x14ac:dyDescent="0.2"/>
    <row r="42469" hidden="1" x14ac:dyDescent="0.2"/>
    <row r="42470" hidden="1" x14ac:dyDescent="0.2"/>
    <row r="42471" hidden="1" x14ac:dyDescent="0.2"/>
    <row r="42472" hidden="1" x14ac:dyDescent="0.2"/>
    <row r="42473" hidden="1" x14ac:dyDescent="0.2"/>
    <row r="42474" hidden="1" x14ac:dyDescent="0.2"/>
    <row r="42475" hidden="1" x14ac:dyDescent="0.2"/>
    <row r="42476" hidden="1" x14ac:dyDescent="0.2"/>
    <row r="42477" hidden="1" x14ac:dyDescent="0.2"/>
    <row r="42478" hidden="1" x14ac:dyDescent="0.2"/>
    <row r="42479" hidden="1" x14ac:dyDescent="0.2"/>
    <row r="42480" hidden="1" x14ac:dyDescent="0.2"/>
    <row r="42481" hidden="1" x14ac:dyDescent="0.2"/>
    <row r="42482" hidden="1" x14ac:dyDescent="0.2"/>
    <row r="42483" hidden="1" x14ac:dyDescent="0.2"/>
    <row r="42484" hidden="1" x14ac:dyDescent="0.2"/>
    <row r="42485" hidden="1" x14ac:dyDescent="0.2"/>
    <row r="42486" hidden="1" x14ac:dyDescent="0.2"/>
    <row r="42487" hidden="1" x14ac:dyDescent="0.2"/>
    <row r="42488" hidden="1" x14ac:dyDescent="0.2"/>
    <row r="42489" hidden="1" x14ac:dyDescent="0.2"/>
    <row r="42490" hidden="1" x14ac:dyDescent="0.2"/>
    <row r="42491" hidden="1" x14ac:dyDescent="0.2"/>
    <row r="42492" hidden="1" x14ac:dyDescent="0.2"/>
    <row r="42493" hidden="1" x14ac:dyDescent="0.2"/>
    <row r="42494" hidden="1" x14ac:dyDescent="0.2"/>
    <row r="42495" hidden="1" x14ac:dyDescent="0.2"/>
    <row r="42496" hidden="1" x14ac:dyDescent="0.2"/>
    <row r="42497" hidden="1" x14ac:dyDescent="0.2"/>
    <row r="42498" hidden="1" x14ac:dyDescent="0.2"/>
    <row r="42499" hidden="1" x14ac:dyDescent="0.2"/>
    <row r="42500" hidden="1" x14ac:dyDescent="0.2"/>
    <row r="42501" hidden="1" x14ac:dyDescent="0.2"/>
    <row r="42502" hidden="1" x14ac:dyDescent="0.2"/>
    <row r="42503" hidden="1" x14ac:dyDescent="0.2"/>
    <row r="42504" hidden="1" x14ac:dyDescent="0.2"/>
    <row r="42505" hidden="1" x14ac:dyDescent="0.2"/>
    <row r="42506" hidden="1" x14ac:dyDescent="0.2"/>
    <row r="42507" hidden="1" x14ac:dyDescent="0.2"/>
    <row r="42508" hidden="1" x14ac:dyDescent="0.2"/>
    <row r="42509" hidden="1" x14ac:dyDescent="0.2"/>
    <row r="42510" hidden="1" x14ac:dyDescent="0.2"/>
    <row r="42511" hidden="1" x14ac:dyDescent="0.2"/>
    <row r="42512" hidden="1" x14ac:dyDescent="0.2"/>
    <row r="42513" hidden="1" x14ac:dyDescent="0.2"/>
    <row r="42514" hidden="1" x14ac:dyDescent="0.2"/>
    <row r="42515" hidden="1" x14ac:dyDescent="0.2"/>
    <row r="42516" hidden="1" x14ac:dyDescent="0.2"/>
    <row r="42517" hidden="1" x14ac:dyDescent="0.2"/>
    <row r="42518" hidden="1" x14ac:dyDescent="0.2"/>
    <row r="42519" hidden="1" x14ac:dyDescent="0.2"/>
    <row r="42520" hidden="1" x14ac:dyDescent="0.2"/>
    <row r="42521" hidden="1" x14ac:dyDescent="0.2"/>
    <row r="42522" hidden="1" x14ac:dyDescent="0.2"/>
    <row r="42523" hidden="1" x14ac:dyDescent="0.2"/>
    <row r="42524" hidden="1" x14ac:dyDescent="0.2"/>
    <row r="42525" hidden="1" x14ac:dyDescent="0.2"/>
    <row r="42526" hidden="1" x14ac:dyDescent="0.2"/>
    <row r="42527" hidden="1" x14ac:dyDescent="0.2"/>
    <row r="42528" hidden="1" x14ac:dyDescent="0.2"/>
    <row r="42529" hidden="1" x14ac:dyDescent="0.2"/>
    <row r="42530" hidden="1" x14ac:dyDescent="0.2"/>
    <row r="42531" hidden="1" x14ac:dyDescent="0.2"/>
    <row r="42532" hidden="1" x14ac:dyDescent="0.2"/>
    <row r="42533" hidden="1" x14ac:dyDescent="0.2"/>
    <row r="42534" hidden="1" x14ac:dyDescent="0.2"/>
    <row r="42535" hidden="1" x14ac:dyDescent="0.2"/>
    <row r="42536" hidden="1" x14ac:dyDescent="0.2"/>
    <row r="42537" hidden="1" x14ac:dyDescent="0.2"/>
    <row r="42538" hidden="1" x14ac:dyDescent="0.2"/>
    <row r="42539" hidden="1" x14ac:dyDescent="0.2"/>
    <row r="42540" hidden="1" x14ac:dyDescent="0.2"/>
    <row r="42541" hidden="1" x14ac:dyDescent="0.2"/>
    <row r="42542" hidden="1" x14ac:dyDescent="0.2"/>
    <row r="42543" hidden="1" x14ac:dyDescent="0.2"/>
    <row r="42544" hidden="1" x14ac:dyDescent="0.2"/>
    <row r="42545" hidden="1" x14ac:dyDescent="0.2"/>
    <row r="42546" hidden="1" x14ac:dyDescent="0.2"/>
    <row r="42547" hidden="1" x14ac:dyDescent="0.2"/>
    <row r="42548" hidden="1" x14ac:dyDescent="0.2"/>
    <row r="42549" hidden="1" x14ac:dyDescent="0.2"/>
    <row r="42550" hidden="1" x14ac:dyDescent="0.2"/>
    <row r="42551" hidden="1" x14ac:dyDescent="0.2"/>
    <row r="42552" hidden="1" x14ac:dyDescent="0.2"/>
    <row r="42553" hidden="1" x14ac:dyDescent="0.2"/>
    <row r="42554" hidden="1" x14ac:dyDescent="0.2"/>
    <row r="42555" hidden="1" x14ac:dyDescent="0.2"/>
    <row r="42556" hidden="1" x14ac:dyDescent="0.2"/>
    <row r="42557" hidden="1" x14ac:dyDescent="0.2"/>
    <row r="42558" hidden="1" x14ac:dyDescent="0.2"/>
    <row r="42559" hidden="1" x14ac:dyDescent="0.2"/>
    <row r="42560" hidden="1" x14ac:dyDescent="0.2"/>
    <row r="42561" hidden="1" x14ac:dyDescent="0.2"/>
    <row r="42562" hidden="1" x14ac:dyDescent="0.2"/>
    <row r="42563" hidden="1" x14ac:dyDescent="0.2"/>
    <row r="42564" hidden="1" x14ac:dyDescent="0.2"/>
    <row r="42565" hidden="1" x14ac:dyDescent="0.2"/>
    <row r="42566" hidden="1" x14ac:dyDescent="0.2"/>
    <row r="42567" hidden="1" x14ac:dyDescent="0.2"/>
    <row r="42568" hidden="1" x14ac:dyDescent="0.2"/>
    <row r="42569" hidden="1" x14ac:dyDescent="0.2"/>
    <row r="42570" hidden="1" x14ac:dyDescent="0.2"/>
    <row r="42571" hidden="1" x14ac:dyDescent="0.2"/>
    <row r="42572" hidden="1" x14ac:dyDescent="0.2"/>
    <row r="42573" hidden="1" x14ac:dyDescent="0.2"/>
    <row r="42574" hidden="1" x14ac:dyDescent="0.2"/>
    <row r="42575" hidden="1" x14ac:dyDescent="0.2"/>
    <row r="42576" hidden="1" x14ac:dyDescent="0.2"/>
    <row r="42577" hidden="1" x14ac:dyDescent="0.2"/>
    <row r="42578" hidden="1" x14ac:dyDescent="0.2"/>
    <row r="42579" hidden="1" x14ac:dyDescent="0.2"/>
    <row r="42580" hidden="1" x14ac:dyDescent="0.2"/>
    <row r="42581" hidden="1" x14ac:dyDescent="0.2"/>
    <row r="42582" hidden="1" x14ac:dyDescent="0.2"/>
    <row r="42583" hidden="1" x14ac:dyDescent="0.2"/>
    <row r="42584" hidden="1" x14ac:dyDescent="0.2"/>
    <row r="42585" hidden="1" x14ac:dyDescent="0.2"/>
    <row r="42586" hidden="1" x14ac:dyDescent="0.2"/>
    <row r="42587" hidden="1" x14ac:dyDescent="0.2"/>
    <row r="42588" hidden="1" x14ac:dyDescent="0.2"/>
    <row r="42589" hidden="1" x14ac:dyDescent="0.2"/>
    <row r="42590" hidden="1" x14ac:dyDescent="0.2"/>
    <row r="42591" hidden="1" x14ac:dyDescent="0.2"/>
    <row r="42592" hidden="1" x14ac:dyDescent="0.2"/>
    <row r="42593" hidden="1" x14ac:dyDescent="0.2"/>
    <row r="42594" hidden="1" x14ac:dyDescent="0.2"/>
    <row r="42595" hidden="1" x14ac:dyDescent="0.2"/>
    <row r="42596" hidden="1" x14ac:dyDescent="0.2"/>
    <row r="42597" hidden="1" x14ac:dyDescent="0.2"/>
    <row r="42598" hidden="1" x14ac:dyDescent="0.2"/>
    <row r="42599" hidden="1" x14ac:dyDescent="0.2"/>
    <row r="42600" hidden="1" x14ac:dyDescent="0.2"/>
    <row r="42601" hidden="1" x14ac:dyDescent="0.2"/>
    <row r="42602" hidden="1" x14ac:dyDescent="0.2"/>
    <row r="42603" hidden="1" x14ac:dyDescent="0.2"/>
    <row r="42604" hidden="1" x14ac:dyDescent="0.2"/>
    <row r="42605" hidden="1" x14ac:dyDescent="0.2"/>
    <row r="42606" hidden="1" x14ac:dyDescent="0.2"/>
    <row r="42607" hidden="1" x14ac:dyDescent="0.2"/>
    <row r="42608" hidden="1" x14ac:dyDescent="0.2"/>
    <row r="42609" hidden="1" x14ac:dyDescent="0.2"/>
    <row r="42610" hidden="1" x14ac:dyDescent="0.2"/>
    <row r="42611" hidden="1" x14ac:dyDescent="0.2"/>
    <row r="42612" hidden="1" x14ac:dyDescent="0.2"/>
    <row r="42613" hidden="1" x14ac:dyDescent="0.2"/>
    <row r="42614" hidden="1" x14ac:dyDescent="0.2"/>
    <row r="42615" hidden="1" x14ac:dyDescent="0.2"/>
    <row r="42616" hidden="1" x14ac:dyDescent="0.2"/>
    <row r="42617" hidden="1" x14ac:dyDescent="0.2"/>
    <row r="42618" hidden="1" x14ac:dyDescent="0.2"/>
    <row r="42619" hidden="1" x14ac:dyDescent="0.2"/>
    <row r="42620" hidden="1" x14ac:dyDescent="0.2"/>
    <row r="42621" hidden="1" x14ac:dyDescent="0.2"/>
    <row r="42622" hidden="1" x14ac:dyDescent="0.2"/>
    <row r="42623" hidden="1" x14ac:dyDescent="0.2"/>
    <row r="42624" hidden="1" x14ac:dyDescent="0.2"/>
    <row r="42625" hidden="1" x14ac:dyDescent="0.2"/>
    <row r="42626" hidden="1" x14ac:dyDescent="0.2"/>
    <row r="42627" hidden="1" x14ac:dyDescent="0.2"/>
    <row r="42628" hidden="1" x14ac:dyDescent="0.2"/>
    <row r="42629" hidden="1" x14ac:dyDescent="0.2"/>
    <row r="42630" hidden="1" x14ac:dyDescent="0.2"/>
    <row r="42631" hidden="1" x14ac:dyDescent="0.2"/>
    <row r="42632" hidden="1" x14ac:dyDescent="0.2"/>
    <row r="42633" hidden="1" x14ac:dyDescent="0.2"/>
    <row r="42634" hidden="1" x14ac:dyDescent="0.2"/>
    <row r="42635" hidden="1" x14ac:dyDescent="0.2"/>
    <row r="42636" hidden="1" x14ac:dyDescent="0.2"/>
    <row r="42637" hidden="1" x14ac:dyDescent="0.2"/>
    <row r="42638" hidden="1" x14ac:dyDescent="0.2"/>
    <row r="42639" hidden="1" x14ac:dyDescent="0.2"/>
    <row r="42640" hidden="1" x14ac:dyDescent="0.2"/>
    <row r="42641" hidden="1" x14ac:dyDescent="0.2"/>
    <row r="42642" hidden="1" x14ac:dyDescent="0.2"/>
    <row r="42643" hidden="1" x14ac:dyDescent="0.2"/>
    <row r="42644" hidden="1" x14ac:dyDescent="0.2"/>
    <row r="42645" hidden="1" x14ac:dyDescent="0.2"/>
    <row r="42646" hidden="1" x14ac:dyDescent="0.2"/>
    <row r="42647" hidden="1" x14ac:dyDescent="0.2"/>
    <row r="42648" hidden="1" x14ac:dyDescent="0.2"/>
    <row r="42649" hidden="1" x14ac:dyDescent="0.2"/>
    <row r="42650" hidden="1" x14ac:dyDescent="0.2"/>
    <row r="42651" hidden="1" x14ac:dyDescent="0.2"/>
    <row r="42652" hidden="1" x14ac:dyDescent="0.2"/>
    <row r="42653" hidden="1" x14ac:dyDescent="0.2"/>
    <row r="42654" hidden="1" x14ac:dyDescent="0.2"/>
    <row r="42655" hidden="1" x14ac:dyDescent="0.2"/>
    <row r="42656" hidden="1" x14ac:dyDescent="0.2"/>
    <row r="42657" hidden="1" x14ac:dyDescent="0.2"/>
    <row r="42658" hidden="1" x14ac:dyDescent="0.2"/>
    <row r="42659" hidden="1" x14ac:dyDescent="0.2"/>
    <row r="42660" hidden="1" x14ac:dyDescent="0.2"/>
    <row r="42661" hidden="1" x14ac:dyDescent="0.2"/>
    <row r="42662" hidden="1" x14ac:dyDescent="0.2"/>
    <row r="42663" hidden="1" x14ac:dyDescent="0.2"/>
    <row r="42664" hidden="1" x14ac:dyDescent="0.2"/>
    <row r="42665" hidden="1" x14ac:dyDescent="0.2"/>
    <row r="42666" hidden="1" x14ac:dyDescent="0.2"/>
    <row r="42667" hidden="1" x14ac:dyDescent="0.2"/>
    <row r="42668" hidden="1" x14ac:dyDescent="0.2"/>
    <row r="42669" hidden="1" x14ac:dyDescent="0.2"/>
    <row r="42670" hidden="1" x14ac:dyDescent="0.2"/>
    <row r="42671" hidden="1" x14ac:dyDescent="0.2"/>
    <row r="42672" hidden="1" x14ac:dyDescent="0.2"/>
    <row r="42673" hidden="1" x14ac:dyDescent="0.2"/>
    <row r="42674" hidden="1" x14ac:dyDescent="0.2"/>
    <row r="42675" hidden="1" x14ac:dyDescent="0.2"/>
    <row r="42676" hidden="1" x14ac:dyDescent="0.2"/>
    <row r="42677" hidden="1" x14ac:dyDescent="0.2"/>
    <row r="42678" hidden="1" x14ac:dyDescent="0.2"/>
    <row r="42679" hidden="1" x14ac:dyDescent="0.2"/>
    <row r="42680" hidden="1" x14ac:dyDescent="0.2"/>
    <row r="42681" hidden="1" x14ac:dyDescent="0.2"/>
    <row r="42682" hidden="1" x14ac:dyDescent="0.2"/>
    <row r="42683" hidden="1" x14ac:dyDescent="0.2"/>
    <row r="42684" hidden="1" x14ac:dyDescent="0.2"/>
    <row r="42685" hidden="1" x14ac:dyDescent="0.2"/>
    <row r="42686" hidden="1" x14ac:dyDescent="0.2"/>
    <row r="42687" hidden="1" x14ac:dyDescent="0.2"/>
    <row r="42688" hidden="1" x14ac:dyDescent="0.2"/>
    <row r="42689" hidden="1" x14ac:dyDescent="0.2"/>
    <row r="42690" hidden="1" x14ac:dyDescent="0.2"/>
    <row r="42691" hidden="1" x14ac:dyDescent="0.2"/>
    <row r="42692" hidden="1" x14ac:dyDescent="0.2"/>
    <row r="42693" hidden="1" x14ac:dyDescent="0.2"/>
    <row r="42694" hidden="1" x14ac:dyDescent="0.2"/>
    <row r="42695" hidden="1" x14ac:dyDescent="0.2"/>
    <row r="42696" hidden="1" x14ac:dyDescent="0.2"/>
    <row r="42697" hidden="1" x14ac:dyDescent="0.2"/>
    <row r="42698" hidden="1" x14ac:dyDescent="0.2"/>
    <row r="42699" hidden="1" x14ac:dyDescent="0.2"/>
    <row r="42700" hidden="1" x14ac:dyDescent="0.2"/>
    <row r="42701" hidden="1" x14ac:dyDescent="0.2"/>
    <row r="42702" hidden="1" x14ac:dyDescent="0.2"/>
    <row r="42703" hidden="1" x14ac:dyDescent="0.2"/>
    <row r="42704" hidden="1" x14ac:dyDescent="0.2"/>
    <row r="42705" hidden="1" x14ac:dyDescent="0.2"/>
    <row r="42706" hidden="1" x14ac:dyDescent="0.2"/>
    <row r="42707" hidden="1" x14ac:dyDescent="0.2"/>
    <row r="42708" hidden="1" x14ac:dyDescent="0.2"/>
    <row r="42709" hidden="1" x14ac:dyDescent="0.2"/>
    <row r="42710" hidden="1" x14ac:dyDescent="0.2"/>
    <row r="42711" hidden="1" x14ac:dyDescent="0.2"/>
    <row r="42712" hidden="1" x14ac:dyDescent="0.2"/>
    <row r="42713" hidden="1" x14ac:dyDescent="0.2"/>
    <row r="42714" hidden="1" x14ac:dyDescent="0.2"/>
    <row r="42715" hidden="1" x14ac:dyDescent="0.2"/>
    <row r="42716" hidden="1" x14ac:dyDescent="0.2"/>
    <row r="42717" hidden="1" x14ac:dyDescent="0.2"/>
    <row r="42718" hidden="1" x14ac:dyDescent="0.2"/>
    <row r="42719" hidden="1" x14ac:dyDescent="0.2"/>
    <row r="42720" hidden="1" x14ac:dyDescent="0.2"/>
    <row r="42721" hidden="1" x14ac:dyDescent="0.2"/>
    <row r="42722" hidden="1" x14ac:dyDescent="0.2"/>
    <row r="42723" hidden="1" x14ac:dyDescent="0.2"/>
    <row r="42724" hidden="1" x14ac:dyDescent="0.2"/>
    <row r="42725" hidden="1" x14ac:dyDescent="0.2"/>
    <row r="42726" hidden="1" x14ac:dyDescent="0.2"/>
    <row r="42727" hidden="1" x14ac:dyDescent="0.2"/>
    <row r="42728" hidden="1" x14ac:dyDescent="0.2"/>
    <row r="42729" hidden="1" x14ac:dyDescent="0.2"/>
    <row r="42730" hidden="1" x14ac:dyDescent="0.2"/>
    <row r="42731" hidden="1" x14ac:dyDescent="0.2"/>
    <row r="42732" hidden="1" x14ac:dyDescent="0.2"/>
    <row r="42733" hidden="1" x14ac:dyDescent="0.2"/>
    <row r="42734" hidden="1" x14ac:dyDescent="0.2"/>
    <row r="42735" hidden="1" x14ac:dyDescent="0.2"/>
    <row r="42736" hidden="1" x14ac:dyDescent="0.2"/>
    <row r="42737" hidden="1" x14ac:dyDescent="0.2"/>
    <row r="42738" hidden="1" x14ac:dyDescent="0.2"/>
    <row r="42739" hidden="1" x14ac:dyDescent="0.2"/>
    <row r="42740" hidden="1" x14ac:dyDescent="0.2"/>
    <row r="42741" hidden="1" x14ac:dyDescent="0.2"/>
    <row r="42742" hidden="1" x14ac:dyDescent="0.2"/>
    <row r="42743" hidden="1" x14ac:dyDescent="0.2"/>
    <row r="42744" hidden="1" x14ac:dyDescent="0.2"/>
    <row r="42745" hidden="1" x14ac:dyDescent="0.2"/>
    <row r="42746" hidden="1" x14ac:dyDescent="0.2"/>
    <row r="42747" hidden="1" x14ac:dyDescent="0.2"/>
    <row r="42748" hidden="1" x14ac:dyDescent="0.2"/>
    <row r="42749" hidden="1" x14ac:dyDescent="0.2"/>
    <row r="42750" hidden="1" x14ac:dyDescent="0.2"/>
    <row r="42751" hidden="1" x14ac:dyDescent="0.2"/>
    <row r="42752" hidden="1" x14ac:dyDescent="0.2"/>
    <row r="42753" hidden="1" x14ac:dyDescent="0.2"/>
    <row r="42754" hidden="1" x14ac:dyDescent="0.2"/>
    <row r="42755" hidden="1" x14ac:dyDescent="0.2"/>
    <row r="42756" hidden="1" x14ac:dyDescent="0.2"/>
    <row r="42757" hidden="1" x14ac:dyDescent="0.2"/>
    <row r="42758" hidden="1" x14ac:dyDescent="0.2"/>
    <row r="42759" hidden="1" x14ac:dyDescent="0.2"/>
    <row r="42760" hidden="1" x14ac:dyDescent="0.2"/>
    <row r="42761" hidden="1" x14ac:dyDescent="0.2"/>
    <row r="42762" hidden="1" x14ac:dyDescent="0.2"/>
    <row r="42763" hidden="1" x14ac:dyDescent="0.2"/>
    <row r="42764" hidden="1" x14ac:dyDescent="0.2"/>
    <row r="42765" hidden="1" x14ac:dyDescent="0.2"/>
    <row r="42766" hidden="1" x14ac:dyDescent="0.2"/>
    <row r="42767" hidden="1" x14ac:dyDescent="0.2"/>
    <row r="42768" hidden="1" x14ac:dyDescent="0.2"/>
    <row r="42769" hidden="1" x14ac:dyDescent="0.2"/>
    <row r="42770" hidden="1" x14ac:dyDescent="0.2"/>
    <row r="42771" hidden="1" x14ac:dyDescent="0.2"/>
    <row r="42772" hidden="1" x14ac:dyDescent="0.2"/>
    <row r="42773" hidden="1" x14ac:dyDescent="0.2"/>
    <row r="42774" hidden="1" x14ac:dyDescent="0.2"/>
    <row r="42775" hidden="1" x14ac:dyDescent="0.2"/>
    <row r="42776" hidden="1" x14ac:dyDescent="0.2"/>
    <row r="42777" hidden="1" x14ac:dyDescent="0.2"/>
    <row r="42778" hidden="1" x14ac:dyDescent="0.2"/>
    <row r="42779" hidden="1" x14ac:dyDescent="0.2"/>
    <row r="42780" hidden="1" x14ac:dyDescent="0.2"/>
    <row r="42781" hidden="1" x14ac:dyDescent="0.2"/>
    <row r="42782" hidden="1" x14ac:dyDescent="0.2"/>
    <row r="42783" hidden="1" x14ac:dyDescent="0.2"/>
    <row r="42784" hidden="1" x14ac:dyDescent="0.2"/>
    <row r="42785" hidden="1" x14ac:dyDescent="0.2"/>
    <row r="42786" hidden="1" x14ac:dyDescent="0.2"/>
    <row r="42787" hidden="1" x14ac:dyDescent="0.2"/>
    <row r="42788" hidden="1" x14ac:dyDescent="0.2"/>
    <row r="42789" hidden="1" x14ac:dyDescent="0.2"/>
    <row r="42790" hidden="1" x14ac:dyDescent="0.2"/>
    <row r="42791" hidden="1" x14ac:dyDescent="0.2"/>
    <row r="42792" hidden="1" x14ac:dyDescent="0.2"/>
    <row r="42793" hidden="1" x14ac:dyDescent="0.2"/>
    <row r="42794" hidden="1" x14ac:dyDescent="0.2"/>
    <row r="42795" hidden="1" x14ac:dyDescent="0.2"/>
    <row r="42796" hidden="1" x14ac:dyDescent="0.2"/>
    <row r="42797" hidden="1" x14ac:dyDescent="0.2"/>
    <row r="42798" hidden="1" x14ac:dyDescent="0.2"/>
    <row r="42799" hidden="1" x14ac:dyDescent="0.2"/>
    <row r="42800" hidden="1" x14ac:dyDescent="0.2"/>
    <row r="42801" hidden="1" x14ac:dyDescent="0.2"/>
    <row r="42802" hidden="1" x14ac:dyDescent="0.2"/>
    <row r="42803" hidden="1" x14ac:dyDescent="0.2"/>
    <row r="42804" hidden="1" x14ac:dyDescent="0.2"/>
    <row r="42805" hidden="1" x14ac:dyDescent="0.2"/>
    <row r="42806" hidden="1" x14ac:dyDescent="0.2"/>
    <row r="42807" hidden="1" x14ac:dyDescent="0.2"/>
    <row r="42808" hidden="1" x14ac:dyDescent="0.2"/>
    <row r="42809" hidden="1" x14ac:dyDescent="0.2"/>
    <row r="42810" hidden="1" x14ac:dyDescent="0.2"/>
    <row r="42811" hidden="1" x14ac:dyDescent="0.2"/>
    <row r="42812" hidden="1" x14ac:dyDescent="0.2"/>
    <row r="42813" hidden="1" x14ac:dyDescent="0.2"/>
    <row r="42814" hidden="1" x14ac:dyDescent="0.2"/>
    <row r="42815" hidden="1" x14ac:dyDescent="0.2"/>
    <row r="42816" hidden="1" x14ac:dyDescent="0.2"/>
    <row r="42817" hidden="1" x14ac:dyDescent="0.2"/>
    <row r="42818" hidden="1" x14ac:dyDescent="0.2"/>
    <row r="42819" hidden="1" x14ac:dyDescent="0.2"/>
    <row r="42820" hidden="1" x14ac:dyDescent="0.2"/>
    <row r="42821" hidden="1" x14ac:dyDescent="0.2"/>
    <row r="42822" hidden="1" x14ac:dyDescent="0.2"/>
    <row r="42823" hidden="1" x14ac:dyDescent="0.2"/>
    <row r="42824" hidden="1" x14ac:dyDescent="0.2"/>
    <row r="42825" hidden="1" x14ac:dyDescent="0.2"/>
    <row r="42826" hidden="1" x14ac:dyDescent="0.2"/>
    <row r="42827" hidden="1" x14ac:dyDescent="0.2"/>
    <row r="42828" hidden="1" x14ac:dyDescent="0.2"/>
    <row r="42829" hidden="1" x14ac:dyDescent="0.2"/>
    <row r="42830" hidden="1" x14ac:dyDescent="0.2"/>
    <row r="42831" hidden="1" x14ac:dyDescent="0.2"/>
    <row r="42832" hidden="1" x14ac:dyDescent="0.2"/>
    <row r="42833" hidden="1" x14ac:dyDescent="0.2"/>
    <row r="42834" hidden="1" x14ac:dyDescent="0.2"/>
    <row r="42835" hidden="1" x14ac:dyDescent="0.2"/>
    <row r="42836" hidden="1" x14ac:dyDescent="0.2"/>
    <row r="42837" hidden="1" x14ac:dyDescent="0.2"/>
    <row r="42838" hidden="1" x14ac:dyDescent="0.2"/>
    <row r="42839" hidden="1" x14ac:dyDescent="0.2"/>
    <row r="42840" hidden="1" x14ac:dyDescent="0.2"/>
    <row r="42841" hidden="1" x14ac:dyDescent="0.2"/>
    <row r="42842" hidden="1" x14ac:dyDescent="0.2"/>
    <row r="42843" hidden="1" x14ac:dyDescent="0.2"/>
    <row r="42844" hidden="1" x14ac:dyDescent="0.2"/>
    <row r="42845" hidden="1" x14ac:dyDescent="0.2"/>
    <row r="42846" hidden="1" x14ac:dyDescent="0.2"/>
    <row r="42847" hidden="1" x14ac:dyDescent="0.2"/>
    <row r="42848" hidden="1" x14ac:dyDescent="0.2"/>
    <row r="42849" hidden="1" x14ac:dyDescent="0.2"/>
    <row r="42850" hidden="1" x14ac:dyDescent="0.2"/>
    <row r="42851" hidden="1" x14ac:dyDescent="0.2"/>
    <row r="42852" hidden="1" x14ac:dyDescent="0.2"/>
    <row r="42853" hidden="1" x14ac:dyDescent="0.2"/>
    <row r="42854" hidden="1" x14ac:dyDescent="0.2"/>
    <row r="42855" hidden="1" x14ac:dyDescent="0.2"/>
    <row r="42856" hidden="1" x14ac:dyDescent="0.2"/>
    <row r="42857" hidden="1" x14ac:dyDescent="0.2"/>
    <row r="42858" hidden="1" x14ac:dyDescent="0.2"/>
    <row r="42859" hidden="1" x14ac:dyDescent="0.2"/>
    <row r="42860" hidden="1" x14ac:dyDescent="0.2"/>
    <row r="42861" hidden="1" x14ac:dyDescent="0.2"/>
    <row r="42862" hidden="1" x14ac:dyDescent="0.2"/>
    <row r="42863" hidden="1" x14ac:dyDescent="0.2"/>
    <row r="42864" hidden="1" x14ac:dyDescent="0.2"/>
    <row r="42865" hidden="1" x14ac:dyDescent="0.2"/>
    <row r="42866" hidden="1" x14ac:dyDescent="0.2"/>
    <row r="42867" hidden="1" x14ac:dyDescent="0.2"/>
    <row r="42868" hidden="1" x14ac:dyDescent="0.2"/>
    <row r="42869" hidden="1" x14ac:dyDescent="0.2"/>
    <row r="42870" hidden="1" x14ac:dyDescent="0.2"/>
    <row r="42871" hidden="1" x14ac:dyDescent="0.2"/>
    <row r="42872" hidden="1" x14ac:dyDescent="0.2"/>
    <row r="42873" hidden="1" x14ac:dyDescent="0.2"/>
    <row r="42874" hidden="1" x14ac:dyDescent="0.2"/>
    <row r="42875" hidden="1" x14ac:dyDescent="0.2"/>
    <row r="42876" hidden="1" x14ac:dyDescent="0.2"/>
    <row r="42877" hidden="1" x14ac:dyDescent="0.2"/>
    <row r="42878" hidden="1" x14ac:dyDescent="0.2"/>
    <row r="42879" hidden="1" x14ac:dyDescent="0.2"/>
    <row r="42880" hidden="1" x14ac:dyDescent="0.2"/>
    <row r="42881" hidden="1" x14ac:dyDescent="0.2"/>
    <row r="42882" hidden="1" x14ac:dyDescent="0.2"/>
    <row r="42883" hidden="1" x14ac:dyDescent="0.2"/>
    <row r="42884" hidden="1" x14ac:dyDescent="0.2"/>
    <row r="42885" hidden="1" x14ac:dyDescent="0.2"/>
    <row r="42886" hidden="1" x14ac:dyDescent="0.2"/>
    <row r="42887" hidden="1" x14ac:dyDescent="0.2"/>
    <row r="42888" hidden="1" x14ac:dyDescent="0.2"/>
    <row r="42889" hidden="1" x14ac:dyDescent="0.2"/>
    <row r="42890" hidden="1" x14ac:dyDescent="0.2"/>
    <row r="42891" hidden="1" x14ac:dyDescent="0.2"/>
    <row r="42892" hidden="1" x14ac:dyDescent="0.2"/>
    <row r="42893" hidden="1" x14ac:dyDescent="0.2"/>
    <row r="42894" hidden="1" x14ac:dyDescent="0.2"/>
    <row r="42895" hidden="1" x14ac:dyDescent="0.2"/>
    <row r="42896" hidden="1" x14ac:dyDescent="0.2"/>
    <row r="42897" hidden="1" x14ac:dyDescent="0.2"/>
    <row r="42898" hidden="1" x14ac:dyDescent="0.2"/>
    <row r="42899" hidden="1" x14ac:dyDescent="0.2"/>
    <row r="42900" hidden="1" x14ac:dyDescent="0.2"/>
    <row r="42901" hidden="1" x14ac:dyDescent="0.2"/>
    <row r="42902" hidden="1" x14ac:dyDescent="0.2"/>
    <row r="42903" hidden="1" x14ac:dyDescent="0.2"/>
    <row r="42904" hidden="1" x14ac:dyDescent="0.2"/>
    <row r="42905" hidden="1" x14ac:dyDescent="0.2"/>
    <row r="42906" hidden="1" x14ac:dyDescent="0.2"/>
    <row r="42907" hidden="1" x14ac:dyDescent="0.2"/>
    <row r="42908" hidden="1" x14ac:dyDescent="0.2"/>
    <row r="42909" hidden="1" x14ac:dyDescent="0.2"/>
    <row r="42910" hidden="1" x14ac:dyDescent="0.2"/>
    <row r="42911" hidden="1" x14ac:dyDescent="0.2"/>
    <row r="42912" hidden="1" x14ac:dyDescent="0.2"/>
    <row r="42913" hidden="1" x14ac:dyDescent="0.2"/>
    <row r="42914" hidden="1" x14ac:dyDescent="0.2"/>
    <row r="42915" hidden="1" x14ac:dyDescent="0.2"/>
    <row r="42916" hidden="1" x14ac:dyDescent="0.2"/>
    <row r="42917" hidden="1" x14ac:dyDescent="0.2"/>
    <row r="42918" hidden="1" x14ac:dyDescent="0.2"/>
    <row r="42919" hidden="1" x14ac:dyDescent="0.2"/>
    <row r="42920" hidden="1" x14ac:dyDescent="0.2"/>
    <row r="42921" hidden="1" x14ac:dyDescent="0.2"/>
    <row r="42922" hidden="1" x14ac:dyDescent="0.2"/>
    <row r="42923" hidden="1" x14ac:dyDescent="0.2"/>
    <row r="42924" hidden="1" x14ac:dyDescent="0.2"/>
    <row r="42925" hidden="1" x14ac:dyDescent="0.2"/>
    <row r="42926" hidden="1" x14ac:dyDescent="0.2"/>
    <row r="42927" hidden="1" x14ac:dyDescent="0.2"/>
    <row r="42928" hidden="1" x14ac:dyDescent="0.2"/>
    <row r="42929" hidden="1" x14ac:dyDescent="0.2"/>
    <row r="42930" hidden="1" x14ac:dyDescent="0.2"/>
    <row r="42931" hidden="1" x14ac:dyDescent="0.2"/>
    <row r="42932" hidden="1" x14ac:dyDescent="0.2"/>
    <row r="42933" hidden="1" x14ac:dyDescent="0.2"/>
    <row r="42934" hidden="1" x14ac:dyDescent="0.2"/>
    <row r="42935" hidden="1" x14ac:dyDescent="0.2"/>
    <row r="42936" hidden="1" x14ac:dyDescent="0.2"/>
    <row r="42937" hidden="1" x14ac:dyDescent="0.2"/>
    <row r="42938" hidden="1" x14ac:dyDescent="0.2"/>
    <row r="42939" hidden="1" x14ac:dyDescent="0.2"/>
    <row r="42940" hidden="1" x14ac:dyDescent="0.2"/>
    <row r="42941" hidden="1" x14ac:dyDescent="0.2"/>
    <row r="42942" hidden="1" x14ac:dyDescent="0.2"/>
    <row r="42943" hidden="1" x14ac:dyDescent="0.2"/>
    <row r="42944" hidden="1" x14ac:dyDescent="0.2"/>
    <row r="42945" hidden="1" x14ac:dyDescent="0.2"/>
    <row r="42946" hidden="1" x14ac:dyDescent="0.2"/>
    <row r="42947" hidden="1" x14ac:dyDescent="0.2"/>
    <row r="42948" hidden="1" x14ac:dyDescent="0.2"/>
    <row r="42949" hidden="1" x14ac:dyDescent="0.2"/>
    <row r="42950" hidden="1" x14ac:dyDescent="0.2"/>
    <row r="42951" hidden="1" x14ac:dyDescent="0.2"/>
    <row r="42952" hidden="1" x14ac:dyDescent="0.2"/>
    <row r="42953" hidden="1" x14ac:dyDescent="0.2"/>
    <row r="42954" hidden="1" x14ac:dyDescent="0.2"/>
    <row r="42955" hidden="1" x14ac:dyDescent="0.2"/>
    <row r="42956" hidden="1" x14ac:dyDescent="0.2"/>
    <row r="42957" hidden="1" x14ac:dyDescent="0.2"/>
    <row r="42958" hidden="1" x14ac:dyDescent="0.2"/>
    <row r="42959" hidden="1" x14ac:dyDescent="0.2"/>
    <row r="42960" hidden="1" x14ac:dyDescent="0.2"/>
    <row r="42961" hidden="1" x14ac:dyDescent="0.2"/>
    <row r="42962" hidden="1" x14ac:dyDescent="0.2"/>
    <row r="42963" hidden="1" x14ac:dyDescent="0.2"/>
    <row r="42964" hidden="1" x14ac:dyDescent="0.2"/>
    <row r="42965" hidden="1" x14ac:dyDescent="0.2"/>
    <row r="42966" hidden="1" x14ac:dyDescent="0.2"/>
    <row r="42967" hidden="1" x14ac:dyDescent="0.2"/>
    <row r="42968" hidden="1" x14ac:dyDescent="0.2"/>
    <row r="42969" hidden="1" x14ac:dyDescent="0.2"/>
    <row r="42970" hidden="1" x14ac:dyDescent="0.2"/>
    <row r="42971" hidden="1" x14ac:dyDescent="0.2"/>
    <row r="42972" hidden="1" x14ac:dyDescent="0.2"/>
    <row r="42973" hidden="1" x14ac:dyDescent="0.2"/>
    <row r="42974" hidden="1" x14ac:dyDescent="0.2"/>
    <row r="42975" hidden="1" x14ac:dyDescent="0.2"/>
    <row r="42976" hidden="1" x14ac:dyDescent="0.2"/>
    <row r="42977" hidden="1" x14ac:dyDescent="0.2"/>
    <row r="42978" hidden="1" x14ac:dyDescent="0.2"/>
    <row r="42979" hidden="1" x14ac:dyDescent="0.2"/>
    <row r="42980" hidden="1" x14ac:dyDescent="0.2"/>
    <row r="42981" hidden="1" x14ac:dyDescent="0.2"/>
    <row r="42982" hidden="1" x14ac:dyDescent="0.2"/>
    <row r="42983" hidden="1" x14ac:dyDescent="0.2"/>
    <row r="42984" hidden="1" x14ac:dyDescent="0.2"/>
    <row r="42985" hidden="1" x14ac:dyDescent="0.2"/>
    <row r="42986" hidden="1" x14ac:dyDescent="0.2"/>
    <row r="42987" hidden="1" x14ac:dyDescent="0.2"/>
    <row r="42988" hidden="1" x14ac:dyDescent="0.2"/>
    <row r="42989" hidden="1" x14ac:dyDescent="0.2"/>
    <row r="42990" hidden="1" x14ac:dyDescent="0.2"/>
    <row r="42991" hidden="1" x14ac:dyDescent="0.2"/>
    <row r="42992" hidden="1" x14ac:dyDescent="0.2"/>
    <row r="42993" hidden="1" x14ac:dyDescent="0.2"/>
    <row r="42994" hidden="1" x14ac:dyDescent="0.2"/>
    <row r="42995" hidden="1" x14ac:dyDescent="0.2"/>
    <row r="42996" hidden="1" x14ac:dyDescent="0.2"/>
    <row r="42997" hidden="1" x14ac:dyDescent="0.2"/>
    <row r="42998" hidden="1" x14ac:dyDescent="0.2"/>
    <row r="42999" hidden="1" x14ac:dyDescent="0.2"/>
    <row r="43000" hidden="1" x14ac:dyDescent="0.2"/>
    <row r="43001" hidden="1" x14ac:dyDescent="0.2"/>
    <row r="43002" hidden="1" x14ac:dyDescent="0.2"/>
    <row r="43003" hidden="1" x14ac:dyDescent="0.2"/>
    <row r="43004" hidden="1" x14ac:dyDescent="0.2"/>
    <row r="43005" hidden="1" x14ac:dyDescent="0.2"/>
    <row r="43006" hidden="1" x14ac:dyDescent="0.2"/>
    <row r="43007" hidden="1" x14ac:dyDescent="0.2"/>
    <row r="43008" hidden="1" x14ac:dyDescent="0.2"/>
    <row r="43009" hidden="1" x14ac:dyDescent="0.2"/>
    <row r="43010" hidden="1" x14ac:dyDescent="0.2"/>
    <row r="43011" hidden="1" x14ac:dyDescent="0.2"/>
    <row r="43012" hidden="1" x14ac:dyDescent="0.2"/>
    <row r="43013" hidden="1" x14ac:dyDescent="0.2"/>
    <row r="43014" hidden="1" x14ac:dyDescent="0.2"/>
    <row r="43015" hidden="1" x14ac:dyDescent="0.2"/>
    <row r="43016" hidden="1" x14ac:dyDescent="0.2"/>
    <row r="43017" hidden="1" x14ac:dyDescent="0.2"/>
    <row r="43018" hidden="1" x14ac:dyDescent="0.2"/>
    <row r="43019" hidden="1" x14ac:dyDescent="0.2"/>
    <row r="43020" hidden="1" x14ac:dyDescent="0.2"/>
    <row r="43021" hidden="1" x14ac:dyDescent="0.2"/>
    <row r="43022" hidden="1" x14ac:dyDescent="0.2"/>
    <row r="43023" hidden="1" x14ac:dyDescent="0.2"/>
    <row r="43024" hidden="1" x14ac:dyDescent="0.2"/>
    <row r="43025" hidden="1" x14ac:dyDescent="0.2"/>
    <row r="43026" hidden="1" x14ac:dyDescent="0.2"/>
    <row r="43027" hidden="1" x14ac:dyDescent="0.2"/>
    <row r="43028" hidden="1" x14ac:dyDescent="0.2"/>
    <row r="43029" hidden="1" x14ac:dyDescent="0.2"/>
    <row r="43030" hidden="1" x14ac:dyDescent="0.2"/>
    <row r="43031" hidden="1" x14ac:dyDescent="0.2"/>
    <row r="43032" hidden="1" x14ac:dyDescent="0.2"/>
    <row r="43033" hidden="1" x14ac:dyDescent="0.2"/>
    <row r="43034" hidden="1" x14ac:dyDescent="0.2"/>
    <row r="43035" hidden="1" x14ac:dyDescent="0.2"/>
    <row r="43036" hidden="1" x14ac:dyDescent="0.2"/>
    <row r="43037" hidden="1" x14ac:dyDescent="0.2"/>
    <row r="43038" hidden="1" x14ac:dyDescent="0.2"/>
    <row r="43039" hidden="1" x14ac:dyDescent="0.2"/>
    <row r="43040" hidden="1" x14ac:dyDescent="0.2"/>
    <row r="43041" hidden="1" x14ac:dyDescent="0.2"/>
    <row r="43042" hidden="1" x14ac:dyDescent="0.2"/>
    <row r="43043" hidden="1" x14ac:dyDescent="0.2"/>
    <row r="43044" hidden="1" x14ac:dyDescent="0.2"/>
    <row r="43045" hidden="1" x14ac:dyDescent="0.2"/>
    <row r="43046" hidden="1" x14ac:dyDescent="0.2"/>
    <row r="43047" hidden="1" x14ac:dyDescent="0.2"/>
    <row r="43048" hidden="1" x14ac:dyDescent="0.2"/>
    <row r="43049" hidden="1" x14ac:dyDescent="0.2"/>
    <row r="43050" hidden="1" x14ac:dyDescent="0.2"/>
    <row r="43051" hidden="1" x14ac:dyDescent="0.2"/>
    <row r="43052" hidden="1" x14ac:dyDescent="0.2"/>
    <row r="43053" hidden="1" x14ac:dyDescent="0.2"/>
    <row r="43054" hidden="1" x14ac:dyDescent="0.2"/>
    <row r="43055" hidden="1" x14ac:dyDescent="0.2"/>
    <row r="43056" hidden="1" x14ac:dyDescent="0.2"/>
    <row r="43057" hidden="1" x14ac:dyDescent="0.2"/>
    <row r="43058" hidden="1" x14ac:dyDescent="0.2"/>
    <row r="43059" hidden="1" x14ac:dyDescent="0.2"/>
    <row r="43060" hidden="1" x14ac:dyDescent="0.2"/>
    <row r="43061" hidden="1" x14ac:dyDescent="0.2"/>
    <row r="43062" hidden="1" x14ac:dyDescent="0.2"/>
    <row r="43063" hidden="1" x14ac:dyDescent="0.2"/>
    <row r="43064" hidden="1" x14ac:dyDescent="0.2"/>
    <row r="43065" hidden="1" x14ac:dyDescent="0.2"/>
    <row r="43066" hidden="1" x14ac:dyDescent="0.2"/>
    <row r="43067" hidden="1" x14ac:dyDescent="0.2"/>
    <row r="43068" hidden="1" x14ac:dyDescent="0.2"/>
    <row r="43069" hidden="1" x14ac:dyDescent="0.2"/>
    <row r="43070" hidden="1" x14ac:dyDescent="0.2"/>
    <row r="43071" hidden="1" x14ac:dyDescent="0.2"/>
    <row r="43072" hidden="1" x14ac:dyDescent="0.2"/>
    <row r="43073" hidden="1" x14ac:dyDescent="0.2"/>
    <row r="43074" hidden="1" x14ac:dyDescent="0.2"/>
    <row r="43075" hidden="1" x14ac:dyDescent="0.2"/>
    <row r="43076" hidden="1" x14ac:dyDescent="0.2"/>
    <row r="43077" hidden="1" x14ac:dyDescent="0.2"/>
    <row r="43078" hidden="1" x14ac:dyDescent="0.2"/>
    <row r="43079" hidden="1" x14ac:dyDescent="0.2"/>
    <row r="43080" hidden="1" x14ac:dyDescent="0.2"/>
    <row r="43081" hidden="1" x14ac:dyDescent="0.2"/>
    <row r="43082" hidden="1" x14ac:dyDescent="0.2"/>
    <row r="43083" hidden="1" x14ac:dyDescent="0.2"/>
    <row r="43084" hidden="1" x14ac:dyDescent="0.2"/>
    <row r="43085" hidden="1" x14ac:dyDescent="0.2"/>
    <row r="43086" hidden="1" x14ac:dyDescent="0.2"/>
    <row r="43087" hidden="1" x14ac:dyDescent="0.2"/>
    <row r="43088" hidden="1" x14ac:dyDescent="0.2"/>
    <row r="43089" hidden="1" x14ac:dyDescent="0.2"/>
    <row r="43090" hidden="1" x14ac:dyDescent="0.2"/>
    <row r="43091" hidden="1" x14ac:dyDescent="0.2"/>
    <row r="43092" hidden="1" x14ac:dyDescent="0.2"/>
    <row r="43093" hidden="1" x14ac:dyDescent="0.2"/>
    <row r="43094" hidden="1" x14ac:dyDescent="0.2"/>
    <row r="43095" hidden="1" x14ac:dyDescent="0.2"/>
    <row r="43096" hidden="1" x14ac:dyDescent="0.2"/>
    <row r="43097" hidden="1" x14ac:dyDescent="0.2"/>
    <row r="43098" hidden="1" x14ac:dyDescent="0.2"/>
    <row r="43099" hidden="1" x14ac:dyDescent="0.2"/>
    <row r="43100" hidden="1" x14ac:dyDescent="0.2"/>
    <row r="43101" hidden="1" x14ac:dyDescent="0.2"/>
    <row r="43102" hidden="1" x14ac:dyDescent="0.2"/>
    <row r="43103" hidden="1" x14ac:dyDescent="0.2"/>
    <row r="43104" hidden="1" x14ac:dyDescent="0.2"/>
    <row r="43105" hidden="1" x14ac:dyDescent="0.2"/>
    <row r="43106" hidden="1" x14ac:dyDescent="0.2"/>
    <row r="43107" hidden="1" x14ac:dyDescent="0.2"/>
    <row r="43108" hidden="1" x14ac:dyDescent="0.2"/>
    <row r="43109" hidden="1" x14ac:dyDescent="0.2"/>
    <row r="43110" hidden="1" x14ac:dyDescent="0.2"/>
    <row r="43111" hidden="1" x14ac:dyDescent="0.2"/>
    <row r="43112" hidden="1" x14ac:dyDescent="0.2"/>
    <row r="43113" hidden="1" x14ac:dyDescent="0.2"/>
    <row r="43114" hidden="1" x14ac:dyDescent="0.2"/>
    <row r="43115" hidden="1" x14ac:dyDescent="0.2"/>
    <row r="43116" hidden="1" x14ac:dyDescent="0.2"/>
    <row r="43117" hidden="1" x14ac:dyDescent="0.2"/>
    <row r="43118" hidden="1" x14ac:dyDescent="0.2"/>
    <row r="43119" hidden="1" x14ac:dyDescent="0.2"/>
    <row r="43120" hidden="1" x14ac:dyDescent="0.2"/>
    <row r="43121" hidden="1" x14ac:dyDescent="0.2"/>
    <row r="43122" hidden="1" x14ac:dyDescent="0.2"/>
    <row r="43123" hidden="1" x14ac:dyDescent="0.2"/>
    <row r="43124" hidden="1" x14ac:dyDescent="0.2"/>
    <row r="43125" hidden="1" x14ac:dyDescent="0.2"/>
    <row r="43126" hidden="1" x14ac:dyDescent="0.2"/>
    <row r="43127" hidden="1" x14ac:dyDescent="0.2"/>
    <row r="43128" hidden="1" x14ac:dyDescent="0.2"/>
    <row r="43129" hidden="1" x14ac:dyDescent="0.2"/>
    <row r="43130" hidden="1" x14ac:dyDescent="0.2"/>
    <row r="43131" hidden="1" x14ac:dyDescent="0.2"/>
    <row r="43132" hidden="1" x14ac:dyDescent="0.2"/>
    <row r="43133" hidden="1" x14ac:dyDescent="0.2"/>
    <row r="43134" hidden="1" x14ac:dyDescent="0.2"/>
    <row r="43135" hidden="1" x14ac:dyDescent="0.2"/>
    <row r="43136" hidden="1" x14ac:dyDescent="0.2"/>
    <row r="43137" hidden="1" x14ac:dyDescent="0.2"/>
    <row r="43138" hidden="1" x14ac:dyDescent="0.2"/>
    <row r="43139" hidden="1" x14ac:dyDescent="0.2"/>
    <row r="43140" hidden="1" x14ac:dyDescent="0.2"/>
    <row r="43141" hidden="1" x14ac:dyDescent="0.2"/>
    <row r="43142" hidden="1" x14ac:dyDescent="0.2"/>
    <row r="43143" hidden="1" x14ac:dyDescent="0.2"/>
    <row r="43144" hidden="1" x14ac:dyDescent="0.2"/>
    <row r="43145" hidden="1" x14ac:dyDescent="0.2"/>
    <row r="43146" hidden="1" x14ac:dyDescent="0.2"/>
    <row r="43147" hidden="1" x14ac:dyDescent="0.2"/>
    <row r="43148" hidden="1" x14ac:dyDescent="0.2"/>
    <row r="43149" hidden="1" x14ac:dyDescent="0.2"/>
    <row r="43150" hidden="1" x14ac:dyDescent="0.2"/>
    <row r="43151" hidden="1" x14ac:dyDescent="0.2"/>
    <row r="43152" hidden="1" x14ac:dyDescent="0.2"/>
    <row r="43153" hidden="1" x14ac:dyDescent="0.2"/>
    <row r="43154" hidden="1" x14ac:dyDescent="0.2"/>
    <row r="43155" hidden="1" x14ac:dyDescent="0.2"/>
    <row r="43156" hidden="1" x14ac:dyDescent="0.2"/>
    <row r="43157" hidden="1" x14ac:dyDescent="0.2"/>
    <row r="43158" hidden="1" x14ac:dyDescent="0.2"/>
    <row r="43159" hidden="1" x14ac:dyDescent="0.2"/>
    <row r="43160" hidden="1" x14ac:dyDescent="0.2"/>
    <row r="43161" hidden="1" x14ac:dyDescent="0.2"/>
    <row r="43162" hidden="1" x14ac:dyDescent="0.2"/>
    <row r="43163" hidden="1" x14ac:dyDescent="0.2"/>
    <row r="43164" hidden="1" x14ac:dyDescent="0.2"/>
    <row r="43165" hidden="1" x14ac:dyDescent="0.2"/>
    <row r="43166" hidden="1" x14ac:dyDescent="0.2"/>
    <row r="43167" hidden="1" x14ac:dyDescent="0.2"/>
    <row r="43168" hidden="1" x14ac:dyDescent="0.2"/>
    <row r="43169" hidden="1" x14ac:dyDescent="0.2"/>
    <row r="43170" hidden="1" x14ac:dyDescent="0.2"/>
    <row r="43171" hidden="1" x14ac:dyDescent="0.2"/>
    <row r="43172" hidden="1" x14ac:dyDescent="0.2"/>
    <row r="43173" hidden="1" x14ac:dyDescent="0.2"/>
    <row r="43174" hidden="1" x14ac:dyDescent="0.2"/>
    <row r="43175" hidden="1" x14ac:dyDescent="0.2"/>
    <row r="43176" hidden="1" x14ac:dyDescent="0.2"/>
    <row r="43177" hidden="1" x14ac:dyDescent="0.2"/>
    <row r="43178" hidden="1" x14ac:dyDescent="0.2"/>
    <row r="43179" hidden="1" x14ac:dyDescent="0.2"/>
    <row r="43180" hidden="1" x14ac:dyDescent="0.2"/>
    <row r="43181" hidden="1" x14ac:dyDescent="0.2"/>
    <row r="43182" hidden="1" x14ac:dyDescent="0.2"/>
    <row r="43183" hidden="1" x14ac:dyDescent="0.2"/>
    <row r="43184" hidden="1" x14ac:dyDescent="0.2"/>
    <row r="43185" hidden="1" x14ac:dyDescent="0.2"/>
    <row r="43186" hidden="1" x14ac:dyDescent="0.2"/>
    <row r="43187" hidden="1" x14ac:dyDescent="0.2"/>
    <row r="43188" hidden="1" x14ac:dyDescent="0.2"/>
    <row r="43189" hidden="1" x14ac:dyDescent="0.2"/>
    <row r="43190" hidden="1" x14ac:dyDescent="0.2"/>
    <row r="43191" hidden="1" x14ac:dyDescent="0.2"/>
    <row r="43192" hidden="1" x14ac:dyDescent="0.2"/>
    <row r="43193" hidden="1" x14ac:dyDescent="0.2"/>
    <row r="43194" hidden="1" x14ac:dyDescent="0.2"/>
    <row r="43195" hidden="1" x14ac:dyDescent="0.2"/>
    <row r="43196" hidden="1" x14ac:dyDescent="0.2"/>
    <row r="43197" hidden="1" x14ac:dyDescent="0.2"/>
    <row r="43198" hidden="1" x14ac:dyDescent="0.2"/>
    <row r="43199" hidden="1" x14ac:dyDescent="0.2"/>
    <row r="43200" hidden="1" x14ac:dyDescent="0.2"/>
    <row r="43201" hidden="1" x14ac:dyDescent="0.2"/>
    <row r="43202" hidden="1" x14ac:dyDescent="0.2"/>
    <row r="43203" hidden="1" x14ac:dyDescent="0.2"/>
    <row r="43204" hidden="1" x14ac:dyDescent="0.2"/>
    <row r="43205" hidden="1" x14ac:dyDescent="0.2"/>
    <row r="43206" hidden="1" x14ac:dyDescent="0.2"/>
    <row r="43207" hidden="1" x14ac:dyDescent="0.2"/>
    <row r="43208" hidden="1" x14ac:dyDescent="0.2"/>
    <row r="43209" hidden="1" x14ac:dyDescent="0.2"/>
    <row r="43210" hidden="1" x14ac:dyDescent="0.2"/>
    <row r="43211" hidden="1" x14ac:dyDescent="0.2"/>
    <row r="43212" hidden="1" x14ac:dyDescent="0.2"/>
    <row r="43213" hidden="1" x14ac:dyDescent="0.2"/>
    <row r="43214" hidden="1" x14ac:dyDescent="0.2"/>
    <row r="43215" hidden="1" x14ac:dyDescent="0.2"/>
    <row r="43216" hidden="1" x14ac:dyDescent="0.2"/>
    <row r="43217" hidden="1" x14ac:dyDescent="0.2"/>
    <row r="43218" hidden="1" x14ac:dyDescent="0.2"/>
    <row r="43219" hidden="1" x14ac:dyDescent="0.2"/>
    <row r="43220" hidden="1" x14ac:dyDescent="0.2"/>
    <row r="43221" hidden="1" x14ac:dyDescent="0.2"/>
    <row r="43222" hidden="1" x14ac:dyDescent="0.2"/>
    <row r="43223" hidden="1" x14ac:dyDescent="0.2"/>
    <row r="43224" hidden="1" x14ac:dyDescent="0.2"/>
    <row r="43225" hidden="1" x14ac:dyDescent="0.2"/>
    <row r="43226" hidden="1" x14ac:dyDescent="0.2"/>
    <row r="43227" hidden="1" x14ac:dyDescent="0.2"/>
    <row r="43228" hidden="1" x14ac:dyDescent="0.2"/>
    <row r="43229" hidden="1" x14ac:dyDescent="0.2"/>
    <row r="43230" hidden="1" x14ac:dyDescent="0.2"/>
    <row r="43231" hidden="1" x14ac:dyDescent="0.2"/>
    <row r="43232" hidden="1" x14ac:dyDescent="0.2"/>
    <row r="43233" hidden="1" x14ac:dyDescent="0.2"/>
    <row r="43234" hidden="1" x14ac:dyDescent="0.2"/>
    <row r="43235" hidden="1" x14ac:dyDescent="0.2"/>
    <row r="43236" hidden="1" x14ac:dyDescent="0.2"/>
    <row r="43237" hidden="1" x14ac:dyDescent="0.2"/>
    <row r="43238" hidden="1" x14ac:dyDescent="0.2"/>
    <row r="43239" hidden="1" x14ac:dyDescent="0.2"/>
    <row r="43240" hidden="1" x14ac:dyDescent="0.2"/>
    <row r="43241" hidden="1" x14ac:dyDescent="0.2"/>
    <row r="43242" hidden="1" x14ac:dyDescent="0.2"/>
    <row r="43243" hidden="1" x14ac:dyDescent="0.2"/>
    <row r="43244" hidden="1" x14ac:dyDescent="0.2"/>
    <row r="43245" hidden="1" x14ac:dyDescent="0.2"/>
    <row r="43246" hidden="1" x14ac:dyDescent="0.2"/>
    <row r="43247" hidden="1" x14ac:dyDescent="0.2"/>
    <row r="43248" hidden="1" x14ac:dyDescent="0.2"/>
    <row r="43249" hidden="1" x14ac:dyDescent="0.2"/>
    <row r="43250" hidden="1" x14ac:dyDescent="0.2"/>
    <row r="43251" hidden="1" x14ac:dyDescent="0.2"/>
    <row r="43252" hidden="1" x14ac:dyDescent="0.2"/>
    <row r="43253" hidden="1" x14ac:dyDescent="0.2"/>
    <row r="43254" hidden="1" x14ac:dyDescent="0.2"/>
    <row r="43255" hidden="1" x14ac:dyDescent="0.2"/>
    <row r="43256" hidden="1" x14ac:dyDescent="0.2"/>
    <row r="43257" hidden="1" x14ac:dyDescent="0.2"/>
    <row r="43258" hidden="1" x14ac:dyDescent="0.2"/>
    <row r="43259" hidden="1" x14ac:dyDescent="0.2"/>
    <row r="43260" hidden="1" x14ac:dyDescent="0.2"/>
    <row r="43261" hidden="1" x14ac:dyDescent="0.2"/>
    <row r="43262" hidden="1" x14ac:dyDescent="0.2"/>
    <row r="43263" hidden="1" x14ac:dyDescent="0.2"/>
    <row r="43264" hidden="1" x14ac:dyDescent="0.2"/>
    <row r="43265" hidden="1" x14ac:dyDescent="0.2"/>
    <row r="43266" hidden="1" x14ac:dyDescent="0.2"/>
    <row r="43267" hidden="1" x14ac:dyDescent="0.2"/>
    <row r="43268" hidden="1" x14ac:dyDescent="0.2"/>
    <row r="43269" hidden="1" x14ac:dyDescent="0.2"/>
    <row r="43270" hidden="1" x14ac:dyDescent="0.2"/>
    <row r="43271" hidden="1" x14ac:dyDescent="0.2"/>
    <row r="43272" hidden="1" x14ac:dyDescent="0.2"/>
    <row r="43273" hidden="1" x14ac:dyDescent="0.2"/>
    <row r="43274" hidden="1" x14ac:dyDescent="0.2"/>
    <row r="43275" hidden="1" x14ac:dyDescent="0.2"/>
    <row r="43276" hidden="1" x14ac:dyDescent="0.2"/>
    <row r="43277" hidden="1" x14ac:dyDescent="0.2"/>
    <row r="43278" hidden="1" x14ac:dyDescent="0.2"/>
    <row r="43279" hidden="1" x14ac:dyDescent="0.2"/>
    <row r="43280" hidden="1" x14ac:dyDescent="0.2"/>
    <row r="43281" hidden="1" x14ac:dyDescent="0.2"/>
    <row r="43282" hidden="1" x14ac:dyDescent="0.2"/>
    <row r="43283" hidden="1" x14ac:dyDescent="0.2"/>
    <row r="43284" hidden="1" x14ac:dyDescent="0.2"/>
    <row r="43285" hidden="1" x14ac:dyDescent="0.2"/>
    <row r="43286" hidden="1" x14ac:dyDescent="0.2"/>
    <row r="43287" hidden="1" x14ac:dyDescent="0.2"/>
    <row r="43288" hidden="1" x14ac:dyDescent="0.2"/>
    <row r="43289" hidden="1" x14ac:dyDescent="0.2"/>
    <row r="43290" hidden="1" x14ac:dyDescent="0.2"/>
    <row r="43291" hidden="1" x14ac:dyDescent="0.2"/>
    <row r="43292" hidden="1" x14ac:dyDescent="0.2"/>
    <row r="43293" hidden="1" x14ac:dyDescent="0.2"/>
    <row r="43294" hidden="1" x14ac:dyDescent="0.2"/>
    <row r="43295" hidden="1" x14ac:dyDescent="0.2"/>
    <row r="43296" hidden="1" x14ac:dyDescent="0.2"/>
    <row r="43297" hidden="1" x14ac:dyDescent="0.2"/>
    <row r="43298" hidden="1" x14ac:dyDescent="0.2"/>
    <row r="43299" hidden="1" x14ac:dyDescent="0.2"/>
    <row r="43300" hidden="1" x14ac:dyDescent="0.2"/>
    <row r="43301" hidden="1" x14ac:dyDescent="0.2"/>
    <row r="43302" hidden="1" x14ac:dyDescent="0.2"/>
    <row r="43303" hidden="1" x14ac:dyDescent="0.2"/>
    <row r="43304" hidden="1" x14ac:dyDescent="0.2"/>
    <row r="43305" hidden="1" x14ac:dyDescent="0.2"/>
    <row r="43306" hidden="1" x14ac:dyDescent="0.2"/>
    <row r="43307" hidden="1" x14ac:dyDescent="0.2"/>
    <row r="43308" hidden="1" x14ac:dyDescent="0.2"/>
    <row r="43309" hidden="1" x14ac:dyDescent="0.2"/>
    <row r="43310" hidden="1" x14ac:dyDescent="0.2"/>
    <row r="43311" hidden="1" x14ac:dyDescent="0.2"/>
    <row r="43312" hidden="1" x14ac:dyDescent="0.2"/>
    <row r="43313" hidden="1" x14ac:dyDescent="0.2"/>
    <row r="43314" hidden="1" x14ac:dyDescent="0.2"/>
    <row r="43315" hidden="1" x14ac:dyDescent="0.2"/>
    <row r="43316" hidden="1" x14ac:dyDescent="0.2"/>
    <row r="43317" hidden="1" x14ac:dyDescent="0.2"/>
    <row r="43318" hidden="1" x14ac:dyDescent="0.2"/>
    <row r="43319" hidden="1" x14ac:dyDescent="0.2"/>
    <row r="43320" hidden="1" x14ac:dyDescent="0.2"/>
    <row r="43321" hidden="1" x14ac:dyDescent="0.2"/>
    <row r="43322" hidden="1" x14ac:dyDescent="0.2"/>
    <row r="43323" hidden="1" x14ac:dyDescent="0.2"/>
    <row r="43324" hidden="1" x14ac:dyDescent="0.2"/>
    <row r="43325" hidden="1" x14ac:dyDescent="0.2"/>
    <row r="43326" hidden="1" x14ac:dyDescent="0.2"/>
    <row r="43327" hidden="1" x14ac:dyDescent="0.2"/>
    <row r="43328" hidden="1" x14ac:dyDescent="0.2"/>
    <row r="43329" hidden="1" x14ac:dyDescent="0.2"/>
    <row r="43330" hidden="1" x14ac:dyDescent="0.2"/>
    <row r="43331" hidden="1" x14ac:dyDescent="0.2"/>
    <row r="43332" hidden="1" x14ac:dyDescent="0.2"/>
    <row r="43333" hidden="1" x14ac:dyDescent="0.2"/>
    <row r="43334" hidden="1" x14ac:dyDescent="0.2"/>
    <row r="43335" hidden="1" x14ac:dyDescent="0.2"/>
    <row r="43336" hidden="1" x14ac:dyDescent="0.2"/>
    <row r="43337" hidden="1" x14ac:dyDescent="0.2"/>
    <row r="43338" hidden="1" x14ac:dyDescent="0.2"/>
    <row r="43339" hidden="1" x14ac:dyDescent="0.2"/>
    <row r="43340" hidden="1" x14ac:dyDescent="0.2"/>
    <row r="43341" hidden="1" x14ac:dyDescent="0.2"/>
    <row r="43342" hidden="1" x14ac:dyDescent="0.2"/>
    <row r="43343" hidden="1" x14ac:dyDescent="0.2"/>
    <row r="43344" hidden="1" x14ac:dyDescent="0.2"/>
    <row r="43345" hidden="1" x14ac:dyDescent="0.2"/>
    <row r="43346" hidden="1" x14ac:dyDescent="0.2"/>
    <row r="43347" hidden="1" x14ac:dyDescent="0.2"/>
    <row r="43348" hidden="1" x14ac:dyDescent="0.2"/>
    <row r="43349" hidden="1" x14ac:dyDescent="0.2"/>
    <row r="43350" hidden="1" x14ac:dyDescent="0.2"/>
    <row r="43351" hidden="1" x14ac:dyDescent="0.2"/>
    <row r="43352" hidden="1" x14ac:dyDescent="0.2"/>
    <row r="43353" hidden="1" x14ac:dyDescent="0.2"/>
    <row r="43354" hidden="1" x14ac:dyDescent="0.2"/>
    <row r="43355" hidden="1" x14ac:dyDescent="0.2"/>
    <row r="43356" hidden="1" x14ac:dyDescent="0.2"/>
    <row r="43357" hidden="1" x14ac:dyDescent="0.2"/>
    <row r="43358" hidden="1" x14ac:dyDescent="0.2"/>
    <row r="43359" hidden="1" x14ac:dyDescent="0.2"/>
    <row r="43360" hidden="1" x14ac:dyDescent="0.2"/>
    <row r="43361" hidden="1" x14ac:dyDescent="0.2"/>
    <row r="43362" hidden="1" x14ac:dyDescent="0.2"/>
    <row r="43363" hidden="1" x14ac:dyDescent="0.2"/>
    <row r="43364" hidden="1" x14ac:dyDescent="0.2"/>
    <row r="43365" hidden="1" x14ac:dyDescent="0.2"/>
    <row r="43366" hidden="1" x14ac:dyDescent="0.2"/>
    <row r="43367" hidden="1" x14ac:dyDescent="0.2"/>
    <row r="43368" hidden="1" x14ac:dyDescent="0.2"/>
    <row r="43369" hidden="1" x14ac:dyDescent="0.2"/>
    <row r="43370" hidden="1" x14ac:dyDescent="0.2"/>
    <row r="43371" hidden="1" x14ac:dyDescent="0.2"/>
    <row r="43372" hidden="1" x14ac:dyDescent="0.2"/>
    <row r="43373" hidden="1" x14ac:dyDescent="0.2"/>
    <row r="43374" hidden="1" x14ac:dyDescent="0.2"/>
    <row r="43375" hidden="1" x14ac:dyDescent="0.2"/>
    <row r="43376" hidden="1" x14ac:dyDescent="0.2"/>
    <row r="43377" hidden="1" x14ac:dyDescent="0.2"/>
    <row r="43378" hidden="1" x14ac:dyDescent="0.2"/>
    <row r="43379" hidden="1" x14ac:dyDescent="0.2"/>
    <row r="43380" hidden="1" x14ac:dyDescent="0.2"/>
    <row r="43381" hidden="1" x14ac:dyDescent="0.2"/>
    <row r="43382" hidden="1" x14ac:dyDescent="0.2"/>
    <row r="43383" hidden="1" x14ac:dyDescent="0.2"/>
    <row r="43384" hidden="1" x14ac:dyDescent="0.2"/>
    <row r="43385" hidden="1" x14ac:dyDescent="0.2"/>
    <row r="43386" hidden="1" x14ac:dyDescent="0.2"/>
    <row r="43387" hidden="1" x14ac:dyDescent="0.2"/>
    <row r="43388" hidden="1" x14ac:dyDescent="0.2"/>
    <row r="43389" hidden="1" x14ac:dyDescent="0.2"/>
    <row r="43390" hidden="1" x14ac:dyDescent="0.2"/>
    <row r="43391" hidden="1" x14ac:dyDescent="0.2"/>
    <row r="43392" hidden="1" x14ac:dyDescent="0.2"/>
    <row r="43393" hidden="1" x14ac:dyDescent="0.2"/>
    <row r="43394" hidden="1" x14ac:dyDescent="0.2"/>
    <row r="43395" hidden="1" x14ac:dyDescent="0.2"/>
    <row r="43396" hidden="1" x14ac:dyDescent="0.2"/>
    <row r="43397" hidden="1" x14ac:dyDescent="0.2"/>
    <row r="43398" hidden="1" x14ac:dyDescent="0.2"/>
    <row r="43399" hidden="1" x14ac:dyDescent="0.2"/>
    <row r="43400" hidden="1" x14ac:dyDescent="0.2"/>
    <row r="43401" hidden="1" x14ac:dyDescent="0.2"/>
    <row r="43402" hidden="1" x14ac:dyDescent="0.2"/>
    <row r="43403" hidden="1" x14ac:dyDescent="0.2"/>
    <row r="43404" hidden="1" x14ac:dyDescent="0.2"/>
    <row r="43405" hidden="1" x14ac:dyDescent="0.2"/>
    <row r="43406" hidden="1" x14ac:dyDescent="0.2"/>
    <row r="43407" hidden="1" x14ac:dyDescent="0.2"/>
    <row r="43408" hidden="1" x14ac:dyDescent="0.2"/>
    <row r="43409" hidden="1" x14ac:dyDescent="0.2"/>
    <row r="43410" hidden="1" x14ac:dyDescent="0.2"/>
    <row r="43411" hidden="1" x14ac:dyDescent="0.2"/>
    <row r="43412" hidden="1" x14ac:dyDescent="0.2"/>
    <row r="43413" hidden="1" x14ac:dyDescent="0.2"/>
    <row r="43414" hidden="1" x14ac:dyDescent="0.2"/>
    <row r="43415" hidden="1" x14ac:dyDescent="0.2"/>
    <row r="43416" hidden="1" x14ac:dyDescent="0.2"/>
    <row r="43417" hidden="1" x14ac:dyDescent="0.2"/>
    <row r="43418" hidden="1" x14ac:dyDescent="0.2"/>
    <row r="43419" hidden="1" x14ac:dyDescent="0.2"/>
    <row r="43420" hidden="1" x14ac:dyDescent="0.2"/>
    <row r="43421" hidden="1" x14ac:dyDescent="0.2"/>
    <row r="43422" hidden="1" x14ac:dyDescent="0.2"/>
    <row r="43423" hidden="1" x14ac:dyDescent="0.2"/>
    <row r="43424" hidden="1" x14ac:dyDescent="0.2"/>
    <row r="43425" hidden="1" x14ac:dyDescent="0.2"/>
    <row r="43426" hidden="1" x14ac:dyDescent="0.2"/>
    <row r="43427" hidden="1" x14ac:dyDescent="0.2"/>
    <row r="43428" hidden="1" x14ac:dyDescent="0.2"/>
    <row r="43429" hidden="1" x14ac:dyDescent="0.2"/>
    <row r="43430" hidden="1" x14ac:dyDescent="0.2"/>
    <row r="43431" hidden="1" x14ac:dyDescent="0.2"/>
    <row r="43432" hidden="1" x14ac:dyDescent="0.2"/>
    <row r="43433" hidden="1" x14ac:dyDescent="0.2"/>
    <row r="43434" hidden="1" x14ac:dyDescent="0.2"/>
    <row r="43435" hidden="1" x14ac:dyDescent="0.2"/>
    <row r="43436" hidden="1" x14ac:dyDescent="0.2"/>
    <row r="43437" hidden="1" x14ac:dyDescent="0.2"/>
    <row r="43438" hidden="1" x14ac:dyDescent="0.2"/>
    <row r="43439" hidden="1" x14ac:dyDescent="0.2"/>
    <row r="43440" hidden="1" x14ac:dyDescent="0.2"/>
    <row r="43441" hidden="1" x14ac:dyDescent="0.2"/>
    <row r="43442" hidden="1" x14ac:dyDescent="0.2"/>
    <row r="43443" hidden="1" x14ac:dyDescent="0.2"/>
    <row r="43444" hidden="1" x14ac:dyDescent="0.2"/>
    <row r="43445" hidden="1" x14ac:dyDescent="0.2"/>
    <row r="43446" hidden="1" x14ac:dyDescent="0.2"/>
    <row r="43447" hidden="1" x14ac:dyDescent="0.2"/>
    <row r="43448" hidden="1" x14ac:dyDescent="0.2"/>
    <row r="43449" hidden="1" x14ac:dyDescent="0.2"/>
    <row r="43450" hidden="1" x14ac:dyDescent="0.2"/>
    <row r="43451" hidden="1" x14ac:dyDescent="0.2"/>
    <row r="43452" hidden="1" x14ac:dyDescent="0.2"/>
    <row r="43453" hidden="1" x14ac:dyDescent="0.2"/>
    <row r="43454" hidden="1" x14ac:dyDescent="0.2"/>
    <row r="43455" hidden="1" x14ac:dyDescent="0.2"/>
    <row r="43456" hidden="1" x14ac:dyDescent="0.2"/>
    <row r="43457" hidden="1" x14ac:dyDescent="0.2"/>
    <row r="43458" hidden="1" x14ac:dyDescent="0.2"/>
    <row r="43459" hidden="1" x14ac:dyDescent="0.2"/>
    <row r="43460" hidden="1" x14ac:dyDescent="0.2"/>
    <row r="43461" hidden="1" x14ac:dyDescent="0.2"/>
    <row r="43462" hidden="1" x14ac:dyDescent="0.2"/>
    <row r="43463" hidden="1" x14ac:dyDescent="0.2"/>
    <row r="43464" hidden="1" x14ac:dyDescent="0.2"/>
    <row r="43465" hidden="1" x14ac:dyDescent="0.2"/>
    <row r="43466" hidden="1" x14ac:dyDescent="0.2"/>
    <row r="43467" hidden="1" x14ac:dyDescent="0.2"/>
    <row r="43468" hidden="1" x14ac:dyDescent="0.2"/>
    <row r="43469" hidden="1" x14ac:dyDescent="0.2"/>
    <row r="43470" hidden="1" x14ac:dyDescent="0.2"/>
    <row r="43471" hidden="1" x14ac:dyDescent="0.2"/>
    <row r="43472" hidden="1" x14ac:dyDescent="0.2"/>
    <row r="43473" hidden="1" x14ac:dyDescent="0.2"/>
    <row r="43474" hidden="1" x14ac:dyDescent="0.2"/>
    <row r="43475" hidden="1" x14ac:dyDescent="0.2"/>
    <row r="43476" hidden="1" x14ac:dyDescent="0.2"/>
    <row r="43477" hidden="1" x14ac:dyDescent="0.2"/>
    <row r="43478" hidden="1" x14ac:dyDescent="0.2"/>
    <row r="43479" hidden="1" x14ac:dyDescent="0.2"/>
    <row r="43480" hidden="1" x14ac:dyDescent="0.2"/>
    <row r="43481" hidden="1" x14ac:dyDescent="0.2"/>
    <row r="43482" hidden="1" x14ac:dyDescent="0.2"/>
    <row r="43483" hidden="1" x14ac:dyDescent="0.2"/>
    <row r="43484" hidden="1" x14ac:dyDescent="0.2"/>
    <row r="43485" hidden="1" x14ac:dyDescent="0.2"/>
    <row r="43486" hidden="1" x14ac:dyDescent="0.2"/>
    <row r="43487" hidden="1" x14ac:dyDescent="0.2"/>
    <row r="43488" hidden="1" x14ac:dyDescent="0.2"/>
    <row r="43489" hidden="1" x14ac:dyDescent="0.2"/>
    <row r="43490" hidden="1" x14ac:dyDescent="0.2"/>
    <row r="43491" hidden="1" x14ac:dyDescent="0.2"/>
    <row r="43492" hidden="1" x14ac:dyDescent="0.2"/>
    <row r="43493" hidden="1" x14ac:dyDescent="0.2"/>
    <row r="43494" hidden="1" x14ac:dyDescent="0.2"/>
    <row r="43495" hidden="1" x14ac:dyDescent="0.2"/>
    <row r="43496" hidden="1" x14ac:dyDescent="0.2"/>
    <row r="43497" hidden="1" x14ac:dyDescent="0.2"/>
    <row r="43498" hidden="1" x14ac:dyDescent="0.2"/>
    <row r="43499" hidden="1" x14ac:dyDescent="0.2"/>
    <row r="43500" hidden="1" x14ac:dyDescent="0.2"/>
    <row r="43501" hidden="1" x14ac:dyDescent="0.2"/>
    <row r="43502" hidden="1" x14ac:dyDescent="0.2"/>
    <row r="43503" hidden="1" x14ac:dyDescent="0.2"/>
    <row r="43504" hidden="1" x14ac:dyDescent="0.2"/>
    <row r="43505" hidden="1" x14ac:dyDescent="0.2"/>
    <row r="43506" hidden="1" x14ac:dyDescent="0.2"/>
    <row r="43507" hidden="1" x14ac:dyDescent="0.2"/>
    <row r="43508" hidden="1" x14ac:dyDescent="0.2"/>
    <row r="43509" hidden="1" x14ac:dyDescent="0.2"/>
    <row r="43510" hidden="1" x14ac:dyDescent="0.2"/>
    <row r="43511" hidden="1" x14ac:dyDescent="0.2"/>
    <row r="43512" hidden="1" x14ac:dyDescent="0.2"/>
    <row r="43513" hidden="1" x14ac:dyDescent="0.2"/>
    <row r="43514" hidden="1" x14ac:dyDescent="0.2"/>
    <row r="43515" hidden="1" x14ac:dyDescent="0.2"/>
    <row r="43516" hidden="1" x14ac:dyDescent="0.2"/>
    <row r="43517" hidden="1" x14ac:dyDescent="0.2"/>
    <row r="43518" hidden="1" x14ac:dyDescent="0.2"/>
    <row r="43519" hidden="1" x14ac:dyDescent="0.2"/>
    <row r="43520" hidden="1" x14ac:dyDescent="0.2"/>
    <row r="43521" hidden="1" x14ac:dyDescent="0.2"/>
    <row r="43522" hidden="1" x14ac:dyDescent="0.2"/>
    <row r="43523" hidden="1" x14ac:dyDescent="0.2"/>
    <row r="43524" hidden="1" x14ac:dyDescent="0.2"/>
    <row r="43525" hidden="1" x14ac:dyDescent="0.2"/>
    <row r="43526" hidden="1" x14ac:dyDescent="0.2"/>
    <row r="43527" hidden="1" x14ac:dyDescent="0.2"/>
    <row r="43528" hidden="1" x14ac:dyDescent="0.2"/>
    <row r="43529" hidden="1" x14ac:dyDescent="0.2"/>
    <row r="43530" hidden="1" x14ac:dyDescent="0.2"/>
    <row r="43531" hidden="1" x14ac:dyDescent="0.2"/>
    <row r="43532" hidden="1" x14ac:dyDescent="0.2"/>
    <row r="43533" hidden="1" x14ac:dyDescent="0.2"/>
    <row r="43534" hidden="1" x14ac:dyDescent="0.2"/>
    <row r="43535" hidden="1" x14ac:dyDescent="0.2"/>
    <row r="43536" hidden="1" x14ac:dyDescent="0.2"/>
    <row r="43537" hidden="1" x14ac:dyDescent="0.2"/>
    <row r="43538" hidden="1" x14ac:dyDescent="0.2"/>
    <row r="43539" hidden="1" x14ac:dyDescent="0.2"/>
    <row r="43540" hidden="1" x14ac:dyDescent="0.2"/>
    <row r="43541" hidden="1" x14ac:dyDescent="0.2"/>
    <row r="43542" hidden="1" x14ac:dyDescent="0.2"/>
    <row r="43543" hidden="1" x14ac:dyDescent="0.2"/>
    <row r="43544" hidden="1" x14ac:dyDescent="0.2"/>
    <row r="43545" hidden="1" x14ac:dyDescent="0.2"/>
    <row r="43546" hidden="1" x14ac:dyDescent="0.2"/>
    <row r="43547" hidden="1" x14ac:dyDescent="0.2"/>
    <row r="43548" hidden="1" x14ac:dyDescent="0.2"/>
    <row r="43549" hidden="1" x14ac:dyDescent="0.2"/>
    <row r="43550" hidden="1" x14ac:dyDescent="0.2"/>
    <row r="43551" hidden="1" x14ac:dyDescent="0.2"/>
    <row r="43552" hidden="1" x14ac:dyDescent="0.2"/>
    <row r="43553" hidden="1" x14ac:dyDescent="0.2"/>
    <row r="43554" hidden="1" x14ac:dyDescent="0.2"/>
    <row r="43555" hidden="1" x14ac:dyDescent="0.2"/>
    <row r="43556" hidden="1" x14ac:dyDescent="0.2"/>
    <row r="43557" hidden="1" x14ac:dyDescent="0.2"/>
    <row r="43558" hidden="1" x14ac:dyDescent="0.2"/>
    <row r="43559" hidden="1" x14ac:dyDescent="0.2"/>
    <row r="43560" hidden="1" x14ac:dyDescent="0.2"/>
    <row r="43561" hidden="1" x14ac:dyDescent="0.2"/>
    <row r="43562" hidden="1" x14ac:dyDescent="0.2"/>
    <row r="43563" hidden="1" x14ac:dyDescent="0.2"/>
    <row r="43564" hidden="1" x14ac:dyDescent="0.2"/>
    <row r="43565" hidden="1" x14ac:dyDescent="0.2"/>
    <row r="43566" hidden="1" x14ac:dyDescent="0.2"/>
    <row r="43567" hidden="1" x14ac:dyDescent="0.2"/>
    <row r="43568" hidden="1" x14ac:dyDescent="0.2"/>
    <row r="43569" hidden="1" x14ac:dyDescent="0.2"/>
    <row r="43570" hidden="1" x14ac:dyDescent="0.2"/>
    <row r="43571" hidden="1" x14ac:dyDescent="0.2"/>
    <row r="43572" hidden="1" x14ac:dyDescent="0.2"/>
    <row r="43573" hidden="1" x14ac:dyDescent="0.2"/>
    <row r="43574" hidden="1" x14ac:dyDescent="0.2"/>
    <row r="43575" hidden="1" x14ac:dyDescent="0.2"/>
    <row r="43576" hidden="1" x14ac:dyDescent="0.2"/>
    <row r="43577" hidden="1" x14ac:dyDescent="0.2"/>
    <row r="43578" hidden="1" x14ac:dyDescent="0.2"/>
    <row r="43579" hidden="1" x14ac:dyDescent="0.2"/>
    <row r="43580" hidden="1" x14ac:dyDescent="0.2"/>
    <row r="43581" hidden="1" x14ac:dyDescent="0.2"/>
    <row r="43582" hidden="1" x14ac:dyDescent="0.2"/>
    <row r="43583" hidden="1" x14ac:dyDescent="0.2"/>
    <row r="43584" hidden="1" x14ac:dyDescent="0.2"/>
    <row r="43585" hidden="1" x14ac:dyDescent="0.2"/>
    <row r="43586" hidden="1" x14ac:dyDescent="0.2"/>
    <row r="43587" hidden="1" x14ac:dyDescent="0.2"/>
    <row r="43588" hidden="1" x14ac:dyDescent="0.2"/>
    <row r="43589" hidden="1" x14ac:dyDescent="0.2"/>
    <row r="43590" hidden="1" x14ac:dyDescent="0.2"/>
    <row r="43591" hidden="1" x14ac:dyDescent="0.2"/>
    <row r="43592" hidden="1" x14ac:dyDescent="0.2"/>
    <row r="43593" hidden="1" x14ac:dyDescent="0.2"/>
    <row r="43594" hidden="1" x14ac:dyDescent="0.2"/>
    <row r="43595" hidden="1" x14ac:dyDescent="0.2"/>
    <row r="43596" hidden="1" x14ac:dyDescent="0.2"/>
    <row r="43597" hidden="1" x14ac:dyDescent="0.2"/>
    <row r="43598" hidden="1" x14ac:dyDescent="0.2"/>
    <row r="43599" hidden="1" x14ac:dyDescent="0.2"/>
    <row r="43600" hidden="1" x14ac:dyDescent="0.2"/>
    <row r="43601" hidden="1" x14ac:dyDescent="0.2"/>
    <row r="43602" hidden="1" x14ac:dyDescent="0.2"/>
    <row r="43603" hidden="1" x14ac:dyDescent="0.2"/>
    <row r="43604" hidden="1" x14ac:dyDescent="0.2"/>
    <row r="43605" hidden="1" x14ac:dyDescent="0.2"/>
    <row r="43606" hidden="1" x14ac:dyDescent="0.2"/>
    <row r="43607" hidden="1" x14ac:dyDescent="0.2"/>
    <row r="43608" hidden="1" x14ac:dyDescent="0.2"/>
    <row r="43609" hidden="1" x14ac:dyDescent="0.2"/>
    <row r="43610" hidden="1" x14ac:dyDescent="0.2"/>
    <row r="43611" hidden="1" x14ac:dyDescent="0.2"/>
    <row r="43612" hidden="1" x14ac:dyDescent="0.2"/>
    <row r="43613" hidden="1" x14ac:dyDescent="0.2"/>
    <row r="43614" hidden="1" x14ac:dyDescent="0.2"/>
    <row r="43615" hidden="1" x14ac:dyDescent="0.2"/>
    <row r="43616" hidden="1" x14ac:dyDescent="0.2"/>
    <row r="43617" hidden="1" x14ac:dyDescent="0.2"/>
    <row r="43618" hidden="1" x14ac:dyDescent="0.2"/>
    <row r="43619" hidden="1" x14ac:dyDescent="0.2"/>
    <row r="43620" hidden="1" x14ac:dyDescent="0.2"/>
    <row r="43621" hidden="1" x14ac:dyDescent="0.2"/>
    <row r="43622" hidden="1" x14ac:dyDescent="0.2"/>
    <row r="43623" hidden="1" x14ac:dyDescent="0.2"/>
    <row r="43624" hidden="1" x14ac:dyDescent="0.2"/>
    <row r="43625" hidden="1" x14ac:dyDescent="0.2"/>
    <row r="43626" hidden="1" x14ac:dyDescent="0.2"/>
    <row r="43627" hidden="1" x14ac:dyDescent="0.2"/>
    <row r="43628" hidden="1" x14ac:dyDescent="0.2"/>
    <row r="43629" hidden="1" x14ac:dyDescent="0.2"/>
    <row r="43630" hidden="1" x14ac:dyDescent="0.2"/>
    <row r="43631" hidden="1" x14ac:dyDescent="0.2"/>
    <row r="43632" hidden="1" x14ac:dyDescent="0.2"/>
    <row r="43633" hidden="1" x14ac:dyDescent="0.2"/>
    <row r="43634" hidden="1" x14ac:dyDescent="0.2"/>
    <row r="43635" hidden="1" x14ac:dyDescent="0.2"/>
    <row r="43636" hidden="1" x14ac:dyDescent="0.2"/>
    <row r="43637" hidden="1" x14ac:dyDescent="0.2"/>
    <row r="43638" hidden="1" x14ac:dyDescent="0.2"/>
    <row r="43639" hidden="1" x14ac:dyDescent="0.2"/>
    <row r="43640" hidden="1" x14ac:dyDescent="0.2"/>
    <row r="43641" hidden="1" x14ac:dyDescent="0.2"/>
    <row r="43642" hidden="1" x14ac:dyDescent="0.2"/>
    <row r="43643" hidden="1" x14ac:dyDescent="0.2"/>
    <row r="43644" hidden="1" x14ac:dyDescent="0.2"/>
    <row r="43645" hidden="1" x14ac:dyDescent="0.2"/>
    <row r="43646" hidden="1" x14ac:dyDescent="0.2"/>
    <row r="43647" hidden="1" x14ac:dyDescent="0.2"/>
    <row r="43648" hidden="1" x14ac:dyDescent="0.2"/>
    <row r="43649" hidden="1" x14ac:dyDescent="0.2"/>
    <row r="43650" hidden="1" x14ac:dyDescent="0.2"/>
    <row r="43651" hidden="1" x14ac:dyDescent="0.2"/>
    <row r="43652" hidden="1" x14ac:dyDescent="0.2"/>
    <row r="43653" hidden="1" x14ac:dyDescent="0.2"/>
    <row r="43654" hidden="1" x14ac:dyDescent="0.2"/>
    <row r="43655" hidden="1" x14ac:dyDescent="0.2"/>
    <row r="43656" hidden="1" x14ac:dyDescent="0.2"/>
    <row r="43657" hidden="1" x14ac:dyDescent="0.2"/>
    <row r="43658" hidden="1" x14ac:dyDescent="0.2"/>
    <row r="43659" hidden="1" x14ac:dyDescent="0.2"/>
    <row r="43660" hidden="1" x14ac:dyDescent="0.2"/>
    <row r="43661" hidden="1" x14ac:dyDescent="0.2"/>
    <row r="43662" hidden="1" x14ac:dyDescent="0.2"/>
    <row r="43663" hidden="1" x14ac:dyDescent="0.2"/>
    <row r="43664" hidden="1" x14ac:dyDescent="0.2"/>
    <row r="43665" hidden="1" x14ac:dyDescent="0.2"/>
    <row r="43666" hidden="1" x14ac:dyDescent="0.2"/>
    <row r="43667" hidden="1" x14ac:dyDescent="0.2"/>
    <row r="43668" hidden="1" x14ac:dyDescent="0.2"/>
    <row r="43669" hidden="1" x14ac:dyDescent="0.2"/>
    <row r="43670" hidden="1" x14ac:dyDescent="0.2"/>
    <row r="43671" hidden="1" x14ac:dyDescent="0.2"/>
    <row r="43672" hidden="1" x14ac:dyDescent="0.2"/>
    <row r="43673" hidden="1" x14ac:dyDescent="0.2"/>
    <row r="43674" hidden="1" x14ac:dyDescent="0.2"/>
    <row r="43675" hidden="1" x14ac:dyDescent="0.2"/>
    <row r="43676" hidden="1" x14ac:dyDescent="0.2"/>
    <row r="43677" hidden="1" x14ac:dyDescent="0.2"/>
    <row r="43678" hidden="1" x14ac:dyDescent="0.2"/>
    <row r="43679" hidden="1" x14ac:dyDescent="0.2"/>
    <row r="43680" hidden="1" x14ac:dyDescent="0.2"/>
    <row r="43681" hidden="1" x14ac:dyDescent="0.2"/>
    <row r="43682" hidden="1" x14ac:dyDescent="0.2"/>
    <row r="43683" hidden="1" x14ac:dyDescent="0.2"/>
    <row r="43684" hidden="1" x14ac:dyDescent="0.2"/>
    <row r="43685" hidden="1" x14ac:dyDescent="0.2"/>
    <row r="43686" hidden="1" x14ac:dyDescent="0.2"/>
    <row r="43687" hidden="1" x14ac:dyDescent="0.2"/>
    <row r="43688" hidden="1" x14ac:dyDescent="0.2"/>
    <row r="43689" hidden="1" x14ac:dyDescent="0.2"/>
    <row r="43690" hidden="1" x14ac:dyDescent="0.2"/>
    <row r="43691" hidden="1" x14ac:dyDescent="0.2"/>
    <row r="43692" hidden="1" x14ac:dyDescent="0.2"/>
    <row r="43693" hidden="1" x14ac:dyDescent="0.2"/>
    <row r="43694" hidden="1" x14ac:dyDescent="0.2"/>
    <row r="43695" hidden="1" x14ac:dyDescent="0.2"/>
    <row r="43696" hidden="1" x14ac:dyDescent="0.2"/>
    <row r="43697" hidden="1" x14ac:dyDescent="0.2"/>
    <row r="43698" hidden="1" x14ac:dyDescent="0.2"/>
    <row r="43699" hidden="1" x14ac:dyDescent="0.2"/>
    <row r="43700" hidden="1" x14ac:dyDescent="0.2"/>
    <row r="43701" hidden="1" x14ac:dyDescent="0.2"/>
    <row r="43702" hidden="1" x14ac:dyDescent="0.2"/>
    <row r="43703" hidden="1" x14ac:dyDescent="0.2"/>
    <row r="43704" hidden="1" x14ac:dyDescent="0.2"/>
    <row r="43705" hidden="1" x14ac:dyDescent="0.2"/>
    <row r="43706" hidden="1" x14ac:dyDescent="0.2"/>
    <row r="43707" hidden="1" x14ac:dyDescent="0.2"/>
    <row r="43708" hidden="1" x14ac:dyDescent="0.2"/>
    <row r="43709" hidden="1" x14ac:dyDescent="0.2"/>
    <row r="43710" hidden="1" x14ac:dyDescent="0.2"/>
    <row r="43711" hidden="1" x14ac:dyDescent="0.2"/>
    <row r="43712" hidden="1" x14ac:dyDescent="0.2"/>
    <row r="43713" hidden="1" x14ac:dyDescent="0.2"/>
    <row r="43714" hidden="1" x14ac:dyDescent="0.2"/>
    <row r="43715" hidden="1" x14ac:dyDescent="0.2"/>
    <row r="43716" hidden="1" x14ac:dyDescent="0.2"/>
    <row r="43717" hidden="1" x14ac:dyDescent="0.2"/>
    <row r="43718" hidden="1" x14ac:dyDescent="0.2"/>
    <row r="43719" hidden="1" x14ac:dyDescent="0.2"/>
    <row r="43720" hidden="1" x14ac:dyDescent="0.2"/>
    <row r="43721" hidden="1" x14ac:dyDescent="0.2"/>
    <row r="43722" hidden="1" x14ac:dyDescent="0.2"/>
    <row r="43723" hidden="1" x14ac:dyDescent="0.2"/>
    <row r="43724" hidden="1" x14ac:dyDescent="0.2"/>
    <row r="43725" hidden="1" x14ac:dyDescent="0.2"/>
    <row r="43726" hidden="1" x14ac:dyDescent="0.2"/>
    <row r="43727" hidden="1" x14ac:dyDescent="0.2"/>
    <row r="43728" hidden="1" x14ac:dyDescent="0.2"/>
    <row r="43729" hidden="1" x14ac:dyDescent="0.2"/>
    <row r="43730" hidden="1" x14ac:dyDescent="0.2"/>
    <row r="43731" hidden="1" x14ac:dyDescent="0.2"/>
    <row r="43732" hidden="1" x14ac:dyDescent="0.2"/>
    <row r="43733" hidden="1" x14ac:dyDescent="0.2"/>
    <row r="43734" hidden="1" x14ac:dyDescent="0.2"/>
    <row r="43735" hidden="1" x14ac:dyDescent="0.2"/>
    <row r="43736" hidden="1" x14ac:dyDescent="0.2"/>
    <row r="43737" hidden="1" x14ac:dyDescent="0.2"/>
    <row r="43738" hidden="1" x14ac:dyDescent="0.2"/>
    <row r="43739" hidden="1" x14ac:dyDescent="0.2"/>
    <row r="43740" hidden="1" x14ac:dyDescent="0.2"/>
    <row r="43741" hidden="1" x14ac:dyDescent="0.2"/>
    <row r="43742" hidden="1" x14ac:dyDescent="0.2"/>
    <row r="43743" hidden="1" x14ac:dyDescent="0.2"/>
    <row r="43744" hidden="1" x14ac:dyDescent="0.2"/>
    <row r="43745" hidden="1" x14ac:dyDescent="0.2"/>
    <row r="43746" hidden="1" x14ac:dyDescent="0.2"/>
    <row r="43747" hidden="1" x14ac:dyDescent="0.2"/>
    <row r="43748" hidden="1" x14ac:dyDescent="0.2"/>
    <row r="43749" hidden="1" x14ac:dyDescent="0.2"/>
    <row r="43750" hidden="1" x14ac:dyDescent="0.2"/>
    <row r="43751" hidden="1" x14ac:dyDescent="0.2"/>
    <row r="43752" hidden="1" x14ac:dyDescent="0.2"/>
    <row r="43753" hidden="1" x14ac:dyDescent="0.2"/>
    <row r="43754" hidden="1" x14ac:dyDescent="0.2"/>
    <row r="43755" hidden="1" x14ac:dyDescent="0.2"/>
    <row r="43756" hidden="1" x14ac:dyDescent="0.2"/>
    <row r="43757" hidden="1" x14ac:dyDescent="0.2"/>
    <row r="43758" hidden="1" x14ac:dyDescent="0.2"/>
    <row r="43759" hidden="1" x14ac:dyDescent="0.2"/>
    <row r="43760" hidden="1" x14ac:dyDescent="0.2"/>
    <row r="43761" hidden="1" x14ac:dyDescent="0.2"/>
    <row r="43762" hidden="1" x14ac:dyDescent="0.2"/>
    <row r="43763" hidden="1" x14ac:dyDescent="0.2"/>
    <row r="43764" hidden="1" x14ac:dyDescent="0.2"/>
    <row r="43765" hidden="1" x14ac:dyDescent="0.2"/>
    <row r="43766" hidden="1" x14ac:dyDescent="0.2"/>
    <row r="43767" hidden="1" x14ac:dyDescent="0.2"/>
    <row r="43768" hidden="1" x14ac:dyDescent="0.2"/>
    <row r="43769" hidden="1" x14ac:dyDescent="0.2"/>
    <row r="43770" hidden="1" x14ac:dyDescent="0.2"/>
    <row r="43771" hidden="1" x14ac:dyDescent="0.2"/>
    <row r="43772" hidden="1" x14ac:dyDescent="0.2"/>
    <row r="43773" hidden="1" x14ac:dyDescent="0.2"/>
    <row r="43774" hidden="1" x14ac:dyDescent="0.2"/>
    <row r="43775" hidden="1" x14ac:dyDescent="0.2"/>
    <row r="43776" hidden="1" x14ac:dyDescent="0.2"/>
    <row r="43777" hidden="1" x14ac:dyDescent="0.2"/>
    <row r="43778" hidden="1" x14ac:dyDescent="0.2"/>
    <row r="43779" hidden="1" x14ac:dyDescent="0.2"/>
    <row r="43780" hidden="1" x14ac:dyDescent="0.2"/>
    <row r="43781" hidden="1" x14ac:dyDescent="0.2"/>
    <row r="43782" hidden="1" x14ac:dyDescent="0.2"/>
    <row r="43783" hidden="1" x14ac:dyDescent="0.2"/>
    <row r="43784" hidden="1" x14ac:dyDescent="0.2"/>
    <row r="43785" hidden="1" x14ac:dyDescent="0.2"/>
    <row r="43786" hidden="1" x14ac:dyDescent="0.2"/>
    <row r="43787" hidden="1" x14ac:dyDescent="0.2"/>
    <row r="43788" hidden="1" x14ac:dyDescent="0.2"/>
    <row r="43789" hidden="1" x14ac:dyDescent="0.2"/>
    <row r="43790" hidden="1" x14ac:dyDescent="0.2"/>
    <row r="43791" hidden="1" x14ac:dyDescent="0.2"/>
    <row r="43792" hidden="1" x14ac:dyDescent="0.2"/>
    <row r="43793" hidden="1" x14ac:dyDescent="0.2"/>
    <row r="43794" hidden="1" x14ac:dyDescent="0.2"/>
    <row r="43795" hidden="1" x14ac:dyDescent="0.2"/>
    <row r="43796" hidden="1" x14ac:dyDescent="0.2"/>
    <row r="43797" hidden="1" x14ac:dyDescent="0.2"/>
    <row r="43798" hidden="1" x14ac:dyDescent="0.2"/>
    <row r="43799" hidden="1" x14ac:dyDescent="0.2"/>
    <row r="43800" hidden="1" x14ac:dyDescent="0.2"/>
    <row r="43801" hidden="1" x14ac:dyDescent="0.2"/>
    <row r="43802" hidden="1" x14ac:dyDescent="0.2"/>
    <row r="43803" hidden="1" x14ac:dyDescent="0.2"/>
    <row r="43804" hidden="1" x14ac:dyDescent="0.2"/>
    <row r="43805" hidden="1" x14ac:dyDescent="0.2"/>
    <row r="43806" hidden="1" x14ac:dyDescent="0.2"/>
    <row r="43807" hidden="1" x14ac:dyDescent="0.2"/>
    <row r="43808" hidden="1" x14ac:dyDescent="0.2"/>
    <row r="43809" hidden="1" x14ac:dyDescent="0.2"/>
    <row r="43810" hidden="1" x14ac:dyDescent="0.2"/>
    <row r="43811" hidden="1" x14ac:dyDescent="0.2"/>
    <row r="43812" hidden="1" x14ac:dyDescent="0.2"/>
    <row r="43813" hidden="1" x14ac:dyDescent="0.2"/>
    <row r="43814" hidden="1" x14ac:dyDescent="0.2"/>
    <row r="43815" hidden="1" x14ac:dyDescent="0.2"/>
    <row r="43816" hidden="1" x14ac:dyDescent="0.2"/>
    <row r="43817" hidden="1" x14ac:dyDescent="0.2"/>
    <row r="43818" hidden="1" x14ac:dyDescent="0.2"/>
    <row r="43819" hidden="1" x14ac:dyDescent="0.2"/>
    <row r="43820" hidden="1" x14ac:dyDescent="0.2"/>
    <row r="43821" hidden="1" x14ac:dyDescent="0.2"/>
    <row r="43822" hidden="1" x14ac:dyDescent="0.2"/>
    <row r="43823" hidden="1" x14ac:dyDescent="0.2"/>
    <row r="43824" hidden="1" x14ac:dyDescent="0.2"/>
    <row r="43825" hidden="1" x14ac:dyDescent="0.2"/>
    <row r="43826" hidden="1" x14ac:dyDescent="0.2"/>
    <row r="43827" hidden="1" x14ac:dyDescent="0.2"/>
    <row r="43828" hidden="1" x14ac:dyDescent="0.2"/>
    <row r="43829" hidden="1" x14ac:dyDescent="0.2"/>
    <row r="43830" hidden="1" x14ac:dyDescent="0.2"/>
    <row r="43831" hidden="1" x14ac:dyDescent="0.2"/>
    <row r="43832" hidden="1" x14ac:dyDescent="0.2"/>
    <row r="43833" hidden="1" x14ac:dyDescent="0.2"/>
    <row r="43834" hidden="1" x14ac:dyDescent="0.2"/>
    <row r="43835" hidden="1" x14ac:dyDescent="0.2"/>
    <row r="43836" hidden="1" x14ac:dyDescent="0.2"/>
    <row r="43837" hidden="1" x14ac:dyDescent="0.2"/>
    <row r="43838" hidden="1" x14ac:dyDescent="0.2"/>
    <row r="43839" hidden="1" x14ac:dyDescent="0.2"/>
    <row r="43840" hidden="1" x14ac:dyDescent="0.2"/>
    <row r="43841" hidden="1" x14ac:dyDescent="0.2"/>
    <row r="43842" hidden="1" x14ac:dyDescent="0.2"/>
    <row r="43843" hidden="1" x14ac:dyDescent="0.2"/>
    <row r="43844" hidden="1" x14ac:dyDescent="0.2"/>
    <row r="43845" hidden="1" x14ac:dyDescent="0.2"/>
    <row r="43846" hidden="1" x14ac:dyDescent="0.2"/>
    <row r="43847" hidden="1" x14ac:dyDescent="0.2"/>
    <row r="43848" hidden="1" x14ac:dyDescent="0.2"/>
    <row r="43849" hidden="1" x14ac:dyDescent="0.2"/>
    <row r="43850" hidden="1" x14ac:dyDescent="0.2"/>
    <row r="43851" hidden="1" x14ac:dyDescent="0.2"/>
    <row r="43852" hidden="1" x14ac:dyDescent="0.2"/>
    <row r="43853" hidden="1" x14ac:dyDescent="0.2"/>
    <row r="43854" hidden="1" x14ac:dyDescent="0.2"/>
    <row r="43855" hidden="1" x14ac:dyDescent="0.2"/>
    <row r="43856" hidden="1" x14ac:dyDescent="0.2"/>
    <row r="43857" hidden="1" x14ac:dyDescent="0.2"/>
    <row r="43858" hidden="1" x14ac:dyDescent="0.2"/>
    <row r="43859" hidden="1" x14ac:dyDescent="0.2"/>
    <row r="43860" hidden="1" x14ac:dyDescent="0.2"/>
    <row r="43861" hidden="1" x14ac:dyDescent="0.2"/>
    <row r="43862" hidden="1" x14ac:dyDescent="0.2"/>
    <row r="43863" hidden="1" x14ac:dyDescent="0.2"/>
    <row r="43864" hidden="1" x14ac:dyDescent="0.2"/>
    <row r="43865" hidden="1" x14ac:dyDescent="0.2"/>
    <row r="43866" hidden="1" x14ac:dyDescent="0.2"/>
    <row r="43867" hidden="1" x14ac:dyDescent="0.2"/>
    <row r="43868" hidden="1" x14ac:dyDescent="0.2"/>
    <row r="43869" hidden="1" x14ac:dyDescent="0.2"/>
    <row r="43870" hidden="1" x14ac:dyDescent="0.2"/>
    <row r="43871" hidden="1" x14ac:dyDescent="0.2"/>
    <row r="43872" hidden="1" x14ac:dyDescent="0.2"/>
    <row r="43873" hidden="1" x14ac:dyDescent="0.2"/>
    <row r="43874" hidden="1" x14ac:dyDescent="0.2"/>
    <row r="43875" hidden="1" x14ac:dyDescent="0.2"/>
    <row r="43876" hidden="1" x14ac:dyDescent="0.2"/>
    <row r="43877" hidden="1" x14ac:dyDescent="0.2"/>
    <row r="43878" hidden="1" x14ac:dyDescent="0.2"/>
    <row r="43879" hidden="1" x14ac:dyDescent="0.2"/>
    <row r="43880" hidden="1" x14ac:dyDescent="0.2"/>
    <row r="43881" hidden="1" x14ac:dyDescent="0.2"/>
    <row r="43882" hidden="1" x14ac:dyDescent="0.2"/>
    <row r="43883" hidden="1" x14ac:dyDescent="0.2"/>
    <row r="43884" hidden="1" x14ac:dyDescent="0.2"/>
    <row r="43885" hidden="1" x14ac:dyDescent="0.2"/>
    <row r="43886" hidden="1" x14ac:dyDescent="0.2"/>
    <row r="43887" hidden="1" x14ac:dyDescent="0.2"/>
    <row r="43888" hidden="1" x14ac:dyDescent="0.2"/>
    <row r="43889" hidden="1" x14ac:dyDescent="0.2"/>
    <row r="43890" hidden="1" x14ac:dyDescent="0.2"/>
    <row r="43891" hidden="1" x14ac:dyDescent="0.2"/>
    <row r="43892" hidden="1" x14ac:dyDescent="0.2"/>
    <row r="43893" hidden="1" x14ac:dyDescent="0.2"/>
    <row r="43894" hidden="1" x14ac:dyDescent="0.2"/>
    <row r="43895" hidden="1" x14ac:dyDescent="0.2"/>
    <row r="43896" hidden="1" x14ac:dyDescent="0.2"/>
    <row r="43897" hidden="1" x14ac:dyDescent="0.2"/>
    <row r="43898" hidden="1" x14ac:dyDescent="0.2"/>
    <row r="43899" hidden="1" x14ac:dyDescent="0.2"/>
    <row r="43900" hidden="1" x14ac:dyDescent="0.2"/>
    <row r="43901" hidden="1" x14ac:dyDescent="0.2"/>
    <row r="43902" hidden="1" x14ac:dyDescent="0.2"/>
    <row r="43903" hidden="1" x14ac:dyDescent="0.2"/>
    <row r="43904" hidden="1" x14ac:dyDescent="0.2"/>
    <row r="43905" hidden="1" x14ac:dyDescent="0.2"/>
    <row r="43906" hidden="1" x14ac:dyDescent="0.2"/>
    <row r="43907" hidden="1" x14ac:dyDescent="0.2"/>
    <row r="43908" hidden="1" x14ac:dyDescent="0.2"/>
    <row r="43909" hidden="1" x14ac:dyDescent="0.2"/>
    <row r="43910" hidden="1" x14ac:dyDescent="0.2"/>
    <row r="43911" hidden="1" x14ac:dyDescent="0.2"/>
    <row r="43912" hidden="1" x14ac:dyDescent="0.2"/>
    <row r="43913" hidden="1" x14ac:dyDescent="0.2"/>
    <row r="43914" hidden="1" x14ac:dyDescent="0.2"/>
    <row r="43915" hidden="1" x14ac:dyDescent="0.2"/>
    <row r="43916" hidden="1" x14ac:dyDescent="0.2"/>
    <row r="43917" hidden="1" x14ac:dyDescent="0.2"/>
    <row r="43918" hidden="1" x14ac:dyDescent="0.2"/>
    <row r="43919" hidden="1" x14ac:dyDescent="0.2"/>
    <row r="43920" hidden="1" x14ac:dyDescent="0.2"/>
    <row r="43921" hidden="1" x14ac:dyDescent="0.2"/>
    <row r="43922" hidden="1" x14ac:dyDescent="0.2"/>
    <row r="43923" hidden="1" x14ac:dyDescent="0.2"/>
    <row r="43924" hidden="1" x14ac:dyDescent="0.2"/>
    <row r="43925" hidden="1" x14ac:dyDescent="0.2"/>
    <row r="43926" hidden="1" x14ac:dyDescent="0.2"/>
    <row r="43927" hidden="1" x14ac:dyDescent="0.2"/>
    <row r="43928" hidden="1" x14ac:dyDescent="0.2"/>
    <row r="43929" hidden="1" x14ac:dyDescent="0.2"/>
    <row r="43930" hidden="1" x14ac:dyDescent="0.2"/>
    <row r="43931" hidden="1" x14ac:dyDescent="0.2"/>
    <row r="43932" hidden="1" x14ac:dyDescent="0.2"/>
    <row r="43933" hidden="1" x14ac:dyDescent="0.2"/>
    <row r="43934" hidden="1" x14ac:dyDescent="0.2"/>
    <row r="43935" hidden="1" x14ac:dyDescent="0.2"/>
    <row r="43936" hidden="1" x14ac:dyDescent="0.2"/>
    <row r="43937" hidden="1" x14ac:dyDescent="0.2"/>
    <row r="43938" hidden="1" x14ac:dyDescent="0.2"/>
    <row r="43939" hidden="1" x14ac:dyDescent="0.2"/>
    <row r="43940" hidden="1" x14ac:dyDescent="0.2"/>
    <row r="43941" hidden="1" x14ac:dyDescent="0.2"/>
    <row r="43942" hidden="1" x14ac:dyDescent="0.2"/>
    <row r="43943" hidden="1" x14ac:dyDescent="0.2"/>
    <row r="43944" hidden="1" x14ac:dyDescent="0.2"/>
    <row r="43945" hidden="1" x14ac:dyDescent="0.2"/>
    <row r="43946" hidden="1" x14ac:dyDescent="0.2"/>
    <row r="43947" hidden="1" x14ac:dyDescent="0.2"/>
    <row r="43948" hidden="1" x14ac:dyDescent="0.2"/>
    <row r="43949" hidden="1" x14ac:dyDescent="0.2"/>
    <row r="43950" hidden="1" x14ac:dyDescent="0.2"/>
    <row r="43951" hidden="1" x14ac:dyDescent="0.2"/>
    <row r="43952" hidden="1" x14ac:dyDescent="0.2"/>
    <row r="43953" hidden="1" x14ac:dyDescent="0.2"/>
    <row r="43954" hidden="1" x14ac:dyDescent="0.2"/>
    <row r="43955" hidden="1" x14ac:dyDescent="0.2"/>
    <row r="43956" hidden="1" x14ac:dyDescent="0.2"/>
    <row r="43957" hidden="1" x14ac:dyDescent="0.2"/>
    <row r="43958" hidden="1" x14ac:dyDescent="0.2"/>
    <row r="43959" hidden="1" x14ac:dyDescent="0.2"/>
    <row r="43960" hidden="1" x14ac:dyDescent="0.2"/>
    <row r="43961" hidden="1" x14ac:dyDescent="0.2"/>
    <row r="43962" hidden="1" x14ac:dyDescent="0.2"/>
    <row r="43963" hidden="1" x14ac:dyDescent="0.2"/>
    <row r="43964" hidden="1" x14ac:dyDescent="0.2"/>
    <row r="43965" hidden="1" x14ac:dyDescent="0.2"/>
    <row r="43966" hidden="1" x14ac:dyDescent="0.2"/>
    <row r="43967" hidden="1" x14ac:dyDescent="0.2"/>
    <row r="43968" hidden="1" x14ac:dyDescent="0.2"/>
    <row r="43969" hidden="1" x14ac:dyDescent="0.2"/>
    <row r="43970" hidden="1" x14ac:dyDescent="0.2"/>
    <row r="43971" hidden="1" x14ac:dyDescent="0.2"/>
    <row r="43972" hidden="1" x14ac:dyDescent="0.2"/>
    <row r="43973" hidden="1" x14ac:dyDescent="0.2"/>
    <row r="43974" hidden="1" x14ac:dyDescent="0.2"/>
    <row r="43975" hidden="1" x14ac:dyDescent="0.2"/>
    <row r="43976" hidden="1" x14ac:dyDescent="0.2"/>
    <row r="43977" hidden="1" x14ac:dyDescent="0.2"/>
    <row r="43978" hidden="1" x14ac:dyDescent="0.2"/>
    <row r="43979" hidden="1" x14ac:dyDescent="0.2"/>
    <row r="43980" hidden="1" x14ac:dyDescent="0.2"/>
    <row r="43981" hidden="1" x14ac:dyDescent="0.2"/>
    <row r="43982" hidden="1" x14ac:dyDescent="0.2"/>
    <row r="43983" hidden="1" x14ac:dyDescent="0.2"/>
    <row r="43984" hidden="1" x14ac:dyDescent="0.2"/>
    <row r="43985" hidden="1" x14ac:dyDescent="0.2"/>
    <row r="43986" hidden="1" x14ac:dyDescent="0.2"/>
    <row r="43987" hidden="1" x14ac:dyDescent="0.2"/>
    <row r="43988" hidden="1" x14ac:dyDescent="0.2"/>
    <row r="43989" hidden="1" x14ac:dyDescent="0.2"/>
    <row r="43990" hidden="1" x14ac:dyDescent="0.2"/>
    <row r="43991" hidden="1" x14ac:dyDescent="0.2"/>
    <row r="43992" hidden="1" x14ac:dyDescent="0.2"/>
    <row r="43993" hidden="1" x14ac:dyDescent="0.2"/>
    <row r="43994" hidden="1" x14ac:dyDescent="0.2"/>
    <row r="43995" hidden="1" x14ac:dyDescent="0.2"/>
    <row r="43996" hidden="1" x14ac:dyDescent="0.2"/>
    <row r="43997" hidden="1" x14ac:dyDescent="0.2"/>
    <row r="43998" hidden="1" x14ac:dyDescent="0.2"/>
    <row r="43999" hidden="1" x14ac:dyDescent="0.2"/>
    <row r="44000" hidden="1" x14ac:dyDescent="0.2"/>
    <row r="44001" hidden="1" x14ac:dyDescent="0.2"/>
    <row r="44002" hidden="1" x14ac:dyDescent="0.2"/>
    <row r="44003" hidden="1" x14ac:dyDescent="0.2"/>
    <row r="44004" hidden="1" x14ac:dyDescent="0.2"/>
    <row r="44005" hidden="1" x14ac:dyDescent="0.2"/>
    <row r="44006" hidden="1" x14ac:dyDescent="0.2"/>
    <row r="44007" hidden="1" x14ac:dyDescent="0.2"/>
    <row r="44008" hidden="1" x14ac:dyDescent="0.2"/>
    <row r="44009" hidden="1" x14ac:dyDescent="0.2"/>
    <row r="44010" hidden="1" x14ac:dyDescent="0.2"/>
    <row r="44011" hidden="1" x14ac:dyDescent="0.2"/>
    <row r="44012" hidden="1" x14ac:dyDescent="0.2"/>
    <row r="44013" hidden="1" x14ac:dyDescent="0.2"/>
    <row r="44014" hidden="1" x14ac:dyDescent="0.2"/>
    <row r="44015" hidden="1" x14ac:dyDescent="0.2"/>
    <row r="44016" hidden="1" x14ac:dyDescent="0.2"/>
    <row r="44017" hidden="1" x14ac:dyDescent="0.2"/>
    <row r="44018" hidden="1" x14ac:dyDescent="0.2"/>
    <row r="44019" hidden="1" x14ac:dyDescent="0.2"/>
    <row r="44020" hidden="1" x14ac:dyDescent="0.2"/>
    <row r="44021" hidden="1" x14ac:dyDescent="0.2"/>
    <row r="44022" hidden="1" x14ac:dyDescent="0.2"/>
    <row r="44023" hidden="1" x14ac:dyDescent="0.2"/>
    <row r="44024" hidden="1" x14ac:dyDescent="0.2"/>
    <row r="44025" hidden="1" x14ac:dyDescent="0.2"/>
    <row r="44026" hidden="1" x14ac:dyDescent="0.2"/>
    <row r="44027" hidden="1" x14ac:dyDescent="0.2"/>
    <row r="44028" hidden="1" x14ac:dyDescent="0.2"/>
    <row r="44029" hidden="1" x14ac:dyDescent="0.2"/>
    <row r="44030" hidden="1" x14ac:dyDescent="0.2"/>
    <row r="44031" hidden="1" x14ac:dyDescent="0.2"/>
    <row r="44032" hidden="1" x14ac:dyDescent="0.2"/>
    <row r="44033" hidden="1" x14ac:dyDescent="0.2"/>
    <row r="44034" hidden="1" x14ac:dyDescent="0.2"/>
    <row r="44035" hidden="1" x14ac:dyDescent="0.2"/>
    <row r="44036" hidden="1" x14ac:dyDescent="0.2"/>
    <row r="44037" hidden="1" x14ac:dyDescent="0.2"/>
    <row r="44038" hidden="1" x14ac:dyDescent="0.2"/>
    <row r="44039" hidden="1" x14ac:dyDescent="0.2"/>
    <row r="44040" hidden="1" x14ac:dyDescent="0.2"/>
    <row r="44041" hidden="1" x14ac:dyDescent="0.2"/>
    <row r="44042" hidden="1" x14ac:dyDescent="0.2"/>
    <row r="44043" hidden="1" x14ac:dyDescent="0.2"/>
    <row r="44044" hidden="1" x14ac:dyDescent="0.2"/>
    <row r="44045" hidden="1" x14ac:dyDescent="0.2"/>
    <row r="44046" hidden="1" x14ac:dyDescent="0.2"/>
    <row r="44047" hidden="1" x14ac:dyDescent="0.2"/>
    <row r="44048" hidden="1" x14ac:dyDescent="0.2"/>
    <row r="44049" hidden="1" x14ac:dyDescent="0.2"/>
    <row r="44050" hidden="1" x14ac:dyDescent="0.2"/>
    <row r="44051" hidden="1" x14ac:dyDescent="0.2"/>
    <row r="44052" hidden="1" x14ac:dyDescent="0.2"/>
    <row r="44053" hidden="1" x14ac:dyDescent="0.2"/>
    <row r="44054" hidden="1" x14ac:dyDescent="0.2"/>
    <row r="44055" hidden="1" x14ac:dyDescent="0.2"/>
    <row r="44056" hidden="1" x14ac:dyDescent="0.2"/>
    <row r="44057" hidden="1" x14ac:dyDescent="0.2"/>
    <row r="44058" hidden="1" x14ac:dyDescent="0.2"/>
    <row r="44059" hidden="1" x14ac:dyDescent="0.2"/>
    <row r="44060" hidden="1" x14ac:dyDescent="0.2"/>
    <row r="44061" hidden="1" x14ac:dyDescent="0.2"/>
    <row r="44062" hidden="1" x14ac:dyDescent="0.2"/>
    <row r="44063" hidden="1" x14ac:dyDescent="0.2"/>
    <row r="44064" hidden="1" x14ac:dyDescent="0.2"/>
    <row r="44065" hidden="1" x14ac:dyDescent="0.2"/>
    <row r="44066" hidden="1" x14ac:dyDescent="0.2"/>
    <row r="44067" hidden="1" x14ac:dyDescent="0.2"/>
    <row r="44068" hidden="1" x14ac:dyDescent="0.2"/>
    <row r="44069" hidden="1" x14ac:dyDescent="0.2"/>
    <row r="44070" hidden="1" x14ac:dyDescent="0.2"/>
    <row r="44071" hidden="1" x14ac:dyDescent="0.2"/>
    <row r="44072" hidden="1" x14ac:dyDescent="0.2"/>
    <row r="44073" hidden="1" x14ac:dyDescent="0.2"/>
    <row r="44074" hidden="1" x14ac:dyDescent="0.2"/>
    <row r="44075" hidden="1" x14ac:dyDescent="0.2"/>
    <row r="44076" hidden="1" x14ac:dyDescent="0.2"/>
    <row r="44077" hidden="1" x14ac:dyDescent="0.2"/>
    <row r="44078" hidden="1" x14ac:dyDescent="0.2"/>
    <row r="44079" hidden="1" x14ac:dyDescent="0.2"/>
    <row r="44080" hidden="1" x14ac:dyDescent="0.2"/>
    <row r="44081" hidden="1" x14ac:dyDescent="0.2"/>
    <row r="44082" hidden="1" x14ac:dyDescent="0.2"/>
    <row r="44083" hidden="1" x14ac:dyDescent="0.2"/>
    <row r="44084" hidden="1" x14ac:dyDescent="0.2"/>
    <row r="44085" hidden="1" x14ac:dyDescent="0.2"/>
    <row r="44086" hidden="1" x14ac:dyDescent="0.2"/>
    <row r="44087" hidden="1" x14ac:dyDescent="0.2"/>
    <row r="44088" hidden="1" x14ac:dyDescent="0.2"/>
    <row r="44089" hidden="1" x14ac:dyDescent="0.2"/>
    <row r="44090" hidden="1" x14ac:dyDescent="0.2"/>
    <row r="44091" hidden="1" x14ac:dyDescent="0.2"/>
    <row r="44092" hidden="1" x14ac:dyDescent="0.2"/>
    <row r="44093" hidden="1" x14ac:dyDescent="0.2"/>
    <row r="44094" hidden="1" x14ac:dyDescent="0.2"/>
    <row r="44095" hidden="1" x14ac:dyDescent="0.2"/>
    <row r="44096" hidden="1" x14ac:dyDescent="0.2"/>
    <row r="44097" hidden="1" x14ac:dyDescent="0.2"/>
    <row r="44098" hidden="1" x14ac:dyDescent="0.2"/>
    <row r="44099" hidden="1" x14ac:dyDescent="0.2"/>
    <row r="44100" hidden="1" x14ac:dyDescent="0.2"/>
    <row r="44101" hidden="1" x14ac:dyDescent="0.2"/>
    <row r="44102" hidden="1" x14ac:dyDescent="0.2"/>
    <row r="44103" hidden="1" x14ac:dyDescent="0.2"/>
    <row r="44104" hidden="1" x14ac:dyDescent="0.2"/>
    <row r="44105" hidden="1" x14ac:dyDescent="0.2"/>
    <row r="44106" hidden="1" x14ac:dyDescent="0.2"/>
    <row r="44107" hidden="1" x14ac:dyDescent="0.2"/>
    <row r="44108" hidden="1" x14ac:dyDescent="0.2"/>
    <row r="44109" hidden="1" x14ac:dyDescent="0.2"/>
    <row r="44110" hidden="1" x14ac:dyDescent="0.2"/>
    <row r="44111" hidden="1" x14ac:dyDescent="0.2"/>
    <row r="44112" hidden="1" x14ac:dyDescent="0.2"/>
    <row r="44113" hidden="1" x14ac:dyDescent="0.2"/>
    <row r="44114" hidden="1" x14ac:dyDescent="0.2"/>
    <row r="44115" hidden="1" x14ac:dyDescent="0.2"/>
    <row r="44116" hidden="1" x14ac:dyDescent="0.2"/>
    <row r="44117" hidden="1" x14ac:dyDescent="0.2"/>
    <row r="44118" hidden="1" x14ac:dyDescent="0.2"/>
    <row r="44119" hidden="1" x14ac:dyDescent="0.2"/>
    <row r="44120" hidden="1" x14ac:dyDescent="0.2"/>
    <row r="44121" hidden="1" x14ac:dyDescent="0.2"/>
    <row r="44122" hidden="1" x14ac:dyDescent="0.2"/>
    <row r="44123" hidden="1" x14ac:dyDescent="0.2"/>
    <row r="44124" hidden="1" x14ac:dyDescent="0.2"/>
    <row r="44125" hidden="1" x14ac:dyDescent="0.2"/>
    <row r="44126" hidden="1" x14ac:dyDescent="0.2"/>
    <row r="44127" hidden="1" x14ac:dyDescent="0.2"/>
    <row r="44128" hidden="1" x14ac:dyDescent="0.2"/>
    <row r="44129" hidden="1" x14ac:dyDescent="0.2"/>
    <row r="44130" hidden="1" x14ac:dyDescent="0.2"/>
    <row r="44131" hidden="1" x14ac:dyDescent="0.2"/>
    <row r="44132" hidden="1" x14ac:dyDescent="0.2"/>
    <row r="44133" hidden="1" x14ac:dyDescent="0.2"/>
    <row r="44134" hidden="1" x14ac:dyDescent="0.2"/>
    <row r="44135" hidden="1" x14ac:dyDescent="0.2"/>
    <row r="44136" hidden="1" x14ac:dyDescent="0.2"/>
    <row r="44137" hidden="1" x14ac:dyDescent="0.2"/>
    <row r="44138" hidden="1" x14ac:dyDescent="0.2"/>
    <row r="44139" hidden="1" x14ac:dyDescent="0.2"/>
    <row r="44140" hidden="1" x14ac:dyDescent="0.2"/>
    <row r="44141" hidden="1" x14ac:dyDescent="0.2"/>
    <row r="44142" hidden="1" x14ac:dyDescent="0.2"/>
    <row r="44143" hidden="1" x14ac:dyDescent="0.2"/>
    <row r="44144" hidden="1" x14ac:dyDescent="0.2"/>
    <row r="44145" hidden="1" x14ac:dyDescent="0.2"/>
    <row r="44146" hidden="1" x14ac:dyDescent="0.2"/>
    <row r="44147" hidden="1" x14ac:dyDescent="0.2"/>
    <row r="44148" hidden="1" x14ac:dyDescent="0.2"/>
    <row r="44149" hidden="1" x14ac:dyDescent="0.2"/>
    <row r="44150" hidden="1" x14ac:dyDescent="0.2"/>
    <row r="44151" hidden="1" x14ac:dyDescent="0.2"/>
    <row r="44152" hidden="1" x14ac:dyDescent="0.2"/>
    <row r="44153" hidden="1" x14ac:dyDescent="0.2"/>
    <row r="44154" hidden="1" x14ac:dyDescent="0.2"/>
    <row r="44155" hidden="1" x14ac:dyDescent="0.2"/>
    <row r="44156" hidden="1" x14ac:dyDescent="0.2"/>
    <row r="44157" hidden="1" x14ac:dyDescent="0.2"/>
    <row r="44158" hidden="1" x14ac:dyDescent="0.2"/>
    <row r="44159" hidden="1" x14ac:dyDescent="0.2"/>
    <row r="44160" hidden="1" x14ac:dyDescent="0.2"/>
    <row r="44161" hidden="1" x14ac:dyDescent="0.2"/>
    <row r="44162" hidden="1" x14ac:dyDescent="0.2"/>
    <row r="44163" hidden="1" x14ac:dyDescent="0.2"/>
    <row r="44164" hidden="1" x14ac:dyDescent="0.2"/>
    <row r="44165" hidden="1" x14ac:dyDescent="0.2"/>
    <row r="44166" hidden="1" x14ac:dyDescent="0.2"/>
    <row r="44167" hidden="1" x14ac:dyDescent="0.2"/>
    <row r="44168" hidden="1" x14ac:dyDescent="0.2"/>
    <row r="44169" hidden="1" x14ac:dyDescent="0.2"/>
    <row r="44170" hidden="1" x14ac:dyDescent="0.2"/>
    <row r="44171" hidden="1" x14ac:dyDescent="0.2"/>
    <row r="44172" hidden="1" x14ac:dyDescent="0.2"/>
    <row r="44173" hidden="1" x14ac:dyDescent="0.2"/>
    <row r="44174" hidden="1" x14ac:dyDescent="0.2"/>
    <row r="44175" hidden="1" x14ac:dyDescent="0.2"/>
    <row r="44176" hidden="1" x14ac:dyDescent="0.2"/>
    <row r="44177" hidden="1" x14ac:dyDescent="0.2"/>
    <row r="44178" hidden="1" x14ac:dyDescent="0.2"/>
    <row r="44179" hidden="1" x14ac:dyDescent="0.2"/>
    <row r="44180" hidden="1" x14ac:dyDescent="0.2"/>
    <row r="44181" hidden="1" x14ac:dyDescent="0.2"/>
    <row r="44182" hidden="1" x14ac:dyDescent="0.2"/>
    <row r="44183" hidden="1" x14ac:dyDescent="0.2"/>
    <row r="44184" hidden="1" x14ac:dyDescent="0.2"/>
    <row r="44185" hidden="1" x14ac:dyDescent="0.2"/>
    <row r="44186" hidden="1" x14ac:dyDescent="0.2"/>
    <row r="44187" hidden="1" x14ac:dyDescent="0.2"/>
    <row r="44188" hidden="1" x14ac:dyDescent="0.2"/>
    <row r="44189" hidden="1" x14ac:dyDescent="0.2"/>
    <row r="44190" hidden="1" x14ac:dyDescent="0.2"/>
    <row r="44191" hidden="1" x14ac:dyDescent="0.2"/>
    <row r="44192" hidden="1" x14ac:dyDescent="0.2"/>
    <row r="44193" hidden="1" x14ac:dyDescent="0.2"/>
    <row r="44194" hidden="1" x14ac:dyDescent="0.2"/>
    <row r="44195" hidden="1" x14ac:dyDescent="0.2"/>
    <row r="44196" hidden="1" x14ac:dyDescent="0.2"/>
    <row r="44197" hidden="1" x14ac:dyDescent="0.2"/>
    <row r="44198" hidden="1" x14ac:dyDescent="0.2"/>
    <row r="44199" hidden="1" x14ac:dyDescent="0.2"/>
    <row r="44200" hidden="1" x14ac:dyDescent="0.2"/>
    <row r="44201" hidden="1" x14ac:dyDescent="0.2"/>
    <row r="44202" hidden="1" x14ac:dyDescent="0.2"/>
    <row r="44203" hidden="1" x14ac:dyDescent="0.2"/>
    <row r="44204" hidden="1" x14ac:dyDescent="0.2"/>
    <row r="44205" hidden="1" x14ac:dyDescent="0.2"/>
    <row r="44206" hidden="1" x14ac:dyDescent="0.2"/>
    <row r="44207" hidden="1" x14ac:dyDescent="0.2"/>
    <row r="44208" hidden="1" x14ac:dyDescent="0.2"/>
    <row r="44209" hidden="1" x14ac:dyDescent="0.2"/>
    <row r="44210" hidden="1" x14ac:dyDescent="0.2"/>
    <row r="44211" hidden="1" x14ac:dyDescent="0.2"/>
    <row r="44212" hidden="1" x14ac:dyDescent="0.2"/>
    <row r="44213" hidden="1" x14ac:dyDescent="0.2"/>
    <row r="44214" hidden="1" x14ac:dyDescent="0.2"/>
    <row r="44215" hidden="1" x14ac:dyDescent="0.2"/>
    <row r="44216" hidden="1" x14ac:dyDescent="0.2"/>
    <row r="44217" hidden="1" x14ac:dyDescent="0.2"/>
    <row r="44218" hidden="1" x14ac:dyDescent="0.2"/>
    <row r="44219" hidden="1" x14ac:dyDescent="0.2"/>
    <row r="44220" hidden="1" x14ac:dyDescent="0.2"/>
    <row r="44221" hidden="1" x14ac:dyDescent="0.2"/>
    <row r="44222" hidden="1" x14ac:dyDescent="0.2"/>
    <row r="44223" hidden="1" x14ac:dyDescent="0.2"/>
    <row r="44224" hidden="1" x14ac:dyDescent="0.2"/>
    <row r="44225" hidden="1" x14ac:dyDescent="0.2"/>
    <row r="44226" hidden="1" x14ac:dyDescent="0.2"/>
    <row r="44227" hidden="1" x14ac:dyDescent="0.2"/>
    <row r="44228" hidden="1" x14ac:dyDescent="0.2"/>
    <row r="44229" hidden="1" x14ac:dyDescent="0.2"/>
    <row r="44230" hidden="1" x14ac:dyDescent="0.2"/>
    <row r="44231" hidden="1" x14ac:dyDescent="0.2"/>
    <row r="44232" hidden="1" x14ac:dyDescent="0.2"/>
    <row r="44233" hidden="1" x14ac:dyDescent="0.2"/>
    <row r="44234" hidden="1" x14ac:dyDescent="0.2"/>
    <row r="44235" hidden="1" x14ac:dyDescent="0.2"/>
    <row r="44236" hidden="1" x14ac:dyDescent="0.2"/>
    <row r="44237" hidden="1" x14ac:dyDescent="0.2"/>
    <row r="44238" hidden="1" x14ac:dyDescent="0.2"/>
    <row r="44239" hidden="1" x14ac:dyDescent="0.2"/>
    <row r="44240" hidden="1" x14ac:dyDescent="0.2"/>
    <row r="44241" hidden="1" x14ac:dyDescent="0.2"/>
    <row r="44242" hidden="1" x14ac:dyDescent="0.2"/>
    <row r="44243" hidden="1" x14ac:dyDescent="0.2"/>
    <row r="44244" hidden="1" x14ac:dyDescent="0.2"/>
    <row r="44245" hidden="1" x14ac:dyDescent="0.2"/>
    <row r="44246" hidden="1" x14ac:dyDescent="0.2"/>
    <row r="44247" hidden="1" x14ac:dyDescent="0.2"/>
    <row r="44248" hidden="1" x14ac:dyDescent="0.2"/>
    <row r="44249" hidden="1" x14ac:dyDescent="0.2"/>
    <row r="44250" hidden="1" x14ac:dyDescent="0.2"/>
    <row r="44251" hidden="1" x14ac:dyDescent="0.2"/>
    <row r="44252" hidden="1" x14ac:dyDescent="0.2"/>
    <row r="44253" hidden="1" x14ac:dyDescent="0.2"/>
    <row r="44254" hidden="1" x14ac:dyDescent="0.2"/>
    <row r="44255" hidden="1" x14ac:dyDescent="0.2"/>
    <row r="44256" hidden="1" x14ac:dyDescent="0.2"/>
    <row r="44257" hidden="1" x14ac:dyDescent="0.2"/>
    <row r="44258" hidden="1" x14ac:dyDescent="0.2"/>
    <row r="44259" hidden="1" x14ac:dyDescent="0.2"/>
    <row r="44260" hidden="1" x14ac:dyDescent="0.2"/>
    <row r="44261" hidden="1" x14ac:dyDescent="0.2"/>
    <row r="44262" hidden="1" x14ac:dyDescent="0.2"/>
    <row r="44263" hidden="1" x14ac:dyDescent="0.2"/>
    <row r="44264" hidden="1" x14ac:dyDescent="0.2"/>
    <row r="44265" hidden="1" x14ac:dyDescent="0.2"/>
    <row r="44266" hidden="1" x14ac:dyDescent="0.2"/>
    <row r="44267" hidden="1" x14ac:dyDescent="0.2"/>
    <row r="44268" hidden="1" x14ac:dyDescent="0.2"/>
    <row r="44269" hidden="1" x14ac:dyDescent="0.2"/>
    <row r="44270" hidden="1" x14ac:dyDescent="0.2"/>
    <row r="44271" hidden="1" x14ac:dyDescent="0.2"/>
    <row r="44272" hidden="1" x14ac:dyDescent="0.2"/>
    <row r="44273" hidden="1" x14ac:dyDescent="0.2"/>
    <row r="44274" hidden="1" x14ac:dyDescent="0.2"/>
    <row r="44275" hidden="1" x14ac:dyDescent="0.2"/>
    <row r="44276" hidden="1" x14ac:dyDescent="0.2"/>
    <row r="44277" hidden="1" x14ac:dyDescent="0.2"/>
    <row r="44278" hidden="1" x14ac:dyDescent="0.2"/>
    <row r="44279" hidden="1" x14ac:dyDescent="0.2"/>
    <row r="44280" hidden="1" x14ac:dyDescent="0.2"/>
    <row r="44281" hidden="1" x14ac:dyDescent="0.2"/>
    <row r="44282" hidden="1" x14ac:dyDescent="0.2"/>
    <row r="44283" hidden="1" x14ac:dyDescent="0.2"/>
    <row r="44284" hidden="1" x14ac:dyDescent="0.2"/>
    <row r="44285" hidden="1" x14ac:dyDescent="0.2"/>
    <row r="44286" hidden="1" x14ac:dyDescent="0.2"/>
    <row r="44287" hidden="1" x14ac:dyDescent="0.2"/>
    <row r="44288" hidden="1" x14ac:dyDescent="0.2"/>
    <row r="44289" hidden="1" x14ac:dyDescent="0.2"/>
    <row r="44290" hidden="1" x14ac:dyDescent="0.2"/>
    <row r="44291" hidden="1" x14ac:dyDescent="0.2"/>
    <row r="44292" hidden="1" x14ac:dyDescent="0.2"/>
    <row r="44293" hidden="1" x14ac:dyDescent="0.2"/>
    <row r="44294" hidden="1" x14ac:dyDescent="0.2"/>
    <row r="44295" hidden="1" x14ac:dyDescent="0.2"/>
    <row r="44296" hidden="1" x14ac:dyDescent="0.2"/>
    <row r="44297" hidden="1" x14ac:dyDescent="0.2"/>
    <row r="44298" hidden="1" x14ac:dyDescent="0.2"/>
    <row r="44299" hidden="1" x14ac:dyDescent="0.2"/>
    <row r="44300" hidden="1" x14ac:dyDescent="0.2"/>
    <row r="44301" hidden="1" x14ac:dyDescent="0.2"/>
    <row r="44302" hidden="1" x14ac:dyDescent="0.2"/>
    <row r="44303" hidden="1" x14ac:dyDescent="0.2"/>
    <row r="44304" hidden="1" x14ac:dyDescent="0.2"/>
    <row r="44305" hidden="1" x14ac:dyDescent="0.2"/>
    <row r="44306" hidden="1" x14ac:dyDescent="0.2"/>
    <row r="44307" hidden="1" x14ac:dyDescent="0.2"/>
    <row r="44308" hidden="1" x14ac:dyDescent="0.2"/>
    <row r="44309" hidden="1" x14ac:dyDescent="0.2"/>
    <row r="44310" hidden="1" x14ac:dyDescent="0.2"/>
    <row r="44311" hidden="1" x14ac:dyDescent="0.2"/>
    <row r="44312" hidden="1" x14ac:dyDescent="0.2"/>
    <row r="44313" hidden="1" x14ac:dyDescent="0.2"/>
    <row r="44314" hidden="1" x14ac:dyDescent="0.2"/>
    <row r="44315" hidden="1" x14ac:dyDescent="0.2"/>
    <row r="44316" hidden="1" x14ac:dyDescent="0.2"/>
    <row r="44317" hidden="1" x14ac:dyDescent="0.2"/>
    <row r="44318" hidden="1" x14ac:dyDescent="0.2"/>
    <row r="44319" hidden="1" x14ac:dyDescent="0.2"/>
    <row r="44320" hidden="1" x14ac:dyDescent="0.2"/>
    <row r="44321" hidden="1" x14ac:dyDescent="0.2"/>
    <row r="44322" hidden="1" x14ac:dyDescent="0.2"/>
    <row r="44323" hidden="1" x14ac:dyDescent="0.2"/>
    <row r="44324" hidden="1" x14ac:dyDescent="0.2"/>
    <row r="44325" hidden="1" x14ac:dyDescent="0.2"/>
    <row r="44326" hidden="1" x14ac:dyDescent="0.2"/>
    <row r="44327" hidden="1" x14ac:dyDescent="0.2"/>
    <row r="44328" hidden="1" x14ac:dyDescent="0.2"/>
    <row r="44329" hidden="1" x14ac:dyDescent="0.2"/>
    <row r="44330" hidden="1" x14ac:dyDescent="0.2"/>
    <row r="44331" hidden="1" x14ac:dyDescent="0.2"/>
    <row r="44332" hidden="1" x14ac:dyDescent="0.2"/>
    <row r="44333" hidden="1" x14ac:dyDescent="0.2"/>
    <row r="44334" hidden="1" x14ac:dyDescent="0.2"/>
    <row r="44335" hidden="1" x14ac:dyDescent="0.2"/>
    <row r="44336" hidden="1" x14ac:dyDescent="0.2"/>
    <row r="44337" hidden="1" x14ac:dyDescent="0.2"/>
    <row r="44338" hidden="1" x14ac:dyDescent="0.2"/>
    <row r="44339" hidden="1" x14ac:dyDescent="0.2"/>
    <row r="44340" hidden="1" x14ac:dyDescent="0.2"/>
    <row r="44341" hidden="1" x14ac:dyDescent="0.2"/>
    <row r="44342" hidden="1" x14ac:dyDescent="0.2"/>
    <row r="44343" hidden="1" x14ac:dyDescent="0.2"/>
    <row r="44344" hidden="1" x14ac:dyDescent="0.2"/>
    <row r="44345" hidden="1" x14ac:dyDescent="0.2"/>
    <row r="44346" hidden="1" x14ac:dyDescent="0.2"/>
    <row r="44347" hidden="1" x14ac:dyDescent="0.2"/>
    <row r="44348" hidden="1" x14ac:dyDescent="0.2"/>
    <row r="44349" hidden="1" x14ac:dyDescent="0.2"/>
    <row r="44350" hidden="1" x14ac:dyDescent="0.2"/>
    <row r="44351" hidden="1" x14ac:dyDescent="0.2"/>
    <row r="44352" hidden="1" x14ac:dyDescent="0.2"/>
    <row r="44353" hidden="1" x14ac:dyDescent="0.2"/>
    <row r="44354" hidden="1" x14ac:dyDescent="0.2"/>
    <row r="44355" hidden="1" x14ac:dyDescent="0.2"/>
    <row r="44356" hidden="1" x14ac:dyDescent="0.2"/>
    <row r="44357" hidden="1" x14ac:dyDescent="0.2"/>
    <row r="44358" hidden="1" x14ac:dyDescent="0.2"/>
    <row r="44359" hidden="1" x14ac:dyDescent="0.2"/>
    <row r="44360" hidden="1" x14ac:dyDescent="0.2"/>
    <row r="44361" hidden="1" x14ac:dyDescent="0.2"/>
    <row r="44362" hidden="1" x14ac:dyDescent="0.2"/>
    <row r="44363" hidden="1" x14ac:dyDescent="0.2"/>
    <row r="44364" hidden="1" x14ac:dyDescent="0.2"/>
    <row r="44365" hidden="1" x14ac:dyDescent="0.2"/>
    <row r="44366" hidden="1" x14ac:dyDescent="0.2"/>
    <row r="44367" hidden="1" x14ac:dyDescent="0.2"/>
    <row r="44368" hidden="1" x14ac:dyDescent="0.2"/>
    <row r="44369" hidden="1" x14ac:dyDescent="0.2"/>
    <row r="44370" hidden="1" x14ac:dyDescent="0.2"/>
    <row r="44371" hidden="1" x14ac:dyDescent="0.2"/>
    <row r="44372" hidden="1" x14ac:dyDescent="0.2"/>
    <row r="44373" hidden="1" x14ac:dyDescent="0.2"/>
    <row r="44374" hidden="1" x14ac:dyDescent="0.2"/>
    <row r="44375" hidden="1" x14ac:dyDescent="0.2"/>
    <row r="44376" hidden="1" x14ac:dyDescent="0.2"/>
    <row r="44377" hidden="1" x14ac:dyDescent="0.2"/>
    <row r="44378" hidden="1" x14ac:dyDescent="0.2"/>
    <row r="44379" hidden="1" x14ac:dyDescent="0.2"/>
    <row r="44380" hidden="1" x14ac:dyDescent="0.2"/>
    <row r="44381" hidden="1" x14ac:dyDescent="0.2"/>
    <row r="44382" hidden="1" x14ac:dyDescent="0.2"/>
    <row r="44383" hidden="1" x14ac:dyDescent="0.2"/>
    <row r="44384" hidden="1" x14ac:dyDescent="0.2"/>
    <row r="44385" hidden="1" x14ac:dyDescent="0.2"/>
    <row r="44386" hidden="1" x14ac:dyDescent="0.2"/>
    <row r="44387" hidden="1" x14ac:dyDescent="0.2"/>
    <row r="44388" hidden="1" x14ac:dyDescent="0.2"/>
    <row r="44389" hidden="1" x14ac:dyDescent="0.2"/>
    <row r="44390" hidden="1" x14ac:dyDescent="0.2"/>
    <row r="44391" hidden="1" x14ac:dyDescent="0.2"/>
    <row r="44392" hidden="1" x14ac:dyDescent="0.2"/>
    <row r="44393" hidden="1" x14ac:dyDescent="0.2"/>
    <row r="44394" hidden="1" x14ac:dyDescent="0.2"/>
    <row r="44395" hidden="1" x14ac:dyDescent="0.2"/>
    <row r="44396" hidden="1" x14ac:dyDescent="0.2"/>
    <row r="44397" hidden="1" x14ac:dyDescent="0.2"/>
    <row r="44398" hidden="1" x14ac:dyDescent="0.2"/>
    <row r="44399" hidden="1" x14ac:dyDescent="0.2"/>
    <row r="44400" hidden="1" x14ac:dyDescent="0.2"/>
    <row r="44401" hidden="1" x14ac:dyDescent="0.2"/>
    <row r="44402" hidden="1" x14ac:dyDescent="0.2"/>
    <row r="44403" hidden="1" x14ac:dyDescent="0.2"/>
    <row r="44404" hidden="1" x14ac:dyDescent="0.2"/>
    <row r="44405" hidden="1" x14ac:dyDescent="0.2"/>
    <row r="44406" hidden="1" x14ac:dyDescent="0.2"/>
    <row r="44407" hidden="1" x14ac:dyDescent="0.2"/>
    <row r="44408" hidden="1" x14ac:dyDescent="0.2"/>
    <row r="44409" hidden="1" x14ac:dyDescent="0.2"/>
    <row r="44410" hidden="1" x14ac:dyDescent="0.2"/>
    <row r="44411" hidden="1" x14ac:dyDescent="0.2"/>
    <row r="44412" hidden="1" x14ac:dyDescent="0.2"/>
    <row r="44413" hidden="1" x14ac:dyDescent="0.2"/>
    <row r="44414" hidden="1" x14ac:dyDescent="0.2"/>
    <row r="44415" hidden="1" x14ac:dyDescent="0.2"/>
    <row r="44416" hidden="1" x14ac:dyDescent="0.2"/>
    <row r="44417" hidden="1" x14ac:dyDescent="0.2"/>
    <row r="44418" hidden="1" x14ac:dyDescent="0.2"/>
    <row r="44419" hidden="1" x14ac:dyDescent="0.2"/>
    <row r="44420" hidden="1" x14ac:dyDescent="0.2"/>
    <row r="44421" hidden="1" x14ac:dyDescent="0.2"/>
    <row r="44422" hidden="1" x14ac:dyDescent="0.2"/>
    <row r="44423" hidden="1" x14ac:dyDescent="0.2"/>
    <row r="44424" hidden="1" x14ac:dyDescent="0.2"/>
    <row r="44425" hidden="1" x14ac:dyDescent="0.2"/>
    <row r="44426" hidden="1" x14ac:dyDescent="0.2"/>
    <row r="44427" hidden="1" x14ac:dyDescent="0.2"/>
    <row r="44428" hidden="1" x14ac:dyDescent="0.2"/>
    <row r="44429" hidden="1" x14ac:dyDescent="0.2"/>
    <row r="44430" hidden="1" x14ac:dyDescent="0.2"/>
    <row r="44431" hidden="1" x14ac:dyDescent="0.2"/>
    <row r="44432" hidden="1" x14ac:dyDescent="0.2"/>
    <row r="44433" hidden="1" x14ac:dyDescent="0.2"/>
    <row r="44434" hidden="1" x14ac:dyDescent="0.2"/>
    <row r="44435" hidden="1" x14ac:dyDescent="0.2"/>
    <row r="44436" hidden="1" x14ac:dyDescent="0.2"/>
    <row r="44437" hidden="1" x14ac:dyDescent="0.2"/>
    <row r="44438" hidden="1" x14ac:dyDescent="0.2"/>
    <row r="44439" hidden="1" x14ac:dyDescent="0.2"/>
    <row r="44440" hidden="1" x14ac:dyDescent="0.2"/>
    <row r="44441" hidden="1" x14ac:dyDescent="0.2"/>
    <row r="44442" hidden="1" x14ac:dyDescent="0.2"/>
    <row r="44443" hidden="1" x14ac:dyDescent="0.2"/>
    <row r="44444" hidden="1" x14ac:dyDescent="0.2"/>
    <row r="44445" hidden="1" x14ac:dyDescent="0.2"/>
    <row r="44446" hidden="1" x14ac:dyDescent="0.2"/>
    <row r="44447" hidden="1" x14ac:dyDescent="0.2"/>
    <row r="44448" hidden="1" x14ac:dyDescent="0.2"/>
    <row r="44449" hidden="1" x14ac:dyDescent="0.2"/>
    <row r="44450" hidden="1" x14ac:dyDescent="0.2"/>
    <row r="44451" hidden="1" x14ac:dyDescent="0.2"/>
    <row r="44452" hidden="1" x14ac:dyDescent="0.2"/>
    <row r="44453" hidden="1" x14ac:dyDescent="0.2"/>
    <row r="44454" hidden="1" x14ac:dyDescent="0.2"/>
    <row r="44455" hidden="1" x14ac:dyDescent="0.2"/>
    <row r="44456" hidden="1" x14ac:dyDescent="0.2"/>
    <row r="44457" hidden="1" x14ac:dyDescent="0.2"/>
    <row r="44458" hidden="1" x14ac:dyDescent="0.2"/>
    <row r="44459" hidden="1" x14ac:dyDescent="0.2"/>
    <row r="44460" hidden="1" x14ac:dyDescent="0.2"/>
    <row r="44461" hidden="1" x14ac:dyDescent="0.2"/>
    <row r="44462" hidden="1" x14ac:dyDescent="0.2"/>
    <row r="44463" hidden="1" x14ac:dyDescent="0.2"/>
    <row r="44464" hidden="1" x14ac:dyDescent="0.2"/>
    <row r="44465" hidden="1" x14ac:dyDescent="0.2"/>
    <row r="44466" hidden="1" x14ac:dyDescent="0.2"/>
    <row r="44467" hidden="1" x14ac:dyDescent="0.2"/>
    <row r="44468" hidden="1" x14ac:dyDescent="0.2"/>
    <row r="44469" hidden="1" x14ac:dyDescent="0.2"/>
    <row r="44470" hidden="1" x14ac:dyDescent="0.2"/>
    <row r="44471" hidden="1" x14ac:dyDescent="0.2"/>
    <row r="44472" hidden="1" x14ac:dyDescent="0.2"/>
    <row r="44473" hidden="1" x14ac:dyDescent="0.2"/>
    <row r="44474" hidden="1" x14ac:dyDescent="0.2"/>
    <row r="44475" hidden="1" x14ac:dyDescent="0.2"/>
    <row r="44476" hidden="1" x14ac:dyDescent="0.2"/>
    <row r="44477" hidden="1" x14ac:dyDescent="0.2"/>
    <row r="44478" hidden="1" x14ac:dyDescent="0.2"/>
    <row r="44479" hidden="1" x14ac:dyDescent="0.2"/>
    <row r="44480" hidden="1" x14ac:dyDescent="0.2"/>
    <row r="44481" hidden="1" x14ac:dyDescent="0.2"/>
    <row r="44482" hidden="1" x14ac:dyDescent="0.2"/>
    <row r="44483" hidden="1" x14ac:dyDescent="0.2"/>
    <row r="44484" hidden="1" x14ac:dyDescent="0.2"/>
    <row r="44485" hidden="1" x14ac:dyDescent="0.2"/>
    <row r="44486" hidden="1" x14ac:dyDescent="0.2"/>
    <row r="44487" hidden="1" x14ac:dyDescent="0.2"/>
    <row r="44488" hidden="1" x14ac:dyDescent="0.2"/>
    <row r="44489" hidden="1" x14ac:dyDescent="0.2"/>
    <row r="44490" hidden="1" x14ac:dyDescent="0.2"/>
    <row r="44491" hidden="1" x14ac:dyDescent="0.2"/>
    <row r="44492" hidden="1" x14ac:dyDescent="0.2"/>
    <row r="44493" hidden="1" x14ac:dyDescent="0.2"/>
    <row r="44494" hidden="1" x14ac:dyDescent="0.2"/>
    <row r="44495" hidden="1" x14ac:dyDescent="0.2"/>
    <row r="44496" hidden="1" x14ac:dyDescent="0.2"/>
    <row r="44497" hidden="1" x14ac:dyDescent="0.2"/>
    <row r="44498" hidden="1" x14ac:dyDescent="0.2"/>
    <row r="44499" hidden="1" x14ac:dyDescent="0.2"/>
    <row r="44500" hidden="1" x14ac:dyDescent="0.2"/>
    <row r="44501" hidden="1" x14ac:dyDescent="0.2"/>
    <row r="44502" hidden="1" x14ac:dyDescent="0.2"/>
    <row r="44503" hidden="1" x14ac:dyDescent="0.2"/>
    <row r="44504" hidden="1" x14ac:dyDescent="0.2"/>
    <row r="44505" hidden="1" x14ac:dyDescent="0.2"/>
    <row r="44506" hidden="1" x14ac:dyDescent="0.2"/>
    <row r="44507" hidden="1" x14ac:dyDescent="0.2"/>
    <row r="44508" hidden="1" x14ac:dyDescent="0.2"/>
    <row r="44509" hidden="1" x14ac:dyDescent="0.2"/>
    <row r="44510" hidden="1" x14ac:dyDescent="0.2"/>
    <row r="44511" hidden="1" x14ac:dyDescent="0.2"/>
    <row r="44512" hidden="1" x14ac:dyDescent="0.2"/>
    <row r="44513" hidden="1" x14ac:dyDescent="0.2"/>
    <row r="44514" hidden="1" x14ac:dyDescent="0.2"/>
    <row r="44515" hidden="1" x14ac:dyDescent="0.2"/>
    <row r="44516" hidden="1" x14ac:dyDescent="0.2"/>
    <row r="44517" hidden="1" x14ac:dyDescent="0.2"/>
    <row r="44518" hidden="1" x14ac:dyDescent="0.2"/>
    <row r="44519" hidden="1" x14ac:dyDescent="0.2"/>
    <row r="44520" hidden="1" x14ac:dyDescent="0.2"/>
    <row r="44521" hidden="1" x14ac:dyDescent="0.2"/>
    <row r="44522" hidden="1" x14ac:dyDescent="0.2"/>
    <row r="44523" hidden="1" x14ac:dyDescent="0.2"/>
    <row r="44524" hidden="1" x14ac:dyDescent="0.2"/>
    <row r="44525" hidden="1" x14ac:dyDescent="0.2"/>
    <row r="44526" hidden="1" x14ac:dyDescent="0.2"/>
    <row r="44527" hidden="1" x14ac:dyDescent="0.2"/>
    <row r="44528" hidden="1" x14ac:dyDescent="0.2"/>
    <row r="44529" hidden="1" x14ac:dyDescent="0.2"/>
    <row r="44530" hidden="1" x14ac:dyDescent="0.2"/>
    <row r="44531" hidden="1" x14ac:dyDescent="0.2"/>
    <row r="44532" hidden="1" x14ac:dyDescent="0.2"/>
    <row r="44533" hidden="1" x14ac:dyDescent="0.2"/>
    <row r="44534" hidden="1" x14ac:dyDescent="0.2"/>
    <row r="44535" hidden="1" x14ac:dyDescent="0.2"/>
    <row r="44536" hidden="1" x14ac:dyDescent="0.2"/>
    <row r="44537" hidden="1" x14ac:dyDescent="0.2"/>
    <row r="44538" hidden="1" x14ac:dyDescent="0.2"/>
    <row r="44539" hidden="1" x14ac:dyDescent="0.2"/>
    <row r="44540" hidden="1" x14ac:dyDescent="0.2"/>
    <row r="44541" hidden="1" x14ac:dyDescent="0.2"/>
    <row r="44542" hidden="1" x14ac:dyDescent="0.2"/>
    <row r="44543" hidden="1" x14ac:dyDescent="0.2"/>
    <row r="44544" hidden="1" x14ac:dyDescent="0.2"/>
    <row r="44545" hidden="1" x14ac:dyDescent="0.2"/>
    <row r="44546" hidden="1" x14ac:dyDescent="0.2"/>
    <row r="44547" hidden="1" x14ac:dyDescent="0.2"/>
    <row r="44548" hidden="1" x14ac:dyDescent="0.2"/>
    <row r="44549" hidden="1" x14ac:dyDescent="0.2"/>
    <row r="44550" hidden="1" x14ac:dyDescent="0.2"/>
    <row r="44551" hidden="1" x14ac:dyDescent="0.2"/>
    <row r="44552" hidden="1" x14ac:dyDescent="0.2"/>
    <row r="44553" hidden="1" x14ac:dyDescent="0.2"/>
    <row r="44554" hidden="1" x14ac:dyDescent="0.2"/>
    <row r="44555" hidden="1" x14ac:dyDescent="0.2"/>
    <row r="44556" hidden="1" x14ac:dyDescent="0.2"/>
    <row r="44557" hidden="1" x14ac:dyDescent="0.2"/>
    <row r="44558" hidden="1" x14ac:dyDescent="0.2"/>
    <row r="44559" hidden="1" x14ac:dyDescent="0.2"/>
    <row r="44560" hidden="1" x14ac:dyDescent="0.2"/>
    <row r="44561" hidden="1" x14ac:dyDescent="0.2"/>
    <row r="44562" hidden="1" x14ac:dyDescent="0.2"/>
    <row r="44563" hidden="1" x14ac:dyDescent="0.2"/>
    <row r="44564" hidden="1" x14ac:dyDescent="0.2"/>
    <row r="44565" hidden="1" x14ac:dyDescent="0.2"/>
    <row r="44566" hidden="1" x14ac:dyDescent="0.2"/>
    <row r="44567" hidden="1" x14ac:dyDescent="0.2"/>
    <row r="44568" hidden="1" x14ac:dyDescent="0.2"/>
    <row r="44569" hidden="1" x14ac:dyDescent="0.2"/>
    <row r="44570" hidden="1" x14ac:dyDescent="0.2"/>
    <row r="44571" hidden="1" x14ac:dyDescent="0.2"/>
    <row r="44572" hidden="1" x14ac:dyDescent="0.2"/>
    <row r="44573" hidden="1" x14ac:dyDescent="0.2"/>
    <row r="44574" hidden="1" x14ac:dyDescent="0.2"/>
    <row r="44575" hidden="1" x14ac:dyDescent="0.2"/>
    <row r="44576" hidden="1" x14ac:dyDescent="0.2"/>
    <row r="44577" hidden="1" x14ac:dyDescent="0.2"/>
    <row r="44578" hidden="1" x14ac:dyDescent="0.2"/>
    <row r="44579" hidden="1" x14ac:dyDescent="0.2"/>
    <row r="44580" hidden="1" x14ac:dyDescent="0.2"/>
    <row r="44581" hidden="1" x14ac:dyDescent="0.2"/>
    <row r="44582" hidden="1" x14ac:dyDescent="0.2"/>
    <row r="44583" hidden="1" x14ac:dyDescent="0.2"/>
    <row r="44584" hidden="1" x14ac:dyDescent="0.2"/>
    <row r="44585" hidden="1" x14ac:dyDescent="0.2"/>
    <row r="44586" hidden="1" x14ac:dyDescent="0.2"/>
    <row r="44587" hidden="1" x14ac:dyDescent="0.2"/>
    <row r="44588" hidden="1" x14ac:dyDescent="0.2"/>
    <row r="44589" hidden="1" x14ac:dyDescent="0.2"/>
    <row r="44590" hidden="1" x14ac:dyDescent="0.2"/>
    <row r="44591" hidden="1" x14ac:dyDescent="0.2"/>
    <row r="44592" hidden="1" x14ac:dyDescent="0.2"/>
    <row r="44593" hidden="1" x14ac:dyDescent="0.2"/>
    <row r="44594" hidden="1" x14ac:dyDescent="0.2"/>
    <row r="44595" hidden="1" x14ac:dyDescent="0.2"/>
    <row r="44596" hidden="1" x14ac:dyDescent="0.2"/>
    <row r="44597" hidden="1" x14ac:dyDescent="0.2"/>
    <row r="44598" hidden="1" x14ac:dyDescent="0.2"/>
    <row r="44599" hidden="1" x14ac:dyDescent="0.2"/>
    <row r="44600" hidden="1" x14ac:dyDescent="0.2"/>
    <row r="44601" hidden="1" x14ac:dyDescent="0.2"/>
    <row r="44602" hidden="1" x14ac:dyDescent="0.2"/>
    <row r="44603" hidden="1" x14ac:dyDescent="0.2"/>
    <row r="44604" hidden="1" x14ac:dyDescent="0.2"/>
    <row r="44605" hidden="1" x14ac:dyDescent="0.2"/>
    <row r="44606" hidden="1" x14ac:dyDescent="0.2"/>
    <row r="44607" hidden="1" x14ac:dyDescent="0.2"/>
    <row r="44608" hidden="1" x14ac:dyDescent="0.2"/>
    <row r="44609" hidden="1" x14ac:dyDescent="0.2"/>
    <row r="44610" hidden="1" x14ac:dyDescent="0.2"/>
    <row r="44611" hidden="1" x14ac:dyDescent="0.2"/>
    <row r="44612" hidden="1" x14ac:dyDescent="0.2"/>
    <row r="44613" hidden="1" x14ac:dyDescent="0.2"/>
    <row r="44614" hidden="1" x14ac:dyDescent="0.2"/>
    <row r="44615" hidden="1" x14ac:dyDescent="0.2"/>
    <row r="44616" hidden="1" x14ac:dyDescent="0.2"/>
    <row r="44617" hidden="1" x14ac:dyDescent="0.2"/>
    <row r="44618" hidden="1" x14ac:dyDescent="0.2"/>
    <row r="44619" hidden="1" x14ac:dyDescent="0.2"/>
    <row r="44620" hidden="1" x14ac:dyDescent="0.2"/>
    <row r="44621" hidden="1" x14ac:dyDescent="0.2"/>
    <row r="44622" hidden="1" x14ac:dyDescent="0.2"/>
    <row r="44623" hidden="1" x14ac:dyDescent="0.2"/>
    <row r="44624" hidden="1" x14ac:dyDescent="0.2"/>
    <row r="44625" hidden="1" x14ac:dyDescent="0.2"/>
    <row r="44626" hidden="1" x14ac:dyDescent="0.2"/>
    <row r="44627" hidden="1" x14ac:dyDescent="0.2"/>
    <row r="44628" hidden="1" x14ac:dyDescent="0.2"/>
    <row r="44629" hidden="1" x14ac:dyDescent="0.2"/>
    <row r="44630" hidden="1" x14ac:dyDescent="0.2"/>
    <row r="44631" hidden="1" x14ac:dyDescent="0.2"/>
    <row r="44632" hidden="1" x14ac:dyDescent="0.2"/>
    <row r="44633" hidden="1" x14ac:dyDescent="0.2"/>
    <row r="44634" hidden="1" x14ac:dyDescent="0.2"/>
    <row r="44635" hidden="1" x14ac:dyDescent="0.2"/>
    <row r="44636" hidden="1" x14ac:dyDescent="0.2"/>
    <row r="44637" hidden="1" x14ac:dyDescent="0.2"/>
    <row r="44638" hidden="1" x14ac:dyDescent="0.2"/>
    <row r="44639" hidden="1" x14ac:dyDescent="0.2"/>
    <row r="44640" hidden="1" x14ac:dyDescent="0.2"/>
    <row r="44641" hidden="1" x14ac:dyDescent="0.2"/>
    <row r="44642" hidden="1" x14ac:dyDescent="0.2"/>
    <row r="44643" hidden="1" x14ac:dyDescent="0.2"/>
    <row r="44644" hidden="1" x14ac:dyDescent="0.2"/>
    <row r="44645" hidden="1" x14ac:dyDescent="0.2"/>
    <row r="44646" hidden="1" x14ac:dyDescent="0.2"/>
    <row r="44647" hidden="1" x14ac:dyDescent="0.2"/>
    <row r="44648" hidden="1" x14ac:dyDescent="0.2"/>
    <row r="44649" hidden="1" x14ac:dyDescent="0.2"/>
    <row r="44650" hidden="1" x14ac:dyDescent="0.2"/>
    <row r="44651" hidden="1" x14ac:dyDescent="0.2"/>
    <row r="44652" hidden="1" x14ac:dyDescent="0.2"/>
    <row r="44653" hidden="1" x14ac:dyDescent="0.2"/>
    <row r="44654" hidden="1" x14ac:dyDescent="0.2"/>
    <row r="44655" hidden="1" x14ac:dyDescent="0.2"/>
    <row r="44656" hidden="1" x14ac:dyDescent="0.2"/>
    <row r="44657" hidden="1" x14ac:dyDescent="0.2"/>
    <row r="44658" hidden="1" x14ac:dyDescent="0.2"/>
    <row r="44659" hidden="1" x14ac:dyDescent="0.2"/>
    <row r="44660" hidden="1" x14ac:dyDescent="0.2"/>
    <row r="44661" hidden="1" x14ac:dyDescent="0.2"/>
    <row r="44662" hidden="1" x14ac:dyDescent="0.2"/>
    <row r="44663" hidden="1" x14ac:dyDescent="0.2"/>
    <row r="44664" hidden="1" x14ac:dyDescent="0.2"/>
    <row r="44665" hidden="1" x14ac:dyDescent="0.2"/>
    <row r="44666" hidden="1" x14ac:dyDescent="0.2"/>
    <row r="44667" hidden="1" x14ac:dyDescent="0.2"/>
    <row r="44668" hidden="1" x14ac:dyDescent="0.2"/>
    <row r="44669" hidden="1" x14ac:dyDescent="0.2"/>
    <row r="44670" hidden="1" x14ac:dyDescent="0.2"/>
    <row r="44671" hidden="1" x14ac:dyDescent="0.2"/>
    <row r="44672" hidden="1" x14ac:dyDescent="0.2"/>
    <row r="44673" hidden="1" x14ac:dyDescent="0.2"/>
    <row r="44674" hidden="1" x14ac:dyDescent="0.2"/>
    <row r="44675" hidden="1" x14ac:dyDescent="0.2"/>
    <row r="44676" hidden="1" x14ac:dyDescent="0.2"/>
    <row r="44677" hidden="1" x14ac:dyDescent="0.2"/>
    <row r="44678" hidden="1" x14ac:dyDescent="0.2"/>
    <row r="44679" hidden="1" x14ac:dyDescent="0.2"/>
    <row r="44680" hidden="1" x14ac:dyDescent="0.2"/>
    <row r="44681" hidden="1" x14ac:dyDescent="0.2"/>
    <row r="44682" hidden="1" x14ac:dyDescent="0.2"/>
    <row r="44683" hidden="1" x14ac:dyDescent="0.2"/>
    <row r="44684" hidden="1" x14ac:dyDescent="0.2"/>
    <row r="44685" hidden="1" x14ac:dyDescent="0.2"/>
    <row r="44686" hidden="1" x14ac:dyDescent="0.2"/>
    <row r="44687" hidden="1" x14ac:dyDescent="0.2"/>
    <row r="44688" hidden="1" x14ac:dyDescent="0.2"/>
    <row r="44689" hidden="1" x14ac:dyDescent="0.2"/>
    <row r="44690" hidden="1" x14ac:dyDescent="0.2"/>
    <row r="44691" hidden="1" x14ac:dyDescent="0.2"/>
    <row r="44692" hidden="1" x14ac:dyDescent="0.2"/>
    <row r="44693" hidden="1" x14ac:dyDescent="0.2"/>
    <row r="44694" hidden="1" x14ac:dyDescent="0.2"/>
    <row r="44695" hidden="1" x14ac:dyDescent="0.2"/>
    <row r="44696" hidden="1" x14ac:dyDescent="0.2"/>
    <row r="44697" hidden="1" x14ac:dyDescent="0.2"/>
    <row r="44698" hidden="1" x14ac:dyDescent="0.2"/>
    <row r="44699" hidden="1" x14ac:dyDescent="0.2"/>
    <row r="44700" hidden="1" x14ac:dyDescent="0.2"/>
    <row r="44701" hidden="1" x14ac:dyDescent="0.2"/>
    <row r="44702" hidden="1" x14ac:dyDescent="0.2"/>
    <row r="44703" hidden="1" x14ac:dyDescent="0.2"/>
    <row r="44704" hidden="1" x14ac:dyDescent="0.2"/>
    <row r="44705" hidden="1" x14ac:dyDescent="0.2"/>
    <row r="44706" hidden="1" x14ac:dyDescent="0.2"/>
    <row r="44707" hidden="1" x14ac:dyDescent="0.2"/>
    <row r="44708" hidden="1" x14ac:dyDescent="0.2"/>
    <row r="44709" hidden="1" x14ac:dyDescent="0.2"/>
    <row r="44710" hidden="1" x14ac:dyDescent="0.2"/>
    <row r="44711" hidden="1" x14ac:dyDescent="0.2"/>
    <row r="44712" hidden="1" x14ac:dyDescent="0.2"/>
    <row r="44713" hidden="1" x14ac:dyDescent="0.2"/>
    <row r="44714" hidden="1" x14ac:dyDescent="0.2"/>
    <row r="44715" hidden="1" x14ac:dyDescent="0.2"/>
    <row r="44716" hidden="1" x14ac:dyDescent="0.2"/>
    <row r="44717" hidden="1" x14ac:dyDescent="0.2"/>
    <row r="44718" hidden="1" x14ac:dyDescent="0.2"/>
    <row r="44719" hidden="1" x14ac:dyDescent="0.2"/>
    <row r="44720" hidden="1" x14ac:dyDescent="0.2"/>
    <row r="44721" hidden="1" x14ac:dyDescent="0.2"/>
    <row r="44722" hidden="1" x14ac:dyDescent="0.2"/>
    <row r="44723" hidden="1" x14ac:dyDescent="0.2"/>
    <row r="44724" hidden="1" x14ac:dyDescent="0.2"/>
    <row r="44725" hidden="1" x14ac:dyDescent="0.2"/>
    <row r="44726" hidden="1" x14ac:dyDescent="0.2"/>
    <row r="44727" hidden="1" x14ac:dyDescent="0.2"/>
    <row r="44728" hidden="1" x14ac:dyDescent="0.2"/>
    <row r="44729" hidden="1" x14ac:dyDescent="0.2"/>
    <row r="44730" hidden="1" x14ac:dyDescent="0.2"/>
    <row r="44731" hidden="1" x14ac:dyDescent="0.2"/>
    <row r="44732" hidden="1" x14ac:dyDescent="0.2"/>
    <row r="44733" hidden="1" x14ac:dyDescent="0.2"/>
    <row r="44734" hidden="1" x14ac:dyDescent="0.2"/>
    <row r="44735" hidden="1" x14ac:dyDescent="0.2"/>
    <row r="44736" hidden="1" x14ac:dyDescent="0.2"/>
    <row r="44737" hidden="1" x14ac:dyDescent="0.2"/>
    <row r="44738" hidden="1" x14ac:dyDescent="0.2"/>
    <row r="44739" hidden="1" x14ac:dyDescent="0.2"/>
    <row r="44740" hidden="1" x14ac:dyDescent="0.2"/>
    <row r="44741" hidden="1" x14ac:dyDescent="0.2"/>
    <row r="44742" hidden="1" x14ac:dyDescent="0.2"/>
    <row r="44743" hidden="1" x14ac:dyDescent="0.2"/>
    <row r="44744" hidden="1" x14ac:dyDescent="0.2"/>
    <row r="44745" hidden="1" x14ac:dyDescent="0.2"/>
    <row r="44746" hidden="1" x14ac:dyDescent="0.2"/>
    <row r="44747" hidden="1" x14ac:dyDescent="0.2"/>
    <row r="44748" hidden="1" x14ac:dyDescent="0.2"/>
    <row r="44749" hidden="1" x14ac:dyDescent="0.2"/>
    <row r="44750" hidden="1" x14ac:dyDescent="0.2"/>
    <row r="44751" hidden="1" x14ac:dyDescent="0.2"/>
    <row r="44752" hidden="1" x14ac:dyDescent="0.2"/>
    <row r="44753" hidden="1" x14ac:dyDescent="0.2"/>
    <row r="44754" hidden="1" x14ac:dyDescent="0.2"/>
    <row r="44755" hidden="1" x14ac:dyDescent="0.2"/>
    <row r="44756" hidden="1" x14ac:dyDescent="0.2"/>
    <row r="44757" hidden="1" x14ac:dyDescent="0.2"/>
    <row r="44758" hidden="1" x14ac:dyDescent="0.2"/>
    <row r="44759" hidden="1" x14ac:dyDescent="0.2"/>
    <row r="44760" hidden="1" x14ac:dyDescent="0.2"/>
    <row r="44761" hidden="1" x14ac:dyDescent="0.2"/>
    <row r="44762" hidden="1" x14ac:dyDescent="0.2"/>
    <row r="44763" hidden="1" x14ac:dyDescent="0.2"/>
    <row r="44764" hidden="1" x14ac:dyDescent="0.2"/>
    <row r="44765" hidden="1" x14ac:dyDescent="0.2"/>
    <row r="44766" hidden="1" x14ac:dyDescent="0.2"/>
    <row r="44767" hidden="1" x14ac:dyDescent="0.2"/>
    <row r="44768" hidden="1" x14ac:dyDescent="0.2"/>
    <row r="44769" hidden="1" x14ac:dyDescent="0.2"/>
    <row r="44770" hidden="1" x14ac:dyDescent="0.2"/>
    <row r="44771" hidden="1" x14ac:dyDescent="0.2"/>
    <row r="44772" hidden="1" x14ac:dyDescent="0.2"/>
    <row r="44773" hidden="1" x14ac:dyDescent="0.2"/>
    <row r="44774" hidden="1" x14ac:dyDescent="0.2"/>
    <row r="44775" hidden="1" x14ac:dyDescent="0.2"/>
    <row r="44776" hidden="1" x14ac:dyDescent="0.2"/>
    <row r="44777" hidden="1" x14ac:dyDescent="0.2"/>
    <row r="44778" hidden="1" x14ac:dyDescent="0.2"/>
    <row r="44779" hidden="1" x14ac:dyDescent="0.2"/>
    <row r="44780" hidden="1" x14ac:dyDescent="0.2"/>
    <row r="44781" hidden="1" x14ac:dyDescent="0.2"/>
    <row r="44782" hidden="1" x14ac:dyDescent="0.2"/>
    <row r="44783" hidden="1" x14ac:dyDescent="0.2"/>
    <row r="44784" hidden="1" x14ac:dyDescent="0.2"/>
    <row r="44785" hidden="1" x14ac:dyDescent="0.2"/>
    <row r="44786" hidden="1" x14ac:dyDescent="0.2"/>
    <row r="44787" hidden="1" x14ac:dyDescent="0.2"/>
    <row r="44788" hidden="1" x14ac:dyDescent="0.2"/>
    <row r="44789" hidden="1" x14ac:dyDescent="0.2"/>
    <row r="44790" hidden="1" x14ac:dyDescent="0.2"/>
    <row r="44791" hidden="1" x14ac:dyDescent="0.2"/>
    <row r="44792" hidden="1" x14ac:dyDescent="0.2"/>
    <row r="44793" hidden="1" x14ac:dyDescent="0.2"/>
    <row r="44794" hidden="1" x14ac:dyDescent="0.2"/>
    <row r="44795" hidden="1" x14ac:dyDescent="0.2"/>
    <row r="44796" hidden="1" x14ac:dyDescent="0.2"/>
    <row r="44797" hidden="1" x14ac:dyDescent="0.2"/>
    <row r="44798" hidden="1" x14ac:dyDescent="0.2"/>
    <row r="44799" hidden="1" x14ac:dyDescent="0.2"/>
    <row r="44800" hidden="1" x14ac:dyDescent="0.2"/>
    <row r="44801" hidden="1" x14ac:dyDescent="0.2"/>
    <row r="44802" hidden="1" x14ac:dyDescent="0.2"/>
    <row r="44803" hidden="1" x14ac:dyDescent="0.2"/>
    <row r="44804" hidden="1" x14ac:dyDescent="0.2"/>
    <row r="44805" hidden="1" x14ac:dyDescent="0.2"/>
    <row r="44806" hidden="1" x14ac:dyDescent="0.2"/>
    <row r="44807" hidden="1" x14ac:dyDescent="0.2"/>
    <row r="44808" hidden="1" x14ac:dyDescent="0.2"/>
    <row r="44809" hidden="1" x14ac:dyDescent="0.2"/>
    <row r="44810" hidden="1" x14ac:dyDescent="0.2"/>
    <row r="44811" hidden="1" x14ac:dyDescent="0.2"/>
    <row r="44812" hidden="1" x14ac:dyDescent="0.2"/>
    <row r="44813" hidden="1" x14ac:dyDescent="0.2"/>
    <row r="44814" hidden="1" x14ac:dyDescent="0.2"/>
    <row r="44815" hidden="1" x14ac:dyDescent="0.2"/>
    <row r="44816" hidden="1" x14ac:dyDescent="0.2"/>
    <row r="44817" hidden="1" x14ac:dyDescent="0.2"/>
    <row r="44818" hidden="1" x14ac:dyDescent="0.2"/>
    <row r="44819" hidden="1" x14ac:dyDescent="0.2"/>
    <row r="44820" hidden="1" x14ac:dyDescent="0.2"/>
    <row r="44821" hidden="1" x14ac:dyDescent="0.2"/>
    <row r="44822" hidden="1" x14ac:dyDescent="0.2"/>
    <row r="44823" hidden="1" x14ac:dyDescent="0.2"/>
    <row r="44824" hidden="1" x14ac:dyDescent="0.2"/>
    <row r="44825" hidden="1" x14ac:dyDescent="0.2"/>
    <row r="44826" hidden="1" x14ac:dyDescent="0.2"/>
    <row r="44827" hidden="1" x14ac:dyDescent="0.2"/>
    <row r="44828" hidden="1" x14ac:dyDescent="0.2"/>
    <row r="44829" hidden="1" x14ac:dyDescent="0.2"/>
    <row r="44830" hidden="1" x14ac:dyDescent="0.2"/>
    <row r="44831" hidden="1" x14ac:dyDescent="0.2"/>
    <row r="44832" hidden="1" x14ac:dyDescent="0.2"/>
    <row r="44833" hidden="1" x14ac:dyDescent="0.2"/>
    <row r="44834" hidden="1" x14ac:dyDescent="0.2"/>
    <row r="44835" hidden="1" x14ac:dyDescent="0.2"/>
    <row r="44836" hidden="1" x14ac:dyDescent="0.2"/>
    <row r="44837" hidden="1" x14ac:dyDescent="0.2"/>
    <row r="44838" hidden="1" x14ac:dyDescent="0.2"/>
    <row r="44839" hidden="1" x14ac:dyDescent="0.2"/>
    <row r="44840" hidden="1" x14ac:dyDescent="0.2"/>
    <row r="44841" hidden="1" x14ac:dyDescent="0.2"/>
    <row r="44842" hidden="1" x14ac:dyDescent="0.2"/>
    <row r="44843" hidden="1" x14ac:dyDescent="0.2"/>
    <row r="44844" hidden="1" x14ac:dyDescent="0.2"/>
    <row r="44845" hidden="1" x14ac:dyDescent="0.2"/>
    <row r="44846" hidden="1" x14ac:dyDescent="0.2"/>
    <row r="44847" hidden="1" x14ac:dyDescent="0.2"/>
    <row r="44848" hidden="1" x14ac:dyDescent="0.2"/>
    <row r="44849" hidden="1" x14ac:dyDescent="0.2"/>
    <row r="44850" hidden="1" x14ac:dyDescent="0.2"/>
    <row r="44851" hidden="1" x14ac:dyDescent="0.2"/>
    <row r="44852" hidden="1" x14ac:dyDescent="0.2"/>
    <row r="44853" hidden="1" x14ac:dyDescent="0.2"/>
    <row r="44854" hidden="1" x14ac:dyDescent="0.2"/>
    <row r="44855" hidden="1" x14ac:dyDescent="0.2"/>
    <row r="44856" hidden="1" x14ac:dyDescent="0.2"/>
    <row r="44857" hidden="1" x14ac:dyDescent="0.2"/>
    <row r="44858" hidden="1" x14ac:dyDescent="0.2"/>
    <row r="44859" hidden="1" x14ac:dyDescent="0.2"/>
    <row r="44860" hidden="1" x14ac:dyDescent="0.2"/>
    <row r="44861" hidden="1" x14ac:dyDescent="0.2"/>
    <row r="44862" hidden="1" x14ac:dyDescent="0.2"/>
    <row r="44863" hidden="1" x14ac:dyDescent="0.2"/>
    <row r="44864" hidden="1" x14ac:dyDescent="0.2"/>
    <row r="44865" hidden="1" x14ac:dyDescent="0.2"/>
    <row r="44866" hidden="1" x14ac:dyDescent="0.2"/>
    <row r="44867" hidden="1" x14ac:dyDescent="0.2"/>
    <row r="44868" hidden="1" x14ac:dyDescent="0.2"/>
    <row r="44869" hidden="1" x14ac:dyDescent="0.2"/>
    <row r="44870" hidden="1" x14ac:dyDescent="0.2"/>
    <row r="44871" hidden="1" x14ac:dyDescent="0.2"/>
    <row r="44872" hidden="1" x14ac:dyDescent="0.2"/>
    <row r="44873" hidden="1" x14ac:dyDescent="0.2"/>
    <row r="44874" hidden="1" x14ac:dyDescent="0.2"/>
    <row r="44875" hidden="1" x14ac:dyDescent="0.2"/>
    <row r="44876" hidden="1" x14ac:dyDescent="0.2"/>
    <row r="44877" hidden="1" x14ac:dyDescent="0.2"/>
    <row r="44878" hidden="1" x14ac:dyDescent="0.2"/>
    <row r="44879" hidden="1" x14ac:dyDescent="0.2"/>
    <row r="44880" hidden="1" x14ac:dyDescent="0.2"/>
    <row r="44881" hidden="1" x14ac:dyDescent="0.2"/>
    <row r="44882" hidden="1" x14ac:dyDescent="0.2"/>
    <row r="44883" hidden="1" x14ac:dyDescent="0.2"/>
    <row r="44884" hidden="1" x14ac:dyDescent="0.2"/>
    <row r="44885" hidden="1" x14ac:dyDescent="0.2"/>
    <row r="44886" hidden="1" x14ac:dyDescent="0.2"/>
    <row r="44887" hidden="1" x14ac:dyDescent="0.2"/>
    <row r="44888" hidden="1" x14ac:dyDescent="0.2"/>
    <row r="44889" hidden="1" x14ac:dyDescent="0.2"/>
    <row r="44890" hidden="1" x14ac:dyDescent="0.2"/>
    <row r="44891" hidden="1" x14ac:dyDescent="0.2"/>
    <row r="44892" hidden="1" x14ac:dyDescent="0.2"/>
    <row r="44893" hidden="1" x14ac:dyDescent="0.2"/>
    <row r="44894" hidden="1" x14ac:dyDescent="0.2"/>
    <row r="44895" hidden="1" x14ac:dyDescent="0.2"/>
    <row r="44896" hidden="1" x14ac:dyDescent="0.2"/>
    <row r="44897" hidden="1" x14ac:dyDescent="0.2"/>
    <row r="44898" hidden="1" x14ac:dyDescent="0.2"/>
    <row r="44899" hidden="1" x14ac:dyDescent="0.2"/>
    <row r="44900" hidden="1" x14ac:dyDescent="0.2"/>
    <row r="44901" hidden="1" x14ac:dyDescent="0.2"/>
    <row r="44902" hidden="1" x14ac:dyDescent="0.2"/>
    <row r="44903" hidden="1" x14ac:dyDescent="0.2"/>
    <row r="44904" hidden="1" x14ac:dyDescent="0.2"/>
    <row r="44905" hidden="1" x14ac:dyDescent="0.2"/>
    <row r="44906" hidden="1" x14ac:dyDescent="0.2"/>
    <row r="44907" hidden="1" x14ac:dyDescent="0.2"/>
    <row r="44908" hidden="1" x14ac:dyDescent="0.2"/>
    <row r="44909" hidden="1" x14ac:dyDescent="0.2"/>
    <row r="44910" hidden="1" x14ac:dyDescent="0.2"/>
    <row r="44911" hidden="1" x14ac:dyDescent="0.2"/>
    <row r="44912" hidden="1" x14ac:dyDescent="0.2"/>
    <row r="44913" hidden="1" x14ac:dyDescent="0.2"/>
    <row r="44914" hidden="1" x14ac:dyDescent="0.2"/>
    <row r="44915" hidden="1" x14ac:dyDescent="0.2"/>
    <row r="44916" hidden="1" x14ac:dyDescent="0.2"/>
    <row r="44917" hidden="1" x14ac:dyDescent="0.2"/>
    <row r="44918" hidden="1" x14ac:dyDescent="0.2"/>
    <row r="44919" hidden="1" x14ac:dyDescent="0.2"/>
    <row r="44920" hidden="1" x14ac:dyDescent="0.2"/>
    <row r="44921" hidden="1" x14ac:dyDescent="0.2"/>
    <row r="44922" hidden="1" x14ac:dyDescent="0.2"/>
    <row r="44923" hidden="1" x14ac:dyDescent="0.2"/>
    <row r="44924" hidden="1" x14ac:dyDescent="0.2"/>
    <row r="44925" hidden="1" x14ac:dyDescent="0.2"/>
    <row r="44926" hidden="1" x14ac:dyDescent="0.2"/>
    <row r="44927" hidden="1" x14ac:dyDescent="0.2"/>
    <row r="44928" hidden="1" x14ac:dyDescent="0.2"/>
    <row r="44929" hidden="1" x14ac:dyDescent="0.2"/>
    <row r="44930" hidden="1" x14ac:dyDescent="0.2"/>
    <row r="44931" hidden="1" x14ac:dyDescent="0.2"/>
    <row r="44932" hidden="1" x14ac:dyDescent="0.2"/>
    <row r="44933" hidden="1" x14ac:dyDescent="0.2"/>
    <row r="44934" hidden="1" x14ac:dyDescent="0.2"/>
    <row r="44935" hidden="1" x14ac:dyDescent="0.2"/>
    <row r="44936" hidden="1" x14ac:dyDescent="0.2"/>
    <row r="44937" hidden="1" x14ac:dyDescent="0.2"/>
    <row r="44938" hidden="1" x14ac:dyDescent="0.2"/>
    <row r="44939" hidden="1" x14ac:dyDescent="0.2"/>
    <row r="44940" hidden="1" x14ac:dyDescent="0.2"/>
    <row r="44941" hidden="1" x14ac:dyDescent="0.2"/>
    <row r="44942" hidden="1" x14ac:dyDescent="0.2"/>
    <row r="44943" hidden="1" x14ac:dyDescent="0.2"/>
    <row r="44944" hidden="1" x14ac:dyDescent="0.2"/>
    <row r="44945" hidden="1" x14ac:dyDescent="0.2"/>
    <row r="44946" hidden="1" x14ac:dyDescent="0.2"/>
    <row r="44947" hidden="1" x14ac:dyDescent="0.2"/>
    <row r="44948" hidden="1" x14ac:dyDescent="0.2"/>
    <row r="44949" hidden="1" x14ac:dyDescent="0.2"/>
    <row r="44950" hidden="1" x14ac:dyDescent="0.2"/>
    <row r="44951" hidden="1" x14ac:dyDescent="0.2"/>
    <row r="44952" hidden="1" x14ac:dyDescent="0.2"/>
    <row r="44953" hidden="1" x14ac:dyDescent="0.2"/>
    <row r="44954" hidden="1" x14ac:dyDescent="0.2"/>
    <row r="44955" hidden="1" x14ac:dyDescent="0.2"/>
    <row r="44956" hidden="1" x14ac:dyDescent="0.2"/>
    <row r="44957" hidden="1" x14ac:dyDescent="0.2"/>
    <row r="44958" hidden="1" x14ac:dyDescent="0.2"/>
    <row r="44959" hidden="1" x14ac:dyDescent="0.2"/>
    <row r="44960" hidden="1" x14ac:dyDescent="0.2"/>
    <row r="44961" hidden="1" x14ac:dyDescent="0.2"/>
    <row r="44962" hidden="1" x14ac:dyDescent="0.2"/>
    <row r="44963" hidden="1" x14ac:dyDescent="0.2"/>
    <row r="44964" hidden="1" x14ac:dyDescent="0.2"/>
    <row r="44965" hidden="1" x14ac:dyDescent="0.2"/>
    <row r="44966" hidden="1" x14ac:dyDescent="0.2"/>
    <row r="44967" hidden="1" x14ac:dyDescent="0.2"/>
    <row r="44968" hidden="1" x14ac:dyDescent="0.2"/>
    <row r="44969" hidden="1" x14ac:dyDescent="0.2"/>
    <row r="44970" hidden="1" x14ac:dyDescent="0.2"/>
    <row r="44971" hidden="1" x14ac:dyDescent="0.2"/>
    <row r="44972" hidden="1" x14ac:dyDescent="0.2"/>
    <row r="44973" hidden="1" x14ac:dyDescent="0.2"/>
    <row r="44974" hidden="1" x14ac:dyDescent="0.2"/>
    <row r="44975" hidden="1" x14ac:dyDescent="0.2"/>
    <row r="44976" hidden="1" x14ac:dyDescent="0.2"/>
    <row r="44977" hidden="1" x14ac:dyDescent="0.2"/>
    <row r="44978" hidden="1" x14ac:dyDescent="0.2"/>
    <row r="44979" hidden="1" x14ac:dyDescent="0.2"/>
    <row r="44980" hidden="1" x14ac:dyDescent="0.2"/>
    <row r="44981" hidden="1" x14ac:dyDescent="0.2"/>
    <row r="44982" hidden="1" x14ac:dyDescent="0.2"/>
    <row r="44983" hidden="1" x14ac:dyDescent="0.2"/>
    <row r="44984" hidden="1" x14ac:dyDescent="0.2"/>
    <row r="44985" hidden="1" x14ac:dyDescent="0.2"/>
    <row r="44986" hidden="1" x14ac:dyDescent="0.2"/>
    <row r="44987" hidden="1" x14ac:dyDescent="0.2"/>
    <row r="44988" hidden="1" x14ac:dyDescent="0.2"/>
    <row r="44989" hidden="1" x14ac:dyDescent="0.2"/>
    <row r="44990" hidden="1" x14ac:dyDescent="0.2"/>
    <row r="44991" hidden="1" x14ac:dyDescent="0.2"/>
    <row r="44992" hidden="1" x14ac:dyDescent="0.2"/>
    <row r="44993" hidden="1" x14ac:dyDescent="0.2"/>
    <row r="44994" hidden="1" x14ac:dyDescent="0.2"/>
    <row r="44995" hidden="1" x14ac:dyDescent="0.2"/>
    <row r="44996" hidden="1" x14ac:dyDescent="0.2"/>
    <row r="44997" hidden="1" x14ac:dyDescent="0.2"/>
    <row r="44998" hidden="1" x14ac:dyDescent="0.2"/>
    <row r="44999" hidden="1" x14ac:dyDescent="0.2"/>
    <row r="45000" hidden="1" x14ac:dyDescent="0.2"/>
    <row r="45001" hidden="1" x14ac:dyDescent="0.2"/>
    <row r="45002" hidden="1" x14ac:dyDescent="0.2"/>
    <row r="45003" hidden="1" x14ac:dyDescent="0.2"/>
    <row r="45004" hidden="1" x14ac:dyDescent="0.2"/>
    <row r="45005" hidden="1" x14ac:dyDescent="0.2"/>
    <row r="45006" hidden="1" x14ac:dyDescent="0.2"/>
    <row r="45007" hidden="1" x14ac:dyDescent="0.2"/>
    <row r="45008" hidden="1" x14ac:dyDescent="0.2"/>
    <row r="45009" hidden="1" x14ac:dyDescent="0.2"/>
    <row r="45010" hidden="1" x14ac:dyDescent="0.2"/>
    <row r="45011" hidden="1" x14ac:dyDescent="0.2"/>
    <row r="45012" hidden="1" x14ac:dyDescent="0.2"/>
    <row r="45013" hidden="1" x14ac:dyDescent="0.2"/>
    <row r="45014" hidden="1" x14ac:dyDescent="0.2"/>
    <row r="45015" hidden="1" x14ac:dyDescent="0.2"/>
    <row r="45016" hidden="1" x14ac:dyDescent="0.2"/>
    <row r="45017" hidden="1" x14ac:dyDescent="0.2"/>
    <row r="45018" hidden="1" x14ac:dyDescent="0.2"/>
    <row r="45019" hidden="1" x14ac:dyDescent="0.2"/>
    <row r="45020" hidden="1" x14ac:dyDescent="0.2"/>
    <row r="45021" hidden="1" x14ac:dyDescent="0.2"/>
    <row r="45022" hidden="1" x14ac:dyDescent="0.2"/>
    <row r="45023" hidden="1" x14ac:dyDescent="0.2"/>
    <row r="45024" hidden="1" x14ac:dyDescent="0.2"/>
    <row r="45025" hidden="1" x14ac:dyDescent="0.2"/>
    <row r="45026" hidden="1" x14ac:dyDescent="0.2"/>
    <row r="45027" hidden="1" x14ac:dyDescent="0.2"/>
    <row r="45028" hidden="1" x14ac:dyDescent="0.2"/>
    <row r="45029" hidden="1" x14ac:dyDescent="0.2"/>
    <row r="45030" hidden="1" x14ac:dyDescent="0.2"/>
    <row r="45031" hidden="1" x14ac:dyDescent="0.2"/>
    <row r="45032" hidden="1" x14ac:dyDescent="0.2"/>
    <row r="45033" hidden="1" x14ac:dyDescent="0.2"/>
    <row r="45034" hidden="1" x14ac:dyDescent="0.2"/>
    <row r="45035" hidden="1" x14ac:dyDescent="0.2"/>
    <row r="45036" hidden="1" x14ac:dyDescent="0.2"/>
    <row r="45037" hidden="1" x14ac:dyDescent="0.2"/>
    <row r="45038" hidden="1" x14ac:dyDescent="0.2"/>
    <row r="45039" hidden="1" x14ac:dyDescent="0.2"/>
    <row r="45040" hidden="1" x14ac:dyDescent="0.2"/>
    <row r="45041" hidden="1" x14ac:dyDescent="0.2"/>
    <row r="45042" hidden="1" x14ac:dyDescent="0.2"/>
    <row r="45043" hidden="1" x14ac:dyDescent="0.2"/>
    <row r="45044" hidden="1" x14ac:dyDescent="0.2"/>
    <row r="45045" hidden="1" x14ac:dyDescent="0.2"/>
    <row r="45046" hidden="1" x14ac:dyDescent="0.2"/>
    <row r="45047" hidden="1" x14ac:dyDescent="0.2"/>
    <row r="45048" hidden="1" x14ac:dyDescent="0.2"/>
    <row r="45049" hidden="1" x14ac:dyDescent="0.2"/>
    <row r="45050" hidden="1" x14ac:dyDescent="0.2"/>
    <row r="45051" hidden="1" x14ac:dyDescent="0.2"/>
    <row r="45052" hidden="1" x14ac:dyDescent="0.2"/>
    <row r="45053" hidden="1" x14ac:dyDescent="0.2"/>
    <row r="45054" hidden="1" x14ac:dyDescent="0.2"/>
    <row r="45055" hidden="1" x14ac:dyDescent="0.2"/>
    <row r="45056" hidden="1" x14ac:dyDescent="0.2"/>
    <row r="45057" hidden="1" x14ac:dyDescent="0.2"/>
    <row r="45058" hidden="1" x14ac:dyDescent="0.2"/>
    <row r="45059" hidden="1" x14ac:dyDescent="0.2"/>
    <row r="45060" hidden="1" x14ac:dyDescent="0.2"/>
    <row r="45061" hidden="1" x14ac:dyDescent="0.2"/>
    <row r="45062" hidden="1" x14ac:dyDescent="0.2"/>
    <row r="45063" hidden="1" x14ac:dyDescent="0.2"/>
    <row r="45064" hidden="1" x14ac:dyDescent="0.2"/>
    <row r="45065" hidden="1" x14ac:dyDescent="0.2"/>
    <row r="45066" hidden="1" x14ac:dyDescent="0.2"/>
    <row r="45067" hidden="1" x14ac:dyDescent="0.2"/>
    <row r="45068" hidden="1" x14ac:dyDescent="0.2"/>
    <row r="45069" hidden="1" x14ac:dyDescent="0.2"/>
    <row r="45070" hidden="1" x14ac:dyDescent="0.2"/>
    <row r="45071" hidden="1" x14ac:dyDescent="0.2"/>
    <row r="45072" hidden="1" x14ac:dyDescent="0.2"/>
    <row r="45073" hidden="1" x14ac:dyDescent="0.2"/>
    <row r="45074" hidden="1" x14ac:dyDescent="0.2"/>
    <row r="45075" hidden="1" x14ac:dyDescent="0.2"/>
    <row r="45076" hidden="1" x14ac:dyDescent="0.2"/>
    <row r="45077" hidden="1" x14ac:dyDescent="0.2"/>
    <row r="45078" hidden="1" x14ac:dyDescent="0.2"/>
    <row r="45079" hidden="1" x14ac:dyDescent="0.2"/>
    <row r="45080" hidden="1" x14ac:dyDescent="0.2"/>
    <row r="45081" hidden="1" x14ac:dyDescent="0.2"/>
    <row r="45082" hidden="1" x14ac:dyDescent="0.2"/>
    <row r="45083" hidden="1" x14ac:dyDescent="0.2"/>
    <row r="45084" hidden="1" x14ac:dyDescent="0.2"/>
    <row r="45085" hidden="1" x14ac:dyDescent="0.2"/>
    <row r="45086" hidden="1" x14ac:dyDescent="0.2"/>
    <row r="45087" hidden="1" x14ac:dyDescent="0.2"/>
    <row r="45088" hidden="1" x14ac:dyDescent="0.2"/>
    <row r="45089" hidden="1" x14ac:dyDescent="0.2"/>
    <row r="45090" hidden="1" x14ac:dyDescent="0.2"/>
    <row r="45091" hidden="1" x14ac:dyDescent="0.2"/>
    <row r="45092" hidden="1" x14ac:dyDescent="0.2"/>
    <row r="45093" hidden="1" x14ac:dyDescent="0.2"/>
    <row r="45094" hidden="1" x14ac:dyDescent="0.2"/>
    <row r="45095" hidden="1" x14ac:dyDescent="0.2"/>
    <row r="45096" hidden="1" x14ac:dyDescent="0.2"/>
    <row r="45097" hidden="1" x14ac:dyDescent="0.2"/>
    <row r="45098" hidden="1" x14ac:dyDescent="0.2"/>
    <row r="45099" hidden="1" x14ac:dyDescent="0.2"/>
    <row r="45100" hidden="1" x14ac:dyDescent="0.2"/>
    <row r="45101" hidden="1" x14ac:dyDescent="0.2"/>
    <row r="45102" hidden="1" x14ac:dyDescent="0.2"/>
    <row r="45103" hidden="1" x14ac:dyDescent="0.2"/>
    <row r="45104" hidden="1" x14ac:dyDescent="0.2"/>
    <row r="45105" hidden="1" x14ac:dyDescent="0.2"/>
    <row r="45106" hidden="1" x14ac:dyDescent="0.2"/>
    <row r="45107" hidden="1" x14ac:dyDescent="0.2"/>
    <row r="45108" hidden="1" x14ac:dyDescent="0.2"/>
    <row r="45109" hidden="1" x14ac:dyDescent="0.2"/>
    <row r="45110" hidden="1" x14ac:dyDescent="0.2"/>
    <row r="45111" hidden="1" x14ac:dyDescent="0.2"/>
    <row r="45112" hidden="1" x14ac:dyDescent="0.2"/>
    <row r="45113" hidden="1" x14ac:dyDescent="0.2"/>
    <row r="45114" hidden="1" x14ac:dyDescent="0.2"/>
    <row r="45115" hidden="1" x14ac:dyDescent="0.2"/>
    <row r="45116" hidden="1" x14ac:dyDescent="0.2"/>
    <row r="45117" hidden="1" x14ac:dyDescent="0.2"/>
    <row r="45118" hidden="1" x14ac:dyDescent="0.2"/>
    <row r="45119" hidden="1" x14ac:dyDescent="0.2"/>
    <row r="45120" hidden="1" x14ac:dyDescent="0.2"/>
    <row r="45121" hidden="1" x14ac:dyDescent="0.2"/>
    <row r="45122" hidden="1" x14ac:dyDescent="0.2"/>
    <row r="45123" hidden="1" x14ac:dyDescent="0.2"/>
    <row r="45124" hidden="1" x14ac:dyDescent="0.2"/>
    <row r="45125" hidden="1" x14ac:dyDescent="0.2"/>
    <row r="45126" hidden="1" x14ac:dyDescent="0.2"/>
    <row r="45127" hidden="1" x14ac:dyDescent="0.2"/>
    <row r="45128" hidden="1" x14ac:dyDescent="0.2"/>
    <row r="45129" hidden="1" x14ac:dyDescent="0.2"/>
    <row r="45130" hidden="1" x14ac:dyDescent="0.2"/>
    <row r="45131" hidden="1" x14ac:dyDescent="0.2"/>
    <row r="45132" hidden="1" x14ac:dyDescent="0.2"/>
    <row r="45133" hidden="1" x14ac:dyDescent="0.2"/>
    <row r="45134" hidden="1" x14ac:dyDescent="0.2"/>
    <row r="45135" hidden="1" x14ac:dyDescent="0.2"/>
    <row r="45136" hidden="1" x14ac:dyDescent="0.2"/>
    <row r="45137" hidden="1" x14ac:dyDescent="0.2"/>
    <row r="45138" hidden="1" x14ac:dyDescent="0.2"/>
    <row r="45139" hidden="1" x14ac:dyDescent="0.2"/>
    <row r="45140" hidden="1" x14ac:dyDescent="0.2"/>
    <row r="45141" hidden="1" x14ac:dyDescent="0.2"/>
    <row r="45142" hidden="1" x14ac:dyDescent="0.2"/>
    <row r="45143" hidden="1" x14ac:dyDescent="0.2"/>
    <row r="45144" hidden="1" x14ac:dyDescent="0.2"/>
    <row r="45145" hidden="1" x14ac:dyDescent="0.2"/>
    <row r="45146" hidden="1" x14ac:dyDescent="0.2"/>
    <row r="45147" hidden="1" x14ac:dyDescent="0.2"/>
    <row r="45148" hidden="1" x14ac:dyDescent="0.2"/>
    <row r="45149" hidden="1" x14ac:dyDescent="0.2"/>
    <row r="45150" hidden="1" x14ac:dyDescent="0.2"/>
    <row r="45151" hidden="1" x14ac:dyDescent="0.2"/>
    <row r="45152" hidden="1" x14ac:dyDescent="0.2"/>
    <row r="45153" hidden="1" x14ac:dyDescent="0.2"/>
    <row r="45154" hidden="1" x14ac:dyDescent="0.2"/>
    <row r="45155" hidden="1" x14ac:dyDescent="0.2"/>
    <row r="45156" hidden="1" x14ac:dyDescent="0.2"/>
    <row r="45157" hidden="1" x14ac:dyDescent="0.2"/>
    <row r="45158" hidden="1" x14ac:dyDescent="0.2"/>
    <row r="45159" hidden="1" x14ac:dyDescent="0.2"/>
    <row r="45160" hidden="1" x14ac:dyDescent="0.2"/>
    <row r="45161" hidden="1" x14ac:dyDescent="0.2"/>
    <row r="45162" hidden="1" x14ac:dyDescent="0.2"/>
    <row r="45163" hidden="1" x14ac:dyDescent="0.2"/>
    <row r="45164" hidden="1" x14ac:dyDescent="0.2"/>
    <row r="45165" hidden="1" x14ac:dyDescent="0.2"/>
    <row r="45166" hidden="1" x14ac:dyDescent="0.2"/>
    <row r="45167" hidden="1" x14ac:dyDescent="0.2"/>
    <row r="45168" hidden="1" x14ac:dyDescent="0.2"/>
    <row r="45169" hidden="1" x14ac:dyDescent="0.2"/>
    <row r="45170" hidden="1" x14ac:dyDescent="0.2"/>
    <row r="45171" hidden="1" x14ac:dyDescent="0.2"/>
    <row r="45172" hidden="1" x14ac:dyDescent="0.2"/>
    <row r="45173" hidden="1" x14ac:dyDescent="0.2"/>
    <row r="45174" hidden="1" x14ac:dyDescent="0.2"/>
    <row r="45175" hidden="1" x14ac:dyDescent="0.2"/>
    <row r="45176" hidden="1" x14ac:dyDescent="0.2"/>
    <row r="45177" hidden="1" x14ac:dyDescent="0.2"/>
    <row r="45178" hidden="1" x14ac:dyDescent="0.2"/>
    <row r="45179" hidden="1" x14ac:dyDescent="0.2"/>
    <row r="45180" hidden="1" x14ac:dyDescent="0.2"/>
    <row r="45181" hidden="1" x14ac:dyDescent="0.2"/>
    <row r="45182" hidden="1" x14ac:dyDescent="0.2"/>
    <row r="45183" hidden="1" x14ac:dyDescent="0.2"/>
    <row r="45184" hidden="1" x14ac:dyDescent="0.2"/>
    <row r="45185" hidden="1" x14ac:dyDescent="0.2"/>
    <row r="45186" hidden="1" x14ac:dyDescent="0.2"/>
    <row r="45187" hidden="1" x14ac:dyDescent="0.2"/>
    <row r="45188" hidden="1" x14ac:dyDescent="0.2"/>
    <row r="45189" hidden="1" x14ac:dyDescent="0.2"/>
    <row r="45190" hidden="1" x14ac:dyDescent="0.2"/>
    <row r="45191" hidden="1" x14ac:dyDescent="0.2"/>
    <row r="45192" hidden="1" x14ac:dyDescent="0.2"/>
    <row r="45193" hidden="1" x14ac:dyDescent="0.2"/>
    <row r="45194" hidden="1" x14ac:dyDescent="0.2"/>
    <row r="45195" hidden="1" x14ac:dyDescent="0.2"/>
    <row r="45196" hidden="1" x14ac:dyDescent="0.2"/>
    <row r="45197" hidden="1" x14ac:dyDescent="0.2"/>
    <row r="45198" hidden="1" x14ac:dyDescent="0.2"/>
    <row r="45199" hidden="1" x14ac:dyDescent="0.2"/>
    <row r="45200" hidden="1" x14ac:dyDescent="0.2"/>
    <row r="45201" hidden="1" x14ac:dyDescent="0.2"/>
    <row r="45202" hidden="1" x14ac:dyDescent="0.2"/>
    <row r="45203" hidden="1" x14ac:dyDescent="0.2"/>
    <row r="45204" hidden="1" x14ac:dyDescent="0.2"/>
    <row r="45205" hidden="1" x14ac:dyDescent="0.2"/>
    <row r="45206" hidden="1" x14ac:dyDescent="0.2"/>
    <row r="45207" hidden="1" x14ac:dyDescent="0.2"/>
    <row r="45208" hidden="1" x14ac:dyDescent="0.2"/>
    <row r="45209" hidden="1" x14ac:dyDescent="0.2"/>
    <row r="45210" hidden="1" x14ac:dyDescent="0.2"/>
    <row r="45211" hidden="1" x14ac:dyDescent="0.2"/>
    <row r="45212" hidden="1" x14ac:dyDescent="0.2"/>
    <row r="45213" hidden="1" x14ac:dyDescent="0.2"/>
    <row r="45214" hidden="1" x14ac:dyDescent="0.2"/>
    <row r="45215" hidden="1" x14ac:dyDescent="0.2"/>
    <row r="45216" hidden="1" x14ac:dyDescent="0.2"/>
    <row r="45217" hidden="1" x14ac:dyDescent="0.2"/>
    <row r="45218" hidden="1" x14ac:dyDescent="0.2"/>
    <row r="45219" hidden="1" x14ac:dyDescent="0.2"/>
    <row r="45220" hidden="1" x14ac:dyDescent="0.2"/>
    <row r="45221" hidden="1" x14ac:dyDescent="0.2"/>
    <row r="45222" hidden="1" x14ac:dyDescent="0.2"/>
    <row r="45223" hidden="1" x14ac:dyDescent="0.2"/>
    <row r="45224" hidden="1" x14ac:dyDescent="0.2"/>
    <row r="45225" hidden="1" x14ac:dyDescent="0.2"/>
    <row r="45226" hidden="1" x14ac:dyDescent="0.2"/>
    <row r="45227" hidden="1" x14ac:dyDescent="0.2"/>
    <row r="45228" hidden="1" x14ac:dyDescent="0.2"/>
    <row r="45229" hidden="1" x14ac:dyDescent="0.2"/>
    <row r="45230" hidden="1" x14ac:dyDescent="0.2"/>
    <row r="45231" hidden="1" x14ac:dyDescent="0.2"/>
    <row r="45232" hidden="1" x14ac:dyDescent="0.2"/>
    <row r="45233" hidden="1" x14ac:dyDescent="0.2"/>
    <row r="45234" hidden="1" x14ac:dyDescent="0.2"/>
    <row r="45235" hidden="1" x14ac:dyDescent="0.2"/>
    <row r="45236" hidden="1" x14ac:dyDescent="0.2"/>
    <row r="45237" hidden="1" x14ac:dyDescent="0.2"/>
    <row r="45238" hidden="1" x14ac:dyDescent="0.2"/>
    <row r="45239" hidden="1" x14ac:dyDescent="0.2"/>
    <row r="45240" hidden="1" x14ac:dyDescent="0.2"/>
    <row r="45241" hidden="1" x14ac:dyDescent="0.2"/>
    <row r="45242" hidden="1" x14ac:dyDescent="0.2"/>
    <row r="45243" hidden="1" x14ac:dyDescent="0.2"/>
    <row r="45244" hidden="1" x14ac:dyDescent="0.2"/>
    <row r="45245" hidden="1" x14ac:dyDescent="0.2"/>
    <row r="45246" hidden="1" x14ac:dyDescent="0.2"/>
    <row r="45247" hidden="1" x14ac:dyDescent="0.2"/>
    <row r="45248" hidden="1" x14ac:dyDescent="0.2"/>
    <row r="45249" hidden="1" x14ac:dyDescent="0.2"/>
    <row r="45250" hidden="1" x14ac:dyDescent="0.2"/>
    <row r="45251" hidden="1" x14ac:dyDescent="0.2"/>
    <row r="45252" hidden="1" x14ac:dyDescent="0.2"/>
    <row r="45253" hidden="1" x14ac:dyDescent="0.2"/>
    <row r="45254" hidden="1" x14ac:dyDescent="0.2"/>
    <row r="45255" hidden="1" x14ac:dyDescent="0.2"/>
    <row r="45256" hidden="1" x14ac:dyDescent="0.2"/>
    <row r="45257" hidden="1" x14ac:dyDescent="0.2"/>
    <row r="45258" hidden="1" x14ac:dyDescent="0.2"/>
    <row r="45259" hidden="1" x14ac:dyDescent="0.2"/>
    <row r="45260" hidden="1" x14ac:dyDescent="0.2"/>
    <row r="45261" hidden="1" x14ac:dyDescent="0.2"/>
    <row r="45262" hidden="1" x14ac:dyDescent="0.2"/>
    <row r="45263" hidden="1" x14ac:dyDescent="0.2"/>
    <row r="45264" hidden="1" x14ac:dyDescent="0.2"/>
    <row r="45265" hidden="1" x14ac:dyDescent="0.2"/>
    <row r="45266" hidden="1" x14ac:dyDescent="0.2"/>
    <row r="45267" hidden="1" x14ac:dyDescent="0.2"/>
    <row r="45268" hidden="1" x14ac:dyDescent="0.2"/>
    <row r="45269" hidden="1" x14ac:dyDescent="0.2"/>
    <row r="45270" hidden="1" x14ac:dyDescent="0.2"/>
    <row r="45271" hidden="1" x14ac:dyDescent="0.2"/>
    <row r="45272" hidden="1" x14ac:dyDescent="0.2"/>
    <row r="45273" hidden="1" x14ac:dyDescent="0.2"/>
    <row r="45274" hidden="1" x14ac:dyDescent="0.2"/>
    <row r="45275" hidden="1" x14ac:dyDescent="0.2"/>
    <row r="45276" hidden="1" x14ac:dyDescent="0.2"/>
    <row r="45277" hidden="1" x14ac:dyDescent="0.2"/>
    <row r="45278" hidden="1" x14ac:dyDescent="0.2"/>
    <row r="45279" hidden="1" x14ac:dyDescent="0.2"/>
    <row r="45280" hidden="1" x14ac:dyDescent="0.2"/>
    <row r="45281" hidden="1" x14ac:dyDescent="0.2"/>
    <row r="45282" hidden="1" x14ac:dyDescent="0.2"/>
    <row r="45283" hidden="1" x14ac:dyDescent="0.2"/>
    <row r="45284" hidden="1" x14ac:dyDescent="0.2"/>
    <row r="45285" hidden="1" x14ac:dyDescent="0.2"/>
    <row r="45286" hidden="1" x14ac:dyDescent="0.2"/>
    <row r="45287" hidden="1" x14ac:dyDescent="0.2"/>
    <row r="45288" hidden="1" x14ac:dyDescent="0.2"/>
    <row r="45289" hidden="1" x14ac:dyDescent="0.2"/>
    <row r="45290" hidden="1" x14ac:dyDescent="0.2"/>
    <row r="45291" hidden="1" x14ac:dyDescent="0.2"/>
    <row r="45292" hidden="1" x14ac:dyDescent="0.2"/>
    <row r="45293" hidden="1" x14ac:dyDescent="0.2"/>
    <row r="45294" hidden="1" x14ac:dyDescent="0.2"/>
    <row r="45295" hidden="1" x14ac:dyDescent="0.2"/>
    <row r="45296" hidden="1" x14ac:dyDescent="0.2"/>
    <row r="45297" hidden="1" x14ac:dyDescent="0.2"/>
    <row r="45298" hidden="1" x14ac:dyDescent="0.2"/>
    <row r="45299" hidden="1" x14ac:dyDescent="0.2"/>
    <row r="45300" hidden="1" x14ac:dyDescent="0.2"/>
    <row r="45301" hidden="1" x14ac:dyDescent="0.2"/>
    <row r="45302" hidden="1" x14ac:dyDescent="0.2"/>
    <row r="45303" hidden="1" x14ac:dyDescent="0.2"/>
    <row r="45304" hidden="1" x14ac:dyDescent="0.2"/>
    <row r="45305" hidden="1" x14ac:dyDescent="0.2"/>
    <row r="45306" hidden="1" x14ac:dyDescent="0.2"/>
    <row r="45307" hidden="1" x14ac:dyDescent="0.2"/>
    <row r="45308" hidden="1" x14ac:dyDescent="0.2"/>
    <row r="45309" hidden="1" x14ac:dyDescent="0.2"/>
    <row r="45310" hidden="1" x14ac:dyDescent="0.2"/>
    <row r="45311" hidden="1" x14ac:dyDescent="0.2"/>
    <row r="45312" hidden="1" x14ac:dyDescent="0.2"/>
    <row r="45313" hidden="1" x14ac:dyDescent="0.2"/>
    <row r="45314" hidden="1" x14ac:dyDescent="0.2"/>
    <row r="45315" hidden="1" x14ac:dyDescent="0.2"/>
    <row r="45316" hidden="1" x14ac:dyDescent="0.2"/>
    <row r="45317" hidden="1" x14ac:dyDescent="0.2"/>
    <row r="45318" hidden="1" x14ac:dyDescent="0.2"/>
    <row r="45319" hidden="1" x14ac:dyDescent="0.2"/>
    <row r="45320" hidden="1" x14ac:dyDescent="0.2"/>
    <row r="45321" hidden="1" x14ac:dyDescent="0.2"/>
    <row r="45322" hidden="1" x14ac:dyDescent="0.2"/>
    <row r="45323" hidden="1" x14ac:dyDescent="0.2"/>
    <row r="45324" hidden="1" x14ac:dyDescent="0.2"/>
    <row r="45325" hidden="1" x14ac:dyDescent="0.2"/>
    <row r="45326" hidden="1" x14ac:dyDescent="0.2"/>
    <row r="45327" hidden="1" x14ac:dyDescent="0.2"/>
    <row r="45328" hidden="1" x14ac:dyDescent="0.2"/>
    <row r="45329" hidden="1" x14ac:dyDescent="0.2"/>
    <row r="45330" hidden="1" x14ac:dyDescent="0.2"/>
    <row r="45331" hidden="1" x14ac:dyDescent="0.2"/>
    <row r="45332" hidden="1" x14ac:dyDescent="0.2"/>
    <row r="45333" hidden="1" x14ac:dyDescent="0.2"/>
    <row r="45334" hidden="1" x14ac:dyDescent="0.2"/>
    <row r="45335" hidden="1" x14ac:dyDescent="0.2"/>
    <row r="45336" hidden="1" x14ac:dyDescent="0.2"/>
    <row r="45337" hidden="1" x14ac:dyDescent="0.2"/>
    <row r="45338" hidden="1" x14ac:dyDescent="0.2"/>
    <row r="45339" hidden="1" x14ac:dyDescent="0.2"/>
    <row r="45340" hidden="1" x14ac:dyDescent="0.2"/>
    <row r="45341" hidden="1" x14ac:dyDescent="0.2"/>
    <row r="45342" hidden="1" x14ac:dyDescent="0.2"/>
    <row r="45343" hidden="1" x14ac:dyDescent="0.2"/>
    <row r="45344" hidden="1" x14ac:dyDescent="0.2"/>
    <row r="45345" hidden="1" x14ac:dyDescent="0.2"/>
    <row r="45346" hidden="1" x14ac:dyDescent="0.2"/>
    <row r="45347" hidden="1" x14ac:dyDescent="0.2"/>
    <row r="45348" hidden="1" x14ac:dyDescent="0.2"/>
    <row r="45349" hidden="1" x14ac:dyDescent="0.2"/>
    <row r="45350" hidden="1" x14ac:dyDescent="0.2"/>
    <row r="45351" hidden="1" x14ac:dyDescent="0.2"/>
    <row r="45352" hidden="1" x14ac:dyDescent="0.2"/>
    <row r="45353" hidden="1" x14ac:dyDescent="0.2"/>
    <row r="45354" hidden="1" x14ac:dyDescent="0.2"/>
    <row r="45355" hidden="1" x14ac:dyDescent="0.2"/>
    <row r="45356" hidden="1" x14ac:dyDescent="0.2"/>
    <row r="45357" hidden="1" x14ac:dyDescent="0.2"/>
    <row r="45358" hidden="1" x14ac:dyDescent="0.2"/>
    <row r="45359" hidden="1" x14ac:dyDescent="0.2"/>
    <row r="45360" hidden="1" x14ac:dyDescent="0.2"/>
    <row r="45361" hidden="1" x14ac:dyDescent="0.2"/>
    <row r="45362" hidden="1" x14ac:dyDescent="0.2"/>
    <row r="45363" hidden="1" x14ac:dyDescent="0.2"/>
    <row r="45364" hidden="1" x14ac:dyDescent="0.2"/>
    <row r="45365" hidden="1" x14ac:dyDescent="0.2"/>
    <row r="45366" hidden="1" x14ac:dyDescent="0.2"/>
    <row r="45367" hidden="1" x14ac:dyDescent="0.2"/>
    <row r="45368" hidden="1" x14ac:dyDescent="0.2"/>
    <row r="45369" hidden="1" x14ac:dyDescent="0.2"/>
    <row r="45370" hidden="1" x14ac:dyDescent="0.2"/>
    <row r="45371" hidden="1" x14ac:dyDescent="0.2"/>
    <row r="45372" hidden="1" x14ac:dyDescent="0.2"/>
    <row r="45373" hidden="1" x14ac:dyDescent="0.2"/>
    <row r="45374" hidden="1" x14ac:dyDescent="0.2"/>
    <row r="45375" hidden="1" x14ac:dyDescent="0.2"/>
    <row r="45376" hidden="1" x14ac:dyDescent="0.2"/>
    <row r="45377" hidden="1" x14ac:dyDescent="0.2"/>
    <row r="45378" hidden="1" x14ac:dyDescent="0.2"/>
    <row r="45379" hidden="1" x14ac:dyDescent="0.2"/>
    <row r="45380" hidden="1" x14ac:dyDescent="0.2"/>
    <row r="45381" hidden="1" x14ac:dyDescent="0.2"/>
    <row r="45382" hidden="1" x14ac:dyDescent="0.2"/>
    <row r="45383" hidden="1" x14ac:dyDescent="0.2"/>
    <row r="45384" hidden="1" x14ac:dyDescent="0.2"/>
    <row r="45385" hidden="1" x14ac:dyDescent="0.2"/>
    <row r="45386" hidden="1" x14ac:dyDescent="0.2"/>
    <row r="45387" hidden="1" x14ac:dyDescent="0.2"/>
    <row r="45388" hidden="1" x14ac:dyDescent="0.2"/>
    <row r="45389" hidden="1" x14ac:dyDescent="0.2"/>
    <row r="45390" hidden="1" x14ac:dyDescent="0.2"/>
    <row r="45391" hidden="1" x14ac:dyDescent="0.2"/>
    <row r="45392" hidden="1" x14ac:dyDescent="0.2"/>
    <row r="45393" hidden="1" x14ac:dyDescent="0.2"/>
    <row r="45394" hidden="1" x14ac:dyDescent="0.2"/>
    <row r="45395" hidden="1" x14ac:dyDescent="0.2"/>
    <row r="45396" hidden="1" x14ac:dyDescent="0.2"/>
    <row r="45397" hidden="1" x14ac:dyDescent="0.2"/>
    <row r="45398" hidden="1" x14ac:dyDescent="0.2"/>
    <row r="45399" hidden="1" x14ac:dyDescent="0.2"/>
    <row r="45400" hidden="1" x14ac:dyDescent="0.2"/>
    <row r="45401" hidden="1" x14ac:dyDescent="0.2"/>
    <row r="45402" hidden="1" x14ac:dyDescent="0.2"/>
    <row r="45403" hidden="1" x14ac:dyDescent="0.2"/>
    <row r="45404" hidden="1" x14ac:dyDescent="0.2"/>
    <row r="45405" hidden="1" x14ac:dyDescent="0.2"/>
    <row r="45406" hidden="1" x14ac:dyDescent="0.2"/>
    <row r="45407" hidden="1" x14ac:dyDescent="0.2"/>
    <row r="45408" hidden="1" x14ac:dyDescent="0.2"/>
    <row r="45409" hidden="1" x14ac:dyDescent="0.2"/>
    <row r="45410" hidden="1" x14ac:dyDescent="0.2"/>
    <row r="45411" hidden="1" x14ac:dyDescent="0.2"/>
    <row r="45412" hidden="1" x14ac:dyDescent="0.2"/>
    <row r="45413" hidden="1" x14ac:dyDescent="0.2"/>
    <row r="45414" hidden="1" x14ac:dyDescent="0.2"/>
    <row r="45415" hidden="1" x14ac:dyDescent="0.2"/>
    <row r="45416" hidden="1" x14ac:dyDescent="0.2"/>
    <row r="45417" hidden="1" x14ac:dyDescent="0.2"/>
    <row r="45418" hidden="1" x14ac:dyDescent="0.2"/>
    <row r="45419" hidden="1" x14ac:dyDescent="0.2"/>
    <row r="45420" hidden="1" x14ac:dyDescent="0.2"/>
    <row r="45421" hidden="1" x14ac:dyDescent="0.2"/>
    <row r="45422" hidden="1" x14ac:dyDescent="0.2"/>
    <row r="45423" hidden="1" x14ac:dyDescent="0.2"/>
    <row r="45424" hidden="1" x14ac:dyDescent="0.2"/>
    <row r="45425" hidden="1" x14ac:dyDescent="0.2"/>
    <row r="45426" hidden="1" x14ac:dyDescent="0.2"/>
    <row r="45427" hidden="1" x14ac:dyDescent="0.2"/>
    <row r="45428" hidden="1" x14ac:dyDescent="0.2"/>
    <row r="45429" hidden="1" x14ac:dyDescent="0.2"/>
    <row r="45430" hidden="1" x14ac:dyDescent="0.2"/>
    <row r="45431" hidden="1" x14ac:dyDescent="0.2"/>
    <row r="45432" hidden="1" x14ac:dyDescent="0.2"/>
    <row r="45433" hidden="1" x14ac:dyDescent="0.2"/>
    <row r="45434" hidden="1" x14ac:dyDescent="0.2"/>
    <row r="45435" hidden="1" x14ac:dyDescent="0.2"/>
    <row r="45436" hidden="1" x14ac:dyDescent="0.2"/>
    <row r="45437" hidden="1" x14ac:dyDescent="0.2"/>
    <row r="45438" hidden="1" x14ac:dyDescent="0.2"/>
    <row r="45439" hidden="1" x14ac:dyDescent="0.2"/>
    <row r="45440" hidden="1" x14ac:dyDescent="0.2"/>
    <row r="45441" hidden="1" x14ac:dyDescent="0.2"/>
    <row r="45442" hidden="1" x14ac:dyDescent="0.2"/>
    <row r="45443" hidden="1" x14ac:dyDescent="0.2"/>
    <row r="45444" hidden="1" x14ac:dyDescent="0.2"/>
    <row r="45445" hidden="1" x14ac:dyDescent="0.2"/>
    <row r="45446" hidden="1" x14ac:dyDescent="0.2"/>
    <row r="45447" hidden="1" x14ac:dyDescent="0.2"/>
    <row r="45448" hidden="1" x14ac:dyDescent="0.2"/>
    <row r="45449" hidden="1" x14ac:dyDescent="0.2"/>
    <row r="45450" hidden="1" x14ac:dyDescent="0.2"/>
    <row r="45451" hidden="1" x14ac:dyDescent="0.2"/>
    <row r="45452" hidden="1" x14ac:dyDescent="0.2"/>
    <row r="45453" hidden="1" x14ac:dyDescent="0.2"/>
    <row r="45454" hidden="1" x14ac:dyDescent="0.2"/>
    <row r="45455" hidden="1" x14ac:dyDescent="0.2"/>
    <row r="45456" hidden="1" x14ac:dyDescent="0.2"/>
    <row r="45457" hidden="1" x14ac:dyDescent="0.2"/>
    <row r="45458" hidden="1" x14ac:dyDescent="0.2"/>
    <row r="45459" hidden="1" x14ac:dyDescent="0.2"/>
    <row r="45460" hidden="1" x14ac:dyDescent="0.2"/>
    <row r="45461" hidden="1" x14ac:dyDescent="0.2"/>
    <row r="45462" hidden="1" x14ac:dyDescent="0.2"/>
    <row r="45463" hidden="1" x14ac:dyDescent="0.2"/>
    <row r="45464" hidden="1" x14ac:dyDescent="0.2"/>
    <row r="45465" hidden="1" x14ac:dyDescent="0.2"/>
    <row r="45466" hidden="1" x14ac:dyDescent="0.2"/>
    <row r="45467" hidden="1" x14ac:dyDescent="0.2"/>
    <row r="45468" hidden="1" x14ac:dyDescent="0.2"/>
    <row r="45469" hidden="1" x14ac:dyDescent="0.2"/>
    <row r="45470" hidden="1" x14ac:dyDescent="0.2"/>
    <row r="45471" hidden="1" x14ac:dyDescent="0.2"/>
    <row r="45472" hidden="1" x14ac:dyDescent="0.2"/>
    <row r="45473" hidden="1" x14ac:dyDescent="0.2"/>
    <row r="45474" hidden="1" x14ac:dyDescent="0.2"/>
    <row r="45475" hidden="1" x14ac:dyDescent="0.2"/>
    <row r="45476" hidden="1" x14ac:dyDescent="0.2"/>
    <row r="45477" hidden="1" x14ac:dyDescent="0.2"/>
    <row r="45478" hidden="1" x14ac:dyDescent="0.2"/>
    <row r="45479" hidden="1" x14ac:dyDescent="0.2"/>
    <row r="45480" hidden="1" x14ac:dyDescent="0.2"/>
    <row r="45481" hidden="1" x14ac:dyDescent="0.2"/>
    <row r="45482" hidden="1" x14ac:dyDescent="0.2"/>
    <row r="45483" hidden="1" x14ac:dyDescent="0.2"/>
    <row r="45484" hidden="1" x14ac:dyDescent="0.2"/>
    <row r="45485" hidden="1" x14ac:dyDescent="0.2"/>
    <row r="45486" hidden="1" x14ac:dyDescent="0.2"/>
    <row r="45487" hidden="1" x14ac:dyDescent="0.2"/>
    <row r="45488" hidden="1" x14ac:dyDescent="0.2"/>
    <row r="45489" hidden="1" x14ac:dyDescent="0.2"/>
    <row r="45490" hidden="1" x14ac:dyDescent="0.2"/>
    <row r="45491" hidden="1" x14ac:dyDescent="0.2"/>
    <row r="45492" hidden="1" x14ac:dyDescent="0.2"/>
    <row r="45493" hidden="1" x14ac:dyDescent="0.2"/>
    <row r="45494" hidden="1" x14ac:dyDescent="0.2"/>
    <row r="45495" hidden="1" x14ac:dyDescent="0.2"/>
    <row r="45496" hidden="1" x14ac:dyDescent="0.2"/>
    <row r="45497" hidden="1" x14ac:dyDescent="0.2"/>
    <row r="45498" hidden="1" x14ac:dyDescent="0.2"/>
    <row r="45499" hidden="1" x14ac:dyDescent="0.2"/>
    <row r="45500" hidden="1" x14ac:dyDescent="0.2"/>
    <row r="45501" hidden="1" x14ac:dyDescent="0.2"/>
    <row r="45502" hidden="1" x14ac:dyDescent="0.2"/>
    <row r="45503" hidden="1" x14ac:dyDescent="0.2"/>
    <row r="45504" hidden="1" x14ac:dyDescent="0.2"/>
    <row r="45505" hidden="1" x14ac:dyDescent="0.2"/>
    <row r="45506" hidden="1" x14ac:dyDescent="0.2"/>
    <row r="45507" hidden="1" x14ac:dyDescent="0.2"/>
    <row r="45508" hidden="1" x14ac:dyDescent="0.2"/>
    <row r="45509" hidden="1" x14ac:dyDescent="0.2"/>
    <row r="45510" hidden="1" x14ac:dyDescent="0.2"/>
    <row r="45511" hidden="1" x14ac:dyDescent="0.2"/>
    <row r="45512" hidden="1" x14ac:dyDescent="0.2"/>
    <row r="45513" hidden="1" x14ac:dyDescent="0.2"/>
    <row r="45514" hidden="1" x14ac:dyDescent="0.2"/>
    <row r="45515" hidden="1" x14ac:dyDescent="0.2"/>
    <row r="45516" hidden="1" x14ac:dyDescent="0.2"/>
    <row r="45517" hidden="1" x14ac:dyDescent="0.2"/>
    <row r="45518" hidden="1" x14ac:dyDescent="0.2"/>
    <row r="45519" hidden="1" x14ac:dyDescent="0.2"/>
    <row r="45520" hidden="1" x14ac:dyDescent="0.2"/>
    <row r="45521" hidden="1" x14ac:dyDescent="0.2"/>
    <row r="45522" hidden="1" x14ac:dyDescent="0.2"/>
    <row r="45523" hidden="1" x14ac:dyDescent="0.2"/>
    <row r="45524" hidden="1" x14ac:dyDescent="0.2"/>
    <row r="45525" hidden="1" x14ac:dyDescent="0.2"/>
    <row r="45526" hidden="1" x14ac:dyDescent="0.2"/>
    <row r="45527" hidden="1" x14ac:dyDescent="0.2"/>
    <row r="45528" hidden="1" x14ac:dyDescent="0.2"/>
    <row r="45529" hidden="1" x14ac:dyDescent="0.2"/>
    <row r="45530" hidden="1" x14ac:dyDescent="0.2"/>
    <row r="45531" hidden="1" x14ac:dyDescent="0.2"/>
    <row r="45532" hidden="1" x14ac:dyDescent="0.2"/>
    <row r="45533" hidden="1" x14ac:dyDescent="0.2"/>
    <row r="45534" hidden="1" x14ac:dyDescent="0.2"/>
    <row r="45535" hidden="1" x14ac:dyDescent="0.2"/>
    <row r="45536" hidden="1" x14ac:dyDescent="0.2"/>
    <row r="45537" hidden="1" x14ac:dyDescent="0.2"/>
    <row r="45538" hidden="1" x14ac:dyDescent="0.2"/>
    <row r="45539" hidden="1" x14ac:dyDescent="0.2"/>
    <row r="45540" hidden="1" x14ac:dyDescent="0.2"/>
    <row r="45541" hidden="1" x14ac:dyDescent="0.2"/>
    <row r="45542" hidden="1" x14ac:dyDescent="0.2"/>
    <row r="45543" hidden="1" x14ac:dyDescent="0.2"/>
    <row r="45544" hidden="1" x14ac:dyDescent="0.2"/>
    <row r="45545" hidden="1" x14ac:dyDescent="0.2"/>
    <row r="45546" hidden="1" x14ac:dyDescent="0.2"/>
    <row r="45547" hidden="1" x14ac:dyDescent="0.2"/>
    <row r="45548" hidden="1" x14ac:dyDescent="0.2"/>
    <row r="45549" hidden="1" x14ac:dyDescent="0.2"/>
    <row r="45550" hidden="1" x14ac:dyDescent="0.2"/>
    <row r="45551" hidden="1" x14ac:dyDescent="0.2"/>
    <row r="45552" hidden="1" x14ac:dyDescent="0.2"/>
    <row r="45553" hidden="1" x14ac:dyDescent="0.2"/>
    <row r="45554" hidden="1" x14ac:dyDescent="0.2"/>
    <row r="45555" hidden="1" x14ac:dyDescent="0.2"/>
    <row r="45556" hidden="1" x14ac:dyDescent="0.2"/>
    <row r="45557" hidden="1" x14ac:dyDescent="0.2"/>
    <row r="45558" hidden="1" x14ac:dyDescent="0.2"/>
    <row r="45559" hidden="1" x14ac:dyDescent="0.2"/>
    <row r="45560" hidden="1" x14ac:dyDescent="0.2"/>
    <row r="45561" hidden="1" x14ac:dyDescent="0.2"/>
    <row r="45562" hidden="1" x14ac:dyDescent="0.2"/>
    <row r="45563" hidden="1" x14ac:dyDescent="0.2"/>
    <row r="45564" hidden="1" x14ac:dyDescent="0.2"/>
    <row r="45565" hidden="1" x14ac:dyDescent="0.2"/>
    <row r="45566" hidden="1" x14ac:dyDescent="0.2"/>
    <row r="45567" hidden="1" x14ac:dyDescent="0.2"/>
    <row r="45568" hidden="1" x14ac:dyDescent="0.2"/>
    <row r="45569" hidden="1" x14ac:dyDescent="0.2"/>
    <row r="45570" hidden="1" x14ac:dyDescent="0.2"/>
    <row r="45571" hidden="1" x14ac:dyDescent="0.2"/>
    <row r="45572" hidden="1" x14ac:dyDescent="0.2"/>
    <row r="45573" hidden="1" x14ac:dyDescent="0.2"/>
    <row r="45574" hidden="1" x14ac:dyDescent="0.2"/>
    <row r="45575" hidden="1" x14ac:dyDescent="0.2"/>
    <row r="45576" hidden="1" x14ac:dyDescent="0.2"/>
    <row r="45577" hidden="1" x14ac:dyDescent="0.2"/>
    <row r="45578" hidden="1" x14ac:dyDescent="0.2"/>
    <row r="45579" hidden="1" x14ac:dyDescent="0.2"/>
    <row r="45580" hidden="1" x14ac:dyDescent="0.2"/>
    <row r="45581" hidden="1" x14ac:dyDescent="0.2"/>
    <row r="45582" hidden="1" x14ac:dyDescent="0.2"/>
    <row r="45583" hidden="1" x14ac:dyDescent="0.2"/>
    <row r="45584" hidden="1" x14ac:dyDescent="0.2"/>
    <row r="45585" hidden="1" x14ac:dyDescent="0.2"/>
    <row r="45586" hidden="1" x14ac:dyDescent="0.2"/>
    <row r="45587" hidden="1" x14ac:dyDescent="0.2"/>
    <row r="45588" hidden="1" x14ac:dyDescent="0.2"/>
    <row r="45589" hidden="1" x14ac:dyDescent="0.2"/>
    <row r="45590" hidden="1" x14ac:dyDescent="0.2"/>
    <row r="45591" hidden="1" x14ac:dyDescent="0.2"/>
    <row r="45592" hidden="1" x14ac:dyDescent="0.2"/>
    <row r="45593" hidden="1" x14ac:dyDescent="0.2"/>
    <row r="45594" hidden="1" x14ac:dyDescent="0.2"/>
    <row r="45595" hidden="1" x14ac:dyDescent="0.2"/>
    <row r="45596" hidden="1" x14ac:dyDescent="0.2"/>
    <row r="45597" hidden="1" x14ac:dyDescent="0.2"/>
    <row r="45598" hidden="1" x14ac:dyDescent="0.2"/>
    <row r="45599" hidden="1" x14ac:dyDescent="0.2"/>
    <row r="45600" hidden="1" x14ac:dyDescent="0.2"/>
    <row r="45601" hidden="1" x14ac:dyDescent="0.2"/>
    <row r="45602" hidden="1" x14ac:dyDescent="0.2"/>
    <row r="45603" hidden="1" x14ac:dyDescent="0.2"/>
    <row r="45604" hidden="1" x14ac:dyDescent="0.2"/>
    <row r="45605" hidden="1" x14ac:dyDescent="0.2"/>
    <row r="45606" hidden="1" x14ac:dyDescent="0.2"/>
    <row r="45607" hidden="1" x14ac:dyDescent="0.2"/>
    <row r="45608" hidden="1" x14ac:dyDescent="0.2"/>
    <row r="45609" hidden="1" x14ac:dyDescent="0.2"/>
    <row r="45610" hidden="1" x14ac:dyDescent="0.2"/>
    <row r="45611" hidden="1" x14ac:dyDescent="0.2"/>
    <row r="45612" hidden="1" x14ac:dyDescent="0.2"/>
    <row r="45613" hidden="1" x14ac:dyDescent="0.2"/>
    <row r="45614" hidden="1" x14ac:dyDescent="0.2"/>
    <row r="45615" hidden="1" x14ac:dyDescent="0.2"/>
    <row r="45616" hidden="1" x14ac:dyDescent="0.2"/>
    <row r="45617" hidden="1" x14ac:dyDescent="0.2"/>
    <row r="45618" hidden="1" x14ac:dyDescent="0.2"/>
    <row r="45619" hidden="1" x14ac:dyDescent="0.2"/>
    <row r="45620" hidden="1" x14ac:dyDescent="0.2"/>
    <row r="45621" hidden="1" x14ac:dyDescent="0.2"/>
    <row r="45622" hidden="1" x14ac:dyDescent="0.2"/>
    <row r="45623" hidden="1" x14ac:dyDescent="0.2"/>
    <row r="45624" hidden="1" x14ac:dyDescent="0.2"/>
    <row r="45625" hidden="1" x14ac:dyDescent="0.2"/>
    <row r="45626" hidden="1" x14ac:dyDescent="0.2"/>
    <row r="45627" hidden="1" x14ac:dyDescent="0.2"/>
    <row r="45628" hidden="1" x14ac:dyDescent="0.2"/>
    <row r="45629" hidden="1" x14ac:dyDescent="0.2"/>
    <row r="45630" hidden="1" x14ac:dyDescent="0.2"/>
    <row r="45631" hidden="1" x14ac:dyDescent="0.2"/>
    <row r="45632" hidden="1" x14ac:dyDescent="0.2"/>
    <row r="45633" hidden="1" x14ac:dyDescent="0.2"/>
    <row r="45634" hidden="1" x14ac:dyDescent="0.2"/>
    <row r="45635" hidden="1" x14ac:dyDescent="0.2"/>
    <row r="45636" hidden="1" x14ac:dyDescent="0.2"/>
    <row r="45637" hidden="1" x14ac:dyDescent="0.2"/>
    <row r="45638" hidden="1" x14ac:dyDescent="0.2"/>
    <row r="45639" hidden="1" x14ac:dyDescent="0.2"/>
    <row r="45640" hidden="1" x14ac:dyDescent="0.2"/>
    <row r="45641" hidden="1" x14ac:dyDescent="0.2"/>
    <row r="45642" hidden="1" x14ac:dyDescent="0.2"/>
    <row r="45643" hidden="1" x14ac:dyDescent="0.2"/>
    <row r="45644" hidden="1" x14ac:dyDescent="0.2"/>
    <row r="45645" hidden="1" x14ac:dyDescent="0.2"/>
    <row r="45646" hidden="1" x14ac:dyDescent="0.2"/>
    <row r="45647" hidden="1" x14ac:dyDescent="0.2"/>
    <row r="45648" hidden="1" x14ac:dyDescent="0.2"/>
    <row r="45649" hidden="1" x14ac:dyDescent="0.2"/>
    <row r="45650" hidden="1" x14ac:dyDescent="0.2"/>
    <row r="45651" hidden="1" x14ac:dyDescent="0.2"/>
    <row r="45652" hidden="1" x14ac:dyDescent="0.2"/>
    <row r="45653" hidden="1" x14ac:dyDescent="0.2"/>
    <row r="45654" hidden="1" x14ac:dyDescent="0.2"/>
    <row r="45655" hidden="1" x14ac:dyDescent="0.2"/>
    <row r="45656" hidden="1" x14ac:dyDescent="0.2"/>
    <row r="45657" hidden="1" x14ac:dyDescent="0.2"/>
    <row r="45658" hidden="1" x14ac:dyDescent="0.2"/>
    <row r="45659" hidden="1" x14ac:dyDescent="0.2"/>
    <row r="45660" hidden="1" x14ac:dyDescent="0.2"/>
    <row r="45661" hidden="1" x14ac:dyDescent="0.2"/>
    <row r="45662" hidden="1" x14ac:dyDescent="0.2"/>
    <row r="45663" hidden="1" x14ac:dyDescent="0.2"/>
    <row r="45664" hidden="1" x14ac:dyDescent="0.2"/>
    <row r="45665" hidden="1" x14ac:dyDescent="0.2"/>
    <row r="45666" hidden="1" x14ac:dyDescent="0.2"/>
    <row r="45667" hidden="1" x14ac:dyDescent="0.2"/>
    <row r="45668" hidden="1" x14ac:dyDescent="0.2"/>
    <row r="45669" hidden="1" x14ac:dyDescent="0.2"/>
    <row r="45670" hidden="1" x14ac:dyDescent="0.2"/>
    <row r="45671" hidden="1" x14ac:dyDescent="0.2"/>
    <row r="45672" hidden="1" x14ac:dyDescent="0.2"/>
    <row r="45673" hidden="1" x14ac:dyDescent="0.2"/>
    <row r="45674" hidden="1" x14ac:dyDescent="0.2"/>
    <row r="45675" hidden="1" x14ac:dyDescent="0.2"/>
    <row r="45676" hidden="1" x14ac:dyDescent="0.2"/>
    <row r="45677" hidden="1" x14ac:dyDescent="0.2"/>
    <row r="45678" hidden="1" x14ac:dyDescent="0.2"/>
    <row r="45679" hidden="1" x14ac:dyDescent="0.2"/>
    <row r="45680" hidden="1" x14ac:dyDescent="0.2"/>
    <row r="45681" hidden="1" x14ac:dyDescent="0.2"/>
    <row r="45682" hidden="1" x14ac:dyDescent="0.2"/>
    <row r="45683" hidden="1" x14ac:dyDescent="0.2"/>
    <row r="45684" hidden="1" x14ac:dyDescent="0.2"/>
    <row r="45685" hidden="1" x14ac:dyDescent="0.2"/>
    <row r="45686" hidden="1" x14ac:dyDescent="0.2"/>
    <row r="45687" hidden="1" x14ac:dyDescent="0.2"/>
    <row r="45688" hidden="1" x14ac:dyDescent="0.2"/>
    <row r="45689" hidden="1" x14ac:dyDescent="0.2"/>
    <row r="45690" hidden="1" x14ac:dyDescent="0.2"/>
    <row r="45691" hidden="1" x14ac:dyDescent="0.2"/>
    <row r="45692" hidden="1" x14ac:dyDescent="0.2"/>
    <row r="45693" hidden="1" x14ac:dyDescent="0.2"/>
    <row r="45694" hidden="1" x14ac:dyDescent="0.2"/>
    <row r="45695" hidden="1" x14ac:dyDescent="0.2"/>
    <row r="45696" hidden="1" x14ac:dyDescent="0.2"/>
    <row r="45697" hidden="1" x14ac:dyDescent="0.2"/>
    <row r="45698" hidden="1" x14ac:dyDescent="0.2"/>
    <row r="45699" hidden="1" x14ac:dyDescent="0.2"/>
    <row r="45700" hidden="1" x14ac:dyDescent="0.2"/>
    <row r="45701" hidden="1" x14ac:dyDescent="0.2"/>
    <row r="45702" hidden="1" x14ac:dyDescent="0.2"/>
    <row r="45703" hidden="1" x14ac:dyDescent="0.2"/>
    <row r="45704" hidden="1" x14ac:dyDescent="0.2"/>
    <row r="45705" hidden="1" x14ac:dyDescent="0.2"/>
    <row r="45706" hidden="1" x14ac:dyDescent="0.2"/>
    <row r="45707" hidden="1" x14ac:dyDescent="0.2"/>
    <row r="45708" hidden="1" x14ac:dyDescent="0.2"/>
    <row r="45709" hidden="1" x14ac:dyDescent="0.2"/>
    <row r="45710" hidden="1" x14ac:dyDescent="0.2"/>
    <row r="45711" hidden="1" x14ac:dyDescent="0.2"/>
    <row r="45712" hidden="1" x14ac:dyDescent="0.2"/>
    <row r="45713" hidden="1" x14ac:dyDescent="0.2"/>
    <row r="45714" hidden="1" x14ac:dyDescent="0.2"/>
    <row r="45715" hidden="1" x14ac:dyDescent="0.2"/>
    <row r="45716" hidden="1" x14ac:dyDescent="0.2"/>
    <row r="45717" hidden="1" x14ac:dyDescent="0.2"/>
    <row r="45718" hidden="1" x14ac:dyDescent="0.2"/>
    <row r="45719" hidden="1" x14ac:dyDescent="0.2"/>
    <row r="45720" hidden="1" x14ac:dyDescent="0.2"/>
    <row r="45721" hidden="1" x14ac:dyDescent="0.2"/>
    <row r="45722" hidden="1" x14ac:dyDescent="0.2"/>
    <row r="45723" hidden="1" x14ac:dyDescent="0.2"/>
    <row r="45724" hidden="1" x14ac:dyDescent="0.2"/>
    <row r="45725" hidden="1" x14ac:dyDescent="0.2"/>
    <row r="45726" hidden="1" x14ac:dyDescent="0.2"/>
    <row r="45727" hidden="1" x14ac:dyDescent="0.2"/>
    <row r="45728" hidden="1" x14ac:dyDescent="0.2"/>
    <row r="45729" hidden="1" x14ac:dyDescent="0.2"/>
    <row r="45730" hidden="1" x14ac:dyDescent="0.2"/>
    <row r="45731" hidden="1" x14ac:dyDescent="0.2"/>
    <row r="45732" hidden="1" x14ac:dyDescent="0.2"/>
    <row r="45733" hidden="1" x14ac:dyDescent="0.2"/>
    <row r="45734" hidden="1" x14ac:dyDescent="0.2"/>
    <row r="45735" hidden="1" x14ac:dyDescent="0.2"/>
    <row r="45736" hidden="1" x14ac:dyDescent="0.2"/>
    <row r="45737" hidden="1" x14ac:dyDescent="0.2"/>
    <row r="45738" hidden="1" x14ac:dyDescent="0.2"/>
    <row r="45739" hidden="1" x14ac:dyDescent="0.2"/>
    <row r="45740" hidden="1" x14ac:dyDescent="0.2"/>
    <row r="45741" hidden="1" x14ac:dyDescent="0.2"/>
    <row r="45742" hidden="1" x14ac:dyDescent="0.2"/>
    <row r="45743" hidden="1" x14ac:dyDescent="0.2"/>
    <row r="45744" hidden="1" x14ac:dyDescent="0.2"/>
    <row r="45745" hidden="1" x14ac:dyDescent="0.2"/>
    <row r="45746" hidden="1" x14ac:dyDescent="0.2"/>
    <row r="45747" hidden="1" x14ac:dyDescent="0.2"/>
    <row r="45748" hidden="1" x14ac:dyDescent="0.2"/>
    <row r="45749" hidden="1" x14ac:dyDescent="0.2"/>
    <row r="45750" hidden="1" x14ac:dyDescent="0.2"/>
    <row r="45751" hidden="1" x14ac:dyDescent="0.2"/>
    <row r="45752" hidden="1" x14ac:dyDescent="0.2"/>
    <row r="45753" hidden="1" x14ac:dyDescent="0.2"/>
    <row r="45754" hidden="1" x14ac:dyDescent="0.2"/>
    <row r="45755" hidden="1" x14ac:dyDescent="0.2"/>
    <row r="45756" hidden="1" x14ac:dyDescent="0.2"/>
    <row r="45757" hidden="1" x14ac:dyDescent="0.2"/>
    <row r="45758" hidden="1" x14ac:dyDescent="0.2"/>
    <row r="45759" hidden="1" x14ac:dyDescent="0.2"/>
    <row r="45760" hidden="1" x14ac:dyDescent="0.2"/>
    <row r="45761" hidden="1" x14ac:dyDescent="0.2"/>
    <row r="45762" hidden="1" x14ac:dyDescent="0.2"/>
    <row r="45763" hidden="1" x14ac:dyDescent="0.2"/>
    <row r="45764" hidden="1" x14ac:dyDescent="0.2"/>
    <row r="45765" hidden="1" x14ac:dyDescent="0.2"/>
    <row r="45766" hidden="1" x14ac:dyDescent="0.2"/>
    <row r="45767" hidden="1" x14ac:dyDescent="0.2"/>
    <row r="45768" hidden="1" x14ac:dyDescent="0.2"/>
    <row r="45769" hidden="1" x14ac:dyDescent="0.2"/>
    <row r="45770" hidden="1" x14ac:dyDescent="0.2"/>
    <row r="45771" hidden="1" x14ac:dyDescent="0.2"/>
    <row r="45772" hidden="1" x14ac:dyDescent="0.2"/>
    <row r="45773" hidden="1" x14ac:dyDescent="0.2"/>
    <row r="45774" hidden="1" x14ac:dyDescent="0.2"/>
    <row r="45775" hidden="1" x14ac:dyDescent="0.2"/>
    <row r="45776" hidden="1" x14ac:dyDescent="0.2"/>
    <row r="45777" hidden="1" x14ac:dyDescent="0.2"/>
    <row r="45778" hidden="1" x14ac:dyDescent="0.2"/>
    <row r="45779" hidden="1" x14ac:dyDescent="0.2"/>
    <row r="45780" hidden="1" x14ac:dyDescent="0.2"/>
    <row r="45781" hidden="1" x14ac:dyDescent="0.2"/>
    <row r="45782" hidden="1" x14ac:dyDescent="0.2"/>
    <row r="45783" hidden="1" x14ac:dyDescent="0.2"/>
    <row r="45784" hidden="1" x14ac:dyDescent="0.2"/>
    <row r="45785" hidden="1" x14ac:dyDescent="0.2"/>
    <row r="45786" hidden="1" x14ac:dyDescent="0.2"/>
    <row r="45787" hidden="1" x14ac:dyDescent="0.2"/>
    <row r="45788" hidden="1" x14ac:dyDescent="0.2"/>
    <row r="45789" hidden="1" x14ac:dyDescent="0.2"/>
    <row r="45790" hidden="1" x14ac:dyDescent="0.2"/>
    <row r="45791" hidden="1" x14ac:dyDescent="0.2"/>
    <row r="45792" hidden="1" x14ac:dyDescent="0.2"/>
    <row r="45793" hidden="1" x14ac:dyDescent="0.2"/>
    <row r="45794" hidden="1" x14ac:dyDescent="0.2"/>
    <row r="45795" hidden="1" x14ac:dyDescent="0.2"/>
    <row r="45796" hidden="1" x14ac:dyDescent="0.2"/>
    <row r="45797" hidden="1" x14ac:dyDescent="0.2"/>
    <row r="45798" hidden="1" x14ac:dyDescent="0.2"/>
    <row r="45799" hidden="1" x14ac:dyDescent="0.2"/>
    <row r="45800" hidden="1" x14ac:dyDescent="0.2"/>
    <row r="45801" hidden="1" x14ac:dyDescent="0.2"/>
    <row r="45802" hidden="1" x14ac:dyDescent="0.2"/>
    <row r="45803" hidden="1" x14ac:dyDescent="0.2"/>
    <row r="45804" hidden="1" x14ac:dyDescent="0.2"/>
    <row r="45805" hidden="1" x14ac:dyDescent="0.2"/>
    <row r="45806" hidden="1" x14ac:dyDescent="0.2"/>
    <row r="45807" hidden="1" x14ac:dyDescent="0.2"/>
    <row r="45808" hidden="1" x14ac:dyDescent="0.2"/>
    <row r="45809" hidden="1" x14ac:dyDescent="0.2"/>
    <row r="45810" hidden="1" x14ac:dyDescent="0.2"/>
    <row r="45811" hidden="1" x14ac:dyDescent="0.2"/>
    <row r="45812" hidden="1" x14ac:dyDescent="0.2"/>
    <row r="45813" hidden="1" x14ac:dyDescent="0.2"/>
    <row r="45814" hidden="1" x14ac:dyDescent="0.2"/>
    <row r="45815" hidden="1" x14ac:dyDescent="0.2"/>
    <row r="45816" hidden="1" x14ac:dyDescent="0.2"/>
    <row r="45817" hidden="1" x14ac:dyDescent="0.2"/>
    <row r="45818" hidden="1" x14ac:dyDescent="0.2"/>
    <row r="45819" hidden="1" x14ac:dyDescent="0.2"/>
    <row r="45820" hidden="1" x14ac:dyDescent="0.2"/>
    <row r="45821" hidden="1" x14ac:dyDescent="0.2"/>
    <row r="45822" hidden="1" x14ac:dyDescent="0.2"/>
    <row r="45823" hidden="1" x14ac:dyDescent="0.2"/>
    <row r="45824" hidden="1" x14ac:dyDescent="0.2"/>
    <row r="45825" hidden="1" x14ac:dyDescent="0.2"/>
    <row r="45826" hidden="1" x14ac:dyDescent="0.2"/>
    <row r="45827" hidden="1" x14ac:dyDescent="0.2"/>
    <row r="45828" hidden="1" x14ac:dyDescent="0.2"/>
    <row r="45829" hidden="1" x14ac:dyDescent="0.2"/>
    <row r="45830" hidden="1" x14ac:dyDescent="0.2"/>
    <row r="45831" hidden="1" x14ac:dyDescent="0.2"/>
    <row r="45832" hidden="1" x14ac:dyDescent="0.2"/>
    <row r="45833" hidden="1" x14ac:dyDescent="0.2"/>
    <row r="45834" hidden="1" x14ac:dyDescent="0.2"/>
    <row r="45835" hidden="1" x14ac:dyDescent="0.2"/>
    <row r="45836" hidden="1" x14ac:dyDescent="0.2"/>
    <row r="45837" hidden="1" x14ac:dyDescent="0.2"/>
    <row r="45838" hidden="1" x14ac:dyDescent="0.2"/>
    <row r="45839" hidden="1" x14ac:dyDescent="0.2"/>
    <row r="45840" hidden="1" x14ac:dyDescent="0.2"/>
    <row r="45841" hidden="1" x14ac:dyDescent="0.2"/>
    <row r="45842" hidden="1" x14ac:dyDescent="0.2"/>
    <row r="45843" hidden="1" x14ac:dyDescent="0.2"/>
    <row r="45844" hidden="1" x14ac:dyDescent="0.2"/>
    <row r="45845" hidden="1" x14ac:dyDescent="0.2"/>
    <row r="45846" hidden="1" x14ac:dyDescent="0.2"/>
    <row r="45847" hidden="1" x14ac:dyDescent="0.2"/>
    <row r="45848" hidden="1" x14ac:dyDescent="0.2"/>
    <row r="45849" hidden="1" x14ac:dyDescent="0.2"/>
    <row r="45850" hidden="1" x14ac:dyDescent="0.2"/>
    <row r="45851" hidden="1" x14ac:dyDescent="0.2"/>
    <row r="45852" hidden="1" x14ac:dyDescent="0.2"/>
    <row r="45853" hidden="1" x14ac:dyDescent="0.2"/>
    <row r="45854" hidden="1" x14ac:dyDescent="0.2"/>
    <row r="45855" hidden="1" x14ac:dyDescent="0.2"/>
    <row r="45856" hidden="1" x14ac:dyDescent="0.2"/>
    <row r="45857" hidden="1" x14ac:dyDescent="0.2"/>
    <row r="45858" hidden="1" x14ac:dyDescent="0.2"/>
    <row r="45859" hidden="1" x14ac:dyDescent="0.2"/>
    <row r="45860" hidden="1" x14ac:dyDescent="0.2"/>
    <row r="45861" hidden="1" x14ac:dyDescent="0.2"/>
    <row r="45862" hidden="1" x14ac:dyDescent="0.2"/>
    <row r="45863" hidden="1" x14ac:dyDescent="0.2"/>
    <row r="45864" hidden="1" x14ac:dyDescent="0.2"/>
    <row r="45865" hidden="1" x14ac:dyDescent="0.2"/>
    <row r="45866" hidden="1" x14ac:dyDescent="0.2"/>
    <row r="45867" hidden="1" x14ac:dyDescent="0.2"/>
    <row r="45868" hidden="1" x14ac:dyDescent="0.2"/>
    <row r="45869" hidden="1" x14ac:dyDescent="0.2"/>
    <row r="45870" hidden="1" x14ac:dyDescent="0.2"/>
    <row r="45871" hidden="1" x14ac:dyDescent="0.2"/>
    <row r="45872" hidden="1" x14ac:dyDescent="0.2"/>
    <row r="45873" hidden="1" x14ac:dyDescent="0.2"/>
    <row r="45874" hidden="1" x14ac:dyDescent="0.2"/>
    <row r="45875" hidden="1" x14ac:dyDescent="0.2"/>
    <row r="45876" hidden="1" x14ac:dyDescent="0.2"/>
    <row r="45877" hidden="1" x14ac:dyDescent="0.2"/>
    <row r="45878" hidden="1" x14ac:dyDescent="0.2"/>
    <row r="45879" hidden="1" x14ac:dyDescent="0.2"/>
    <row r="45880" hidden="1" x14ac:dyDescent="0.2"/>
    <row r="45881" hidden="1" x14ac:dyDescent="0.2"/>
    <row r="45882" hidden="1" x14ac:dyDescent="0.2"/>
    <row r="45883" hidden="1" x14ac:dyDescent="0.2"/>
    <row r="45884" hidden="1" x14ac:dyDescent="0.2"/>
    <row r="45885" hidden="1" x14ac:dyDescent="0.2"/>
    <row r="45886" hidden="1" x14ac:dyDescent="0.2"/>
    <row r="45887" hidden="1" x14ac:dyDescent="0.2"/>
    <row r="45888" hidden="1" x14ac:dyDescent="0.2"/>
    <row r="45889" hidden="1" x14ac:dyDescent="0.2"/>
    <row r="45890" hidden="1" x14ac:dyDescent="0.2"/>
    <row r="45891" hidden="1" x14ac:dyDescent="0.2"/>
    <row r="45892" hidden="1" x14ac:dyDescent="0.2"/>
    <row r="45893" hidden="1" x14ac:dyDescent="0.2"/>
    <row r="45894" hidden="1" x14ac:dyDescent="0.2"/>
    <row r="45895" hidden="1" x14ac:dyDescent="0.2"/>
    <row r="45896" hidden="1" x14ac:dyDescent="0.2"/>
    <row r="45897" hidden="1" x14ac:dyDescent="0.2"/>
    <row r="45898" hidden="1" x14ac:dyDescent="0.2"/>
    <row r="45899" hidden="1" x14ac:dyDescent="0.2"/>
    <row r="45900" hidden="1" x14ac:dyDescent="0.2"/>
    <row r="45901" hidden="1" x14ac:dyDescent="0.2"/>
    <row r="45902" hidden="1" x14ac:dyDescent="0.2"/>
    <row r="45903" hidden="1" x14ac:dyDescent="0.2"/>
    <row r="45904" hidden="1" x14ac:dyDescent="0.2"/>
    <row r="45905" hidden="1" x14ac:dyDescent="0.2"/>
    <row r="45906" hidden="1" x14ac:dyDescent="0.2"/>
    <row r="45907" hidden="1" x14ac:dyDescent="0.2"/>
    <row r="45908" hidden="1" x14ac:dyDescent="0.2"/>
    <row r="45909" hidden="1" x14ac:dyDescent="0.2"/>
    <row r="45910" hidden="1" x14ac:dyDescent="0.2"/>
    <row r="45911" hidden="1" x14ac:dyDescent="0.2"/>
    <row r="45912" hidden="1" x14ac:dyDescent="0.2"/>
    <row r="45913" hidden="1" x14ac:dyDescent="0.2"/>
    <row r="45914" hidden="1" x14ac:dyDescent="0.2"/>
    <row r="45915" hidden="1" x14ac:dyDescent="0.2"/>
    <row r="45916" hidden="1" x14ac:dyDescent="0.2"/>
    <row r="45917" hidden="1" x14ac:dyDescent="0.2"/>
    <row r="45918" hidden="1" x14ac:dyDescent="0.2"/>
    <row r="45919" hidden="1" x14ac:dyDescent="0.2"/>
    <row r="45920" hidden="1" x14ac:dyDescent="0.2"/>
    <row r="45921" hidden="1" x14ac:dyDescent="0.2"/>
    <row r="45922" hidden="1" x14ac:dyDescent="0.2"/>
    <row r="45923" hidden="1" x14ac:dyDescent="0.2"/>
    <row r="45924" hidden="1" x14ac:dyDescent="0.2"/>
    <row r="45925" hidden="1" x14ac:dyDescent="0.2"/>
    <row r="45926" hidden="1" x14ac:dyDescent="0.2"/>
    <row r="45927" hidden="1" x14ac:dyDescent="0.2"/>
    <row r="45928" hidden="1" x14ac:dyDescent="0.2"/>
    <row r="45929" hidden="1" x14ac:dyDescent="0.2"/>
    <row r="45930" hidden="1" x14ac:dyDescent="0.2"/>
    <row r="45931" hidden="1" x14ac:dyDescent="0.2"/>
    <row r="45932" hidden="1" x14ac:dyDescent="0.2"/>
    <row r="45933" hidden="1" x14ac:dyDescent="0.2"/>
    <row r="45934" hidden="1" x14ac:dyDescent="0.2"/>
    <row r="45935" hidden="1" x14ac:dyDescent="0.2"/>
    <row r="45936" hidden="1" x14ac:dyDescent="0.2"/>
    <row r="45937" hidden="1" x14ac:dyDescent="0.2"/>
    <row r="45938" hidden="1" x14ac:dyDescent="0.2"/>
    <row r="45939" hidden="1" x14ac:dyDescent="0.2"/>
    <row r="45940" hidden="1" x14ac:dyDescent="0.2"/>
    <row r="45941" hidden="1" x14ac:dyDescent="0.2"/>
    <row r="45942" hidden="1" x14ac:dyDescent="0.2"/>
    <row r="45943" hidden="1" x14ac:dyDescent="0.2"/>
    <row r="45944" hidden="1" x14ac:dyDescent="0.2"/>
    <row r="45945" hidden="1" x14ac:dyDescent="0.2"/>
    <row r="45946" hidden="1" x14ac:dyDescent="0.2"/>
    <row r="45947" hidden="1" x14ac:dyDescent="0.2"/>
    <row r="45948" hidden="1" x14ac:dyDescent="0.2"/>
    <row r="45949" hidden="1" x14ac:dyDescent="0.2"/>
    <row r="45950" hidden="1" x14ac:dyDescent="0.2"/>
    <row r="45951" hidden="1" x14ac:dyDescent="0.2"/>
    <row r="45952" hidden="1" x14ac:dyDescent="0.2"/>
    <row r="45953" hidden="1" x14ac:dyDescent="0.2"/>
    <row r="45954" hidden="1" x14ac:dyDescent="0.2"/>
    <row r="45955" hidden="1" x14ac:dyDescent="0.2"/>
    <row r="45956" hidden="1" x14ac:dyDescent="0.2"/>
    <row r="45957" hidden="1" x14ac:dyDescent="0.2"/>
    <row r="45958" hidden="1" x14ac:dyDescent="0.2"/>
    <row r="45959" hidden="1" x14ac:dyDescent="0.2"/>
    <row r="45960" hidden="1" x14ac:dyDescent="0.2"/>
    <row r="45961" hidden="1" x14ac:dyDescent="0.2"/>
    <row r="45962" hidden="1" x14ac:dyDescent="0.2"/>
    <row r="45963" hidden="1" x14ac:dyDescent="0.2"/>
    <row r="45964" hidden="1" x14ac:dyDescent="0.2"/>
    <row r="45965" hidden="1" x14ac:dyDescent="0.2"/>
    <row r="45966" hidden="1" x14ac:dyDescent="0.2"/>
    <row r="45967" hidden="1" x14ac:dyDescent="0.2"/>
    <row r="45968" hidden="1" x14ac:dyDescent="0.2"/>
    <row r="45969" hidden="1" x14ac:dyDescent="0.2"/>
    <row r="45970" hidden="1" x14ac:dyDescent="0.2"/>
    <row r="45971" hidden="1" x14ac:dyDescent="0.2"/>
    <row r="45972" hidden="1" x14ac:dyDescent="0.2"/>
    <row r="45973" hidden="1" x14ac:dyDescent="0.2"/>
    <row r="45974" hidden="1" x14ac:dyDescent="0.2"/>
    <row r="45975" hidden="1" x14ac:dyDescent="0.2"/>
    <row r="45976" hidden="1" x14ac:dyDescent="0.2"/>
    <row r="45977" hidden="1" x14ac:dyDescent="0.2"/>
    <row r="45978" hidden="1" x14ac:dyDescent="0.2"/>
    <row r="45979" hidden="1" x14ac:dyDescent="0.2"/>
    <row r="45980" hidden="1" x14ac:dyDescent="0.2"/>
    <row r="45981" hidden="1" x14ac:dyDescent="0.2"/>
    <row r="45982" hidden="1" x14ac:dyDescent="0.2"/>
    <row r="45983" hidden="1" x14ac:dyDescent="0.2"/>
    <row r="45984" hidden="1" x14ac:dyDescent="0.2"/>
    <row r="45985" hidden="1" x14ac:dyDescent="0.2"/>
    <row r="45986" hidden="1" x14ac:dyDescent="0.2"/>
    <row r="45987" hidden="1" x14ac:dyDescent="0.2"/>
    <row r="45988" hidden="1" x14ac:dyDescent="0.2"/>
    <row r="45989" hidden="1" x14ac:dyDescent="0.2"/>
    <row r="45990" hidden="1" x14ac:dyDescent="0.2"/>
    <row r="45991" hidden="1" x14ac:dyDescent="0.2"/>
    <row r="45992" hidden="1" x14ac:dyDescent="0.2"/>
    <row r="45993" hidden="1" x14ac:dyDescent="0.2"/>
    <row r="45994" hidden="1" x14ac:dyDescent="0.2"/>
    <row r="45995" hidden="1" x14ac:dyDescent="0.2"/>
    <row r="45996" hidden="1" x14ac:dyDescent="0.2"/>
    <row r="45997" hidden="1" x14ac:dyDescent="0.2"/>
    <row r="45998" hidden="1" x14ac:dyDescent="0.2"/>
    <row r="45999" hidden="1" x14ac:dyDescent="0.2"/>
    <row r="46000" hidden="1" x14ac:dyDescent="0.2"/>
    <row r="46001" hidden="1" x14ac:dyDescent="0.2"/>
    <row r="46002" hidden="1" x14ac:dyDescent="0.2"/>
    <row r="46003" hidden="1" x14ac:dyDescent="0.2"/>
    <row r="46004" hidden="1" x14ac:dyDescent="0.2"/>
    <row r="46005" hidden="1" x14ac:dyDescent="0.2"/>
    <row r="46006" hidden="1" x14ac:dyDescent="0.2"/>
    <row r="46007" hidden="1" x14ac:dyDescent="0.2"/>
    <row r="46008" hidden="1" x14ac:dyDescent="0.2"/>
    <row r="46009" hidden="1" x14ac:dyDescent="0.2"/>
    <row r="46010" hidden="1" x14ac:dyDescent="0.2"/>
    <row r="46011" hidden="1" x14ac:dyDescent="0.2"/>
    <row r="46012" hidden="1" x14ac:dyDescent="0.2"/>
    <row r="46013" hidden="1" x14ac:dyDescent="0.2"/>
    <row r="46014" hidden="1" x14ac:dyDescent="0.2"/>
    <row r="46015" hidden="1" x14ac:dyDescent="0.2"/>
    <row r="46016" hidden="1" x14ac:dyDescent="0.2"/>
    <row r="46017" hidden="1" x14ac:dyDescent="0.2"/>
    <row r="46018" hidden="1" x14ac:dyDescent="0.2"/>
    <row r="46019" hidden="1" x14ac:dyDescent="0.2"/>
    <row r="46020" hidden="1" x14ac:dyDescent="0.2"/>
    <row r="46021" hidden="1" x14ac:dyDescent="0.2"/>
    <row r="46022" hidden="1" x14ac:dyDescent="0.2"/>
    <row r="46023" hidden="1" x14ac:dyDescent="0.2"/>
    <row r="46024" hidden="1" x14ac:dyDescent="0.2"/>
    <row r="46025" hidden="1" x14ac:dyDescent="0.2"/>
    <row r="46026" hidden="1" x14ac:dyDescent="0.2"/>
    <row r="46027" hidden="1" x14ac:dyDescent="0.2"/>
    <row r="46028" hidden="1" x14ac:dyDescent="0.2"/>
    <row r="46029" hidden="1" x14ac:dyDescent="0.2"/>
    <row r="46030" hidden="1" x14ac:dyDescent="0.2"/>
    <row r="46031" hidden="1" x14ac:dyDescent="0.2"/>
    <row r="46032" hidden="1" x14ac:dyDescent="0.2"/>
    <row r="46033" hidden="1" x14ac:dyDescent="0.2"/>
    <row r="46034" hidden="1" x14ac:dyDescent="0.2"/>
    <row r="46035" hidden="1" x14ac:dyDescent="0.2"/>
    <row r="46036" hidden="1" x14ac:dyDescent="0.2"/>
    <row r="46037" hidden="1" x14ac:dyDescent="0.2"/>
    <row r="46038" hidden="1" x14ac:dyDescent="0.2"/>
    <row r="46039" hidden="1" x14ac:dyDescent="0.2"/>
    <row r="46040" hidden="1" x14ac:dyDescent="0.2"/>
    <row r="46041" hidden="1" x14ac:dyDescent="0.2"/>
    <row r="46042" hidden="1" x14ac:dyDescent="0.2"/>
    <row r="46043" hidden="1" x14ac:dyDescent="0.2"/>
    <row r="46044" hidden="1" x14ac:dyDescent="0.2"/>
    <row r="46045" hidden="1" x14ac:dyDescent="0.2"/>
    <row r="46046" hidden="1" x14ac:dyDescent="0.2"/>
    <row r="46047" hidden="1" x14ac:dyDescent="0.2"/>
    <row r="46048" hidden="1" x14ac:dyDescent="0.2"/>
    <row r="46049" hidden="1" x14ac:dyDescent="0.2"/>
    <row r="46050" hidden="1" x14ac:dyDescent="0.2"/>
    <row r="46051" hidden="1" x14ac:dyDescent="0.2"/>
    <row r="46052" hidden="1" x14ac:dyDescent="0.2"/>
    <row r="46053" hidden="1" x14ac:dyDescent="0.2"/>
    <row r="46054" hidden="1" x14ac:dyDescent="0.2"/>
    <row r="46055" hidden="1" x14ac:dyDescent="0.2"/>
    <row r="46056" hidden="1" x14ac:dyDescent="0.2"/>
    <row r="46057" hidden="1" x14ac:dyDescent="0.2"/>
    <row r="46058" hidden="1" x14ac:dyDescent="0.2"/>
    <row r="46059" hidden="1" x14ac:dyDescent="0.2"/>
    <row r="46060" hidden="1" x14ac:dyDescent="0.2"/>
    <row r="46061" hidden="1" x14ac:dyDescent="0.2"/>
    <row r="46062" hidden="1" x14ac:dyDescent="0.2"/>
    <row r="46063" hidden="1" x14ac:dyDescent="0.2"/>
    <row r="46064" hidden="1" x14ac:dyDescent="0.2"/>
    <row r="46065" hidden="1" x14ac:dyDescent="0.2"/>
    <row r="46066" hidden="1" x14ac:dyDescent="0.2"/>
    <row r="46067" hidden="1" x14ac:dyDescent="0.2"/>
    <row r="46068" hidden="1" x14ac:dyDescent="0.2"/>
    <row r="46069" hidden="1" x14ac:dyDescent="0.2"/>
    <row r="46070" hidden="1" x14ac:dyDescent="0.2"/>
    <row r="46071" hidden="1" x14ac:dyDescent="0.2"/>
    <row r="46072" hidden="1" x14ac:dyDescent="0.2"/>
    <row r="46073" hidden="1" x14ac:dyDescent="0.2"/>
    <row r="46074" hidden="1" x14ac:dyDescent="0.2"/>
    <row r="46075" hidden="1" x14ac:dyDescent="0.2"/>
    <row r="46076" hidden="1" x14ac:dyDescent="0.2"/>
    <row r="46077" hidden="1" x14ac:dyDescent="0.2"/>
    <row r="46078" hidden="1" x14ac:dyDescent="0.2"/>
    <row r="46079" hidden="1" x14ac:dyDescent="0.2"/>
    <row r="46080" hidden="1" x14ac:dyDescent="0.2"/>
    <row r="46081" hidden="1" x14ac:dyDescent="0.2"/>
    <row r="46082" hidden="1" x14ac:dyDescent="0.2"/>
    <row r="46083" hidden="1" x14ac:dyDescent="0.2"/>
    <row r="46084" hidden="1" x14ac:dyDescent="0.2"/>
    <row r="46085" hidden="1" x14ac:dyDescent="0.2"/>
    <row r="46086" hidden="1" x14ac:dyDescent="0.2"/>
    <row r="46087" hidden="1" x14ac:dyDescent="0.2"/>
    <row r="46088" hidden="1" x14ac:dyDescent="0.2"/>
    <row r="46089" hidden="1" x14ac:dyDescent="0.2"/>
    <row r="46090" hidden="1" x14ac:dyDescent="0.2"/>
    <row r="46091" hidden="1" x14ac:dyDescent="0.2"/>
    <row r="46092" hidden="1" x14ac:dyDescent="0.2"/>
    <row r="46093" hidden="1" x14ac:dyDescent="0.2"/>
    <row r="46094" hidden="1" x14ac:dyDescent="0.2"/>
    <row r="46095" hidden="1" x14ac:dyDescent="0.2"/>
    <row r="46096" hidden="1" x14ac:dyDescent="0.2"/>
    <row r="46097" hidden="1" x14ac:dyDescent="0.2"/>
    <row r="46098" hidden="1" x14ac:dyDescent="0.2"/>
    <row r="46099" hidden="1" x14ac:dyDescent="0.2"/>
    <row r="46100" hidden="1" x14ac:dyDescent="0.2"/>
    <row r="46101" hidden="1" x14ac:dyDescent="0.2"/>
    <row r="46102" hidden="1" x14ac:dyDescent="0.2"/>
    <row r="46103" hidden="1" x14ac:dyDescent="0.2"/>
    <row r="46104" hidden="1" x14ac:dyDescent="0.2"/>
    <row r="46105" hidden="1" x14ac:dyDescent="0.2"/>
    <row r="46106" hidden="1" x14ac:dyDescent="0.2"/>
    <row r="46107" hidden="1" x14ac:dyDescent="0.2"/>
    <row r="46108" hidden="1" x14ac:dyDescent="0.2"/>
    <row r="46109" hidden="1" x14ac:dyDescent="0.2"/>
    <row r="46110" hidden="1" x14ac:dyDescent="0.2"/>
    <row r="46111" hidden="1" x14ac:dyDescent="0.2"/>
    <row r="46112" hidden="1" x14ac:dyDescent="0.2"/>
    <row r="46113" hidden="1" x14ac:dyDescent="0.2"/>
    <row r="46114" hidden="1" x14ac:dyDescent="0.2"/>
    <row r="46115" hidden="1" x14ac:dyDescent="0.2"/>
    <row r="46116" hidden="1" x14ac:dyDescent="0.2"/>
    <row r="46117" hidden="1" x14ac:dyDescent="0.2"/>
    <row r="46118" hidden="1" x14ac:dyDescent="0.2"/>
    <row r="46119" hidden="1" x14ac:dyDescent="0.2"/>
    <row r="46120" hidden="1" x14ac:dyDescent="0.2"/>
    <row r="46121" hidden="1" x14ac:dyDescent="0.2"/>
    <row r="46122" hidden="1" x14ac:dyDescent="0.2"/>
    <row r="46123" hidden="1" x14ac:dyDescent="0.2"/>
    <row r="46124" hidden="1" x14ac:dyDescent="0.2"/>
    <row r="46125" hidden="1" x14ac:dyDescent="0.2"/>
    <row r="46126" hidden="1" x14ac:dyDescent="0.2"/>
    <row r="46127" hidden="1" x14ac:dyDescent="0.2"/>
    <row r="46128" hidden="1" x14ac:dyDescent="0.2"/>
    <row r="46129" hidden="1" x14ac:dyDescent="0.2"/>
    <row r="46130" hidden="1" x14ac:dyDescent="0.2"/>
    <row r="46131" hidden="1" x14ac:dyDescent="0.2"/>
    <row r="46132" hidden="1" x14ac:dyDescent="0.2"/>
    <row r="46133" hidden="1" x14ac:dyDescent="0.2"/>
    <row r="46134" hidden="1" x14ac:dyDescent="0.2"/>
    <row r="46135" hidden="1" x14ac:dyDescent="0.2"/>
    <row r="46136" hidden="1" x14ac:dyDescent="0.2"/>
    <row r="46137" hidden="1" x14ac:dyDescent="0.2"/>
    <row r="46138" hidden="1" x14ac:dyDescent="0.2"/>
    <row r="46139" hidden="1" x14ac:dyDescent="0.2"/>
    <row r="46140" hidden="1" x14ac:dyDescent="0.2"/>
    <row r="46141" hidden="1" x14ac:dyDescent="0.2"/>
    <row r="46142" hidden="1" x14ac:dyDescent="0.2"/>
    <row r="46143" hidden="1" x14ac:dyDescent="0.2"/>
    <row r="46144" hidden="1" x14ac:dyDescent="0.2"/>
    <row r="46145" hidden="1" x14ac:dyDescent="0.2"/>
    <row r="46146" hidden="1" x14ac:dyDescent="0.2"/>
    <row r="46147" hidden="1" x14ac:dyDescent="0.2"/>
    <row r="46148" hidden="1" x14ac:dyDescent="0.2"/>
    <row r="46149" hidden="1" x14ac:dyDescent="0.2"/>
    <row r="46150" hidden="1" x14ac:dyDescent="0.2"/>
    <row r="46151" hidden="1" x14ac:dyDescent="0.2"/>
    <row r="46152" hidden="1" x14ac:dyDescent="0.2"/>
    <row r="46153" hidden="1" x14ac:dyDescent="0.2"/>
    <row r="46154" hidden="1" x14ac:dyDescent="0.2"/>
    <row r="46155" hidden="1" x14ac:dyDescent="0.2"/>
    <row r="46156" hidden="1" x14ac:dyDescent="0.2"/>
    <row r="46157" hidden="1" x14ac:dyDescent="0.2"/>
    <row r="46158" hidden="1" x14ac:dyDescent="0.2"/>
    <row r="46159" hidden="1" x14ac:dyDescent="0.2"/>
    <row r="46160" hidden="1" x14ac:dyDescent="0.2"/>
    <row r="46161" hidden="1" x14ac:dyDescent="0.2"/>
    <row r="46162" hidden="1" x14ac:dyDescent="0.2"/>
    <row r="46163" hidden="1" x14ac:dyDescent="0.2"/>
    <row r="46164" hidden="1" x14ac:dyDescent="0.2"/>
    <row r="46165" hidden="1" x14ac:dyDescent="0.2"/>
    <row r="46166" hidden="1" x14ac:dyDescent="0.2"/>
    <row r="46167" hidden="1" x14ac:dyDescent="0.2"/>
    <row r="46168" hidden="1" x14ac:dyDescent="0.2"/>
    <row r="46169" hidden="1" x14ac:dyDescent="0.2"/>
    <row r="46170" hidden="1" x14ac:dyDescent="0.2"/>
    <row r="46171" hidden="1" x14ac:dyDescent="0.2"/>
    <row r="46172" hidden="1" x14ac:dyDescent="0.2"/>
    <row r="46173" hidden="1" x14ac:dyDescent="0.2"/>
    <row r="46174" hidden="1" x14ac:dyDescent="0.2"/>
    <row r="46175" hidden="1" x14ac:dyDescent="0.2"/>
    <row r="46176" hidden="1" x14ac:dyDescent="0.2"/>
    <row r="46177" hidden="1" x14ac:dyDescent="0.2"/>
    <row r="46178" hidden="1" x14ac:dyDescent="0.2"/>
    <row r="46179" hidden="1" x14ac:dyDescent="0.2"/>
    <row r="46180" hidden="1" x14ac:dyDescent="0.2"/>
    <row r="46181" hidden="1" x14ac:dyDescent="0.2"/>
    <row r="46182" hidden="1" x14ac:dyDescent="0.2"/>
    <row r="46183" hidden="1" x14ac:dyDescent="0.2"/>
    <row r="46184" hidden="1" x14ac:dyDescent="0.2"/>
    <row r="46185" hidden="1" x14ac:dyDescent="0.2"/>
    <row r="46186" hidden="1" x14ac:dyDescent="0.2"/>
    <row r="46187" hidden="1" x14ac:dyDescent="0.2"/>
    <row r="46188" hidden="1" x14ac:dyDescent="0.2"/>
    <row r="46189" hidden="1" x14ac:dyDescent="0.2"/>
    <row r="46190" hidden="1" x14ac:dyDescent="0.2"/>
    <row r="46191" hidden="1" x14ac:dyDescent="0.2"/>
    <row r="46192" hidden="1" x14ac:dyDescent="0.2"/>
    <row r="46193" hidden="1" x14ac:dyDescent="0.2"/>
    <row r="46194" hidden="1" x14ac:dyDescent="0.2"/>
    <row r="46195" hidden="1" x14ac:dyDescent="0.2"/>
    <row r="46196" hidden="1" x14ac:dyDescent="0.2"/>
    <row r="46197" hidden="1" x14ac:dyDescent="0.2"/>
    <row r="46198" hidden="1" x14ac:dyDescent="0.2"/>
    <row r="46199" hidden="1" x14ac:dyDescent="0.2"/>
    <row r="46200" hidden="1" x14ac:dyDescent="0.2"/>
    <row r="46201" hidden="1" x14ac:dyDescent="0.2"/>
    <row r="46202" hidden="1" x14ac:dyDescent="0.2"/>
    <row r="46203" hidden="1" x14ac:dyDescent="0.2"/>
    <row r="46204" hidden="1" x14ac:dyDescent="0.2"/>
    <row r="46205" hidden="1" x14ac:dyDescent="0.2"/>
    <row r="46206" hidden="1" x14ac:dyDescent="0.2"/>
    <row r="46207" hidden="1" x14ac:dyDescent="0.2"/>
    <row r="46208" hidden="1" x14ac:dyDescent="0.2"/>
    <row r="46209" hidden="1" x14ac:dyDescent="0.2"/>
    <row r="46210" hidden="1" x14ac:dyDescent="0.2"/>
    <row r="46211" hidden="1" x14ac:dyDescent="0.2"/>
    <row r="46212" hidden="1" x14ac:dyDescent="0.2"/>
    <row r="46213" hidden="1" x14ac:dyDescent="0.2"/>
    <row r="46214" hidden="1" x14ac:dyDescent="0.2"/>
    <row r="46215" hidden="1" x14ac:dyDescent="0.2"/>
    <row r="46216" hidden="1" x14ac:dyDescent="0.2"/>
    <row r="46217" hidden="1" x14ac:dyDescent="0.2"/>
    <row r="46218" hidden="1" x14ac:dyDescent="0.2"/>
    <row r="46219" hidden="1" x14ac:dyDescent="0.2"/>
    <row r="46220" hidden="1" x14ac:dyDescent="0.2"/>
    <row r="46221" hidden="1" x14ac:dyDescent="0.2"/>
    <row r="46222" hidden="1" x14ac:dyDescent="0.2"/>
    <row r="46223" hidden="1" x14ac:dyDescent="0.2"/>
    <row r="46224" hidden="1" x14ac:dyDescent="0.2"/>
    <row r="46225" hidden="1" x14ac:dyDescent="0.2"/>
    <row r="46226" hidden="1" x14ac:dyDescent="0.2"/>
    <row r="46227" hidden="1" x14ac:dyDescent="0.2"/>
    <row r="46228" hidden="1" x14ac:dyDescent="0.2"/>
    <row r="46229" hidden="1" x14ac:dyDescent="0.2"/>
    <row r="46230" hidden="1" x14ac:dyDescent="0.2"/>
    <row r="46231" hidden="1" x14ac:dyDescent="0.2"/>
    <row r="46232" hidden="1" x14ac:dyDescent="0.2"/>
    <row r="46233" hidden="1" x14ac:dyDescent="0.2"/>
    <row r="46234" hidden="1" x14ac:dyDescent="0.2"/>
    <row r="46235" hidden="1" x14ac:dyDescent="0.2"/>
    <row r="46236" hidden="1" x14ac:dyDescent="0.2"/>
    <row r="46237" hidden="1" x14ac:dyDescent="0.2"/>
    <row r="46238" hidden="1" x14ac:dyDescent="0.2"/>
    <row r="46239" hidden="1" x14ac:dyDescent="0.2"/>
    <row r="46240" hidden="1" x14ac:dyDescent="0.2"/>
    <row r="46241" hidden="1" x14ac:dyDescent="0.2"/>
    <row r="46242" hidden="1" x14ac:dyDescent="0.2"/>
    <row r="46243" hidden="1" x14ac:dyDescent="0.2"/>
    <row r="46244" hidden="1" x14ac:dyDescent="0.2"/>
    <row r="46245" hidden="1" x14ac:dyDescent="0.2"/>
    <row r="46246" hidden="1" x14ac:dyDescent="0.2"/>
    <row r="46247" hidden="1" x14ac:dyDescent="0.2"/>
    <row r="46248" hidden="1" x14ac:dyDescent="0.2"/>
    <row r="46249" hidden="1" x14ac:dyDescent="0.2"/>
    <row r="46250" hidden="1" x14ac:dyDescent="0.2"/>
    <row r="46251" hidden="1" x14ac:dyDescent="0.2"/>
    <row r="46252" hidden="1" x14ac:dyDescent="0.2"/>
    <row r="46253" hidden="1" x14ac:dyDescent="0.2"/>
    <row r="46254" hidden="1" x14ac:dyDescent="0.2"/>
    <row r="46255" hidden="1" x14ac:dyDescent="0.2"/>
    <row r="46256" hidden="1" x14ac:dyDescent="0.2"/>
    <row r="46257" hidden="1" x14ac:dyDescent="0.2"/>
    <row r="46258" hidden="1" x14ac:dyDescent="0.2"/>
    <row r="46259" hidden="1" x14ac:dyDescent="0.2"/>
    <row r="46260" hidden="1" x14ac:dyDescent="0.2"/>
    <row r="46261" hidden="1" x14ac:dyDescent="0.2"/>
    <row r="46262" hidden="1" x14ac:dyDescent="0.2"/>
    <row r="46263" hidden="1" x14ac:dyDescent="0.2"/>
    <row r="46264" hidden="1" x14ac:dyDescent="0.2"/>
    <row r="46265" hidden="1" x14ac:dyDescent="0.2"/>
    <row r="46266" hidden="1" x14ac:dyDescent="0.2"/>
    <row r="46267" hidden="1" x14ac:dyDescent="0.2"/>
    <row r="46268" hidden="1" x14ac:dyDescent="0.2"/>
    <row r="46269" hidden="1" x14ac:dyDescent="0.2"/>
    <row r="46270" hidden="1" x14ac:dyDescent="0.2"/>
    <row r="46271" hidden="1" x14ac:dyDescent="0.2"/>
    <row r="46272" hidden="1" x14ac:dyDescent="0.2"/>
    <row r="46273" hidden="1" x14ac:dyDescent="0.2"/>
    <row r="46274" hidden="1" x14ac:dyDescent="0.2"/>
    <row r="46275" hidden="1" x14ac:dyDescent="0.2"/>
    <row r="46276" hidden="1" x14ac:dyDescent="0.2"/>
    <row r="46277" hidden="1" x14ac:dyDescent="0.2"/>
    <row r="46278" hidden="1" x14ac:dyDescent="0.2"/>
    <row r="46279" hidden="1" x14ac:dyDescent="0.2"/>
    <row r="46280" hidden="1" x14ac:dyDescent="0.2"/>
    <row r="46281" hidden="1" x14ac:dyDescent="0.2"/>
    <row r="46282" hidden="1" x14ac:dyDescent="0.2"/>
    <row r="46283" hidden="1" x14ac:dyDescent="0.2"/>
    <row r="46284" hidden="1" x14ac:dyDescent="0.2"/>
    <row r="46285" hidden="1" x14ac:dyDescent="0.2"/>
    <row r="46286" hidden="1" x14ac:dyDescent="0.2"/>
    <row r="46287" hidden="1" x14ac:dyDescent="0.2"/>
    <row r="46288" hidden="1" x14ac:dyDescent="0.2"/>
    <row r="46289" hidden="1" x14ac:dyDescent="0.2"/>
    <row r="46290" hidden="1" x14ac:dyDescent="0.2"/>
    <row r="46291" hidden="1" x14ac:dyDescent="0.2"/>
    <row r="46292" hidden="1" x14ac:dyDescent="0.2"/>
    <row r="46293" hidden="1" x14ac:dyDescent="0.2"/>
    <row r="46294" hidden="1" x14ac:dyDescent="0.2"/>
    <row r="46295" hidden="1" x14ac:dyDescent="0.2"/>
    <row r="46296" hidden="1" x14ac:dyDescent="0.2"/>
    <row r="46297" hidden="1" x14ac:dyDescent="0.2"/>
    <row r="46298" hidden="1" x14ac:dyDescent="0.2"/>
    <row r="46299" hidden="1" x14ac:dyDescent="0.2"/>
    <row r="46300" hidden="1" x14ac:dyDescent="0.2"/>
    <row r="46301" hidden="1" x14ac:dyDescent="0.2"/>
    <row r="46302" hidden="1" x14ac:dyDescent="0.2"/>
    <row r="46303" hidden="1" x14ac:dyDescent="0.2"/>
    <row r="46304" hidden="1" x14ac:dyDescent="0.2"/>
    <row r="46305" hidden="1" x14ac:dyDescent="0.2"/>
    <row r="46306" hidden="1" x14ac:dyDescent="0.2"/>
    <row r="46307" hidden="1" x14ac:dyDescent="0.2"/>
    <row r="46308" hidden="1" x14ac:dyDescent="0.2"/>
    <row r="46309" hidden="1" x14ac:dyDescent="0.2"/>
    <row r="46310" hidden="1" x14ac:dyDescent="0.2"/>
    <row r="46311" hidden="1" x14ac:dyDescent="0.2"/>
    <row r="46312" hidden="1" x14ac:dyDescent="0.2"/>
    <row r="46313" hidden="1" x14ac:dyDescent="0.2"/>
    <row r="46314" hidden="1" x14ac:dyDescent="0.2"/>
    <row r="46315" hidden="1" x14ac:dyDescent="0.2"/>
    <row r="46316" hidden="1" x14ac:dyDescent="0.2"/>
    <row r="46317" hidden="1" x14ac:dyDescent="0.2"/>
    <row r="46318" hidden="1" x14ac:dyDescent="0.2"/>
    <row r="46319" hidden="1" x14ac:dyDescent="0.2"/>
    <row r="46320" hidden="1" x14ac:dyDescent="0.2"/>
    <row r="46321" hidden="1" x14ac:dyDescent="0.2"/>
    <row r="46322" hidden="1" x14ac:dyDescent="0.2"/>
    <row r="46323" hidden="1" x14ac:dyDescent="0.2"/>
    <row r="46324" hidden="1" x14ac:dyDescent="0.2"/>
    <row r="46325" hidden="1" x14ac:dyDescent="0.2"/>
    <row r="46326" hidden="1" x14ac:dyDescent="0.2"/>
    <row r="46327" hidden="1" x14ac:dyDescent="0.2"/>
    <row r="46328" hidden="1" x14ac:dyDescent="0.2"/>
    <row r="46329" hidden="1" x14ac:dyDescent="0.2"/>
    <row r="46330" hidden="1" x14ac:dyDescent="0.2"/>
    <row r="46331" hidden="1" x14ac:dyDescent="0.2"/>
    <row r="46332" hidden="1" x14ac:dyDescent="0.2"/>
    <row r="46333" hidden="1" x14ac:dyDescent="0.2"/>
    <row r="46334" hidden="1" x14ac:dyDescent="0.2"/>
    <row r="46335" hidden="1" x14ac:dyDescent="0.2"/>
    <row r="46336" hidden="1" x14ac:dyDescent="0.2"/>
    <row r="46337" hidden="1" x14ac:dyDescent="0.2"/>
    <row r="46338" hidden="1" x14ac:dyDescent="0.2"/>
    <row r="46339" hidden="1" x14ac:dyDescent="0.2"/>
    <row r="46340" hidden="1" x14ac:dyDescent="0.2"/>
    <row r="46341" hidden="1" x14ac:dyDescent="0.2"/>
    <row r="46342" hidden="1" x14ac:dyDescent="0.2"/>
    <row r="46343" hidden="1" x14ac:dyDescent="0.2"/>
    <row r="46344" hidden="1" x14ac:dyDescent="0.2"/>
    <row r="46345" hidden="1" x14ac:dyDescent="0.2"/>
    <row r="46346" hidden="1" x14ac:dyDescent="0.2"/>
    <row r="46347" hidden="1" x14ac:dyDescent="0.2"/>
    <row r="46348" hidden="1" x14ac:dyDescent="0.2"/>
    <row r="46349" hidden="1" x14ac:dyDescent="0.2"/>
    <row r="46350" hidden="1" x14ac:dyDescent="0.2"/>
    <row r="46351" hidden="1" x14ac:dyDescent="0.2"/>
    <row r="46352" hidden="1" x14ac:dyDescent="0.2"/>
    <row r="46353" hidden="1" x14ac:dyDescent="0.2"/>
    <row r="46354" hidden="1" x14ac:dyDescent="0.2"/>
    <row r="46355" hidden="1" x14ac:dyDescent="0.2"/>
    <row r="46356" hidden="1" x14ac:dyDescent="0.2"/>
    <row r="46357" hidden="1" x14ac:dyDescent="0.2"/>
    <row r="46358" hidden="1" x14ac:dyDescent="0.2"/>
    <row r="46359" hidden="1" x14ac:dyDescent="0.2"/>
    <row r="46360" hidden="1" x14ac:dyDescent="0.2"/>
    <row r="46361" hidden="1" x14ac:dyDescent="0.2"/>
    <row r="46362" hidden="1" x14ac:dyDescent="0.2"/>
    <row r="46363" hidden="1" x14ac:dyDescent="0.2"/>
    <row r="46364" hidden="1" x14ac:dyDescent="0.2"/>
    <row r="46365" hidden="1" x14ac:dyDescent="0.2"/>
    <row r="46366" hidden="1" x14ac:dyDescent="0.2"/>
    <row r="46367" hidden="1" x14ac:dyDescent="0.2"/>
    <row r="46368" hidden="1" x14ac:dyDescent="0.2"/>
    <row r="46369" hidden="1" x14ac:dyDescent="0.2"/>
    <row r="46370" hidden="1" x14ac:dyDescent="0.2"/>
    <row r="46371" hidden="1" x14ac:dyDescent="0.2"/>
    <row r="46372" hidden="1" x14ac:dyDescent="0.2"/>
    <row r="46373" hidden="1" x14ac:dyDescent="0.2"/>
    <row r="46374" hidden="1" x14ac:dyDescent="0.2"/>
    <row r="46375" hidden="1" x14ac:dyDescent="0.2"/>
    <row r="46376" hidden="1" x14ac:dyDescent="0.2"/>
    <row r="46377" hidden="1" x14ac:dyDescent="0.2"/>
    <row r="46378" hidden="1" x14ac:dyDescent="0.2"/>
    <row r="46379" hidden="1" x14ac:dyDescent="0.2"/>
    <row r="46380" hidden="1" x14ac:dyDescent="0.2"/>
    <row r="46381" hidden="1" x14ac:dyDescent="0.2"/>
    <row r="46382" hidden="1" x14ac:dyDescent="0.2"/>
    <row r="46383" hidden="1" x14ac:dyDescent="0.2"/>
    <row r="46384" hidden="1" x14ac:dyDescent="0.2"/>
    <row r="46385" hidden="1" x14ac:dyDescent="0.2"/>
    <row r="46386" hidden="1" x14ac:dyDescent="0.2"/>
    <row r="46387" hidden="1" x14ac:dyDescent="0.2"/>
    <row r="46388" hidden="1" x14ac:dyDescent="0.2"/>
    <row r="46389" hidden="1" x14ac:dyDescent="0.2"/>
    <row r="46390" hidden="1" x14ac:dyDescent="0.2"/>
    <row r="46391" hidden="1" x14ac:dyDescent="0.2"/>
    <row r="46392" hidden="1" x14ac:dyDescent="0.2"/>
    <row r="46393" hidden="1" x14ac:dyDescent="0.2"/>
    <row r="46394" hidden="1" x14ac:dyDescent="0.2"/>
    <row r="46395" hidden="1" x14ac:dyDescent="0.2"/>
    <row r="46396" hidden="1" x14ac:dyDescent="0.2"/>
    <row r="46397" hidden="1" x14ac:dyDescent="0.2"/>
    <row r="46398" hidden="1" x14ac:dyDescent="0.2"/>
    <row r="46399" hidden="1" x14ac:dyDescent="0.2"/>
    <row r="46400" hidden="1" x14ac:dyDescent="0.2"/>
    <row r="46401" hidden="1" x14ac:dyDescent="0.2"/>
    <row r="46402" hidden="1" x14ac:dyDescent="0.2"/>
    <row r="46403" hidden="1" x14ac:dyDescent="0.2"/>
    <row r="46404" hidden="1" x14ac:dyDescent="0.2"/>
    <row r="46405" hidden="1" x14ac:dyDescent="0.2"/>
    <row r="46406" hidden="1" x14ac:dyDescent="0.2"/>
    <row r="46407" hidden="1" x14ac:dyDescent="0.2"/>
    <row r="46408" hidden="1" x14ac:dyDescent="0.2"/>
    <row r="46409" hidden="1" x14ac:dyDescent="0.2"/>
    <row r="46410" hidden="1" x14ac:dyDescent="0.2"/>
    <row r="46411" hidden="1" x14ac:dyDescent="0.2"/>
    <row r="46412" hidden="1" x14ac:dyDescent="0.2"/>
    <row r="46413" hidden="1" x14ac:dyDescent="0.2"/>
    <row r="46414" hidden="1" x14ac:dyDescent="0.2"/>
    <row r="46415" hidden="1" x14ac:dyDescent="0.2"/>
    <row r="46416" hidden="1" x14ac:dyDescent="0.2"/>
    <row r="46417" hidden="1" x14ac:dyDescent="0.2"/>
    <row r="46418" hidden="1" x14ac:dyDescent="0.2"/>
    <row r="46419" hidden="1" x14ac:dyDescent="0.2"/>
    <row r="46420" hidden="1" x14ac:dyDescent="0.2"/>
    <row r="46421" hidden="1" x14ac:dyDescent="0.2"/>
    <row r="46422" hidden="1" x14ac:dyDescent="0.2"/>
    <row r="46423" hidden="1" x14ac:dyDescent="0.2"/>
    <row r="46424" hidden="1" x14ac:dyDescent="0.2"/>
    <row r="46425" hidden="1" x14ac:dyDescent="0.2"/>
    <row r="46426" hidden="1" x14ac:dyDescent="0.2"/>
    <row r="46427" hidden="1" x14ac:dyDescent="0.2"/>
    <row r="46428" hidden="1" x14ac:dyDescent="0.2"/>
    <row r="46429" hidden="1" x14ac:dyDescent="0.2"/>
    <row r="46430" hidden="1" x14ac:dyDescent="0.2"/>
    <row r="46431" hidden="1" x14ac:dyDescent="0.2"/>
    <row r="46432" hidden="1" x14ac:dyDescent="0.2"/>
    <row r="46433" hidden="1" x14ac:dyDescent="0.2"/>
    <row r="46434" hidden="1" x14ac:dyDescent="0.2"/>
    <row r="46435" hidden="1" x14ac:dyDescent="0.2"/>
    <row r="46436" hidden="1" x14ac:dyDescent="0.2"/>
    <row r="46437" hidden="1" x14ac:dyDescent="0.2"/>
    <row r="46438" hidden="1" x14ac:dyDescent="0.2"/>
    <row r="46439" hidden="1" x14ac:dyDescent="0.2"/>
    <row r="46440" hidden="1" x14ac:dyDescent="0.2"/>
    <row r="46441" hidden="1" x14ac:dyDescent="0.2"/>
    <row r="46442" hidden="1" x14ac:dyDescent="0.2"/>
    <row r="46443" hidden="1" x14ac:dyDescent="0.2"/>
    <row r="46444" hidden="1" x14ac:dyDescent="0.2"/>
    <row r="46445" hidden="1" x14ac:dyDescent="0.2"/>
    <row r="46446" hidden="1" x14ac:dyDescent="0.2"/>
    <row r="46447" hidden="1" x14ac:dyDescent="0.2"/>
    <row r="46448" hidden="1" x14ac:dyDescent="0.2"/>
    <row r="46449" hidden="1" x14ac:dyDescent="0.2"/>
    <row r="46450" hidden="1" x14ac:dyDescent="0.2"/>
    <row r="46451" hidden="1" x14ac:dyDescent="0.2"/>
    <row r="46452" hidden="1" x14ac:dyDescent="0.2"/>
    <row r="46453" hidden="1" x14ac:dyDescent="0.2"/>
    <row r="46454" hidden="1" x14ac:dyDescent="0.2"/>
    <row r="46455" hidden="1" x14ac:dyDescent="0.2"/>
    <row r="46456" hidden="1" x14ac:dyDescent="0.2"/>
    <row r="46457" hidden="1" x14ac:dyDescent="0.2"/>
    <row r="46458" hidden="1" x14ac:dyDescent="0.2"/>
    <row r="46459" hidden="1" x14ac:dyDescent="0.2"/>
    <row r="46460" hidden="1" x14ac:dyDescent="0.2"/>
    <row r="46461" hidden="1" x14ac:dyDescent="0.2"/>
    <row r="46462" hidden="1" x14ac:dyDescent="0.2"/>
    <row r="46463" hidden="1" x14ac:dyDescent="0.2"/>
    <row r="46464" hidden="1" x14ac:dyDescent="0.2"/>
    <row r="46465" hidden="1" x14ac:dyDescent="0.2"/>
    <row r="46466" hidden="1" x14ac:dyDescent="0.2"/>
    <row r="46467" hidden="1" x14ac:dyDescent="0.2"/>
    <row r="46468" hidden="1" x14ac:dyDescent="0.2"/>
    <row r="46469" hidden="1" x14ac:dyDescent="0.2"/>
    <row r="46470" hidden="1" x14ac:dyDescent="0.2"/>
    <row r="46471" hidden="1" x14ac:dyDescent="0.2"/>
    <row r="46472" hidden="1" x14ac:dyDescent="0.2"/>
    <row r="46473" hidden="1" x14ac:dyDescent="0.2"/>
    <row r="46474" hidden="1" x14ac:dyDescent="0.2"/>
    <row r="46475" hidden="1" x14ac:dyDescent="0.2"/>
    <row r="46476" hidden="1" x14ac:dyDescent="0.2"/>
    <row r="46477" hidden="1" x14ac:dyDescent="0.2"/>
    <row r="46478" hidden="1" x14ac:dyDescent="0.2"/>
    <row r="46479" hidden="1" x14ac:dyDescent="0.2"/>
    <row r="46480" hidden="1" x14ac:dyDescent="0.2"/>
    <row r="46481" hidden="1" x14ac:dyDescent="0.2"/>
    <row r="46482" hidden="1" x14ac:dyDescent="0.2"/>
    <row r="46483" hidden="1" x14ac:dyDescent="0.2"/>
    <row r="46484" hidden="1" x14ac:dyDescent="0.2"/>
    <row r="46485" hidden="1" x14ac:dyDescent="0.2"/>
    <row r="46486" hidden="1" x14ac:dyDescent="0.2"/>
    <row r="46487" hidden="1" x14ac:dyDescent="0.2"/>
    <row r="46488" hidden="1" x14ac:dyDescent="0.2"/>
    <row r="46489" hidden="1" x14ac:dyDescent="0.2"/>
    <row r="46490" hidden="1" x14ac:dyDescent="0.2"/>
    <row r="46491" hidden="1" x14ac:dyDescent="0.2"/>
    <row r="46492" hidden="1" x14ac:dyDescent="0.2"/>
    <row r="46493" hidden="1" x14ac:dyDescent="0.2"/>
    <row r="46494" hidden="1" x14ac:dyDescent="0.2"/>
    <row r="46495" hidden="1" x14ac:dyDescent="0.2"/>
    <row r="46496" hidden="1" x14ac:dyDescent="0.2"/>
    <row r="46497" hidden="1" x14ac:dyDescent="0.2"/>
    <row r="46498" hidden="1" x14ac:dyDescent="0.2"/>
    <row r="46499" hidden="1" x14ac:dyDescent="0.2"/>
    <row r="46500" hidden="1" x14ac:dyDescent="0.2"/>
    <row r="46501" hidden="1" x14ac:dyDescent="0.2"/>
    <row r="46502" hidden="1" x14ac:dyDescent="0.2"/>
    <row r="46503" hidden="1" x14ac:dyDescent="0.2"/>
    <row r="46504" hidden="1" x14ac:dyDescent="0.2"/>
    <row r="46505" hidden="1" x14ac:dyDescent="0.2"/>
    <row r="46506" hidden="1" x14ac:dyDescent="0.2"/>
    <row r="46507" hidden="1" x14ac:dyDescent="0.2"/>
    <row r="46508" hidden="1" x14ac:dyDescent="0.2"/>
    <row r="46509" hidden="1" x14ac:dyDescent="0.2"/>
    <row r="46510" hidden="1" x14ac:dyDescent="0.2"/>
    <row r="46511" hidden="1" x14ac:dyDescent="0.2"/>
    <row r="46512" hidden="1" x14ac:dyDescent="0.2"/>
    <row r="46513" hidden="1" x14ac:dyDescent="0.2"/>
    <row r="46514" hidden="1" x14ac:dyDescent="0.2"/>
    <row r="46515" hidden="1" x14ac:dyDescent="0.2"/>
    <row r="46516" hidden="1" x14ac:dyDescent="0.2"/>
    <row r="46517" hidden="1" x14ac:dyDescent="0.2"/>
    <row r="46518" hidden="1" x14ac:dyDescent="0.2"/>
    <row r="46519" hidden="1" x14ac:dyDescent="0.2"/>
    <row r="46520" hidden="1" x14ac:dyDescent="0.2"/>
    <row r="46521" hidden="1" x14ac:dyDescent="0.2"/>
    <row r="46522" hidden="1" x14ac:dyDescent="0.2"/>
    <row r="46523" hidden="1" x14ac:dyDescent="0.2"/>
    <row r="46524" hidden="1" x14ac:dyDescent="0.2"/>
    <row r="46525" hidden="1" x14ac:dyDescent="0.2"/>
    <row r="46526" hidden="1" x14ac:dyDescent="0.2"/>
    <row r="46527" hidden="1" x14ac:dyDescent="0.2"/>
    <row r="46528" hidden="1" x14ac:dyDescent="0.2"/>
    <row r="46529" hidden="1" x14ac:dyDescent="0.2"/>
    <row r="46530" hidden="1" x14ac:dyDescent="0.2"/>
    <row r="46531" hidden="1" x14ac:dyDescent="0.2"/>
    <row r="46532" hidden="1" x14ac:dyDescent="0.2"/>
    <row r="46533" hidden="1" x14ac:dyDescent="0.2"/>
    <row r="46534" hidden="1" x14ac:dyDescent="0.2"/>
    <row r="46535" hidden="1" x14ac:dyDescent="0.2"/>
    <row r="46536" hidden="1" x14ac:dyDescent="0.2"/>
    <row r="46537" hidden="1" x14ac:dyDescent="0.2"/>
    <row r="46538" hidden="1" x14ac:dyDescent="0.2"/>
    <row r="46539" hidden="1" x14ac:dyDescent="0.2"/>
    <row r="46540" hidden="1" x14ac:dyDescent="0.2"/>
    <row r="46541" hidden="1" x14ac:dyDescent="0.2"/>
    <row r="46542" hidden="1" x14ac:dyDescent="0.2"/>
    <row r="46543" hidden="1" x14ac:dyDescent="0.2"/>
    <row r="46544" hidden="1" x14ac:dyDescent="0.2"/>
    <row r="46545" hidden="1" x14ac:dyDescent="0.2"/>
    <row r="46546" hidden="1" x14ac:dyDescent="0.2"/>
    <row r="46547" hidden="1" x14ac:dyDescent="0.2"/>
    <row r="46548" hidden="1" x14ac:dyDescent="0.2"/>
    <row r="46549" hidden="1" x14ac:dyDescent="0.2"/>
    <row r="46550" hidden="1" x14ac:dyDescent="0.2"/>
    <row r="46551" hidden="1" x14ac:dyDescent="0.2"/>
    <row r="46552" hidden="1" x14ac:dyDescent="0.2"/>
    <row r="46553" hidden="1" x14ac:dyDescent="0.2"/>
    <row r="46554" hidden="1" x14ac:dyDescent="0.2"/>
    <row r="46555" hidden="1" x14ac:dyDescent="0.2"/>
    <row r="46556" hidden="1" x14ac:dyDescent="0.2"/>
    <row r="46557" hidden="1" x14ac:dyDescent="0.2"/>
    <row r="46558" hidden="1" x14ac:dyDescent="0.2"/>
    <row r="46559" hidden="1" x14ac:dyDescent="0.2"/>
    <row r="46560" hidden="1" x14ac:dyDescent="0.2"/>
    <row r="46561" hidden="1" x14ac:dyDescent="0.2"/>
    <row r="46562" hidden="1" x14ac:dyDescent="0.2"/>
    <row r="46563" hidden="1" x14ac:dyDescent="0.2"/>
    <row r="46564" hidden="1" x14ac:dyDescent="0.2"/>
    <row r="46565" hidden="1" x14ac:dyDescent="0.2"/>
    <row r="46566" hidden="1" x14ac:dyDescent="0.2"/>
    <row r="46567" hidden="1" x14ac:dyDescent="0.2"/>
    <row r="46568" hidden="1" x14ac:dyDescent="0.2"/>
    <row r="46569" hidden="1" x14ac:dyDescent="0.2"/>
    <row r="46570" hidden="1" x14ac:dyDescent="0.2"/>
    <row r="46571" hidden="1" x14ac:dyDescent="0.2"/>
    <row r="46572" hidden="1" x14ac:dyDescent="0.2"/>
    <row r="46573" hidden="1" x14ac:dyDescent="0.2"/>
    <row r="46574" hidden="1" x14ac:dyDescent="0.2"/>
    <row r="46575" hidden="1" x14ac:dyDescent="0.2"/>
    <row r="46576" hidden="1" x14ac:dyDescent="0.2"/>
    <row r="46577" hidden="1" x14ac:dyDescent="0.2"/>
    <row r="46578" hidden="1" x14ac:dyDescent="0.2"/>
    <row r="46579" hidden="1" x14ac:dyDescent="0.2"/>
    <row r="46580" hidden="1" x14ac:dyDescent="0.2"/>
    <row r="46581" hidden="1" x14ac:dyDescent="0.2"/>
    <row r="46582" hidden="1" x14ac:dyDescent="0.2"/>
    <row r="46583" hidden="1" x14ac:dyDescent="0.2"/>
    <row r="46584" hidden="1" x14ac:dyDescent="0.2"/>
    <row r="46585" hidden="1" x14ac:dyDescent="0.2"/>
    <row r="46586" hidden="1" x14ac:dyDescent="0.2"/>
    <row r="46587" hidden="1" x14ac:dyDescent="0.2"/>
    <row r="46588" hidden="1" x14ac:dyDescent="0.2"/>
    <row r="46589" hidden="1" x14ac:dyDescent="0.2"/>
    <row r="46590" hidden="1" x14ac:dyDescent="0.2"/>
    <row r="46591" hidden="1" x14ac:dyDescent="0.2"/>
    <row r="46592" hidden="1" x14ac:dyDescent="0.2"/>
    <row r="46593" hidden="1" x14ac:dyDescent="0.2"/>
    <row r="46594" hidden="1" x14ac:dyDescent="0.2"/>
    <row r="46595" hidden="1" x14ac:dyDescent="0.2"/>
    <row r="46596" hidden="1" x14ac:dyDescent="0.2"/>
    <row r="46597" hidden="1" x14ac:dyDescent="0.2"/>
    <row r="46598" hidden="1" x14ac:dyDescent="0.2"/>
    <row r="46599" hidden="1" x14ac:dyDescent="0.2"/>
    <row r="46600" hidden="1" x14ac:dyDescent="0.2"/>
    <row r="46601" hidden="1" x14ac:dyDescent="0.2"/>
    <row r="46602" hidden="1" x14ac:dyDescent="0.2"/>
    <row r="46603" hidden="1" x14ac:dyDescent="0.2"/>
    <row r="46604" hidden="1" x14ac:dyDescent="0.2"/>
    <row r="46605" hidden="1" x14ac:dyDescent="0.2"/>
    <row r="46606" hidden="1" x14ac:dyDescent="0.2"/>
    <row r="46607" hidden="1" x14ac:dyDescent="0.2"/>
    <row r="46608" hidden="1" x14ac:dyDescent="0.2"/>
    <row r="46609" hidden="1" x14ac:dyDescent="0.2"/>
    <row r="46610" hidden="1" x14ac:dyDescent="0.2"/>
    <row r="46611" hidden="1" x14ac:dyDescent="0.2"/>
    <row r="46612" hidden="1" x14ac:dyDescent="0.2"/>
    <row r="46613" hidden="1" x14ac:dyDescent="0.2"/>
    <row r="46614" hidden="1" x14ac:dyDescent="0.2"/>
    <row r="46615" hidden="1" x14ac:dyDescent="0.2"/>
    <row r="46616" hidden="1" x14ac:dyDescent="0.2"/>
    <row r="46617" hidden="1" x14ac:dyDescent="0.2"/>
    <row r="46618" hidden="1" x14ac:dyDescent="0.2"/>
    <row r="46619" hidden="1" x14ac:dyDescent="0.2"/>
    <row r="46620" hidden="1" x14ac:dyDescent="0.2"/>
    <row r="46621" hidden="1" x14ac:dyDescent="0.2"/>
    <row r="46622" hidden="1" x14ac:dyDescent="0.2"/>
    <row r="46623" hidden="1" x14ac:dyDescent="0.2"/>
    <row r="46624" hidden="1" x14ac:dyDescent="0.2"/>
    <row r="46625" hidden="1" x14ac:dyDescent="0.2"/>
    <row r="46626" hidden="1" x14ac:dyDescent="0.2"/>
    <row r="46627" hidden="1" x14ac:dyDescent="0.2"/>
    <row r="46628" hidden="1" x14ac:dyDescent="0.2"/>
    <row r="46629" hidden="1" x14ac:dyDescent="0.2"/>
    <row r="46630" hidden="1" x14ac:dyDescent="0.2"/>
    <row r="46631" hidden="1" x14ac:dyDescent="0.2"/>
    <row r="46632" hidden="1" x14ac:dyDescent="0.2"/>
    <row r="46633" hidden="1" x14ac:dyDescent="0.2"/>
    <row r="46634" hidden="1" x14ac:dyDescent="0.2"/>
    <row r="46635" hidden="1" x14ac:dyDescent="0.2"/>
    <row r="46636" hidden="1" x14ac:dyDescent="0.2"/>
    <row r="46637" hidden="1" x14ac:dyDescent="0.2"/>
    <row r="46638" hidden="1" x14ac:dyDescent="0.2"/>
    <row r="46639" hidden="1" x14ac:dyDescent="0.2"/>
    <row r="46640" hidden="1" x14ac:dyDescent="0.2"/>
    <row r="46641" hidden="1" x14ac:dyDescent="0.2"/>
    <row r="46642" hidden="1" x14ac:dyDescent="0.2"/>
    <row r="46643" hidden="1" x14ac:dyDescent="0.2"/>
    <row r="46644" hidden="1" x14ac:dyDescent="0.2"/>
    <row r="46645" hidden="1" x14ac:dyDescent="0.2"/>
    <row r="46646" hidden="1" x14ac:dyDescent="0.2"/>
    <row r="46647" hidden="1" x14ac:dyDescent="0.2"/>
    <row r="46648" hidden="1" x14ac:dyDescent="0.2"/>
    <row r="46649" hidden="1" x14ac:dyDescent="0.2"/>
    <row r="46650" hidden="1" x14ac:dyDescent="0.2"/>
    <row r="46651" hidden="1" x14ac:dyDescent="0.2"/>
    <row r="46652" hidden="1" x14ac:dyDescent="0.2"/>
    <row r="46653" hidden="1" x14ac:dyDescent="0.2"/>
    <row r="46654" hidden="1" x14ac:dyDescent="0.2"/>
    <row r="46655" hidden="1" x14ac:dyDescent="0.2"/>
    <row r="46656" hidden="1" x14ac:dyDescent="0.2"/>
    <row r="46657" hidden="1" x14ac:dyDescent="0.2"/>
    <row r="46658" hidden="1" x14ac:dyDescent="0.2"/>
    <row r="46659" hidden="1" x14ac:dyDescent="0.2"/>
    <row r="46660" hidden="1" x14ac:dyDescent="0.2"/>
    <row r="46661" hidden="1" x14ac:dyDescent="0.2"/>
    <row r="46662" hidden="1" x14ac:dyDescent="0.2"/>
    <row r="46663" hidden="1" x14ac:dyDescent="0.2"/>
    <row r="46664" hidden="1" x14ac:dyDescent="0.2"/>
    <row r="46665" hidden="1" x14ac:dyDescent="0.2"/>
    <row r="46666" hidden="1" x14ac:dyDescent="0.2"/>
    <row r="46667" hidden="1" x14ac:dyDescent="0.2"/>
    <row r="46668" hidden="1" x14ac:dyDescent="0.2"/>
    <row r="46669" hidden="1" x14ac:dyDescent="0.2"/>
    <row r="46670" hidden="1" x14ac:dyDescent="0.2"/>
    <row r="46671" hidden="1" x14ac:dyDescent="0.2"/>
    <row r="46672" hidden="1" x14ac:dyDescent="0.2"/>
    <row r="46673" hidden="1" x14ac:dyDescent="0.2"/>
    <row r="46674" hidden="1" x14ac:dyDescent="0.2"/>
    <row r="46675" hidden="1" x14ac:dyDescent="0.2"/>
    <row r="46676" hidden="1" x14ac:dyDescent="0.2"/>
    <row r="46677" hidden="1" x14ac:dyDescent="0.2"/>
    <row r="46678" hidden="1" x14ac:dyDescent="0.2"/>
    <row r="46679" hidden="1" x14ac:dyDescent="0.2"/>
    <row r="46680" hidden="1" x14ac:dyDescent="0.2"/>
    <row r="46681" hidden="1" x14ac:dyDescent="0.2"/>
    <row r="46682" hidden="1" x14ac:dyDescent="0.2"/>
    <row r="46683" hidden="1" x14ac:dyDescent="0.2"/>
    <row r="46684" hidden="1" x14ac:dyDescent="0.2"/>
    <row r="46685" hidden="1" x14ac:dyDescent="0.2"/>
    <row r="46686" hidden="1" x14ac:dyDescent="0.2"/>
    <row r="46687" hidden="1" x14ac:dyDescent="0.2"/>
    <row r="46688" hidden="1" x14ac:dyDescent="0.2"/>
    <row r="46689" hidden="1" x14ac:dyDescent="0.2"/>
    <row r="46690" hidden="1" x14ac:dyDescent="0.2"/>
    <row r="46691" hidden="1" x14ac:dyDescent="0.2"/>
    <row r="46692" hidden="1" x14ac:dyDescent="0.2"/>
    <row r="46693" hidden="1" x14ac:dyDescent="0.2"/>
    <row r="46694" hidden="1" x14ac:dyDescent="0.2"/>
    <row r="46695" hidden="1" x14ac:dyDescent="0.2"/>
    <row r="46696" hidden="1" x14ac:dyDescent="0.2"/>
    <row r="46697" hidden="1" x14ac:dyDescent="0.2"/>
    <row r="46698" hidden="1" x14ac:dyDescent="0.2"/>
    <row r="46699" hidden="1" x14ac:dyDescent="0.2"/>
    <row r="46700" hidden="1" x14ac:dyDescent="0.2"/>
    <row r="46701" hidden="1" x14ac:dyDescent="0.2"/>
    <row r="46702" hidden="1" x14ac:dyDescent="0.2"/>
    <row r="46703" hidden="1" x14ac:dyDescent="0.2"/>
    <row r="46704" hidden="1" x14ac:dyDescent="0.2"/>
    <row r="46705" hidden="1" x14ac:dyDescent="0.2"/>
    <row r="46706" hidden="1" x14ac:dyDescent="0.2"/>
    <row r="46707" hidden="1" x14ac:dyDescent="0.2"/>
    <row r="46708" hidden="1" x14ac:dyDescent="0.2"/>
    <row r="46709" hidden="1" x14ac:dyDescent="0.2"/>
    <row r="46710" hidden="1" x14ac:dyDescent="0.2"/>
    <row r="46711" hidden="1" x14ac:dyDescent="0.2"/>
    <row r="46712" hidden="1" x14ac:dyDescent="0.2"/>
    <row r="46713" hidden="1" x14ac:dyDescent="0.2"/>
    <row r="46714" hidden="1" x14ac:dyDescent="0.2"/>
    <row r="46715" hidden="1" x14ac:dyDescent="0.2"/>
    <row r="46716" hidden="1" x14ac:dyDescent="0.2"/>
    <row r="46717" hidden="1" x14ac:dyDescent="0.2"/>
    <row r="46718" hidden="1" x14ac:dyDescent="0.2"/>
    <row r="46719" hidden="1" x14ac:dyDescent="0.2"/>
    <row r="46720" hidden="1" x14ac:dyDescent="0.2"/>
    <row r="46721" hidden="1" x14ac:dyDescent="0.2"/>
    <row r="46722" hidden="1" x14ac:dyDescent="0.2"/>
    <row r="46723" hidden="1" x14ac:dyDescent="0.2"/>
    <row r="46724" hidden="1" x14ac:dyDescent="0.2"/>
    <row r="46725" hidden="1" x14ac:dyDescent="0.2"/>
    <row r="46726" hidden="1" x14ac:dyDescent="0.2"/>
    <row r="46727" hidden="1" x14ac:dyDescent="0.2"/>
    <row r="46728" hidden="1" x14ac:dyDescent="0.2"/>
    <row r="46729" hidden="1" x14ac:dyDescent="0.2"/>
    <row r="46730" hidden="1" x14ac:dyDescent="0.2"/>
    <row r="46731" hidden="1" x14ac:dyDescent="0.2"/>
    <row r="46732" hidden="1" x14ac:dyDescent="0.2"/>
    <row r="46733" hidden="1" x14ac:dyDescent="0.2"/>
    <row r="46734" hidden="1" x14ac:dyDescent="0.2"/>
    <row r="46735" hidden="1" x14ac:dyDescent="0.2"/>
    <row r="46736" hidden="1" x14ac:dyDescent="0.2"/>
    <row r="46737" hidden="1" x14ac:dyDescent="0.2"/>
    <row r="46738" hidden="1" x14ac:dyDescent="0.2"/>
    <row r="46739" hidden="1" x14ac:dyDescent="0.2"/>
    <row r="46740" hidden="1" x14ac:dyDescent="0.2"/>
    <row r="46741" hidden="1" x14ac:dyDescent="0.2"/>
    <row r="46742" hidden="1" x14ac:dyDescent="0.2"/>
    <row r="46743" hidden="1" x14ac:dyDescent="0.2"/>
    <row r="46744" hidden="1" x14ac:dyDescent="0.2"/>
    <row r="46745" hidden="1" x14ac:dyDescent="0.2"/>
    <row r="46746" hidden="1" x14ac:dyDescent="0.2"/>
    <row r="46747" hidden="1" x14ac:dyDescent="0.2"/>
    <row r="46748" hidden="1" x14ac:dyDescent="0.2"/>
    <row r="46749" hidden="1" x14ac:dyDescent="0.2"/>
    <row r="46750" hidden="1" x14ac:dyDescent="0.2"/>
    <row r="46751" hidden="1" x14ac:dyDescent="0.2"/>
    <row r="46752" hidden="1" x14ac:dyDescent="0.2"/>
    <row r="46753" hidden="1" x14ac:dyDescent="0.2"/>
    <row r="46754" hidden="1" x14ac:dyDescent="0.2"/>
    <row r="46755" hidden="1" x14ac:dyDescent="0.2"/>
    <row r="46756" hidden="1" x14ac:dyDescent="0.2"/>
    <row r="46757" hidden="1" x14ac:dyDescent="0.2"/>
    <row r="46758" hidden="1" x14ac:dyDescent="0.2"/>
    <row r="46759" hidden="1" x14ac:dyDescent="0.2"/>
    <row r="46760" hidden="1" x14ac:dyDescent="0.2"/>
    <row r="46761" hidden="1" x14ac:dyDescent="0.2"/>
    <row r="46762" hidden="1" x14ac:dyDescent="0.2"/>
    <row r="46763" hidden="1" x14ac:dyDescent="0.2"/>
    <row r="46764" hidden="1" x14ac:dyDescent="0.2"/>
    <row r="46765" hidden="1" x14ac:dyDescent="0.2"/>
    <row r="46766" hidden="1" x14ac:dyDescent="0.2"/>
    <row r="46767" hidden="1" x14ac:dyDescent="0.2"/>
    <row r="46768" hidden="1" x14ac:dyDescent="0.2"/>
    <row r="46769" hidden="1" x14ac:dyDescent="0.2"/>
    <row r="46770" hidden="1" x14ac:dyDescent="0.2"/>
    <row r="46771" hidden="1" x14ac:dyDescent="0.2"/>
    <row r="46772" hidden="1" x14ac:dyDescent="0.2"/>
    <row r="46773" hidden="1" x14ac:dyDescent="0.2"/>
    <row r="46774" hidden="1" x14ac:dyDescent="0.2"/>
    <row r="46775" hidden="1" x14ac:dyDescent="0.2"/>
    <row r="46776" hidden="1" x14ac:dyDescent="0.2"/>
    <row r="46777" hidden="1" x14ac:dyDescent="0.2"/>
    <row r="46778" hidden="1" x14ac:dyDescent="0.2"/>
    <row r="46779" hidden="1" x14ac:dyDescent="0.2"/>
    <row r="46780" hidden="1" x14ac:dyDescent="0.2"/>
    <row r="46781" hidden="1" x14ac:dyDescent="0.2"/>
    <row r="46782" hidden="1" x14ac:dyDescent="0.2"/>
    <row r="46783" hidden="1" x14ac:dyDescent="0.2"/>
    <row r="46784" hidden="1" x14ac:dyDescent="0.2"/>
    <row r="46785" hidden="1" x14ac:dyDescent="0.2"/>
    <row r="46786" hidden="1" x14ac:dyDescent="0.2"/>
    <row r="46787" hidden="1" x14ac:dyDescent="0.2"/>
    <row r="46788" hidden="1" x14ac:dyDescent="0.2"/>
    <row r="46789" hidden="1" x14ac:dyDescent="0.2"/>
    <row r="46790" hidden="1" x14ac:dyDescent="0.2"/>
    <row r="46791" hidden="1" x14ac:dyDescent="0.2"/>
    <row r="46792" hidden="1" x14ac:dyDescent="0.2"/>
    <row r="46793" hidden="1" x14ac:dyDescent="0.2"/>
    <row r="46794" hidden="1" x14ac:dyDescent="0.2"/>
    <row r="46795" hidden="1" x14ac:dyDescent="0.2"/>
    <row r="46796" hidden="1" x14ac:dyDescent="0.2"/>
    <row r="46797" hidden="1" x14ac:dyDescent="0.2"/>
    <row r="46798" hidden="1" x14ac:dyDescent="0.2"/>
    <row r="46799" hidden="1" x14ac:dyDescent="0.2"/>
    <row r="46800" hidden="1" x14ac:dyDescent="0.2"/>
    <row r="46801" hidden="1" x14ac:dyDescent="0.2"/>
    <row r="46802" hidden="1" x14ac:dyDescent="0.2"/>
    <row r="46803" hidden="1" x14ac:dyDescent="0.2"/>
    <row r="46804" hidden="1" x14ac:dyDescent="0.2"/>
    <row r="46805" hidden="1" x14ac:dyDescent="0.2"/>
    <row r="46806" hidden="1" x14ac:dyDescent="0.2"/>
    <row r="46807" hidden="1" x14ac:dyDescent="0.2"/>
    <row r="46808" hidden="1" x14ac:dyDescent="0.2"/>
    <row r="46809" hidden="1" x14ac:dyDescent="0.2"/>
    <row r="46810" hidden="1" x14ac:dyDescent="0.2"/>
    <row r="46811" hidden="1" x14ac:dyDescent="0.2"/>
    <row r="46812" hidden="1" x14ac:dyDescent="0.2"/>
    <row r="46813" hidden="1" x14ac:dyDescent="0.2"/>
    <row r="46814" hidden="1" x14ac:dyDescent="0.2"/>
    <row r="46815" hidden="1" x14ac:dyDescent="0.2"/>
    <row r="46816" hidden="1" x14ac:dyDescent="0.2"/>
    <row r="46817" hidden="1" x14ac:dyDescent="0.2"/>
    <row r="46818" hidden="1" x14ac:dyDescent="0.2"/>
    <row r="46819" hidden="1" x14ac:dyDescent="0.2"/>
    <row r="46820" hidden="1" x14ac:dyDescent="0.2"/>
    <row r="46821" hidden="1" x14ac:dyDescent="0.2"/>
    <row r="46822" hidden="1" x14ac:dyDescent="0.2"/>
    <row r="46823" hidden="1" x14ac:dyDescent="0.2"/>
    <row r="46824" hidden="1" x14ac:dyDescent="0.2"/>
    <row r="46825" hidden="1" x14ac:dyDescent="0.2"/>
    <row r="46826" hidden="1" x14ac:dyDescent="0.2"/>
    <row r="46827" hidden="1" x14ac:dyDescent="0.2"/>
    <row r="46828" hidden="1" x14ac:dyDescent="0.2"/>
    <row r="46829" hidden="1" x14ac:dyDescent="0.2"/>
    <row r="46830" hidden="1" x14ac:dyDescent="0.2"/>
    <row r="46831" hidden="1" x14ac:dyDescent="0.2"/>
    <row r="46832" hidden="1" x14ac:dyDescent="0.2"/>
    <row r="46833" hidden="1" x14ac:dyDescent="0.2"/>
    <row r="46834" hidden="1" x14ac:dyDescent="0.2"/>
    <row r="46835" hidden="1" x14ac:dyDescent="0.2"/>
    <row r="46836" hidden="1" x14ac:dyDescent="0.2"/>
    <row r="46837" hidden="1" x14ac:dyDescent="0.2"/>
    <row r="46838" hidden="1" x14ac:dyDescent="0.2"/>
    <row r="46839" hidden="1" x14ac:dyDescent="0.2"/>
    <row r="46840" hidden="1" x14ac:dyDescent="0.2"/>
    <row r="46841" hidden="1" x14ac:dyDescent="0.2"/>
    <row r="46842" hidden="1" x14ac:dyDescent="0.2"/>
    <row r="46843" hidden="1" x14ac:dyDescent="0.2"/>
    <row r="46844" hidden="1" x14ac:dyDescent="0.2"/>
    <row r="46845" hidden="1" x14ac:dyDescent="0.2"/>
    <row r="46846" hidden="1" x14ac:dyDescent="0.2"/>
    <row r="46847" hidden="1" x14ac:dyDescent="0.2"/>
    <row r="46848" hidden="1" x14ac:dyDescent="0.2"/>
    <row r="46849" hidden="1" x14ac:dyDescent="0.2"/>
    <row r="46850" hidden="1" x14ac:dyDescent="0.2"/>
    <row r="46851" hidden="1" x14ac:dyDescent="0.2"/>
    <row r="46852" hidden="1" x14ac:dyDescent="0.2"/>
    <row r="46853" hidden="1" x14ac:dyDescent="0.2"/>
    <row r="46854" hidden="1" x14ac:dyDescent="0.2"/>
    <row r="46855" hidden="1" x14ac:dyDescent="0.2"/>
    <row r="46856" hidden="1" x14ac:dyDescent="0.2"/>
    <row r="46857" hidden="1" x14ac:dyDescent="0.2"/>
    <row r="46858" hidden="1" x14ac:dyDescent="0.2"/>
    <row r="46859" hidden="1" x14ac:dyDescent="0.2"/>
    <row r="46860" hidden="1" x14ac:dyDescent="0.2"/>
    <row r="46861" hidden="1" x14ac:dyDescent="0.2"/>
    <row r="46862" hidden="1" x14ac:dyDescent="0.2"/>
    <row r="46863" hidden="1" x14ac:dyDescent="0.2"/>
    <row r="46864" hidden="1" x14ac:dyDescent="0.2"/>
    <row r="46865" hidden="1" x14ac:dyDescent="0.2"/>
    <row r="46866" hidden="1" x14ac:dyDescent="0.2"/>
    <row r="46867" hidden="1" x14ac:dyDescent="0.2"/>
    <row r="46868" hidden="1" x14ac:dyDescent="0.2"/>
    <row r="46869" hidden="1" x14ac:dyDescent="0.2"/>
    <row r="46870" hidden="1" x14ac:dyDescent="0.2"/>
    <row r="46871" hidden="1" x14ac:dyDescent="0.2"/>
    <row r="46872" hidden="1" x14ac:dyDescent="0.2"/>
    <row r="46873" hidden="1" x14ac:dyDescent="0.2"/>
    <row r="46874" hidden="1" x14ac:dyDescent="0.2"/>
    <row r="46875" hidden="1" x14ac:dyDescent="0.2"/>
    <row r="46876" hidden="1" x14ac:dyDescent="0.2"/>
    <row r="46877" hidden="1" x14ac:dyDescent="0.2"/>
    <row r="46878" hidden="1" x14ac:dyDescent="0.2"/>
    <row r="46879" hidden="1" x14ac:dyDescent="0.2"/>
    <row r="46880" hidden="1" x14ac:dyDescent="0.2"/>
    <row r="46881" hidden="1" x14ac:dyDescent="0.2"/>
    <row r="46882" hidden="1" x14ac:dyDescent="0.2"/>
    <row r="46883" hidden="1" x14ac:dyDescent="0.2"/>
    <row r="46884" hidden="1" x14ac:dyDescent="0.2"/>
    <row r="46885" hidden="1" x14ac:dyDescent="0.2"/>
    <row r="46886" hidden="1" x14ac:dyDescent="0.2"/>
    <row r="46887" hidden="1" x14ac:dyDescent="0.2"/>
    <row r="46888" hidden="1" x14ac:dyDescent="0.2"/>
    <row r="46889" hidden="1" x14ac:dyDescent="0.2"/>
    <row r="46890" hidden="1" x14ac:dyDescent="0.2"/>
    <row r="46891" hidden="1" x14ac:dyDescent="0.2"/>
    <row r="46892" hidden="1" x14ac:dyDescent="0.2"/>
    <row r="46893" hidden="1" x14ac:dyDescent="0.2"/>
    <row r="46894" hidden="1" x14ac:dyDescent="0.2"/>
    <row r="46895" hidden="1" x14ac:dyDescent="0.2"/>
    <row r="46896" hidden="1" x14ac:dyDescent="0.2"/>
    <row r="46897" hidden="1" x14ac:dyDescent="0.2"/>
    <row r="46898" hidden="1" x14ac:dyDescent="0.2"/>
    <row r="46899" hidden="1" x14ac:dyDescent="0.2"/>
    <row r="46900" hidden="1" x14ac:dyDescent="0.2"/>
    <row r="46901" hidden="1" x14ac:dyDescent="0.2"/>
    <row r="46902" hidden="1" x14ac:dyDescent="0.2"/>
    <row r="46903" hidden="1" x14ac:dyDescent="0.2"/>
    <row r="46904" hidden="1" x14ac:dyDescent="0.2"/>
    <row r="46905" hidden="1" x14ac:dyDescent="0.2"/>
    <row r="46906" hidden="1" x14ac:dyDescent="0.2"/>
    <row r="46907" hidden="1" x14ac:dyDescent="0.2"/>
    <row r="46908" hidden="1" x14ac:dyDescent="0.2"/>
    <row r="46909" hidden="1" x14ac:dyDescent="0.2"/>
    <row r="46910" hidden="1" x14ac:dyDescent="0.2"/>
    <row r="46911" hidden="1" x14ac:dyDescent="0.2"/>
    <row r="46912" hidden="1" x14ac:dyDescent="0.2"/>
    <row r="46913" hidden="1" x14ac:dyDescent="0.2"/>
    <row r="46914" hidden="1" x14ac:dyDescent="0.2"/>
    <row r="46915" hidden="1" x14ac:dyDescent="0.2"/>
    <row r="46916" hidden="1" x14ac:dyDescent="0.2"/>
    <row r="46917" hidden="1" x14ac:dyDescent="0.2"/>
    <row r="46918" hidden="1" x14ac:dyDescent="0.2"/>
    <row r="46919" hidden="1" x14ac:dyDescent="0.2"/>
    <row r="46920" hidden="1" x14ac:dyDescent="0.2"/>
    <row r="46921" hidden="1" x14ac:dyDescent="0.2"/>
    <row r="46922" hidden="1" x14ac:dyDescent="0.2"/>
    <row r="46923" hidden="1" x14ac:dyDescent="0.2"/>
    <row r="46924" hidden="1" x14ac:dyDescent="0.2"/>
    <row r="46925" hidden="1" x14ac:dyDescent="0.2"/>
    <row r="46926" hidden="1" x14ac:dyDescent="0.2"/>
    <row r="46927" hidden="1" x14ac:dyDescent="0.2"/>
    <row r="46928" hidden="1" x14ac:dyDescent="0.2"/>
    <row r="46929" hidden="1" x14ac:dyDescent="0.2"/>
    <row r="46930" hidden="1" x14ac:dyDescent="0.2"/>
    <row r="46931" hidden="1" x14ac:dyDescent="0.2"/>
    <row r="46932" hidden="1" x14ac:dyDescent="0.2"/>
    <row r="46933" hidden="1" x14ac:dyDescent="0.2"/>
    <row r="46934" hidden="1" x14ac:dyDescent="0.2"/>
    <row r="46935" hidden="1" x14ac:dyDescent="0.2"/>
    <row r="46936" hidden="1" x14ac:dyDescent="0.2"/>
    <row r="46937" hidden="1" x14ac:dyDescent="0.2"/>
    <row r="46938" hidden="1" x14ac:dyDescent="0.2"/>
    <row r="46939" hidden="1" x14ac:dyDescent="0.2"/>
    <row r="46940" hidden="1" x14ac:dyDescent="0.2"/>
    <row r="46941" hidden="1" x14ac:dyDescent="0.2"/>
    <row r="46942" hidden="1" x14ac:dyDescent="0.2"/>
    <row r="46943" hidden="1" x14ac:dyDescent="0.2"/>
    <row r="46944" hidden="1" x14ac:dyDescent="0.2"/>
    <row r="46945" hidden="1" x14ac:dyDescent="0.2"/>
    <row r="46946" hidden="1" x14ac:dyDescent="0.2"/>
    <row r="46947" hidden="1" x14ac:dyDescent="0.2"/>
    <row r="46948" hidden="1" x14ac:dyDescent="0.2"/>
    <row r="46949" hidden="1" x14ac:dyDescent="0.2"/>
    <row r="46950" hidden="1" x14ac:dyDescent="0.2"/>
    <row r="46951" hidden="1" x14ac:dyDescent="0.2"/>
    <row r="46952" hidden="1" x14ac:dyDescent="0.2"/>
    <row r="46953" hidden="1" x14ac:dyDescent="0.2"/>
    <row r="46954" hidden="1" x14ac:dyDescent="0.2"/>
    <row r="46955" hidden="1" x14ac:dyDescent="0.2"/>
    <row r="46956" hidden="1" x14ac:dyDescent="0.2"/>
    <row r="46957" hidden="1" x14ac:dyDescent="0.2"/>
    <row r="46958" hidden="1" x14ac:dyDescent="0.2"/>
    <row r="46959" hidden="1" x14ac:dyDescent="0.2"/>
    <row r="46960" hidden="1" x14ac:dyDescent="0.2"/>
    <row r="46961" hidden="1" x14ac:dyDescent="0.2"/>
    <row r="46962" hidden="1" x14ac:dyDescent="0.2"/>
    <row r="46963" hidden="1" x14ac:dyDescent="0.2"/>
    <row r="46964" hidden="1" x14ac:dyDescent="0.2"/>
    <row r="46965" hidden="1" x14ac:dyDescent="0.2"/>
    <row r="46966" hidden="1" x14ac:dyDescent="0.2"/>
    <row r="46967" hidden="1" x14ac:dyDescent="0.2"/>
    <row r="46968" hidden="1" x14ac:dyDescent="0.2"/>
    <row r="46969" hidden="1" x14ac:dyDescent="0.2"/>
    <row r="46970" hidden="1" x14ac:dyDescent="0.2"/>
    <row r="46971" hidden="1" x14ac:dyDescent="0.2"/>
    <row r="46972" hidden="1" x14ac:dyDescent="0.2"/>
    <row r="46973" hidden="1" x14ac:dyDescent="0.2"/>
    <row r="46974" hidden="1" x14ac:dyDescent="0.2"/>
    <row r="46975" hidden="1" x14ac:dyDescent="0.2"/>
    <row r="46976" hidden="1" x14ac:dyDescent="0.2"/>
    <row r="46977" hidden="1" x14ac:dyDescent="0.2"/>
    <row r="46978" hidden="1" x14ac:dyDescent="0.2"/>
    <row r="46979" hidden="1" x14ac:dyDescent="0.2"/>
    <row r="46980" hidden="1" x14ac:dyDescent="0.2"/>
    <row r="46981" hidden="1" x14ac:dyDescent="0.2"/>
    <row r="46982" hidden="1" x14ac:dyDescent="0.2"/>
    <row r="46983" hidden="1" x14ac:dyDescent="0.2"/>
    <row r="46984" hidden="1" x14ac:dyDescent="0.2"/>
    <row r="46985" hidden="1" x14ac:dyDescent="0.2"/>
    <row r="46986" hidden="1" x14ac:dyDescent="0.2"/>
    <row r="46987" hidden="1" x14ac:dyDescent="0.2"/>
    <row r="46988" hidden="1" x14ac:dyDescent="0.2"/>
    <row r="46989" hidden="1" x14ac:dyDescent="0.2"/>
    <row r="46990" hidden="1" x14ac:dyDescent="0.2"/>
    <row r="46991" hidden="1" x14ac:dyDescent="0.2"/>
    <row r="46992" hidden="1" x14ac:dyDescent="0.2"/>
    <row r="46993" hidden="1" x14ac:dyDescent="0.2"/>
    <row r="46994" hidden="1" x14ac:dyDescent="0.2"/>
    <row r="46995" hidden="1" x14ac:dyDescent="0.2"/>
    <row r="46996" hidden="1" x14ac:dyDescent="0.2"/>
    <row r="46997" hidden="1" x14ac:dyDescent="0.2"/>
    <row r="46998" hidden="1" x14ac:dyDescent="0.2"/>
    <row r="46999" hidden="1" x14ac:dyDescent="0.2"/>
    <row r="47000" hidden="1" x14ac:dyDescent="0.2"/>
    <row r="47001" hidden="1" x14ac:dyDescent="0.2"/>
    <row r="47002" hidden="1" x14ac:dyDescent="0.2"/>
    <row r="47003" hidden="1" x14ac:dyDescent="0.2"/>
    <row r="47004" hidden="1" x14ac:dyDescent="0.2"/>
    <row r="47005" hidden="1" x14ac:dyDescent="0.2"/>
    <row r="47006" hidden="1" x14ac:dyDescent="0.2"/>
    <row r="47007" hidden="1" x14ac:dyDescent="0.2"/>
    <row r="47008" hidden="1" x14ac:dyDescent="0.2"/>
    <row r="47009" hidden="1" x14ac:dyDescent="0.2"/>
    <row r="47010" hidden="1" x14ac:dyDescent="0.2"/>
    <row r="47011" hidden="1" x14ac:dyDescent="0.2"/>
    <row r="47012" hidden="1" x14ac:dyDescent="0.2"/>
    <row r="47013" hidden="1" x14ac:dyDescent="0.2"/>
    <row r="47014" hidden="1" x14ac:dyDescent="0.2"/>
    <row r="47015" hidden="1" x14ac:dyDescent="0.2"/>
    <row r="47016" hidden="1" x14ac:dyDescent="0.2"/>
    <row r="47017" hidden="1" x14ac:dyDescent="0.2"/>
    <row r="47018" hidden="1" x14ac:dyDescent="0.2"/>
    <row r="47019" hidden="1" x14ac:dyDescent="0.2"/>
    <row r="47020" hidden="1" x14ac:dyDescent="0.2"/>
    <row r="47021" hidden="1" x14ac:dyDescent="0.2"/>
    <row r="47022" hidden="1" x14ac:dyDescent="0.2"/>
    <row r="47023" hidden="1" x14ac:dyDescent="0.2"/>
    <row r="47024" hidden="1" x14ac:dyDescent="0.2"/>
    <row r="47025" hidden="1" x14ac:dyDescent="0.2"/>
    <row r="47026" hidden="1" x14ac:dyDescent="0.2"/>
    <row r="47027" hidden="1" x14ac:dyDescent="0.2"/>
    <row r="47028" hidden="1" x14ac:dyDescent="0.2"/>
    <row r="47029" hidden="1" x14ac:dyDescent="0.2"/>
    <row r="47030" hidden="1" x14ac:dyDescent="0.2"/>
    <row r="47031" hidden="1" x14ac:dyDescent="0.2"/>
    <row r="47032" hidden="1" x14ac:dyDescent="0.2"/>
    <row r="47033" hidden="1" x14ac:dyDescent="0.2"/>
    <row r="47034" hidden="1" x14ac:dyDescent="0.2"/>
    <row r="47035" hidden="1" x14ac:dyDescent="0.2"/>
    <row r="47036" hidden="1" x14ac:dyDescent="0.2"/>
    <row r="47037" hidden="1" x14ac:dyDescent="0.2"/>
    <row r="47038" hidden="1" x14ac:dyDescent="0.2"/>
    <row r="47039" hidden="1" x14ac:dyDescent="0.2"/>
    <row r="47040" hidden="1" x14ac:dyDescent="0.2"/>
    <row r="47041" hidden="1" x14ac:dyDescent="0.2"/>
    <row r="47042" hidden="1" x14ac:dyDescent="0.2"/>
    <row r="47043" hidden="1" x14ac:dyDescent="0.2"/>
    <row r="47044" hidden="1" x14ac:dyDescent="0.2"/>
    <row r="47045" hidden="1" x14ac:dyDescent="0.2"/>
    <row r="47046" hidden="1" x14ac:dyDescent="0.2"/>
    <row r="47047" hidden="1" x14ac:dyDescent="0.2"/>
    <row r="47048" hidden="1" x14ac:dyDescent="0.2"/>
    <row r="47049" hidden="1" x14ac:dyDescent="0.2"/>
    <row r="47050" hidden="1" x14ac:dyDescent="0.2"/>
    <row r="47051" hidden="1" x14ac:dyDescent="0.2"/>
    <row r="47052" hidden="1" x14ac:dyDescent="0.2"/>
    <row r="47053" hidden="1" x14ac:dyDescent="0.2"/>
    <row r="47054" hidden="1" x14ac:dyDescent="0.2"/>
    <row r="47055" hidden="1" x14ac:dyDescent="0.2"/>
    <row r="47056" hidden="1" x14ac:dyDescent="0.2"/>
    <row r="47057" hidden="1" x14ac:dyDescent="0.2"/>
    <row r="47058" hidden="1" x14ac:dyDescent="0.2"/>
    <row r="47059" hidden="1" x14ac:dyDescent="0.2"/>
    <row r="47060" hidden="1" x14ac:dyDescent="0.2"/>
    <row r="47061" hidden="1" x14ac:dyDescent="0.2"/>
    <row r="47062" hidden="1" x14ac:dyDescent="0.2"/>
    <row r="47063" hidden="1" x14ac:dyDescent="0.2"/>
    <row r="47064" hidden="1" x14ac:dyDescent="0.2"/>
    <row r="47065" hidden="1" x14ac:dyDescent="0.2"/>
    <row r="47066" hidden="1" x14ac:dyDescent="0.2"/>
    <row r="47067" hidden="1" x14ac:dyDescent="0.2"/>
    <row r="47068" hidden="1" x14ac:dyDescent="0.2"/>
    <row r="47069" hidden="1" x14ac:dyDescent="0.2"/>
    <row r="47070" hidden="1" x14ac:dyDescent="0.2"/>
    <row r="47071" hidden="1" x14ac:dyDescent="0.2"/>
    <row r="47072" hidden="1" x14ac:dyDescent="0.2"/>
    <row r="47073" hidden="1" x14ac:dyDescent="0.2"/>
    <row r="47074" hidden="1" x14ac:dyDescent="0.2"/>
    <row r="47075" hidden="1" x14ac:dyDescent="0.2"/>
    <row r="47076" hidden="1" x14ac:dyDescent="0.2"/>
    <row r="47077" hidden="1" x14ac:dyDescent="0.2"/>
    <row r="47078" hidden="1" x14ac:dyDescent="0.2"/>
    <row r="47079" hidden="1" x14ac:dyDescent="0.2"/>
    <row r="47080" hidden="1" x14ac:dyDescent="0.2"/>
    <row r="47081" hidden="1" x14ac:dyDescent="0.2"/>
    <row r="47082" hidden="1" x14ac:dyDescent="0.2"/>
    <row r="47083" hidden="1" x14ac:dyDescent="0.2"/>
    <row r="47084" hidden="1" x14ac:dyDescent="0.2"/>
    <row r="47085" hidden="1" x14ac:dyDescent="0.2"/>
    <row r="47086" hidden="1" x14ac:dyDescent="0.2"/>
    <row r="47087" hidden="1" x14ac:dyDescent="0.2"/>
    <row r="47088" hidden="1" x14ac:dyDescent="0.2"/>
    <row r="47089" hidden="1" x14ac:dyDescent="0.2"/>
    <row r="47090" hidden="1" x14ac:dyDescent="0.2"/>
    <row r="47091" hidden="1" x14ac:dyDescent="0.2"/>
    <row r="47092" hidden="1" x14ac:dyDescent="0.2"/>
    <row r="47093" hidden="1" x14ac:dyDescent="0.2"/>
    <row r="47094" hidden="1" x14ac:dyDescent="0.2"/>
    <row r="47095" hidden="1" x14ac:dyDescent="0.2"/>
    <row r="47096" hidden="1" x14ac:dyDescent="0.2"/>
    <row r="47097" hidden="1" x14ac:dyDescent="0.2"/>
    <row r="47098" hidden="1" x14ac:dyDescent="0.2"/>
    <row r="47099" hidden="1" x14ac:dyDescent="0.2"/>
    <row r="47100" hidden="1" x14ac:dyDescent="0.2"/>
    <row r="47101" hidden="1" x14ac:dyDescent="0.2"/>
    <row r="47102" hidden="1" x14ac:dyDescent="0.2"/>
    <row r="47103" hidden="1" x14ac:dyDescent="0.2"/>
    <row r="47104" hidden="1" x14ac:dyDescent="0.2"/>
    <row r="47105" hidden="1" x14ac:dyDescent="0.2"/>
    <row r="47106" hidden="1" x14ac:dyDescent="0.2"/>
    <row r="47107" hidden="1" x14ac:dyDescent="0.2"/>
    <row r="47108" hidden="1" x14ac:dyDescent="0.2"/>
    <row r="47109" hidden="1" x14ac:dyDescent="0.2"/>
    <row r="47110" hidden="1" x14ac:dyDescent="0.2"/>
    <row r="47111" hidden="1" x14ac:dyDescent="0.2"/>
    <row r="47112" hidden="1" x14ac:dyDescent="0.2"/>
    <row r="47113" hidden="1" x14ac:dyDescent="0.2"/>
    <row r="47114" hidden="1" x14ac:dyDescent="0.2"/>
    <row r="47115" hidden="1" x14ac:dyDescent="0.2"/>
    <row r="47116" hidden="1" x14ac:dyDescent="0.2"/>
    <row r="47117" hidden="1" x14ac:dyDescent="0.2"/>
    <row r="47118" hidden="1" x14ac:dyDescent="0.2"/>
    <row r="47119" hidden="1" x14ac:dyDescent="0.2"/>
    <row r="47120" hidden="1" x14ac:dyDescent="0.2"/>
    <row r="47121" hidden="1" x14ac:dyDescent="0.2"/>
    <row r="47122" hidden="1" x14ac:dyDescent="0.2"/>
    <row r="47123" hidden="1" x14ac:dyDescent="0.2"/>
    <row r="47124" hidden="1" x14ac:dyDescent="0.2"/>
    <row r="47125" hidden="1" x14ac:dyDescent="0.2"/>
    <row r="47126" hidden="1" x14ac:dyDescent="0.2"/>
    <row r="47127" hidden="1" x14ac:dyDescent="0.2"/>
    <row r="47128" hidden="1" x14ac:dyDescent="0.2"/>
    <row r="47129" hidden="1" x14ac:dyDescent="0.2"/>
    <row r="47130" hidden="1" x14ac:dyDescent="0.2"/>
    <row r="47131" hidden="1" x14ac:dyDescent="0.2"/>
    <row r="47132" hidden="1" x14ac:dyDescent="0.2"/>
    <row r="47133" hidden="1" x14ac:dyDescent="0.2"/>
    <row r="47134" hidden="1" x14ac:dyDescent="0.2"/>
    <row r="47135" hidden="1" x14ac:dyDescent="0.2"/>
    <row r="47136" hidden="1" x14ac:dyDescent="0.2"/>
    <row r="47137" hidden="1" x14ac:dyDescent="0.2"/>
    <row r="47138" hidden="1" x14ac:dyDescent="0.2"/>
    <row r="47139" hidden="1" x14ac:dyDescent="0.2"/>
    <row r="47140" hidden="1" x14ac:dyDescent="0.2"/>
    <row r="47141" hidden="1" x14ac:dyDescent="0.2"/>
    <row r="47142" hidden="1" x14ac:dyDescent="0.2"/>
    <row r="47143" hidden="1" x14ac:dyDescent="0.2"/>
    <row r="47144" hidden="1" x14ac:dyDescent="0.2"/>
    <row r="47145" hidden="1" x14ac:dyDescent="0.2"/>
    <row r="47146" hidden="1" x14ac:dyDescent="0.2"/>
    <row r="47147" hidden="1" x14ac:dyDescent="0.2"/>
    <row r="47148" hidden="1" x14ac:dyDescent="0.2"/>
    <row r="47149" hidden="1" x14ac:dyDescent="0.2"/>
    <row r="47150" hidden="1" x14ac:dyDescent="0.2"/>
    <row r="47151" hidden="1" x14ac:dyDescent="0.2"/>
    <row r="47152" hidden="1" x14ac:dyDescent="0.2"/>
    <row r="47153" hidden="1" x14ac:dyDescent="0.2"/>
    <row r="47154" hidden="1" x14ac:dyDescent="0.2"/>
    <row r="47155" hidden="1" x14ac:dyDescent="0.2"/>
    <row r="47156" hidden="1" x14ac:dyDescent="0.2"/>
    <row r="47157" hidden="1" x14ac:dyDescent="0.2"/>
    <row r="47158" hidden="1" x14ac:dyDescent="0.2"/>
    <row r="47159" hidden="1" x14ac:dyDescent="0.2"/>
    <row r="47160" hidden="1" x14ac:dyDescent="0.2"/>
    <row r="47161" hidden="1" x14ac:dyDescent="0.2"/>
    <row r="47162" hidden="1" x14ac:dyDescent="0.2"/>
    <row r="47163" hidden="1" x14ac:dyDescent="0.2"/>
    <row r="47164" hidden="1" x14ac:dyDescent="0.2"/>
    <row r="47165" hidden="1" x14ac:dyDescent="0.2"/>
    <row r="47166" hidden="1" x14ac:dyDescent="0.2"/>
    <row r="47167" hidden="1" x14ac:dyDescent="0.2"/>
    <row r="47168" hidden="1" x14ac:dyDescent="0.2"/>
    <row r="47169" hidden="1" x14ac:dyDescent="0.2"/>
    <row r="47170" hidden="1" x14ac:dyDescent="0.2"/>
    <row r="47171" hidden="1" x14ac:dyDescent="0.2"/>
    <row r="47172" hidden="1" x14ac:dyDescent="0.2"/>
    <row r="47173" hidden="1" x14ac:dyDescent="0.2"/>
    <row r="47174" hidden="1" x14ac:dyDescent="0.2"/>
    <row r="47175" hidden="1" x14ac:dyDescent="0.2"/>
    <row r="47176" hidden="1" x14ac:dyDescent="0.2"/>
    <row r="47177" hidden="1" x14ac:dyDescent="0.2"/>
    <row r="47178" hidden="1" x14ac:dyDescent="0.2"/>
    <row r="47179" hidden="1" x14ac:dyDescent="0.2"/>
    <row r="47180" hidden="1" x14ac:dyDescent="0.2"/>
    <row r="47181" hidden="1" x14ac:dyDescent="0.2"/>
    <row r="47182" hidden="1" x14ac:dyDescent="0.2"/>
    <row r="47183" hidden="1" x14ac:dyDescent="0.2"/>
    <row r="47184" hidden="1" x14ac:dyDescent="0.2"/>
    <row r="47185" hidden="1" x14ac:dyDescent="0.2"/>
    <row r="47186" hidden="1" x14ac:dyDescent="0.2"/>
    <row r="47187" hidden="1" x14ac:dyDescent="0.2"/>
    <row r="47188" hidden="1" x14ac:dyDescent="0.2"/>
    <row r="47189" hidden="1" x14ac:dyDescent="0.2"/>
    <row r="47190" hidden="1" x14ac:dyDescent="0.2"/>
    <row r="47191" hidden="1" x14ac:dyDescent="0.2"/>
    <row r="47192" hidden="1" x14ac:dyDescent="0.2"/>
    <row r="47193" hidden="1" x14ac:dyDescent="0.2"/>
    <row r="47194" hidden="1" x14ac:dyDescent="0.2"/>
    <row r="47195" hidden="1" x14ac:dyDescent="0.2"/>
    <row r="47196" hidden="1" x14ac:dyDescent="0.2"/>
    <row r="47197" hidden="1" x14ac:dyDescent="0.2"/>
    <row r="47198" hidden="1" x14ac:dyDescent="0.2"/>
    <row r="47199" hidden="1" x14ac:dyDescent="0.2"/>
    <row r="47200" hidden="1" x14ac:dyDescent="0.2"/>
    <row r="47201" hidden="1" x14ac:dyDescent="0.2"/>
    <row r="47202" hidden="1" x14ac:dyDescent="0.2"/>
    <row r="47203" hidden="1" x14ac:dyDescent="0.2"/>
    <row r="47204" hidden="1" x14ac:dyDescent="0.2"/>
    <row r="47205" hidden="1" x14ac:dyDescent="0.2"/>
    <row r="47206" hidden="1" x14ac:dyDescent="0.2"/>
    <row r="47207" hidden="1" x14ac:dyDescent="0.2"/>
    <row r="47208" hidden="1" x14ac:dyDescent="0.2"/>
    <row r="47209" hidden="1" x14ac:dyDescent="0.2"/>
    <row r="47210" hidden="1" x14ac:dyDescent="0.2"/>
    <row r="47211" hidden="1" x14ac:dyDescent="0.2"/>
    <row r="47212" hidden="1" x14ac:dyDescent="0.2"/>
    <row r="47213" hidden="1" x14ac:dyDescent="0.2"/>
    <row r="47214" hidden="1" x14ac:dyDescent="0.2"/>
    <row r="47215" hidden="1" x14ac:dyDescent="0.2"/>
    <row r="47216" hidden="1" x14ac:dyDescent="0.2"/>
    <row r="47217" hidden="1" x14ac:dyDescent="0.2"/>
    <row r="47218" hidden="1" x14ac:dyDescent="0.2"/>
    <row r="47219" hidden="1" x14ac:dyDescent="0.2"/>
    <row r="47220" hidden="1" x14ac:dyDescent="0.2"/>
    <row r="47221" hidden="1" x14ac:dyDescent="0.2"/>
    <row r="47222" hidden="1" x14ac:dyDescent="0.2"/>
    <row r="47223" hidden="1" x14ac:dyDescent="0.2"/>
    <row r="47224" hidden="1" x14ac:dyDescent="0.2"/>
    <row r="47225" hidden="1" x14ac:dyDescent="0.2"/>
    <row r="47226" hidden="1" x14ac:dyDescent="0.2"/>
    <row r="47227" hidden="1" x14ac:dyDescent="0.2"/>
    <row r="47228" hidden="1" x14ac:dyDescent="0.2"/>
    <row r="47229" hidden="1" x14ac:dyDescent="0.2"/>
    <row r="47230" hidden="1" x14ac:dyDescent="0.2"/>
    <row r="47231" hidden="1" x14ac:dyDescent="0.2"/>
    <row r="47232" hidden="1" x14ac:dyDescent="0.2"/>
    <row r="47233" hidden="1" x14ac:dyDescent="0.2"/>
    <row r="47234" hidden="1" x14ac:dyDescent="0.2"/>
    <row r="47235" hidden="1" x14ac:dyDescent="0.2"/>
    <row r="47236" hidden="1" x14ac:dyDescent="0.2"/>
    <row r="47237" hidden="1" x14ac:dyDescent="0.2"/>
    <row r="47238" hidden="1" x14ac:dyDescent="0.2"/>
    <row r="47239" hidden="1" x14ac:dyDescent="0.2"/>
    <row r="47240" hidden="1" x14ac:dyDescent="0.2"/>
    <row r="47241" hidden="1" x14ac:dyDescent="0.2"/>
    <row r="47242" hidden="1" x14ac:dyDescent="0.2"/>
    <row r="47243" hidden="1" x14ac:dyDescent="0.2"/>
    <row r="47244" hidden="1" x14ac:dyDescent="0.2"/>
    <row r="47245" hidden="1" x14ac:dyDescent="0.2"/>
    <row r="47246" hidden="1" x14ac:dyDescent="0.2"/>
    <row r="47247" hidden="1" x14ac:dyDescent="0.2"/>
    <row r="47248" hidden="1" x14ac:dyDescent="0.2"/>
    <row r="47249" hidden="1" x14ac:dyDescent="0.2"/>
    <row r="47250" hidden="1" x14ac:dyDescent="0.2"/>
    <row r="47251" hidden="1" x14ac:dyDescent="0.2"/>
    <row r="47252" hidden="1" x14ac:dyDescent="0.2"/>
    <row r="47253" hidden="1" x14ac:dyDescent="0.2"/>
    <row r="47254" hidden="1" x14ac:dyDescent="0.2"/>
    <row r="47255" hidden="1" x14ac:dyDescent="0.2"/>
    <row r="47256" hidden="1" x14ac:dyDescent="0.2"/>
    <row r="47257" hidden="1" x14ac:dyDescent="0.2"/>
    <row r="47258" hidden="1" x14ac:dyDescent="0.2"/>
    <row r="47259" hidden="1" x14ac:dyDescent="0.2"/>
    <row r="47260" hidden="1" x14ac:dyDescent="0.2"/>
    <row r="47261" hidden="1" x14ac:dyDescent="0.2"/>
    <row r="47262" hidden="1" x14ac:dyDescent="0.2"/>
    <row r="47263" hidden="1" x14ac:dyDescent="0.2"/>
    <row r="47264" hidden="1" x14ac:dyDescent="0.2"/>
    <row r="47265" hidden="1" x14ac:dyDescent="0.2"/>
    <row r="47266" hidden="1" x14ac:dyDescent="0.2"/>
    <row r="47267" hidden="1" x14ac:dyDescent="0.2"/>
    <row r="47268" hidden="1" x14ac:dyDescent="0.2"/>
    <row r="47269" hidden="1" x14ac:dyDescent="0.2"/>
    <row r="47270" hidden="1" x14ac:dyDescent="0.2"/>
    <row r="47271" hidden="1" x14ac:dyDescent="0.2"/>
    <row r="47272" hidden="1" x14ac:dyDescent="0.2"/>
    <row r="47273" hidden="1" x14ac:dyDescent="0.2"/>
    <row r="47274" hidden="1" x14ac:dyDescent="0.2"/>
    <row r="47275" hidden="1" x14ac:dyDescent="0.2"/>
    <row r="47276" hidden="1" x14ac:dyDescent="0.2"/>
    <row r="47277" hidden="1" x14ac:dyDescent="0.2"/>
    <row r="47278" hidden="1" x14ac:dyDescent="0.2"/>
    <row r="47279" hidden="1" x14ac:dyDescent="0.2"/>
    <row r="47280" hidden="1" x14ac:dyDescent="0.2"/>
    <row r="47281" hidden="1" x14ac:dyDescent="0.2"/>
    <row r="47282" hidden="1" x14ac:dyDescent="0.2"/>
    <row r="47283" hidden="1" x14ac:dyDescent="0.2"/>
    <row r="47284" hidden="1" x14ac:dyDescent="0.2"/>
    <row r="47285" hidden="1" x14ac:dyDescent="0.2"/>
    <row r="47286" hidden="1" x14ac:dyDescent="0.2"/>
    <row r="47287" hidden="1" x14ac:dyDescent="0.2"/>
    <row r="47288" hidden="1" x14ac:dyDescent="0.2"/>
    <row r="47289" hidden="1" x14ac:dyDescent="0.2"/>
    <row r="47290" hidden="1" x14ac:dyDescent="0.2"/>
    <row r="47291" hidden="1" x14ac:dyDescent="0.2"/>
    <row r="47292" hidden="1" x14ac:dyDescent="0.2"/>
    <row r="47293" hidden="1" x14ac:dyDescent="0.2"/>
    <row r="47294" hidden="1" x14ac:dyDescent="0.2"/>
    <row r="47295" hidden="1" x14ac:dyDescent="0.2"/>
    <row r="47296" hidden="1" x14ac:dyDescent="0.2"/>
    <row r="47297" hidden="1" x14ac:dyDescent="0.2"/>
    <row r="47298" hidden="1" x14ac:dyDescent="0.2"/>
    <row r="47299" hidden="1" x14ac:dyDescent="0.2"/>
    <row r="47300" hidden="1" x14ac:dyDescent="0.2"/>
    <row r="47301" hidden="1" x14ac:dyDescent="0.2"/>
    <row r="47302" hidden="1" x14ac:dyDescent="0.2"/>
    <row r="47303" hidden="1" x14ac:dyDescent="0.2"/>
    <row r="47304" hidden="1" x14ac:dyDescent="0.2"/>
    <row r="47305" hidden="1" x14ac:dyDescent="0.2"/>
    <row r="47306" hidden="1" x14ac:dyDescent="0.2"/>
    <row r="47307" hidden="1" x14ac:dyDescent="0.2"/>
    <row r="47308" hidden="1" x14ac:dyDescent="0.2"/>
    <row r="47309" hidden="1" x14ac:dyDescent="0.2"/>
    <row r="47310" hidden="1" x14ac:dyDescent="0.2"/>
    <row r="47311" hidden="1" x14ac:dyDescent="0.2"/>
    <row r="47312" hidden="1" x14ac:dyDescent="0.2"/>
    <row r="47313" hidden="1" x14ac:dyDescent="0.2"/>
    <row r="47314" hidden="1" x14ac:dyDescent="0.2"/>
    <row r="47315" hidden="1" x14ac:dyDescent="0.2"/>
    <row r="47316" hidden="1" x14ac:dyDescent="0.2"/>
    <row r="47317" hidden="1" x14ac:dyDescent="0.2"/>
    <row r="47318" hidden="1" x14ac:dyDescent="0.2"/>
    <row r="47319" hidden="1" x14ac:dyDescent="0.2"/>
    <row r="47320" hidden="1" x14ac:dyDescent="0.2"/>
    <row r="47321" hidden="1" x14ac:dyDescent="0.2"/>
    <row r="47322" hidden="1" x14ac:dyDescent="0.2"/>
    <row r="47323" hidden="1" x14ac:dyDescent="0.2"/>
    <row r="47324" hidden="1" x14ac:dyDescent="0.2"/>
    <row r="47325" hidden="1" x14ac:dyDescent="0.2"/>
    <row r="47326" hidden="1" x14ac:dyDescent="0.2"/>
    <row r="47327" hidden="1" x14ac:dyDescent="0.2"/>
    <row r="47328" hidden="1" x14ac:dyDescent="0.2"/>
    <row r="47329" hidden="1" x14ac:dyDescent="0.2"/>
    <row r="47330" hidden="1" x14ac:dyDescent="0.2"/>
    <row r="47331" hidden="1" x14ac:dyDescent="0.2"/>
    <row r="47332" hidden="1" x14ac:dyDescent="0.2"/>
    <row r="47333" hidden="1" x14ac:dyDescent="0.2"/>
    <row r="47334" hidden="1" x14ac:dyDescent="0.2"/>
    <row r="47335" hidden="1" x14ac:dyDescent="0.2"/>
    <row r="47336" hidden="1" x14ac:dyDescent="0.2"/>
    <row r="47337" hidden="1" x14ac:dyDescent="0.2"/>
    <row r="47338" hidden="1" x14ac:dyDescent="0.2"/>
    <row r="47339" hidden="1" x14ac:dyDescent="0.2"/>
    <row r="47340" hidden="1" x14ac:dyDescent="0.2"/>
    <row r="47341" hidden="1" x14ac:dyDescent="0.2"/>
    <row r="47342" hidden="1" x14ac:dyDescent="0.2"/>
    <row r="47343" hidden="1" x14ac:dyDescent="0.2"/>
    <row r="47344" hidden="1" x14ac:dyDescent="0.2"/>
    <row r="47345" hidden="1" x14ac:dyDescent="0.2"/>
    <row r="47346" hidden="1" x14ac:dyDescent="0.2"/>
    <row r="47347" hidden="1" x14ac:dyDescent="0.2"/>
    <row r="47348" hidden="1" x14ac:dyDescent="0.2"/>
    <row r="47349" hidden="1" x14ac:dyDescent="0.2"/>
    <row r="47350" hidden="1" x14ac:dyDescent="0.2"/>
    <row r="47351" hidden="1" x14ac:dyDescent="0.2"/>
    <row r="47352" hidden="1" x14ac:dyDescent="0.2"/>
    <row r="47353" hidden="1" x14ac:dyDescent="0.2"/>
    <row r="47354" hidden="1" x14ac:dyDescent="0.2"/>
    <row r="47355" hidden="1" x14ac:dyDescent="0.2"/>
    <row r="47356" hidden="1" x14ac:dyDescent="0.2"/>
    <row r="47357" hidden="1" x14ac:dyDescent="0.2"/>
    <row r="47358" hidden="1" x14ac:dyDescent="0.2"/>
    <row r="47359" hidden="1" x14ac:dyDescent="0.2"/>
    <row r="47360" hidden="1" x14ac:dyDescent="0.2"/>
    <row r="47361" hidden="1" x14ac:dyDescent="0.2"/>
    <row r="47362" hidden="1" x14ac:dyDescent="0.2"/>
    <row r="47363" hidden="1" x14ac:dyDescent="0.2"/>
    <row r="47364" hidden="1" x14ac:dyDescent="0.2"/>
    <row r="47365" hidden="1" x14ac:dyDescent="0.2"/>
    <row r="47366" hidden="1" x14ac:dyDescent="0.2"/>
    <row r="47367" hidden="1" x14ac:dyDescent="0.2"/>
    <row r="47368" hidden="1" x14ac:dyDescent="0.2"/>
    <row r="47369" hidden="1" x14ac:dyDescent="0.2"/>
    <row r="47370" hidden="1" x14ac:dyDescent="0.2"/>
    <row r="47371" hidden="1" x14ac:dyDescent="0.2"/>
    <row r="47372" hidden="1" x14ac:dyDescent="0.2"/>
    <row r="47373" hidden="1" x14ac:dyDescent="0.2"/>
    <row r="47374" hidden="1" x14ac:dyDescent="0.2"/>
    <row r="47375" hidden="1" x14ac:dyDescent="0.2"/>
    <row r="47376" hidden="1" x14ac:dyDescent="0.2"/>
    <row r="47377" hidden="1" x14ac:dyDescent="0.2"/>
    <row r="47378" hidden="1" x14ac:dyDescent="0.2"/>
    <row r="47379" hidden="1" x14ac:dyDescent="0.2"/>
    <row r="47380" hidden="1" x14ac:dyDescent="0.2"/>
    <row r="47381" hidden="1" x14ac:dyDescent="0.2"/>
    <row r="47382" hidden="1" x14ac:dyDescent="0.2"/>
    <row r="47383" hidden="1" x14ac:dyDescent="0.2"/>
    <row r="47384" hidden="1" x14ac:dyDescent="0.2"/>
    <row r="47385" hidden="1" x14ac:dyDescent="0.2"/>
    <row r="47386" hidden="1" x14ac:dyDescent="0.2"/>
    <row r="47387" hidden="1" x14ac:dyDescent="0.2"/>
    <row r="47388" hidden="1" x14ac:dyDescent="0.2"/>
    <row r="47389" hidden="1" x14ac:dyDescent="0.2"/>
    <row r="47390" hidden="1" x14ac:dyDescent="0.2"/>
    <row r="47391" hidden="1" x14ac:dyDescent="0.2"/>
    <row r="47392" hidden="1" x14ac:dyDescent="0.2"/>
    <row r="47393" hidden="1" x14ac:dyDescent="0.2"/>
    <row r="47394" hidden="1" x14ac:dyDescent="0.2"/>
    <row r="47395" hidden="1" x14ac:dyDescent="0.2"/>
    <row r="47396" hidden="1" x14ac:dyDescent="0.2"/>
    <row r="47397" hidden="1" x14ac:dyDescent="0.2"/>
    <row r="47398" hidden="1" x14ac:dyDescent="0.2"/>
    <row r="47399" hidden="1" x14ac:dyDescent="0.2"/>
    <row r="47400" hidden="1" x14ac:dyDescent="0.2"/>
    <row r="47401" hidden="1" x14ac:dyDescent="0.2"/>
    <row r="47402" hidden="1" x14ac:dyDescent="0.2"/>
    <row r="47403" hidden="1" x14ac:dyDescent="0.2"/>
    <row r="47404" hidden="1" x14ac:dyDescent="0.2"/>
    <row r="47405" hidden="1" x14ac:dyDescent="0.2"/>
    <row r="47406" hidden="1" x14ac:dyDescent="0.2"/>
    <row r="47407" hidden="1" x14ac:dyDescent="0.2"/>
    <row r="47408" hidden="1" x14ac:dyDescent="0.2"/>
    <row r="47409" hidden="1" x14ac:dyDescent="0.2"/>
    <row r="47410" hidden="1" x14ac:dyDescent="0.2"/>
    <row r="47411" hidden="1" x14ac:dyDescent="0.2"/>
    <row r="47412" hidden="1" x14ac:dyDescent="0.2"/>
    <row r="47413" hidden="1" x14ac:dyDescent="0.2"/>
    <row r="47414" hidden="1" x14ac:dyDescent="0.2"/>
    <row r="47415" hidden="1" x14ac:dyDescent="0.2"/>
    <row r="47416" hidden="1" x14ac:dyDescent="0.2"/>
    <row r="47417" hidden="1" x14ac:dyDescent="0.2"/>
    <row r="47418" hidden="1" x14ac:dyDescent="0.2"/>
    <row r="47419" hidden="1" x14ac:dyDescent="0.2"/>
    <row r="47420" hidden="1" x14ac:dyDescent="0.2"/>
    <row r="47421" hidden="1" x14ac:dyDescent="0.2"/>
    <row r="47422" hidden="1" x14ac:dyDescent="0.2"/>
    <row r="47423" hidden="1" x14ac:dyDescent="0.2"/>
    <row r="47424" hidden="1" x14ac:dyDescent="0.2"/>
    <row r="47425" hidden="1" x14ac:dyDescent="0.2"/>
    <row r="47426" hidden="1" x14ac:dyDescent="0.2"/>
    <row r="47427" hidden="1" x14ac:dyDescent="0.2"/>
    <row r="47428" hidden="1" x14ac:dyDescent="0.2"/>
    <row r="47429" hidden="1" x14ac:dyDescent="0.2"/>
    <row r="47430" hidden="1" x14ac:dyDescent="0.2"/>
    <row r="47431" hidden="1" x14ac:dyDescent="0.2"/>
    <row r="47432" hidden="1" x14ac:dyDescent="0.2"/>
    <row r="47433" hidden="1" x14ac:dyDescent="0.2"/>
    <row r="47434" hidden="1" x14ac:dyDescent="0.2"/>
    <row r="47435" hidden="1" x14ac:dyDescent="0.2"/>
    <row r="47436" hidden="1" x14ac:dyDescent="0.2"/>
    <row r="47437" hidden="1" x14ac:dyDescent="0.2"/>
    <row r="47438" hidden="1" x14ac:dyDescent="0.2"/>
    <row r="47439" hidden="1" x14ac:dyDescent="0.2"/>
    <row r="47440" hidden="1" x14ac:dyDescent="0.2"/>
    <row r="47441" hidden="1" x14ac:dyDescent="0.2"/>
    <row r="47442" hidden="1" x14ac:dyDescent="0.2"/>
    <row r="47443" hidden="1" x14ac:dyDescent="0.2"/>
    <row r="47444" hidden="1" x14ac:dyDescent="0.2"/>
    <row r="47445" hidden="1" x14ac:dyDescent="0.2"/>
    <row r="47446" hidden="1" x14ac:dyDescent="0.2"/>
    <row r="47447" hidden="1" x14ac:dyDescent="0.2"/>
    <row r="47448" hidden="1" x14ac:dyDescent="0.2"/>
    <row r="47449" hidden="1" x14ac:dyDescent="0.2"/>
    <row r="47450" hidden="1" x14ac:dyDescent="0.2"/>
    <row r="47451" hidden="1" x14ac:dyDescent="0.2"/>
    <row r="47452" hidden="1" x14ac:dyDescent="0.2"/>
    <row r="47453" hidden="1" x14ac:dyDescent="0.2"/>
    <row r="47454" hidden="1" x14ac:dyDescent="0.2"/>
    <row r="47455" hidden="1" x14ac:dyDescent="0.2"/>
    <row r="47456" hidden="1" x14ac:dyDescent="0.2"/>
    <row r="47457" hidden="1" x14ac:dyDescent="0.2"/>
    <row r="47458" hidden="1" x14ac:dyDescent="0.2"/>
    <row r="47459" hidden="1" x14ac:dyDescent="0.2"/>
    <row r="47460" hidden="1" x14ac:dyDescent="0.2"/>
    <row r="47461" hidden="1" x14ac:dyDescent="0.2"/>
    <row r="47462" hidden="1" x14ac:dyDescent="0.2"/>
    <row r="47463" hidden="1" x14ac:dyDescent="0.2"/>
    <row r="47464" hidden="1" x14ac:dyDescent="0.2"/>
    <row r="47465" hidden="1" x14ac:dyDescent="0.2"/>
    <row r="47466" hidden="1" x14ac:dyDescent="0.2"/>
    <row r="47467" hidden="1" x14ac:dyDescent="0.2"/>
    <row r="47468" hidden="1" x14ac:dyDescent="0.2"/>
    <row r="47469" hidden="1" x14ac:dyDescent="0.2"/>
    <row r="47470" hidden="1" x14ac:dyDescent="0.2"/>
    <row r="47471" hidden="1" x14ac:dyDescent="0.2"/>
    <row r="47472" hidden="1" x14ac:dyDescent="0.2"/>
    <row r="47473" hidden="1" x14ac:dyDescent="0.2"/>
    <row r="47474" hidden="1" x14ac:dyDescent="0.2"/>
    <row r="47475" hidden="1" x14ac:dyDescent="0.2"/>
    <row r="47476" hidden="1" x14ac:dyDescent="0.2"/>
    <row r="47477" hidden="1" x14ac:dyDescent="0.2"/>
    <row r="47478" hidden="1" x14ac:dyDescent="0.2"/>
    <row r="47479" hidden="1" x14ac:dyDescent="0.2"/>
    <row r="47480" hidden="1" x14ac:dyDescent="0.2"/>
    <row r="47481" hidden="1" x14ac:dyDescent="0.2"/>
    <row r="47482" hidden="1" x14ac:dyDescent="0.2"/>
    <row r="47483" hidden="1" x14ac:dyDescent="0.2"/>
    <row r="47484" hidden="1" x14ac:dyDescent="0.2"/>
    <row r="47485" hidden="1" x14ac:dyDescent="0.2"/>
    <row r="47486" hidden="1" x14ac:dyDescent="0.2"/>
    <row r="47487" hidden="1" x14ac:dyDescent="0.2"/>
    <row r="47488" hidden="1" x14ac:dyDescent="0.2"/>
    <row r="47489" hidden="1" x14ac:dyDescent="0.2"/>
    <row r="47490" hidden="1" x14ac:dyDescent="0.2"/>
    <row r="47491" hidden="1" x14ac:dyDescent="0.2"/>
    <row r="47492" hidden="1" x14ac:dyDescent="0.2"/>
    <row r="47493" hidden="1" x14ac:dyDescent="0.2"/>
    <row r="47494" hidden="1" x14ac:dyDescent="0.2"/>
    <row r="47495" hidden="1" x14ac:dyDescent="0.2"/>
    <row r="47496" hidden="1" x14ac:dyDescent="0.2"/>
    <row r="47497" hidden="1" x14ac:dyDescent="0.2"/>
    <row r="47498" hidden="1" x14ac:dyDescent="0.2"/>
    <row r="47499" hidden="1" x14ac:dyDescent="0.2"/>
    <row r="47500" hidden="1" x14ac:dyDescent="0.2"/>
    <row r="47501" hidden="1" x14ac:dyDescent="0.2"/>
    <row r="47502" hidden="1" x14ac:dyDescent="0.2"/>
    <row r="47503" hidden="1" x14ac:dyDescent="0.2"/>
    <row r="47504" hidden="1" x14ac:dyDescent="0.2"/>
    <row r="47505" hidden="1" x14ac:dyDescent="0.2"/>
    <row r="47506" hidden="1" x14ac:dyDescent="0.2"/>
    <row r="47507" hidden="1" x14ac:dyDescent="0.2"/>
    <row r="47508" hidden="1" x14ac:dyDescent="0.2"/>
    <row r="47509" hidden="1" x14ac:dyDescent="0.2"/>
    <row r="47510" hidden="1" x14ac:dyDescent="0.2"/>
    <row r="47511" hidden="1" x14ac:dyDescent="0.2"/>
    <row r="47512" hidden="1" x14ac:dyDescent="0.2"/>
    <row r="47513" hidden="1" x14ac:dyDescent="0.2"/>
    <row r="47514" hidden="1" x14ac:dyDescent="0.2"/>
    <row r="47515" hidden="1" x14ac:dyDescent="0.2"/>
    <row r="47516" hidden="1" x14ac:dyDescent="0.2"/>
    <row r="47517" hidden="1" x14ac:dyDescent="0.2"/>
    <row r="47518" hidden="1" x14ac:dyDescent="0.2"/>
    <row r="47519" hidden="1" x14ac:dyDescent="0.2"/>
    <row r="47520" hidden="1" x14ac:dyDescent="0.2"/>
    <row r="47521" hidden="1" x14ac:dyDescent="0.2"/>
    <row r="47522" hidden="1" x14ac:dyDescent="0.2"/>
    <row r="47523" hidden="1" x14ac:dyDescent="0.2"/>
    <row r="47524" hidden="1" x14ac:dyDescent="0.2"/>
    <row r="47525" hidden="1" x14ac:dyDescent="0.2"/>
    <row r="47526" hidden="1" x14ac:dyDescent="0.2"/>
    <row r="47527" hidden="1" x14ac:dyDescent="0.2"/>
    <row r="47528" hidden="1" x14ac:dyDescent="0.2"/>
    <row r="47529" hidden="1" x14ac:dyDescent="0.2"/>
    <row r="47530" hidden="1" x14ac:dyDescent="0.2"/>
    <row r="47531" hidden="1" x14ac:dyDescent="0.2"/>
    <row r="47532" hidden="1" x14ac:dyDescent="0.2"/>
    <row r="47533" hidden="1" x14ac:dyDescent="0.2"/>
    <row r="47534" hidden="1" x14ac:dyDescent="0.2"/>
    <row r="47535" hidden="1" x14ac:dyDescent="0.2"/>
    <row r="47536" hidden="1" x14ac:dyDescent="0.2"/>
    <row r="47537" hidden="1" x14ac:dyDescent="0.2"/>
    <row r="47538" hidden="1" x14ac:dyDescent="0.2"/>
    <row r="47539" hidden="1" x14ac:dyDescent="0.2"/>
    <row r="47540" hidden="1" x14ac:dyDescent="0.2"/>
    <row r="47541" hidden="1" x14ac:dyDescent="0.2"/>
    <row r="47542" hidden="1" x14ac:dyDescent="0.2"/>
    <row r="47543" hidden="1" x14ac:dyDescent="0.2"/>
    <row r="47544" hidden="1" x14ac:dyDescent="0.2"/>
    <row r="47545" hidden="1" x14ac:dyDescent="0.2"/>
    <row r="47546" hidden="1" x14ac:dyDescent="0.2"/>
    <row r="47547" hidden="1" x14ac:dyDescent="0.2"/>
    <row r="47548" hidden="1" x14ac:dyDescent="0.2"/>
    <row r="47549" hidden="1" x14ac:dyDescent="0.2"/>
    <row r="47550" hidden="1" x14ac:dyDescent="0.2"/>
    <row r="47551" hidden="1" x14ac:dyDescent="0.2"/>
    <row r="47552" hidden="1" x14ac:dyDescent="0.2"/>
    <row r="47553" hidden="1" x14ac:dyDescent="0.2"/>
    <row r="47554" hidden="1" x14ac:dyDescent="0.2"/>
    <row r="47555" hidden="1" x14ac:dyDescent="0.2"/>
    <row r="47556" hidden="1" x14ac:dyDescent="0.2"/>
    <row r="47557" hidden="1" x14ac:dyDescent="0.2"/>
    <row r="47558" hidden="1" x14ac:dyDescent="0.2"/>
    <row r="47559" hidden="1" x14ac:dyDescent="0.2"/>
    <row r="47560" hidden="1" x14ac:dyDescent="0.2"/>
    <row r="47561" hidden="1" x14ac:dyDescent="0.2"/>
    <row r="47562" hidden="1" x14ac:dyDescent="0.2"/>
    <row r="47563" hidden="1" x14ac:dyDescent="0.2"/>
    <row r="47564" hidden="1" x14ac:dyDescent="0.2"/>
    <row r="47565" hidden="1" x14ac:dyDescent="0.2"/>
    <row r="47566" hidden="1" x14ac:dyDescent="0.2"/>
    <row r="47567" hidden="1" x14ac:dyDescent="0.2"/>
    <row r="47568" hidden="1" x14ac:dyDescent="0.2"/>
    <row r="47569" hidden="1" x14ac:dyDescent="0.2"/>
    <row r="47570" hidden="1" x14ac:dyDescent="0.2"/>
    <row r="47571" hidden="1" x14ac:dyDescent="0.2"/>
    <row r="47572" hidden="1" x14ac:dyDescent="0.2"/>
    <row r="47573" hidden="1" x14ac:dyDescent="0.2"/>
    <row r="47574" hidden="1" x14ac:dyDescent="0.2"/>
    <row r="47575" hidden="1" x14ac:dyDescent="0.2"/>
    <row r="47576" hidden="1" x14ac:dyDescent="0.2"/>
    <row r="47577" hidden="1" x14ac:dyDescent="0.2"/>
    <row r="47578" hidden="1" x14ac:dyDescent="0.2"/>
    <row r="47579" hidden="1" x14ac:dyDescent="0.2"/>
    <row r="47580" hidden="1" x14ac:dyDescent="0.2"/>
    <row r="47581" hidden="1" x14ac:dyDescent="0.2"/>
    <row r="47582" hidden="1" x14ac:dyDescent="0.2"/>
    <row r="47583" hidden="1" x14ac:dyDescent="0.2"/>
    <row r="47584" hidden="1" x14ac:dyDescent="0.2"/>
    <row r="47585" hidden="1" x14ac:dyDescent="0.2"/>
    <row r="47586" hidden="1" x14ac:dyDescent="0.2"/>
    <row r="47587" hidden="1" x14ac:dyDescent="0.2"/>
    <row r="47588" hidden="1" x14ac:dyDescent="0.2"/>
    <row r="47589" hidden="1" x14ac:dyDescent="0.2"/>
    <row r="47590" hidden="1" x14ac:dyDescent="0.2"/>
    <row r="47591" hidden="1" x14ac:dyDescent="0.2"/>
    <row r="47592" hidden="1" x14ac:dyDescent="0.2"/>
    <row r="47593" hidden="1" x14ac:dyDescent="0.2"/>
    <row r="47594" hidden="1" x14ac:dyDescent="0.2"/>
    <row r="47595" hidden="1" x14ac:dyDescent="0.2"/>
    <row r="47596" hidden="1" x14ac:dyDescent="0.2"/>
    <row r="47597" hidden="1" x14ac:dyDescent="0.2"/>
    <row r="47598" hidden="1" x14ac:dyDescent="0.2"/>
    <row r="47599" hidden="1" x14ac:dyDescent="0.2"/>
    <row r="47600" hidden="1" x14ac:dyDescent="0.2"/>
    <row r="47601" hidden="1" x14ac:dyDescent="0.2"/>
    <row r="47602" hidden="1" x14ac:dyDescent="0.2"/>
    <row r="47603" hidden="1" x14ac:dyDescent="0.2"/>
    <row r="47604" hidden="1" x14ac:dyDescent="0.2"/>
    <row r="47605" hidden="1" x14ac:dyDescent="0.2"/>
    <row r="47606" hidden="1" x14ac:dyDescent="0.2"/>
    <row r="47607" hidden="1" x14ac:dyDescent="0.2"/>
    <row r="47608" hidden="1" x14ac:dyDescent="0.2"/>
    <row r="47609" hidden="1" x14ac:dyDescent="0.2"/>
    <row r="47610" hidden="1" x14ac:dyDescent="0.2"/>
    <row r="47611" hidden="1" x14ac:dyDescent="0.2"/>
    <row r="47612" hidden="1" x14ac:dyDescent="0.2"/>
    <row r="47613" hidden="1" x14ac:dyDescent="0.2"/>
    <row r="47614" hidden="1" x14ac:dyDescent="0.2"/>
    <row r="47615" hidden="1" x14ac:dyDescent="0.2"/>
    <row r="47616" hidden="1" x14ac:dyDescent="0.2"/>
    <row r="47617" hidden="1" x14ac:dyDescent="0.2"/>
    <row r="47618" hidden="1" x14ac:dyDescent="0.2"/>
    <row r="47619" hidden="1" x14ac:dyDescent="0.2"/>
    <row r="47620" hidden="1" x14ac:dyDescent="0.2"/>
    <row r="47621" hidden="1" x14ac:dyDescent="0.2"/>
    <row r="47622" hidden="1" x14ac:dyDescent="0.2"/>
    <row r="47623" hidden="1" x14ac:dyDescent="0.2"/>
    <row r="47624" hidden="1" x14ac:dyDescent="0.2"/>
    <row r="47625" hidden="1" x14ac:dyDescent="0.2"/>
    <row r="47626" hidden="1" x14ac:dyDescent="0.2"/>
    <row r="47627" hidden="1" x14ac:dyDescent="0.2"/>
    <row r="47628" hidden="1" x14ac:dyDescent="0.2"/>
    <row r="47629" hidden="1" x14ac:dyDescent="0.2"/>
    <row r="47630" hidden="1" x14ac:dyDescent="0.2"/>
    <row r="47631" hidden="1" x14ac:dyDescent="0.2"/>
    <row r="47632" hidden="1" x14ac:dyDescent="0.2"/>
    <row r="47633" hidden="1" x14ac:dyDescent="0.2"/>
    <row r="47634" hidden="1" x14ac:dyDescent="0.2"/>
    <row r="47635" hidden="1" x14ac:dyDescent="0.2"/>
    <row r="47636" hidden="1" x14ac:dyDescent="0.2"/>
    <row r="47637" hidden="1" x14ac:dyDescent="0.2"/>
    <row r="47638" hidden="1" x14ac:dyDescent="0.2"/>
    <row r="47639" hidden="1" x14ac:dyDescent="0.2"/>
    <row r="47640" hidden="1" x14ac:dyDescent="0.2"/>
    <row r="47641" hidden="1" x14ac:dyDescent="0.2"/>
    <row r="47642" hidden="1" x14ac:dyDescent="0.2"/>
    <row r="47643" hidden="1" x14ac:dyDescent="0.2"/>
    <row r="47644" hidden="1" x14ac:dyDescent="0.2"/>
    <row r="47645" hidden="1" x14ac:dyDescent="0.2"/>
    <row r="47646" hidden="1" x14ac:dyDescent="0.2"/>
    <row r="47647" hidden="1" x14ac:dyDescent="0.2"/>
    <row r="47648" hidden="1" x14ac:dyDescent="0.2"/>
    <row r="47649" hidden="1" x14ac:dyDescent="0.2"/>
    <row r="47650" hidden="1" x14ac:dyDescent="0.2"/>
    <row r="47651" hidden="1" x14ac:dyDescent="0.2"/>
    <row r="47652" hidden="1" x14ac:dyDescent="0.2"/>
    <row r="47653" hidden="1" x14ac:dyDescent="0.2"/>
    <row r="47654" hidden="1" x14ac:dyDescent="0.2"/>
    <row r="47655" hidden="1" x14ac:dyDescent="0.2"/>
    <row r="47656" hidden="1" x14ac:dyDescent="0.2"/>
    <row r="47657" hidden="1" x14ac:dyDescent="0.2"/>
    <row r="47658" hidden="1" x14ac:dyDescent="0.2"/>
    <row r="47659" hidden="1" x14ac:dyDescent="0.2"/>
    <row r="47660" hidden="1" x14ac:dyDescent="0.2"/>
    <row r="47661" hidden="1" x14ac:dyDescent="0.2"/>
    <row r="47662" hidden="1" x14ac:dyDescent="0.2"/>
    <row r="47663" hidden="1" x14ac:dyDescent="0.2"/>
    <row r="47664" hidden="1" x14ac:dyDescent="0.2"/>
    <row r="47665" hidden="1" x14ac:dyDescent="0.2"/>
    <row r="47666" hidden="1" x14ac:dyDescent="0.2"/>
    <row r="47667" hidden="1" x14ac:dyDescent="0.2"/>
    <row r="47668" hidden="1" x14ac:dyDescent="0.2"/>
    <row r="47669" hidden="1" x14ac:dyDescent="0.2"/>
    <row r="47670" hidden="1" x14ac:dyDescent="0.2"/>
    <row r="47671" hidden="1" x14ac:dyDescent="0.2"/>
    <row r="47672" hidden="1" x14ac:dyDescent="0.2"/>
    <row r="47673" hidden="1" x14ac:dyDescent="0.2"/>
    <row r="47674" hidden="1" x14ac:dyDescent="0.2"/>
    <row r="47675" hidden="1" x14ac:dyDescent="0.2"/>
    <row r="47676" hidden="1" x14ac:dyDescent="0.2"/>
    <row r="47677" hidden="1" x14ac:dyDescent="0.2"/>
    <row r="47678" hidden="1" x14ac:dyDescent="0.2"/>
    <row r="47679" hidden="1" x14ac:dyDescent="0.2"/>
    <row r="47680" hidden="1" x14ac:dyDescent="0.2"/>
    <row r="47681" hidden="1" x14ac:dyDescent="0.2"/>
    <row r="47682" hidden="1" x14ac:dyDescent="0.2"/>
    <row r="47683" hidden="1" x14ac:dyDescent="0.2"/>
    <row r="47684" hidden="1" x14ac:dyDescent="0.2"/>
    <row r="47685" hidden="1" x14ac:dyDescent="0.2"/>
    <row r="47686" hidden="1" x14ac:dyDescent="0.2"/>
    <row r="47687" hidden="1" x14ac:dyDescent="0.2"/>
    <row r="47688" hidden="1" x14ac:dyDescent="0.2"/>
    <row r="47689" hidden="1" x14ac:dyDescent="0.2"/>
    <row r="47690" hidden="1" x14ac:dyDescent="0.2"/>
    <row r="47691" hidden="1" x14ac:dyDescent="0.2"/>
    <row r="47692" hidden="1" x14ac:dyDescent="0.2"/>
    <row r="47693" hidden="1" x14ac:dyDescent="0.2"/>
    <row r="47694" hidden="1" x14ac:dyDescent="0.2"/>
    <row r="47695" hidden="1" x14ac:dyDescent="0.2"/>
    <row r="47696" hidden="1" x14ac:dyDescent="0.2"/>
    <row r="47697" hidden="1" x14ac:dyDescent="0.2"/>
    <row r="47698" hidden="1" x14ac:dyDescent="0.2"/>
    <row r="47699" hidden="1" x14ac:dyDescent="0.2"/>
    <row r="47700" hidden="1" x14ac:dyDescent="0.2"/>
    <row r="47701" hidden="1" x14ac:dyDescent="0.2"/>
    <row r="47702" hidden="1" x14ac:dyDescent="0.2"/>
    <row r="47703" hidden="1" x14ac:dyDescent="0.2"/>
    <row r="47704" hidden="1" x14ac:dyDescent="0.2"/>
    <row r="47705" hidden="1" x14ac:dyDescent="0.2"/>
    <row r="47706" hidden="1" x14ac:dyDescent="0.2"/>
    <row r="47707" hidden="1" x14ac:dyDescent="0.2"/>
    <row r="47708" hidden="1" x14ac:dyDescent="0.2"/>
    <row r="47709" hidden="1" x14ac:dyDescent="0.2"/>
    <row r="47710" hidden="1" x14ac:dyDescent="0.2"/>
    <row r="47711" hidden="1" x14ac:dyDescent="0.2"/>
    <row r="47712" hidden="1" x14ac:dyDescent="0.2"/>
    <row r="47713" hidden="1" x14ac:dyDescent="0.2"/>
    <row r="47714" hidden="1" x14ac:dyDescent="0.2"/>
    <row r="47715" hidden="1" x14ac:dyDescent="0.2"/>
    <row r="47716" hidden="1" x14ac:dyDescent="0.2"/>
    <row r="47717" hidden="1" x14ac:dyDescent="0.2"/>
    <row r="47718" hidden="1" x14ac:dyDescent="0.2"/>
    <row r="47719" hidden="1" x14ac:dyDescent="0.2"/>
    <row r="47720" hidden="1" x14ac:dyDescent="0.2"/>
    <row r="47721" hidden="1" x14ac:dyDescent="0.2"/>
    <row r="47722" hidden="1" x14ac:dyDescent="0.2"/>
    <row r="47723" hidden="1" x14ac:dyDescent="0.2"/>
    <row r="47724" hidden="1" x14ac:dyDescent="0.2"/>
    <row r="47725" hidden="1" x14ac:dyDescent="0.2"/>
    <row r="47726" hidden="1" x14ac:dyDescent="0.2"/>
    <row r="47727" hidden="1" x14ac:dyDescent="0.2"/>
    <row r="47728" hidden="1" x14ac:dyDescent="0.2"/>
    <row r="47729" hidden="1" x14ac:dyDescent="0.2"/>
    <row r="47730" hidden="1" x14ac:dyDescent="0.2"/>
    <row r="47731" hidden="1" x14ac:dyDescent="0.2"/>
    <row r="47732" hidden="1" x14ac:dyDescent="0.2"/>
    <row r="47733" hidden="1" x14ac:dyDescent="0.2"/>
    <row r="47734" hidden="1" x14ac:dyDescent="0.2"/>
    <row r="47735" hidden="1" x14ac:dyDescent="0.2"/>
    <row r="47736" hidden="1" x14ac:dyDescent="0.2"/>
    <row r="47737" hidden="1" x14ac:dyDescent="0.2"/>
    <row r="47738" hidden="1" x14ac:dyDescent="0.2"/>
    <row r="47739" hidden="1" x14ac:dyDescent="0.2"/>
    <row r="47740" hidden="1" x14ac:dyDescent="0.2"/>
    <row r="47741" hidden="1" x14ac:dyDescent="0.2"/>
    <row r="47742" hidden="1" x14ac:dyDescent="0.2"/>
    <row r="47743" hidden="1" x14ac:dyDescent="0.2"/>
    <row r="47744" hidden="1" x14ac:dyDescent="0.2"/>
    <row r="47745" hidden="1" x14ac:dyDescent="0.2"/>
    <row r="47746" hidden="1" x14ac:dyDescent="0.2"/>
    <row r="47747" hidden="1" x14ac:dyDescent="0.2"/>
    <row r="47748" hidden="1" x14ac:dyDescent="0.2"/>
    <row r="47749" hidden="1" x14ac:dyDescent="0.2"/>
    <row r="47750" hidden="1" x14ac:dyDescent="0.2"/>
    <row r="47751" hidden="1" x14ac:dyDescent="0.2"/>
    <row r="47752" hidden="1" x14ac:dyDescent="0.2"/>
    <row r="47753" hidden="1" x14ac:dyDescent="0.2"/>
    <row r="47754" hidden="1" x14ac:dyDescent="0.2"/>
    <row r="47755" hidden="1" x14ac:dyDescent="0.2"/>
    <row r="47756" hidden="1" x14ac:dyDescent="0.2"/>
    <row r="47757" hidden="1" x14ac:dyDescent="0.2"/>
    <row r="47758" hidden="1" x14ac:dyDescent="0.2"/>
    <row r="47759" hidden="1" x14ac:dyDescent="0.2"/>
    <row r="47760" hidden="1" x14ac:dyDescent="0.2"/>
    <row r="47761" hidden="1" x14ac:dyDescent="0.2"/>
    <row r="47762" hidden="1" x14ac:dyDescent="0.2"/>
    <row r="47763" hidden="1" x14ac:dyDescent="0.2"/>
    <row r="47764" hidden="1" x14ac:dyDescent="0.2"/>
    <row r="47765" hidden="1" x14ac:dyDescent="0.2"/>
    <row r="47766" hidden="1" x14ac:dyDescent="0.2"/>
    <row r="47767" hidden="1" x14ac:dyDescent="0.2"/>
    <row r="47768" hidden="1" x14ac:dyDescent="0.2"/>
    <row r="47769" hidden="1" x14ac:dyDescent="0.2"/>
    <row r="47770" hidden="1" x14ac:dyDescent="0.2"/>
    <row r="47771" hidden="1" x14ac:dyDescent="0.2"/>
    <row r="47772" hidden="1" x14ac:dyDescent="0.2"/>
    <row r="47773" hidden="1" x14ac:dyDescent="0.2"/>
    <row r="47774" hidden="1" x14ac:dyDescent="0.2"/>
    <row r="47775" hidden="1" x14ac:dyDescent="0.2"/>
    <row r="47776" hidden="1" x14ac:dyDescent="0.2"/>
    <row r="47777" hidden="1" x14ac:dyDescent="0.2"/>
    <row r="47778" hidden="1" x14ac:dyDescent="0.2"/>
    <row r="47779" hidden="1" x14ac:dyDescent="0.2"/>
    <row r="47780" hidden="1" x14ac:dyDescent="0.2"/>
    <row r="47781" hidden="1" x14ac:dyDescent="0.2"/>
    <row r="47782" hidden="1" x14ac:dyDescent="0.2"/>
    <row r="47783" hidden="1" x14ac:dyDescent="0.2"/>
    <row r="47784" hidden="1" x14ac:dyDescent="0.2"/>
    <row r="47785" hidden="1" x14ac:dyDescent="0.2"/>
    <row r="47786" hidden="1" x14ac:dyDescent="0.2"/>
    <row r="47787" hidden="1" x14ac:dyDescent="0.2"/>
    <row r="47788" hidden="1" x14ac:dyDescent="0.2"/>
    <row r="47789" hidden="1" x14ac:dyDescent="0.2"/>
    <row r="47790" hidden="1" x14ac:dyDescent="0.2"/>
    <row r="47791" hidden="1" x14ac:dyDescent="0.2"/>
    <row r="47792" hidden="1" x14ac:dyDescent="0.2"/>
    <row r="47793" hidden="1" x14ac:dyDescent="0.2"/>
    <row r="47794" hidden="1" x14ac:dyDescent="0.2"/>
    <row r="47795" hidden="1" x14ac:dyDescent="0.2"/>
    <row r="47796" hidden="1" x14ac:dyDescent="0.2"/>
    <row r="47797" hidden="1" x14ac:dyDescent="0.2"/>
    <row r="47798" hidden="1" x14ac:dyDescent="0.2"/>
    <row r="47799" hidden="1" x14ac:dyDescent="0.2"/>
    <row r="47800" hidden="1" x14ac:dyDescent="0.2"/>
    <row r="47801" hidden="1" x14ac:dyDescent="0.2"/>
    <row r="47802" hidden="1" x14ac:dyDescent="0.2"/>
    <row r="47803" hidden="1" x14ac:dyDescent="0.2"/>
    <row r="47804" hidden="1" x14ac:dyDescent="0.2"/>
    <row r="47805" hidden="1" x14ac:dyDescent="0.2"/>
    <row r="47806" hidden="1" x14ac:dyDescent="0.2"/>
    <row r="47807" hidden="1" x14ac:dyDescent="0.2"/>
    <row r="47808" hidden="1" x14ac:dyDescent="0.2"/>
    <row r="47809" hidden="1" x14ac:dyDescent="0.2"/>
    <row r="47810" hidden="1" x14ac:dyDescent="0.2"/>
    <row r="47811" hidden="1" x14ac:dyDescent="0.2"/>
    <row r="47812" hidden="1" x14ac:dyDescent="0.2"/>
    <row r="47813" hidden="1" x14ac:dyDescent="0.2"/>
    <row r="47814" hidden="1" x14ac:dyDescent="0.2"/>
    <row r="47815" hidden="1" x14ac:dyDescent="0.2"/>
    <row r="47816" hidden="1" x14ac:dyDescent="0.2"/>
    <row r="47817" hidden="1" x14ac:dyDescent="0.2"/>
    <row r="47818" hidden="1" x14ac:dyDescent="0.2"/>
    <row r="47819" hidden="1" x14ac:dyDescent="0.2"/>
    <row r="47820" hidden="1" x14ac:dyDescent="0.2"/>
    <row r="47821" hidden="1" x14ac:dyDescent="0.2"/>
    <row r="47822" hidden="1" x14ac:dyDescent="0.2"/>
    <row r="47823" hidden="1" x14ac:dyDescent="0.2"/>
    <row r="47824" hidden="1" x14ac:dyDescent="0.2"/>
    <row r="47825" hidden="1" x14ac:dyDescent="0.2"/>
    <row r="47826" hidden="1" x14ac:dyDescent="0.2"/>
    <row r="47827" hidden="1" x14ac:dyDescent="0.2"/>
    <row r="47828" hidden="1" x14ac:dyDescent="0.2"/>
    <row r="47829" hidden="1" x14ac:dyDescent="0.2"/>
    <row r="47830" hidden="1" x14ac:dyDescent="0.2"/>
    <row r="47831" hidden="1" x14ac:dyDescent="0.2"/>
    <row r="47832" hidden="1" x14ac:dyDescent="0.2"/>
    <row r="47833" hidden="1" x14ac:dyDescent="0.2"/>
    <row r="47834" hidden="1" x14ac:dyDescent="0.2"/>
    <row r="47835" hidden="1" x14ac:dyDescent="0.2"/>
    <row r="47836" hidden="1" x14ac:dyDescent="0.2"/>
    <row r="47837" hidden="1" x14ac:dyDescent="0.2"/>
    <row r="47838" hidden="1" x14ac:dyDescent="0.2"/>
    <row r="47839" hidden="1" x14ac:dyDescent="0.2"/>
    <row r="47840" hidden="1" x14ac:dyDescent="0.2"/>
    <row r="47841" hidden="1" x14ac:dyDescent="0.2"/>
    <row r="47842" hidden="1" x14ac:dyDescent="0.2"/>
    <row r="47843" hidden="1" x14ac:dyDescent="0.2"/>
    <row r="47844" hidden="1" x14ac:dyDescent="0.2"/>
    <row r="47845" hidden="1" x14ac:dyDescent="0.2"/>
    <row r="47846" hidden="1" x14ac:dyDescent="0.2"/>
    <row r="47847" hidden="1" x14ac:dyDescent="0.2"/>
    <row r="47848" hidden="1" x14ac:dyDescent="0.2"/>
    <row r="47849" hidden="1" x14ac:dyDescent="0.2"/>
    <row r="47850" hidden="1" x14ac:dyDescent="0.2"/>
    <row r="47851" hidden="1" x14ac:dyDescent="0.2"/>
    <row r="47852" hidden="1" x14ac:dyDescent="0.2"/>
    <row r="47853" hidden="1" x14ac:dyDescent="0.2"/>
    <row r="47854" hidden="1" x14ac:dyDescent="0.2"/>
    <row r="47855" hidden="1" x14ac:dyDescent="0.2"/>
    <row r="47856" hidden="1" x14ac:dyDescent="0.2"/>
    <row r="47857" hidden="1" x14ac:dyDescent="0.2"/>
    <row r="47858" hidden="1" x14ac:dyDescent="0.2"/>
    <row r="47859" hidden="1" x14ac:dyDescent="0.2"/>
    <row r="47860" hidden="1" x14ac:dyDescent="0.2"/>
    <row r="47861" hidden="1" x14ac:dyDescent="0.2"/>
    <row r="47862" hidden="1" x14ac:dyDescent="0.2"/>
    <row r="47863" hidden="1" x14ac:dyDescent="0.2"/>
    <row r="47864" hidden="1" x14ac:dyDescent="0.2"/>
    <row r="47865" hidden="1" x14ac:dyDescent="0.2"/>
    <row r="47866" hidden="1" x14ac:dyDescent="0.2"/>
    <row r="47867" hidden="1" x14ac:dyDescent="0.2"/>
    <row r="47868" hidden="1" x14ac:dyDescent="0.2"/>
    <row r="47869" hidden="1" x14ac:dyDescent="0.2"/>
    <row r="47870" hidden="1" x14ac:dyDescent="0.2"/>
    <row r="47871" hidden="1" x14ac:dyDescent="0.2"/>
    <row r="47872" hidden="1" x14ac:dyDescent="0.2"/>
    <row r="47873" hidden="1" x14ac:dyDescent="0.2"/>
    <row r="47874" hidden="1" x14ac:dyDescent="0.2"/>
    <row r="47875" hidden="1" x14ac:dyDescent="0.2"/>
    <row r="47876" hidden="1" x14ac:dyDescent="0.2"/>
    <row r="47877" hidden="1" x14ac:dyDescent="0.2"/>
    <row r="47878" hidden="1" x14ac:dyDescent="0.2"/>
    <row r="47879" hidden="1" x14ac:dyDescent="0.2"/>
    <row r="47880" hidden="1" x14ac:dyDescent="0.2"/>
    <row r="47881" hidden="1" x14ac:dyDescent="0.2"/>
    <row r="47882" hidden="1" x14ac:dyDescent="0.2"/>
    <row r="47883" hidden="1" x14ac:dyDescent="0.2"/>
    <row r="47884" hidden="1" x14ac:dyDescent="0.2"/>
    <row r="47885" hidden="1" x14ac:dyDescent="0.2"/>
    <row r="47886" hidden="1" x14ac:dyDescent="0.2"/>
    <row r="47887" hidden="1" x14ac:dyDescent="0.2"/>
    <row r="47888" hidden="1" x14ac:dyDescent="0.2"/>
    <row r="47889" hidden="1" x14ac:dyDescent="0.2"/>
    <row r="47890" hidden="1" x14ac:dyDescent="0.2"/>
    <row r="47891" hidden="1" x14ac:dyDescent="0.2"/>
    <row r="47892" hidden="1" x14ac:dyDescent="0.2"/>
    <row r="47893" hidden="1" x14ac:dyDescent="0.2"/>
    <row r="47894" hidden="1" x14ac:dyDescent="0.2"/>
    <row r="47895" hidden="1" x14ac:dyDescent="0.2"/>
    <row r="47896" hidden="1" x14ac:dyDescent="0.2"/>
    <row r="47897" hidden="1" x14ac:dyDescent="0.2"/>
    <row r="47898" hidden="1" x14ac:dyDescent="0.2"/>
    <row r="47899" hidden="1" x14ac:dyDescent="0.2"/>
    <row r="47900" hidden="1" x14ac:dyDescent="0.2"/>
    <row r="47901" hidden="1" x14ac:dyDescent="0.2"/>
    <row r="47902" hidden="1" x14ac:dyDescent="0.2"/>
    <row r="47903" hidden="1" x14ac:dyDescent="0.2"/>
    <row r="47904" hidden="1" x14ac:dyDescent="0.2"/>
    <row r="47905" hidden="1" x14ac:dyDescent="0.2"/>
    <row r="47906" hidden="1" x14ac:dyDescent="0.2"/>
    <row r="47907" hidden="1" x14ac:dyDescent="0.2"/>
    <row r="47908" hidden="1" x14ac:dyDescent="0.2"/>
    <row r="47909" hidden="1" x14ac:dyDescent="0.2"/>
    <row r="47910" hidden="1" x14ac:dyDescent="0.2"/>
    <row r="47911" hidden="1" x14ac:dyDescent="0.2"/>
    <row r="47912" hidden="1" x14ac:dyDescent="0.2"/>
    <row r="47913" hidden="1" x14ac:dyDescent="0.2"/>
    <row r="47914" hidden="1" x14ac:dyDescent="0.2"/>
    <row r="47915" hidden="1" x14ac:dyDescent="0.2"/>
    <row r="47916" hidden="1" x14ac:dyDescent="0.2"/>
    <row r="47917" hidden="1" x14ac:dyDescent="0.2"/>
    <row r="47918" hidden="1" x14ac:dyDescent="0.2"/>
    <row r="47919" hidden="1" x14ac:dyDescent="0.2"/>
    <row r="47920" hidden="1" x14ac:dyDescent="0.2"/>
    <row r="47921" hidden="1" x14ac:dyDescent="0.2"/>
    <row r="47922" hidden="1" x14ac:dyDescent="0.2"/>
    <row r="47923" hidden="1" x14ac:dyDescent="0.2"/>
    <row r="47924" hidden="1" x14ac:dyDescent="0.2"/>
    <row r="47925" hidden="1" x14ac:dyDescent="0.2"/>
    <row r="47926" hidden="1" x14ac:dyDescent="0.2"/>
    <row r="47927" hidden="1" x14ac:dyDescent="0.2"/>
    <row r="47928" hidden="1" x14ac:dyDescent="0.2"/>
    <row r="47929" hidden="1" x14ac:dyDescent="0.2"/>
    <row r="47930" hidden="1" x14ac:dyDescent="0.2"/>
    <row r="47931" hidden="1" x14ac:dyDescent="0.2"/>
    <row r="47932" hidden="1" x14ac:dyDescent="0.2"/>
    <row r="47933" hidden="1" x14ac:dyDescent="0.2"/>
    <row r="47934" hidden="1" x14ac:dyDescent="0.2"/>
    <row r="47935" hidden="1" x14ac:dyDescent="0.2"/>
    <row r="47936" hidden="1" x14ac:dyDescent="0.2"/>
    <row r="47937" hidden="1" x14ac:dyDescent="0.2"/>
    <row r="47938" hidden="1" x14ac:dyDescent="0.2"/>
    <row r="47939" hidden="1" x14ac:dyDescent="0.2"/>
    <row r="47940" hidden="1" x14ac:dyDescent="0.2"/>
    <row r="47941" hidden="1" x14ac:dyDescent="0.2"/>
    <row r="47942" hidden="1" x14ac:dyDescent="0.2"/>
    <row r="47943" hidden="1" x14ac:dyDescent="0.2"/>
    <row r="47944" hidden="1" x14ac:dyDescent="0.2"/>
    <row r="47945" hidden="1" x14ac:dyDescent="0.2"/>
    <row r="47946" hidden="1" x14ac:dyDescent="0.2"/>
    <row r="47947" hidden="1" x14ac:dyDescent="0.2"/>
    <row r="47948" hidden="1" x14ac:dyDescent="0.2"/>
    <row r="47949" hidden="1" x14ac:dyDescent="0.2"/>
    <row r="47950" hidden="1" x14ac:dyDescent="0.2"/>
    <row r="47951" hidden="1" x14ac:dyDescent="0.2"/>
    <row r="47952" hidden="1" x14ac:dyDescent="0.2"/>
    <row r="47953" hidden="1" x14ac:dyDescent="0.2"/>
    <row r="47954" hidden="1" x14ac:dyDescent="0.2"/>
    <row r="47955" hidden="1" x14ac:dyDescent="0.2"/>
    <row r="47956" hidden="1" x14ac:dyDescent="0.2"/>
    <row r="47957" hidden="1" x14ac:dyDescent="0.2"/>
    <row r="47958" hidden="1" x14ac:dyDescent="0.2"/>
    <row r="47959" hidden="1" x14ac:dyDescent="0.2"/>
    <row r="47960" hidden="1" x14ac:dyDescent="0.2"/>
    <row r="47961" hidden="1" x14ac:dyDescent="0.2"/>
    <row r="47962" hidden="1" x14ac:dyDescent="0.2"/>
    <row r="47963" hidden="1" x14ac:dyDescent="0.2"/>
    <row r="47964" hidden="1" x14ac:dyDescent="0.2"/>
    <row r="47965" hidden="1" x14ac:dyDescent="0.2"/>
    <row r="47966" hidden="1" x14ac:dyDescent="0.2"/>
    <row r="47967" hidden="1" x14ac:dyDescent="0.2"/>
    <row r="47968" hidden="1" x14ac:dyDescent="0.2"/>
    <row r="47969" hidden="1" x14ac:dyDescent="0.2"/>
    <row r="47970" hidden="1" x14ac:dyDescent="0.2"/>
    <row r="47971" hidden="1" x14ac:dyDescent="0.2"/>
    <row r="47972" hidden="1" x14ac:dyDescent="0.2"/>
    <row r="47973" hidden="1" x14ac:dyDescent="0.2"/>
    <row r="47974" hidden="1" x14ac:dyDescent="0.2"/>
    <row r="47975" hidden="1" x14ac:dyDescent="0.2"/>
    <row r="47976" hidden="1" x14ac:dyDescent="0.2"/>
    <row r="47977" hidden="1" x14ac:dyDescent="0.2"/>
    <row r="47978" hidden="1" x14ac:dyDescent="0.2"/>
    <row r="47979" hidden="1" x14ac:dyDescent="0.2"/>
    <row r="47980" hidden="1" x14ac:dyDescent="0.2"/>
    <row r="47981" hidden="1" x14ac:dyDescent="0.2"/>
    <row r="47982" hidden="1" x14ac:dyDescent="0.2"/>
    <row r="47983" hidden="1" x14ac:dyDescent="0.2"/>
    <row r="47984" hidden="1" x14ac:dyDescent="0.2"/>
    <row r="47985" hidden="1" x14ac:dyDescent="0.2"/>
    <row r="47986" hidden="1" x14ac:dyDescent="0.2"/>
    <row r="47987" hidden="1" x14ac:dyDescent="0.2"/>
    <row r="47988" hidden="1" x14ac:dyDescent="0.2"/>
    <row r="47989" hidden="1" x14ac:dyDescent="0.2"/>
    <row r="47990" hidden="1" x14ac:dyDescent="0.2"/>
    <row r="47991" hidden="1" x14ac:dyDescent="0.2"/>
    <row r="47992" hidden="1" x14ac:dyDescent="0.2"/>
    <row r="47993" hidden="1" x14ac:dyDescent="0.2"/>
    <row r="47994" hidden="1" x14ac:dyDescent="0.2"/>
    <row r="47995" hidden="1" x14ac:dyDescent="0.2"/>
    <row r="47996" hidden="1" x14ac:dyDescent="0.2"/>
    <row r="47997" hidden="1" x14ac:dyDescent="0.2"/>
    <row r="47998" hidden="1" x14ac:dyDescent="0.2"/>
    <row r="47999" hidden="1" x14ac:dyDescent="0.2"/>
    <row r="48000" hidden="1" x14ac:dyDescent="0.2"/>
    <row r="48001" hidden="1" x14ac:dyDescent="0.2"/>
    <row r="48002" hidden="1" x14ac:dyDescent="0.2"/>
    <row r="48003" hidden="1" x14ac:dyDescent="0.2"/>
    <row r="48004" hidden="1" x14ac:dyDescent="0.2"/>
    <row r="48005" hidden="1" x14ac:dyDescent="0.2"/>
    <row r="48006" hidden="1" x14ac:dyDescent="0.2"/>
    <row r="48007" hidden="1" x14ac:dyDescent="0.2"/>
    <row r="48008" hidden="1" x14ac:dyDescent="0.2"/>
    <row r="48009" hidden="1" x14ac:dyDescent="0.2"/>
    <row r="48010" hidden="1" x14ac:dyDescent="0.2"/>
    <row r="48011" hidden="1" x14ac:dyDescent="0.2"/>
    <row r="48012" hidden="1" x14ac:dyDescent="0.2"/>
    <row r="48013" hidden="1" x14ac:dyDescent="0.2"/>
    <row r="48014" hidden="1" x14ac:dyDescent="0.2"/>
    <row r="48015" hidden="1" x14ac:dyDescent="0.2"/>
    <row r="48016" hidden="1" x14ac:dyDescent="0.2"/>
    <row r="48017" hidden="1" x14ac:dyDescent="0.2"/>
    <row r="48018" hidden="1" x14ac:dyDescent="0.2"/>
    <row r="48019" hidden="1" x14ac:dyDescent="0.2"/>
    <row r="48020" hidden="1" x14ac:dyDescent="0.2"/>
    <row r="48021" hidden="1" x14ac:dyDescent="0.2"/>
    <row r="48022" hidden="1" x14ac:dyDescent="0.2"/>
    <row r="48023" hidden="1" x14ac:dyDescent="0.2"/>
    <row r="48024" hidden="1" x14ac:dyDescent="0.2"/>
    <row r="48025" hidden="1" x14ac:dyDescent="0.2"/>
    <row r="48026" hidden="1" x14ac:dyDescent="0.2"/>
    <row r="48027" hidden="1" x14ac:dyDescent="0.2"/>
    <row r="48028" hidden="1" x14ac:dyDescent="0.2"/>
    <row r="48029" hidden="1" x14ac:dyDescent="0.2"/>
    <row r="48030" hidden="1" x14ac:dyDescent="0.2"/>
    <row r="48031" hidden="1" x14ac:dyDescent="0.2"/>
    <row r="48032" hidden="1" x14ac:dyDescent="0.2"/>
    <row r="48033" hidden="1" x14ac:dyDescent="0.2"/>
    <row r="48034" hidden="1" x14ac:dyDescent="0.2"/>
    <row r="48035" hidden="1" x14ac:dyDescent="0.2"/>
    <row r="48036" hidden="1" x14ac:dyDescent="0.2"/>
    <row r="48037" hidden="1" x14ac:dyDescent="0.2"/>
    <row r="48038" hidden="1" x14ac:dyDescent="0.2"/>
    <row r="48039" hidden="1" x14ac:dyDescent="0.2"/>
    <row r="48040" hidden="1" x14ac:dyDescent="0.2"/>
    <row r="48041" hidden="1" x14ac:dyDescent="0.2"/>
    <row r="48042" hidden="1" x14ac:dyDescent="0.2"/>
    <row r="48043" hidden="1" x14ac:dyDescent="0.2"/>
    <row r="48044" hidden="1" x14ac:dyDescent="0.2"/>
    <row r="48045" hidden="1" x14ac:dyDescent="0.2"/>
    <row r="48046" hidden="1" x14ac:dyDescent="0.2"/>
    <row r="48047" hidden="1" x14ac:dyDescent="0.2"/>
    <row r="48048" hidden="1" x14ac:dyDescent="0.2"/>
    <row r="48049" hidden="1" x14ac:dyDescent="0.2"/>
    <row r="48050" hidden="1" x14ac:dyDescent="0.2"/>
    <row r="48051" hidden="1" x14ac:dyDescent="0.2"/>
    <row r="48052" hidden="1" x14ac:dyDescent="0.2"/>
    <row r="48053" hidden="1" x14ac:dyDescent="0.2"/>
    <row r="48054" hidden="1" x14ac:dyDescent="0.2"/>
    <row r="48055" hidden="1" x14ac:dyDescent="0.2"/>
    <row r="48056" hidden="1" x14ac:dyDescent="0.2"/>
    <row r="48057" hidden="1" x14ac:dyDescent="0.2"/>
    <row r="48058" hidden="1" x14ac:dyDescent="0.2"/>
    <row r="48059" hidden="1" x14ac:dyDescent="0.2"/>
    <row r="48060" hidden="1" x14ac:dyDescent="0.2"/>
    <row r="48061" hidden="1" x14ac:dyDescent="0.2"/>
    <row r="48062" hidden="1" x14ac:dyDescent="0.2"/>
    <row r="48063" hidden="1" x14ac:dyDescent="0.2"/>
    <row r="48064" hidden="1" x14ac:dyDescent="0.2"/>
    <row r="48065" hidden="1" x14ac:dyDescent="0.2"/>
    <row r="48066" hidden="1" x14ac:dyDescent="0.2"/>
    <row r="48067" hidden="1" x14ac:dyDescent="0.2"/>
    <row r="48068" hidden="1" x14ac:dyDescent="0.2"/>
    <row r="48069" hidden="1" x14ac:dyDescent="0.2"/>
    <row r="48070" hidden="1" x14ac:dyDescent="0.2"/>
    <row r="48071" hidden="1" x14ac:dyDescent="0.2"/>
    <row r="48072" hidden="1" x14ac:dyDescent="0.2"/>
    <row r="48073" hidden="1" x14ac:dyDescent="0.2"/>
    <row r="48074" hidden="1" x14ac:dyDescent="0.2"/>
    <row r="48075" hidden="1" x14ac:dyDescent="0.2"/>
    <row r="48076" hidden="1" x14ac:dyDescent="0.2"/>
    <row r="48077" hidden="1" x14ac:dyDescent="0.2"/>
    <row r="48078" hidden="1" x14ac:dyDescent="0.2"/>
    <row r="48079" hidden="1" x14ac:dyDescent="0.2"/>
    <row r="48080" hidden="1" x14ac:dyDescent="0.2"/>
    <row r="48081" hidden="1" x14ac:dyDescent="0.2"/>
    <row r="48082" hidden="1" x14ac:dyDescent="0.2"/>
    <row r="48083" hidden="1" x14ac:dyDescent="0.2"/>
    <row r="48084" hidden="1" x14ac:dyDescent="0.2"/>
    <row r="48085" hidden="1" x14ac:dyDescent="0.2"/>
    <row r="48086" hidden="1" x14ac:dyDescent="0.2"/>
    <row r="48087" hidden="1" x14ac:dyDescent="0.2"/>
    <row r="48088" hidden="1" x14ac:dyDescent="0.2"/>
    <row r="48089" hidden="1" x14ac:dyDescent="0.2"/>
    <row r="48090" hidden="1" x14ac:dyDescent="0.2"/>
    <row r="48091" hidden="1" x14ac:dyDescent="0.2"/>
    <row r="48092" hidden="1" x14ac:dyDescent="0.2"/>
    <row r="48093" hidden="1" x14ac:dyDescent="0.2"/>
    <row r="48094" hidden="1" x14ac:dyDescent="0.2"/>
    <row r="48095" hidden="1" x14ac:dyDescent="0.2"/>
    <row r="48096" hidden="1" x14ac:dyDescent="0.2"/>
    <row r="48097" hidden="1" x14ac:dyDescent="0.2"/>
    <row r="48098" hidden="1" x14ac:dyDescent="0.2"/>
    <row r="48099" hidden="1" x14ac:dyDescent="0.2"/>
    <row r="48100" hidden="1" x14ac:dyDescent="0.2"/>
    <row r="48101" hidden="1" x14ac:dyDescent="0.2"/>
    <row r="48102" hidden="1" x14ac:dyDescent="0.2"/>
    <row r="48103" hidden="1" x14ac:dyDescent="0.2"/>
    <row r="48104" hidden="1" x14ac:dyDescent="0.2"/>
    <row r="48105" hidden="1" x14ac:dyDescent="0.2"/>
    <row r="48106" hidden="1" x14ac:dyDescent="0.2"/>
    <row r="48107" hidden="1" x14ac:dyDescent="0.2"/>
    <row r="48108" hidden="1" x14ac:dyDescent="0.2"/>
    <row r="48109" hidden="1" x14ac:dyDescent="0.2"/>
    <row r="48110" hidden="1" x14ac:dyDescent="0.2"/>
    <row r="48111" hidden="1" x14ac:dyDescent="0.2"/>
    <row r="48112" hidden="1" x14ac:dyDescent="0.2"/>
    <row r="48113" hidden="1" x14ac:dyDescent="0.2"/>
    <row r="48114" hidden="1" x14ac:dyDescent="0.2"/>
    <row r="48115" hidden="1" x14ac:dyDescent="0.2"/>
    <row r="48116" hidden="1" x14ac:dyDescent="0.2"/>
    <row r="48117" hidden="1" x14ac:dyDescent="0.2"/>
    <row r="48118" hidden="1" x14ac:dyDescent="0.2"/>
    <row r="48119" hidden="1" x14ac:dyDescent="0.2"/>
    <row r="48120" hidden="1" x14ac:dyDescent="0.2"/>
    <row r="48121" hidden="1" x14ac:dyDescent="0.2"/>
    <row r="48122" hidden="1" x14ac:dyDescent="0.2"/>
    <row r="48123" hidden="1" x14ac:dyDescent="0.2"/>
    <row r="48124" hidden="1" x14ac:dyDescent="0.2"/>
    <row r="48125" hidden="1" x14ac:dyDescent="0.2"/>
    <row r="48126" hidden="1" x14ac:dyDescent="0.2"/>
    <row r="48127" hidden="1" x14ac:dyDescent="0.2"/>
    <row r="48128" hidden="1" x14ac:dyDescent="0.2"/>
    <row r="48129" hidden="1" x14ac:dyDescent="0.2"/>
    <row r="48130" hidden="1" x14ac:dyDescent="0.2"/>
    <row r="48131" hidden="1" x14ac:dyDescent="0.2"/>
    <row r="48132" hidden="1" x14ac:dyDescent="0.2"/>
    <row r="48133" hidden="1" x14ac:dyDescent="0.2"/>
    <row r="48134" hidden="1" x14ac:dyDescent="0.2"/>
    <row r="48135" hidden="1" x14ac:dyDescent="0.2"/>
    <row r="48136" hidden="1" x14ac:dyDescent="0.2"/>
    <row r="48137" hidden="1" x14ac:dyDescent="0.2"/>
    <row r="48138" hidden="1" x14ac:dyDescent="0.2"/>
    <row r="48139" hidden="1" x14ac:dyDescent="0.2"/>
    <row r="48140" hidden="1" x14ac:dyDescent="0.2"/>
    <row r="48141" hidden="1" x14ac:dyDescent="0.2"/>
    <row r="48142" hidden="1" x14ac:dyDescent="0.2"/>
    <row r="48143" hidden="1" x14ac:dyDescent="0.2"/>
    <row r="48144" hidden="1" x14ac:dyDescent="0.2"/>
    <row r="48145" hidden="1" x14ac:dyDescent="0.2"/>
    <row r="48146" hidden="1" x14ac:dyDescent="0.2"/>
    <row r="48147" hidden="1" x14ac:dyDescent="0.2"/>
    <row r="48148" hidden="1" x14ac:dyDescent="0.2"/>
    <row r="48149" hidden="1" x14ac:dyDescent="0.2"/>
    <row r="48150" hidden="1" x14ac:dyDescent="0.2"/>
    <row r="48151" hidden="1" x14ac:dyDescent="0.2"/>
    <row r="48152" hidden="1" x14ac:dyDescent="0.2"/>
    <row r="48153" hidden="1" x14ac:dyDescent="0.2"/>
    <row r="48154" hidden="1" x14ac:dyDescent="0.2"/>
    <row r="48155" hidden="1" x14ac:dyDescent="0.2"/>
    <row r="48156" hidden="1" x14ac:dyDescent="0.2"/>
    <row r="48157" hidden="1" x14ac:dyDescent="0.2"/>
    <row r="48158" hidden="1" x14ac:dyDescent="0.2"/>
    <row r="48159" hidden="1" x14ac:dyDescent="0.2"/>
    <row r="48160" hidden="1" x14ac:dyDescent="0.2"/>
    <row r="48161" hidden="1" x14ac:dyDescent="0.2"/>
    <row r="48162" hidden="1" x14ac:dyDescent="0.2"/>
    <row r="48163" hidden="1" x14ac:dyDescent="0.2"/>
    <row r="48164" hidden="1" x14ac:dyDescent="0.2"/>
    <row r="48165" hidden="1" x14ac:dyDescent="0.2"/>
    <row r="48166" hidden="1" x14ac:dyDescent="0.2"/>
    <row r="48167" hidden="1" x14ac:dyDescent="0.2"/>
    <row r="48168" hidden="1" x14ac:dyDescent="0.2"/>
    <row r="48169" hidden="1" x14ac:dyDescent="0.2"/>
    <row r="48170" hidden="1" x14ac:dyDescent="0.2"/>
    <row r="48171" hidden="1" x14ac:dyDescent="0.2"/>
    <row r="48172" hidden="1" x14ac:dyDescent="0.2"/>
    <row r="48173" hidden="1" x14ac:dyDescent="0.2"/>
    <row r="48174" hidden="1" x14ac:dyDescent="0.2"/>
    <row r="48175" hidden="1" x14ac:dyDescent="0.2"/>
    <row r="48176" hidden="1" x14ac:dyDescent="0.2"/>
    <row r="48177" hidden="1" x14ac:dyDescent="0.2"/>
    <row r="48178" hidden="1" x14ac:dyDescent="0.2"/>
    <row r="48179" hidden="1" x14ac:dyDescent="0.2"/>
    <row r="48180" hidden="1" x14ac:dyDescent="0.2"/>
    <row r="48181" hidden="1" x14ac:dyDescent="0.2"/>
    <row r="48182" hidden="1" x14ac:dyDescent="0.2"/>
    <row r="48183" hidden="1" x14ac:dyDescent="0.2"/>
    <row r="48184" hidden="1" x14ac:dyDescent="0.2"/>
    <row r="48185" hidden="1" x14ac:dyDescent="0.2"/>
    <row r="48186" hidden="1" x14ac:dyDescent="0.2"/>
    <row r="48187" hidden="1" x14ac:dyDescent="0.2"/>
    <row r="48188" hidden="1" x14ac:dyDescent="0.2"/>
    <row r="48189" hidden="1" x14ac:dyDescent="0.2"/>
    <row r="48190" hidden="1" x14ac:dyDescent="0.2"/>
    <row r="48191" hidden="1" x14ac:dyDescent="0.2"/>
    <row r="48192" hidden="1" x14ac:dyDescent="0.2"/>
    <row r="48193" hidden="1" x14ac:dyDescent="0.2"/>
    <row r="48194" hidden="1" x14ac:dyDescent="0.2"/>
    <row r="48195" hidden="1" x14ac:dyDescent="0.2"/>
    <row r="48196" hidden="1" x14ac:dyDescent="0.2"/>
    <row r="48197" hidden="1" x14ac:dyDescent="0.2"/>
    <row r="48198" hidden="1" x14ac:dyDescent="0.2"/>
    <row r="48199" hidden="1" x14ac:dyDescent="0.2"/>
    <row r="48200" hidden="1" x14ac:dyDescent="0.2"/>
    <row r="48201" hidden="1" x14ac:dyDescent="0.2"/>
    <row r="48202" hidden="1" x14ac:dyDescent="0.2"/>
    <row r="48203" hidden="1" x14ac:dyDescent="0.2"/>
    <row r="48204" hidden="1" x14ac:dyDescent="0.2"/>
    <row r="48205" hidden="1" x14ac:dyDescent="0.2"/>
    <row r="48206" hidden="1" x14ac:dyDescent="0.2"/>
    <row r="48207" hidden="1" x14ac:dyDescent="0.2"/>
    <row r="48208" hidden="1" x14ac:dyDescent="0.2"/>
    <row r="48209" hidden="1" x14ac:dyDescent="0.2"/>
    <row r="48210" hidden="1" x14ac:dyDescent="0.2"/>
    <row r="48211" hidden="1" x14ac:dyDescent="0.2"/>
    <row r="48212" hidden="1" x14ac:dyDescent="0.2"/>
    <row r="48213" hidden="1" x14ac:dyDescent="0.2"/>
    <row r="48214" hidden="1" x14ac:dyDescent="0.2"/>
    <row r="48215" hidden="1" x14ac:dyDescent="0.2"/>
    <row r="48216" hidden="1" x14ac:dyDescent="0.2"/>
    <row r="48217" hidden="1" x14ac:dyDescent="0.2"/>
    <row r="48218" hidden="1" x14ac:dyDescent="0.2"/>
    <row r="48219" hidden="1" x14ac:dyDescent="0.2"/>
    <row r="48220" hidden="1" x14ac:dyDescent="0.2"/>
    <row r="48221" hidden="1" x14ac:dyDescent="0.2"/>
    <row r="48222" hidden="1" x14ac:dyDescent="0.2"/>
    <row r="48223" hidden="1" x14ac:dyDescent="0.2"/>
    <row r="48224" hidden="1" x14ac:dyDescent="0.2"/>
    <row r="48225" hidden="1" x14ac:dyDescent="0.2"/>
    <row r="48226" hidden="1" x14ac:dyDescent="0.2"/>
    <row r="48227" hidden="1" x14ac:dyDescent="0.2"/>
    <row r="48228" hidden="1" x14ac:dyDescent="0.2"/>
    <row r="48229" hidden="1" x14ac:dyDescent="0.2"/>
    <row r="48230" hidden="1" x14ac:dyDescent="0.2"/>
    <row r="48231" hidden="1" x14ac:dyDescent="0.2"/>
    <row r="48232" hidden="1" x14ac:dyDescent="0.2"/>
    <row r="48233" hidden="1" x14ac:dyDescent="0.2"/>
    <row r="48234" hidden="1" x14ac:dyDescent="0.2"/>
    <row r="48235" hidden="1" x14ac:dyDescent="0.2"/>
    <row r="48236" hidden="1" x14ac:dyDescent="0.2"/>
    <row r="48237" hidden="1" x14ac:dyDescent="0.2"/>
    <row r="48238" hidden="1" x14ac:dyDescent="0.2"/>
    <row r="48239" hidden="1" x14ac:dyDescent="0.2"/>
    <row r="48240" hidden="1" x14ac:dyDescent="0.2"/>
    <row r="48241" hidden="1" x14ac:dyDescent="0.2"/>
    <row r="48242" hidden="1" x14ac:dyDescent="0.2"/>
    <row r="48243" hidden="1" x14ac:dyDescent="0.2"/>
    <row r="48244" hidden="1" x14ac:dyDescent="0.2"/>
    <row r="48245" hidden="1" x14ac:dyDescent="0.2"/>
    <row r="48246" hidden="1" x14ac:dyDescent="0.2"/>
    <row r="48247" hidden="1" x14ac:dyDescent="0.2"/>
    <row r="48248" hidden="1" x14ac:dyDescent="0.2"/>
    <row r="48249" hidden="1" x14ac:dyDescent="0.2"/>
    <row r="48250" hidden="1" x14ac:dyDescent="0.2"/>
    <row r="48251" hidden="1" x14ac:dyDescent="0.2"/>
    <row r="48252" hidden="1" x14ac:dyDescent="0.2"/>
    <row r="48253" hidden="1" x14ac:dyDescent="0.2"/>
    <row r="48254" hidden="1" x14ac:dyDescent="0.2"/>
    <row r="48255" hidden="1" x14ac:dyDescent="0.2"/>
    <row r="48256" hidden="1" x14ac:dyDescent="0.2"/>
    <row r="48257" hidden="1" x14ac:dyDescent="0.2"/>
    <row r="48258" hidden="1" x14ac:dyDescent="0.2"/>
    <row r="48259" hidden="1" x14ac:dyDescent="0.2"/>
    <row r="48260" hidden="1" x14ac:dyDescent="0.2"/>
    <row r="48261" hidden="1" x14ac:dyDescent="0.2"/>
    <row r="48262" hidden="1" x14ac:dyDescent="0.2"/>
    <row r="48263" hidden="1" x14ac:dyDescent="0.2"/>
    <row r="48264" hidden="1" x14ac:dyDescent="0.2"/>
    <row r="48265" hidden="1" x14ac:dyDescent="0.2"/>
    <row r="48266" hidden="1" x14ac:dyDescent="0.2"/>
    <row r="48267" hidden="1" x14ac:dyDescent="0.2"/>
    <row r="48268" hidden="1" x14ac:dyDescent="0.2"/>
    <row r="48269" hidden="1" x14ac:dyDescent="0.2"/>
    <row r="48270" hidden="1" x14ac:dyDescent="0.2"/>
    <row r="48271" hidden="1" x14ac:dyDescent="0.2"/>
    <row r="48272" hidden="1" x14ac:dyDescent="0.2"/>
    <row r="48273" hidden="1" x14ac:dyDescent="0.2"/>
    <row r="48274" hidden="1" x14ac:dyDescent="0.2"/>
    <row r="48275" hidden="1" x14ac:dyDescent="0.2"/>
    <row r="48276" hidden="1" x14ac:dyDescent="0.2"/>
    <row r="48277" hidden="1" x14ac:dyDescent="0.2"/>
    <row r="48278" hidden="1" x14ac:dyDescent="0.2"/>
    <row r="48279" hidden="1" x14ac:dyDescent="0.2"/>
    <row r="48280" hidden="1" x14ac:dyDescent="0.2"/>
    <row r="48281" hidden="1" x14ac:dyDescent="0.2"/>
    <row r="48282" hidden="1" x14ac:dyDescent="0.2"/>
    <row r="48283" hidden="1" x14ac:dyDescent="0.2"/>
    <row r="48284" hidden="1" x14ac:dyDescent="0.2"/>
    <row r="48285" hidden="1" x14ac:dyDescent="0.2"/>
    <row r="48286" hidden="1" x14ac:dyDescent="0.2"/>
    <row r="48287" hidden="1" x14ac:dyDescent="0.2"/>
    <row r="48288" hidden="1" x14ac:dyDescent="0.2"/>
    <row r="48289" hidden="1" x14ac:dyDescent="0.2"/>
    <row r="48290" hidden="1" x14ac:dyDescent="0.2"/>
    <row r="48291" hidden="1" x14ac:dyDescent="0.2"/>
    <row r="48292" hidden="1" x14ac:dyDescent="0.2"/>
    <row r="48293" hidden="1" x14ac:dyDescent="0.2"/>
    <row r="48294" hidden="1" x14ac:dyDescent="0.2"/>
    <row r="48295" hidden="1" x14ac:dyDescent="0.2"/>
    <row r="48296" hidden="1" x14ac:dyDescent="0.2"/>
    <row r="48297" hidden="1" x14ac:dyDescent="0.2"/>
    <row r="48298" hidden="1" x14ac:dyDescent="0.2"/>
    <row r="48299" hidden="1" x14ac:dyDescent="0.2"/>
    <row r="48300" hidden="1" x14ac:dyDescent="0.2"/>
    <row r="48301" hidden="1" x14ac:dyDescent="0.2"/>
    <row r="48302" hidden="1" x14ac:dyDescent="0.2"/>
    <row r="48303" hidden="1" x14ac:dyDescent="0.2"/>
    <row r="48304" hidden="1" x14ac:dyDescent="0.2"/>
    <row r="48305" hidden="1" x14ac:dyDescent="0.2"/>
    <row r="48306" hidden="1" x14ac:dyDescent="0.2"/>
    <row r="48307" hidden="1" x14ac:dyDescent="0.2"/>
    <row r="48308" hidden="1" x14ac:dyDescent="0.2"/>
    <row r="48309" hidden="1" x14ac:dyDescent="0.2"/>
    <row r="48310" hidden="1" x14ac:dyDescent="0.2"/>
    <row r="48311" hidden="1" x14ac:dyDescent="0.2"/>
    <row r="48312" hidden="1" x14ac:dyDescent="0.2"/>
    <row r="48313" hidden="1" x14ac:dyDescent="0.2"/>
    <row r="48314" hidden="1" x14ac:dyDescent="0.2"/>
    <row r="48315" hidden="1" x14ac:dyDescent="0.2"/>
    <row r="48316" hidden="1" x14ac:dyDescent="0.2"/>
    <row r="48317" hidden="1" x14ac:dyDescent="0.2"/>
    <row r="48318" hidden="1" x14ac:dyDescent="0.2"/>
    <row r="48319" hidden="1" x14ac:dyDescent="0.2"/>
    <row r="48320" hidden="1" x14ac:dyDescent="0.2"/>
    <row r="48321" hidden="1" x14ac:dyDescent="0.2"/>
    <row r="48322" hidden="1" x14ac:dyDescent="0.2"/>
    <row r="48323" hidden="1" x14ac:dyDescent="0.2"/>
    <row r="48324" hidden="1" x14ac:dyDescent="0.2"/>
    <row r="48325" hidden="1" x14ac:dyDescent="0.2"/>
    <row r="48326" hidden="1" x14ac:dyDescent="0.2"/>
    <row r="48327" hidden="1" x14ac:dyDescent="0.2"/>
    <row r="48328" hidden="1" x14ac:dyDescent="0.2"/>
    <row r="48329" hidden="1" x14ac:dyDescent="0.2"/>
    <row r="48330" hidden="1" x14ac:dyDescent="0.2"/>
    <row r="48331" hidden="1" x14ac:dyDescent="0.2"/>
    <row r="48332" hidden="1" x14ac:dyDescent="0.2"/>
    <row r="48333" hidden="1" x14ac:dyDescent="0.2"/>
    <row r="48334" hidden="1" x14ac:dyDescent="0.2"/>
    <row r="48335" hidden="1" x14ac:dyDescent="0.2"/>
    <row r="48336" hidden="1" x14ac:dyDescent="0.2"/>
    <row r="48337" hidden="1" x14ac:dyDescent="0.2"/>
    <row r="48338" hidden="1" x14ac:dyDescent="0.2"/>
    <row r="48339" hidden="1" x14ac:dyDescent="0.2"/>
    <row r="48340" hidden="1" x14ac:dyDescent="0.2"/>
    <row r="48341" hidden="1" x14ac:dyDescent="0.2"/>
    <row r="48342" hidden="1" x14ac:dyDescent="0.2"/>
    <row r="48343" hidden="1" x14ac:dyDescent="0.2"/>
    <row r="48344" hidden="1" x14ac:dyDescent="0.2"/>
    <row r="48345" hidden="1" x14ac:dyDescent="0.2"/>
    <row r="48346" hidden="1" x14ac:dyDescent="0.2"/>
    <row r="48347" hidden="1" x14ac:dyDescent="0.2"/>
    <row r="48348" hidden="1" x14ac:dyDescent="0.2"/>
    <row r="48349" hidden="1" x14ac:dyDescent="0.2"/>
    <row r="48350" hidden="1" x14ac:dyDescent="0.2"/>
    <row r="48351" hidden="1" x14ac:dyDescent="0.2"/>
    <row r="48352" hidden="1" x14ac:dyDescent="0.2"/>
    <row r="48353" hidden="1" x14ac:dyDescent="0.2"/>
    <row r="48354" hidden="1" x14ac:dyDescent="0.2"/>
    <row r="48355" hidden="1" x14ac:dyDescent="0.2"/>
    <row r="48356" hidden="1" x14ac:dyDescent="0.2"/>
    <row r="48357" hidden="1" x14ac:dyDescent="0.2"/>
    <row r="48358" hidden="1" x14ac:dyDescent="0.2"/>
    <row r="48359" hidden="1" x14ac:dyDescent="0.2"/>
    <row r="48360" hidden="1" x14ac:dyDescent="0.2"/>
    <row r="48361" hidden="1" x14ac:dyDescent="0.2"/>
    <row r="48362" hidden="1" x14ac:dyDescent="0.2"/>
    <row r="48363" hidden="1" x14ac:dyDescent="0.2"/>
    <row r="48364" hidden="1" x14ac:dyDescent="0.2"/>
    <row r="48365" hidden="1" x14ac:dyDescent="0.2"/>
    <row r="48366" hidden="1" x14ac:dyDescent="0.2"/>
    <row r="48367" hidden="1" x14ac:dyDescent="0.2"/>
    <row r="48368" hidden="1" x14ac:dyDescent="0.2"/>
    <row r="48369" hidden="1" x14ac:dyDescent="0.2"/>
    <row r="48370" hidden="1" x14ac:dyDescent="0.2"/>
    <row r="48371" hidden="1" x14ac:dyDescent="0.2"/>
    <row r="48372" hidden="1" x14ac:dyDescent="0.2"/>
    <row r="48373" hidden="1" x14ac:dyDescent="0.2"/>
    <row r="48374" hidden="1" x14ac:dyDescent="0.2"/>
    <row r="48375" hidden="1" x14ac:dyDescent="0.2"/>
    <row r="48376" hidden="1" x14ac:dyDescent="0.2"/>
    <row r="48377" hidden="1" x14ac:dyDescent="0.2"/>
    <row r="48378" hidden="1" x14ac:dyDescent="0.2"/>
    <row r="48379" hidden="1" x14ac:dyDescent="0.2"/>
    <row r="48380" hidden="1" x14ac:dyDescent="0.2"/>
    <row r="48381" hidden="1" x14ac:dyDescent="0.2"/>
    <row r="48382" hidden="1" x14ac:dyDescent="0.2"/>
    <row r="48383" hidden="1" x14ac:dyDescent="0.2"/>
    <row r="48384" hidden="1" x14ac:dyDescent="0.2"/>
    <row r="48385" hidden="1" x14ac:dyDescent="0.2"/>
    <row r="48386" hidden="1" x14ac:dyDescent="0.2"/>
    <row r="48387" hidden="1" x14ac:dyDescent="0.2"/>
    <row r="48388" hidden="1" x14ac:dyDescent="0.2"/>
    <row r="48389" hidden="1" x14ac:dyDescent="0.2"/>
    <row r="48390" hidden="1" x14ac:dyDescent="0.2"/>
    <row r="48391" hidden="1" x14ac:dyDescent="0.2"/>
    <row r="48392" hidden="1" x14ac:dyDescent="0.2"/>
    <row r="48393" hidden="1" x14ac:dyDescent="0.2"/>
    <row r="48394" hidden="1" x14ac:dyDescent="0.2"/>
    <row r="48395" hidden="1" x14ac:dyDescent="0.2"/>
    <row r="48396" hidden="1" x14ac:dyDescent="0.2"/>
    <row r="48397" hidden="1" x14ac:dyDescent="0.2"/>
    <row r="48398" hidden="1" x14ac:dyDescent="0.2"/>
    <row r="48399" hidden="1" x14ac:dyDescent="0.2"/>
    <row r="48400" hidden="1" x14ac:dyDescent="0.2"/>
    <row r="48401" hidden="1" x14ac:dyDescent="0.2"/>
    <row r="48402" hidden="1" x14ac:dyDescent="0.2"/>
    <row r="48403" hidden="1" x14ac:dyDescent="0.2"/>
    <row r="48404" hidden="1" x14ac:dyDescent="0.2"/>
    <row r="48405" hidden="1" x14ac:dyDescent="0.2"/>
    <row r="48406" hidden="1" x14ac:dyDescent="0.2"/>
    <row r="48407" hidden="1" x14ac:dyDescent="0.2"/>
    <row r="48408" hidden="1" x14ac:dyDescent="0.2"/>
    <row r="48409" hidden="1" x14ac:dyDescent="0.2"/>
    <row r="48410" hidden="1" x14ac:dyDescent="0.2"/>
    <row r="48411" hidden="1" x14ac:dyDescent="0.2"/>
    <row r="48412" hidden="1" x14ac:dyDescent="0.2"/>
    <row r="48413" hidden="1" x14ac:dyDescent="0.2"/>
    <row r="48414" hidden="1" x14ac:dyDescent="0.2"/>
    <row r="48415" hidden="1" x14ac:dyDescent="0.2"/>
    <row r="48416" hidden="1" x14ac:dyDescent="0.2"/>
    <row r="48417" hidden="1" x14ac:dyDescent="0.2"/>
    <row r="48418" hidden="1" x14ac:dyDescent="0.2"/>
    <row r="48419" hidden="1" x14ac:dyDescent="0.2"/>
    <row r="48420" hidden="1" x14ac:dyDescent="0.2"/>
    <row r="48421" hidden="1" x14ac:dyDescent="0.2"/>
    <row r="48422" hidden="1" x14ac:dyDescent="0.2"/>
    <row r="48423" hidden="1" x14ac:dyDescent="0.2"/>
    <row r="48424" hidden="1" x14ac:dyDescent="0.2"/>
    <row r="48425" hidden="1" x14ac:dyDescent="0.2"/>
    <row r="48426" hidden="1" x14ac:dyDescent="0.2"/>
    <row r="48427" hidden="1" x14ac:dyDescent="0.2"/>
    <row r="48428" hidden="1" x14ac:dyDescent="0.2"/>
    <row r="48429" hidden="1" x14ac:dyDescent="0.2"/>
    <row r="48430" hidden="1" x14ac:dyDescent="0.2"/>
    <row r="48431" hidden="1" x14ac:dyDescent="0.2"/>
    <row r="48432" hidden="1" x14ac:dyDescent="0.2"/>
    <row r="48433" hidden="1" x14ac:dyDescent="0.2"/>
    <row r="48434" hidden="1" x14ac:dyDescent="0.2"/>
    <row r="48435" hidden="1" x14ac:dyDescent="0.2"/>
    <row r="48436" hidden="1" x14ac:dyDescent="0.2"/>
    <row r="48437" hidden="1" x14ac:dyDescent="0.2"/>
    <row r="48438" hidden="1" x14ac:dyDescent="0.2"/>
    <row r="48439" hidden="1" x14ac:dyDescent="0.2"/>
    <row r="48440" hidden="1" x14ac:dyDescent="0.2"/>
    <row r="48441" hidden="1" x14ac:dyDescent="0.2"/>
    <row r="48442" hidden="1" x14ac:dyDescent="0.2"/>
    <row r="48443" hidden="1" x14ac:dyDescent="0.2"/>
    <row r="48444" hidden="1" x14ac:dyDescent="0.2"/>
    <row r="48445" hidden="1" x14ac:dyDescent="0.2"/>
    <row r="48446" hidden="1" x14ac:dyDescent="0.2"/>
    <row r="48447" hidden="1" x14ac:dyDescent="0.2"/>
    <row r="48448" hidden="1" x14ac:dyDescent="0.2"/>
    <row r="48449" hidden="1" x14ac:dyDescent="0.2"/>
    <row r="48450" hidden="1" x14ac:dyDescent="0.2"/>
    <row r="48451" hidden="1" x14ac:dyDescent="0.2"/>
    <row r="48452" hidden="1" x14ac:dyDescent="0.2"/>
    <row r="48453" hidden="1" x14ac:dyDescent="0.2"/>
    <row r="48454" hidden="1" x14ac:dyDescent="0.2"/>
    <row r="48455" hidden="1" x14ac:dyDescent="0.2"/>
    <row r="48456" hidden="1" x14ac:dyDescent="0.2"/>
    <row r="48457" hidden="1" x14ac:dyDescent="0.2"/>
    <row r="48458" hidden="1" x14ac:dyDescent="0.2"/>
    <row r="48459" hidden="1" x14ac:dyDescent="0.2"/>
    <row r="48460" hidden="1" x14ac:dyDescent="0.2"/>
    <row r="48461" hidden="1" x14ac:dyDescent="0.2"/>
    <row r="48462" hidden="1" x14ac:dyDescent="0.2"/>
    <row r="48463" hidden="1" x14ac:dyDescent="0.2"/>
    <row r="48464" hidden="1" x14ac:dyDescent="0.2"/>
    <row r="48465" hidden="1" x14ac:dyDescent="0.2"/>
    <row r="48466" hidden="1" x14ac:dyDescent="0.2"/>
    <row r="48467" hidden="1" x14ac:dyDescent="0.2"/>
    <row r="48468" hidden="1" x14ac:dyDescent="0.2"/>
    <row r="48469" hidden="1" x14ac:dyDescent="0.2"/>
    <row r="48470" hidden="1" x14ac:dyDescent="0.2"/>
    <row r="48471" hidden="1" x14ac:dyDescent="0.2"/>
    <row r="48472" hidden="1" x14ac:dyDescent="0.2"/>
    <row r="48473" hidden="1" x14ac:dyDescent="0.2"/>
    <row r="48474" hidden="1" x14ac:dyDescent="0.2"/>
    <row r="48475" hidden="1" x14ac:dyDescent="0.2"/>
    <row r="48476" hidden="1" x14ac:dyDescent="0.2"/>
    <row r="48477" hidden="1" x14ac:dyDescent="0.2"/>
    <row r="48478" hidden="1" x14ac:dyDescent="0.2"/>
    <row r="48479" hidden="1" x14ac:dyDescent="0.2"/>
    <row r="48480" hidden="1" x14ac:dyDescent="0.2"/>
    <row r="48481" hidden="1" x14ac:dyDescent="0.2"/>
    <row r="48482" hidden="1" x14ac:dyDescent="0.2"/>
    <row r="48483" hidden="1" x14ac:dyDescent="0.2"/>
    <row r="48484" hidden="1" x14ac:dyDescent="0.2"/>
    <row r="48485" hidden="1" x14ac:dyDescent="0.2"/>
    <row r="48486" hidden="1" x14ac:dyDescent="0.2"/>
    <row r="48487" hidden="1" x14ac:dyDescent="0.2"/>
    <row r="48488" hidden="1" x14ac:dyDescent="0.2"/>
    <row r="48489" hidden="1" x14ac:dyDescent="0.2"/>
    <row r="48490" hidden="1" x14ac:dyDescent="0.2"/>
    <row r="48491" hidden="1" x14ac:dyDescent="0.2"/>
    <row r="48492" hidden="1" x14ac:dyDescent="0.2"/>
    <row r="48493" hidden="1" x14ac:dyDescent="0.2"/>
    <row r="48494" hidden="1" x14ac:dyDescent="0.2"/>
    <row r="48495" hidden="1" x14ac:dyDescent="0.2"/>
    <row r="48496" hidden="1" x14ac:dyDescent="0.2"/>
    <row r="48497" hidden="1" x14ac:dyDescent="0.2"/>
    <row r="48498" hidden="1" x14ac:dyDescent="0.2"/>
    <row r="48499" hidden="1" x14ac:dyDescent="0.2"/>
    <row r="48500" hidden="1" x14ac:dyDescent="0.2"/>
    <row r="48501" hidden="1" x14ac:dyDescent="0.2"/>
    <row r="48502" hidden="1" x14ac:dyDescent="0.2"/>
    <row r="48503" hidden="1" x14ac:dyDescent="0.2"/>
    <row r="48504" hidden="1" x14ac:dyDescent="0.2"/>
    <row r="48505" hidden="1" x14ac:dyDescent="0.2"/>
    <row r="48506" hidden="1" x14ac:dyDescent="0.2"/>
    <row r="48507" hidden="1" x14ac:dyDescent="0.2"/>
    <row r="48508" hidden="1" x14ac:dyDescent="0.2"/>
    <row r="48509" hidden="1" x14ac:dyDescent="0.2"/>
    <row r="48510" hidden="1" x14ac:dyDescent="0.2"/>
    <row r="48511" hidden="1" x14ac:dyDescent="0.2"/>
    <row r="48512" hidden="1" x14ac:dyDescent="0.2"/>
    <row r="48513" hidden="1" x14ac:dyDescent="0.2"/>
    <row r="48514" hidden="1" x14ac:dyDescent="0.2"/>
    <row r="48515" hidden="1" x14ac:dyDescent="0.2"/>
    <row r="48516" hidden="1" x14ac:dyDescent="0.2"/>
    <row r="48517" hidden="1" x14ac:dyDescent="0.2"/>
    <row r="48518" hidden="1" x14ac:dyDescent="0.2"/>
    <row r="48519" hidden="1" x14ac:dyDescent="0.2"/>
    <row r="48520" hidden="1" x14ac:dyDescent="0.2"/>
    <row r="48521" hidden="1" x14ac:dyDescent="0.2"/>
    <row r="48522" hidden="1" x14ac:dyDescent="0.2"/>
    <row r="48523" hidden="1" x14ac:dyDescent="0.2"/>
    <row r="48524" hidden="1" x14ac:dyDescent="0.2"/>
    <row r="48525" hidden="1" x14ac:dyDescent="0.2"/>
    <row r="48526" hidden="1" x14ac:dyDescent="0.2"/>
    <row r="48527" hidden="1" x14ac:dyDescent="0.2"/>
    <row r="48528" hidden="1" x14ac:dyDescent="0.2"/>
    <row r="48529" hidden="1" x14ac:dyDescent="0.2"/>
    <row r="48530" hidden="1" x14ac:dyDescent="0.2"/>
    <row r="48531" hidden="1" x14ac:dyDescent="0.2"/>
    <row r="48532" hidden="1" x14ac:dyDescent="0.2"/>
    <row r="48533" hidden="1" x14ac:dyDescent="0.2"/>
    <row r="48534" hidden="1" x14ac:dyDescent="0.2"/>
    <row r="48535" hidden="1" x14ac:dyDescent="0.2"/>
    <row r="48536" hidden="1" x14ac:dyDescent="0.2"/>
    <row r="48537" hidden="1" x14ac:dyDescent="0.2"/>
    <row r="48538" hidden="1" x14ac:dyDescent="0.2"/>
    <row r="48539" hidden="1" x14ac:dyDescent="0.2"/>
    <row r="48540" hidden="1" x14ac:dyDescent="0.2"/>
    <row r="48541" hidden="1" x14ac:dyDescent="0.2"/>
    <row r="48542" hidden="1" x14ac:dyDescent="0.2"/>
    <row r="48543" hidden="1" x14ac:dyDescent="0.2"/>
    <row r="48544" hidden="1" x14ac:dyDescent="0.2"/>
    <row r="48545" hidden="1" x14ac:dyDescent="0.2"/>
    <row r="48546" hidden="1" x14ac:dyDescent="0.2"/>
    <row r="48547" hidden="1" x14ac:dyDescent="0.2"/>
    <row r="48548" hidden="1" x14ac:dyDescent="0.2"/>
    <row r="48549" hidden="1" x14ac:dyDescent="0.2"/>
    <row r="48550" hidden="1" x14ac:dyDescent="0.2"/>
    <row r="48551" hidden="1" x14ac:dyDescent="0.2"/>
    <row r="48552" hidden="1" x14ac:dyDescent="0.2"/>
    <row r="48553" hidden="1" x14ac:dyDescent="0.2"/>
    <row r="48554" hidden="1" x14ac:dyDescent="0.2"/>
    <row r="48555" hidden="1" x14ac:dyDescent="0.2"/>
    <row r="48556" hidden="1" x14ac:dyDescent="0.2"/>
    <row r="48557" hidden="1" x14ac:dyDescent="0.2"/>
    <row r="48558" hidden="1" x14ac:dyDescent="0.2"/>
    <row r="48559" hidden="1" x14ac:dyDescent="0.2"/>
    <row r="48560" hidden="1" x14ac:dyDescent="0.2"/>
    <row r="48561" hidden="1" x14ac:dyDescent="0.2"/>
    <row r="48562" hidden="1" x14ac:dyDescent="0.2"/>
    <row r="48563" hidden="1" x14ac:dyDescent="0.2"/>
    <row r="48564" hidden="1" x14ac:dyDescent="0.2"/>
    <row r="48565" hidden="1" x14ac:dyDescent="0.2"/>
    <row r="48566" hidden="1" x14ac:dyDescent="0.2"/>
    <row r="48567" hidden="1" x14ac:dyDescent="0.2"/>
    <row r="48568" hidden="1" x14ac:dyDescent="0.2"/>
    <row r="48569" hidden="1" x14ac:dyDescent="0.2"/>
    <row r="48570" hidden="1" x14ac:dyDescent="0.2"/>
    <row r="48571" hidden="1" x14ac:dyDescent="0.2"/>
    <row r="48572" hidden="1" x14ac:dyDescent="0.2"/>
    <row r="48573" hidden="1" x14ac:dyDescent="0.2"/>
    <row r="48574" hidden="1" x14ac:dyDescent="0.2"/>
    <row r="48575" hidden="1" x14ac:dyDescent="0.2"/>
    <row r="48576" hidden="1" x14ac:dyDescent="0.2"/>
    <row r="48577" hidden="1" x14ac:dyDescent="0.2"/>
    <row r="48578" hidden="1" x14ac:dyDescent="0.2"/>
    <row r="48579" hidden="1" x14ac:dyDescent="0.2"/>
    <row r="48580" hidden="1" x14ac:dyDescent="0.2"/>
    <row r="48581" hidden="1" x14ac:dyDescent="0.2"/>
    <row r="48582" hidden="1" x14ac:dyDescent="0.2"/>
    <row r="48583" hidden="1" x14ac:dyDescent="0.2"/>
    <row r="48584" hidden="1" x14ac:dyDescent="0.2"/>
    <row r="48585" hidden="1" x14ac:dyDescent="0.2"/>
    <row r="48586" hidden="1" x14ac:dyDescent="0.2"/>
    <row r="48587" hidden="1" x14ac:dyDescent="0.2"/>
    <row r="48588" hidden="1" x14ac:dyDescent="0.2"/>
    <row r="48589" hidden="1" x14ac:dyDescent="0.2"/>
    <row r="48590" hidden="1" x14ac:dyDescent="0.2"/>
    <row r="48591" hidden="1" x14ac:dyDescent="0.2"/>
    <row r="48592" hidden="1" x14ac:dyDescent="0.2"/>
    <row r="48593" hidden="1" x14ac:dyDescent="0.2"/>
    <row r="48594" hidden="1" x14ac:dyDescent="0.2"/>
    <row r="48595" hidden="1" x14ac:dyDescent="0.2"/>
    <row r="48596" hidden="1" x14ac:dyDescent="0.2"/>
    <row r="48597" hidden="1" x14ac:dyDescent="0.2"/>
    <row r="48598" hidden="1" x14ac:dyDescent="0.2"/>
    <row r="48599" hidden="1" x14ac:dyDescent="0.2"/>
    <row r="48600" hidden="1" x14ac:dyDescent="0.2"/>
    <row r="48601" hidden="1" x14ac:dyDescent="0.2"/>
    <row r="48602" hidden="1" x14ac:dyDescent="0.2"/>
    <row r="48603" hidden="1" x14ac:dyDescent="0.2"/>
    <row r="48604" hidden="1" x14ac:dyDescent="0.2"/>
    <row r="48605" hidden="1" x14ac:dyDescent="0.2"/>
    <row r="48606" hidden="1" x14ac:dyDescent="0.2"/>
    <row r="48607" hidden="1" x14ac:dyDescent="0.2"/>
    <row r="48608" hidden="1" x14ac:dyDescent="0.2"/>
    <row r="48609" hidden="1" x14ac:dyDescent="0.2"/>
    <row r="48610" hidden="1" x14ac:dyDescent="0.2"/>
    <row r="48611" hidden="1" x14ac:dyDescent="0.2"/>
    <row r="48612" hidden="1" x14ac:dyDescent="0.2"/>
    <row r="48613" hidden="1" x14ac:dyDescent="0.2"/>
    <row r="48614" hidden="1" x14ac:dyDescent="0.2"/>
    <row r="48615" hidden="1" x14ac:dyDescent="0.2"/>
    <row r="48616" hidden="1" x14ac:dyDescent="0.2"/>
    <row r="48617" hidden="1" x14ac:dyDescent="0.2"/>
    <row r="48618" hidden="1" x14ac:dyDescent="0.2"/>
    <row r="48619" hidden="1" x14ac:dyDescent="0.2"/>
    <row r="48620" hidden="1" x14ac:dyDescent="0.2"/>
    <row r="48621" hidden="1" x14ac:dyDescent="0.2"/>
    <row r="48622" hidden="1" x14ac:dyDescent="0.2"/>
    <row r="48623" hidden="1" x14ac:dyDescent="0.2"/>
    <row r="48624" hidden="1" x14ac:dyDescent="0.2"/>
    <row r="48625" hidden="1" x14ac:dyDescent="0.2"/>
    <row r="48626" hidden="1" x14ac:dyDescent="0.2"/>
    <row r="48627" hidden="1" x14ac:dyDescent="0.2"/>
    <row r="48628" hidden="1" x14ac:dyDescent="0.2"/>
    <row r="48629" hidden="1" x14ac:dyDescent="0.2"/>
    <row r="48630" hidden="1" x14ac:dyDescent="0.2"/>
    <row r="48631" hidden="1" x14ac:dyDescent="0.2"/>
    <row r="48632" hidden="1" x14ac:dyDescent="0.2"/>
    <row r="48633" hidden="1" x14ac:dyDescent="0.2"/>
    <row r="48634" hidden="1" x14ac:dyDescent="0.2"/>
    <row r="48635" hidden="1" x14ac:dyDescent="0.2"/>
    <row r="48636" hidden="1" x14ac:dyDescent="0.2"/>
    <row r="48637" hidden="1" x14ac:dyDescent="0.2"/>
    <row r="48638" hidden="1" x14ac:dyDescent="0.2"/>
    <row r="48639" hidden="1" x14ac:dyDescent="0.2"/>
    <row r="48640" hidden="1" x14ac:dyDescent="0.2"/>
    <row r="48641" hidden="1" x14ac:dyDescent="0.2"/>
    <row r="48642" hidden="1" x14ac:dyDescent="0.2"/>
    <row r="48643" hidden="1" x14ac:dyDescent="0.2"/>
    <row r="48644" hidden="1" x14ac:dyDescent="0.2"/>
    <row r="48645" hidden="1" x14ac:dyDescent="0.2"/>
    <row r="48646" hidden="1" x14ac:dyDescent="0.2"/>
    <row r="48647" hidden="1" x14ac:dyDescent="0.2"/>
    <row r="48648" hidden="1" x14ac:dyDescent="0.2"/>
    <row r="48649" hidden="1" x14ac:dyDescent="0.2"/>
    <row r="48650" hidden="1" x14ac:dyDescent="0.2"/>
    <row r="48651" hidden="1" x14ac:dyDescent="0.2"/>
    <row r="48652" hidden="1" x14ac:dyDescent="0.2"/>
    <row r="48653" hidden="1" x14ac:dyDescent="0.2"/>
    <row r="48654" hidden="1" x14ac:dyDescent="0.2"/>
    <row r="48655" hidden="1" x14ac:dyDescent="0.2"/>
    <row r="48656" hidden="1" x14ac:dyDescent="0.2"/>
    <row r="48657" hidden="1" x14ac:dyDescent="0.2"/>
    <row r="48658" hidden="1" x14ac:dyDescent="0.2"/>
    <row r="48659" hidden="1" x14ac:dyDescent="0.2"/>
    <row r="48660" hidden="1" x14ac:dyDescent="0.2"/>
    <row r="48661" hidden="1" x14ac:dyDescent="0.2"/>
    <row r="48662" hidden="1" x14ac:dyDescent="0.2"/>
    <row r="48663" hidden="1" x14ac:dyDescent="0.2"/>
    <row r="48664" hidden="1" x14ac:dyDescent="0.2"/>
    <row r="48665" hidden="1" x14ac:dyDescent="0.2"/>
    <row r="48666" hidden="1" x14ac:dyDescent="0.2"/>
    <row r="48667" hidden="1" x14ac:dyDescent="0.2"/>
    <row r="48668" hidden="1" x14ac:dyDescent="0.2"/>
    <row r="48669" hidden="1" x14ac:dyDescent="0.2"/>
    <row r="48670" hidden="1" x14ac:dyDescent="0.2"/>
    <row r="48671" hidden="1" x14ac:dyDescent="0.2"/>
    <row r="48672" hidden="1" x14ac:dyDescent="0.2"/>
    <row r="48673" hidden="1" x14ac:dyDescent="0.2"/>
    <row r="48674" hidden="1" x14ac:dyDescent="0.2"/>
    <row r="48675" hidden="1" x14ac:dyDescent="0.2"/>
    <row r="48676" hidden="1" x14ac:dyDescent="0.2"/>
    <row r="48677" hidden="1" x14ac:dyDescent="0.2"/>
    <row r="48678" hidden="1" x14ac:dyDescent="0.2"/>
    <row r="48679" hidden="1" x14ac:dyDescent="0.2"/>
    <row r="48680" hidden="1" x14ac:dyDescent="0.2"/>
    <row r="48681" hidden="1" x14ac:dyDescent="0.2"/>
    <row r="48682" hidden="1" x14ac:dyDescent="0.2"/>
    <row r="48683" hidden="1" x14ac:dyDescent="0.2"/>
    <row r="48684" hidden="1" x14ac:dyDescent="0.2"/>
    <row r="48685" hidden="1" x14ac:dyDescent="0.2"/>
    <row r="48686" hidden="1" x14ac:dyDescent="0.2"/>
    <row r="48687" hidden="1" x14ac:dyDescent="0.2"/>
    <row r="48688" hidden="1" x14ac:dyDescent="0.2"/>
    <row r="48689" hidden="1" x14ac:dyDescent="0.2"/>
    <row r="48690" hidden="1" x14ac:dyDescent="0.2"/>
    <row r="48691" hidden="1" x14ac:dyDescent="0.2"/>
    <row r="48692" hidden="1" x14ac:dyDescent="0.2"/>
    <row r="48693" hidden="1" x14ac:dyDescent="0.2"/>
    <row r="48694" hidden="1" x14ac:dyDescent="0.2"/>
    <row r="48695" hidden="1" x14ac:dyDescent="0.2"/>
    <row r="48696" hidden="1" x14ac:dyDescent="0.2"/>
    <row r="48697" hidden="1" x14ac:dyDescent="0.2"/>
    <row r="48698" hidden="1" x14ac:dyDescent="0.2"/>
    <row r="48699" hidden="1" x14ac:dyDescent="0.2"/>
    <row r="48700" hidden="1" x14ac:dyDescent="0.2"/>
    <row r="48701" hidden="1" x14ac:dyDescent="0.2"/>
    <row r="48702" hidden="1" x14ac:dyDescent="0.2"/>
    <row r="48703" hidden="1" x14ac:dyDescent="0.2"/>
    <row r="48704" hidden="1" x14ac:dyDescent="0.2"/>
    <row r="48705" hidden="1" x14ac:dyDescent="0.2"/>
    <row r="48706" hidden="1" x14ac:dyDescent="0.2"/>
    <row r="48707" hidden="1" x14ac:dyDescent="0.2"/>
    <row r="48708" hidden="1" x14ac:dyDescent="0.2"/>
    <row r="48709" hidden="1" x14ac:dyDescent="0.2"/>
    <row r="48710" hidden="1" x14ac:dyDescent="0.2"/>
    <row r="48711" hidden="1" x14ac:dyDescent="0.2"/>
    <row r="48712" hidden="1" x14ac:dyDescent="0.2"/>
    <row r="48713" hidden="1" x14ac:dyDescent="0.2"/>
    <row r="48714" hidden="1" x14ac:dyDescent="0.2"/>
    <row r="48715" hidden="1" x14ac:dyDescent="0.2"/>
    <row r="48716" hidden="1" x14ac:dyDescent="0.2"/>
    <row r="48717" hidden="1" x14ac:dyDescent="0.2"/>
    <row r="48718" hidden="1" x14ac:dyDescent="0.2"/>
    <row r="48719" hidden="1" x14ac:dyDescent="0.2"/>
    <row r="48720" hidden="1" x14ac:dyDescent="0.2"/>
    <row r="48721" hidden="1" x14ac:dyDescent="0.2"/>
    <row r="48722" hidden="1" x14ac:dyDescent="0.2"/>
    <row r="48723" hidden="1" x14ac:dyDescent="0.2"/>
    <row r="48724" hidden="1" x14ac:dyDescent="0.2"/>
    <row r="48725" hidden="1" x14ac:dyDescent="0.2"/>
    <row r="48726" hidden="1" x14ac:dyDescent="0.2"/>
    <row r="48727" hidden="1" x14ac:dyDescent="0.2"/>
    <row r="48728" hidden="1" x14ac:dyDescent="0.2"/>
    <row r="48729" hidden="1" x14ac:dyDescent="0.2"/>
    <row r="48730" hidden="1" x14ac:dyDescent="0.2"/>
    <row r="48731" hidden="1" x14ac:dyDescent="0.2"/>
    <row r="48732" hidden="1" x14ac:dyDescent="0.2"/>
    <row r="48733" hidden="1" x14ac:dyDescent="0.2"/>
    <row r="48734" hidden="1" x14ac:dyDescent="0.2"/>
    <row r="48735" hidden="1" x14ac:dyDescent="0.2"/>
    <row r="48736" hidden="1" x14ac:dyDescent="0.2"/>
    <row r="48737" hidden="1" x14ac:dyDescent="0.2"/>
    <row r="48738" hidden="1" x14ac:dyDescent="0.2"/>
    <row r="48739" hidden="1" x14ac:dyDescent="0.2"/>
    <row r="48740" hidden="1" x14ac:dyDescent="0.2"/>
    <row r="48741" hidden="1" x14ac:dyDescent="0.2"/>
    <row r="48742" hidden="1" x14ac:dyDescent="0.2"/>
    <row r="48743" hidden="1" x14ac:dyDescent="0.2"/>
    <row r="48744" hidden="1" x14ac:dyDescent="0.2"/>
    <row r="48745" hidden="1" x14ac:dyDescent="0.2"/>
    <row r="48746" hidden="1" x14ac:dyDescent="0.2"/>
    <row r="48747" hidden="1" x14ac:dyDescent="0.2"/>
    <row r="48748" hidden="1" x14ac:dyDescent="0.2"/>
    <row r="48749" hidden="1" x14ac:dyDescent="0.2"/>
    <row r="48750" hidden="1" x14ac:dyDescent="0.2"/>
    <row r="48751" hidden="1" x14ac:dyDescent="0.2"/>
    <row r="48752" hidden="1" x14ac:dyDescent="0.2"/>
    <row r="48753" hidden="1" x14ac:dyDescent="0.2"/>
    <row r="48754" hidden="1" x14ac:dyDescent="0.2"/>
    <row r="48755" hidden="1" x14ac:dyDescent="0.2"/>
    <row r="48756" hidden="1" x14ac:dyDescent="0.2"/>
    <row r="48757" hidden="1" x14ac:dyDescent="0.2"/>
    <row r="48758" hidden="1" x14ac:dyDescent="0.2"/>
    <row r="48759" hidden="1" x14ac:dyDescent="0.2"/>
    <row r="48760" hidden="1" x14ac:dyDescent="0.2"/>
    <row r="48761" hidden="1" x14ac:dyDescent="0.2"/>
    <row r="48762" hidden="1" x14ac:dyDescent="0.2"/>
    <row r="48763" hidden="1" x14ac:dyDescent="0.2"/>
    <row r="48764" hidden="1" x14ac:dyDescent="0.2"/>
    <row r="48765" hidden="1" x14ac:dyDescent="0.2"/>
    <row r="48766" hidden="1" x14ac:dyDescent="0.2"/>
    <row r="48767" hidden="1" x14ac:dyDescent="0.2"/>
    <row r="48768" hidden="1" x14ac:dyDescent="0.2"/>
    <row r="48769" hidden="1" x14ac:dyDescent="0.2"/>
    <row r="48770" hidden="1" x14ac:dyDescent="0.2"/>
    <row r="48771" hidden="1" x14ac:dyDescent="0.2"/>
    <row r="48772" hidden="1" x14ac:dyDescent="0.2"/>
    <row r="48773" hidden="1" x14ac:dyDescent="0.2"/>
    <row r="48774" hidden="1" x14ac:dyDescent="0.2"/>
    <row r="48775" hidden="1" x14ac:dyDescent="0.2"/>
    <row r="48776" hidden="1" x14ac:dyDescent="0.2"/>
    <row r="48777" hidden="1" x14ac:dyDescent="0.2"/>
    <row r="48778" hidden="1" x14ac:dyDescent="0.2"/>
    <row r="48779" hidden="1" x14ac:dyDescent="0.2"/>
    <row r="48780" hidden="1" x14ac:dyDescent="0.2"/>
    <row r="48781" hidden="1" x14ac:dyDescent="0.2"/>
    <row r="48782" hidden="1" x14ac:dyDescent="0.2"/>
    <row r="48783" hidden="1" x14ac:dyDescent="0.2"/>
    <row r="48784" hidden="1" x14ac:dyDescent="0.2"/>
    <row r="48785" hidden="1" x14ac:dyDescent="0.2"/>
    <row r="48786" hidden="1" x14ac:dyDescent="0.2"/>
    <row r="48787" hidden="1" x14ac:dyDescent="0.2"/>
    <row r="48788" hidden="1" x14ac:dyDescent="0.2"/>
    <row r="48789" hidden="1" x14ac:dyDescent="0.2"/>
    <row r="48790" hidden="1" x14ac:dyDescent="0.2"/>
    <row r="48791" hidden="1" x14ac:dyDescent="0.2"/>
    <row r="48792" hidden="1" x14ac:dyDescent="0.2"/>
    <row r="48793" hidden="1" x14ac:dyDescent="0.2"/>
    <row r="48794" hidden="1" x14ac:dyDescent="0.2"/>
    <row r="48795" hidden="1" x14ac:dyDescent="0.2"/>
    <row r="48796" hidden="1" x14ac:dyDescent="0.2"/>
    <row r="48797" hidden="1" x14ac:dyDescent="0.2"/>
    <row r="48798" hidden="1" x14ac:dyDescent="0.2"/>
    <row r="48799" hidden="1" x14ac:dyDescent="0.2"/>
    <row r="48800" hidden="1" x14ac:dyDescent="0.2"/>
    <row r="48801" hidden="1" x14ac:dyDescent="0.2"/>
    <row r="48802" hidden="1" x14ac:dyDescent="0.2"/>
    <row r="48803" hidden="1" x14ac:dyDescent="0.2"/>
    <row r="48804" hidden="1" x14ac:dyDescent="0.2"/>
    <row r="48805" hidden="1" x14ac:dyDescent="0.2"/>
    <row r="48806" hidden="1" x14ac:dyDescent="0.2"/>
    <row r="48807" hidden="1" x14ac:dyDescent="0.2"/>
    <row r="48808" hidden="1" x14ac:dyDescent="0.2"/>
    <row r="48809" hidden="1" x14ac:dyDescent="0.2"/>
    <row r="48810" hidden="1" x14ac:dyDescent="0.2"/>
    <row r="48811" hidden="1" x14ac:dyDescent="0.2"/>
    <row r="48812" hidden="1" x14ac:dyDescent="0.2"/>
    <row r="48813" hidden="1" x14ac:dyDescent="0.2"/>
    <row r="48814" hidden="1" x14ac:dyDescent="0.2"/>
    <row r="48815" hidden="1" x14ac:dyDescent="0.2"/>
    <row r="48816" hidden="1" x14ac:dyDescent="0.2"/>
    <row r="48817" hidden="1" x14ac:dyDescent="0.2"/>
    <row r="48818" hidden="1" x14ac:dyDescent="0.2"/>
    <row r="48819" hidden="1" x14ac:dyDescent="0.2"/>
    <row r="48820" hidden="1" x14ac:dyDescent="0.2"/>
    <row r="48821" hidden="1" x14ac:dyDescent="0.2"/>
    <row r="48822" hidden="1" x14ac:dyDescent="0.2"/>
    <row r="48823" hidden="1" x14ac:dyDescent="0.2"/>
    <row r="48824" hidden="1" x14ac:dyDescent="0.2"/>
    <row r="48825" hidden="1" x14ac:dyDescent="0.2"/>
    <row r="48826" hidden="1" x14ac:dyDescent="0.2"/>
    <row r="48827" hidden="1" x14ac:dyDescent="0.2"/>
    <row r="48828" hidden="1" x14ac:dyDescent="0.2"/>
    <row r="48829" hidden="1" x14ac:dyDescent="0.2"/>
    <row r="48830" hidden="1" x14ac:dyDescent="0.2"/>
    <row r="48831" hidden="1" x14ac:dyDescent="0.2"/>
    <row r="48832" hidden="1" x14ac:dyDescent="0.2"/>
    <row r="48833" hidden="1" x14ac:dyDescent="0.2"/>
    <row r="48834" hidden="1" x14ac:dyDescent="0.2"/>
    <row r="48835" hidden="1" x14ac:dyDescent="0.2"/>
    <row r="48836" hidden="1" x14ac:dyDescent="0.2"/>
    <row r="48837" hidden="1" x14ac:dyDescent="0.2"/>
    <row r="48838" hidden="1" x14ac:dyDescent="0.2"/>
    <row r="48839" hidden="1" x14ac:dyDescent="0.2"/>
    <row r="48840" hidden="1" x14ac:dyDescent="0.2"/>
    <row r="48841" hidden="1" x14ac:dyDescent="0.2"/>
    <row r="48842" hidden="1" x14ac:dyDescent="0.2"/>
    <row r="48843" hidden="1" x14ac:dyDescent="0.2"/>
    <row r="48844" hidden="1" x14ac:dyDescent="0.2"/>
    <row r="48845" hidden="1" x14ac:dyDescent="0.2"/>
    <row r="48846" hidden="1" x14ac:dyDescent="0.2"/>
    <row r="48847" hidden="1" x14ac:dyDescent="0.2"/>
    <row r="48848" hidden="1" x14ac:dyDescent="0.2"/>
    <row r="48849" hidden="1" x14ac:dyDescent="0.2"/>
    <row r="48850" hidden="1" x14ac:dyDescent="0.2"/>
    <row r="48851" hidden="1" x14ac:dyDescent="0.2"/>
    <row r="48852" hidden="1" x14ac:dyDescent="0.2"/>
    <row r="48853" hidden="1" x14ac:dyDescent="0.2"/>
    <row r="48854" hidden="1" x14ac:dyDescent="0.2"/>
    <row r="48855" hidden="1" x14ac:dyDescent="0.2"/>
    <row r="48856" hidden="1" x14ac:dyDescent="0.2"/>
    <row r="48857" hidden="1" x14ac:dyDescent="0.2"/>
    <row r="48858" hidden="1" x14ac:dyDescent="0.2"/>
    <row r="48859" hidden="1" x14ac:dyDescent="0.2"/>
    <row r="48860" hidden="1" x14ac:dyDescent="0.2"/>
    <row r="48861" hidden="1" x14ac:dyDescent="0.2"/>
    <row r="48862" hidden="1" x14ac:dyDescent="0.2"/>
    <row r="48863" hidden="1" x14ac:dyDescent="0.2"/>
    <row r="48864" hidden="1" x14ac:dyDescent="0.2"/>
    <row r="48865" hidden="1" x14ac:dyDescent="0.2"/>
    <row r="48866" hidden="1" x14ac:dyDescent="0.2"/>
    <row r="48867" hidden="1" x14ac:dyDescent="0.2"/>
    <row r="48868" hidden="1" x14ac:dyDescent="0.2"/>
    <row r="48869" hidden="1" x14ac:dyDescent="0.2"/>
    <row r="48870" hidden="1" x14ac:dyDescent="0.2"/>
    <row r="48871" hidden="1" x14ac:dyDescent="0.2"/>
    <row r="48872" hidden="1" x14ac:dyDescent="0.2"/>
    <row r="48873" hidden="1" x14ac:dyDescent="0.2"/>
    <row r="48874" hidden="1" x14ac:dyDescent="0.2"/>
    <row r="48875" hidden="1" x14ac:dyDescent="0.2"/>
    <row r="48876" hidden="1" x14ac:dyDescent="0.2"/>
    <row r="48877" hidden="1" x14ac:dyDescent="0.2"/>
    <row r="48878" hidden="1" x14ac:dyDescent="0.2"/>
    <row r="48879" hidden="1" x14ac:dyDescent="0.2"/>
    <row r="48880" hidden="1" x14ac:dyDescent="0.2"/>
    <row r="48881" hidden="1" x14ac:dyDescent="0.2"/>
    <row r="48882" hidden="1" x14ac:dyDescent="0.2"/>
    <row r="48883" hidden="1" x14ac:dyDescent="0.2"/>
    <row r="48884" hidden="1" x14ac:dyDescent="0.2"/>
    <row r="48885" hidden="1" x14ac:dyDescent="0.2"/>
    <row r="48886" hidden="1" x14ac:dyDescent="0.2"/>
    <row r="48887" hidden="1" x14ac:dyDescent="0.2"/>
    <row r="48888" hidden="1" x14ac:dyDescent="0.2"/>
    <row r="48889" hidden="1" x14ac:dyDescent="0.2"/>
    <row r="48890" hidden="1" x14ac:dyDescent="0.2"/>
    <row r="48891" hidden="1" x14ac:dyDescent="0.2"/>
    <row r="48892" hidden="1" x14ac:dyDescent="0.2"/>
    <row r="48893" hidden="1" x14ac:dyDescent="0.2"/>
    <row r="48894" hidden="1" x14ac:dyDescent="0.2"/>
    <row r="48895" hidden="1" x14ac:dyDescent="0.2"/>
    <row r="48896" hidden="1" x14ac:dyDescent="0.2"/>
    <row r="48897" hidden="1" x14ac:dyDescent="0.2"/>
    <row r="48898" hidden="1" x14ac:dyDescent="0.2"/>
    <row r="48899" hidden="1" x14ac:dyDescent="0.2"/>
    <row r="48900" hidden="1" x14ac:dyDescent="0.2"/>
    <row r="48901" hidden="1" x14ac:dyDescent="0.2"/>
    <row r="48902" hidden="1" x14ac:dyDescent="0.2"/>
    <row r="48903" hidden="1" x14ac:dyDescent="0.2"/>
    <row r="48904" hidden="1" x14ac:dyDescent="0.2"/>
    <row r="48905" hidden="1" x14ac:dyDescent="0.2"/>
    <row r="48906" hidden="1" x14ac:dyDescent="0.2"/>
    <row r="48907" hidden="1" x14ac:dyDescent="0.2"/>
    <row r="48908" hidden="1" x14ac:dyDescent="0.2"/>
    <row r="48909" hidden="1" x14ac:dyDescent="0.2"/>
    <row r="48910" hidden="1" x14ac:dyDescent="0.2"/>
    <row r="48911" hidden="1" x14ac:dyDescent="0.2"/>
    <row r="48912" hidden="1" x14ac:dyDescent="0.2"/>
    <row r="48913" hidden="1" x14ac:dyDescent="0.2"/>
    <row r="48914" hidden="1" x14ac:dyDescent="0.2"/>
    <row r="48915" hidden="1" x14ac:dyDescent="0.2"/>
    <row r="48916" hidden="1" x14ac:dyDescent="0.2"/>
    <row r="48917" hidden="1" x14ac:dyDescent="0.2"/>
    <row r="48918" hidden="1" x14ac:dyDescent="0.2"/>
    <row r="48919" hidden="1" x14ac:dyDescent="0.2"/>
    <row r="48920" hidden="1" x14ac:dyDescent="0.2"/>
    <row r="48921" hidden="1" x14ac:dyDescent="0.2"/>
    <row r="48922" hidden="1" x14ac:dyDescent="0.2"/>
    <row r="48923" hidden="1" x14ac:dyDescent="0.2"/>
    <row r="48924" hidden="1" x14ac:dyDescent="0.2"/>
    <row r="48925" hidden="1" x14ac:dyDescent="0.2"/>
    <row r="48926" hidden="1" x14ac:dyDescent="0.2"/>
    <row r="48927" hidden="1" x14ac:dyDescent="0.2"/>
    <row r="48928" hidden="1" x14ac:dyDescent="0.2"/>
    <row r="48929" hidden="1" x14ac:dyDescent="0.2"/>
    <row r="48930" hidden="1" x14ac:dyDescent="0.2"/>
    <row r="48931" hidden="1" x14ac:dyDescent="0.2"/>
    <row r="48932" hidden="1" x14ac:dyDescent="0.2"/>
    <row r="48933" hidden="1" x14ac:dyDescent="0.2"/>
    <row r="48934" hidden="1" x14ac:dyDescent="0.2"/>
    <row r="48935" hidden="1" x14ac:dyDescent="0.2"/>
    <row r="48936" hidden="1" x14ac:dyDescent="0.2"/>
    <row r="48937" hidden="1" x14ac:dyDescent="0.2"/>
    <row r="48938" hidden="1" x14ac:dyDescent="0.2"/>
    <row r="48939" hidden="1" x14ac:dyDescent="0.2"/>
    <row r="48940" hidden="1" x14ac:dyDescent="0.2"/>
    <row r="48941" hidden="1" x14ac:dyDescent="0.2"/>
    <row r="48942" hidden="1" x14ac:dyDescent="0.2"/>
    <row r="48943" hidden="1" x14ac:dyDescent="0.2"/>
    <row r="48944" hidden="1" x14ac:dyDescent="0.2"/>
    <row r="48945" hidden="1" x14ac:dyDescent="0.2"/>
    <row r="48946" hidden="1" x14ac:dyDescent="0.2"/>
    <row r="48947" hidden="1" x14ac:dyDescent="0.2"/>
    <row r="48948" hidden="1" x14ac:dyDescent="0.2"/>
    <row r="48949" hidden="1" x14ac:dyDescent="0.2"/>
    <row r="48950" hidden="1" x14ac:dyDescent="0.2"/>
    <row r="48951" hidden="1" x14ac:dyDescent="0.2"/>
    <row r="48952" hidden="1" x14ac:dyDescent="0.2"/>
    <row r="48953" hidden="1" x14ac:dyDescent="0.2"/>
    <row r="48954" hidden="1" x14ac:dyDescent="0.2"/>
    <row r="48955" hidden="1" x14ac:dyDescent="0.2"/>
    <row r="48956" hidden="1" x14ac:dyDescent="0.2"/>
    <row r="48957" hidden="1" x14ac:dyDescent="0.2"/>
    <row r="48958" hidden="1" x14ac:dyDescent="0.2"/>
    <row r="48959" hidden="1" x14ac:dyDescent="0.2"/>
    <row r="48960" hidden="1" x14ac:dyDescent="0.2"/>
    <row r="48961" hidden="1" x14ac:dyDescent="0.2"/>
    <row r="48962" hidden="1" x14ac:dyDescent="0.2"/>
    <row r="48963" hidden="1" x14ac:dyDescent="0.2"/>
    <row r="48964" hidden="1" x14ac:dyDescent="0.2"/>
    <row r="48965" hidden="1" x14ac:dyDescent="0.2"/>
    <row r="48966" hidden="1" x14ac:dyDescent="0.2"/>
    <row r="48967" hidden="1" x14ac:dyDescent="0.2"/>
    <row r="48968" hidden="1" x14ac:dyDescent="0.2"/>
    <row r="48969" hidden="1" x14ac:dyDescent="0.2"/>
    <row r="48970" hidden="1" x14ac:dyDescent="0.2"/>
    <row r="48971" hidden="1" x14ac:dyDescent="0.2"/>
    <row r="48972" hidden="1" x14ac:dyDescent="0.2"/>
    <row r="48973" hidden="1" x14ac:dyDescent="0.2"/>
    <row r="48974" hidden="1" x14ac:dyDescent="0.2"/>
    <row r="48975" hidden="1" x14ac:dyDescent="0.2"/>
    <row r="48976" hidden="1" x14ac:dyDescent="0.2"/>
    <row r="48977" hidden="1" x14ac:dyDescent="0.2"/>
    <row r="48978" hidden="1" x14ac:dyDescent="0.2"/>
    <row r="48979" hidden="1" x14ac:dyDescent="0.2"/>
    <row r="48980" hidden="1" x14ac:dyDescent="0.2"/>
    <row r="48981" hidden="1" x14ac:dyDescent="0.2"/>
    <row r="48982" hidden="1" x14ac:dyDescent="0.2"/>
    <row r="48983" hidden="1" x14ac:dyDescent="0.2"/>
    <row r="48984" hidden="1" x14ac:dyDescent="0.2"/>
    <row r="48985" hidden="1" x14ac:dyDescent="0.2"/>
    <row r="48986" hidden="1" x14ac:dyDescent="0.2"/>
    <row r="48987" hidden="1" x14ac:dyDescent="0.2"/>
    <row r="48988" hidden="1" x14ac:dyDescent="0.2"/>
    <row r="48989" hidden="1" x14ac:dyDescent="0.2"/>
    <row r="48990" hidden="1" x14ac:dyDescent="0.2"/>
    <row r="48991" hidden="1" x14ac:dyDescent="0.2"/>
    <row r="48992" hidden="1" x14ac:dyDescent="0.2"/>
    <row r="48993" hidden="1" x14ac:dyDescent="0.2"/>
    <row r="48994" hidden="1" x14ac:dyDescent="0.2"/>
    <row r="48995" hidden="1" x14ac:dyDescent="0.2"/>
    <row r="48996" hidden="1" x14ac:dyDescent="0.2"/>
    <row r="48997" hidden="1" x14ac:dyDescent="0.2"/>
    <row r="48998" hidden="1" x14ac:dyDescent="0.2"/>
    <row r="48999" hidden="1" x14ac:dyDescent="0.2"/>
    <row r="49000" hidden="1" x14ac:dyDescent="0.2"/>
    <row r="49001" hidden="1" x14ac:dyDescent="0.2"/>
    <row r="49002" hidden="1" x14ac:dyDescent="0.2"/>
    <row r="49003" hidden="1" x14ac:dyDescent="0.2"/>
    <row r="49004" hidden="1" x14ac:dyDescent="0.2"/>
    <row r="49005" hidden="1" x14ac:dyDescent="0.2"/>
    <row r="49006" hidden="1" x14ac:dyDescent="0.2"/>
    <row r="49007" hidden="1" x14ac:dyDescent="0.2"/>
    <row r="49008" hidden="1" x14ac:dyDescent="0.2"/>
    <row r="49009" hidden="1" x14ac:dyDescent="0.2"/>
    <row r="49010" hidden="1" x14ac:dyDescent="0.2"/>
    <row r="49011" hidden="1" x14ac:dyDescent="0.2"/>
    <row r="49012" hidden="1" x14ac:dyDescent="0.2"/>
    <row r="49013" hidden="1" x14ac:dyDescent="0.2"/>
    <row r="49014" hidden="1" x14ac:dyDescent="0.2"/>
    <row r="49015" hidden="1" x14ac:dyDescent="0.2"/>
    <row r="49016" hidden="1" x14ac:dyDescent="0.2"/>
    <row r="49017" hidden="1" x14ac:dyDescent="0.2"/>
    <row r="49018" hidden="1" x14ac:dyDescent="0.2"/>
    <row r="49019" hidden="1" x14ac:dyDescent="0.2"/>
    <row r="49020" hidden="1" x14ac:dyDescent="0.2"/>
    <row r="49021" hidden="1" x14ac:dyDescent="0.2"/>
    <row r="49022" hidden="1" x14ac:dyDescent="0.2"/>
    <row r="49023" hidden="1" x14ac:dyDescent="0.2"/>
    <row r="49024" hidden="1" x14ac:dyDescent="0.2"/>
    <row r="49025" hidden="1" x14ac:dyDescent="0.2"/>
    <row r="49026" hidden="1" x14ac:dyDescent="0.2"/>
    <row r="49027" hidden="1" x14ac:dyDescent="0.2"/>
    <row r="49028" hidden="1" x14ac:dyDescent="0.2"/>
    <row r="49029" hidden="1" x14ac:dyDescent="0.2"/>
    <row r="49030" hidden="1" x14ac:dyDescent="0.2"/>
    <row r="49031" hidden="1" x14ac:dyDescent="0.2"/>
    <row r="49032" hidden="1" x14ac:dyDescent="0.2"/>
    <row r="49033" hidden="1" x14ac:dyDescent="0.2"/>
    <row r="49034" hidden="1" x14ac:dyDescent="0.2"/>
    <row r="49035" hidden="1" x14ac:dyDescent="0.2"/>
    <row r="49036" hidden="1" x14ac:dyDescent="0.2"/>
    <row r="49037" hidden="1" x14ac:dyDescent="0.2"/>
    <row r="49038" hidden="1" x14ac:dyDescent="0.2"/>
    <row r="49039" hidden="1" x14ac:dyDescent="0.2"/>
    <row r="49040" hidden="1" x14ac:dyDescent="0.2"/>
    <row r="49041" hidden="1" x14ac:dyDescent="0.2"/>
    <row r="49042" hidden="1" x14ac:dyDescent="0.2"/>
    <row r="49043" hidden="1" x14ac:dyDescent="0.2"/>
    <row r="49044" hidden="1" x14ac:dyDescent="0.2"/>
    <row r="49045" hidden="1" x14ac:dyDescent="0.2"/>
    <row r="49046" hidden="1" x14ac:dyDescent="0.2"/>
    <row r="49047" hidden="1" x14ac:dyDescent="0.2"/>
    <row r="49048" hidden="1" x14ac:dyDescent="0.2"/>
    <row r="49049" hidden="1" x14ac:dyDescent="0.2"/>
    <row r="49050" hidden="1" x14ac:dyDescent="0.2"/>
    <row r="49051" hidden="1" x14ac:dyDescent="0.2"/>
    <row r="49052" hidden="1" x14ac:dyDescent="0.2"/>
    <row r="49053" hidden="1" x14ac:dyDescent="0.2"/>
    <row r="49054" hidden="1" x14ac:dyDescent="0.2"/>
    <row r="49055" hidden="1" x14ac:dyDescent="0.2"/>
    <row r="49056" hidden="1" x14ac:dyDescent="0.2"/>
    <row r="49057" hidden="1" x14ac:dyDescent="0.2"/>
    <row r="49058" hidden="1" x14ac:dyDescent="0.2"/>
    <row r="49059" hidden="1" x14ac:dyDescent="0.2"/>
    <row r="49060" hidden="1" x14ac:dyDescent="0.2"/>
    <row r="49061" hidden="1" x14ac:dyDescent="0.2"/>
    <row r="49062" hidden="1" x14ac:dyDescent="0.2"/>
    <row r="49063" hidden="1" x14ac:dyDescent="0.2"/>
    <row r="49064" hidden="1" x14ac:dyDescent="0.2"/>
    <row r="49065" hidden="1" x14ac:dyDescent="0.2"/>
    <row r="49066" hidden="1" x14ac:dyDescent="0.2"/>
    <row r="49067" hidden="1" x14ac:dyDescent="0.2"/>
    <row r="49068" hidden="1" x14ac:dyDescent="0.2"/>
    <row r="49069" hidden="1" x14ac:dyDescent="0.2"/>
    <row r="49070" hidden="1" x14ac:dyDescent="0.2"/>
    <row r="49071" hidden="1" x14ac:dyDescent="0.2"/>
    <row r="49072" hidden="1" x14ac:dyDescent="0.2"/>
    <row r="49073" hidden="1" x14ac:dyDescent="0.2"/>
    <row r="49074" hidden="1" x14ac:dyDescent="0.2"/>
    <row r="49075" hidden="1" x14ac:dyDescent="0.2"/>
    <row r="49076" hidden="1" x14ac:dyDescent="0.2"/>
    <row r="49077" hidden="1" x14ac:dyDescent="0.2"/>
    <row r="49078" hidden="1" x14ac:dyDescent="0.2"/>
    <row r="49079" hidden="1" x14ac:dyDescent="0.2"/>
    <row r="49080" hidden="1" x14ac:dyDescent="0.2"/>
    <row r="49081" hidden="1" x14ac:dyDescent="0.2"/>
    <row r="49082" hidden="1" x14ac:dyDescent="0.2"/>
    <row r="49083" hidden="1" x14ac:dyDescent="0.2"/>
    <row r="49084" hidden="1" x14ac:dyDescent="0.2"/>
    <row r="49085" hidden="1" x14ac:dyDescent="0.2"/>
    <row r="49086" hidden="1" x14ac:dyDescent="0.2"/>
    <row r="49087" hidden="1" x14ac:dyDescent="0.2"/>
    <row r="49088" hidden="1" x14ac:dyDescent="0.2"/>
    <row r="49089" hidden="1" x14ac:dyDescent="0.2"/>
    <row r="49090" hidden="1" x14ac:dyDescent="0.2"/>
    <row r="49091" hidden="1" x14ac:dyDescent="0.2"/>
    <row r="49092" hidden="1" x14ac:dyDescent="0.2"/>
    <row r="49093" hidden="1" x14ac:dyDescent="0.2"/>
    <row r="49094" hidden="1" x14ac:dyDescent="0.2"/>
    <row r="49095" hidden="1" x14ac:dyDescent="0.2"/>
    <row r="49096" hidden="1" x14ac:dyDescent="0.2"/>
    <row r="49097" hidden="1" x14ac:dyDescent="0.2"/>
    <row r="49098" hidden="1" x14ac:dyDescent="0.2"/>
    <row r="49099" hidden="1" x14ac:dyDescent="0.2"/>
    <row r="49100" hidden="1" x14ac:dyDescent="0.2"/>
    <row r="49101" hidden="1" x14ac:dyDescent="0.2"/>
    <row r="49102" hidden="1" x14ac:dyDescent="0.2"/>
    <row r="49103" hidden="1" x14ac:dyDescent="0.2"/>
    <row r="49104" hidden="1" x14ac:dyDescent="0.2"/>
    <row r="49105" hidden="1" x14ac:dyDescent="0.2"/>
    <row r="49106" hidden="1" x14ac:dyDescent="0.2"/>
    <row r="49107" hidden="1" x14ac:dyDescent="0.2"/>
    <row r="49108" hidden="1" x14ac:dyDescent="0.2"/>
    <row r="49109" hidden="1" x14ac:dyDescent="0.2"/>
    <row r="49110" hidden="1" x14ac:dyDescent="0.2"/>
    <row r="49111" hidden="1" x14ac:dyDescent="0.2"/>
    <row r="49112" hidden="1" x14ac:dyDescent="0.2"/>
    <row r="49113" hidden="1" x14ac:dyDescent="0.2"/>
    <row r="49114" hidden="1" x14ac:dyDescent="0.2"/>
    <row r="49115" hidden="1" x14ac:dyDescent="0.2"/>
    <row r="49116" hidden="1" x14ac:dyDescent="0.2"/>
    <row r="49117" hidden="1" x14ac:dyDescent="0.2"/>
    <row r="49118" hidden="1" x14ac:dyDescent="0.2"/>
    <row r="49119" hidden="1" x14ac:dyDescent="0.2"/>
    <row r="49120" hidden="1" x14ac:dyDescent="0.2"/>
    <row r="49121" hidden="1" x14ac:dyDescent="0.2"/>
    <row r="49122" hidden="1" x14ac:dyDescent="0.2"/>
    <row r="49123" hidden="1" x14ac:dyDescent="0.2"/>
    <row r="49124" hidden="1" x14ac:dyDescent="0.2"/>
    <row r="49125" hidden="1" x14ac:dyDescent="0.2"/>
    <row r="49126" hidden="1" x14ac:dyDescent="0.2"/>
    <row r="49127" hidden="1" x14ac:dyDescent="0.2"/>
    <row r="49128" hidden="1" x14ac:dyDescent="0.2"/>
    <row r="49129" hidden="1" x14ac:dyDescent="0.2"/>
    <row r="49130" hidden="1" x14ac:dyDescent="0.2"/>
    <row r="49131" hidden="1" x14ac:dyDescent="0.2"/>
    <row r="49132" hidden="1" x14ac:dyDescent="0.2"/>
    <row r="49133" hidden="1" x14ac:dyDescent="0.2"/>
    <row r="49134" hidden="1" x14ac:dyDescent="0.2"/>
    <row r="49135" hidden="1" x14ac:dyDescent="0.2"/>
    <row r="49136" hidden="1" x14ac:dyDescent="0.2"/>
    <row r="49137" hidden="1" x14ac:dyDescent="0.2"/>
    <row r="49138" hidden="1" x14ac:dyDescent="0.2"/>
    <row r="49139" hidden="1" x14ac:dyDescent="0.2"/>
    <row r="49140" hidden="1" x14ac:dyDescent="0.2"/>
    <row r="49141" hidden="1" x14ac:dyDescent="0.2"/>
    <row r="49142" hidden="1" x14ac:dyDescent="0.2"/>
    <row r="49143" hidden="1" x14ac:dyDescent="0.2"/>
    <row r="49144" hidden="1" x14ac:dyDescent="0.2"/>
    <row r="49145" hidden="1" x14ac:dyDescent="0.2"/>
    <row r="49146" hidden="1" x14ac:dyDescent="0.2"/>
    <row r="49147" hidden="1" x14ac:dyDescent="0.2"/>
    <row r="49148" hidden="1" x14ac:dyDescent="0.2"/>
    <row r="49149" hidden="1" x14ac:dyDescent="0.2"/>
    <row r="49150" hidden="1" x14ac:dyDescent="0.2"/>
    <row r="49151" hidden="1" x14ac:dyDescent="0.2"/>
    <row r="49152" hidden="1" x14ac:dyDescent="0.2"/>
    <row r="49153" hidden="1" x14ac:dyDescent="0.2"/>
    <row r="49154" hidden="1" x14ac:dyDescent="0.2"/>
    <row r="49155" hidden="1" x14ac:dyDescent="0.2"/>
    <row r="49156" hidden="1" x14ac:dyDescent="0.2"/>
    <row r="49157" hidden="1" x14ac:dyDescent="0.2"/>
    <row r="49158" hidden="1" x14ac:dyDescent="0.2"/>
    <row r="49159" hidden="1" x14ac:dyDescent="0.2"/>
    <row r="49160" hidden="1" x14ac:dyDescent="0.2"/>
    <row r="49161" hidden="1" x14ac:dyDescent="0.2"/>
    <row r="49162" hidden="1" x14ac:dyDescent="0.2"/>
    <row r="49163" hidden="1" x14ac:dyDescent="0.2"/>
    <row r="49164" hidden="1" x14ac:dyDescent="0.2"/>
    <row r="49165" hidden="1" x14ac:dyDescent="0.2"/>
    <row r="49166" hidden="1" x14ac:dyDescent="0.2"/>
    <row r="49167" hidden="1" x14ac:dyDescent="0.2"/>
    <row r="49168" hidden="1" x14ac:dyDescent="0.2"/>
    <row r="49169" hidden="1" x14ac:dyDescent="0.2"/>
    <row r="49170" hidden="1" x14ac:dyDescent="0.2"/>
    <row r="49171" hidden="1" x14ac:dyDescent="0.2"/>
    <row r="49172" hidden="1" x14ac:dyDescent="0.2"/>
    <row r="49173" hidden="1" x14ac:dyDescent="0.2"/>
    <row r="49174" hidden="1" x14ac:dyDescent="0.2"/>
    <row r="49175" hidden="1" x14ac:dyDescent="0.2"/>
    <row r="49176" hidden="1" x14ac:dyDescent="0.2"/>
    <row r="49177" hidden="1" x14ac:dyDescent="0.2"/>
    <row r="49178" hidden="1" x14ac:dyDescent="0.2"/>
    <row r="49179" hidden="1" x14ac:dyDescent="0.2"/>
    <row r="49180" hidden="1" x14ac:dyDescent="0.2"/>
    <row r="49181" hidden="1" x14ac:dyDescent="0.2"/>
    <row r="49182" hidden="1" x14ac:dyDescent="0.2"/>
    <row r="49183" hidden="1" x14ac:dyDescent="0.2"/>
    <row r="49184" hidden="1" x14ac:dyDescent="0.2"/>
    <row r="49185" hidden="1" x14ac:dyDescent="0.2"/>
    <row r="49186" hidden="1" x14ac:dyDescent="0.2"/>
    <row r="49187" hidden="1" x14ac:dyDescent="0.2"/>
    <row r="49188" hidden="1" x14ac:dyDescent="0.2"/>
    <row r="49189" hidden="1" x14ac:dyDescent="0.2"/>
    <row r="49190" hidden="1" x14ac:dyDescent="0.2"/>
    <row r="49191" hidden="1" x14ac:dyDescent="0.2"/>
    <row r="49192" hidden="1" x14ac:dyDescent="0.2"/>
    <row r="49193" hidden="1" x14ac:dyDescent="0.2"/>
    <row r="49194" hidden="1" x14ac:dyDescent="0.2"/>
    <row r="49195" hidden="1" x14ac:dyDescent="0.2"/>
    <row r="49196" hidden="1" x14ac:dyDescent="0.2"/>
    <row r="49197" hidden="1" x14ac:dyDescent="0.2"/>
    <row r="49198" hidden="1" x14ac:dyDescent="0.2"/>
    <row r="49199" hidden="1" x14ac:dyDescent="0.2"/>
    <row r="49200" hidden="1" x14ac:dyDescent="0.2"/>
    <row r="49201" hidden="1" x14ac:dyDescent="0.2"/>
    <row r="49202" hidden="1" x14ac:dyDescent="0.2"/>
    <row r="49203" hidden="1" x14ac:dyDescent="0.2"/>
    <row r="49204" hidden="1" x14ac:dyDescent="0.2"/>
    <row r="49205" hidden="1" x14ac:dyDescent="0.2"/>
    <row r="49206" hidden="1" x14ac:dyDescent="0.2"/>
    <row r="49207" hidden="1" x14ac:dyDescent="0.2"/>
    <row r="49208" hidden="1" x14ac:dyDescent="0.2"/>
    <row r="49209" hidden="1" x14ac:dyDescent="0.2"/>
    <row r="49210" hidden="1" x14ac:dyDescent="0.2"/>
    <row r="49211" hidden="1" x14ac:dyDescent="0.2"/>
    <row r="49212" hidden="1" x14ac:dyDescent="0.2"/>
    <row r="49213" hidden="1" x14ac:dyDescent="0.2"/>
    <row r="49214" hidden="1" x14ac:dyDescent="0.2"/>
    <row r="49215" hidden="1" x14ac:dyDescent="0.2"/>
    <row r="49216" hidden="1" x14ac:dyDescent="0.2"/>
    <row r="49217" hidden="1" x14ac:dyDescent="0.2"/>
    <row r="49218" hidden="1" x14ac:dyDescent="0.2"/>
    <row r="49219" hidden="1" x14ac:dyDescent="0.2"/>
    <row r="49220" hidden="1" x14ac:dyDescent="0.2"/>
    <row r="49221" hidden="1" x14ac:dyDescent="0.2"/>
    <row r="49222" hidden="1" x14ac:dyDescent="0.2"/>
    <row r="49223" hidden="1" x14ac:dyDescent="0.2"/>
    <row r="49224" hidden="1" x14ac:dyDescent="0.2"/>
    <row r="49225" hidden="1" x14ac:dyDescent="0.2"/>
    <row r="49226" hidden="1" x14ac:dyDescent="0.2"/>
    <row r="49227" hidden="1" x14ac:dyDescent="0.2"/>
    <row r="49228" hidden="1" x14ac:dyDescent="0.2"/>
    <row r="49229" hidden="1" x14ac:dyDescent="0.2"/>
    <row r="49230" hidden="1" x14ac:dyDescent="0.2"/>
    <row r="49231" hidden="1" x14ac:dyDescent="0.2"/>
    <row r="49232" hidden="1" x14ac:dyDescent="0.2"/>
    <row r="49233" hidden="1" x14ac:dyDescent="0.2"/>
    <row r="49234" hidden="1" x14ac:dyDescent="0.2"/>
    <row r="49235" hidden="1" x14ac:dyDescent="0.2"/>
    <row r="49236" hidden="1" x14ac:dyDescent="0.2"/>
    <row r="49237" hidden="1" x14ac:dyDescent="0.2"/>
    <row r="49238" hidden="1" x14ac:dyDescent="0.2"/>
    <row r="49239" hidden="1" x14ac:dyDescent="0.2"/>
    <row r="49240" hidden="1" x14ac:dyDescent="0.2"/>
    <row r="49241" hidden="1" x14ac:dyDescent="0.2"/>
    <row r="49242" hidden="1" x14ac:dyDescent="0.2"/>
    <row r="49243" hidden="1" x14ac:dyDescent="0.2"/>
    <row r="49244" hidden="1" x14ac:dyDescent="0.2"/>
    <row r="49245" hidden="1" x14ac:dyDescent="0.2"/>
    <row r="49246" hidden="1" x14ac:dyDescent="0.2"/>
    <row r="49247" hidden="1" x14ac:dyDescent="0.2"/>
    <row r="49248" hidden="1" x14ac:dyDescent="0.2"/>
    <row r="49249" hidden="1" x14ac:dyDescent="0.2"/>
    <row r="49250" hidden="1" x14ac:dyDescent="0.2"/>
    <row r="49251" hidden="1" x14ac:dyDescent="0.2"/>
    <row r="49252" hidden="1" x14ac:dyDescent="0.2"/>
    <row r="49253" hidden="1" x14ac:dyDescent="0.2"/>
    <row r="49254" hidden="1" x14ac:dyDescent="0.2"/>
    <row r="49255" hidden="1" x14ac:dyDescent="0.2"/>
    <row r="49256" hidden="1" x14ac:dyDescent="0.2"/>
    <row r="49257" hidden="1" x14ac:dyDescent="0.2"/>
    <row r="49258" hidden="1" x14ac:dyDescent="0.2"/>
    <row r="49259" hidden="1" x14ac:dyDescent="0.2"/>
    <row r="49260" hidden="1" x14ac:dyDescent="0.2"/>
    <row r="49261" hidden="1" x14ac:dyDescent="0.2"/>
    <row r="49262" hidden="1" x14ac:dyDescent="0.2"/>
    <row r="49263" hidden="1" x14ac:dyDescent="0.2"/>
    <row r="49264" hidden="1" x14ac:dyDescent="0.2"/>
    <row r="49265" hidden="1" x14ac:dyDescent="0.2"/>
    <row r="49266" hidden="1" x14ac:dyDescent="0.2"/>
    <row r="49267" hidden="1" x14ac:dyDescent="0.2"/>
    <row r="49268" hidden="1" x14ac:dyDescent="0.2"/>
    <row r="49269" hidden="1" x14ac:dyDescent="0.2"/>
    <row r="49270" hidden="1" x14ac:dyDescent="0.2"/>
    <row r="49271" hidden="1" x14ac:dyDescent="0.2"/>
    <row r="49272" hidden="1" x14ac:dyDescent="0.2"/>
    <row r="49273" hidden="1" x14ac:dyDescent="0.2"/>
    <row r="49274" hidden="1" x14ac:dyDescent="0.2"/>
    <row r="49275" hidden="1" x14ac:dyDescent="0.2"/>
    <row r="49276" hidden="1" x14ac:dyDescent="0.2"/>
    <row r="49277" hidden="1" x14ac:dyDescent="0.2"/>
    <row r="49278" hidden="1" x14ac:dyDescent="0.2"/>
    <row r="49279" hidden="1" x14ac:dyDescent="0.2"/>
    <row r="49280" hidden="1" x14ac:dyDescent="0.2"/>
    <row r="49281" hidden="1" x14ac:dyDescent="0.2"/>
    <row r="49282" hidden="1" x14ac:dyDescent="0.2"/>
    <row r="49283" hidden="1" x14ac:dyDescent="0.2"/>
    <row r="49284" hidden="1" x14ac:dyDescent="0.2"/>
    <row r="49285" hidden="1" x14ac:dyDescent="0.2"/>
    <row r="49286" hidden="1" x14ac:dyDescent="0.2"/>
    <row r="49287" hidden="1" x14ac:dyDescent="0.2"/>
    <row r="49288" hidden="1" x14ac:dyDescent="0.2"/>
    <row r="49289" hidden="1" x14ac:dyDescent="0.2"/>
    <row r="49290" hidden="1" x14ac:dyDescent="0.2"/>
    <row r="49291" hidden="1" x14ac:dyDescent="0.2"/>
    <row r="49292" hidden="1" x14ac:dyDescent="0.2"/>
    <row r="49293" hidden="1" x14ac:dyDescent="0.2"/>
    <row r="49294" hidden="1" x14ac:dyDescent="0.2"/>
    <row r="49295" hidden="1" x14ac:dyDescent="0.2"/>
    <row r="49296" hidden="1" x14ac:dyDescent="0.2"/>
    <row r="49297" hidden="1" x14ac:dyDescent="0.2"/>
    <row r="49298" hidden="1" x14ac:dyDescent="0.2"/>
    <row r="49299" hidden="1" x14ac:dyDescent="0.2"/>
    <row r="49300" hidden="1" x14ac:dyDescent="0.2"/>
    <row r="49301" hidden="1" x14ac:dyDescent="0.2"/>
    <row r="49302" hidden="1" x14ac:dyDescent="0.2"/>
    <row r="49303" hidden="1" x14ac:dyDescent="0.2"/>
    <row r="49304" hidden="1" x14ac:dyDescent="0.2"/>
    <row r="49305" hidden="1" x14ac:dyDescent="0.2"/>
    <row r="49306" hidden="1" x14ac:dyDescent="0.2"/>
    <row r="49307" hidden="1" x14ac:dyDescent="0.2"/>
    <row r="49308" hidden="1" x14ac:dyDescent="0.2"/>
    <row r="49309" hidden="1" x14ac:dyDescent="0.2"/>
    <row r="49310" hidden="1" x14ac:dyDescent="0.2"/>
    <row r="49311" hidden="1" x14ac:dyDescent="0.2"/>
    <row r="49312" hidden="1" x14ac:dyDescent="0.2"/>
    <row r="49313" hidden="1" x14ac:dyDescent="0.2"/>
    <row r="49314" hidden="1" x14ac:dyDescent="0.2"/>
    <row r="49315" hidden="1" x14ac:dyDescent="0.2"/>
    <row r="49316" hidden="1" x14ac:dyDescent="0.2"/>
    <row r="49317" hidden="1" x14ac:dyDescent="0.2"/>
    <row r="49318" hidden="1" x14ac:dyDescent="0.2"/>
    <row r="49319" hidden="1" x14ac:dyDescent="0.2"/>
    <row r="49320" hidden="1" x14ac:dyDescent="0.2"/>
    <row r="49321" hidden="1" x14ac:dyDescent="0.2"/>
    <row r="49322" hidden="1" x14ac:dyDescent="0.2"/>
    <row r="49323" hidden="1" x14ac:dyDescent="0.2"/>
    <row r="49324" hidden="1" x14ac:dyDescent="0.2"/>
    <row r="49325" hidden="1" x14ac:dyDescent="0.2"/>
    <row r="49326" hidden="1" x14ac:dyDescent="0.2"/>
    <row r="49327" hidden="1" x14ac:dyDescent="0.2"/>
    <row r="49328" hidden="1" x14ac:dyDescent="0.2"/>
    <row r="49329" hidden="1" x14ac:dyDescent="0.2"/>
    <row r="49330" hidden="1" x14ac:dyDescent="0.2"/>
    <row r="49331" hidden="1" x14ac:dyDescent="0.2"/>
    <row r="49332" hidden="1" x14ac:dyDescent="0.2"/>
    <row r="49333" hidden="1" x14ac:dyDescent="0.2"/>
    <row r="49334" hidden="1" x14ac:dyDescent="0.2"/>
    <row r="49335" hidden="1" x14ac:dyDescent="0.2"/>
    <row r="49336" hidden="1" x14ac:dyDescent="0.2"/>
    <row r="49337" hidden="1" x14ac:dyDescent="0.2"/>
    <row r="49338" hidden="1" x14ac:dyDescent="0.2"/>
    <row r="49339" hidden="1" x14ac:dyDescent="0.2"/>
    <row r="49340" hidden="1" x14ac:dyDescent="0.2"/>
    <row r="49341" hidden="1" x14ac:dyDescent="0.2"/>
    <row r="49342" hidden="1" x14ac:dyDescent="0.2"/>
    <row r="49343" hidden="1" x14ac:dyDescent="0.2"/>
    <row r="49344" hidden="1" x14ac:dyDescent="0.2"/>
    <row r="49345" hidden="1" x14ac:dyDescent="0.2"/>
    <row r="49346" hidden="1" x14ac:dyDescent="0.2"/>
    <row r="49347" hidden="1" x14ac:dyDescent="0.2"/>
    <row r="49348" hidden="1" x14ac:dyDescent="0.2"/>
    <row r="49349" hidden="1" x14ac:dyDescent="0.2"/>
    <row r="49350" hidden="1" x14ac:dyDescent="0.2"/>
    <row r="49351" hidden="1" x14ac:dyDescent="0.2"/>
    <row r="49352" hidden="1" x14ac:dyDescent="0.2"/>
    <row r="49353" hidden="1" x14ac:dyDescent="0.2"/>
    <row r="49354" hidden="1" x14ac:dyDescent="0.2"/>
    <row r="49355" hidden="1" x14ac:dyDescent="0.2"/>
    <row r="49356" hidden="1" x14ac:dyDescent="0.2"/>
    <row r="49357" hidden="1" x14ac:dyDescent="0.2"/>
    <row r="49358" hidden="1" x14ac:dyDescent="0.2"/>
    <row r="49359" hidden="1" x14ac:dyDescent="0.2"/>
    <row r="49360" hidden="1" x14ac:dyDescent="0.2"/>
    <row r="49361" hidden="1" x14ac:dyDescent="0.2"/>
    <row r="49362" hidden="1" x14ac:dyDescent="0.2"/>
    <row r="49363" hidden="1" x14ac:dyDescent="0.2"/>
    <row r="49364" hidden="1" x14ac:dyDescent="0.2"/>
    <row r="49365" hidden="1" x14ac:dyDescent="0.2"/>
    <row r="49366" hidden="1" x14ac:dyDescent="0.2"/>
    <row r="49367" hidden="1" x14ac:dyDescent="0.2"/>
    <row r="49368" hidden="1" x14ac:dyDescent="0.2"/>
    <row r="49369" hidden="1" x14ac:dyDescent="0.2"/>
    <row r="49370" hidden="1" x14ac:dyDescent="0.2"/>
    <row r="49371" hidden="1" x14ac:dyDescent="0.2"/>
    <row r="49372" hidden="1" x14ac:dyDescent="0.2"/>
    <row r="49373" hidden="1" x14ac:dyDescent="0.2"/>
    <row r="49374" hidden="1" x14ac:dyDescent="0.2"/>
    <row r="49375" hidden="1" x14ac:dyDescent="0.2"/>
    <row r="49376" hidden="1" x14ac:dyDescent="0.2"/>
    <row r="49377" hidden="1" x14ac:dyDescent="0.2"/>
    <row r="49378" hidden="1" x14ac:dyDescent="0.2"/>
    <row r="49379" hidden="1" x14ac:dyDescent="0.2"/>
    <row r="49380" hidden="1" x14ac:dyDescent="0.2"/>
    <row r="49381" hidden="1" x14ac:dyDescent="0.2"/>
    <row r="49382" hidden="1" x14ac:dyDescent="0.2"/>
    <row r="49383" hidden="1" x14ac:dyDescent="0.2"/>
    <row r="49384" hidden="1" x14ac:dyDescent="0.2"/>
    <row r="49385" hidden="1" x14ac:dyDescent="0.2"/>
    <row r="49386" hidden="1" x14ac:dyDescent="0.2"/>
    <row r="49387" hidden="1" x14ac:dyDescent="0.2"/>
    <row r="49388" hidden="1" x14ac:dyDescent="0.2"/>
    <row r="49389" hidden="1" x14ac:dyDescent="0.2"/>
    <row r="49390" hidden="1" x14ac:dyDescent="0.2"/>
    <row r="49391" hidden="1" x14ac:dyDescent="0.2"/>
    <row r="49392" hidden="1" x14ac:dyDescent="0.2"/>
    <row r="49393" hidden="1" x14ac:dyDescent="0.2"/>
    <row r="49394" hidden="1" x14ac:dyDescent="0.2"/>
    <row r="49395" hidden="1" x14ac:dyDescent="0.2"/>
    <row r="49396" hidden="1" x14ac:dyDescent="0.2"/>
    <row r="49397" hidden="1" x14ac:dyDescent="0.2"/>
    <row r="49398" hidden="1" x14ac:dyDescent="0.2"/>
    <row r="49399" hidden="1" x14ac:dyDescent="0.2"/>
    <row r="49400" hidden="1" x14ac:dyDescent="0.2"/>
    <row r="49401" hidden="1" x14ac:dyDescent="0.2"/>
    <row r="49402" hidden="1" x14ac:dyDescent="0.2"/>
    <row r="49403" hidden="1" x14ac:dyDescent="0.2"/>
    <row r="49404" hidden="1" x14ac:dyDescent="0.2"/>
    <row r="49405" hidden="1" x14ac:dyDescent="0.2"/>
    <row r="49406" hidden="1" x14ac:dyDescent="0.2"/>
    <row r="49407" hidden="1" x14ac:dyDescent="0.2"/>
    <row r="49408" hidden="1" x14ac:dyDescent="0.2"/>
    <row r="49409" hidden="1" x14ac:dyDescent="0.2"/>
    <row r="49410" hidden="1" x14ac:dyDescent="0.2"/>
    <row r="49411" hidden="1" x14ac:dyDescent="0.2"/>
    <row r="49412" hidden="1" x14ac:dyDescent="0.2"/>
    <row r="49413" hidden="1" x14ac:dyDescent="0.2"/>
    <row r="49414" hidden="1" x14ac:dyDescent="0.2"/>
    <row r="49415" hidden="1" x14ac:dyDescent="0.2"/>
    <row r="49416" hidden="1" x14ac:dyDescent="0.2"/>
    <row r="49417" hidden="1" x14ac:dyDescent="0.2"/>
    <row r="49418" hidden="1" x14ac:dyDescent="0.2"/>
    <row r="49419" hidden="1" x14ac:dyDescent="0.2"/>
    <row r="49420" hidden="1" x14ac:dyDescent="0.2"/>
    <row r="49421" hidden="1" x14ac:dyDescent="0.2"/>
    <row r="49422" hidden="1" x14ac:dyDescent="0.2"/>
    <row r="49423" hidden="1" x14ac:dyDescent="0.2"/>
    <row r="49424" hidden="1" x14ac:dyDescent="0.2"/>
    <row r="49425" hidden="1" x14ac:dyDescent="0.2"/>
    <row r="49426" hidden="1" x14ac:dyDescent="0.2"/>
    <row r="49427" hidden="1" x14ac:dyDescent="0.2"/>
    <row r="49428" hidden="1" x14ac:dyDescent="0.2"/>
    <row r="49429" hidden="1" x14ac:dyDescent="0.2"/>
    <row r="49430" hidden="1" x14ac:dyDescent="0.2"/>
    <row r="49431" hidden="1" x14ac:dyDescent="0.2"/>
    <row r="49432" hidden="1" x14ac:dyDescent="0.2"/>
    <row r="49433" hidden="1" x14ac:dyDescent="0.2"/>
    <row r="49434" hidden="1" x14ac:dyDescent="0.2"/>
    <row r="49435" hidden="1" x14ac:dyDescent="0.2"/>
    <row r="49436" hidden="1" x14ac:dyDescent="0.2"/>
    <row r="49437" hidden="1" x14ac:dyDescent="0.2"/>
    <row r="49438" hidden="1" x14ac:dyDescent="0.2"/>
    <row r="49439" hidden="1" x14ac:dyDescent="0.2"/>
    <row r="49440" hidden="1" x14ac:dyDescent="0.2"/>
    <row r="49441" hidden="1" x14ac:dyDescent="0.2"/>
    <row r="49442" hidden="1" x14ac:dyDescent="0.2"/>
    <row r="49443" hidden="1" x14ac:dyDescent="0.2"/>
    <row r="49444" hidden="1" x14ac:dyDescent="0.2"/>
    <row r="49445" hidden="1" x14ac:dyDescent="0.2"/>
    <row r="49446" hidden="1" x14ac:dyDescent="0.2"/>
    <row r="49447" hidden="1" x14ac:dyDescent="0.2"/>
    <row r="49448" hidden="1" x14ac:dyDescent="0.2"/>
    <row r="49449" hidden="1" x14ac:dyDescent="0.2"/>
    <row r="49450" hidden="1" x14ac:dyDescent="0.2"/>
    <row r="49451" hidden="1" x14ac:dyDescent="0.2"/>
    <row r="49452" hidden="1" x14ac:dyDescent="0.2"/>
    <row r="49453" hidden="1" x14ac:dyDescent="0.2"/>
    <row r="49454" hidden="1" x14ac:dyDescent="0.2"/>
    <row r="49455" hidden="1" x14ac:dyDescent="0.2"/>
    <row r="49456" hidden="1" x14ac:dyDescent="0.2"/>
    <row r="49457" hidden="1" x14ac:dyDescent="0.2"/>
    <row r="49458" hidden="1" x14ac:dyDescent="0.2"/>
    <row r="49459" hidden="1" x14ac:dyDescent="0.2"/>
    <row r="49460" hidden="1" x14ac:dyDescent="0.2"/>
    <row r="49461" hidden="1" x14ac:dyDescent="0.2"/>
    <row r="49462" hidden="1" x14ac:dyDescent="0.2"/>
    <row r="49463" hidden="1" x14ac:dyDescent="0.2"/>
    <row r="49464" hidden="1" x14ac:dyDescent="0.2"/>
    <row r="49465" hidden="1" x14ac:dyDescent="0.2"/>
    <row r="49466" hidden="1" x14ac:dyDescent="0.2"/>
    <row r="49467" hidden="1" x14ac:dyDescent="0.2"/>
    <row r="49468" hidden="1" x14ac:dyDescent="0.2"/>
    <row r="49469" hidden="1" x14ac:dyDescent="0.2"/>
    <row r="49470" hidden="1" x14ac:dyDescent="0.2"/>
    <row r="49471" hidden="1" x14ac:dyDescent="0.2"/>
    <row r="49472" hidden="1" x14ac:dyDescent="0.2"/>
    <row r="49473" hidden="1" x14ac:dyDescent="0.2"/>
    <row r="49474" hidden="1" x14ac:dyDescent="0.2"/>
    <row r="49475" hidden="1" x14ac:dyDescent="0.2"/>
    <row r="49476" hidden="1" x14ac:dyDescent="0.2"/>
    <row r="49477" hidden="1" x14ac:dyDescent="0.2"/>
    <row r="49478" hidden="1" x14ac:dyDescent="0.2"/>
    <row r="49479" hidden="1" x14ac:dyDescent="0.2"/>
    <row r="49480" hidden="1" x14ac:dyDescent="0.2"/>
    <row r="49481" hidden="1" x14ac:dyDescent="0.2"/>
    <row r="49482" hidden="1" x14ac:dyDescent="0.2"/>
    <row r="49483" hidden="1" x14ac:dyDescent="0.2"/>
    <row r="49484" hidden="1" x14ac:dyDescent="0.2"/>
    <row r="49485" hidden="1" x14ac:dyDescent="0.2"/>
    <row r="49486" hidden="1" x14ac:dyDescent="0.2"/>
    <row r="49487" hidden="1" x14ac:dyDescent="0.2"/>
    <row r="49488" hidden="1" x14ac:dyDescent="0.2"/>
    <row r="49489" hidden="1" x14ac:dyDescent="0.2"/>
    <row r="49490" hidden="1" x14ac:dyDescent="0.2"/>
    <row r="49491" hidden="1" x14ac:dyDescent="0.2"/>
    <row r="49492" hidden="1" x14ac:dyDescent="0.2"/>
    <row r="49493" hidden="1" x14ac:dyDescent="0.2"/>
    <row r="49494" hidden="1" x14ac:dyDescent="0.2"/>
    <row r="49495" hidden="1" x14ac:dyDescent="0.2"/>
    <row r="49496" hidden="1" x14ac:dyDescent="0.2"/>
    <row r="49497" hidden="1" x14ac:dyDescent="0.2"/>
    <row r="49498" hidden="1" x14ac:dyDescent="0.2"/>
    <row r="49499" hidden="1" x14ac:dyDescent="0.2"/>
    <row r="49500" hidden="1" x14ac:dyDescent="0.2"/>
    <row r="49501" hidden="1" x14ac:dyDescent="0.2"/>
    <row r="49502" hidden="1" x14ac:dyDescent="0.2"/>
    <row r="49503" hidden="1" x14ac:dyDescent="0.2"/>
    <row r="49504" hidden="1" x14ac:dyDescent="0.2"/>
    <row r="49505" hidden="1" x14ac:dyDescent="0.2"/>
    <row r="49506" hidden="1" x14ac:dyDescent="0.2"/>
    <row r="49507" hidden="1" x14ac:dyDescent="0.2"/>
    <row r="49508" hidden="1" x14ac:dyDescent="0.2"/>
    <row r="49509" hidden="1" x14ac:dyDescent="0.2"/>
    <row r="49510" hidden="1" x14ac:dyDescent="0.2"/>
    <row r="49511" hidden="1" x14ac:dyDescent="0.2"/>
    <row r="49512" hidden="1" x14ac:dyDescent="0.2"/>
    <row r="49513" hidden="1" x14ac:dyDescent="0.2"/>
    <row r="49514" hidden="1" x14ac:dyDescent="0.2"/>
    <row r="49515" hidden="1" x14ac:dyDescent="0.2"/>
    <row r="49516" hidden="1" x14ac:dyDescent="0.2"/>
    <row r="49517" hidden="1" x14ac:dyDescent="0.2"/>
    <row r="49518" hidden="1" x14ac:dyDescent="0.2"/>
    <row r="49519" hidden="1" x14ac:dyDescent="0.2"/>
    <row r="49520" hidden="1" x14ac:dyDescent="0.2"/>
    <row r="49521" hidden="1" x14ac:dyDescent="0.2"/>
    <row r="49522" hidden="1" x14ac:dyDescent="0.2"/>
    <row r="49523" hidden="1" x14ac:dyDescent="0.2"/>
    <row r="49524" hidden="1" x14ac:dyDescent="0.2"/>
    <row r="49525" hidden="1" x14ac:dyDescent="0.2"/>
    <row r="49526" hidden="1" x14ac:dyDescent="0.2"/>
    <row r="49527" hidden="1" x14ac:dyDescent="0.2"/>
    <row r="49528" hidden="1" x14ac:dyDescent="0.2"/>
    <row r="49529" hidden="1" x14ac:dyDescent="0.2"/>
    <row r="49530" hidden="1" x14ac:dyDescent="0.2"/>
    <row r="49531" hidden="1" x14ac:dyDescent="0.2"/>
    <row r="49532" hidden="1" x14ac:dyDescent="0.2"/>
    <row r="49533" hidden="1" x14ac:dyDescent="0.2"/>
    <row r="49534" hidden="1" x14ac:dyDescent="0.2"/>
    <row r="49535" hidden="1" x14ac:dyDescent="0.2"/>
    <row r="49536" hidden="1" x14ac:dyDescent="0.2"/>
    <row r="49537" hidden="1" x14ac:dyDescent="0.2"/>
    <row r="49538" hidden="1" x14ac:dyDescent="0.2"/>
    <row r="49539" hidden="1" x14ac:dyDescent="0.2"/>
    <row r="49540" hidden="1" x14ac:dyDescent="0.2"/>
    <row r="49541" hidden="1" x14ac:dyDescent="0.2"/>
    <row r="49542" hidden="1" x14ac:dyDescent="0.2"/>
    <row r="49543" hidden="1" x14ac:dyDescent="0.2"/>
    <row r="49544" hidden="1" x14ac:dyDescent="0.2"/>
    <row r="49545" hidden="1" x14ac:dyDescent="0.2"/>
    <row r="49546" hidden="1" x14ac:dyDescent="0.2"/>
    <row r="49547" hidden="1" x14ac:dyDescent="0.2"/>
    <row r="49548" hidden="1" x14ac:dyDescent="0.2"/>
    <row r="49549" hidden="1" x14ac:dyDescent="0.2"/>
    <row r="49550" hidden="1" x14ac:dyDescent="0.2"/>
    <row r="49551" hidden="1" x14ac:dyDescent="0.2"/>
    <row r="49552" hidden="1" x14ac:dyDescent="0.2"/>
    <row r="49553" hidden="1" x14ac:dyDescent="0.2"/>
    <row r="49554" hidden="1" x14ac:dyDescent="0.2"/>
    <row r="49555" hidden="1" x14ac:dyDescent="0.2"/>
    <row r="49556" hidden="1" x14ac:dyDescent="0.2"/>
    <row r="49557" hidden="1" x14ac:dyDescent="0.2"/>
    <row r="49558" hidden="1" x14ac:dyDescent="0.2"/>
    <row r="49559" hidden="1" x14ac:dyDescent="0.2"/>
    <row r="49560" hidden="1" x14ac:dyDescent="0.2"/>
    <row r="49561" hidden="1" x14ac:dyDescent="0.2"/>
    <row r="49562" hidden="1" x14ac:dyDescent="0.2"/>
    <row r="49563" hidden="1" x14ac:dyDescent="0.2"/>
    <row r="49564" hidden="1" x14ac:dyDescent="0.2"/>
    <row r="49565" hidden="1" x14ac:dyDescent="0.2"/>
    <row r="49566" hidden="1" x14ac:dyDescent="0.2"/>
    <row r="49567" hidden="1" x14ac:dyDescent="0.2"/>
    <row r="49568" hidden="1" x14ac:dyDescent="0.2"/>
    <row r="49569" hidden="1" x14ac:dyDescent="0.2"/>
    <row r="49570" hidden="1" x14ac:dyDescent="0.2"/>
    <row r="49571" hidden="1" x14ac:dyDescent="0.2"/>
    <row r="49572" hidden="1" x14ac:dyDescent="0.2"/>
    <row r="49573" hidden="1" x14ac:dyDescent="0.2"/>
    <row r="49574" hidden="1" x14ac:dyDescent="0.2"/>
    <row r="49575" hidden="1" x14ac:dyDescent="0.2"/>
    <row r="49576" hidden="1" x14ac:dyDescent="0.2"/>
    <row r="49577" hidden="1" x14ac:dyDescent="0.2"/>
    <row r="49578" hidden="1" x14ac:dyDescent="0.2"/>
    <row r="49579" hidden="1" x14ac:dyDescent="0.2"/>
    <row r="49580" hidden="1" x14ac:dyDescent="0.2"/>
    <row r="49581" hidden="1" x14ac:dyDescent="0.2"/>
    <row r="49582" hidden="1" x14ac:dyDescent="0.2"/>
    <row r="49583" hidden="1" x14ac:dyDescent="0.2"/>
    <row r="49584" hidden="1" x14ac:dyDescent="0.2"/>
    <row r="49585" hidden="1" x14ac:dyDescent="0.2"/>
    <row r="49586" hidden="1" x14ac:dyDescent="0.2"/>
    <row r="49587" hidden="1" x14ac:dyDescent="0.2"/>
    <row r="49588" hidden="1" x14ac:dyDescent="0.2"/>
    <row r="49589" hidden="1" x14ac:dyDescent="0.2"/>
    <row r="49590" hidden="1" x14ac:dyDescent="0.2"/>
    <row r="49591" hidden="1" x14ac:dyDescent="0.2"/>
    <row r="49592" hidden="1" x14ac:dyDescent="0.2"/>
    <row r="49593" hidden="1" x14ac:dyDescent="0.2"/>
    <row r="49594" hidden="1" x14ac:dyDescent="0.2"/>
    <row r="49595" hidden="1" x14ac:dyDescent="0.2"/>
    <row r="49596" hidden="1" x14ac:dyDescent="0.2"/>
    <row r="49597" hidden="1" x14ac:dyDescent="0.2"/>
    <row r="49598" hidden="1" x14ac:dyDescent="0.2"/>
    <row r="49599" hidden="1" x14ac:dyDescent="0.2"/>
    <row r="49600" hidden="1" x14ac:dyDescent="0.2"/>
    <row r="49601" hidden="1" x14ac:dyDescent="0.2"/>
    <row r="49602" hidden="1" x14ac:dyDescent="0.2"/>
    <row r="49603" hidden="1" x14ac:dyDescent="0.2"/>
    <row r="49604" hidden="1" x14ac:dyDescent="0.2"/>
    <row r="49605" hidden="1" x14ac:dyDescent="0.2"/>
    <row r="49606" hidden="1" x14ac:dyDescent="0.2"/>
    <row r="49607" hidden="1" x14ac:dyDescent="0.2"/>
    <row r="49608" hidden="1" x14ac:dyDescent="0.2"/>
    <row r="49609" hidden="1" x14ac:dyDescent="0.2"/>
    <row r="49610" hidden="1" x14ac:dyDescent="0.2"/>
    <row r="49611" hidden="1" x14ac:dyDescent="0.2"/>
    <row r="49612" hidden="1" x14ac:dyDescent="0.2"/>
    <row r="49613" hidden="1" x14ac:dyDescent="0.2"/>
    <row r="49614" hidden="1" x14ac:dyDescent="0.2"/>
    <row r="49615" hidden="1" x14ac:dyDescent="0.2"/>
    <row r="49616" hidden="1" x14ac:dyDescent="0.2"/>
    <row r="49617" hidden="1" x14ac:dyDescent="0.2"/>
    <row r="49618" hidden="1" x14ac:dyDescent="0.2"/>
    <row r="49619" hidden="1" x14ac:dyDescent="0.2"/>
    <row r="49620" hidden="1" x14ac:dyDescent="0.2"/>
    <row r="49621" hidden="1" x14ac:dyDescent="0.2"/>
    <row r="49622" hidden="1" x14ac:dyDescent="0.2"/>
    <row r="49623" hidden="1" x14ac:dyDescent="0.2"/>
    <row r="49624" hidden="1" x14ac:dyDescent="0.2"/>
    <row r="49625" hidden="1" x14ac:dyDescent="0.2"/>
    <row r="49626" hidden="1" x14ac:dyDescent="0.2"/>
    <row r="49627" hidden="1" x14ac:dyDescent="0.2"/>
    <row r="49628" hidden="1" x14ac:dyDescent="0.2"/>
    <row r="49629" hidden="1" x14ac:dyDescent="0.2"/>
    <row r="49630" hidden="1" x14ac:dyDescent="0.2"/>
    <row r="49631" hidden="1" x14ac:dyDescent="0.2"/>
    <row r="49632" hidden="1" x14ac:dyDescent="0.2"/>
    <row r="49633" hidden="1" x14ac:dyDescent="0.2"/>
    <row r="49634" hidden="1" x14ac:dyDescent="0.2"/>
    <row r="49635" hidden="1" x14ac:dyDescent="0.2"/>
    <row r="49636" hidden="1" x14ac:dyDescent="0.2"/>
    <row r="49637" hidden="1" x14ac:dyDescent="0.2"/>
    <row r="49638" hidden="1" x14ac:dyDescent="0.2"/>
    <row r="49639" hidden="1" x14ac:dyDescent="0.2"/>
    <row r="49640" hidden="1" x14ac:dyDescent="0.2"/>
    <row r="49641" hidden="1" x14ac:dyDescent="0.2"/>
    <row r="49642" hidden="1" x14ac:dyDescent="0.2"/>
    <row r="49643" hidden="1" x14ac:dyDescent="0.2"/>
    <row r="49644" hidden="1" x14ac:dyDescent="0.2"/>
    <row r="49645" hidden="1" x14ac:dyDescent="0.2"/>
    <row r="49646" hidden="1" x14ac:dyDescent="0.2"/>
    <row r="49647" hidden="1" x14ac:dyDescent="0.2"/>
    <row r="49648" hidden="1" x14ac:dyDescent="0.2"/>
    <row r="49649" hidden="1" x14ac:dyDescent="0.2"/>
    <row r="49650" hidden="1" x14ac:dyDescent="0.2"/>
    <row r="49651" hidden="1" x14ac:dyDescent="0.2"/>
    <row r="49652" hidden="1" x14ac:dyDescent="0.2"/>
    <row r="49653" hidden="1" x14ac:dyDescent="0.2"/>
    <row r="49654" hidden="1" x14ac:dyDescent="0.2"/>
    <row r="49655" hidden="1" x14ac:dyDescent="0.2"/>
    <row r="49656" hidden="1" x14ac:dyDescent="0.2"/>
    <row r="49657" hidden="1" x14ac:dyDescent="0.2"/>
    <row r="49658" hidden="1" x14ac:dyDescent="0.2"/>
    <row r="49659" hidden="1" x14ac:dyDescent="0.2"/>
    <row r="49660" hidden="1" x14ac:dyDescent="0.2"/>
    <row r="49661" hidden="1" x14ac:dyDescent="0.2"/>
    <row r="49662" hidden="1" x14ac:dyDescent="0.2"/>
    <row r="49663" hidden="1" x14ac:dyDescent="0.2"/>
    <row r="49664" hidden="1" x14ac:dyDescent="0.2"/>
    <row r="49665" hidden="1" x14ac:dyDescent="0.2"/>
    <row r="49666" hidden="1" x14ac:dyDescent="0.2"/>
    <row r="49667" hidden="1" x14ac:dyDescent="0.2"/>
    <row r="49668" hidden="1" x14ac:dyDescent="0.2"/>
    <row r="49669" hidden="1" x14ac:dyDescent="0.2"/>
    <row r="49670" hidden="1" x14ac:dyDescent="0.2"/>
    <row r="49671" hidden="1" x14ac:dyDescent="0.2"/>
    <row r="49672" hidden="1" x14ac:dyDescent="0.2"/>
    <row r="49673" hidden="1" x14ac:dyDescent="0.2"/>
    <row r="49674" hidden="1" x14ac:dyDescent="0.2"/>
    <row r="49675" hidden="1" x14ac:dyDescent="0.2"/>
    <row r="49676" hidden="1" x14ac:dyDescent="0.2"/>
    <row r="49677" hidden="1" x14ac:dyDescent="0.2"/>
    <row r="49678" hidden="1" x14ac:dyDescent="0.2"/>
    <row r="49679" hidden="1" x14ac:dyDescent="0.2"/>
    <row r="49680" hidden="1" x14ac:dyDescent="0.2"/>
    <row r="49681" hidden="1" x14ac:dyDescent="0.2"/>
    <row r="49682" hidden="1" x14ac:dyDescent="0.2"/>
    <row r="49683" hidden="1" x14ac:dyDescent="0.2"/>
    <row r="49684" hidden="1" x14ac:dyDescent="0.2"/>
    <row r="49685" hidden="1" x14ac:dyDescent="0.2"/>
    <row r="49686" hidden="1" x14ac:dyDescent="0.2"/>
    <row r="49687" hidden="1" x14ac:dyDescent="0.2"/>
    <row r="49688" hidden="1" x14ac:dyDescent="0.2"/>
    <row r="49689" hidden="1" x14ac:dyDescent="0.2"/>
    <row r="49690" hidden="1" x14ac:dyDescent="0.2"/>
    <row r="49691" hidden="1" x14ac:dyDescent="0.2"/>
    <row r="49692" hidden="1" x14ac:dyDescent="0.2"/>
    <row r="49693" hidden="1" x14ac:dyDescent="0.2"/>
    <row r="49694" hidden="1" x14ac:dyDescent="0.2"/>
    <row r="49695" hidden="1" x14ac:dyDescent="0.2"/>
    <row r="49696" hidden="1" x14ac:dyDescent="0.2"/>
    <row r="49697" hidden="1" x14ac:dyDescent="0.2"/>
    <row r="49698" hidden="1" x14ac:dyDescent="0.2"/>
    <row r="49699" hidden="1" x14ac:dyDescent="0.2"/>
    <row r="49700" hidden="1" x14ac:dyDescent="0.2"/>
    <row r="49701" hidden="1" x14ac:dyDescent="0.2"/>
    <row r="49702" hidden="1" x14ac:dyDescent="0.2"/>
    <row r="49703" hidden="1" x14ac:dyDescent="0.2"/>
    <row r="49704" hidden="1" x14ac:dyDescent="0.2"/>
    <row r="49705" hidden="1" x14ac:dyDescent="0.2"/>
    <row r="49706" hidden="1" x14ac:dyDescent="0.2"/>
    <row r="49707" hidden="1" x14ac:dyDescent="0.2"/>
    <row r="49708" hidden="1" x14ac:dyDescent="0.2"/>
    <row r="49709" hidden="1" x14ac:dyDescent="0.2"/>
    <row r="49710" hidden="1" x14ac:dyDescent="0.2"/>
    <row r="49711" hidden="1" x14ac:dyDescent="0.2"/>
    <row r="49712" hidden="1" x14ac:dyDescent="0.2"/>
    <row r="49713" hidden="1" x14ac:dyDescent="0.2"/>
    <row r="49714" hidden="1" x14ac:dyDescent="0.2"/>
    <row r="49715" hidden="1" x14ac:dyDescent="0.2"/>
    <row r="49716" hidden="1" x14ac:dyDescent="0.2"/>
    <row r="49717" hidden="1" x14ac:dyDescent="0.2"/>
    <row r="49718" hidden="1" x14ac:dyDescent="0.2"/>
    <row r="49719" hidden="1" x14ac:dyDescent="0.2"/>
    <row r="49720" hidden="1" x14ac:dyDescent="0.2"/>
    <row r="49721" hidden="1" x14ac:dyDescent="0.2"/>
    <row r="49722" hidden="1" x14ac:dyDescent="0.2"/>
    <row r="49723" hidden="1" x14ac:dyDescent="0.2"/>
    <row r="49724" hidden="1" x14ac:dyDescent="0.2"/>
    <row r="49725" hidden="1" x14ac:dyDescent="0.2"/>
    <row r="49726" hidden="1" x14ac:dyDescent="0.2"/>
    <row r="49727" hidden="1" x14ac:dyDescent="0.2"/>
    <row r="49728" hidden="1" x14ac:dyDescent="0.2"/>
    <row r="49729" hidden="1" x14ac:dyDescent="0.2"/>
    <row r="49730" hidden="1" x14ac:dyDescent="0.2"/>
    <row r="49731" hidden="1" x14ac:dyDescent="0.2"/>
    <row r="49732" hidden="1" x14ac:dyDescent="0.2"/>
    <row r="49733" hidden="1" x14ac:dyDescent="0.2"/>
    <row r="49734" hidden="1" x14ac:dyDescent="0.2"/>
    <row r="49735" hidden="1" x14ac:dyDescent="0.2"/>
    <row r="49736" hidden="1" x14ac:dyDescent="0.2"/>
    <row r="49737" hidden="1" x14ac:dyDescent="0.2"/>
    <row r="49738" hidden="1" x14ac:dyDescent="0.2"/>
    <row r="49739" hidden="1" x14ac:dyDescent="0.2"/>
    <row r="49740" hidden="1" x14ac:dyDescent="0.2"/>
    <row r="49741" hidden="1" x14ac:dyDescent="0.2"/>
    <row r="49742" hidden="1" x14ac:dyDescent="0.2"/>
    <row r="49743" hidden="1" x14ac:dyDescent="0.2"/>
    <row r="49744" hidden="1" x14ac:dyDescent="0.2"/>
    <row r="49745" hidden="1" x14ac:dyDescent="0.2"/>
    <row r="49746" hidden="1" x14ac:dyDescent="0.2"/>
    <row r="49747" hidden="1" x14ac:dyDescent="0.2"/>
    <row r="49748" hidden="1" x14ac:dyDescent="0.2"/>
    <row r="49749" hidden="1" x14ac:dyDescent="0.2"/>
    <row r="49750" hidden="1" x14ac:dyDescent="0.2"/>
    <row r="49751" hidden="1" x14ac:dyDescent="0.2"/>
    <row r="49752" hidden="1" x14ac:dyDescent="0.2"/>
    <row r="49753" hidden="1" x14ac:dyDescent="0.2"/>
    <row r="49754" hidden="1" x14ac:dyDescent="0.2"/>
    <row r="49755" hidden="1" x14ac:dyDescent="0.2"/>
    <row r="49756" hidden="1" x14ac:dyDescent="0.2"/>
    <row r="49757" hidden="1" x14ac:dyDescent="0.2"/>
    <row r="49758" hidden="1" x14ac:dyDescent="0.2"/>
    <row r="49759" hidden="1" x14ac:dyDescent="0.2"/>
    <row r="49760" hidden="1" x14ac:dyDescent="0.2"/>
    <row r="49761" hidden="1" x14ac:dyDescent="0.2"/>
    <row r="49762" hidden="1" x14ac:dyDescent="0.2"/>
    <row r="49763" hidden="1" x14ac:dyDescent="0.2"/>
    <row r="49764" hidden="1" x14ac:dyDescent="0.2"/>
    <row r="49765" hidden="1" x14ac:dyDescent="0.2"/>
    <row r="49766" hidden="1" x14ac:dyDescent="0.2"/>
    <row r="49767" hidden="1" x14ac:dyDescent="0.2"/>
    <row r="49768" hidden="1" x14ac:dyDescent="0.2"/>
    <row r="49769" hidden="1" x14ac:dyDescent="0.2"/>
    <row r="49770" hidden="1" x14ac:dyDescent="0.2"/>
    <row r="49771" hidden="1" x14ac:dyDescent="0.2"/>
    <row r="49772" hidden="1" x14ac:dyDescent="0.2"/>
    <row r="49773" hidden="1" x14ac:dyDescent="0.2"/>
    <row r="49774" hidden="1" x14ac:dyDescent="0.2"/>
    <row r="49775" hidden="1" x14ac:dyDescent="0.2"/>
    <row r="49776" hidden="1" x14ac:dyDescent="0.2"/>
    <row r="49777" hidden="1" x14ac:dyDescent="0.2"/>
    <row r="49778" hidden="1" x14ac:dyDescent="0.2"/>
    <row r="49779" hidden="1" x14ac:dyDescent="0.2"/>
    <row r="49780" hidden="1" x14ac:dyDescent="0.2"/>
    <row r="49781" hidden="1" x14ac:dyDescent="0.2"/>
    <row r="49782" hidden="1" x14ac:dyDescent="0.2"/>
    <row r="49783" hidden="1" x14ac:dyDescent="0.2"/>
    <row r="49784" hidden="1" x14ac:dyDescent="0.2"/>
    <row r="49785" hidden="1" x14ac:dyDescent="0.2"/>
    <row r="49786" hidden="1" x14ac:dyDescent="0.2"/>
    <row r="49787" hidden="1" x14ac:dyDescent="0.2"/>
    <row r="49788" hidden="1" x14ac:dyDescent="0.2"/>
    <row r="49789" hidden="1" x14ac:dyDescent="0.2"/>
    <row r="49790" hidden="1" x14ac:dyDescent="0.2"/>
    <row r="49791" hidden="1" x14ac:dyDescent="0.2"/>
    <row r="49792" hidden="1" x14ac:dyDescent="0.2"/>
    <row r="49793" hidden="1" x14ac:dyDescent="0.2"/>
    <row r="49794" hidden="1" x14ac:dyDescent="0.2"/>
    <row r="49795" hidden="1" x14ac:dyDescent="0.2"/>
    <row r="49796" hidden="1" x14ac:dyDescent="0.2"/>
    <row r="49797" hidden="1" x14ac:dyDescent="0.2"/>
    <row r="49798" hidden="1" x14ac:dyDescent="0.2"/>
    <row r="49799" hidden="1" x14ac:dyDescent="0.2"/>
    <row r="49800" hidden="1" x14ac:dyDescent="0.2"/>
    <row r="49801" hidden="1" x14ac:dyDescent="0.2"/>
    <row r="49802" hidden="1" x14ac:dyDescent="0.2"/>
    <row r="49803" hidden="1" x14ac:dyDescent="0.2"/>
    <row r="49804" hidden="1" x14ac:dyDescent="0.2"/>
    <row r="49805" hidden="1" x14ac:dyDescent="0.2"/>
    <row r="49806" hidden="1" x14ac:dyDescent="0.2"/>
    <row r="49807" hidden="1" x14ac:dyDescent="0.2"/>
    <row r="49808" hidden="1" x14ac:dyDescent="0.2"/>
    <row r="49809" hidden="1" x14ac:dyDescent="0.2"/>
    <row r="49810" hidden="1" x14ac:dyDescent="0.2"/>
    <row r="49811" hidden="1" x14ac:dyDescent="0.2"/>
    <row r="49812" hidden="1" x14ac:dyDescent="0.2"/>
    <row r="49813" hidden="1" x14ac:dyDescent="0.2"/>
    <row r="49814" hidden="1" x14ac:dyDescent="0.2"/>
    <row r="49815" hidden="1" x14ac:dyDescent="0.2"/>
    <row r="49816" hidden="1" x14ac:dyDescent="0.2"/>
    <row r="49817" hidden="1" x14ac:dyDescent="0.2"/>
    <row r="49818" hidden="1" x14ac:dyDescent="0.2"/>
    <row r="49819" hidden="1" x14ac:dyDescent="0.2"/>
    <row r="49820" hidden="1" x14ac:dyDescent="0.2"/>
    <row r="49821" hidden="1" x14ac:dyDescent="0.2"/>
    <row r="49822" hidden="1" x14ac:dyDescent="0.2"/>
    <row r="49823" hidden="1" x14ac:dyDescent="0.2"/>
    <row r="49824" hidden="1" x14ac:dyDescent="0.2"/>
    <row r="49825" hidden="1" x14ac:dyDescent="0.2"/>
    <row r="49826" hidden="1" x14ac:dyDescent="0.2"/>
    <row r="49827" hidden="1" x14ac:dyDescent="0.2"/>
    <row r="49828" hidden="1" x14ac:dyDescent="0.2"/>
    <row r="49829" hidden="1" x14ac:dyDescent="0.2"/>
    <row r="49830" hidden="1" x14ac:dyDescent="0.2"/>
    <row r="49831" hidden="1" x14ac:dyDescent="0.2"/>
    <row r="49832" hidden="1" x14ac:dyDescent="0.2"/>
    <row r="49833" hidden="1" x14ac:dyDescent="0.2"/>
    <row r="49834" hidden="1" x14ac:dyDescent="0.2"/>
    <row r="49835" hidden="1" x14ac:dyDescent="0.2"/>
    <row r="49836" hidden="1" x14ac:dyDescent="0.2"/>
    <row r="49837" hidden="1" x14ac:dyDescent="0.2"/>
    <row r="49838" hidden="1" x14ac:dyDescent="0.2"/>
    <row r="49839" hidden="1" x14ac:dyDescent="0.2"/>
    <row r="49840" hidden="1" x14ac:dyDescent="0.2"/>
    <row r="49841" hidden="1" x14ac:dyDescent="0.2"/>
    <row r="49842" hidden="1" x14ac:dyDescent="0.2"/>
    <row r="49843" hidden="1" x14ac:dyDescent="0.2"/>
    <row r="49844" hidden="1" x14ac:dyDescent="0.2"/>
    <row r="49845" hidden="1" x14ac:dyDescent="0.2"/>
    <row r="49846" hidden="1" x14ac:dyDescent="0.2"/>
    <row r="49847" hidden="1" x14ac:dyDescent="0.2"/>
    <row r="49848" hidden="1" x14ac:dyDescent="0.2"/>
    <row r="49849" hidden="1" x14ac:dyDescent="0.2"/>
    <row r="49850" hidden="1" x14ac:dyDescent="0.2"/>
    <row r="49851" hidden="1" x14ac:dyDescent="0.2"/>
    <row r="49852" hidden="1" x14ac:dyDescent="0.2"/>
    <row r="49853" hidden="1" x14ac:dyDescent="0.2"/>
    <row r="49854" hidden="1" x14ac:dyDescent="0.2"/>
    <row r="49855" hidden="1" x14ac:dyDescent="0.2"/>
    <row r="49856" hidden="1" x14ac:dyDescent="0.2"/>
    <row r="49857" hidden="1" x14ac:dyDescent="0.2"/>
    <row r="49858" hidden="1" x14ac:dyDescent="0.2"/>
    <row r="49859" hidden="1" x14ac:dyDescent="0.2"/>
    <row r="49860" hidden="1" x14ac:dyDescent="0.2"/>
    <row r="49861" hidden="1" x14ac:dyDescent="0.2"/>
    <row r="49862" hidden="1" x14ac:dyDescent="0.2"/>
    <row r="49863" hidden="1" x14ac:dyDescent="0.2"/>
    <row r="49864" hidden="1" x14ac:dyDescent="0.2"/>
    <row r="49865" hidden="1" x14ac:dyDescent="0.2"/>
    <row r="49866" hidden="1" x14ac:dyDescent="0.2"/>
    <row r="49867" hidden="1" x14ac:dyDescent="0.2"/>
    <row r="49868" hidden="1" x14ac:dyDescent="0.2"/>
    <row r="49869" hidden="1" x14ac:dyDescent="0.2"/>
    <row r="49870" hidden="1" x14ac:dyDescent="0.2"/>
    <row r="49871" hidden="1" x14ac:dyDescent="0.2"/>
    <row r="49872" hidden="1" x14ac:dyDescent="0.2"/>
    <row r="49873" hidden="1" x14ac:dyDescent="0.2"/>
    <row r="49874" hidden="1" x14ac:dyDescent="0.2"/>
    <row r="49875" hidden="1" x14ac:dyDescent="0.2"/>
    <row r="49876" hidden="1" x14ac:dyDescent="0.2"/>
    <row r="49877" hidden="1" x14ac:dyDescent="0.2"/>
    <row r="49878" hidden="1" x14ac:dyDescent="0.2"/>
    <row r="49879" hidden="1" x14ac:dyDescent="0.2"/>
    <row r="49880" hidden="1" x14ac:dyDescent="0.2"/>
    <row r="49881" hidden="1" x14ac:dyDescent="0.2"/>
    <row r="49882" hidden="1" x14ac:dyDescent="0.2"/>
    <row r="49883" hidden="1" x14ac:dyDescent="0.2"/>
    <row r="49884" hidden="1" x14ac:dyDescent="0.2"/>
    <row r="49885" hidden="1" x14ac:dyDescent="0.2"/>
    <row r="49886" hidden="1" x14ac:dyDescent="0.2"/>
    <row r="49887" hidden="1" x14ac:dyDescent="0.2"/>
    <row r="49888" hidden="1" x14ac:dyDescent="0.2"/>
    <row r="49889" hidden="1" x14ac:dyDescent="0.2"/>
    <row r="49890" hidden="1" x14ac:dyDescent="0.2"/>
    <row r="49891" hidden="1" x14ac:dyDescent="0.2"/>
    <row r="49892" hidden="1" x14ac:dyDescent="0.2"/>
    <row r="49893" hidden="1" x14ac:dyDescent="0.2"/>
    <row r="49894" hidden="1" x14ac:dyDescent="0.2"/>
    <row r="49895" hidden="1" x14ac:dyDescent="0.2"/>
    <row r="49896" hidden="1" x14ac:dyDescent="0.2"/>
    <row r="49897" hidden="1" x14ac:dyDescent="0.2"/>
    <row r="49898" hidden="1" x14ac:dyDescent="0.2"/>
    <row r="49899" hidden="1" x14ac:dyDescent="0.2"/>
    <row r="49900" hidden="1" x14ac:dyDescent="0.2"/>
    <row r="49901" hidden="1" x14ac:dyDescent="0.2"/>
    <row r="49902" hidden="1" x14ac:dyDescent="0.2"/>
    <row r="49903" hidden="1" x14ac:dyDescent="0.2"/>
    <row r="49904" hidden="1" x14ac:dyDescent="0.2"/>
    <row r="49905" hidden="1" x14ac:dyDescent="0.2"/>
    <row r="49906" hidden="1" x14ac:dyDescent="0.2"/>
    <row r="49907" hidden="1" x14ac:dyDescent="0.2"/>
    <row r="49908" hidden="1" x14ac:dyDescent="0.2"/>
    <row r="49909" hidden="1" x14ac:dyDescent="0.2"/>
    <row r="49910" hidden="1" x14ac:dyDescent="0.2"/>
    <row r="49911" hidden="1" x14ac:dyDescent="0.2"/>
    <row r="49912" hidden="1" x14ac:dyDescent="0.2"/>
    <row r="49913" hidden="1" x14ac:dyDescent="0.2"/>
    <row r="49914" hidden="1" x14ac:dyDescent="0.2"/>
    <row r="49915" hidden="1" x14ac:dyDescent="0.2"/>
    <row r="49916" hidden="1" x14ac:dyDescent="0.2"/>
    <row r="49917" hidden="1" x14ac:dyDescent="0.2"/>
    <row r="49918" hidden="1" x14ac:dyDescent="0.2"/>
    <row r="49919" hidden="1" x14ac:dyDescent="0.2"/>
    <row r="49920" hidden="1" x14ac:dyDescent="0.2"/>
    <row r="49921" hidden="1" x14ac:dyDescent="0.2"/>
    <row r="49922" hidden="1" x14ac:dyDescent="0.2"/>
    <row r="49923" hidden="1" x14ac:dyDescent="0.2"/>
    <row r="49924" hidden="1" x14ac:dyDescent="0.2"/>
    <row r="49925" hidden="1" x14ac:dyDescent="0.2"/>
    <row r="49926" hidden="1" x14ac:dyDescent="0.2"/>
    <row r="49927" hidden="1" x14ac:dyDescent="0.2"/>
    <row r="49928" hidden="1" x14ac:dyDescent="0.2"/>
    <row r="49929" hidden="1" x14ac:dyDescent="0.2"/>
    <row r="49930" hidden="1" x14ac:dyDescent="0.2"/>
    <row r="49931" hidden="1" x14ac:dyDescent="0.2"/>
    <row r="49932" hidden="1" x14ac:dyDescent="0.2"/>
    <row r="49933" hidden="1" x14ac:dyDescent="0.2"/>
    <row r="49934" hidden="1" x14ac:dyDescent="0.2"/>
    <row r="49935" hidden="1" x14ac:dyDescent="0.2"/>
    <row r="49936" hidden="1" x14ac:dyDescent="0.2"/>
    <row r="49937" hidden="1" x14ac:dyDescent="0.2"/>
    <row r="49938" hidden="1" x14ac:dyDescent="0.2"/>
    <row r="49939" hidden="1" x14ac:dyDescent="0.2"/>
    <row r="49940" hidden="1" x14ac:dyDescent="0.2"/>
    <row r="49941" hidden="1" x14ac:dyDescent="0.2"/>
    <row r="49942" hidden="1" x14ac:dyDescent="0.2"/>
    <row r="49943" hidden="1" x14ac:dyDescent="0.2"/>
    <row r="49944" hidden="1" x14ac:dyDescent="0.2"/>
    <row r="49945" hidden="1" x14ac:dyDescent="0.2"/>
    <row r="49946" hidden="1" x14ac:dyDescent="0.2"/>
    <row r="49947" hidden="1" x14ac:dyDescent="0.2"/>
    <row r="49948" hidden="1" x14ac:dyDescent="0.2"/>
    <row r="49949" hidden="1" x14ac:dyDescent="0.2"/>
    <row r="49950" hidden="1" x14ac:dyDescent="0.2"/>
    <row r="49951" hidden="1" x14ac:dyDescent="0.2"/>
    <row r="49952" hidden="1" x14ac:dyDescent="0.2"/>
    <row r="49953" hidden="1" x14ac:dyDescent="0.2"/>
    <row r="49954" hidden="1" x14ac:dyDescent="0.2"/>
    <row r="49955" hidden="1" x14ac:dyDescent="0.2"/>
    <row r="49956" hidden="1" x14ac:dyDescent="0.2"/>
    <row r="49957" hidden="1" x14ac:dyDescent="0.2"/>
    <row r="49958" hidden="1" x14ac:dyDescent="0.2"/>
    <row r="49959" hidden="1" x14ac:dyDescent="0.2"/>
    <row r="49960" hidden="1" x14ac:dyDescent="0.2"/>
    <row r="49961" hidden="1" x14ac:dyDescent="0.2"/>
    <row r="49962" hidden="1" x14ac:dyDescent="0.2"/>
    <row r="49963" hidden="1" x14ac:dyDescent="0.2"/>
    <row r="49964" hidden="1" x14ac:dyDescent="0.2"/>
    <row r="49965" hidden="1" x14ac:dyDescent="0.2"/>
    <row r="49966" hidden="1" x14ac:dyDescent="0.2"/>
    <row r="49967" hidden="1" x14ac:dyDescent="0.2"/>
    <row r="49968" hidden="1" x14ac:dyDescent="0.2"/>
    <row r="49969" hidden="1" x14ac:dyDescent="0.2"/>
    <row r="49970" hidden="1" x14ac:dyDescent="0.2"/>
    <row r="49971" hidden="1" x14ac:dyDescent="0.2"/>
    <row r="49972" hidden="1" x14ac:dyDescent="0.2"/>
    <row r="49973" hidden="1" x14ac:dyDescent="0.2"/>
    <row r="49974" hidden="1" x14ac:dyDescent="0.2"/>
    <row r="49975" hidden="1" x14ac:dyDescent="0.2"/>
    <row r="49976" hidden="1" x14ac:dyDescent="0.2"/>
    <row r="49977" hidden="1" x14ac:dyDescent="0.2"/>
    <row r="49978" hidden="1" x14ac:dyDescent="0.2"/>
    <row r="49979" hidden="1" x14ac:dyDescent="0.2"/>
    <row r="49980" hidden="1" x14ac:dyDescent="0.2"/>
    <row r="49981" hidden="1" x14ac:dyDescent="0.2"/>
    <row r="49982" hidden="1" x14ac:dyDescent="0.2"/>
    <row r="49983" hidden="1" x14ac:dyDescent="0.2"/>
    <row r="49984" hidden="1" x14ac:dyDescent="0.2"/>
    <row r="49985" hidden="1" x14ac:dyDescent="0.2"/>
    <row r="49986" hidden="1" x14ac:dyDescent="0.2"/>
    <row r="49987" hidden="1" x14ac:dyDescent="0.2"/>
    <row r="49988" hidden="1" x14ac:dyDescent="0.2"/>
    <row r="49989" hidden="1" x14ac:dyDescent="0.2"/>
    <row r="49990" hidden="1" x14ac:dyDescent="0.2"/>
    <row r="49991" hidden="1" x14ac:dyDescent="0.2"/>
    <row r="49992" hidden="1" x14ac:dyDescent="0.2"/>
    <row r="49993" hidden="1" x14ac:dyDescent="0.2"/>
    <row r="49994" hidden="1" x14ac:dyDescent="0.2"/>
    <row r="49995" hidden="1" x14ac:dyDescent="0.2"/>
    <row r="49996" hidden="1" x14ac:dyDescent="0.2"/>
    <row r="49997" hidden="1" x14ac:dyDescent="0.2"/>
    <row r="49998" hidden="1" x14ac:dyDescent="0.2"/>
    <row r="49999" hidden="1" x14ac:dyDescent="0.2"/>
    <row r="50000" hidden="1" x14ac:dyDescent="0.2"/>
    <row r="50001" hidden="1" x14ac:dyDescent="0.2"/>
    <row r="50002" hidden="1" x14ac:dyDescent="0.2"/>
    <row r="50003" hidden="1" x14ac:dyDescent="0.2"/>
    <row r="50004" hidden="1" x14ac:dyDescent="0.2"/>
    <row r="50005" hidden="1" x14ac:dyDescent="0.2"/>
    <row r="50006" hidden="1" x14ac:dyDescent="0.2"/>
    <row r="50007" hidden="1" x14ac:dyDescent="0.2"/>
    <row r="50008" hidden="1" x14ac:dyDescent="0.2"/>
    <row r="50009" hidden="1" x14ac:dyDescent="0.2"/>
    <row r="50010" hidden="1" x14ac:dyDescent="0.2"/>
    <row r="50011" hidden="1" x14ac:dyDescent="0.2"/>
    <row r="50012" hidden="1" x14ac:dyDescent="0.2"/>
    <row r="50013" hidden="1" x14ac:dyDescent="0.2"/>
    <row r="50014" hidden="1" x14ac:dyDescent="0.2"/>
    <row r="50015" hidden="1" x14ac:dyDescent="0.2"/>
    <row r="50016" hidden="1" x14ac:dyDescent="0.2"/>
    <row r="50017" hidden="1" x14ac:dyDescent="0.2"/>
    <row r="50018" hidden="1" x14ac:dyDescent="0.2"/>
    <row r="50019" hidden="1" x14ac:dyDescent="0.2"/>
    <row r="50020" hidden="1" x14ac:dyDescent="0.2"/>
    <row r="50021" hidden="1" x14ac:dyDescent="0.2"/>
    <row r="50022" hidden="1" x14ac:dyDescent="0.2"/>
    <row r="50023" hidden="1" x14ac:dyDescent="0.2"/>
    <row r="50024" hidden="1" x14ac:dyDescent="0.2"/>
    <row r="50025" hidden="1" x14ac:dyDescent="0.2"/>
    <row r="50026" hidden="1" x14ac:dyDescent="0.2"/>
    <row r="50027" hidden="1" x14ac:dyDescent="0.2"/>
    <row r="50028" hidden="1" x14ac:dyDescent="0.2"/>
    <row r="50029" hidden="1" x14ac:dyDescent="0.2"/>
    <row r="50030" hidden="1" x14ac:dyDescent="0.2"/>
    <row r="50031" hidden="1" x14ac:dyDescent="0.2"/>
    <row r="50032" hidden="1" x14ac:dyDescent="0.2"/>
    <row r="50033" hidden="1" x14ac:dyDescent="0.2"/>
    <row r="50034" hidden="1" x14ac:dyDescent="0.2"/>
    <row r="50035" hidden="1" x14ac:dyDescent="0.2"/>
    <row r="50036" hidden="1" x14ac:dyDescent="0.2"/>
    <row r="50037" hidden="1" x14ac:dyDescent="0.2"/>
    <row r="50038" hidden="1" x14ac:dyDescent="0.2"/>
    <row r="50039" hidden="1" x14ac:dyDescent="0.2"/>
    <row r="50040" hidden="1" x14ac:dyDescent="0.2"/>
    <row r="50041" hidden="1" x14ac:dyDescent="0.2"/>
    <row r="50042" hidden="1" x14ac:dyDescent="0.2"/>
    <row r="50043" hidden="1" x14ac:dyDescent="0.2"/>
    <row r="50044" hidden="1" x14ac:dyDescent="0.2"/>
    <row r="50045" hidden="1" x14ac:dyDescent="0.2"/>
    <row r="50046" hidden="1" x14ac:dyDescent="0.2"/>
    <row r="50047" hidden="1" x14ac:dyDescent="0.2"/>
    <row r="50048" hidden="1" x14ac:dyDescent="0.2"/>
    <row r="50049" hidden="1" x14ac:dyDescent="0.2"/>
    <row r="50050" hidden="1" x14ac:dyDescent="0.2"/>
    <row r="50051" hidden="1" x14ac:dyDescent="0.2"/>
    <row r="50052" hidden="1" x14ac:dyDescent="0.2"/>
    <row r="50053" hidden="1" x14ac:dyDescent="0.2"/>
    <row r="50054" hidden="1" x14ac:dyDescent="0.2"/>
    <row r="50055" hidden="1" x14ac:dyDescent="0.2"/>
    <row r="50056" hidden="1" x14ac:dyDescent="0.2"/>
    <row r="50057" hidden="1" x14ac:dyDescent="0.2"/>
    <row r="50058" hidden="1" x14ac:dyDescent="0.2"/>
    <row r="50059" hidden="1" x14ac:dyDescent="0.2"/>
    <row r="50060" hidden="1" x14ac:dyDescent="0.2"/>
    <row r="50061" hidden="1" x14ac:dyDescent="0.2"/>
    <row r="50062" hidden="1" x14ac:dyDescent="0.2"/>
    <row r="50063" hidden="1" x14ac:dyDescent="0.2"/>
    <row r="50064" hidden="1" x14ac:dyDescent="0.2"/>
    <row r="50065" hidden="1" x14ac:dyDescent="0.2"/>
    <row r="50066" hidden="1" x14ac:dyDescent="0.2"/>
    <row r="50067" hidden="1" x14ac:dyDescent="0.2"/>
    <row r="50068" hidden="1" x14ac:dyDescent="0.2"/>
    <row r="50069" hidden="1" x14ac:dyDescent="0.2"/>
    <row r="50070" hidden="1" x14ac:dyDescent="0.2"/>
    <row r="50071" hidden="1" x14ac:dyDescent="0.2"/>
    <row r="50072" hidden="1" x14ac:dyDescent="0.2"/>
    <row r="50073" hidden="1" x14ac:dyDescent="0.2"/>
    <row r="50074" hidden="1" x14ac:dyDescent="0.2"/>
    <row r="50075" hidden="1" x14ac:dyDescent="0.2"/>
    <row r="50076" hidden="1" x14ac:dyDescent="0.2"/>
    <row r="50077" hidden="1" x14ac:dyDescent="0.2"/>
    <row r="50078" hidden="1" x14ac:dyDescent="0.2"/>
    <row r="50079" hidden="1" x14ac:dyDescent="0.2"/>
    <row r="50080" hidden="1" x14ac:dyDescent="0.2"/>
    <row r="50081" hidden="1" x14ac:dyDescent="0.2"/>
    <row r="50082" hidden="1" x14ac:dyDescent="0.2"/>
    <row r="50083" hidden="1" x14ac:dyDescent="0.2"/>
    <row r="50084" hidden="1" x14ac:dyDescent="0.2"/>
    <row r="50085" hidden="1" x14ac:dyDescent="0.2"/>
    <row r="50086" hidden="1" x14ac:dyDescent="0.2"/>
    <row r="50087" hidden="1" x14ac:dyDescent="0.2"/>
    <row r="50088" hidden="1" x14ac:dyDescent="0.2"/>
    <row r="50089" hidden="1" x14ac:dyDescent="0.2"/>
    <row r="50090" hidden="1" x14ac:dyDescent="0.2"/>
    <row r="50091" hidden="1" x14ac:dyDescent="0.2"/>
    <row r="50092" hidden="1" x14ac:dyDescent="0.2"/>
    <row r="50093" hidden="1" x14ac:dyDescent="0.2"/>
    <row r="50094" hidden="1" x14ac:dyDescent="0.2"/>
    <row r="50095" hidden="1" x14ac:dyDescent="0.2"/>
    <row r="50096" hidden="1" x14ac:dyDescent="0.2"/>
    <row r="50097" hidden="1" x14ac:dyDescent="0.2"/>
    <row r="50098" hidden="1" x14ac:dyDescent="0.2"/>
    <row r="50099" hidden="1" x14ac:dyDescent="0.2"/>
    <row r="50100" hidden="1" x14ac:dyDescent="0.2"/>
    <row r="50101" hidden="1" x14ac:dyDescent="0.2"/>
    <row r="50102" hidden="1" x14ac:dyDescent="0.2"/>
    <row r="50103" hidden="1" x14ac:dyDescent="0.2"/>
    <row r="50104" hidden="1" x14ac:dyDescent="0.2"/>
    <row r="50105" hidden="1" x14ac:dyDescent="0.2"/>
    <row r="50106" hidden="1" x14ac:dyDescent="0.2"/>
    <row r="50107" hidden="1" x14ac:dyDescent="0.2"/>
    <row r="50108" hidden="1" x14ac:dyDescent="0.2"/>
    <row r="50109" hidden="1" x14ac:dyDescent="0.2"/>
    <row r="50110" hidden="1" x14ac:dyDescent="0.2"/>
    <row r="50111" hidden="1" x14ac:dyDescent="0.2"/>
    <row r="50112" hidden="1" x14ac:dyDescent="0.2"/>
    <row r="50113" hidden="1" x14ac:dyDescent="0.2"/>
    <row r="50114" hidden="1" x14ac:dyDescent="0.2"/>
    <row r="50115" hidden="1" x14ac:dyDescent="0.2"/>
    <row r="50116" hidden="1" x14ac:dyDescent="0.2"/>
    <row r="50117" hidden="1" x14ac:dyDescent="0.2"/>
    <row r="50118" hidden="1" x14ac:dyDescent="0.2"/>
    <row r="50119" hidden="1" x14ac:dyDescent="0.2"/>
    <row r="50120" hidden="1" x14ac:dyDescent="0.2"/>
    <row r="50121" hidden="1" x14ac:dyDescent="0.2"/>
    <row r="50122" hidden="1" x14ac:dyDescent="0.2"/>
    <row r="50123" hidden="1" x14ac:dyDescent="0.2"/>
    <row r="50124" hidden="1" x14ac:dyDescent="0.2"/>
    <row r="50125" hidden="1" x14ac:dyDescent="0.2"/>
    <row r="50126" hidden="1" x14ac:dyDescent="0.2"/>
    <row r="50127" hidden="1" x14ac:dyDescent="0.2"/>
    <row r="50128" hidden="1" x14ac:dyDescent="0.2"/>
    <row r="50129" hidden="1" x14ac:dyDescent="0.2"/>
    <row r="50130" hidden="1" x14ac:dyDescent="0.2"/>
    <row r="50131" hidden="1" x14ac:dyDescent="0.2"/>
    <row r="50132" hidden="1" x14ac:dyDescent="0.2"/>
    <row r="50133" hidden="1" x14ac:dyDescent="0.2"/>
    <row r="50134" hidden="1" x14ac:dyDescent="0.2"/>
    <row r="50135" hidden="1" x14ac:dyDescent="0.2"/>
    <row r="50136" hidden="1" x14ac:dyDescent="0.2"/>
    <row r="50137" hidden="1" x14ac:dyDescent="0.2"/>
    <row r="50138" hidden="1" x14ac:dyDescent="0.2"/>
    <row r="50139" hidden="1" x14ac:dyDescent="0.2"/>
    <row r="50140" hidden="1" x14ac:dyDescent="0.2"/>
    <row r="50141" hidden="1" x14ac:dyDescent="0.2"/>
    <row r="50142" hidden="1" x14ac:dyDescent="0.2"/>
    <row r="50143" hidden="1" x14ac:dyDescent="0.2"/>
    <row r="50144" hidden="1" x14ac:dyDescent="0.2"/>
    <row r="50145" hidden="1" x14ac:dyDescent="0.2"/>
    <row r="50146" hidden="1" x14ac:dyDescent="0.2"/>
    <row r="50147" hidden="1" x14ac:dyDescent="0.2"/>
    <row r="50148" hidden="1" x14ac:dyDescent="0.2"/>
    <row r="50149" hidden="1" x14ac:dyDescent="0.2"/>
    <row r="50150" hidden="1" x14ac:dyDescent="0.2"/>
    <row r="50151" hidden="1" x14ac:dyDescent="0.2"/>
    <row r="50152" hidden="1" x14ac:dyDescent="0.2"/>
    <row r="50153" hidden="1" x14ac:dyDescent="0.2"/>
    <row r="50154" hidden="1" x14ac:dyDescent="0.2"/>
    <row r="50155" hidden="1" x14ac:dyDescent="0.2"/>
    <row r="50156" hidden="1" x14ac:dyDescent="0.2"/>
    <row r="50157" hidden="1" x14ac:dyDescent="0.2"/>
    <row r="50158" hidden="1" x14ac:dyDescent="0.2"/>
    <row r="50159" hidden="1" x14ac:dyDescent="0.2"/>
    <row r="50160" hidden="1" x14ac:dyDescent="0.2"/>
    <row r="50161" hidden="1" x14ac:dyDescent="0.2"/>
    <row r="50162" hidden="1" x14ac:dyDescent="0.2"/>
    <row r="50163" hidden="1" x14ac:dyDescent="0.2"/>
    <row r="50164" hidden="1" x14ac:dyDescent="0.2"/>
    <row r="50165" hidden="1" x14ac:dyDescent="0.2"/>
    <row r="50166" hidden="1" x14ac:dyDescent="0.2"/>
    <row r="50167" hidden="1" x14ac:dyDescent="0.2"/>
    <row r="50168" hidden="1" x14ac:dyDescent="0.2"/>
    <row r="50169" hidden="1" x14ac:dyDescent="0.2"/>
    <row r="50170" hidden="1" x14ac:dyDescent="0.2"/>
    <row r="50171" hidden="1" x14ac:dyDescent="0.2"/>
    <row r="50172" hidden="1" x14ac:dyDescent="0.2"/>
    <row r="50173" hidden="1" x14ac:dyDescent="0.2"/>
    <row r="50174" hidden="1" x14ac:dyDescent="0.2"/>
    <row r="50175" hidden="1" x14ac:dyDescent="0.2"/>
    <row r="50176" hidden="1" x14ac:dyDescent="0.2"/>
    <row r="50177" hidden="1" x14ac:dyDescent="0.2"/>
    <row r="50178" hidden="1" x14ac:dyDescent="0.2"/>
    <row r="50179" hidden="1" x14ac:dyDescent="0.2"/>
    <row r="50180" hidden="1" x14ac:dyDescent="0.2"/>
    <row r="50181" hidden="1" x14ac:dyDescent="0.2"/>
    <row r="50182" hidden="1" x14ac:dyDescent="0.2"/>
    <row r="50183" hidden="1" x14ac:dyDescent="0.2"/>
    <row r="50184" hidden="1" x14ac:dyDescent="0.2"/>
    <row r="50185" hidden="1" x14ac:dyDescent="0.2"/>
    <row r="50186" hidden="1" x14ac:dyDescent="0.2"/>
    <row r="50187" hidden="1" x14ac:dyDescent="0.2"/>
    <row r="50188" hidden="1" x14ac:dyDescent="0.2"/>
    <row r="50189" hidden="1" x14ac:dyDescent="0.2"/>
    <row r="50190" hidden="1" x14ac:dyDescent="0.2"/>
    <row r="50191" hidden="1" x14ac:dyDescent="0.2"/>
    <row r="50192" hidden="1" x14ac:dyDescent="0.2"/>
    <row r="50193" hidden="1" x14ac:dyDescent="0.2"/>
    <row r="50194" hidden="1" x14ac:dyDescent="0.2"/>
    <row r="50195" hidden="1" x14ac:dyDescent="0.2"/>
    <row r="50196" hidden="1" x14ac:dyDescent="0.2"/>
    <row r="50197" hidden="1" x14ac:dyDescent="0.2"/>
    <row r="50198" hidden="1" x14ac:dyDescent="0.2"/>
    <row r="50199" hidden="1" x14ac:dyDescent="0.2"/>
    <row r="50200" hidden="1" x14ac:dyDescent="0.2"/>
    <row r="50201" hidden="1" x14ac:dyDescent="0.2"/>
    <row r="50202" hidden="1" x14ac:dyDescent="0.2"/>
    <row r="50203" hidden="1" x14ac:dyDescent="0.2"/>
    <row r="50204" hidden="1" x14ac:dyDescent="0.2"/>
    <row r="50205" hidden="1" x14ac:dyDescent="0.2"/>
    <row r="50206" hidden="1" x14ac:dyDescent="0.2"/>
    <row r="50207" hidden="1" x14ac:dyDescent="0.2"/>
    <row r="50208" hidden="1" x14ac:dyDescent="0.2"/>
    <row r="50209" hidden="1" x14ac:dyDescent="0.2"/>
    <row r="50210" hidden="1" x14ac:dyDescent="0.2"/>
    <row r="50211" hidden="1" x14ac:dyDescent="0.2"/>
    <row r="50212" hidden="1" x14ac:dyDescent="0.2"/>
    <row r="50213" hidden="1" x14ac:dyDescent="0.2"/>
    <row r="50214" hidden="1" x14ac:dyDescent="0.2"/>
    <row r="50215" hidden="1" x14ac:dyDescent="0.2"/>
    <row r="50216" hidden="1" x14ac:dyDescent="0.2"/>
    <row r="50217" hidden="1" x14ac:dyDescent="0.2"/>
    <row r="50218" hidden="1" x14ac:dyDescent="0.2"/>
    <row r="50219" hidden="1" x14ac:dyDescent="0.2"/>
    <row r="50220" hidden="1" x14ac:dyDescent="0.2"/>
    <row r="50221" hidden="1" x14ac:dyDescent="0.2"/>
    <row r="50222" hidden="1" x14ac:dyDescent="0.2"/>
    <row r="50223" hidden="1" x14ac:dyDescent="0.2"/>
    <row r="50224" hidden="1" x14ac:dyDescent="0.2"/>
    <row r="50225" hidden="1" x14ac:dyDescent="0.2"/>
    <row r="50226" hidden="1" x14ac:dyDescent="0.2"/>
    <row r="50227" hidden="1" x14ac:dyDescent="0.2"/>
    <row r="50228" hidden="1" x14ac:dyDescent="0.2"/>
    <row r="50229" hidden="1" x14ac:dyDescent="0.2"/>
    <row r="50230" hidden="1" x14ac:dyDescent="0.2"/>
    <row r="50231" hidden="1" x14ac:dyDescent="0.2"/>
    <row r="50232" hidden="1" x14ac:dyDescent="0.2"/>
    <row r="50233" hidden="1" x14ac:dyDescent="0.2"/>
    <row r="50234" hidden="1" x14ac:dyDescent="0.2"/>
    <row r="50235" hidden="1" x14ac:dyDescent="0.2"/>
    <row r="50236" hidden="1" x14ac:dyDescent="0.2"/>
    <row r="50237" hidden="1" x14ac:dyDescent="0.2"/>
    <row r="50238" hidden="1" x14ac:dyDescent="0.2"/>
    <row r="50239" hidden="1" x14ac:dyDescent="0.2"/>
    <row r="50240" hidden="1" x14ac:dyDescent="0.2"/>
    <row r="50241" hidden="1" x14ac:dyDescent="0.2"/>
    <row r="50242" hidden="1" x14ac:dyDescent="0.2"/>
    <row r="50243" hidden="1" x14ac:dyDescent="0.2"/>
    <row r="50244" hidden="1" x14ac:dyDescent="0.2"/>
    <row r="50245" hidden="1" x14ac:dyDescent="0.2"/>
    <row r="50246" hidden="1" x14ac:dyDescent="0.2"/>
    <row r="50247" hidden="1" x14ac:dyDescent="0.2"/>
    <row r="50248" hidden="1" x14ac:dyDescent="0.2"/>
    <row r="50249" hidden="1" x14ac:dyDescent="0.2"/>
    <row r="50250" hidden="1" x14ac:dyDescent="0.2"/>
    <row r="50251" hidden="1" x14ac:dyDescent="0.2"/>
    <row r="50252" hidden="1" x14ac:dyDescent="0.2"/>
    <row r="50253" hidden="1" x14ac:dyDescent="0.2"/>
    <row r="50254" hidden="1" x14ac:dyDescent="0.2"/>
    <row r="50255" hidden="1" x14ac:dyDescent="0.2"/>
    <row r="50256" hidden="1" x14ac:dyDescent="0.2"/>
    <row r="50257" hidden="1" x14ac:dyDescent="0.2"/>
    <row r="50258" hidden="1" x14ac:dyDescent="0.2"/>
    <row r="50259" hidden="1" x14ac:dyDescent="0.2"/>
    <row r="50260" hidden="1" x14ac:dyDescent="0.2"/>
    <row r="50261" hidden="1" x14ac:dyDescent="0.2"/>
    <row r="50262" hidden="1" x14ac:dyDescent="0.2"/>
    <row r="50263" hidden="1" x14ac:dyDescent="0.2"/>
    <row r="50264" hidden="1" x14ac:dyDescent="0.2"/>
    <row r="50265" hidden="1" x14ac:dyDescent="0.2"/>
    <row r="50266" hidden="1" x14ac:dyDescent="0.2"/>
    <row r="50267" hidden="1" x14ac:dyDescent="0.2"/>
    <row r="50268" hidden="1" x14ac:dyDescent="0.2"/>
    <row r="50269" hidden="1" x14ac:dyDescent="0.2"/>
    <row r="50270" hidden="1" x14ac:dyDescent="0.2"/>
    <row r="50271" hidden="1" x14ac:dyDescent="0.2"/>
    <row r="50272" hidden="1" x14ac:dyDescent="0.2"/>
    <row r="50273" hidden="1" x14ac:dyDescent="0.2"/>
    <row r="50274" hidden="1" x14ac:dyDescent="0.2"/>
    <row r="50275" hidden="1" x14ac:dyDescent="0.2"/>
    <row r="50276" hidden="1" x14ac:dyDescent="0.2"/>
    <row r="50277" hidden="1" x14ac:dyDescent="0.2"/>
    <row r="50278" hidden="1" x14ac:dyDescent="0.2"/>
    <row r="50279" hidden="1" x14ac:dyDescent="0.2"/>
    <row r="50280" hidden="1" x14ac:dyDescent="0.2"/>
    <row r="50281" hidden="1" x14ac:dyDescent="0.2"/>
    <row r="50282" hidden="1" x14ac:dyDescent="0.2"/>
    <row r="50283" hidden="1" x14ac:dyDescent="0.2"/>
    <row r="50284" hidden="1" x14ac:dyDescent="0.2"/>
    <row r="50285" hidden="1" x14ac:dyDescent="0.2"/>
    <row r="50286" hidden="1" x14ac:dyDescent="0.2"/>
    <row r="50287" hidden="1" x14ac:dyDescent="0.2"/>
    <row r="50288" hidden="1" x14ac:dyDescent="0.2"/>
    <row r="50289" hidden="1" x14ac:dyDescent="0.2"/>
    <row r="50290" hidden="1" x14ac:dyDescent="0.2"/>
    <row r="50291" hidden="1" x14ac:dyDescent="0.2"/>
    <row r="50292" hidden="1" x14ac:dyDescent="0.2"/>
    <row r="50293" hidden="1" x14ac:dyDescent="0.2"/>
    <row r="50294" hidden="1" x14ac:dyDescent="0.2"/>
    <row r="50295" hidden="1" x14ac:dyDescent="0.2"/>
    <row r="50296" hidden="1" x14ac:dyDescent="0.2"/>
    <row r="50297" hidden="1" x14ac:dyDescent="0.2"/>
    <row r="50298" hidden="1" x14ac:dyDescent="0.2"/>
    <row r="50299" hidden="1" x14ac:dyDescent="0.2"/>
    <row r="50300" hidden="1" x14ac:dyDescent="0.2"/>
    <row r="50301" hidden="1" x14ac:dyDescent="0.2"/>
    <row r="50302" hidden="1" x14ac:dyDescent="0.2"/>
    <row r="50303" hidden="1" x14ac:dyDescent="0.2"/>
    <row r="50304" hidden="1" x14ac:dyDescent="0.2"/>
    <row r="50305" hidden="1" x14ac:dyDescent="0.2"/>
    <row r="50306" hidden="1" x14ac:dyDescent="0.2"/>
    <row r="50307" hidden="1" x14ac:dyDescent="0.2"/>
    <row r="50308" hidden="1" x14ac:dyDescent="0.2"/>
    <row r="50309" hidden="1" x14ac:dyDescent="0.2"/>
    <row r="50310" hidden="1" x14ac:dyDescent="0.2"/>
    <row r="50311" hidden="1" x14ac:dyDescent="0.2"/>
    <row r="50312" hidden="1" x14ac:dyDescent="0.2"/>
    <row r="50313" hidden="1" x14ac:dyDescent="0.2"/>
    <row r="50314" hidden="1" x14ac:dyDescent="0.2"/>
    <row r="50315" hidden="1" x14ac:dyDescent="0.2"/>
    <row r="50316" hidden="1" x14ac:dyDescent="0.2"/>
    <row r="50317" hidden="1" x14ac:dyDescent="0.2"/>
    <row r="50318" hidden="1" x14ac:dyDescent="0.2"/>
    <row r="50319" hidden="1" x14ac:dyDescent="0.2"/>
    <row r="50320" hidden="1" x14ac:dyDescent="0.2"/>
    <row r="50321" hidden="1" x14ac:dyDescent="0.2"/>
    <row r="50322" hidden="1" x14ac:dyDescent="0.2"/>
    <row r="50323" hidden="1" x14ac:dyDescent="0.2"/>
    <row r="50324" hidden="1" x14ac:dyDescent="0.2"/>
    <row r="50325" hidden="1" x14ac:dyDescent="0.2"/>
    <row r="50326" hidden="1" x14ac:dyDescent="0.2"/>
    <row r="50327" hidden="1" x14ac:dyDescent="0.2"/>
    <row r="50328" hidden="1" x14ac:dyDescent="0.2"/>
    <row r="50329" hidden="1" x14ac:dyDescent="0.2"/>
    <row r="50330" hidden="1" x14ac:dyDescent="0.2"/>
    <row r="50331" hidden="1" x14ac:dyDescent="0.2"/>
    <row r="50332" hidden="1" x14ac:dyDescent="0.2"/>
    <row r="50333" hidden="1" x14ac:dyDescent="0.2"/>
    <row r="50334" hidden="1" x14ac:dyDescent="0.2"/>
    <row r="50335" hidden="1" x14ac:dyDescent="0.2"/>
    <row r="50336" hidden="1" x14ac:dyDescent="0.2"/>
    <row r="50337" hidden="1" x14ac:dyDescent="0.2"/>
    <row r="50338" hidden="1" x14ac:dyDescent="0.2"/>
    <row r="50339" hidden="1" x14ac:dyDescent="0.2"/>
    <row r="50340" hidden="1" x14ac:dyDescent="0.2"/>
    <row r="50341" hidden="1" x14ac:dyDescent="0.2"/>
    <row r="50342" hidden="1" x14ac:dyDescent="0.2"/>
    <row r="50343" hidden="1" x14ac:dyDescent="0.2"/>
    <row r="50344" hidden="1" x14ac:dyDescent="0.2"/>
    <row r="50345" hidden="1" x14ac:dyDescent="0.2"/>
    <row r="50346" hidden="1" x14ac:dyDescent="0.2"/>
    <row r="50347" hidden="1" x14ac:dyDescent="0.2"/>
    <row r="50348" hidden="1" x14ac:dyDescent="0.2"/>
    <row r="50349" hidden="1" x14ac:dyDescent="0.2"/>
    <row r="50350" hidden="1" x14ac:dyDescent="0.2"/>
    <row r="50351" hidden="1" x14ac:dyDescent="0.2"/>
    <row r="50352" hidden="1" x14ac:dyDescent="0.2"/>
    <row r="50353" hidden="1" x14ac:dyDescent="0.2"/>
    <row r="50354" hidden="1" x14ac:dyDescent="0.2"/>
    <row r="50355" hidden="1" x14ac:dyDescent="0.2"/>
    <row r="50356" hidden="1" x14ac:dyDescent="0.2"/>
    <row r="50357" hidden="1" x14ac:dyDescent="0.2"/>
    <row r="50358" hidden="1" x14ac:dyDescent="0.2"/>
    <row r="50359" hidden="1" x14ac:dyDescent="0.2"/>
    <row r="50360" hidden="1" x14ac:dyDescent="0.2"/>
    <row r="50361" hidden="1" x14ac:dyDescent="0.2"/>
    <row r="50362" hidden="1" x14ac:dyDescent="0.2"/>
    <row r="50363" hidden="1" x14ac:dyDescent="0.2"/>
    <row r="50364" hidden="1" x14ac:dyDescent="0.2"/>
    <row r="50365" hidden="1" x14ac:dyDescent="0.2"/>
    <row r="50366" hidden="1" x14ac:dyDescent="0.2"/>
    <row r="50367" hidden="1" x14ac:dyDescent="0.2"/>
    <row r="50368" hidden="1" x14ac:dyDescent="0.2"/>
    <row r="50369" hidden="1" x14ac:dyDescent="0.2"/>
    <row r="50370" hidden="1" x14ac:dyDescent="0.2"/>
    <row r="50371" hidden="1" x14ac:dyDescent="0.2"/>
    <row r="50372" hidden="1" x14ac:dyDescent="0.2"/>
    <row r="50373" hidden="1" x14ac:dyDescent="0.2"/>
    <row r="50374" hidden="1" x14ac:dyDescent="0.2"/>
    <row r="50375" hidden="1" x14ac:dyDescent="0.2"/>
    <row r="50376" hidden="1" x14ac:dyDescent="0.2"/>
    <row r="50377" hidden="1" x14ac:dyDescent="0.2"/>
    <row r="50378" hidden="1" x14ac:dyDescent="0.2"/>
    <row r="50379" hidden="1" x14ac:dyDescent="0.2"/>
    <row r="50380" hidden="1" x14ac:dyDescent="0.2"/>
    <row r="50381" hidden="1" x14ac:dyDescent="0.2"/>
    <row r="50382" hidden="1" x14ac:dyDescent="0.2"/>
    <row r="50383" hidden="1" x14ac:dyDescent="0.2"/>
    <row r="50384" hidden="1" x14ac:dyDescent="0.2"/>
    <row r="50385" hidden="1" x14ac:dyDescent="0.2"/>
    <row r="50386" hidden="1" x14ac:dyDescent="0.2"/>
    <row r="50387" hidden="1" x14ac:dyDescent="0.2"/>
    <row r="50388" hidden="1" x14ac:dyDescent="0.2"/>
    <row r="50389" hidden="1" x14ac:dyDescent="0.2"/>
    <row r="50390" hidden="1" x14ac:dyDescent="0.2"/>
    <row r="50391" hidden="1" x14ac:dyDescent="0.2"/>
    <row r="50392" hidden="1" x14ac:dyDescent="0.2"/>
    <row r="50393" hidden="1" x14ac:dyDescent="0.2"/>
    <row r="50394" hidden="1" x14ac:dyDescent="0.2"/>
    <row r="50395" hidden="1" x14ac:dyDescent="0.2"/>
    <row r="50396" hidden="1" x14ac:dyDescent="0.2"/>
    <row r="50397" hidden="1" x14ac:dyDescent="0.2"/>
    <row r="50398" hidden="1" x14ac:dyDescent="0.2"/>
    <row r="50399" hidden="1" x14ac:dyDescent="0.2"/>
    <row r="50400" hidden="1" x14ac:dyDescent="0.2"/>
    <row r="50401" hidden="1" x14ac:dyDescent="0.2"/>
    <row r="50402" hidden="1" x14ac:dyDescent="0.2"/>
    <row r="50403" hidden="1" x14ac:dyDescent="0.2"/>
    <row r="50404" hidden="1" x14ac:dyDescent="0.2"/>
    <row r="50405" hidden="1" x14ac:dyDescent="0.2"/>
    <row r="50406" hidden="1" x14ac:dyDescent="0.2"/>
    <row r="50407" hidden="1" x14ac:dyDescent="0.2"/>
    <row r="50408" hidden="1" x14ac:dyDescent="0.2"/>
    <row r="50409" hidden="1" x14ac:dyDescent="0.2"/>
    <row r="50410" hidden="1" x14ac:dyDescent="0.2"/>
    <row r="50411" hidden="1" x14ac:dyDescent="0.2"/>
    <row r="50412" hidden="1" x14ac:dyDescent="0.2"/>
    <row r="50413" hidden="1" x14ac:dyDescent="0.2"/>
    <row r="50414" hidden="1" x14ac:dyDescent="0.2"/>
    <row r="50415" hidden="1" x14ac:dyDescent="0.2"/>
    <row r="50416" hidden="1" x14ac:dyDescent="0.2"/>
    <row r="50417" hidden="1" x14ac:dyDescent="0.2"/>
    <row r="50418" hidden="1" x14ac:dyDescent="0.2"/>
    <row r="50419" hidden="1" x14ac:dyDescent="0.2"/>
    <row r="50420" hidden="1" x14ac:dyDescent="0.2"/>
    <row r="50421" hidden="1" x14ac:dyDescent="0.2"/>
    <row r="50422" hidden="1" x14ac:dyDescent="0.2"/>
    <row r="50423" hidden="1" x14ac:dyDescent="0.2"/>
    <row r="50424" hidden="1" x14ac:dyDescent="0.2"/>
    <row r="50425" hidden="1" x14ac:dyDescent="0.2"/>
    <row r="50426" hidden="1" x14ac:dyDescent="0.2"/>
    <row r="50427" hidden="1" x14ac:dyDescent="0.2"/>
    <row r="50428" hidden="1" x14ac:dyDescent="0.2"/>
    <row r="50429" hidden="1" x14ac:dyDescent="0.2"/>
    <row r="50430" hidden="1" x14ac:dyDescent="0.2"/>
    <row r="50431" hidden="1" x14ac:dyDescent="0.2"/>
    <row r="50432" hidden="1" x14ac:dyDescent="0.2"/>
    <row r="50433" hidden="1" x14ac:dyDescent="0.2"/>
    <row r="50434" hidden="1" x14ac:dyDescent="0.2"/>
    <row r="50435" hidden="1" x14ac:dyDescent="0.2"/>
    <row r="50436" hidden="1" x14ac:dyDescent="0.2"/>
    <row r="50437" hidden="1" x14ac:dyDescent="0.2"/>
    <row r="50438" hidden="1" x14ac:dyDescent="0.2"/>
    <row r="50439" hidden="1" x14ac:dyDescent="0.2"/>
    <row r="50440" hidden="1" x14ac:dyDescent="0.2"/>
    <row r="50441" hidden="1" x14ac:dyDescent="0.2"/>
    <row r="50442" hidden="1" x14ac:dyDescent="0.2"/>
    <row r="50443" hidden="1" x14ac:dyDescent="0.2"/>
    <row r="50444" hidden="1" x14ac:dyDescent="0.2"/>
    <row r="50445" hidden="1" x14ac:dyDescent="0.2"/>
    <row r="50446" hidden="1" x14ac:dyDescent="0.2"/>
    <row r="50447" hidden="1" x14ac:dyDescent="0.2"/>
    <row r="50448" hidden="1" x14ac:dyDescent="0.2"/>
    <row r="50449" hidden="1" x14ac:dyDescent="0.2"/>
    <row r="50450" hidden="1" x14ac:dyDescent="0.2"/>
    <row r="50451" hidden="1" x14ac:dyDescent="0.2"/>
    <row r="50452" hidden="1" x14ac:dyDescent="0.2"/>
    <row r="50453" hidden="1" x14ac:dyDescent="0.2"/>
    <row r="50454" hidden="1" x14ac:dyDescent="0.2"/>
    <row r="50455" hidden="1" x14ac:dyDescent="0.2"/>
    <row r="50456" hidden="1" x14ac:dyDescent="0.2"/>
    <row r="50457" hidden="1" x14ac:dyDescent="0.2"/>
    <row r="50458" hidden="1" x14ac:dyDescent="0.2"/>
    <row r="50459" hidden="1" x14ac:dyDescent="0.2"/>
    <row r="50460" hidden="1" x14ac:dyDescent="0.2"/>
    <row r="50461" hidden="1" x14ac:dyDescent="0.2"/>
    <row r="50462" hidden="1" x14ac:dyDescent="0.2"/>
    <row r="50463" hidden="1" x14ac:dyDescent="0.2"/>
    <row r="50464" hidden="1" x14ac:dyDescent="0.2"/>
    <row r="50465" hidden="1" x14ac:dyDescent="0.2"/>
    <row r="50466" hidden="1" x14ac:dyDescent="0.2"/>
    <row r="50467" hidden="1" x14ac:dyDescent="0.2"/>
    <row r="50468" hidden="1" x14ac:dyDescent="0.2"/>
    <row r="50469" hidden="1" x14ac:dyDescent="0.2"/>
    <row r="50470" hidden="1" x14ac:dyDescent="0.2"/>
    <row r="50471" hidden="1" x14ac:dyDescent="0.2"/>
    <row r="50472" hidden="1" x14ac:dyDescent="0.2"/>
    <row r="50473" hidden="1" x14ac:dyDescent="0.2"/>
    <row r="50474" hidden="1" x14ac:dyDescent="0.2"/>
    <row r="50475" hidden="1" x14ac:dyDescent="0.2"/>
    <row r="50476" hidden="1" x14ac:dyDescent="0.2"/>
    <row r="50477" hidden="1" x14ac:dyDescent="0.2"/>
    <row r="50478" hidden="1" x14ac:dyDescent="0.2"/>
    <row r="50479" hidden="1" x14ac:dyDescent="0.2"/>
    <row r="50480" hidden="1" x14ac:dyDescent="0.2"/>
    <row r="50481" hidden="1" x14ac:dyDescent="0.2"/>
    <row r="50482" hidden="1" x14ac:dyDescent="0.2"/>
    <row r="50483" hidden="1" x14ac:dyDescent="0.2"/>
    <row r="50484" hidden="1" x14ac:dyDescent="0.2"/>
    <row r="50485" hidden="1" x14ac:dyDescent="0.2"/>
    <row r="50486" hidden="1" x14ac:dyDescent="0.2"/>
    <row r="50487" hidden="1" x14ac:dyDescent="0.2"/>
    <row r="50488" hidden="1" x14ac:dyDescent="0.2"/>
    <row r="50489" hidden="1" x14ac:dyDescent="0.2"/>
    <row r="50490" hidden="1" x14ac:dyDescent="0.2"/>
    <row r="50491" hidden="1" x14ac:dyDescent="0.2"/>
    <row r="50492" hidden="1" x14ac:dyDescent="0.2"/>
    <row r="50493" hidden="1" x14ac:dyDescent="0.2"/>
    <row r="50494" hidden="1" x14ac:dyDescent="0.2"/>
    <row r="50495" hidden="1" x14ac:dyDescent="0.2"/>
    <row r="50496" hidden="1" x14ac:dyDescent="0.2"/>
    <row r="50497" hidden="1" x14ac:dyDescent="0.2"/>
    <row r="50498" hidden="1" x14ac:dyDescent="0.2"/>
    <row r="50499" hidden="1" x14ac:dyDescent="0.2"/>
    <row r="50500" hidden="1" x14ac:dyDescent="0.2"/>
    <row r="50501" hidden="1" x14ac:dyDescent="0.2"/>
    <row r="50502" hidden="1" x14ac:dyDescent="0.2"/>
    <row r="50503" hidden="1" x14ac:dyDescent="0.2"/>
    <row r="50504" hidden="1" x14ac:dyDescent="0.2"/>
    <row r="50505" hidden="1" x14ac:dyDescent="0.2"/>
    <row r="50506" hidden="1" x14ac:dyDescent="0.2"/>
    <row r="50507" hidden="1" x14ac:dyDescent="0.2"/>
    <row r="50508" hidden="1" x14ac:dyDescent="0.2"/>
    <row r="50509" hidden="1" x14ac:dyDescent="0.2"/>
    <row r="50510" hidden="1" x14ac:dyDescent="0.2"/>
    <row r="50511" hidden="1" x14ac:dyDescent="0.2"/>
    <row r="50512" hidden="1" x14ac:dyDescent="0.2"/>
    <row r="50513" hidden="1" x14ac:dyDescent="0.2"/>
    <row r="50514" hidden="1" x14ac:dyDescent="0.2"/>
    <row r="50515" hidden="1" x14ac:dyDescent="0.2"/>
    <row r="50516" hidden="1" x14ac:dyDescent="0.2"/>
    <row r="50517" hidden="1" x14ac:dyDescent="0.2"/>
    <row r="50518" hidden="1" x14ac:dyDescent="0.2"/>
    <row r="50519" hidden="1" x14ac:dyDescent="0.2"/>
    <row r="50520" hidden="1" x14ac:dyDescent="0.2"/>
    <row r="50521" hidden="1" x14ac:dyDescent="0.2"/>
    <row r="50522" hidden="1" x14ac:dyDescent="0.2"/>
    <row r="50523" hidden="1" x14ac:dyDescent="0.2"/>
    <row r="50524" hidden="1" x14ac:dyDescent="0.2"/>
    <row r="50525" hidden="1" x14ac:dyDescent="0.2"/>
    <row r="50526" hidden="1" x14ac:dyDescent="0.2"/>
    <row r="50527" hidden="1" x14ac:dyDescent="0.2"/>
    <row r="50528" hidden="1" x14ac:dyDescent="0.2"/>
    <row r="50529" hidden="1" x14ac:dyDescent="0.2"/>
    <row r="50530" hidden="1" x14ac:dyDescent="0.2"/>
    <row r="50531" hidden="1" x14ac:dyDescent="0.2"/>
    <row r="50532" hidden="1" x14ac:dyDescent="0.2"/>
    <row r="50533" hidden="1" x14ac:dyDescent="0.2"/>
    <row r="50534" hidden="1" x14ac:dyDescent="0.2"/>
    <row r="50535" hidden="1" x14ac:dyDescent="0.2"/>
    <row r="50536" hidden="1" x14ac:dyDescent="0.2"/>
    <row r="50537" hidden="1" x14ac:dyDescent="0.2"/>
    <row r="50538" hidden="1" x14ac:dyDescent="0.2"/>
    <row r="50539" hidden="1" x14ac:dyDescent="0.2"/>
    <row r="50540" hidden="1" x14ac:dyDescent="0.2"/>
    <row r="50541" hidden="1" x14ac:dyDescent="0.2"/>
    <row r="50542" hidden="1" x14ac:dyDescent="0.2"/>
    <row r="50543" hidden="1" x14ac:dyDescent="0.2"/>
    <row r="50544" hidden="1" x14ac:dyDescent="0.2"/>
    <row r="50545" hidden="1" x14ac:dyDescent="0.2"/>
    <row r="50546" hidden="1" x14ac:dyDescent="0.2"/>
    <row r="50547" hidden="1" x14ac:dyDescent="0.2"/>
    <row r="50548" hidden="1" x14ac:dyDescent="0.2"/>
    <row r="50549" hidden="1" x14ac:dyDescent="0.2"/>
    <row r="50550" hidden="1" x14ac:dyDescent="0.2"/>
    <row r="50551" hidden="1" x14ac:dyDescent="0.2"/>
    <row r="50552" hidden="1" x14ac:dyDescent="0.2"/>
    <row r="50553" hidden="1" x14ac:dyDescent="0.2"/>
    <row r="50554" hidden="1" x14ac:dyDescent="0.2"/>
    <row r="50555" hidden="1" x14ac:dyDescent="0.2"/>
    <row r="50556" hidden="1" x14ac:dyDescent="0.2"/>
    <row r="50557" hidden="1" x14ac:dyDescent="0.2"/>
    <row r="50558" hidden="1" x14ac:dyDescent="0.2"/>
    <row r="50559" hidden="1" x14ac:dyDescent="0.2"/>
    <row r="50560" hidden="1" x14ac:dyDescent="0.2"/>
    <row r="50561" hidden="1" x14ac:dyDescent="0.2"/>
    <row r="50562" hidden="1" x14ac:dyDescent="0.2"/>
    <row r="50563" hidden="1" x14ac:dyDescent="0.2"/>
    <row r="50564" hidden="1" x14ac:dyDescent="0.2"/>
    <row r="50565" hidden="1" x14ac:dyDescent="0.2"/>
    <row r="50566" hidden="1" x14ac:dyDescent="0.2"/>
    <row r="50567" hidden="1" x14ac:dyDescent="0.2"/>
    <row r="50568" hidden="1" x14ac:dyDescent="0.2"/>
    <row r="50569" hidden="1" x14ac:dyDescent="0.2"/>
    <row r="50570" hidden="1" x14ac:dyDescent="0.2"/>
    <row r="50571" hidden="1" x14ac:dyDescent="0.2"/>
    <row r="50572" hidden="1" x14ac:dyDescent="0.2"/>
    <row r="50573" hidden="1" x14ac:dyDescent="0.2"/>
    <row r="50574" hidden="1" x14ac:dyDescent="0.2"/>
    <row r="50575" hidden="1" x14ac:dyDescent="0.2"/>
    <row r="50576" hidden="1" x14ac:dyDescent="0.2"/>
    <row r="50577" hidden="1" x14ac:dyDescent="0.2"/>
    <row r="50578" hidden="1" x14ac:dyDescent="0.2"/>
    <row r="50579" hidden="1" x14ac:dyDescent="0.2"/>
    <row r="50580" hidden="1" x14ac:dyDescent="0.2"/>
    <row r="50581" hidden="1" x14ac:dyDescent="0.2"/>
    <row r="50582" hidden="1" x14ac:dyDescent="0.2"/>
    <row r="50583" hidden="1" x14ac:dyDescent="0.2"/>
    <row r="50584" hidden="1" x14ac:dyDescent="0.2"/>
    <row r="50585" hidden="1" x14ac:dyDescent="0.2"/>
    <row r="50586" hidden="1" x14ac:dyDescent="0.2"/>
    <row r="50587" hidden="1" x14ac:dyDescent="0.2"/>
    <row r="50588" hidden="1" x14ac:dyDescent="0.2"/>
    <row r="50589" hidden="1" x14ac:dyDescent="0.2"/>
    <row r="50590" hidden="1" x14ac:dyDescent="0.2"/>
    <row r="50591" hidden="1" x14ac:dyDescent="0.2"/>
    <row r="50592" hidden="1" x14ac:dyDescent="0.2"/>
    <row r="50593" hidden="1" x14ac:dyDescent="0.2"/>
    <row r="50594" hidden="1" x14ac:dyDescent="0.2"/>
    <row r="50595" hidden="1" x14ac:dyDescent="0.2"/>
    <row r="50596" hidden="1" x14ac:dyDescent="0.2"/>
    <row r="50597" hidden="1" x14ac:dyDescent="0.2"/>
    <row r="50598" hidden="1" x14ac:dyDescent="0.2"/>
    <row r="50599" hidden="1" x14ac:dyDescent="0.2"/>
    <row r="50600" hidden="1" x14ac:dyDescent="0.2"/>
    <row r="50601" hidden="1" x14ac:dyDescent="0.2"/>
    <row r="50602" hidden="1" x14ac:dyDescent="0.2"/>
    <row r="50603" hidden="1" x14ac:dyDescent="0.2"/>
    <row r="50604" hidden="1" x14ac:dyDescent="0.2"/>
    <row r="50605" hidden="1" x14ac:dyDescent="0.2"/>
    <row r="50606" hidden="1" x14ac:dyDescent="0.2"/>
    <row r="50607" hidden="1" x14ac:dyDescent="0.2"/>
    <row r="50608" hidden="1" x14ac:dyDescent="0.2"/>
    <row r="50609" hidden="1" x14ac:dyDescent="0.2"/>
    <row r="50610" hidden="1" x14ac:dyDescent="0.2"/>
    <row r="50611" hidden="1" x14ac:dyDescent="0.2"/>
    <row r="50612" hidden="1" x14ac:dyDescent="0.2"/>
    <row r="50613" hidden="1" x14ac:dyDescent="0.2"/>
    <row r="50614" hidden="1" x14ac:dyDescent="0.2"/>
    <row r="50615" hidden="1" x14ac:dyDescent="0.2"/>
    <row r="50616" hidden="1" x14ac:dyDescent="0.2"/>
    <row r="50617" hidden="1" x14ac:dyDescent="0.2"/>
    <row r="50618" hidden="1" x14ac:dyDescent="0.2"/>
    <row r="50619" hidden="1" x14ac:dyDescent="0.2"/>
    <row r="50620" hidden="1" x14ac:dyDescent="0.2"/>
    <row r="50621" hidden="1" x14ac:dyDescent="0.2"/>
    <row r="50622" hidden="1" x14ac:dyDescent="0.2"/>
    <row r="50623" hidden="1" x14ac:dyDescent="0.2"/>
    <row r="50624" hidden="1" x14ac:dyDescent="0.2"/>
    <row r="50625" hidden="1" x14ac:dyDescent="0.2"/>
    <row r="50626" hidden="1" x14ac:dyDescent="0.2"/>
    <row r="50627" hidden="1" x14ac:dyDescent="0.2"/>
    <row r="50628" hidden="1" x14ac:dyDescent="0.2"/>
    <row r="50629" hidden="1" x14ac:dyDescent="0.2"/>
    <row r="50630" hidden="1" x14ac:dyDescent="0.2"/>
    <row r="50631" hidden="1" x14ac:dyDescent="0.2"/>
    <row r="50632" hidden="1" x14ac:dyDescent="0.2"/>
    <row r="50633" hidden="1" x14ac:dyDescent="0.2"/>
    <row r="50634" hidden="1" x14ac:dyDescent="0.2"/>
    <row r="50635" hidden="1" x14ac:dyDescent="0.2"/>
    <row r="50636" hidden="1" x14ac:dyDescent="0.2"/>
    <row r="50637" hidden="1" x14ac:dyDescent="0.2"/>
    <row r="50638" hidden="1" x14ac:dyDescent="0.2"/>
    <row r="50639" hidden="1" x14ac:dyDescent="0.2"/>
    <row r="50640" hidden="1" x14ac:dyDescent="0.2"/>
    <row r="50641" hidden="1" x14ac:dyDescent="0.2"/>
    <row r="50642" hidden="1" x14ac:dyDescent="0.2"/>
    <row r="50643" hidden="1" x14ac:dyDescent="0.2"/>
    <row r="50644" hidden="1" x14ac:dyDescent="0.2"/>
    <row r="50645" hidden="1" x14ac:dyDescent="0.2"/>
    <row r="50646" hidden="1" x14ac:dyDescent="0.2"/>
    <row r="50647" hidden="1" x14ac:dyDescent="0.2"/>
    <row r="50648" hidden="1" x14ac:dyDescent="0.2"/>
    <row r="50649" hidden="1" x14ac:dyDescent="0.2"/>
    <row r="50650" hidden="1" x14ac:dyDescent="0.2"/>
    <row r="50651" hidden="1" x14ac:dyDescent="0.2"/>
    <row r="50652" hidden="1" x14ac:dyDescent="0.2"/>
    <row r="50653" hidden="1" x14ac:dyDescent="0.2"/>
    <row r="50654" hidden="1" x14ac:dyDescent="0.2"/>
    <row r="50655" hidden="1" x14ac:dyDescent="0.2"/>
    <row r="50656" hidden="1" x14ac:dyDescent="0.2"/>
    <row r="50657" hidden="1" x14ac:dyDescent="0.2"/>
    <row r="50658" hidden="1" x14ac:dyDescent="0.2"/>
    <row r="50659" hidden="1" x14ac:dyDescent="0.2"/>
    <row r="50660" hidden="1" x14ac:dyDescent="0.2"/>
    <row r="50661" hidden="1" x14ac:dyDescent="0.2"/>
    <row r="50662" hidden="1" x14ac:dyDescent="0.2"/>
    <row r="50663" hidden="1" x14ac:dyDescent="0.2"/>
    <row r="50664" hidden="1" x14ac:dyDescent="0.2"/>
    <row r="50665" hidden="1" x14ac:dyDescent="0.2"/>
    <row r="50666" hidden="1" x14ac:dyDescent="0.2"/>
    <row r="50667" hidden="1" x14ac:dyDescent="0.2"/>
    <row r="50668" hidden="1" x14ac:dyDescent="0.2"/>
    <row r="50669" hidden="1" x14ac:dyDescent="0.2"/>
    <row r="50670" hidden="1" x14ac:dyDescent="0.2"/>
    <row r="50671" hidden="1" x14ac:dyDescent="0.2"/>
    <row r="50672" hidden="1" x14ac:dyDescent="0.2"/>
    <row r="50673" hidden="1" x14ac:dyDescent="0.2"/>
    <row r="50674" hidden="1" x14ac:dyDescent="0.2"/>
    <row r="50675" hidden="1" x14ac:dyDescent="0.2"/>
    <row r="50676" hidden="1" x14ac:dyDescent="0.2"/>
    <row r="50677" hidden="1" x14ac:dyDescent="0.2"/>
    <row r="50678" hidden="1" x14ac:dyDescent="0.2"/>
    <row r="50679" hidden="1" x14ac:dyDescent="0.2"/>
    <row r="50680" hidden="1" x14ac:dyDescent="0.2"/>
    <row r="50681" hidden="1" x14ac:dyDescent="0.2"/>
    <row r="50682" hidden="1" x14ac:dyDescent="0.2"/>
    <row r="50683" hidden="1" x14ac:dyDescent="0.2"/>
    <row r="50684" hidden="1" x14ac:dyDescent="0.2"/>
    <row r="50685" hidden="1" x14ac:dyDescent="0.2"/>
    <row r="50686" hidden="1" x14ac:dyDescent="0.2"/>
    <row r="50687" hidden="1" x14ac:dyDescent="0.2"/>
    <row r="50688" hidden="1" x14ac:dyDescent="0.2"/>
    <row r="50689" hidden="1" x14ac:dyDescent="0.2"/>
    <row r="50690" hidden="1" x14ac:dyDescent="0.2"/>
    <row r="50691" hidden="1" x14ac:dyDescent="0.2"/>
    <row r="50692" hidden="1" x14ac:dyDescent="0.2"/>
    <row r="50693" hidden="1" x14ac:dyDescent="0.2"/>
    <row r="50694" hidden="1" x14ac:dyDescent="0.2"/>
    <row r="50695" hidden="1" x14ac:dyDescent="0.2"/>
    <row r="50696" hidden="1" x14ac:dyDescent="0.2"/>
    <row r="50697" hidden="1" x14ac:dyDescent="0.2"/>
    <row r="50698" hidden="1" x14ac:dyDescent="0.2"/>
    <row r="50699" hidden="1" x14ac:dyDescent="0.2"/>
    <row r="50700" hidden="1" x14ac:dyDescent="0.2"/>
    <row r="50701" hidden="1" x14ac:dyDescent="0.2"/>
    <row r="50702" hidden="1" x14ac:dyDescent="0.2"/>
    <row r="50703" hidden="1" x14ac:dyDescent="0.2"/>
    <row r="50704" hidden="1" x14ac:dyDescent="0.2"/>
    <row r="50705" hidden="1" x14ac:dyDescent="0.2"/>
    <row r="50706" hidden="1" x14ac:dyDescent="0.2"/>
    <row r="50707" hidden="1" x14ac:dyDescent="0.2"/>
    <row r="50708" hidden="1" x14ac:dyDescent="0.2"/>
    <row r="50709" hidden="1" x14ac:dyDescent="0.2"/>
    <row r="50710" hidden="1" x14ac:dyDescent="0.2"/>
    <row r="50711" hidden="1" x14ac:dyDescent="0.2"/>
    <row r="50712" hidden="1" x14ac:dyDescent="0.2"/>
    <row r="50713" hidden="1" x14ac:dyDescent="0.2"/>
    <row r="50714" hidden="1" x14ac:dyDescent="0.2"/>
    <row r="50715" hidden="1" x14ac:dyDescent="0.2"/>
    <row r="50716" hidden="1" x14ac:dyDescent="0.2"/>
    <row r="50717" hidden="1" x14ac:dyDescent="0.2"/>
    <row r="50718" hidden="1" x14ac:dyDescent="0.2"/>
    <row r="50719" hidden="1" x14ac:dyDescent="0.2"/>
    <row r="50720" hidden="1" x14ac:dyDescent="0.2"/>
    <row r="50721" hidden="1" x14ac:dyDescent="0.2"/>
    <row r="50722" hidden="1" x14ac:dyDescent="0.2"/>
    <row r="50723" hidden="1" x14ac:dyDescent="0.2"/>
    <row r="50724" hidden="1" x14ac:dyDescent="0.2"/>
    <row r="50725" hidden="1" x14ac:dyDescent="0.2"/>
    <row r="50726" hidden="1" x14ac:dyDescent="0.2"/>
    <row r="50727" hidden="1" x14ac:dyDescent="0.2"/>
    <row r="50728" hidden="1" x14ac:dyDescent="0.2"/>
    <row r="50729" hidden="1" x14ac:dyDescent="0.2"/>
    <row r="50730" hidden="1" x14ac:dyDescent="0.2"/>
    <row r="50731" hidden="1" x14ac:dyDescent="0.2"/>
    <row r="50732" hidden="1" x14ac:dyDescent="0.2"/>
    <row r="50733" hidden="1" x14ac:dyDescent="0.2"/>
    <row r="50734" hidden="1" x14ac:dyDescent="0.2"/>
    <row r="50735" hidden="1" x14ac:dyDescent="0.2"/>
    <row r="50736" hidden="1" x14ac:dyDescent="0.2"/>
    <row r="50737" hidden="1" x14ac:dyDescent="0.2"/>
    <row r="50738" hidden="1" x14ac:dyDescent="0.2"/>
    <row r="50739" hidden="1" x14ac:dyDescent="0.2"/>
    <row r="50740" hidden="1" x14ac:dyDescent="0.2"/>
    <row r="50741" hidden="1" x14ac:dyDescent="0.2"/>
    <row r="50742" hidden="1" x14ac:dyDescent="0.2"/>
    <row r="50743" hidden="1" x14ac:dyDescent="0.2"/>
    <row r="50744" hidden="1" x14ac:dyDescent="0.2"/>
    <row r="50745" hidden="1" x14ac:dyDescent="0.2"/>
    <row r="50746" hidden="1" x14ac:dyDescent="0.2"/>
    <row r="50747" hidden="1" x14ac:dyDescent="0.2"/>
    <row r="50748" hidden="1" x14ac:dyDescent="0.2"/>
    <row r="50749" hidden="1" x14ac:dyDescent="0.2"/>
    <row r="50750" hidden="1" x14ac:dyDescent="0.2"/>
    <row r="50751" hidden="1" x14ac:dyDescent="0.2"/>
    <row r="50752" hidden="1" x14ac:dyDescent="0.2"/>
    <row r="50753" hidden="1" x14ac:dyDescent="0.2"/>
    <row r="50754" hidden="1" x14ac:dyDescent="0.2"/>
    <row r="50755" hidden="1" x14ac:dyDescent="0.2"/>
    <row r="50756" hidden="1" x14ac:dyDescent="0.2"/>
    <row r="50757" hidden="1" x14ac:dyDescent="0.2"/>
    <row r="50758" hidden="1" x14ac:dyDescent="0.2"/>
    <row r="50759" hidden="1" x14ac:dyDescent="0.2"/>
    <row r="50760" hidden="1" x14ac:dyDescent="0.2"/>
    <row r="50761" hidden="1" x14ac:dyDescent="0.2"/>
    <row r="50762" hidden="1" x14ac:dyDescent="0.2"/>
    <row r="50763" hidden="1" x14ac:dyDescent="0.2"/>
    <row r="50764" hidden="1" x14ac:dyDescent="0.2"/>
    <row r="50765" hidden="1" x14ac:dyDescent="0.2"/>
    <row r="50766" hidden="1" x14ac:dyDescent="0.2"/>
    <row r="50767" hidden="1" x14ac:dyDescent="0.2"/>
    <row r="50768" hidden="1" x14ac:dyDescent="0.2"/>
    <row r="50769" hidden="1" x14ac:dyDescent="0.2"/>
    <row r="50770" hidden="1" x14ac:dyDescent="0.2"/>
    <row r="50771" hidden="1" x14ac:dyDescent="0.2"/>
    <row r="50772" hidden="1" x14ac:dyDescent="0.2"/>
    <row r="50773" hidden="1" x14ac:dyDescent="0.2"/>
    <row r="50774" hidden="1" x14ac:dyDescent="0.2"/>
    <row r="50775" hidden="1" x14ac:dyDescent="0.2"/>
    <row r="50776" hidden="1" x14ac:dyDescent="0.2"/>
    <row r="50777" hidden="1" x14ac:dyDescent="0.2"/>
    <row r="50778" hidden="1" x14ac:dyDescent="0.2"/>
    <row r="50779" hidden="1" x14ac:dyDescent="0.2"/>
    <row r="50780" hidden="1" x14ac:dyDescent="0.2"/>
    <row r="50781" hidden="1" x14ac:dyDescent="0.2"/>
    <row r="50782" hidden="1" x14ac:dyDescent="0.2"/>
    <row r="50783" hidden="1" x14ac:dyDescent="0.2"/>
    <row r="50784" hidden="1" x14ac:dyDescent="0.2"/>
    <row r="50785" hidden="1" x14ac:dyDescent="0.2"/>
    <row r="50786" hidden="1" x14ac:dyDescent="0.2"/>
    <row r="50787" hidden="1" x14ac:dyDescent="0.2"/>
    <row r="50788" hidden="1" x14ac:dyDescent="0.2"/>
    <row r="50789" hidden="1" x14ac:dyDescent="0.2"/>
    <row r="50790" hidden="1" x14ac:dyDescent="0.2"/>
    <row r="50791" hidden="1" x14ac:dyDescent="0.2"/>
    <row r="50792" hidden="1" x14ac:dyDescent="0.2"/>
    <row r="50793" hidden="1" x14ac:dyDescent="0.2"/>
    <row r="50794" hidden="1" x14ac:dyDescent="0.2"/>
    <row r="50795" hidden="1" x14ac:dyDescent="0.2"/>
    <row r="50796" hidden="1" x14ac:dyDescent="0.2"/>
    <row r="50797" hidden="1" x14ac:dyDescent="0.2"/>
    <row r="50798" hidden="1" x14ac:dyDescent="0.2"/>
    <row r="50799" hidden="1" x14ac:dyDescent="0.2"/>
    <row r="50800" hidden="1" x14ac:dyDescent="0.2"/>
    <row r="50801" hidden="1" x14ac:dyDescent="0.2"/>
    <row r="50802" hidden="1" x14ac:dyDescent="0.2"/>
    <row r="50803" hidden="1" x14ac:dyDescent="0.2"/>
    <row r="50804" hidden="1" x14ac:dyDescent="0.2"/>
    <row r="50805" hidden="1" x14ac:dyDescent="0.2"/>
    <row r="50806" hidden="1" x14ac:dyDescent="0.2"/>
    <row r="50807" hidden="1" x14ac:dyDescent="0.2"/>
    <row r="50808" hidden="1" x14ac:dyDescent="0.2"/>
    <row r="50809" hidden="1" x14ac:dyDescent="0.2"/>
    <row r="50810" hidden="1" x14ac:dyDescent="0.2"/>
    <row r="50811" hidden="1" x14ac:dyDescent="0.2"/>
    <row r="50812" hidden="1" x14ac:dyDescent="0.2"/>
    <row r="50813" hidden="1" x14ac:dyDescent="0.2"/>
    <row r="50814" hidden="1" x14ac:dyDescent="0.2"/>
    <row r="50815" hidden="1" x14ac:dyDescent="0.2"/>
    <row r="50816" hidden="1" x14ac:dyDescent="0.2"/>
    <row r="50817" hidden="1" x14ac:dyDescent="0.2"/>
    <row r="50818" hidden="1" x14ac:dyDescent="0.2"/>
    <row r="50819" hidden="1" x14ac:dyDescent="0.2"/>
    <row r="50820" hidden="1" x14ac:dyDescent="0.2"/>
    <row r="50821" hidden="1" x14ac:dyDescent="0.2"/>
    <row r="50822" hidden="1" x14ac:dyDescent="0.2"/>
    <row r="50823" hidden="1" x14ac:dyDescent="0.2"/>
    <row r="50824" hidden="1" x14ac:dyDescent="0.2"/>
    <row r="50825" hidden="1" x14ac:dyDescent="0.2"/>
    <row r="50826" hidden="1" x14ac:dyDescent="0.2"/>
    <row r="50827" hidden="1" x14ac:dyDescent="0.2"/>
    <row r="50828" hidden="1" x14ac:dyDescent="0.2"/>
    <row r="50829" hidden="1" x14ac:dyDescent="0.2"/>
    <row r="50830" hidden="1" x14ac:dyDescent="0.2"/>
    <row r="50831" hidden="1" x14ac:dyDescent="0.2"/>
    <row r="50832" hidden="1" x14ac:dyDescent="0.2"/>
    <row r="50833" hidden="1" x14ac:dyDescent="0.2"/>
    <row r="50834" hidden="1" x14ac:dyDescent="0.2"/>
    <row r="50835" hidden="1" x14ac:dyDescent="0.2"/>
    <row r="50836" hidden="1" x14ac:dyDescent="0.2"/>
    <row r="50837" hidden="1" x14ac:dyDescent="0.2"/>
    <row r="50838" hidden="1" x14ac:dyDescent="0.2"/>
    <row r="50839" hidden="1" x14ac:dyDescent="0.2"/>
    <row r="50840" hidden="1" x14ac:dyDescent="0.2"/>
    <row r="50841" hidden="1" x14ac:dyDescent="0.2"/>
    <row r="50842" hidden="1" x14ac:dyDescent="0.2"/>
    <row r="50843" hidden="1" x14ac:dyDescent="0.2"/>
    <row r="50844" hidden="1" x14ac:dyDescent="0.2"/>
    <row r="50845" hidden="1" x14ac:dyDescent="0.2"/>
    <row r="50846" hidden="1" x14ac:dyDescent="0.2"/>
    <row r="50847" hidden="1" x14ac:dyDescent="0.2"/>
    <row r="50848" hidden="1" x14ac:dyDescent="0.2"/>
    <row r="50849" hidden="1" x14ac:dyDescent="0.2"/>
    <row r="50850" hidden="1" x14ac:dyDescent="0.2"/>
    <row r="50851" hidden="1" x14ac:dyDescent="0.2"/>
    <row r="50852" hidden="1" x14ac:dyDescent="0.2"/>
    <row r="50853" hidden="1" x14ac:dyDescent="0.2"/>
    <row r="50854" hidden="1" x14ac:dyDescent="0.2"/>
    <row r="50855" hidden="1" x14ac:dyDescent="0.2"/>
    <row r="50856" hidden="1" x14ac:dyDescent="0.2"/>
    <row r="50857" hidden="1" x14ac:dyDescent="0.2"/>
    <row r="50858" hidden="1" x14ac:dyDescent="0.2"/>
    <row r="50859" hidden="1" x14ac:dyDescent="0.2"/>
    <row r="50860" hidden="1" x14ac:dyDescent="0.2"/>
    <row r="50861" hidden="1" x14ac:dyDescent="0.2"/>
    <row r="50862" hidden="1" x14ac:dyDescent="0.2"/>
    <row r="50863" hidden="1" x14ac:dyDescent="0.2"/>
    <row r="50864" hidden="1" x14ac:dyDescent="0.2"/>
    <row r="50865" hidden="1" x14ac:dyDescent="0.2"/>
    <row r="50866" hidden="1" x14ac:dyDescent="0.2"/>
    <row r="50867" hidden="1" x14ac:dyDescent="0.2"/>
    <row r="50868" hidden="1" x14ac:dyDescent="0.2"/>
    <row r="50869" hidden="1" x14ac:dyDescent="0.2"/>
    <row r="50870" hidden="1" x14ac:dyDescent="0.2"/>
    <row r="50871" hidden="1" x14ac:dyDescent="0.2"/>
    <row r="50872" hidden="1" x14ac:dyDescent="0.2"/>
    <row r="50873" hidden="1" x14ac:dyDescent="0.2"/>
    <row r="50874" hidden="1" x14ac:dyDescent="0.2"/>
    <row r="50875" hidden="1" x14ac:dyDescent="0.2"/>
    <row r="50876" hidden="1" x14ac:dyDescent="0.2"/>
    <row r="50877" hidden="1" x14ac:dyDescent="0.2"/>
    <row r="50878" hidden="1" x14ac:dyDescent="0.2"/>
    <row r="50879" hidden="1" x14ac:dyDescent="0.2"/>
    <row r="50880" hidden="1" x14ac:dyDescent="0.2"/>
    <row r="50881" hidden="1" x14ac:dyDescent="0.2"/>
    <row r="50882" hidden="1" x14ac:dyDescent="0.2"/>
    <row r="50883" hidden="1" x14ac:dyDescent="0.2"/>
    <row r="50884" hidden="1" x14ac:dyDescent="0.2"/>
    <row r="50885" hidden="1" x14ac:dyDescent="0.2"/>
    <row r="50886" hidden="1" x14ac:dyDescent="0.2"/>
    <row r="50887" hidden="1" x14ac:dyDescent="0.2"/>
    <row r="50888" hidden="1" x14ac:dyDescent="0.2"/>
    <row r="50889" hidden="1" x14ac:dyDescent="0.2"/>
    <row r="50890" hidden="1" x14ac:dyDescent="0.2"/>
    <row r="50891" hidden="1" x14ac:dyDescent="0.2"/>
    <row r="50892" hidden="1" x14ac:dyDescent="0.2"/>
    <row r="50893" hidden="1" x14ac:dyDescent="0.2"/>
    <row r="50894" hidden="1" x14ac:dyDescent="0.2"/>
    <row r="50895" hidden="1" x14ac:dyDescent="0.2"/>
    <row r="50896" hidden="1" x14ac:dyDescent="0.2"/>
    <row r="50897" hidden="1" x14ac:dyDescent="0.2"/>
    <row r="50898" hidden="1" x14ac:dyDescent="0.2"/>
    <row r="50899" hidden="1" x14ac:dyDescent="0.2"/>
    <row r="50900" hidden="1" x14ac:dyDescent="0.2"/>
    <row r="50901" hidden="1" x14ac:dyDescent="0.2"/>
    <row r="50902" hidden="1" x14ac:dyDescent="0.2"/>
    <row r="50903" hidden="1" x14ac:dyDescent="0.2"/>
    <row r="50904" hidden="1" x14ac:dyDescent="0.2"/>
    <row r="50905" hidden="1" x14ac:dyDescent="0.2"/>
    <row r="50906" hidden="1" x14ac:dyDescent="0.2"/>
    <row r="50907" hidden="1" x14ac:dyDescent="0.2"/>
    <row r="50908" hidden="1" x14ac:dyDescent="0.2"/>
    <row r="50909" hidden="1" x14ac:dyDescent="0.2"/>
    <row r="50910" hidden="1" x14ac:dyDescent="0.2"/>
    <row r="50911" hidden="1" x14ac:dyDescent="0.2"/>
    <row r="50912" hidden="1" x14ac:dyDescent="0.2"/>
    <row r="50913" hidden="1" x14ac:dyDescent="0.2"/>
    <row r="50914" hidden="1" x14ac:dyDescent="0.2"/>
    <row r="50915" hidden="1" x14ac:dyDescent="0.2"/>
    <row r="50916" hidden="1" x14ac:dyDescent="0.2"/>
    <row r="50917" hidden="1" x14ac:dyDescent="0.2"/>
    <row r="50918" hidden="1" x14ac:dyDescent="0.2"/>
    <row r="50919" hidden="1" x14ac:dyDescent="0.2"/>
    <row r="50920" hidden="1" x14ac:dyDescent="0.2"/>
    <row r="50921" hidden="1" x14ac:dyDescent="0.2"/>
    <row r="50922" hidden="1" x14ac:dyDescent="0.2"/>
    <row r="50923" hidden="1" x14ac:dyDescent="0.2"/>
    <row r="50924" hidden="1" x14ac:dyDescent="0.2"/>
    <row r="50925" hidden="1" x14ac:dyDescent="0.2"/>
    <row r="50926" hidden="1" x14ac:dyDescent="0.2"/>
    <row r="50927" hidden="1" x14ac:dyDescent="0.2"/>
    <row r="50928" hidden="1" x14ac:dyDescent="0.2"/>
    <row r="50929" hidden="1" x14ac:dyDescent="0.2"/>
    <row r="50930" hidden="1" x14ac:dyDescent="0.2"/>
    <row r="50931" hidden="1" x14ac:dyDescent="0.2"/>
    <row r="50932" hidden="1" x14ac:dyDescent="0.2"/>
    <row r="50933" hidden="1" x14ac:dyDescent="0.2"/>
    <row r="50934" hidden="1" x14ac:dyDescent="0.2"/>
    <row r="50935" hidden="1" x14ac:dyDescent="0.2"/>
    <row r="50936" hidden="1" x14ac:dyDescent="0.2"/>
    <row r="50937" hidden="1" x14ac:dyDescent="0.2"/>
    <row r="50938" hidden="1" x14ac:dyDescent="0.2"/>
    <row r="50939" hidden="1" x14ac:dyDescent="0.2"/>
    <row r="50940" hidden="1" x14ac:dyDescent="0.2"/>
    <row r="50941" hidden="1" x14ac:dyDescent="0.2"/>
    <row r="50942" hidden="1" x14ac:dyDescent="0.2"/>
    <row r="50943" hidden="1" x14ac:dyDescent="0.2"/>
    <row r="50944" hidden="1" x14ac:dyDescent="0.2"/>
    <row r="50945" hidden="1" x14ac:dyDescent="0.2"/>
    <row r="50946" hidden="1" x14ac:dyDescent="0.2"/>
    <row r="50947" hidden="1" x14ac:dyDescent="0.2"/>
    <row r="50948" hidden="1" x14ac:dyDescent="0.2"/>
    <row r="50949" hidden="1" x14ac:dyDescent="0.2"/>
    <row r="50950" hidden="1" x14ac:dyDescent="0.2"/>
    <row r="50951" hidden="1" x14ac:dyDescent="0.2"/>
    <row r="50952" hidden="1" x14ac:dyDescent="0.2"/>
    <row r="50953" hidden="1" x14ac:dyDescent="0.2"/>
    <row r="50954" hidden="1" x14ac:dyDescent="0.2"/>
    <row r="50955" hidden="1" x14ac:dyDescent="0.2"/>
    <row r="50956" hidden="1" x14ac:dyDescent="0.2"/>
    <row r="50957" hidden="1" x14ac:dyDescent="0.2"/>
    <row r="50958" hidden="1" x14ac:dyDescent="0.2"/>
    <row r="50959" hidden="1" x14ac:dyDescent="0.2"/>
    <row r="50960" hidden="1" x14ac:dyDescent="0.2"/>
    <row r="50961" hidden="1" x14ac:dyDescent="0.2"/>
    <row r="50962" hidden="1" x14ac:dyDescent="0.2"/>
    <row r="50963" hidden="1" x14ac:dyDescent="0.2"/>
    <row r="50964" hidden="1" x14ac:dyDescent="0.2"/>
    <row r="50965" hidden="1" x14ac:dyDescent="0.2"/>
    <row r="50966" hidden="1" x14ac:dyDescent="0.2"/>
    <row r="50967" hidden="1" x14ac:dyDescent="0.2"/>
    <row r="50968" hidden="1" x14ac:dyDescent="0.2"/>
    <row r="50969" hidden="1" x14ac:dyDescent="0.2"/>
    <row r="50970" hidden="1" x14ac:dyDescent="0.2"/>
    <row r="50971" hidden="1" x14ac:dyDescent="0.2"/>
    <row r="50972" hidden="1" x14ac:dyDescent="0.2"/>
    <row r="50973" hidden="1" x14ac:dyDescent="0.2"/>
    <row r="50974" hidden="1" x14ac:dyDescent="0.2"/>
    <row r="50975" hidden="1" x14ac:dyDescent="0.2"/>
    <row r="50976" hidden="1" x14ac:dyDescent="0.2"/>
    <row r="50977" hidden="1" x14ac:dyDescent="0.2"/>
    <row r="50978" hidden="1" x14ac:dyDescent="0.2"/>
    <row r="50979" hidden="1" x14ac:dyDescent="0.2"/>
    <row r="50980" hidden="1" x14ac:dyDescent="0.2"/>
    <row r="50981" hidden="1" x14ac:dyDescent="0.2"/>
    <row r="50982" hidden="1" x14ac:dyDescent="0.2"/>
    <row r="50983" hidden="1" x14ac:dyDescent="0.2"/>
    <row r="50984" hidden="1" x14ac:dyDescent="0.2"/>
    <row r="50985" hidden="1" x14ac:dyDescent="0.2"/>
    <row r="50986" hidden="1" x14ac:dyDescent="0.2"/>
    <row r="50987" hidden="1" x14ac:dyDescent="0.2"/>
    <row r="50988" hidden="1" x14ac:dyDescent="0.2"/>
    <row r="50989" hidden="1" x14ac:dyDescent="0.2"/>
    <row r="50990" hidden="1" x14ac:dyDescent="0.2"/>
    <row r="50991" hidden="1" x14ac:dyDescent="0.2"/>
    <row r="50992" hidden="1" x14ac:dyDescent="0.2"/>
    <row r="50993" hidden="1" x14ac:dyDescent="0.2"/>
    <row r="50994" hidden="1" x14ac:dyDescent="0.2"/>
    <row r="50995" hidden="1" x14ac:dyDescent="0.2"/>
    <row r="50996" hidden="1" x14ac:dyDescent="0.2"/>
    <row r="50997" hidden="1" x14ac:dyDescent="0.2"/>
    <row r="50998" hidden="1" x14ac:dyDescent="0.2"/>
    <row r="50999" hidden="1" x14ac:dyDescent="0.2"/>
    <row r="51000" hidden="1" x14ac:dyDescent="0.2"/>
    <row r="51001" hidden="1" x14ac:dyDescent="0.2"/>
    <row r="51002" hidden="1" x14ac:dyDescent="0.2"/>
    <row r="51003" hidden="1" x14ac:dyDescent="0.2"/>
    <row r="51004" hidden="1" x14ac:dyDescent="0.2"/>
    <row r="51005" hidden="1" x14ac:dyDescent="0.2"/>
    <row r="51006" hidden="1" x14ac:dyDescent="0.2"/>
    <row r="51007" hidden="1" x14ac:dyDescent="0.2"/>
    <row r="51008" hidden="1" x14ac:dyDescent="0.2"/>
    <row r="51009" hidden="1" x14ac:dyDescent="0.2"/>
    <row r="51010" hidden="1" x14ac:dyDescent="0.2"/>
    <row r="51011" hidden="1" x14ac:dyDescent="0.2"/>
    <row r="51012" hidden="1" x14ac:dyDescent="0.2"/>
    <row r="51013" hidden="1" x14ac:dyDescent="0.2"/>
    <row r="51014" hidden="1" x14ac:dyDescent="0.2"/>
    <row r="51015" hidden="1" x14ac:dyDescent="0.2"/>
    <row r="51016" hidden="1" x14ac:dyDescent="0.2"/>
    <row r="51017" hidden="1" x14ac:dyDescent="0.2"/>
    <row r="51018" hidden="1" x14ac:dyDescent="0.2"/>
    <row r="51019" hidden="1" x14ac:dyDescent="0.2"/>
    <row r="51020" hidden="1" x14ac:dyDescent="0.2"/>
    <row r="51021" hidden="1" x14ac:dyDescent="0.2"/>
    <row r="51022" hidden="1" x14ac:dyDescent="0.2"/>
    <row r="51023" hidden="1" x14ac:dyDescent="0.2"/>
    <row r="51024" hidden="1" x14ac:dyDescent="0.2"/>
    <row r="51025" hidden="1" x14ac:dyDescent="0.2"/>
    <row r="51026" hidden="1" x14ac:dyDescent="0.2"/>
    <row r="51027" hidden="1" x14ac:dyDescent="0.2"/>
    <row r="51028" hidden="1" x14ac:dyDescent="0.2"/>
    <row r="51029" hidden="1" x14ac:dyDescent="0.2"/>
    <row r="51030" hidden="1" x14ac:dyDescent="0.2"/>
    <row r="51031" hidden="1" x14ac:dyDescent="0.2"/>
    <row r="51032" hidden="1" x14ac:dyDescent="0.2"/>
    <row r="51033" hidden="1" x14ac:dyDescent="0.2"/>
    <row r="51034" hidden="1" x14ac:dyDescent="0.2"/>
    <row r="51035" hidden="1" x14ac:dyDescent="0.2"/>
    <row r="51036" hidden="1" x14ac:dyDescent="0.2"/>
    <row r="51037" hidden="1" x14ac:dyDescent="0.2"/>
    <row r="51038" hidden="1" x14ac:dyDescent="0.2"/>
    <row r="51039" hidden="1" x14ac:dyDescent="0.2"/>
    <row r="51040" hidden="1" x14ac:dyDescent="0.2"/>
    <row r="51041" hidden="1" x14ac:dyDescent="0.2"/>
    <row r="51042" hidden="1" x14ac:dyDescent="0.2"/>
    <row r="51043" hidden="1" x14ac:dyDescent="0.2"/>
    <row r="51044" hidden="1" x14ac:dyDescent="0.2"/>
    <row r="51045" hidden="1" x14ac:dyDescent="0.2"/>
    <row r="51046" hidden="1" x14ac:dyDescent="0.2"/>
    <row r="51047" hidden="1" x14ac:dyDescent="0.2"/>
    <row r="51048" hidden="1" x14ac:dyDescent="0.2"/>
    <row r="51049" hidden="1" x14ac:dyDescent="0.2"/>
    <row r="51050" hidden="1" x14ac:dyDescent="0.2"/>
    <row r="51051" hidden="1" x14ac:dyDescent="0.2"/>
    <row r="51052" hidden="1" x14ac:dyDescent="0.2"/>
    <row r="51053" hidden="1" x14ac:dyDescent="0.2"/>
    <row r="51054" hidden="1" x14ac:dyDescent="0.2"/>
    <row r="51055" hidden="1" x14ac:dyDescent="0.2"/>
    <row r="51056" hidden="1" x14ac:dyDescent="0.2"/>
    <row r="51057" hidden="1" x14ac:dyDescent="0.2"/>
    <row r="51058" hidden="1" x14ac:dyDescent="0.2"/>
    <row r="51059" hidden="1" x14ac:dyDescent="0.2"/>
    <row r="51060" hidden="1" x14ac:dyDescent="0.2"/>
    <row r="51061" hidden="1" x14ac:dyDescent="0.2"/>
    <row r="51062" hidden="1" x14ac:dyDescent="0.2"/>
    <row r="51063" hidden="1" x14ac:dyDescent="0.2"/>
    <row r="51064" hidden="1" x14ac:dyDescent="0.2"/>
    <row r="51065" hidden="1" x14ac:dyDescent="0.2"/>
    <row r="51066" hidden="1" x14ac:dyDescent="0.2"/>
    <row r="51067" hidden="1" x14ac:dyDescent="0.2"/>
    <row r="51068" hidden="1" x14ac:dyDescent="0.2"/>
    <row r="51069" hidden="1" x14ac:dyDescent="0.2"/>
    <row r="51070" hidden="1" x14ac:dyDescent="0.2"/>
    <row r="51071" hidden="1" x14ac:dyDescent="0.2"/>
    <row r="51072" hidden="1" x14ac:dyDescent="0.2"/>
    <row r="51073" hidden="1" x14ac:dyDescent="0.2"/>
    <row r="51074" hidden="1" x14ac:dyDescent="0.2"/>
    <row r="51075" hidden="1" x14ac:dyDescent="0.2"/>
    <row r="51076" hidden="1" x14ac:dyDescent="0.2"/>
    <row r="51077" hidden="1" x14ac:dyDescent="0.2"/>
    <row r="51078" hidden="1" x14ac:dyDescent="0.2"/>
    <row r="51079" hidden="1" x14ac:dyDescent="0.2"/>
    <row r="51080" hidden="1" x14ac:dyDescent="0.2"/>
    <row r="51081" hidden="1" x14ac:dyDescent="0.2"/>
    <row r="51082" hidden="1" x14ac:dyDescent="0.2"/>
    <row r="51083" hidden="1" x14ac:dyDescent="0.2"/>
    <row r="51084" hidden="1" x14ac:dyDescent="0.2"/>
    <row r="51085" hidden="1" x14ac:dyDescent="0.2"/>
    <row r="51086" hidden="1" x14ac:dyDescent="0.2"/>
    <row r="51087" hidden="1" x14ac:dyDescent="0.2"/>
    <row r="51088" hidden="1" x14ac:dyDescent="0.2"/>
    <row r="51089" hidden="1" x14ac:dyDescent="0.2"/>
    <row r="51090" hidden="1" x14ac:dyDescent="0.2"/>
    <row r="51091" hidden="1" x14ac:dyDescent="0.2"/>
    <row r="51092" hidden="1" x14ac:dyDescent="0.2"/>
    <row r="51093" hidden="1" x14ac:dyDescent="0.2"/>
    <row r="51094" hidden="1" x14ac:dyDescent="0.2"/>
    <row r="51095" hidden="1" x14ac:dyDescent="0.2"/>
    <row r="51096" hidden="1" x14ac:dyDescent="0.2"/>
    <row r="51097" hidden="1" x14ac:dyDescent="0.2"/>
    <row r="51098" hidden="1" x14ac:dyDescent="0.2"/>
    <row r="51099" hidden="1" x14ac:dyDescent="0.2"/>
    <row r="51100" hidden="1" x14ac:dyDescent="0.2"/>
    <row r="51101" hidden="1" x14ac:dyDescent="0.2"/>
    <row r="51102" hidden="1" x14ac:dyDescent="0.2"/>
    <row r="51103" hidden="1" x14ac:dyDescent="0.2"/>
    <row r="51104" hidden="1" x14ac:dyDescent="0.2"/>
    <row r="51105" hidden="1" x14ac:dyDescent="0.2"/>
    <row r="51106" hidden="1" x14ac:dyDescent="0.2"/>
    <row r="51107" hidden="1" x14ac:dyDescent="0.2"/>
    <row r="51108" hidden="1" x14ac:dyDescent="0.2"/>
    <row r="51109" hidden="1" x14ac:dyDescent="0.2"/>
    <row r="51110" hidden="1" x14ac:dyDescent="0.2"/>
    <row r="51111" hidden="1" x14ac:dyDescent="0.2"/>
    <row r="51112" hidden="1" x14ac:dyDescent="0.2"/>
    <row r="51113" hidden="1" x14ac:dyDescent="0.2"/>
    <row r="51114" hidden="1" x14ac:dyDescent="0.2"/>
    <row r="51115" hidden="1" x14ac:dyDescent="0.2"/>
    <row r="51116" hidden="1" x14ac:dyDescent="0.2"/>
    <row r="51117" hidden="1" x14ac:dyDescent="0.2"/>
    <row r="51118" hidden="1" x14ac:dyDescent="0.2"/>
    <row r="51119" hidden="1" x14ac:dyDescent="0.2"/>
    <row r="51120" hidden="1" x14ac:dyDescent="0.2"/>
    <row r="51121" hidden="1" x14ac:dyDescent="0.2"/>
    <row r="51122" hidden="1" x14ac:dyDescent="0.2"/>
    <row r="51123" hidden="1" x14ac:dyDescent="0.2"/>
    <row r="51124" hidden="1" x14ac:dyDescent="0.2"/>
    <row r="51125" hidden="1" x14ac:dyDescent="0.2"/>
    <row r="51126" hidden="1" x14ac:dyDescent="0.2"/>
    <row r="51127" hidden="1" x14ac:dyDescent="0.2"/>
    <row r="51128" hidden="1" x14ac:dyDescent="0.2"/>
    <row r="51129" hidden="1" x14ac:dyDescent="0.2"/>
    <row r="51130" hidden="1" x14ac:dyDescent="0.2"/>
    <row r="51131" hidden="1" x14ac:dyDescent="0.2"/>
    <row r="51132" hidden="1" x14ac:dyDescent="0.2"/>
    <row r="51133" hidden="1" x14ac:dyDescent="0.2"/>
    <row r="51134" hidden="1" x14ac:dyDescent="0.2"/>
    <row r="51135" hidden="1" x14ac:dyDescent="0.2"/>
    <row r="51136" hidden="1" x14ac:dyDescent="0.2"/>
    <row r="51137" hidden="1" x14ac:dyDescent="0.2"/>
    <row r="51138" hidden="1" x14ac:dyDescent="0.2"/>
    <row r="51139" hidden="1" x14ac:dyDescent="0.2"/>
    <row r="51140" hidden="1" x14ac:dyDescent="0.2"/>
    <row r="51141" hidden="1" x14ac:dyDescent="0.2"/>
    <row r="51142" hidden="1" x14ac:dyDescent="0.2"/>
    <row r="51143" hidden="1" x14ac:dyDescent="0.2"/>
    <row r="51144" hidden="1" x14ac:dyDescent="0.2"/>
    <row r="51145" hidden="1" x14ac:dyDescent="0.2"/>
    <row r="51146" hidden="1" x14ac:dyDescent="0.2"/>
    <row r="51147" hidden="1" x14ac:dyDescent="0.2"/>
    <row r="51148" hidden="1" x14ac:dyDescent="0.2"/>
    <row r="51149" hidden="1" x14ac:dyDescent="0.2"/>
    <row r="51150" hidden="1" x14ac:dyDescent="0.2"/>
    <row r="51151" hidden="1" x14ac:dyDescent="0.2"/>
    <row r="51152" hidden="1" x14ac:dyDescent="0.2"/>
    <row r="51153" hidden="1" x14ac:dyDescent="0.2"/>
    <row r="51154" hidden="1" x14ac:dyDescent="0.2"/>
    <row r="51155" hidden="1" x14ac:dyDescent="0.2"/>
    <row r="51156" hidden="1" x14ac:dyDescent="0.2"/>
    <row r="51157" hidden="1" x14ac:dyDescent="0.2"/>
    <row r="51158" hidden="1" x14ac:dyDescent="0.2"/>
    <row r="51159" hidden="1" x14ac:dyDescent="0.2"/>
    <row r="51160" hidden="1" x14ac:dyDescent="0.2"/>
    <row r="51161" hidden="1" x14ac:dyDescent="0.2"/>
    <row r="51162" hidden="1" x14ac:dyDescent="0.2"/>
    <row r="51163" hidden="1" x14ac:dyDescent="0.2"/>
    <row r="51164" hidden="1" x14ac:dyDescent="0.2"/>
    <row r="51165" hidden="1" x14ac:dyDescent="0.2"/>
    <row r="51166" hidden="1" x14ac:dyDescent="0.2"/>
    <row r="51167" hidden="1" x14ac:dyDescent="0.2"/>
    <row r="51168" hidden="1" x14ac:dyDescent="0.2"/>
    <row r="51169" hidden="1" x14ac:dyDescent="0.2"/>
    <row r="51170" hidden="1" x14ac:dyDescent="0.2"/>
    <row r="51171" hidden="1" x14ac:dyDescent="0.2"/>
    <row r="51172" hidden="1" x14ac:dyDescent="0.2"/>
    <row r="51173" hidden="1" x14ac:dyDescent="0.2"/>
    <row r="51174" hidden="1" x14ac:dyDescent="0.2"/>
    <row r="51175" hidden="1" x14ac:dyDescent="0.2"/>
    <row r="51176" hidden="1" x14ac:dyDescent="0.2"/>
    <row r="51177" hidden="1" x14ac:dyDescent="0.2"/>
    <row r="51178" hidden="1" x14ac:dyDescent="0.2"/>
    <row r="51179" hidden="1" x14ac:dyDescent="0.2"/>
    <row r="51180" hidden="1" x14ac:dyDescent="0.2"/>
    <row r="51181" hidden="1" x14ac:dyDescent="0.2"/>
    <row r="51182" hidden="1" x14ac:dyDescent="0.2"/>
    <row r="51183" hidden="1" x14ac:dyDescent="0.2"/>
    <row r="51184" hidden="1" x14ac:dyDescent="0.2"/>
    <row r="51185" hidden="1" x14ac:dyDescent="0.2"/>
    <row r="51186" hidden="1" x14ac:dyDescent="0.2"/>
    <row r="51187" hidden="1" x14ac:dyDescent="0.2"/>
    <row r="51188" hidden="1" x14ac:dyDescent="0.2"/>
    <row r="51189" hidden="1" x14ac:dyDescent="0.2"/>
    <row r="51190" hidden="1" x14ac:dyDescent="0.2"/>
    <row r="51191" hidden="1" x14ac:dyDescent="0.2"/>
    <row r="51192" hidden="1" x14ac:dyDescent="0.2"/>
    <row r="51193" hidden="1" x14ac:dyDescent="0.2"/>
    <row r="51194" hidden="1" x14ac:dyDescent="0.2"/>
    <row r="51195" hidden="1" x14ac:dyDescent="0.2"/>
    <row r="51196" hidden="1" x14ac:dyDescent="0.2"/>
    <row r="51197" hidden="1" x14ac:dyDescent="0.2"/>
    <row r="51198" hidden="1" x14ac:dyDescent="0.2"/>
    <row r="51199" hidden="1" x14ac:dyDescent="0.2"/>
    <row r="51200" hidden="1" x14ac:dyDescent="0.2"/>
    <row r="51201" hidden="1" x14ac:dyDescent="0.2"/>
    <row r="51202" hidden="1" x14ac:dyDescent="0.2"/>
    <row r="51203" hidden="1" x14ac:dyDescent="0.2"/>
    <row r="51204" hidden="1" x14ac:dyDescent="0.2"/>
    <row r="51205" hidden="1" x14ac:dyDescent="0.2"/>
    <row r="51206" hidden="1" x14ac:dyDescent="0.2"/>
    <row r="51207" hidden="1" x14ac:dyDescent="0.2"/>
    <row r="51208" hidden="1" x14ac:dyDescent="0.2"/>
    <row r="51209" hidden="1" x14ac:dyDescent="0.2"/>
    <row r="51210" hidden="1" x14ac:dyDescent="0.2"/>
    <row r="51211" hidden="1" x14ac:dyDescent="0.2"/>
    <row r="51212" hidden="1" x14ac:dyDescent="0.2"/>
    <row r="51213" hidden="1" x14ac:dyDescent="0.2"/>
    <row r="51214" hidden="1" x14ac:dyDescent="0.2"/>
    <row r="51215" hidden="1" x14ac:dyDescent="0.2"/>
    <row r="51216" hidden="1" x14ac:dyDescent="0.2"/>
    <row r="51217" hidden="1" x14ac:dyDescent="0.2"/>
    <row r="51218" hidden="1" x14ac:dyDescent="0.2"/>
    <row r="51219" hidden="1" x14ac:dyDescent="0.2"/>
    <row r="51220" hidden="1" x14ac:dyDescent="0.2"/>
    <row r="51221" hidden="1" x14ac:dyDescent="0.2"/>
    <row r="51222" hidden="1" x14ac:dyDescent="0.2"/>
    <row r="51223" hidden="1" x14ac:dyDescent="0.2"/>
    <row r="51224" hidden="1" x14ac:dyDescent="0.2"/>
    <row r="51225" hidden="1" x14ac:dyDescent="0.2"/>
    <row r="51226" hidden="1" x14ac:dyDescent="0.2"/>
    <row r="51227" hidden="1" x14ac:dyDescent="0.2"/>
    <row r="51228" hidden="1" x14ac:dyDescent="0.2"/>
    <row r="51229" hidden="1" x14ac:dyDescent="0.2"/>
    <row r="51230" hidden="1" x14ac:dyDescent="0.2"/>
    <row r="51231" hidden="1" x14ac:dyDescent="0.2"/>
    <row r="51232" hidden="1" x14ac:dyDescent="0.2"/>
    <row r="51233" hidden="1" x14ac:dyDescent="0.2"/>
    <row r="51234" hidden="1" x14ac:dyDescent="0.2"/>
    <row r="51235" hidden="1" x14ac:dyDescent="0.2"/>
    <row r="51236" hidden="1" x14ac:dyDescent="0.2"/>
    <row r="51237" hidden="1" x14ac:dyDescent="0.2"/>
    <row r="51238" hidden="1" x14ac:dyDescent="0.2"/>
    <row r="51239" hidden="1" x14ac:dyDescent="0.2"/>
    <row r="51240" hidden="1" x14ac:dyDescent="0.2"/>
    <row r="51241" hidden="1" x14ac:dyDescent="0.2"/>
    <row r="51242" hidden="1" x14ac:dyDescent="0.2"/>
    <row r="51243" hidden="1" x14ac:dyDescent="0.2"/>
    <row r="51244" hidden="1" x14ac:dyDescent="0.2"/>
    <row r="51245" hidden="1" x14ac:dyDescent="0.2"/>
    <row r="51246" hidden="1" x14ac:dyDescent="0.2"/>
    <row r="51247" hidden="1" x14ac:dyDescent="0.2"/>
    <row r="51248" hidden="1" x14ac:dyDescent="0.2"/>
    <row r="51249" hidden="1" x14ac:dyDescent="0.2"/>
    <row r="51250" hidden="1" x14ac:dyDescent="0.2"/>
    <row r="51251" hidden="1" x14ac:dyDescent="0.2"/>
    <row r="51252" hidden="1" x14ac:dyDescent="0.2"/>
    <row r="51253" hidden="1" x14ac:dyDescent="0.2"/>
    <row r="51254" hidden="1" x14ac:dyDescent="0.2"/>
    <row r="51255" hidden="1" x14ac:dyDescent="0.2"/>
    <row r="51256" hidden="1" x14ac:dyDescent="0.2"/>
    <row r="51257" hidden="1" x14ac:dyDescent="0.2"/>
    <row r="51258" hidden="1" x14ac:dyDescent="0.2"/>
    <row r="51259" hidden="1" x14ac:dyDescent="0.2"/>
    <row r="51260" hidden="1" x14ac:dyDescent="0.2"/>
    <row r="51261" hidden="1" x14ac:dyDescent="0.2"/>
    <row r="51262" hidden="1" x14ac:dyDescent="0.2"/>
    <row r="51263" hidden="1" x14ac:dyDescent="0.2"/>
    <row r="51264" hidden="1" x14ac:dyDescent="0.2"/>
    <row r="51265" hidden="1" x14ac:dyDescent="0.2"/>
    <row r="51266" hidden="1" x14ac:dyDescent="0.2"/>
    <row r="51267" hidden="1" x14ac:dyDescent="0.2"/>
    <row r="51268" hidden="1" x14ac:dyDescent="0.2"/>
    <row r="51269" hidden="1" x14ac:dyDescent="0.2"/>
    <row r="51270" hidden="1" x14ac:dyDescent="0.2"/>
    <row r="51271" hidden="1" x14ac:dyDescent="0.2"/>
    <row r="51272" hidden="1" x14ac:dyDescent="0.2"/>
    <row r="51273" hidden="1" x14ac:dyDescent="0.2"/>
    <row r="51274" hidden="1" x14ac:dyDescent="0.2"/>
    <row r="51275" hidden="1" x14ac:dyDescent="0.2"/>
    <row r="51276" hidden="1" x14ac:dyDescent="0.2"/>
    <row r="51277" hidden="1" x14ac:dyDescent="0.2"/>
    <row r="51278" hidden="1" x14ac:dyDescent="0.2"/>
    <row r="51279" hidden="1" x14ac:dyDescent="0.2"/>
    <row r="51280" hidden="1" x14ac:dyDescent="0.2"/>
    <row r="51281" hidden="1" x14ac:dyDescent="0.2"/>
    <row r="51282" hidden="1" x14ac:dyDescent="0.2"/>
    <row r="51283" hidden="1" x14ac:dyDescent="0.2"/>
    <row r="51284" hidden="1" x14ac:dyDescent="0.2"/>
    <row r="51285" hidden="1" x14ac:dyDescent="0.2"/>
    <row r="51286" hidden="1" x14ac:dyDescent="0.2"/>
    <row r="51287" hidden="1" x14ac:dyDescent="0.2"/>
    <row r="51288" hidden="1" x14ac:dyDescent="0.2"/>
    <row r="51289" hidden="1" x14ac:dyDescent="0.2"/>
    <row r="51290" hidden="1" x14ac:dyDescent="0.2"/>
    <row r="51291" hidden="1" x14ac:dyDescent="0.2"/>
    <row r="51292" hidden="1" x14ac:dyDescent="0.2"/>
    <row r="51293" hidden="1" x14ac:dyDescent="0.2"/>
    <row r="51294" hidden="1" x14ac:dyDescent="0.2"/>
    <row r="51295" hidden="1" x14ac:dyDescent="0.2"/>
    <row r="51296" hidden="1" x14ac:dyDescent="0.2"/>
    <row r="51297" hidden="1" x14ac:dyDescent="0.2"/>
    <row r="51298" hidden="1" x14ac:dyDescent="0.2"/>
    <row r="51299" hidden="1" x14ac:dyDescent="0.2"/>
    <row r="51300" hidden="1" x14ac:dyDescent="0.2"/>
    <row r="51301" hidden="1" x14ac:dyDescent="0.2"/>
    <row r="51302" hidden="1" x14ac:dyDescent="0.2"/>
    <row r="51303" hidden="1" x14ac:dyDescent="0.2"/>
    <row r="51304" hidden="1" x14ac:dyDescent="0.2"/>
    <row r="51305" hidden="1" x14ac:dyDescent="0.2"/>
    <row r="51306" hidden="1" x14ac:dyDescent="0.2"/>
    <row r="51307" hidden="1" x14ac:dyDescent="0.2"/>
    <row r="51308" hidden="1" x14ac:dyDescent="0.2"/>
    <row r="51309" hidden="1" x14ac:dyDescent="0.2"/>
    <row r="51310" hidden="1" x14ac:dyDescent="0.2"/>
    <row r="51311" hidden="1" x14ac:dyDescent="0.2"/>
    <row r="51312" hidden="1" x14ac:dyDescent="0.2"/>
    <row r="51313" hidden="1" x14ac:dyDescent="0.2"/>
    <row r="51314" hidden="1" x14ac:dyDescent="0.2"/>
    <row r="51315" hidden="1" x14ac:dyDescent="0.2"/>
    <row r="51316" hidden="1" x14ac:dyDescent="0.2"/>
    <row r="51317" hidden="1" x14ac:dyDescent="0.2"/>
    <row r="51318" hidden="1" x14ac:dyDescent="0.2"/>
    <row r="51319" hidden="1" x14ac:dyDescent="0.2"/>
    <row r="51320" hidden="1" x14ac:dyDescent="0.2"/>
    <row r="51321" hidden="1" x14ac:dyDescent="0.2"/>
    <row r="51322" hidden="1" x14ac:dyDescent="0.2"/>
    <row r="51323" hidden="1" x14ac:dyDescent="0.2"/>
    <row r="51324" hidden="1" x14ac:dyDescent="0.2"/>
    <row r="51325" hidden="1" x14ac:dyDescent="0.2"/>
    <row r="51326" hidden="1" x14ac:dyDescent="0.2"/>
    <row r="51327" hidden="1" x14ac:dyDescent="0.2"/>
    <row r="51328" hidden="1" x14ac:dyDescent="0.2"/>
    <row r="51329" hidden="1" x14ac:dyDescent="0.2"/>
    <row r="51330" hidden="1" x14ac:dyDescent="0.2"/>
    <row r="51331" hidden="1" x14ac:dyDescent="0.2"/>
    <row r="51332" hidden="1" x14ac:dyDescent="0.2"/>
    <row r="51333" hidden="1" x14ac:dyDescent="0.2"/>
    <row r="51334" hidden="1" x14ac:dyDescent="0.2"/>
    <row r="51335" hidden="1" x14ac:dyDescent="0.2"/>
    <row r="51336" hidden="1" x14ac:dyDescent="0.2"/>
    <row r="51337" hidden="1" x14ac:dyDescent="0.2"/>
    <row r="51338" hidden="1" x14ac:dyDescent="0.2"/>
    <row r="51339" hidden="1" x14ac:dyDescent="0.2"/>
    <row r="51340" hidden="1" x14ac:dyDescent="0.2"/>
    <row r="51341" hidden="1" x14ac:dyDescent="0.2"/>
    <row r="51342" hidden="1" x14ac:dyDescent="0.2"/>
    <row r="51343" hidden="1" x14ac:dyDescent="0.2"/>
    <row r="51344" hidden="1" x14ac:dyDescent="0.2"/>
    <row r="51345" hidden="1" x14ac:dyDescent="0.2"/>
    <row r="51346" hidden="1" x14ac:dyDescent="0.2"/>
    <row r="51347" hidden="1" x14ac:dyDescent="0.2"/>
    <row r="51348" hidden="1" x14ac:dyDescent="0.2"/>
    <row r="51349" hidden="1" x14ac:dyDescent="0.2"/>
    <row r="51350" hidden="1" x14ac:dyDescent="0.2"/>
    <row r="51351" hidden="1" x14ac:dyDescent="0.2"/>
    <row r="51352" hidden="1" x14ac:dyDescent="0.2"/>
    <row r="51353" hidden="1" x14ac:dyDescent="0.2"/>
    <row r="51354" hidden="1" x14ac:dyDescent="0.2"/>
    <row r="51355" hidden="1" x14ac:dyDescent="0.2"/>
    <row r="51356" hidden="1" x14ac:dyDescent="0.2"/>
    <row r="51357" hidden="1" x14ac:dyDescent="0.2"/>
    <row r="51358" hidden="1" x14ac:dyDescent="0.2"/>
    <row r="51359" hidden="1" x14ac:dyDescent="0.2"/>
    <row r="51360" hidden="1" x14ac:dyDescent="0.2"/>
    <row r="51361" hidden="1" x14ac:dyDescent="0.2"/>
    <row r="51362" hidden="1" x14ac:dyDescent="0.2"/>
    <row r="51363" hidden="1" x14ac:dyDescent="0.2"/>
    <row r="51364" hidden="1" x14ac:dyDescent="0.2"/>
    <row r="51365" hidden="1" x14ac:dyDescent="0.2"/>
    <row r="51366" hidden="1" x14ac:dyDescent="0.2"/>
    <row r="51367" hidden="1" x14ac:dyDescent="0.2"/>
    <row r="51368" hidden="1" x14ac:dyDescent="0.2"/>
    <row r="51369" hidden="1" x14ac:dyDescent="0.2"/>
    <row r="51370" hidden="1" x14ac:dyDescent="0.2"/>
    <row r="51371" hidden="1" x14ac:dyDescent="0.2"/>
    <row r="51372" hidden="1" x14ac:dyDescent="0.2"/>
    <row r="51373" hidden="1" x14ac:dyDescent="0.2"/>
    <row r="51374" hidden="1" x14ac:dyDescent="0.2"/>
    <row r="51375" hidden="1" x14ac:dyDescent="0.2"/>
    <row r="51376" hidden="1" x14ac:dyDescent="0.2"/>
    <row r="51377" hidden="1" x14ac:dyDescent="0.2"/>
    <row r="51378" hidden="1" x14ac:dyDescent="0.2"/>
    <row r="51379" hidden="1" x14ac:dyDescent="0.2"/>
    <row r="51380" hidden="1" x14ac:dyDescent="0.2"/>
    <row r="51381" hidden="1" x14ac:dyDescent="0.2"/>
    <row r="51382" hidden="1" x14ac:dyDescent="0.2"/>
    <row r="51383" hidden="1" x14ac:dyDescent="0.2"/>
    <row r="51384" hidden="1" x14ac:dyDescent="0.2"/>
    <row r="51385" hidden="1" x14ac:dyDescent="0.2"/>
    <row r="51386" hidden="1" x14ac:dyDescent="0.2"/>
    <row r="51387" hidden="1" x14ac:dyDescent="0.2"/>
    <row r="51388" hidden="1" x14ac:dyDescent="0.2"/>
    <row r="51389" hidden="1" x14ac:dyDescent="0.2"/>
    <row r="51390" hidden="1" x14ac:dyDescent="0.2"/>
    <row r="51391" hidden="1" x14ac:dyDescent="0.2"/>
    <row r="51392" hidden="1" x14ac:dyDescent="0.2"/>
    <row r="51393" hidden="1" x14ac:dyDescent="0.2"/>
    <row r="51394" hidden="1" x14ac:dyDescent="0.2"/>
    <row r="51395" hidden="1" x14ac:dyDescent="0.2"/>
    <row r="51396" hidden="1" x14ac:dyDescent="0.2"/>
    <row r="51397" hidden="1" x14ac:dyDescent="0.2"/>
    <row r="51398" hidden="1" x14ac:dyDescent="0.2"/>
    <row r="51399" hidden="1" x14ac:dyDescent="0.2"/>
    <row r="51400" hidden="1" x14ac:dyDescent="0.2"/>
    <row r="51401" hidden="1" x14ac:dyDescent="0.2"/>
    <row r="51402" hidden="1" x14ac:dyDescent="0.2"/>
    <row r="51403" hidden="1" x14ac:dyDescent="0.2"/>
    <row r="51404" hidden="1" x14ac:dyDescent="0.2"/>
    <row r="51405" hidden="1" x14ac:dyDescent="0.2"/>
    <row r="51406" hidden="1" x14ac:dyDescent="0.2"/>
    <row r="51407" hidden="1" x14ac:dyDescent="0.2"/>
    <row r="51408" hidden="1" x14ac:dyDescent="0.2"/>
    <row r="51409" hidden="1" x14ac:dyDescent="0.2"/>
    <row r="51410" hidden="1" x14ac:dyDescent="0.2"/>
    <row r="51411" hidden="1" x14ac:dyDescent="0.2"/>
    <row r="51412" hidden="1" x14ac:dyDescent="0.2"/>
    <row r="51413" hidden="1" x14ac:dyDescent="0.2"/>
    <row r="51414" hidden="1" x14ac:dyDescent="0.2"/>
    <row r="51415" hidden="1" x14ac:dyDescent="0.2"/>
    <row r="51416" hidden="1" x14ac:dyDescent="0.2"/>
    <row r="51417" hidden="1" x14ac:dyDescent="0.2"/>
    <row r="51418" hidden="1" x14ac:dyDescent="0.2"/>
    <row r="51419" hidden="1" x14ac:dyDescent="0.2"/>
    <row r="51420" hidden="1" x14ac:dyDescent="0.2"/>
    <row r="51421" hidden="1" x14ac:dyDescent="0.2"/>
    <row r="51422" hidden="1" x14ac:dyDescent="0.2"/>
    <row r="51423" hidden="1" x14ac:dyDescent="0.2"/>
    <row r="51424" hidden="1" x14ac:dyDescent="0.2"/>
    <row r="51425" hidden="1" x14ac:dyDescent="0.2"/>
    <row r="51426" hidden="1" x14ac:dyDescent="0.2"/>
    <row r="51427" hidden="1" x14ac:dyDescent="0.2"/>
    <row r="51428" hidden="1" x14ac:dyDescent="0.2"/>
    <row r="51429" hidden="1" x14ac:dyDescent="0.2"/>
    <row r="51430" hidden="1" x14ac:dyDescent="0.2"/>
    <row r="51431" hidden="1" x14ac:dyDescent="0.2"/>
    <row r="51432" hidden="1" x14ac:dyDescent="0.2"/>
    <row r="51433" hidden="1" x14ac:dyDescent="0.2"/>
    <row r="51434" hidden="1" x14ac:dyDescent="0.2"/>
    <row r="51435" hidden="1" x14ac:dyDescent="0.2"/>
    <row r="51436" hidden="1" x14ac:dyDescent="0.2"/>
    <row r="51437" hidden="1" x14ac:dyDescent="0.2"/>
    <row r="51438" hidden="1" x14ac:dyDescent="0.2"/>
    <row r="51439" hidden="1" x14ac:dyDescent="0.2"/>
    <row r="51440" hidden="1" x14ac:dyDescent="0.2"/>
    <row r="51441" hidden="1" x14ac:dyDescent="0.2"/>
    <row r="51442" hidden="1" x14ac:dyDescent="0.2"/>
    <row r="51443" hidden="1" x14ac:dyDescent="0.2"/>
    <row r="51444" hidden="1" x14ac:dyDescent="0.2"/>
    <row r="51445" hidden="1" x14ac:dyDescent="0.2"/>
    <row r="51446" hidden="1" x14ac:dyDescent="0.2"/>
    <row r="51447" hidden="1" x14ac:dyDescent="0.2"/>
    <row r="51448" hidden="1" x14ac:dyDescent="0.2"/>
    <row r="51449" hidden="1" x14ac:dyDescent="0.2"/>
    <row r="51450" hidden="1" x14ac:dyDescent="0.2"/>
    <row r="51451" hidden="1" x14ac:dyDescent="0.2"/>
    <row r="51452" hidden="1" x14ac:dyDescent="0.2"/>
    <row r="51453" hidden="1" x14ac:dyDescent="0.2"/>
    <row r="51454" hidden="1" x14ac:dyDescent="0.2"/>
    <row r="51455" hidden="1" x14ac:dyDescent="0.2"/>
    <row r="51456" hidden="1" x14ac:dyDescent="0.2"/>
    <row r="51457" hidden="1" x14ac:dyDescent="0.2"/>
    <row r="51458" hidden="1" x14ac:dyDescent="0.2"/>
    <row r="51459" hidden="1" x14ac:dyDescent="0.2"/>
    <row r="51460" hidden="1" x14ac:dyDescent="0.2"/>
    <row r="51461" hidden="1" x14ac:dyDescent="0.2"/>
    <row r="51462" hidden="1" x14ac:dyDescent="0.2"/>
    <row r="51463" hidden="1" x14ac:dyDescent="0.2"/>
    <row r="51464" hidden="1" x14ac:dyDescent="0.2"/>
    <row r="51465" hidden="1" x14ac:dyDescent="0.2"/>
    <row r="51466" hidden="1" x14ac:dyDescent="0.2"/>
    <row r="51467" hidden="1" x14ac:dyDescent="0.2"/>
    <row r="51468" hidden="1" x14ac:dyDescent="0.2"/>
    <row r="51469" hidden="1" x14ac:dyDescent="0.2"/>
    <row r="51470" hidden="1" x14ac:dyDescent="0.2"/>
    <row r="51471" hidden="1" x14ac:dyDescent="0.2"/>
    <row r="51472" hidden="1" x14ac:dyDescent="0.2"/>
    <row r="51473" hidden="1" x14ac:dyDescent="0.2"/>
    <row r="51474" hidden="1" x14ac:dyDescent="0.2"/>
    <row r="51475" hidden="1" x14ac:dyDescent="0.2"/>
    <row r="51476" hidden="1" x14ac:dyDescent="0.2"/>
    <row r="51477" hidden="1" x14ac:dyDescent="0.2"/>
    <row r="51478" hidden="1" x14ac:dyDescent="0.2"/>
    <row r="51479" hidden="1" x14ac:dyDescent="0.2"/>
    <row r="51480" hidden="1" x14ac:dyDescent="0.2"/>
    <row r="51481" hidden="1" x14ac:dyDescent="0.2"/>
    <row r="51482" hidden="1" x14ac:dyDescent="0.2"/>
    <row r="51483" hidden="1" x14ac:dyDescent="0.2"/>
    <row r="51484" hidden="1" x14ac:dyDescent="0.2"/>
    <row r="51485" hidden="1" x14ac:dyDescent="0.2"/>
    <row r="51486" hidden="1" x14ac:dyDescent="0.2"/>
    <row r="51487" hidden="1" x14ac:dyDescent="0.2"/>
    <row r="51488" hidden="1" x14ac:dyDescent="0.2"/>
    <row r="51489" hidden="1" x14ac:dyDescent="0.2"/>
    <row r="51490" hidden="1" x14ac:dyDescent="0.2"/>
    <row r="51491" hidden="1" x14ac:dyDescent="0.2"/>
    <row r="51492" hidden="1" x14ac:dyDescent="0.2"/>
    <row r="51493" hidden="1" x14ac:dyDescent="0.2"/>
    <row r="51494" hidden="1" x14ac:dyDescent="0.2"/>
    <row r="51495" hidden="1" x14ac:dyDescent="0.2"/>
    <row r="51496" hidden="1" x14ac:dyDescent="0.2"/>
    <row r="51497" hidden="1" x14ac:dyDescent="0.2"/>
    <row r="51498" hidden="1" x14ac:dyDescent="0.2"/>
    <row r="51499" hidden="1" x14ac:dyDescent="0.2"/>
    <row r="51500" hidden="1" x14ac:dyDescent="0.2"/>
    <row r="51501" hidden="1" x14ac:dyDescent="0.2"/>
    <row r="51502" hidden="1" x14ac:dyDescent="0.2"/>
    <row r="51503" hidden="1" x14ac:dyDescent="0.2"/>
    <row r="51504" hidden="1" x14ac:dyDescent="0.2"/>
    <row r="51505" hidden="1" x14ac:dyDescent="0.2"/>
    <row r="51506" hidden="1" x14ac:dyDescent="0.2"/>
    <row r="51507" hidden="1" x14ac:dyDescent="0.2"/>
    <row r="51508" hidden="1" x14ac:dyDescent="0.2"/>
    <row r="51509" hidden="1" x14ac:dyDescent="0.2"/>
    <row r="51510" hidden="1" x14ac:dyDescent="0.2"/>
    <row r="51511" hidden="1" x14ac:dyDescent="0.2"/>
    <row r="51512" hidden="1" x14ac:dyDescent="0.2"/>
    <row r="51513" hidden="1" x14ac:dyDescent="0.2"/>
    <row r="51514" hidden="1" x14ac:dyDescent="0.2"/>
    <row r="51515" hidden="1" x14ac:dyDescent="0.2"/>
    <row r="51516" hidden="1" x14ac:dyDescent="0.2"/>
    <row r="51517" hidden="1" x14ac:dyDescent="0.2"/>
    <row r="51518" hidden="1" x14ac:dyDescent="0.2"/>
    <row r="51519" hidden="1" x14ac:dyDescent="0.2"/>
    <row r="51520" hidden="1" x14ac:dyDescent="0.2"/>
    <row r="51521" hidden="1" x14ac:dyDescent="0.2"/>
    <row r="51522" hidden="1" x14ac:dyDescent="0.2"/>
    <row r="51523" hidden="1" x14ac:dyDescent="0.2"/>
    <row r="51524" hidden="1" x14ac:dyDescent="0.2"/>
    <row r="51525" hidden="1" x14ac:dyDescent="0.2"/>
    <row r="51526" hidden="1" x14ac:dyDescent="0.2"/>
    <row r="51527" hidden="1" x14ac:dyDescent="0.2"/>
    <row r="51528" hidden="1" x14ac:dyDescent="0.2"/>
    <row r="51529" hidden="1" x14ac:dyDescent="0.2"/>
    <row r="51530" hidden="1" x14ac:dyDescent="0.2"/>
    <row r="51531" hidden="1" x14ac:dyDescent="0.2"/>
    <row r="51532" hidden="1" x14ac:dyDescent="0.2"/>
    <row r="51533" hidden="1" x14ac:dyDescent="0.2"/>
    <row r="51534" hidden="1" x14ac:dyDescent="0.2"/>
    <row r="51535" hidden="1" x14ac:dyDescent="0.2"/>
    <row r="51536" hidden="1" x14ac:dyDescent="0.2"/>
    <row r="51537" hidden="1" x14ac:dyDescent="0.2"/>
    <row r="51538" hidden="1" x14ac:dyDescent="0.2"/>
    <row r="51539" hidden="1" x14ac:dyDescent="0.2"/>
    <row r="51540" hidden="1" x14ac:dyDescent="0.2"/>
    <row r="51541" hidden="1" x14ac:dyDescent="0.2"/>
    <row r="51542" hidden="1" x14ac:dyDescent="0.2"/>
    <row r="51543" hidden="1" x14ac:dyDescent="0.2"/>
    <row r="51544" hidden="1" x14ac:dyDescent="0.2"/>
    <row r="51545" hidden="1" x14ac:dyDescent="0.2"/>
    <row r="51546" hidden="1" x14ac:dyDescent="0.2"/>
    <row r="51547" hidden="1" x14ac:dyDescent="0.2"/>
    <row r="51548" hidden="1" x14ac:dyDescent="0.2"/>
    <row r="51549" hidden="1" x14ac:dyDescent="0.2"/>
    <row r="51550" hidden="1" x14ac:dyDescent="0.2"/>
    <row r="51551" hidden="1" x14ac:dyDescent="0.2"/>
    <row r="51552" hidden="1" x14ac:dyDescent="0.2"/>
    <row r="51553" hidden="1" x14ac:dyDescent="0.2"/>
    <row r="51554" hidden="1" x14ac:dyDescent="0.2"/>
    <row r="51555" hidden="1" x14ac:dyDescent="0.2"/>
    <row r="51556" hidden="1" x14ac:dyDescent="0.2"/>
    <row r="51557" hidden="1" x14ac:dyDescent="0.2"/>
    <row r="51558" hidden="1" x14ac:dyDescent="0.2"/>
    <row r="51559" hidden="1" x14ac:dyDescent="0.2"/>
    <row r="51560" hidden="1" x14ac:dyDescent="0.2"/>
    <row r="51561" hidden="1" x14ac:dyDescent="0.2"/>
    <row r="51562" hidden="1" x14ac:dyDescent="0.2"/>
    <row r="51563" hidden="1" x14ac:dyDescent="0.2"/>
    <row r="51564" hidden="1" x14ac:dyDescent="0.2"/>
    <row r="51565" hidden="1" x14ac:dyDescent="0.2"/>
    <row r="51566" hidden="1" x14ac:dyDescent="0.2"/>
    <row r="51567" hidden="1" x14ac:dyDescent="0.2"/>
    <row r="51568" hidden="1" x14ac:dyDescent="0.2"/>
    <row r="51569" hidden="1" x14ac:dyDescent="0.2"/>
    <row r="51570" hidden="1" x14ac:dyDescent="0.2"/>
    <row r="51571" hidden="1" x14ac:dyDescent="0.2"/>
    <row r="51572" hidden="1" x14ac:dyDescent="0.2"/>
    <row r="51573" hidden="1" x14ac:dyDescent="0.2"/>
    <row r="51574" hidden="1" x14ac:dyDescent="0.2"/>
    <row r="51575" hidden="1" x14ac:dyDescent="0.2"/>
    <row r="51576" hidden="1" x14ac:dyDescent="0.2"/>
    <row r="51577" hidden="1" x14ac:dyDescent="0.2"/>
    <row r="51578" hidden="1" x14ac:dyDescent="0.2"/>
    <row r="51579" hidden="1" x14ac:dyDescent="0.2"/>
    <row r="51580" hidden="1" x14ac:dyDescent="0.2"/>
    <row r="51581" hidden="1" x14ac:dyDescent="0.2"/>
    <row r="51582" hidden="1" x14ac:dyDescent="0.2"/>
    <row r="51583" hidden="1" x14ac:dyDescent="0.2"/>
    <row r="51584" hidden="1" x14ac:dyDescent="0.2"/>
    <row r="51585" hidden="1" x14ac:dyDescent="0.2"/>
    <row r="51586" hidden="1" x14ac:dyDescent="0.2"/>
    <row r="51587" hidden="1" x14ac:dyDescent="0.2"/>
    <row r="51588" hidden="1" x14ac:dyDescent="0.2"/>
    <row r="51589" hidden="1" x14ac:dyDescent="0.2"/>
    <row r="51590" hidden="1" x14ac:dyDescent="0.2"/>
    <row r="51591" hidden="1" x14ac:dyDescent="0.2"/>
    <row r="51592" hidden="1" x14ac:dyDescent="0.2"/>
    <row r="51593" hidden="1" x14ac:dyDescent="0.2"/>
    <row r="51594" hidden="1" x14ac:dyDescent="0.2"/>
    <row r="51595" hidden="1" x14ac:dyDescent="0.2"/>
    <row r="51596" hidden="1" x14ac:dyDescent="0.2"/>
    <row r="51597" hidden="1" x14ac:dyDescent="0.2"/>
    <row r="51598" hidden="1" x14ac:dyDescent="0.2"/>
    <row r="51599" hidden="1" x14ac:dyDescent="0.2"/>
    <row r="51600" hidden="1" x14ac:dyDescent="0.2"/>
    <row r="51601" hidden="1" x14ac:dyDescent="0.2"/>
    <row r="51602" hidden="1" x14ac:dyDescent="0.2"/>
    <row r="51603" hidden="1" x14ac:dyDescent="0.2"/>
    <row r="51604" hidden="1" x14ac:dyDescent="0.2"/>
    <row r="51605" hidden="1" x14ac:dyDescent="0.2"/>
    <row r="51606" hidden="1" x14ac:dyDescent="0.2"/>
    <row r="51607" hidden="1" x14ac:dyDescent="0.2"/>
    <row r="51608" hidden="1" x14ac:dyDescent="0.2"/>
    <row r="51609" hidden="1" x14ac:dyDescent="0.2"/>
    <row r="51610" hidden="1" x14ac:dyDescent="0.2"/>
    <row r="51611" hidden="1" x14ac:dyDescent="0.2"/>
    <row r="51612" hidden="1" x14ac:dyDescent="0.2"/>
    <row r="51613" hidden="1" x14ac:dyDescent="0.2"/>
    <row r="51614" hidden="1" x14ac:dyDescent="0.2"/>
    <row r="51615" hidden="1" x14ac:dyDescent="0.2"/>
    <row r="51616" hidden="1" x14ac:dyDescent="0.2"/>
    <row r="51617" hidden="1" x14ac:dyDescent="0.2"/>
    <row r="51618" hidden="1" x14ac:dyDescent="0.2"/>
    <row r="51619" hidden="1" x14ac:dyDescent="0.2"/>
    <row r="51620" hidden="1" x14ac:dyDescent="0.2"/>
    <row r="51621" hidden="1" x14ac:dyDescent="0.2"/>
    <row r="51622" hidden="1" x14ac:dyDescent="0.2"/>
    <row r="51623" hidden="1" x14ac:dyDescent="0.2"/>
    <row r="51624" hidden="1" x14ac:dyDescent="0.2"/>
    <row r="51625" hidden="1" x14ac:dyDescent="0.2"/>
    <row r="51626" hidden="1" x14ac:dyDescent="0.2"/>
    <row r="51627" hidden="1" x14ac:dyDescent="0.2"/>
    <row r="51628" hidden="1" x14ac:dyDescent="0.2"/>
    <row r="51629" hidden="1" x14ac:dyDescent="0.2"/>
    <row r="51630" hidden="1" x14ac:dyDescent="0.2"/>
    <row r="51631" hidden="1" x14ac:dyDescent="0.2"/>
    <row r="51632" hidden="1" x14ac:dyDescent="0.2"/>
    <row r="51633" hidden="1" x14ac:dyDescent="0.2"/>
    <row r="51634" hidden="1" x14ac:dyDescent="0.2"/>
    <row r="51635" hidden="1" x14ac:dyDescent="0.2"/>
    <row r="51636" hidden="1" x14ac:dyDescent="0.2"/>
    <row r="51637" hidden="1" x14ac:dyDescent="0.2"/>
    <row r="51638" hidden="1" x14ac:dyDescent="0.2"/>
    <row r="51639" hidden="1" x14ac:dyDescent="0.2"/>
    <row r="51640" hidden="1" x14ac:dyDescent="0.2"/>
    <row r="51641" hidden="1" x14ac:dyDescent="0.2"/>
    <row r="51642" hidden="1" x14ac:dyDescent="0.2"/>
    <row r="51643" hidden="1" x14ac:dyDescent="0.2"/>
    <row r="51644" hidden="1" x14ac:dyDescent="0.2"/>
    <row r="51645" hidden="1" x14ac:dyDescent="0.2"/>
    <row r="51646" hidden="1" x14ac:dyDescent="0.2"/>
    <row r="51647" hidden="1" x14ac:dyDescent="0.2"/>
    <row r="51648" hidden="1" x14ac:dyDescent="0.2"/>
    <row r="51649" hidden="1" x14ac:dyDescent="0.2"/>
    <row r="51650" hidden="1" x14ac:dyDescent="0.2"/>
    <row r="51651" hidden="1" x14ac:dyDescent="0.2"/>
    <row r="51652" hidden="1" x14ac:dyDescent="0.2"/>
    <row r="51653" hidden="1" x14ac:dyDescent="0.2"/>
    <row r="51654" hidden="1" x14ac:dyDescent="0.2"/>
    <row r="51655" hidden="1" x14ac:dyDescent="0.2"/>
    <row r="51656" hidden="1" x14ac:dyDescent="0.2"/>
    <row r="51657" hidden="1" x14ac:dyDescent="0.2"/>
    <row r="51658" hidden="1" x14ac:dyDescent="0.2"/>
    <row r="51659" hidden="1" x14ac:dyDescent="0.2"/>
    <row r="51660" hidden="1" x14ac:dyDescent="0.2"/>
    <row r="51661" hidden="1" x14ac:dyDescent="0.2"/>
    <row r="51662" hidden="1" x14ac:dyDescent="0.2"/>
    <row r="51663" hidden="1" x14ac:dyDescent="0.2"/>
    <row r="51664" hidden="1" x14ac:dyDescent="0.2"/>
    <row r="51665" hidden="1" x14ac:dyDescent="0.2"/>
    <row r="51666" hidden="1" x14ac:dyDescent="0.2"/>
    <row r="51667" hidden="1" x14ac:dyDescent="0.2"/>
    <row r="51668" hidden="1" x14ac:dyDescent="0.2"/>
    <row r="51669" hidden="1" x14ac:dyDescent="0.2"/>
    <row r="51670" hidden="1" x14ac:dyDescent="0.2"/>
    <row r="51671" hidden="1" x14ac:dyDescent="0.2"/>
    <row r="51672" hidden="1" x14ac:dyDescent="0.2"/>
    <row r="51673" hidden="1" x14ac:dyDescent="0.2"/>
    <row r="51674" hidden="1" x14ac:dyDescent="0.2"/>
    <row r="51675" hidden="1" x14ac:dyDescent="0.2"/>
    <row r="51676" hidden="1" x14ac:dyDescent="0.2"/>
    <row r="51677" hidden="1" x14ac:dyDescent="0.2"/>
    <row r="51678" hidden="1" x14ac:dyDescent="0.2"/>
    <row r="51679" hidden="1" x14ac:dyDescent="0.2"/>
    <row r="51680" hidden="1" x14ac:dyDescent="0.2"/>
    <row r="51681" hidden="1" x14ac:dyDescent="0.2"/>
    <row r="51682" hidden="1" x14ac:dyDescent="0.2"/>
    <row r="51683" hidden="1" x14ac:dyDescent="0.2"/>
    <row r="51684" hidden="1" x14ac:dyDescent="0.2"/>
    <row r="51685" hidden="1" x14ac:dyDescent="0.2"/>
    <row r="51686" hidden="1" x14ac:dyDescent="0.2"/>
    <row r="51687" hidden="1" x14ac:dyDescent="0.2"/>
    <row r="51688" hidden="1" x14ac:dyDescent="0.2"/>
    <row r="51689" hidden="1" x14ac:dyDescent="0.2"/>
    <row r="51690" hidden="1" x14ac:dyDescent="0.2"/>
    <row r="51691" hidden="1" x14ac:dyDescent="0.2"/>
    <row r="51692" hidden="1" x14ac:dyDescent="0.2"/>
    <row r="51693" hidden="1" x14ac:dyDescent="0.2"/>
    <row r="51694" hidden="1" x14ac:dyDescent="0.2"/>
    <row r="51695" hidden="1" x14ac:dyDescent="0.2"/>
    <row r="51696" hidden="1" x14ac:dyDescent="0.2"/>
    <row r="51697" hidden="1" x14ac:dyDescent="0.2"/>
    <row r="51698" hidden="1" x14ac:dyDescent="0.2"/>
    <row r="51699" hidden="1" x14ac:dyDescent="0.2"/>
    <row r="51700" hidden="1" x14ac:dyDescent="0.2"/>
    <row r="51701" hidden="1" x14ac:dyDescent="0.2"/>
    <row r="51702" hidden="1" x14ac:dyDescent="0.2"/>
    <row r="51703" hidden="1" x14ac:dyDescent="0.2"/>
    <row r="51704" hidden="1" x14ac:dyDescent="0.2"/>
    <row r="51705" hidden="1" x14ac:dyDescent="0.2"/>
    <row r="51706" hidden="1" x14ac:dyDescent="0.2"/>
    <row r="51707" hidden="1" x14ac:dyDescent="0.2"/>
    <row r="51708" hidden="1" x14ac:dyDescent="0.2"/>
    <row r="51709" hidden="1" x14ac:dyDescent="0.2"/>
    <row r="51710" hidden="1" x14ac:dyDescent="0.2"/>
    <row r="51711" hidden="1" x14ac:dyDescent="0.2"/>
    <row r="51712" hidden="1" x14ac:dyDescent="0.2"/>
    <row r="51713" hidden="1" x14ac:dyDescent="0.2"/>
    <row r="51714" hidden="1" x14ac:dyDescent="0.2"/>
    <row r="51715" hidden="1" x14ac:dyDescent="0.2"/>
    <row r="51716" hidden="1" x14ac:dyDescent="0.2"/>
    <row r="51717" hidden="1" x14ac:dyDescent="0.2"/>
    <row r="51718" hidden="1" x14ac:dyDescent="0.2"/>
    <row r="51719" hidden="1" x14ac:dyDescent="0.2"/>
    <row r="51720" hidden="1" x14ac:dyDescent="0.2"/>
    <row r="51721" hidden="1" x14ac:dyDescent="0.2"/>
    <row r="51722" hidden="1" x14ac:dyDescent="0.2"/>
    <row r="51723" hidden="1" x14ac:dyDescent="0.2"/>
    <row r="51724" hidden="1" x14ac:dyDescent="0.2"/>
    <row r="51725" hidden="1" x14ac:dyDescent="0.2"/>
    <row r="51726" hidden="1" x14ac:dyDescent="0.2"/>
    <row r="51727" hidden="1" x14ac:dyDescent="0.2"/>
    <row r="51728" hidden="1" x14ac:dyDescent="0.2"/>
    <row r="51729" hidden="1" x14ac:dyDescent="0.2"/>
    <row r="51730" hidden="1" x14ac:dyDescent="0.2"/>
    <row r="51731" hidden="1" x14ac:dyDescent="0.2"/>
    <row r="51732" hidden="1" x14ac:dyDescent="0.2"/>
    <row r="51733" hidden="1" x14ac:dyDescent="0.2"/>
    <row r="51734" hidden="1" x14ac:dyDescent="0.2"/>
    <row r="51735" hidden="1" x14ac:dyDescent="0.2"/>
    <row r="51736" hidden="1" x14ac:dyDescent="0.2"/>
    <row r="51737" hidden="1" x14ac:dyDescent="0.2"/>
    <row r="51738" hidden="1" x14ac:dyDescent="0.2"/>
    <row r="51739" hidden="1" x14ac:dyDescent="0.2"/>
    <row r="51740" hidden="1" x14ac:dyDescent="0.2"/>
    <row r="51741" hidden="1" x14ac:dyDescent="0.2"/>
    <row r="51742" hidden="1" x14ac:dyDescent="0.2"/>
    <row r="51743" hidden="1" x14ac:dyDescent="0.2"/>
    <row r="51744" hidden="1" x14ac:dyDescent="0.2"/>
    <row r="51745" hidden="1" x14ac:dyDescent="0.2"/>
    <row r="51746" hidden="1" x14ac:dyDescent="0.2"/>
    <row r="51747" hidden="1" x14ac:dyDescent="0.2"/>
    <row r="51748" hidden="1" x14ac:dyDescent="0.2"/>
    <row r="51749" hidden="1" x14ac:dyDescent="0.2"/>
    <row r="51750" hidden="1" x14ac:dyDescent="0.2"/>
    <row r="51751" hidden="1" x14ac:dyDescent="0.2"/>
    <row r="51752" hidden="1" x14ac:dyDescent="0.2"/>
    <row r="51753" hidden="1" x14ac:dyDescent="0.2"/>
    <row r="51754" hidden="1" x14ac:dyDescent="0.2"/>
    <row r="51755" hidden="1" x14ac:dyDescent="0.2"/>
    <row r="51756" hidden="1" x14ac:dyDescent="0.2"/>
    <row r="51757" hidden="1" x14ac:dyDescent="0.2"/>
    <row r="51758" hidden="1" x14ac:dyDescent="0.2"/>
    <row r="51759" hidden="1" x14ac:dyDescent="0.2"/>
    <row r="51760" hidden="1" x14ac:dyDescent="0.2"/>
    <row r="51761" hidden="1" x14ac:dyDescent="0.2"/>
    <row r="51762" hidden="1" x14ac:dyDescent="0.2"/>
    <row r="51763" hidden="1" x14ac:dyDescent="0.2"/>
    <row r="51764" hidden="1" x14ac:dyDescent="0.2"/>
    <row r="51765" hidden="1" x14ac:dyDescent="0.2"/>
    <row r="51766" hidden="1" x14ac:dyDescent="0.2"/>
    <row r="51767" hidden="1" x14ac:dyDescent="0.2"/>
    <row r="51768" hidden="1" x14ac:dyDescent="0.2"/>
    <row r="51769" hidden="1" x14ac:dyDescent="0.2"/>
    <row r="51770" hidden="1" x14ac:dyDescent="0.2"/>
    <row r="51771" hidden="1" x14ac:dyDescent="0.2"/>
    <row r="51772" hidden="1" x14ac:dyDescent="0.2"/>
    <row r="51773" hidden="1" x14ac:dyDescent="0.2"/>
    <row r="51774" hidden="1" x14ac:dyDescent="0.2"/>
    <row r="51775" hidden="1" x14ac:dyDescent="0.2"/>
    <row r="51776" hidden="1" x14ac:dyDescent="0.2"/>
    <row r="51777" hidden="1" x14ac:dyDescent="0.2"/>
    <row r="51778" hidden="1" x14ac:dyDescent="0.2"/>
    <row r="51779" hidden="1" x14ac:dyDescent="0.2"/>
    <row r="51780" hidden="1" x14ac:dyDescent="0.2"/>
    <row r="51781" hidden="1" x14ac:dyDescent="0.2"/>
    <row r="51782" hidden="1" x14ac:dyDescent="0.2"/>
    <row r="51783" hidden="1" x14ac:dyDescent="0.2"/>
    <row r="51784" hidden="1" x14ac:dyDescent="0.2"/>
    <row r="51785" hidden="1" x14ac:dyDescent="0.2"/>
    <row r="51786" hidden="1" x14ac:dyDescent="0.2"/>
    <row r="51787" hidden="1" x14ac:dyDescent="0.2"/>
    <row r="51788" hidden="1" x14ac:dyDescent="0.2"/>
    <row r="51789" hidden="1" x14ac:dyDescent="0.2"/>
    <row r="51790" hidden="1" x14ac:dyDescent="0.2"/>
    <row r="51791" hidden="1" x14ac:dyDescent="0.2"/>
    <row r="51792" hidden="1" x14ac:dyDescent="0.2"/>
    <row r="51793" hidden="1" x14ac:dyDescent="0.2"/>
    <row r="51794" hidden="1" x14ac:dyDescent="0.2"/>
    <row r="51795" hidden="1" x14ac:dyDescent="0.2"/>
    <row r="51796" hidden="1" x14ac:dyDescent="0.2"/>
    <row r="51797" hidden="1" x14ac:dyDescent="0.2"/>
    <row r="51798" hidden="1" x14ac:dyDescent="0.2"/>
    <row r="51799" hidden="1" x14ac:dyDescent="0.2"/>
    <row r="51800" hidden="1" x14ac:dyDescent="0.2"/>
    <row r="51801" hidden="1" x14ac:dyDescent="0.2"/>
    <row r="51802" hidden="1" x14ac:dyDescent="0.2"/>
    <row r="51803" hidden="1" x14ac:dyDescent="0.2"/>
    <row r="51804" hidden="1" x14ac:dyDescent="0.2"/>
    <row r="51805" hidden="1" x14ac:dyDescent="0.2"/>
    <row r="51806" hidden="1" x14ac:dyDescent="0.2"/>
    <row r="51807" hidden="1" x14ac:dyDescent="0.2"/>
    <row r="51808" hidden="1" x14ac:dyDescent="0.2"/>
    <row r="51809" hidden="1" x14ac:dyDescent="0.2"/>
    <row r="51810" hidden="1" x14ac:dyDescent="0.2"/>
    <row r="51811" hidden="1" x14ac:dyDescent="0.2"/>
    <row r="51812" hidden="1" x14ac:dyDescent="0.2"/>
    <row r="51813" hidden="1" x14ac:dyDescent="0.2"/>
    <row r="51814" hidden="1" x14ac:dyDescent="0.2"/>
    <row r="51815" hidden="1" x14ac:dyDescent="0.2"/>
    <row r="51816" hidden="1" x14ac:dyDescent="0.2"/>
    <row r="51817" hidden="1" x14ac:dyDescent="0.2"/>
    <row r="51818" hidden="1" x14ac:dyDescent="0.2"/>
    <row r="51819" hidden="1" x14ac:dyDescent="0.2"/>
    <row r="51820" hidden="1" x14ac:dyDescent="0.2"/>
    <row r="51821" hidden="1" x14ac:dyDescent="0.2"/>
    <row r="51822" hidden="1" x14ac:dyDescent="0.2"/>
    <row r="51823" hidden="1" x14ac:dyDescent="0.2"/>
    <row r="51824" hidden="1" x14ac:dyDescent="0.2"/>
    <row r="51825" hidden="1" x14ac:dyDescent="0.2"/>
    <row r="51826" hidden="1" x14ac:dyDescent="0.2"/>
    <row r="51827" hidden="1" x14ac:dyDescent="0.2"/>
    <row r="51828" hidden="1" x14ac:dyDescent="0.2"/>
    <row r="51829" hidden="1" x14ac:dyDescent="0.2"/>
    <row r="51830" hidden="1" x14ac:dyDescent="0.2"/>
    <row r="51831" hidden="1" x14ac:dyDescent="0.2"/>
    <row r="51832" hidden="1" x14ac:dyDescent="0.2"/>
    <row r="51833" hidden="1" x14ac:dyDescent="0.2"/>
    <row r="51834" hidden="1" x14ac:dyDescent="0.2"/>
    <row r="51835" hidden="1" x14ac:dyDescent="0.2"/>
    <row r="51836" hidden="1" x14ac:dyDescent="0.2"/>
    <row r="51837" hidden="1" x14ac:dyDescent="0.2"/>
    <row r="51838" hidden="1" x14ac:dyDescent="0.2"/>
    <row r="51839" hidden="1" x14ac:dyDescent="0.2"/>
    <row r="51840" hidden="1" x14ac:dyDescent="0.2"/>
    <row r="51841" hidden="1" x14ac:dyDescent="0.2"/>
    <row r="51842" hidden="1" x14ac:dyDescent="0.2"/>
    <row r="51843" hidden="1" x14ac:dyDescent="0.2"/>
    <row r="51844" hidden="1" x14ac:dyDescent="0.2"/>
    <row r="51845" hidden="1" x14ac:dyDescent="0.2"/>
    <row r="51846" hidden="1" x14ac:dyDescent="0.2"/>
    <row r="51847" hidden="1" x14ac:dyDescent="0.2"/>
    <row r="51848" hidden="1" x14ac:dyDescent="0.2"/>
    <row r="51849" hidden="1" x14ac:dyDescent="0.2"/>
    <row r="51850" hidden="1" x14ac:dyDescent="0.2"/>
    <row r="51851" hidden="1" x14ac:dyDescent="0.2"/>
    <row r="51852" hidden="1" x14ac:dyDescent="0.2"/>
    <row r="51853" hidden="1" x14ac:dyDescent="0.2"/>
    <row r="51854" hidden="1" x14ac:dyDescent="0.2"/>
    <row r="51855" hidden="1" x14ac:dyDescent="0.2"/>
    <row r="51856" hidden="1" x14ac:dyDescent="0.2"/>
    <row r="51857" hidden="1" x14ac:dyDescent="0.2"/>
    <row r="51858" hidden="1" x14ac:dyDescent="0.2"/>
    <row r="51859" hidden="1" x14ac:dyDescent="0.2"/>
    <row r="51860" hidden="1" x14ac:dyDescent="0.2"/>
    <row r="51861" hidden="1" x14ac:dyDescent="0.2"/>
    <row r="51862" hidden="1" x14ac:dyDescent="0.2"/>
    <row r="51863" hidden="1" x14ac:dyDescent="0.2"/>
    <row r="51864" hidden="1" x14ac:dyDescent="0.2"/>
    <row r="51865" hidden="1" x14ac:dyDescent="0.2"/>
    <row r="51866" hidden="1" x14ac:dyDescent="0.2"/>
    <row r="51867" hidden="1" x14ac:dyDescent="0.2"/>
    <row r="51868" hidden="1" x14ac:dyDescent="0.2"/>
    <row r="51869" hidden="1" x14ac:dyDescent="0.2"/>
    <row r="51870" hidden="1" x14ac:dyDescent="0.2"/>
    <row r="51871" hidden="1" x14ac:dyDescent="0.2"/>
    <row r="51872" hidden="1" x14ac:dyDescent="0.2"/>
    <row r="51873" hidden="1" x14ac:dyDescent="0.2"/>
    <row r="51874" hidden="1" x14ac:dyDescent="0.2"/>
    <row r="51875" hidden="1" x14ac:dyDescent="0.2"/>
    <row r="51876" hidden="1" x14ac:dyDescent="0.2"/>
    <row r="51877" hidden="1" x14ac:dyDescent="0.2"/>
    <row r="51878" hidden="1" x14ac:dyDescent="0.2"/>
    <row r="51879" hidden="1" x14ac:dyDescent="0.2"/>
    <row r="51880" hidden="1" x14ac:dyDescent="0.2"/>
    <row r="51881" hidden="1" x14ac:dyDescent="0.2"/>
    <row r="51882" hidden="1" x14ac:dyDescent="0.2"/>
    <row r="51883" hidden="1" x14ac:dyDescent="0.2"/>
    <row r="51884" hidden="1" x14ac:dyDescent="0.2"/>
    <row r="51885" hidden="1" x14ac:dyDescent="0.2"/>
    <row r="51886" hidden="1" x14ac:dyDescent="0.2"/>
    <row r="51887" hidden="1" x14ac:dyDescent="0.2"/>
    <row r="51888" hidden="1" x14ac:dyDescent="0.2"/>
    <row r="51889" hidden="1" x14ac:dyDescent="0.2"/>
    <row r="51890" hidden="1" x14ac:dyDescent="0.2"/>
    <row r="51891" hidden="1" x14ac:dyDescent="0.2"/>
    <row r="51892" hidden="1" x14ac:dyDescent="0.2"/>
    <row r="51893" hidden="1" x14ac:dyDescent="0.2"/>
    <row r="51894" hidden="1" x14ac:dyDescent="0.2"/>
    <row r="51895" hidden="1" x14ac:dyDescent="0.2"/>
    <row r="51896" hidden="1" x14ac:dyDescent="0.2"/>
    <row r="51897" hidden="1" x14ac:dyDescent="0.2"/>
    <row r="51898" hidden="1" x14ac:dyDescent="0.2"/>
    <row r="51899" hidden="1" x14ac:dyDescent="0.2"/>
    <row r="51900" hidden="1" x14ac:dyDescent="0.2"/>
    <row r="51901" hidden="1" x14ac:dyDescent="0.2"/>
    <row r="51902" hidden="1" x14ac:dyDescent="0.2"/>
    <row r="51903" hidden="1" x14ac:dyDescent="0.2"/>
    <row r="51904" hidden="1" x14ac:dyDescent="0.2"/>
    <row r="51905" hidden="1" x14ac:dyDescent="0.2"/>
    <row r="51906" hidden="1" x14ac:dyDescent="0.2"/>
    <row r="51907" hidden="1" x14ac:dyDescent="0.2"/>
    <row r="51908" hidden="1" x14ac:dyDescent="0.2"/>
    <row r="51909" hidden="1" x14ac:dyDescent="0.2"/>
    <row r="51910" hidden="1" x14ac:dyDescent="0.2"/>
    <row r="51911" hidden="1" x14ac:dyDescent="0.2"/>
    <row r="51912" hidden="1" x14ac:dyDescent="0.2"/>
    <row r="51913" hidden="1" x14ac:dyDescent="0.2"/>
    <row r="51914" hidden="1" x14ac:dyDescent="0.2"/>
    <row r="51915" hidden="1" x14ac:dyDescent="0.2"/>
    <row r="51916" hidden="1" x14ac:dyDescent="0.2"/>
    <row r="51917" hidden="1" x14ac:dyDescent="0.2"/>
    <row r="51918" hidden="1" x14ac:dyDescent="0.2"/>
    <row r="51919" hidden="1" x14ac:dyDescent="0.2"/>
    <row r="51920" hidden="1" x14ac:dyDescent="0.2"/>
    <row r="51921" hidden="1" x14ac:dyDescent="0.2"/>
    <row r="51922" hidden="1" x14ac:dyDescent="0.2"/>
    <row r="51923" hidden="1" x14ac:dyDescent="0.2"/>
    <row r="51924" hidden="1" x14ac:dyDescent="0.2"/>
    <row r="51925" hidden="1" x14ac:dyDescent="0.2"/>
    <row r="51926" hidden="1" x14ac:dyDescent="0.2"/>
    <row r="51927" hidden="1" x14ac:dyDescent="0.2"/>
    <row r="51928" hidden="1" x14ac:dyDescent="0.2"/>
    <row r="51929" hidden="1" x14ac:dyDescent="0.2"/>
    <row r="51930" hidden="1" x14ac:dyDescent="0.2"/>
    <row r="51931" hidden="1" x14ac:dyDescent="0.2"/>
    <row r="51932" hidden="1" x14ac:dyDescent="0.2"/>
    <row r="51933" hidden="1" x14ac:dyDescent="0.2"/>
    <row r="51934" hidden="1" x14ac:dyDescent="0.2"/>
    <row r="51935" hidden="1" x14ac:dyDescent="0.2"/>
    <row r="51936" hidden="1" x14ac:dyDescent="0.2"/>
    <row r="51937" hidden="1" x14ac:dyDescent="0.2"/>
    <row r="51938" hidden="1" x14ac:dyDescent="0.2"/>
    <row r="51939" hidden="1" x14ac:dyDescent="0.2"/>
    <row r="51940" hidden="1" x14ac:dyDescent="0.2"/>
    <row r="51941" hidden="1" x14ac:dyDescent="0.2"/>
    <row r="51942" hidden="1" x14ac:dyDescent="0.2"/>
    <row r="51943" hidden="1" x14ac:dyDescent="0.2"/>
    <row r="51944" hidden="1" x14ac:dyDescent="0.2"/>
    <row r="51945" hidden="1" x14ac:dyDescent="0.2"/>
    <row r="51946" hidden="1" x14ac:dyDescent="0.2"/>
    <row r="51947" hidden="1" x14ac:dyDescent="0.2"/>
    <row r="51948" hidden="1" x14ac:dyDescent="0.2"/>
    <row r="51949" hidden="1" x14ac:dyDescent="0.2"/>
    <row r="51950" hidden="1" x14ac:dyDescent="0.2"/>
    <row r="51951" hidden="1" x14ac:dyDescent="0.2"/>
    <row r="51952" hidden="1" x14ac:dyDescent="0.2"/>
    <row r="51953" hidden="1" x14ac:dyDescent="0.2"/>
    <row r="51954" hidden="1" x14ac:dyDescent="0.2"/>
    <row r="51955" hidden="1" x14ac:dyDescent="0.2"/>
    <row r="51956" hidden="1" x14ac:dyDescent="0.2"/>
    <row r="51957" hidden="1" x14ac:dyDescent="0.2"/>
    <row r="51958" hidden="1" x14ac:dyDescent="0.2"/>
    <row r="51959" hidden="1" x14ac:dyDescent="0.2"/>
    <row r="51960" hidden="1" x14ac:dyDescent="0.2"/>
    <row r="51961" hidden="1" x14ac:dyDescent="0.2"/>
    <row r="51962" hidden="1" x14ac:dyDescent="0.2"/>
    <row r="51963" hidden="1" x14ac:dyDescent="0.2"/>
    <row r="51964" hidden="1" x14ac:dyDescent="0.2"/>
    <row r="51965" hidden="1" x14ac:dyDescent="0.2"/>
    <row r="51966" hidden="1" x14ac:dyDescent="0.2"/>
    <row r="51967" hidden="1" x14ac:dyDescent="0.2"/>
    <row r="51968" hidden="1" x14ac:dyDescent="0.2"/>
    <row r="51969" hidden="1" x14ac:dyDescent="0.2"/>
    <row r="51970" hidden="1" x14ac:dyDescent="0.2"/>
    <row r="51971" hidden="1" x14ac:dyDescent="0.2"/>
    <row r="51972" hidden="1" x14ac:dyDescent="0.2"/>
    <row r="51973" hidden="1" x14ac:dyDescent="0.2"/>
    <row r="51974" hidden="1" x14ac:dyDescent="0.2"/>
    <row r="51975" hidden="1" x14ac:dyDescent="0.2"/>
    <row r="51976" hidden="1" x14ac:dyDescent="0.2"/>
    <row r="51977" hidden="1" x14ac:dyDescent="0.2"/>
    <row r="51978" hidden="1" x14ac:dyDescent="0.2"/>
    <row r="51979" hidden="1" x14ac:dyDescent="0.2"/>
    <row r="51980" hidden="1" x14ac:dyDescent="0.2"/>
    <row r="51981" hidden="1" x14ac:dyDescent="0.2"/>
    <row r="51982" hidden="1" x14ac:dyDescent="0.2"/>
    <row r="51983" hidden="1" x14ac:dyDescent="0.2"/>
    <row r="51984" hidden="1" x14ac:dyDescent="0.2"/>
    <row r="51985" hidden="1" x14ac:dyDescent="0.2"/>
    <row r="51986" hidden="1" x14ac:dyDescent="0.2"/>
    <row r="51987" hidden="1" x14ac:dyDescent="0.2"/>
    <row r="51988" hidden="1" x14ac:dyDescent="0.2"/>
    <row r="51989" hidden="1" x14ac:dyDescent="0.2"/>
    <row r="51990" hidden="1" x14ac:dyDescent="0.2"/>
    <row r="51991" hidden="1" x14ac:dyDescent="0.2"/>
    <row r="51992" hidden="1" x14ac:dyDescent="0.2"/>
    <row r="51993" hidden="1" x14ac:dyDescent="0.2"/>
    <row r="51994" hidden="1" x14ac:dyDescent="0.2"/>
    <row r="51995" hidden="1" x14ac:dyDescent="0.2"/>
    <row r="51996" hidden="1" x14ac:dyDescent="0.2"/>
    <row r="51997" hidden="1" x14ac:dyDescent="0.2"/>
    <row r="51998" hidden="1" x14ac:dyDescent="0.2"/>
    <row r="51999" hidden="1" x14ac:dyDescent="0.2"/>
    <row r="52000" hidden="1" x14ac:dyDescent="0.2"/>
    <row r="52001" hidden="1" x14ac:dyDescent="0.2"/>
    <row r="52002" hidden="1" x14ac:dyDescent="0.2"/>
    <row r="52003" hidden="1" x14ac:dyDescent="0.2"/>
    <row r="52004" hidden="1" x14ac:dyDescent="0.2"/>
    <row r="52005" hidden="1" x14ac:dyDescent="0.2"/>
    <row r="52006" hidden="1" x14ac:dyDescent="0.2"/>
    <row r="52007" hidden="1" x14ac:dyDescent="0.2"/>
    <row r="52008" hidden="1" x14ac:dyDescent="0.2"/>
    <row r="52009" hidden="1" x14ac:dyDescent="0.2"/>
    <row r="52010" hidden="1" x14ac:dyDescent="0.2"/>
    <row r="52011" hidden="1" x14ac:dyDescent="0.2"/>
    <row r="52012" hidden="1" x14ac:dyDescent="0.2"/>
    <row r="52013" hidden="1" x14ac:dyDescent="0.2"/>
    <row r="52014" hidden="1" x14ac:dyDescent="0.2"/>
    <row r="52015" hidden="1" x14ac:dyDescent="0.2"/>
    <row r="52016" hidden="1" x14ac:dyDescent="0.2"/>
    <row r="52017" hidden="1" x14ac:dyDescent="0.2"/>
    <row r="52018" hidden="1" x14ac:dyDescent="0.2"/>
    <row r="52019" hidden="1" x14ac:dyDescent="0.2"/>
    <row r="52020" hidden="1" x14ac:dyDescent="0.2"/>
    <row r="52021" hidden="1" x14ac:dyDescent="0.2"/>
    <row r="52022" hidden="1" x14ac:dyDescent="0.2"/>
    <row r="52023" hidden="1" x14ac:dyDescent="0.2"/>
    <row r="52024" hidden="1" x14ac:dyDescent="0.2"/>
    <row r="52025" hidden="1" x14ac:dyDescent="0.2"/>
    <row r="52026" hidden="1" x14ac:dyDescent="0.2"/>
    <row r="52027" hidden="1" x14ac:dyDescent="0.2"/>
    <row r="52028" hidden="1" x14ac:dyDescent="0.2"/>
    <row r="52029" hidden="1" x14ac:dyDescent="0.2"/>
    <row r="52030" hidden="1" x14ac:dyDescent="0.2"/>
    <row r="52031" hidden="1" x14ac:dyDescent="0.2"/>
    <row r="52032" hidden="1" x14ac:dyDescent="0.2"/>
    <row r="52033" hidden="1" x14ac:dyDescent="0.2"/>
    <row r="52034" hidden="1" x14ac:dyDescent="0.2"/>
    <row r="52035" hidden="1" x14ac:dyDescent="0.2"/>
    <row r="52036" hidden="1" x14ac:dyDescent="0.2"/>
    <row r="52037" hidden="1" x14ac:dyDescent="0.2"/>
    <row r="52038" hidden="1" x14ac:dyDescent="0.2"/>
    <row r="52039" hidden="1" x14ac:dyDescent="0.2"/>
    <row r="52040" hidden="1" x14ac:dyDescent="0.2"/>
    <row r="52041" hidden="1" x14ac:dyDescent="0.2"/>
    <row r="52042" hidden="1" x14ac:dyDescent="0.2"/>
    <row r="52043" hidden="1" x14ac:dyDescent="0.2"/>
    <row r="52044" hidden="1" x14ac:dyDescent="0.2"/>
    <row r="52045" hidden="1" x14ac:dyDescent="0.2"/>
    <row r="52046" hidden="1" x14ac:dyDescent="0.2"/>
    <row r="52047" hidden="1" x14ac:dyDescent="0.2"/>
    <row r="52048" hidden="1" x14ac:dyDescent="0.2"/>
    <row r="52049" hidden="1" x14ac:dyDescent="0.2"/>
    <row r="52050" hidden="1" x14ac:dyDescent="0.2"/>
    <row r="52051" hidden="1" x14ac:dyDescent="0.2"/>
    <row r="52052" hidden="1" x14ac:dyDescent="0.2"/>
    <row r="52053" hidden="1" x14ac:dyDescent="0.2"/>
    <row r="52054" hidden="1" x14ac:dyDescent="0.2"/>
    <row r="52055" hidden="1" x14ac:dyDescent="0.2"/>
    <row r="52056" hidden="1" x14ac:dyDescent="0.2"/>
    <row r="52057" hidden="1" x14ac:dyDescent="0.2"/>
    <row r="52058" hidden="1" x14ac:dyDescent="0.2"/>
    <row r="52059" hidden="1" x14ac:dyDescent="0.2"/>
    <row r="52060" hidden="1" x14ac:dyDescent="0.2"/>
    <row r="52061" hidden="1" x14ac:dyDescent="0.2"/>
    <row r="52062" hidden="1" x14ac:dyDescent="0.2"/>
    <row r="52063" hidden="1" x14ac:dyDescent="0.2"/>
    <row r="52064" hidden="1" x14ac:dyDescent="0.2"/>
    <row r="52065" hidden="1" x14ac:dyDescent="0.2"/>
    <row r="52066" hidden="1" x14ac:dyDescent="0.2"/>
    <row r="52067" hidden="1" x14ac:dyDescent="0.2"/>
    <row r="52068" hidden="1" x14ac:dyDescent="0.2"/>
    <row r="52069" hidden="1" x14ac:dyDescent="0.2"/>
    <row r="52070" hidden="1" x14ac:dyDescent="0.2"/>
    <row r="52071" hidden="1" x14ac:dyDescent="0.2"/>
    <row r="52072" hidden="1" x14ac:dyDescent="0.2"/>
    <row r="52073" hidden="1" x14ac:dyDescent="0.2"/>
    <row r="52074" hidden="1" x14ac:dyDescent="0.2"/>
    <row r="52075" hidden="1" x14ac:dyDescent="0.2"/>
    <row r="52076" hidden="1" x14ac:dyDescent="0.2"/>
    <row r="52077" hidden="1" x14ac:dyDescent="0.2"/>
    <row r="52078" hidden="1" x14ac:dyDescent="0.2"/>
    <row r="52079" hidden="1" x14ac:dyDescent="0.2"/>
    <row r="52080" hidden="1" x14ac:dyDescent="0.2"/>
    <row r="52081" hidden="1" x14ac:dyDescent="0.2"/>
    <row r="52082" hidden="1" x14ac:dyDescent="0.2"/>
    <row r="52083" hidden="1" x14ac:dyDescent="0.2"/>
    <row r="52084" hidden="1" x14ac:dyDescent="0.2"/>
    <row r="52085" hidden="1" x14ac:dyDescent="0.2"/>
    <row r="52086" hidden="1" x14ac:dyDescent="0.2"/>
    <row r="52087" hidden="1" x14ac:dyDescent="0.2"/>
    <row r="52088" hidden="1" x14ac:dyDescent="0.2"/>
    <row r="52089" hidden="1" x14ac:dyDescent="0.2"/>
    <row r="52090" hidden="1" x14ac:dyDescent="0.2"/>
    <row r="52091" hidden="1" x14ac:dyDescent="0.2"/>
    <row r="52092" hidden="1" x14ac:dyDescent="0.2"/>
    <row r="52093" hidden="1" x14ac:dyDescent="0.2"/>
    <row r="52094" hidden="1" x14ac:dyDescent="0.2"/>
    <row r="52095" hidden="1" x14ac:dyDescent="0.2"/>
    <row r="52096" hidden="1" x14ac:dyDescent="0.2"/>
    <row r="52097" hidden="1" x14ac:dyDescent="0.2"/>
    <row r="52098" hidden="1" x14ac:dyDescent="0.2"/>
    <row r="52099" hidden="1" x14ac:dyDescent="0.2"/>
    <row r="52100" hidden="1" x14ac:dyDescent="0.2"/>
    <row r="52101" hidden="1" x14ac:dyDescent="0.2"/>
    <row r="52102" hidden="1" x14ac:dyDescent="0.2"/>
    <row r="52103" hidden="1" x14ac:dyDescent="0.2"/>
    <row r="52104" hidden="1" x14ac:dyDescent="0.2"/>
    <row r="52105" hidden="1" x14ac:dyDescent="0.2"/>
    <row r="52106" hidden="1" x14ac:dyDescent="0.2"/>
    <row r="52107" hidden="1" x14ac:dyDescent="0.2"/>
    <row r="52108" hidden="1" x14ac:dyDescent="0.2"/>
    <row r="52109" hidden="1" x14ac:dyDescent="0.2"/>
    <row r="52110" hidden="1" x14ac:dyDescent="0.2"/>
    <row r="52111" hidden="1" x14ac:dyDescent="0.2"/>
    <row r="52112" hidden="1" x14ac:dyDescent="0.2"/>
    <row r="52113" hidden="1" x14ac:dyDescent="0.2"/>
    <row r="52114" hidden="1" x14ac:dyDescent="0.2"/>
    <row r="52115" hidden="1" x14ac:dyDescent="0.2"/>
    <row r="52116" hidden="1" x14ac:dyDescent="0.2"/>
    <row r="52117" hidden="1" x14ac:dyDescent="0.2"/>
    <row r="52118" hidden="1" x14ac:dyDescent="0.2"/>
    <row r="52119" hidden="1" x14ac:dyDescent="0.2"/>
    <row r="52120" hidden="1" x14ac:dyDescent="0.2"/>
    <row r="52121" hidden="1" x14ac:dyDescent="0.2"/>
    <row r="52122" hidden="1" x14ac:dyDescent="0.2"/>
    <row r="52123" hidden="1" x14ac:dyDescent="0.2"/>
    <row r="52124" hidden="1" x14ac:dyDescent="0.2"/>
    <row r="52125" hidden="1" x14ac:dyDescent="0.2"/>
    <row r="52126" hidden="1" x14ac:dyDescent="0.2"/>
    <row r="52127" hidden="1" x14ac:dyDescent="0.2"/>
    <row r="52128" hidden="1" x14ac:dyDescent="0.2"/>
    <row r="52129" hidden="1" x14ac:dyDescent="0.2"/>
    <row r="52130" hidden="1" x14ac:dyDescent="0.2"/>
    <row r="52131" hidden="1" x14ac:dyDescent="0.2"/>
    <row r="52132" hidden="1" x14ac:dyDescent="0.2"/>
    <row r="52133" hidden="1" x14ac:dyDescent="0.2"/>
    <row r="52134" hidden="1" x14ac:dyDescent="0.2"/>
    <row r="52135" hidden="1" x14ac:dyDescent="0.2"/>
    <row r="52136" hidden="1" x14ac:dyDescent="0.2"/>
    <row r="52137" hidden="1" x14ac:dyDescent="0.2"/>
    <row r="52138" hidden="1" x14ac:dyDescent="0.2"/>
    <row r="52139" hidden="1" x14ac:dyDescent="0.2"/>
    <row r="52140" hidden="1" x14ac:dyDescent="0.2"/>
    <row r="52141" hidden="1" x14ac:dyDescent="0.2"/>
    <row r="52142" hidden="1" x14ac:dyDescent="0.2"/>
    <row r="52143" hidden="1" x14ac:dyDescent="0.2"/>
    <row r="52144" hidden="1" x14ac:dyDescent="0.2"/>
    <row r="52145" hidden="1" x14ac:dyDescent="0.2"/>
    <row r="52146" hidden="1" x14ac:dyDescent="0.2"/>
    <row r="52147" hidden="1" x14ac:dyDescent="0.2"/>
    <row r="52148" hidden="1" x14ac:dyDescent="0.2"/>
    <row r="52149" hidden="1" x14ac:dyDescent="0.2"/>
    <row r="52150" hidden="1" x14ac:dyDescent="0.2"/>
    <row r="52151" hidden="1" x14ac:dyDescent="0.2"/>
    <row r="52152" hidden="1" x14ac:dyDescent="0.2"/>
    <row r="52153" hidden="1" x14ac:dyDescent="0.2"/>
    <row r="52154" hidden="1" x14ac:dyDescent="0.2"/>
    <row r="52155" hidden="1" x14ac:dyDescent="0.2"/>
    <row r="52156" hidden="1" x14ac:dyDescent="0.2"/>
    <row r="52157" hidden="1" x14ac:dyDescent="0.2"/>
    <row r="52158" hidden="1" x14ac:dyDescent="0.2"/>
    <row r="52159" hidden="1" x14ac:dyDescent="0.2"/>
    <row r="52160" hidden="1" x14ac:dyDescent="0.2"/>
    <row r="52161" hidden="1" x14ac:dyDescent="0.2"/>
    <row r="52162" hidden="1" x14ac:dyDescent="0.2"/>
    <row r="52163" hidden="1" x14ac:dyDescent="0.2"/>
    <row r="52164" hidden="1" x14ac:dyDescent="0.2"/>
    <row r="52165" hidden="1" x14ac:dyDescent="0.2"/>
    <row r="52166" hidden="1" x14ac:dyDescent="0.2"/>
    <row r="52167" hidden="1" x14ac:dyDescent="0.2"/>
    <row r="52168" hidden="1" x14ac:dyDescent="0.2"/>
    <row r="52169" hidden="1" x14ac:dyDescent="0.2"/>
    <row r="52170" hidden="1" x14ac:dyDescent="0.2"/>
    <row r="52171" hidden="1" x14ac:dyDescent="0.2"/>
    <row r="52172" hidden="1" x14ac:dyDescent="0.2"/>
    <row r="52173" hidden="1" x14ac:dyDescent="0.2"/>
    <row r="52174" hidden="1" x14ac:dyDescent="0.2"/>
    <row r="52175" hidden="1" x14ac:dyDescent="0.2"/>
    <row r="52176" hidden="1" x14ac:dyDescent="0.2"/>
    <row r="52177" hidden="1" x14ac:dyDescent="0.2"/>
    <row r="52178" hidden="1" x14ac:dyDescent="0.2"/>
    <row r="52179" hidden="1" x14ac:dyDescent="0.2"/>
    <row r="52180" hidden="1" x14ac:dyDescent="0.2"/>
    <row r="52181" hidden="1" x14ac:dyDescent="0.2"/>
    <row r="52182" hidden="1" x14ac:dyDescent="0.2"/>
    <row r="52183" hidden="1" x14ac:dyDescent="0.2"/>
    <row r="52184" hidden="1" x14ac:dyDescent="0.2"/>
    <row r="52185" hidden="1" x14ac:dyDescent="0.2"/>
    <row r="52186" hidden="1" x14ac:dyDescent="0.2"/>
    <row r="52187" hidden="1" x14ac:dyDescent="0.2"/>
    <row r="52188" hidden="1" x14ac:dyDescent="0.2"/>
    <row r="52189" hidden="1" x14ac:dyDescent="0.2"/>
    <row r="52190" hidden="1" x14ac:dyDescent="0.2"/>
    <row r="52191" hidden="1" x14ac:dyDescent="0.2"/>
    <row r="52192" hidden="1" x14ac:dyDescent="0.2"/>
    <row r="52193" hidden="1" x14ac:dyDescent="0.2"/>
    <row r="52194" hidden="1" x14ac:dyDescent="0.2"/>
    <row r="52195" hidden="1" x14ac:dyDescent="0.2"/>
    <row r="52196" hidden="1" x14ac:dyDescent="0.2"/>
    <row r="52197" hidden="1" x14ac:dyDescent="0.2"/>
    <row r="52198" hidden="1" x14ac:dyDescent="0.2"/>
    <row r="52199" hidden="1" x14ac:dyDescent="0.2"/>
    <row r="52200" hidden="1" x14ac:dyDescent="0.2"/>
    <row r="52201" hidden="1" x14ac:dyDescent="0.2"/>
    <row r="52202" hidden="1" x14ac:dyDescent="0.2"/>
    <row r="52203" hidden="1" x14ac:dyDescent="0.2"/>
    <row r="52204" hidden="1" x14ac:dyDescent="0.2"/>
    <row r="52205" hidden="1" x14ac:dyDescent="0.2"/>
    <row r="52206" hidden="1" x14ac:dyDescent="0.2"/>
    <row r="52207" hidden="1" x14ac:dyDescent="0.2"/>
    <row r="52208" hidden="1" x14ac:dyDescent="0.2"/>
    <row r="52209" hidden="1" x14ac:dyDescent="0.2"/>
    <row r="52210" hidden="1" x14ac:dyDescent="0.2"/>
    <row r="52211" hidden="1" x14ac:dyDescent="0.2"/>
    <row r="52212" hidden="1" x14ac:dyDescent="0.2"/>
    <row r="52213" hidden="1" x14ac:dyDescent="0.2"/>
    <row r="52214" hidden="1" x14ac:dyDescent="0.2"/>
    <row r="52215" hidden="1" x14ac:dyDescent="0.2"/>
    <row r="52216" hidden="1" x14ac:dyDescent="0.2"/>
    <row r="52217" hidden="1" x14ac:dyDescent="0.2"/>
    <row r="52218" hidden="1" x14ac:dyDescent="0.2"/>
    <row r="52219" hidden="1" x14ac:dyDescent="0.2"/>
    <row r="52220" hidden="1" x14ac:dyDescent="0.2"/>
    <row r="52221" hidden="1" x14ac:dyDescent="0.2"/>
    <row r="52222" hidden="1" x14ac:dyDescent="0.2"/>
    <row r="52223" hidden="1" x14ac:dyDescent="0.2"/>
    <row r="52224" hidden="1" x14ac:dyDescent="0.2"/>
    <row r="52225" hidden="1" x14ac:dyDescent="0.2"/>
    <row r="52226" hidden="1" x14ac:dyDescent="0.2"/>
    <row r="52227" hidden="1" x14ac:dyDescent="0.2"/>
    <row r="52228" hidden="1" x14ac:dyDescent="0.2"/>
    <row r="52229" hidden="1" x14ac:dyDescent="0.2"/>
    <row r="52230" hidden="1" x14ac:dyDescent="0.2"/>
    <row r="52231" hidden="1" x14ac:dyDescent="0.2"/>
    <row r="52232" hidden="1" x14ac:dyDescent="0.2"/>
    <row r="52233" hidden="1" x14ac:dyDescent="0.2"/>
    <row r="52234" hidden="1" x14ac:dyDescent="0.2"/>
    <row r="52235" hidden="1" x14ac:dyDescent="0.2"/>
    <row r="52236" hidden="1" x14ac:dyDescent="0.2"/>
    <row r="52237" hidden="1" x14ac:dyDescent="0.2"/>
    <row r="52238" hidden="1" x14ac:dyDescent="0.2"/>
    <row r="52239" hidden="1" x14ac:dyDescent="0.2"/>
    <row r="52240" hidden="1" x14ac:dyDescent="0.2"/>
    <row r="52241" hidden="1" x14ac:dyDescent="0.2"/>
    <row r="52242" hidden="1" x14ac:dyDescent="0.2"/>
    <row r="52243" hidden="1" x14ac:dyDescent="0.2"/>
    <row r="52244" hidden="1" x14ac:dyDescent="0.2"/>
    <row r="52245" hidden="1" x14ac:dyDescent="0.2"/>
    <row r="52246" hidden="1" x14ac:dyDescent="0.2"/>
    <row r="52247" hidden="1" x14ac:dyDescent="0.2"/>
    <row r="52248" hidden="1" x14ac:dyDescent="0.2"/>
    <row r="52249" hidden="1" x14ac:dyDescent="0.2"/>
    <row r="52250" hidden="1" x14ac:dyDescent="0.2"/>
    <row r="52251" hidden="1" x14ac:dyDescent="0.2"/>
    <row r="52252" hidden="1" x14ac:dyDescent="0.2"/>
    <row r="52253" hidden="1" x14ac:dyDescent="0.2"/>
    <row r="52254" hidden="1" x14ac:dyDescent="0.2"/>
    <row r="52255" hidden="1" x14ac:dyDescent="0.2"/>
    <row r="52256" hidden="1" x14ac:dyDescent="0.2"/>
    <row r="52257" hidden="1" x14ac:dyDescent="0.2"/>
    <row r="52258" hidden="1" x14ac:dyDescent="0.2"/>
    <row r="52259" hidden="1" x14ac:dyDescent="0.2"/>
    <row r="52260" hidden="1" x14ac:dyDescent="0.2"/>
    <row r="52261" hidden="1" x14ac:dyDescent="0.2"/>
    <row r="52262" hidden="1" x14ac:dyDescent="0.2"/>
    <row r="52263" hidden="1" x14ac:dyDescent="0.2"/>
    <row r="52264" hidden="1" x14ac:dyDescent="0.2"/>
    <row r="52265" hidden="1" x14ac:dyDescent="0.2"/>
    <row r="52266" hidden="1" x14ac:dyDescent="0.2"/>
    <row r="52267" hidden="1" x14ac:dyDescent="0.2"/>
    <row r="52268" hidden="1" x14ac:dyDescent="0.2"/>
    <row r="52269" hidden="1" x14ac:dyDescent="0.2"/>
    <row r="52270" hidden="1" x14ac:dyDescent="0.2"/>
    <row r="52271" hidden="1" x14ac:dyDescent="0.2"/>
    <row r="52272" hidden="1" x14ac:dyDescent="0.2"/>
    <row r="52273" hidden="1" x14ac:dyDescent="0.2"/>
    <row r="52274" hidden="1" x14ac:dyDescent="0.2"/>
    <row r="52275" hidden="1" x14ac:dyDescent="0.2"/>
    <row r="52276" hidden="1" x14ac:dyDescent="0.2"/>
    <row r="52277" hidden="1" x14ac:dyDescent="0.2"/>
    <row r="52278" hidden="1" x14ac:dyDescent="0.2"/>
    <row r="52279" hidden="1" x14ac:dyDescent="0.2"/>
    <row r="52280" hidden="1" x14ac:dyDescent="0.2"/>
    <row r="52281" hidden="1" x14ac:dyDescent="0.2"/>
    <row r="52282" hidden="1" x14ac:dyDescent="0.2"/>
    <row r="52283" hidden="1" x14ac:dyDescent="0.2"/>
    <row r="52284" hidden="1" x14ac:dyDescent="0.2"/>
    <row r="52285" hidden="1" x14ac:dyDescent="0.2"/>
    <row r="52286" hidden="1" x14ac:dyDescent="0.2"/>
    <row r="52287" hidden="1" x14ac:dyDescent="0.2"/>
    <row r="52288" hidden="1" x14ac:dyDescent="0.2"/>
    <row r="52289" hidden="1" x14ac:dyDescent="0.2"/>
    <row r="52290" hidden="1" x14ac:dyDescent="0.2"/>
    <row r="52291" hidden="1" x14ac:dyDescent="0.2"/>
    <row r="52292" hidden="1" x14ac:dyDescent="0.2"/>
    <row r="52293" hidden="1" x14ac:dyDescent="0.2"/>
    <row r="52294" hidden="1" x14ac:dyDescent="0.2"/>
    <row r="52295" hidden="1" x14ac:dyDescent="0.2"/>
    <row r="52296" hidden="1" x14ac:dyDescent="0.2"/>
    <row r="52297" hidden="1" x14ac:dyDescent="0.2"/>
    <row r="52298" hidden="1" x14ac:dyDescent="0.2"/>
    <row r="52299" hidden="1" x14ac:dyDescent="0.2"/>
    <row r="52300" hidden="1" x14ac:dyDescent="0.2"/>
    <row r="52301" hidden="1" x14ac:dyDescent="0.2"/>
    <row r="52302" hidden="1" x14ac:dyDescent="0.2"/>
    <row r="52303" hidden="1" x14ac:dyDescent="0.2"/>
    <row r="52304" hidden="1" x14ac:dyDescent="0.2"/>
    <row r="52305" hidden="1" x14ac:dyDescent="0.2"/>
    <row r="52306" hidden="1" x14ac:dyDescent="0.2"/>
    <row r="52307" hidden="1" x14ac:dyDescent="0.2"/>
    <row r="52308" hidden="1" x14ac:dyDescent="0.2"/>
    <row r="52309" hidden="1" x14ac:dyDescent="0.2"/>
    <row r="52310" hidden="1" x14ac:dyDescent="0.2"/>
    <row r="52311" hidden="1" x14ac:dyDescent="0.2"/>
    <row r="52312" hidden="1" x14ac:dyDescent="0.2"/>
    <row r="52313" hidden="1" x14ac:dyDescent="0.2"/>
    <row r="52314" hidden="1" x14ac:dyDescent="0.2"/>
    <row r="52315" hidden="1" x14ac:dyDescent="0.2"/>
    <row r="52316" hidden="1" x14ac:dyDescent="0.2"/>
    <row r="52317" hidden="1" x14ac:dyDescent="0.2"/>
    <row r="52318" hidden="1" x14ac:dyDescent="0.2"/>
    <row r="52319" hidden="1" x14ac:dyDescent="0.2"/>
    <row r="52320" hidden="1" x14ac:dyDescent="0.2"/>
    <row r="52321" hidden="1" x14ac:dyDescent="0.2"/>
    <row r="52322" hidden="1" x14ac:dyDescent="0.2"/>
    <row r="52323" hidden="1" x14ac:dyDescent="0.2"/>
    <row r="52324" hidden="1" x14ac:dyDescent="0.2"/>
    <row r="52325" hidden="1" x14ac:dyDescent="0.2"/>
    <row r="52326" hidden="1" x14ac:dyDescent="0.2"/>
    <row r="52327" hidden="1" x14ac:dyDescent="0.2"/>
    <row r="52328" hidden="1" x14ac:dyDescent="0.2"/>
    <row r="52329" hidden="1" x14ac:dyDescent="0.2"/>
    <row r="52330" hidden="1" x14ac:dyDescent="0.2"/>
    <row r="52331" hidden="1" x14ac:dyDescent="0.2"/>
    <row r="52332" hidden="1" x14ac:dyDescent="0.2"/>
    <row r="52333" hidden="1" x14ac:dyDescent="0.2"/>
    <row r="52334" hidden="1" x14ac:dyDescent="0.2"/>
    <row r="52335" hidden="1" x14ac:dyDescent="0.2"/>
    <row r="52336" hidden="1" x14ac:dyDescent="0.2"/>
    <row r="52337" hidden="1" x14ac:dyDescent="0.2"/>
    <row r="52338" hidden="1" x14ac:dyDescent="0.2"/>
    <row r="52339" hidden="1" x14ac:dyDescent="0.2"/>
    <row r="52340" hidden="1" x14ac:dyDescent="0.2"/>
    <row r="52341" hidden="1" x14ac:dyDescent="0.2"/>
    <row r="52342" hidden="1" x14ac:dyDescent="0.2"/>
    <row r="52343" hidden="1" x14ac:dyDescent="0.2"/>
    <row r="52344" hidden="1" x14ac:dyDescent="0.2"/>
    <row r="52345" hidden="1" x14ac:dyDescent="0.2"/>
    <row r="52346" hidden="1" x14ac:dyDescent="0.2"/>
    <row r="52347" hidden="1" x14ac:dyDescent="0.2"/>
    <row r="52348" hidden="1" x14ac:dyDescent="0.2"/>
    <row r="52349" hidden="1" x14ac:dyDescent="0.2"/>
    <row r="52350" hidden="1" x14ac:dyDescent="0.2"/>
    <row r="52351" hidden="1" x14ac:dyDescent="0.2"/>
    <row r="52352" hidden="1" x14ac:dyDescent="0.2"/>
    <row r="52353" hidden="1" x14ac:dyDescent="0.2"/>
    <row r="52354" hidden="1" x14ac:dyDescent="0.2"/>
    <row r="52355" hidden="1" x14ac:dyDescent="0.2"/>
    <row r="52356" hidden="1" x14ac:dyDescent="0.2"/>
    <row r="52357" hidden="1" x14ac:dyDescent="0.2"/>
    <row r="52358" hidden="1" x14ac:dyDescent="0.2"/>
    <row r="52359" hidden="1" x14ac:dyDescent="0.2"/>
    <row r="52360" hidden="1" x14ac:dyDescent="0.2"/>
    <row r="52361" hidden="1" x14ac:dyDescent="0.2"/>
    <row r="52362" hidden="1" x14ac:dyDescent="0.2"/>
    <row r="52363" hidden="1" x14ac:dyDescent="0.2"/>
    <row r="52364" hidden="1" x14ac:dyDescent="0.2"/>
    <row r="52365" hidden="1" x14ac:dyDescent="0.2"/>
    <row r="52366" hidden="1" x14ac:dyDescent="0.2"/>
    <row r="52367" hidden="1" x14ac:dyDescent="0.2"/>
    <row r="52368" hidden="1" x14ac:dyDescent="0.2"/>
    <row r="52369" hidden="1" x14ac:dyDescent="0.2"/>
    <row r="52370" hidden="1" x14ac:dyDescent="0.2"/>
    <row r="52371" hidden="1" x14ac:dyDescent="0.2"/>
    <row r="52372" hidden="1" x14ac:dyDescent="0.2"/>
    <row r="52373" hidden="1" x14ac:dyDescent="0.2"/>
    <row r="52374" hidden="1" x14ac:dyDescent="0.2"/>
    <row r="52375" hidden="1" x14ac:dyDescent="0.2"/>
    <row r="52376" hidden="1" x14ac:dyDescent="0.2"/>
    <row r="52377" hidden="1" x14ac:dyDescent="0.2"/>
    <row r="52378" hidden="1" x14ac:dyDescent="0.2"/>
    <row r="52379" hidden="1" x14ac:dyDescent="0.2"/>
    <row r="52380" hidden="1" x14ac:dyDescent="0.2"/>
    <row r="52381" hidden="1" x14ac:dyDescent="0.2"/>
    <row r="52382" hidden="1" x14ac:dyDescent="0.2"/>
    <row r="52383" hidden="1" x14ac:dyDescent="0.2"/>
    <row r="52384" hidden="1" x14ac:dyDescent="0.2"/>
    <row r="52385" hidden="1" x14ac:dyDescent="0.2"/>
    <row r="52386" hidden="1" x14ac:dyDescent="0.2"/>
    <row r="52387" hidden="1" x14ac:dyDescent="0.2"/>
    <row r="52388" hidden="1" x14ac:dyDescent="0.2"/>
    <row r="52389" hidden="1" x14ac:dyDescent="0.2"/>
    <row r="52390" hidden="1" x14ac:dyDescent="0.2"/>
    <row r="52391" hidden="1" x14ac:dyDescent="0.2"/>
    <row r="52392" hidden="1" x14ac:dyDescent="0.2"/>
    <row r="52393" hidden="1" x14ac:dyDescent="0.2"/>
    <row r="52394" hidden="1" x14ac:dyDescent="0.2"/>
    <row r="52395" hidden="1" x14ac:dyDescent="0.2"/>
    <row r="52396" hidden="1" x14ac:dyDescent="0.2"/>
    <row r="52397" hidden="1" x14ac:dyDescent="0.2"/>
    <row r="52398" hidden="1" x14ac:dyDescent="0.2"/>
    <row r="52399" hidden="1" x14ac:dyDescent="0.2"/>
    <row r="52400" hidden="1" x14ac:dyDescent="0.2"/>
    <row r="52401" hidden="1" x14ac:dyDescent="0.2"/>
    <row r="52402" hidden="1" x14ac:dyDescent="0.2"/>
    <row r="52403" hidden="1" x14ac:dyDescent="0.2"/>
    <row r="52404" hidden="1" x14ac:dyDescent="0.2"/>
    <row r="52405" hidden="1" x14ac:dyDescent="0.2"/>
    <row r="52406" hidden="1" x14ac:dyDescent="0.2"/>
    <row r="52407" hidden="1" x14ac:dyDescent="0.2"/>
    <row r="52408" hidden="1" x14ac:dyDescent="0.2"/>
    <row r="52409" hidden="1" x14ac:dyDescent="0.2"/>
    <row r="52410" hidden="1" x14ac:dyDescent="0.2"/>
    <row r="52411" hidden="1" x14ac:dyDescent="0.2"/>
    <row r="52412" hidden="1" x14ac:dyDescent="0.2"/>
    <row r="52413" hidden="1" x14ac:dyDescent="0.2"/>
    <row r="52414" hidden="1" x14ac:dyDescent="0.2"/>
    <row r="52415" hidden="1" x14ac:dyDescent="0.2"/>
    <row r="52416" hidden="1" x14ac:dyDescent="0.2"/>
    <row r="52417" hidden="1" x14ac:dyDescent="0.2"/>
    <row r="52418" hidden="1" x14ac:dyDescent="0.2"/>
    <row r="52419" hidden="1" x14ac:dyDescent="0.2"/>
    <row r="52420" hidden="1" x14ac:dyDescent="0.2"/>
    <row r="52421" hidden="1" x14ac:dyDescent="0.2"/>
    <row r="52422" hidden="1" x14ac:dyDescent="0.2"/>
    <row r="52423" hidden="1" x14ac:dyDescent="0.2"/>
    <row r="52424" hidden="1" x14ac:dyDescent="0.2"/>
    <row r="52425" hidden="1" x14ac:dyDescent="0.2"/>
    <row r="52426" hidden="1" x14ac:dyDescent="0.2"/>
    <row r="52427" hidden="1" x14ac:dyDescent="0.2"/>
    <row r="52428" hidden="1" x14ac:dyDescent="0.2"/>
    <row r="52429" hidden="1" x14ac:dyDescent="0.2"/>
    <row r="52430" hidden="1" x14ac:dyDescent="0.2"/>
    <row r="52431" hidden="1" x14ac:dyDescent="0.2"/>
    <row r="52432" hidden="1" x14ac:dyDescent="0.2"/>
    <row r="52433" hidden="1" x14ac:dyDescent="0.2"/>
    <row r="52434" hidden="1" x14ac:dyDescent="0.2"/>
    <row r="52435" hidden="1" x14ac:dyDescent="0.2"/>
    <row r="52436" hidden="1" x14ac:dyDescent="0.2"/>
    <row r="52437" hidden="1" x14ac:dyDescent="0.2"/>
    <row r="52438" hidden="1" x14ac:dyDescent="0.2"/>
    <row r="52439" hidden="1" x14ac:dyDescent="0.2"/>
    <row r="52440" hidden="1" x14ac:dyDescent="0.2"/>
    <row r="52441" hidden="1" x14ac:dyDescent="0.2"/>
    <row r="52442" hidden="1" x14ac:dyDescent="0.2"/>
    <row r="52443" hidden="1" x14ac:dyDescent="0.2"/>
    <row r="52444" hidden="1" x14ac:dyDescent="0.2"/>
    <row r="52445" hidden="1" x14ac:dyDescent="0.2"/>
    <row r="52446" hidden="1" x14ac:dyDescent="0.2"/>
    <row r="52447" hidden="1" x14ac:dyDescent="0.2"/>
    <row r="52448" hidden="1" x14ac:dyDescent="0.2"/>
    <row r="52449" hidden="1" x14ac:dyDescent="0.2"/>
    <row r="52450" hidden="1" x14ac:dyDescent="0.2"/>
    <row r="52451" hidden="1" x14ac:dyDescent="0.2"/>
    <row r="52452" hidden="1" x14ac:dyDescent="0.2"/>
    <row r="52453" hidden="1" x14ac:dyDescent="0.2"/>
    <row r="52454" hidden="1" x14ac:dyDescent="0.2"/>
    <row r="52455" hidden="1" x14ac:dyDescent="0.2"/>
    <row r="52456" hidden="1" x14ac:dyDescent="0.2"/>
    <row r="52457" hidden="1" x14ac:dyDescent="0.2"/>
    <row r="52458" hidden="1" x14ac:dyDescent="0.2"/>
    <row r="52459" hidden="1" x14ac:dyDescent="0.2"/>
    <row r="52460" hidden="1" x14ac:dyDescent="0.2"/>
    <row r="52461" hidden="1" x14ac:dyDescent="0.2"/>
    <row r="52462" hidden="1" x14ac:dyDescent="0.2"/>
    <row r="52463" hidden="1" x14ac:dyDescent="0.2"/>
    <row r="52464" hidden="1" x14ac:dyDescent="0.2"/>
    <row r="52465" hidden="1" x14ac:dyDescent="0.2"/>
    <row r="52466" hidden="1" x14ac:dyDescent="0.2"/>
    <row r="52467" hidden="1" x14ac:dyDescent="0.2"/>
    <row r="52468" hidden="1" x14ac:dyDescent="0.2"/>
    <row r="52469" hidden="1" x14ac:dyDescent="0.2"/>
    <row r="52470" hidden="1" x14ac:dyDescent="0.2"/>
    <row r="52471" hidden="1" x14ac:dyDescent="0.2"/>
    <row r="52472" hidden="1" x14ac:dyDescent="0.2"/>
    <row r="52473" hidden="1" x14ac:dyDescent="0.2"/>
    <row r="52474" hidden="1" x14ac:dyDescent="0.2"/>
    <row r="52475" hidden="1" x14ac:dyDescent="0.2"/>
    <row r="52476" hidden="1" x14ac:dyDescent="0.2"/>
    <row r="52477" hidden="1" x14ac:dyDescent="0.2"/>
    <row r="52478" hidden="1" x14ac:dyDescent="0.2"/>
    <row r="52479" hidden="1" x14ac:dyDescent="0.2"/>
    <row r="52480" hidden="1" x14ac:dyDescent="0.2"/>
    <row r="52481" hidden="1" x14ac:dyDescent="0.2"/>
    <row r="52482" hidden="1" x14ac:dyDescent="0.2"/>
    <row r="52483" hidden="1" x14ac:dyDescent="0.2"/>
    <row r="52484" hidden="1" x14ac:dyDescent="0.2"/>
    <row r="52485" hidden="1" x14ac:dyDescent="0.2"/>
    <row r="52486" hidden="1" x14ac:dyDescent="0.2"/>
    <row r="52487" hidden="1" x14ac:dyDescent="0.2"/>
    <row r="52488" hidden="1" x14ac:dyDescent="0.2"/>
    <row r="52489" hidden="1" x14ac:dyDescent="0.2"/>
    <row r="52490" hidden="1" x14ac:dyDescent="0.2"/>
    <row r="52491" hidden="1" x14ac:dyDescent="0.2"/>
    <row r="52492" hidden="1" x14ac:dyDescent="0.2"/>
    <row r="52493" hidden="1" x14ac:dyDescent="0.2"/>
    <row r="52494" hidden="1" x14ac:dyDescent="0.2"/>
    <row r="52495" hidden="1" x14ac:dyDescent="0.2"/>
    <row r="52496" hidden="1" x14ac:dyDescent="0.2"/>
    <row r="52497" hidden="1" x14ac:dyDescent="0.2"/>
    <row r="52498" hidden="1" x14ac:dyDescent="0.2"/>
    <row r="52499" hidden="1" x14ac:dyDescent="0.2"/>
    <row r="52500" hidden="1" x14ac:dyDescent="0.2"/>
    <row r="52501" hidden="1" x14ac:dyDescent="0.2"/>
    <row r="52502" hidden="1" x14ac:dyDescent="0.2"/>
    <row r="52503" hidden="1" x14ac:dyDescent="0.2"/>
    <row r="52504" hidden="1" x14ac:dyDescent="0.2"/>
    <row r="52505" hidden="1" x14ac:dyDescent="0.2"/>
    <row r="52506" hidden="1" x14ac:dyDescent="0.2"/>
    <row r="52507" hidden="1" x14ac:dyDescent="0.2"/>
    <row r="52508" hidden="1" x14ac:dyDescent="0.2"/>
    <row r="52509" hidden="1" x14ac:dyDescent="0.2"/>
    <row r="52510" hidden="1" x14ac:dyDescent="0.2"/>
    <row r="52511" hidden="1" x14ac:dyDescent="0.2"/>
    <row r="52512" hidden="1" x14ac:dyDescent="0.2"/>
    <row r="52513" hidden="1" x14ac:dyDescent="0.2"/>
    <row r="52514" hidden="1" x14ac:dyDescent="0.2"/>
    <row r="52515" hidden="1" x14ac:dyDescent="0.2"/>
    <row r="52516" hidden="1" x14ac:dyDescent="0.2"/>
    <row r="52517" hidden="1" x14ac:dyDescent="0.2"/>
    <row r="52518" hidden="1" x14ac:dyDescent="0.2"/>
    <row r="52519" hidden="1" x14ac:dyDescent="0.2"/>
    <row r="52520" hidden="1" x14ac:dyDescent="0.2"/>
    <row r="52521" hidden="1" x14ac:dyDescent="0.2"/>
    <row r="52522" hidden="1" x14ac:dyDescent="0.2"/>
    <row r="52523" hidden="1" x14ac:dyDescent="0.2"/>
    <row r="52524" hidden="1" x14ac:dyDescent="0.2"/>
    <row r="52525" hidden="1" x14ac:dyDescent="0.2"/>
    <row r="52526" hidden="1" x14ac:dyDescent="0.2"/>
    <row r="52527" hidden="1" x14ac:dyDescent="0.2"/>
    <row r="52528" hidden="1" x14ac:dyDescent="0.2"/>
    <row r="52529" hidden="1" x14ac:dyDescent="0.2"/>
    <row r="52530" hidden="1" x14ac:dyDescent="0.2"/>
    <row r="52531" hidden="1" x14ac:dyDescent="0.2"/>
    <row r="52532" hidden="1" x14ac:dyDescent="0.2"/>
    <row r="52533" hidden="1" x14ac:dyDescent="0.2"/>
    <row r="52534" hidden="1" x14ac:dyDescent="0.2"/>
    <row r="52535" hidden="1" x14ac:dyDescent="0.2"/>
    <row r="52536" hidden="1" x14ac:dyDescent="0.2"/>
    <row r="52537" hidden="1" x14ac:dyDescent="0.2"/>
    <row r="52538" hidden="1" x14ac:dyDescent="0.2"/>
    <row r="52539" hidden="1" x14ac:dyDescent="0.2"/>
    <row r="52540" hidden="1" x14ac:dyDescent="0.2"/>
    <row r="52541" hidden="1" x14ac:dyDescent="0.2"/>
    <row r="52542" hidden="1" x14ac:dyDescent="0.2"/>
    <row r="52543" hidden="1" x14ac:dyDescent="0.2"/>
    <row r="52544" hidden="1" x14ac:dyDescent="0.2"/>
    <row r="52545" hidden="1" x14ac:dyDescent="0.2"/>
    <row r="52546" hidden="1" x14ac:dyDescent="0.2"/>
    <row r="52547" hidden="1" x14ac:dyDescent="0.2"/>
    <row r="52548" hidden="1" x14ac:dyDescent="0.2"/>
    <row r="52549" hidden="1" x14ac:dyDescent="0.2"/>
    <row r="52550" hidden="1" x14ac:dyDescent="0.2"/>
    <row r="52551" hidden="1" x14ac:dyDescent="0.2"/>
    <row r="52552" hidden="1" x14ac:dyDescent="0.2"/>
    <row r="52553" hidden="1" x14ac:dyDescent="0.2"/>
    <row r="52554" hidden="1" x14ac:dyDescent="0.2"/>
    <row r="52555" hidden="1" x14ac:dyDescent="0.2"/>
    <row r="52556" hidden="1" x14ac:dyDescent="0.2"/>
    <row r="52557" hidden="1" x14ac:dyDescent="0.2"/>
    <row r="52558" hidden="1" x14ac:dyDescent="0.2"/>
    <row r="52559" hidden="1" x14ac:dyDescent="0.2"/>
    <row r="52560" hidden="1" x14ac:dyDescent="0.2"/>
    <row r="52561" hidden="1" x14ac:dyDescent="0.2"/>
    <row r="52562" hidden="1" x14ac:dyDescent="0.2"/>
    <row r="52563" hidden="1" x14ac:dyDescent="0.2"/>
    <row r="52564" hidden="1" x14ac:dyDescent="0.2"/>
    <row r="52565" hidden="1" x14ac:dyDescent="0.2"/>
    <row r="52566" hidden="1" x14ac:dyDescent="0.2"/>
    <row r="52567" hidden="1" x14ac:dyDescent="0.2"/>
    <row r="52568" hidden="1" x14ac:dyDescent="0.2"/>
    <row r="52569" hidden="1" x14ac:dyDescent="0.2"/>
    <row r="52570" hidden="1" x14ac:dyDescent="0.2"/>
    <row r="52571" hidden="1" x14ac:dyDescent="0.2"/>
    <row r="52572" hidden="1" x14ac:dyDescent="0.2"/>
    <row r="52573" hidden="1" x14ac:dyDescent="0.2"/>
    <row r="52574" hidden="1" x14ac:dyDescent="0.2"/>
    <row r="52575" hidden="1" x14ac:dyDescent="0.2"/>
    <row r="52576" hidden="1" x14ac:dyDescent="0.2"/>
    <row r="52577" hidden="1" x14ac:dyDescent="0.2"/>
    <row r="52578" hidden="1" x14ac:dyDescent="0.2"/>
    <row r="52579" hidden="1" x14ac:dyDescent="0.2"/>
    <row r="52580" hidden="1" x14ac:dyDescent="0.2"/>
    <row r="52581" hidden="1" x14ac:dyDescent="0.2"/>
    <row r="52582" hidden="1" x14ac:dyDescent="0.2"/>
    <row r="52583" hidden="1" x14ac:dyDescent="0.2"/>
    <row r="52584" hidden="1" x14ac:dyDescent="0.2"/>
    <row r="52585" hidden="1" x14ac:dyDescent="0.2"/>
    <row r="52586" hidden="1" x14ac:dyDescent="0.2"/>
    <row r="52587" hidden="1" x14ac:dyDescent="0.2"/>
    <row r="52588" hidden="1" x14ac:dyDescent="0.2"/>
    <row r="52589" hidden="1" x14ac:dyDescent="0.2"/>
    <row r="52590" hidden="1" x14ac:dyDescent="0.2"/>
    <row r="52591" hidden="1" x14ac:dyDescent="0.2"/>
    <row r="52592" hidden="1" x14ac:dyDescent="0.2"/>
    <row r="52593" hidden="1" x14ac:dyDescent="0.2"/>
    <row r="52594" hidden="1" x14ac:dyDescent="0.2"/>
    <row r="52595" hidden="1" x14ac:dyDescent="0.2"/>
    <row r="52596" hidden="1" x14ac:dyDescent="0.2"/>
    <row r="52597" hidden="1" x14ac:dyDescent="0.2"/>
    <row r="52598" hidden="1" x14ac:dyDescent="0.2"/>
    <row r="52599" hidden="1" x14ac:dyDescent="0.2"/>
    <row r="52600" hidden="1" x14ac:dyDescent="0.2"/>
    <row r="52601" hidden="1" x14ac:dyDescent="0.2"/>
    <row r="52602" hidden="1" x14ac:dyDescent="0.2"/>
    <row r="52603" hidden="1" x14ac:dyDescent="0.2"/>
    <row r="52604" hidden="1" x14ac:dyDescent="0.2"/>
    <row r="52605" hidden="1" x14ac:dyDescent="0.2"/>
    <row r="52606" hidden="1" x14ac:dyDescent="0.2"/>
    <row r="52607" hidden="1" x14ac:dyDescent="0.2"/>
    <row r="52608" hidden="1" x14ac:dyDescent="0.2"/>
    <row r="52609" hidden="1" x14ac:dyDescent="0.2"/>
    <row r="52610" hidden="1" x14ac:dyDescent="0.2"/>
    <row r="52611" hidden="1" x14ac:dyDescent="0.2"/>
    <row r="52612" hidden="1" x14ac:dyDescent="0.2"/>
    <row r="52613" hidden="1" x14ac:dyDescent="0.2"/>
    <row r="52614" hidden="1" x14ac:dyDescent="0.2"/>
    <row r="52615" hidden="1" x14ac:dyDescent="0.2"/>
    <row r="52616" hidden="1" x14ac:dyDescent="0.2"/>
    <row r="52617" hidden="1" x14ac:dyDescent="0.2"/>
    <row r="52618" hidden="1" x14ac:dyDescent="0.2"/>
    <row r="52619" hidden="1" x14ac:dyDescent="0.2"/>
    <row r="52620" hidden="1" x14ac:dyDescent="0.2"/>
    <row r="52621" hidden="1" x14ac:dyDescent="0.2"/>
    <row r="52622" hidden="1" x14ac:dyDescent="0.2"/>
    <row r="52623" hidden="1" x14ac:dyDescent="0.2"/>
    <row r="52624" hidden="1" x14ac:dyDescent="0.2"/>
    <row r="52625" hidden="1" x14ac:dyDescent="0.2"/>
    <row r="52626" hidden="1" x14ac:dyDescent="0.2"/>
    <row r="52627" hidden="1" x14ac:dyDescent="0.2"/>
    <row r="52628" hidden="1" x14ac:dyDescent="0.2"/>
    <row r="52629" hidden="1" x14ac:dyDescent="0.2"/>
    <row r="52630" hidden="1" x14ac:dyDescent="0.2"/>
    <row r="52631" hidden="1" x14ac:dyDescent="0.2"/>
    <row r="52632" hidden="1" x14ac:dyDescent="0.2"/>
    <row r="52633" hidden="1" x14ac:dyDescent="0.2"/>
    <row r="52634" hidden="1" x14ac:dyDescent="0.2"/>
    <row r="52635" hidden="1" x14ac:dyDescent="0.2"/>
    <row r="52636" hidden="1" x14ac:dyDescent="0.2"/>
    <row r="52637" hidden="1" x14ac:dyDescent="0.2"/>
    <row r="52638" hidden="1" x14ac:dyDescent="0.2"/>
    <row r="52639" hidden="1" x14ac:dyDescent="0.2"/>
    <row r="52640" hidden="1" x14ac:dyDescent="0.2"/>
    <row r="52641" hidden="1" x14ac:dyDescent="0.2"/>
    <row r="52642" hidden="1" x14ac:dyDescent="0.2"/>
    <row r="52643" hidden="1" x14ac:dyDescent="0.2"/>
    <row r="52644" hidden="1" x14ac:dyDescent="0.2"/>
    <row r="52645" hidden="1" x14ac:dyDescent="0.2"/>
    <row r="52646" hidden="1" x14ac:dyDescent="0.2"/>
    <row r="52647" hidden="1" x14ac:dyDescent="0.2"/>
    <row r="52648" hidden="1" x14ac:dyDescent="0.2"/>
    <row r="52649" hidden="1" x14ac:dyDescent="0.2"/>
    <row r="52650" hidden="1" x14ac:dyDescent="0.2"/>
    <row r="52651" hidden="1" x14ac:dyDescent="0.2"/>
    <row r="52652" hidden="1" x14ac:dyDescent="0.2"/>
    <row r="52653" hidden="1" x14ac:dyDescent="0.2"/>
    <row r="52654" hidden="1" x14ac:dyDescent="0.2"/>
    <row r="52655" hidden="1" x14ac:dyDescent="0.2"/>
    <row r="52656" hidden="1" x14ac:dyDescent="0.2"/>
    <row r="52657" hidden="1" x14ac:dyDescent="0.2"/>
    <row r="52658" hidden="1" x14ac:dyDescent="0.2"/>
    <row r="52659" hidden="1" x14ac:dyDescent="0.2"/>
    <row r="52660" hidden="1" x14ac:dyDescent="0.2"/>
    <row r="52661" hidden="1" x14ac:dyDescent="0.2"/>
    <row r="52662" hidden="1" x14ac:dyDescent="0.2"/>
    <row r="52663" hidden="1" x14ac:dyDescent="0.2"/>
    <row r="52664" hidden="1" x14ac:dyDescent="0.2"/>
    <row r="52665" hidden="1" x14ac:dyDescent="0.2"/>
    <row r="52666" hidden="1" x14ac:dyDescent="0.2"/>
    <row r="52667" hidden="1" x14ac:dyDescent="0.2"/>
    <row r="52668" hidden="1" x14ac:dyDescent="0.2"/>
    <row r="52669" hidden="1" x14ac:dyDescent="0.2"/>
    <row r="52670" hidden="1" x14ac:dyDescent="0.2"/>
    <row r="52671" hidden="1" x14ac:dyDescent="0.2"/>
    <row r="52672" hidden="1" x14ac:dyDescent="0.2"/>
    <row r="52673" hidden="1" x14ac:dyDescent="0.2"/>
    <row r="52674" hidden="1" x14ac:dyDescent="0.2"/>
    <row r="52675" hidden="1" x14ac:dyDescent="0.2"/>
    <row r="52676" hidden="1" x14ac:dyDescent="0.2"/>
    <row r="52677" hidden="1" x14ac:dyDescent="0.2"/>
    <row r="52678" hidden="1" x14ac:dyDescent="0.2"/>
    <row r="52679" hidden="1" x14ac:dyDescent="0.2"/>
    <row r="52680" hidden="1" x14ac:dyDescent="0.2"/>
    <row r="52681" hidden="1" x14ac:dyDescent="0.2"/>
    <row r="52682" hidden="1" x14ac:dyDescent="0.2"/>
    <row r="52683" hidden="1" x14ac:dyDescent="0.2"/>
    <row r="52684" hidden="1" x14ac:dyDescent="0.2"/>
    <row r="52685" hidden="1" x14ac:dyDescent="0.2"/>
    <row r="52686" hidden="1" x14ac:dyDescent="0.2"/>
    <row r="52687" hidden="1" x14ac:dyDescent="0.2"/>
    <row r="52688" hidden="1" x14ac:dyDescent="0.2"/>
    <row r="52689" hidden="1" x14ac:dyDescent="0.2"/>
    <row r="52690" hidden="1" x14ac:dyDescent="0.2"/>
    <row r="52691" hidden="1" x14ac:dyDescent="0.2"/>
    <row r="52692" hidden="1" x14ac:dyDescent="0.2"/>
    <row r="52693" hidden="1" x14ac:dyDescent="0.2"/>
    <row r="52694" hidden="1" x14ac:dyDescent="0.2"/>
    <row r="52695" hidden="1" x14ac:dyDescent="0.2"/>
    <row r="52696" hidden="1" x14ac:dyDescent="0.2"/>
    <row r="52697" hidden="1" x14ac:dyDescent="0.2"/>
    <row r="52698" hidden="1" x14ac:dyDescent="0.2"/>
    <row r="52699" hidden="1" x14ac:dyDescent="0.2"/>
    <row r="52700" hidden="1" x14ac:dyDescent="0.2"/>
    <row r="52701" hidden="1" x14ac:dyDescent="0.2"/>
    <row r="52702" hidden="1" x14ac:dyDescent="0.2"/>
    <row r="52703" hidden="1" x14ac:dyDescent="0.2"/>
    <row r="52704" hidden="1" x14ac:dyDescent="0.2"/>
    <row r="52705" hidden="1" x14ac:dyDescent="0.2"/>
    <row r="52706" hidden="1" x14ac:dyDescent="0.2"/>
    <row r="52707" hidden="1" x14ac:dyDescent="0.2"/>
    <row r="52708" hidden="1" x14ac:dyDescent="0.2"/>
    <row r="52709" hidden="1" x14ac:dyDescent="0.2"/>
    <row r="52710" hidden="1" x14ac:dyDescent="0.2"/>
    <row r="52711" hidden="1" x14ac:dyDescent="0.2"/>
    <row r="52712" hidden="1" x14ac:dyDescent="0.2"/>
    <row r="52713" hidden="1" x14ac:dyDescent="0.2"/>
    <row r="52714" hidden="1" x14ac:dyDescent="0.2"/>
    <row r="52715" hidden="1" x14ac:dyDescent="0.2"/>
    <row r="52716" hidden="1" x14ac:dyDescent="0.2"/>
    <row r="52717" hidden="1" x14ac:dyDescent="0.2"/>
    <row r="52718" hidden="1" x14ac:dyDescent="0.2"/>
    <row r="52719" hidden="1" x14ac:dyDescent="0.2"/>
    <row r="52720" hidden="1" x14ac:dyDescent="0.2"/>
    <row r="52721" hidden="1" x14ac:dyDescent="0.2"/>
    <row r="52722" hidden="1" x14ac:dyDescent="0.2"/>
    <row r="52723" hidden="1" x14ac:dyDescent="0.2"/>
    <row r="52724" hidden="1" x14ac:dyDescent="0.2"/>
    <row r="52725" hidden="1" x14ac:dyDescent="0.2"/>
    <row r="52726" hidden="1" x14ac:dyDescent="0.2"/>
    <row r="52727" hidden="1" x14ac:dyDescent="0.2"/>
    <row r="52728" hidden="1" x14ac:dyDescent="0.2"/>
    <row r="52729" hidden="1" x14ac:dyDescent="0.2"/>
    <row r="52730" hidden="1" x14ac:dyDescent="0.2"/>
    <row r="52731" hidden="1" x14ac:dyDescent="0.2"/>
    <row r="52732" hidden="1" x14ac:dyDescent="0.2"/>
    <row r="52733" hidden="1" x14ac:dyDescent="0.2"/>
    <row r="52734" hidden="1" x14ac:dyDescent="0.2"/>
    <row r="52735" hidden="1" x14ac:dyDescent="0.2"/>
    <row r="52736" hidden="1" x14ac:dyDescent="0.2"/>
    <row r="52737" hidden="1" x14ac:dyDescent="0.2"/>
    <row r="52738" hidden="1" x14ac:dyDescent="0.2"/>
    <row r="52739" hidden="1" x14ac:dyDescent="0.2"/>
    <row r="52740" hidden="1" x14ac:dyDescent="0.2"/>
    <row r="52741" hidden="1" x14ac:dyDescent="0.2"/>
    <row r="52742" hidden="1" x14ac:dyDescent="0.2"/>
    <row r="52743" hidden="1" x14ac:dyDescent="0.2"/>
    <row r="52744" hidden="1" x14ac:dyDescent="0.2"/>
    <row r="52745" hidden="1" x14ac:dyDescent="0.2"/>
    <row r="52746" hidden="1" x14ac:dyDescent="0.2"/>
    <row r="52747" hidden="1" x14ac:dyDescent="0.2"/>
    <row r="52748" hidden="1" x14ac:dyDescent="0.2"/>
    <row r="52749" hidden="1" x14ac:dyDescent="0.2"/>
    <row r="52750" hidden="1" x14ac:dyDescent="0.2"/>
    <row r="52751" hidden="1" x14ac:dyDescent="0.2"/>
    <row r="52752" hidden="1" x14ac:dyDescent="0.2"/>
    <row r="52753" hidden="1" x14ac:dyDescent="0.2"/>
    <row r="52754" hidden="1" x14ac:dyDescent="0.2"/>
    <row r="52755" hidden="1" x14ac:dyDescent="0.2"/>
    <row r="52756" hidden="1" x14ac:dyDescent="0.2"/>
    <row r="52757" hidden="1" x14ac:dyDescent="0.2"/>
    <row r="52758" hidden="1" x14ac:dyDescent="0.2"/>
    <row r="52759" hidden="1" x14ac:dyDescent="0.2"/>
    <row r="52760" hidden="1" x14ac:dyDescent="0.2"/>
    <row r="52761" hidden="1" x14ac:dyDescent="0.2"/>
    <row r="52762" hidden="1" x14ac:dyDescent="0.2"/>
    <row r="52763" hidden="1" x14ac:dyDescent="0.2"/>
    <row r="52764" hidden="1" x14ac:dyDescent="0.2"/>
    <row r="52765" hidden="1" x14ac:dyDescent="0.2"/>
    <row r="52766" hidden="1" x14ac:dyDescent="0.2"/>
    <row r="52767" hidden="1" x14ac:dyDescent="0.2"/>
    <row r="52768" hidden="1" x14ac:dyDescent="0.2"/>
    <row r="52769" hidden="1" x14ac:dyDescent="0.2"/>
    <row r="52770" hidden="1" x14ac:dyDescent="0.2"/>
    <row r="52771" hidden="1" x14ac:dyDescent="0.2"/>
    <row r="52772" hidden="1" x14ac:dyDescent="0.2"/>
    <row r="52773" hidden="1" x14ac:dyDescent="0.2"/>
    <row r="52774" hidden="1" x14ac:dyDescent="0.2"/>
    <row r="52775" hidden="1" x14ac:dyDescent="0.2"/>
    <row r="52776" hidden="1" x14ac:dyDescent="0.2"/>
    <row r="52777" hidden="1" x14ac:dyDescent="0.2"/>
    <row r="52778" hidden="1" x14ac:dyDescent="0.2"/>
    <row r="52779" hidden="1" x14ac:dyDescent="0.2"/>
    <row r="52780" hidden="1" x14ac:dyDescent="0.2"/>
    <row r="52781" hidden="1" x14ac:dyDescent="0.2"/>
    <row r="52782" hidden="1" x14ac:dyDescent="0.2"/>
    <row r="52783" hidden="1" x14ac:dyDescent="0.2"/>
    <row r="52784" hidden="1" x14ac:dyDescent="0.2"/>
    <row r="52785" hidden="1" x14ac:dyDescent="0.2"/>
    <row r="52786" hidden="1" x14ac:dyDescent="0.2"/>
    <row r="52787" hidden="1" x14ac:dyDescent="0.2"/>
    <row r="52788" hidden="1" x14ac:dyDescent="0.2"/>
    <row r="52789" hidden="1" x14ac:dyDescent="0.2"/>
    <row r="52790" hidden="1" x14ac:dyDescent="0.2"/>
    <row r="52791" hidden="1" x14ac:dyDescent="0.2"/>
    <row r="52792" hidden="1" x14ac:dyDescent="0.2"/>
    <row r="52793" hidden="1" x14ac:dyDescent="0.2"/>
    <row r="52794" hidden="1" x14ac:dyDescent="0.2"/>
    <row r="52795" hidden="1" x14ac:dyDescent="0.2"/>
    <row r="52796" hidden="1" x14ac:dyDescent="0.2"/>
    <row r="52797" hidden="1" x14ac:dyDescent="0.2"/>
    <row r="52798" hidden="1" x14ac:dyDescent="0.2"/>
    <row r="52799" hidden="1" x14ac:dyDescent="0.2"/>
    <row r="52800" hidden="1" x14ac:dyDescent="0.2"/>
    <row r="52801" hidden="1" x14ac:dyDescent="0.2"/>
    <row r="52802" hidden="1" x14ac:dyDescent="0.2"/>
    <row r="52803" hidden="1" x14ac:dyDescent="0.2"/>
    <row r="52804" hidden="1" x14ac:dyDescent="0.2"/>
    <row r="52805" hidden="1" x14ac:dyDescent="0.2"/>
    <row r="52806" hidden="1" x14ac:dyDescent="0.2"/>
    <row r="52807" hidden="1" x14ac:dyDescent="0.2"/>
    <row r="52808" hidden="1" x14ac:dyDescent="0.2"/>
    <row r="52809" hidden="1" x14ac:dyDescent="0.2"/>
    <row r="52810" hidden="1" x14ac:dyDescent="0.2"/>
    <row r="52811" hidden="1" x14ac:dyDescent="0.2"/>
    <row r="52812" hidden="1" x14ac:dyDescent="0.2"/>
    <row r="52813" hidden="1" x14ac:dyDescent="0.2"/>
    <row r="52814" hidden="1" x14ac:dyDescent="0.2"/>
    <row r="52815" hidden="1" x14ac:dyDescent="0.2"/>
    <row r="52816" hidden="1" x14ac:dyDescent="0.2"/>
    <row r="52817" hidden="1" x14ac:dyDescent="0.2"/>
    <row r="52818" hidden="1" x14ac:dyDescent="0.2"/>
    <row r="52819" hidden="1" x14ac:dyDescent="0.2"/>
    <row r="52820" hidden="1" x14ac:dyDescent="0.2"/>
    <row r="52821" hidden="1" x14ac:dyDescent="0.2"/>
    <row r="52822" hidden="1" x14ac:dyDescent="0.2"/>
    <row r="52823" hidden="1" x14ac:dyDescent="0.2"/>
    <row r="52824" hidden="1" x14ac:dyDescent="0.2"/>
    <row r="52825" hidden="1" x14ac:dyDescent="0.2"/>
    <row r="52826" hidden="1" x14ac:dyDescent="0.2"/>
    <row r="52827" hidden="1" x14ac:dyDescent="0.2"/>
    <row r="52828" hidden="1" x14ac:dyDescent="0.2"/>
    <row r="52829" hidden="1" x14ac:dyDescent="0.2"/>
    <row r="52830" hidden="1" x14ac:dyDescent="0.2"/>
    <row r="52831" hidden="1" x14ac:dyDescent="0.2"/>
    <row r="52832" hidden="1" x14ac:dyDescent="0.2"/>
    <row r="52833" hidden="1" x14ac:dyDescent="0.2"/>
    <row r="52834" hidden="1" x14ac:dyDescent="0.2"/>
    <row r="52835" hidden="1" x14ac:dyDescent="0.2"/>
    <row r="52836" hidden="1" x14ac:dyDescent="0.2"/>
    <row r="52837" hidden="1" x14ac:dyDescent="0.2"/>
    <row r="52838" hidden="1" x14ac:dyDescent="0.2"/>
    <row r="52839" hidden="1" x14ac:dyDescent="0.2"/>
    <row r="52840" hidden="1" x14ac:dyDescent="0.2"/>
    <row r="52841" hidden="1" x14ac:dyDescent="0.2"/>
    <row r="52842" hidden="1" x14ac:dyDescent="0.2"/>
    <row r="52843" hidden="1" x14ac:dyDescent="0.2"/>
    <row r="52844" hidden="1" x14ac:dyDescent="0.2"/>
    <row r="52845" hidden="1" x14ac:dyDescent="0.2"/>
    <row r="52846" hidden="1" x14ac:dyDescent="0.2"/>
    <row r="52847" hidden="1" x14ac:dyDescent="0.2"/>
    <row r="52848" hidden="1" x14ac:dyDescent="0.2"/>
    <row r="52849" hidden="1" x14ac:dyDescent="0.2"/>
    <row r="52850" hidden="1" x14ac:dyDescent="0.2"/>
    <row r="52851" hidden="1" x14ac:dyDescent="0.2"/>
    <row r="52852" hidden="1" x14ac:dyDescent="0.2"/>
    <row r="52853" hidden="1" x14ac:dyDescent="0.2"/>
    <row r="52854" hidden="1" x14ac:dyDescent="0.2"/>
    <row r="52855" hidden="1" x14ac:dyDescent="0.2"/>
    <row r="52856" hidden="1" x14ac:dyDescent="0.2"/>
    <row r="52857" hidden="1" x14ac:dyDescent="0.2"/>
    <row r="52858" hidden="1" x14ac:dyDescent="0.2"/>
    <row r="52859" hidden="1" x14ac:dyDescent="0.2"/>
    <row r="52860" hidden="1" x14ac:dyDescent="0.2"/>
    <row r="52861" hidden="1" x14ac:dyDescent="0.2"/>
    <row r="52862" hidden="1" x14ac:dyDescent="0.2"/>
    <row r="52863" hidden="1" x14ac:dyDescent="0.2"/>
    <row r="52864" hidden="1" x14ac:dyDescent="0.2"/>
    <row r="52865" hidden="1" x14ac:dyDescent="0.2"/>
    <row r="52866" hidden="1" x14ac:dyDescent="0.2"/>
    <row r="52867" hidden="1" x14ac:dyDescent="0.2"/>
    <row r="52868" hidden="1" x14ac:dyDescent="0.2"/>
    <row r="52869" hidden="1" x14ac:dyDescent="0.2"/>
    <row r="52870" hidden="1" x14ac:dyDescent="0.2"/>
    <row r="52871" hidden="1" x14ac:dyDescent="0.2"/>
    <row r="52872" hidden="1" x14ac:dyDescent="0.2"/>
    <row r="52873" hidden="1" x14ac:dyDescent="0.2"/>
    <row r="52874" hidden="1" x14ac:dyDescent="0.2"/>
    <row r="52875" hidden="1" x14ac:dyDescent="0.2"/>
    <row r="52876" hidden="1" x14ac:dyDescent="0.2"/>
    <row r="52877" hidden="1" x14ac:dyDescent="0.2"/>
    <row r="52878" hidden="1" x14ac:dyDescent="0.2"/>
    <row r="52879" hidden="1" x14ac:dyDescent="0.2"/>
    <row r="52880" hidden="1" x14ac:dyDescent="0.2"/>
    <row r="52881" hidden="1" x14ac:dyDescent="0.2"/>
    <row r="52882" hidden="1" x14ac:dyDescent="0.2"/>
    <row r="52883" hidden="1" x14ac:dyDescent="0.2"/>
    <row r="52884" hidden="1" x14ac:dyDescent="0.2"/>
    <row r="52885" hidden="1" x14ac:dyDescent="0.2"/>
    <row r="52886" hidden="1" x14ac:dyDescent="0.2"/>
    <row r="52887" hidden="1" x14ac:dyDescent="0.2"/>
    <row r="52888" hidden="1" x14ac:dyDescent="0.2"/>
    <row r="52889" hidden="1" x14ac:dyDescent="0.2"/>
    <row r="52890" hidden="1" x14ac:dyDescent="0.2"/>
    <row r="52891" hidden="1" x14ac:dyDescent="0.2"/>
    <row r="52892" hidden="1" x14ac:dyDescent="0.2"/>
    <row r="52893" hidden="1" x14ac:dyDescent="0.2"/>
    <row r="52894" hidden="1" x14ac:dyDescent="0.2"/>
    <row r="52895" hidden="1" x14ac:dyDescent="0.2"/>
    <row r="52896" hidden="1" x14ac:dyDescent="0.2"/>
    <row r="52897" hidden="1" x14ac:dyDescent="0.2"/>
    <row r="52898" hidden="1" x14ac:dyDescent="0.2"/>
    <row r="52899" hidden="1" x14ac:dyDescent="0.2"/>
    <row r="52900" hidden="1" x14ac:dyDescent="0.2"/>
    <row r="52901" hidden="1" x14ac:dyDescent="0.2"/>
    <row r="52902" hidden="1" x14ac:dyDescent="0.2"/>
    <row r="52903" hidden="1" x14ac:dyDescent="0.2"/>
    <row r="52904" hidden="1" x14ac:dyDescent="0.2"/>
    <row r="52905" hidden="1" x14ac:dyDescent="0.2"/>
    <row r="52906" hidden="1" x14ac:dyDescent="0.2"/>
    <row r="52907" hidden="1" x14ac:dyDescent="0.2"/>
    <row r="52908" hidden="1" x14ac:dyDescent="0.2"/>
    <row r="52909" hidden="1" x14ac:dyDescent="0.2"/>
    <row r="52910" hidden="1" x14ac:dyDescent="0.2"/>
    <row r="52911" hidden="1" x14ac:dyDescent="0.2"/>
    <row r="52912" hidden="1" x14ac:dyDescent="0.2"/>
    <row r="52913" hidden="1" x14ac:dyDescent="0.2"/>
    <row r="52914" hidden="1" x14ac:dyDescent="0.2"/>
    <row r="52915" hidden="1" x14ac:dyDescent="0.2"/>
    <row r="52916" hidden="1" x14ac:dyDescent="0.2"/>
    <row r="52917" hidden="1" x14ac:dyDescent="0.2"/>
    <row r="52918" hidden="1" x14ac:dyDescent="0.2"/>
    <row r="52919" hidden="1" x14ac:dyDescent="0.2"/>
    <row r="52920" hidden="1" x14ac:dyDescent="0.2"/>
    <row r="52921" hidden="1" x14ac:dyDescent="0.2"/>
    <row r="52922" hidden="1" x14ac:dyDescent="0.2"/>
    <row r="52923" hidden="1" x14ac:dyDescent="0.2"/>
    <row r="52924" hidden="1" x14ac:dyDescent="0.2"/>
    <row r="52925" hidden="1" x14ac:dyDescent="0.2"/>
    <row r="52926" hidden="1" x14ac:dyDescent="0.2"/>
    <row r="52927" hidden="1" x14ac:dyDescent="0.2"/>
    <row r="52928" hidden="1" x14ac:dyDescent="0.2"/>
    <row r="52929" hidden="1" x14ac:dyDescent="0.2"/>
    <row r="52930" hidden="1" x14ac:dyDescent="0.2"/>
    <row r="52931" hidden="1" x14ac:dyDescent="0.2"/>
    <row r="52932" hidden="1" x14ac:dyDescent="0.2"/>
    <row r="52933" hidden="1" x14ac:dyDescent="0.2"/>
    <row r="52934" hidden="1" x14ac:dyDescent="0.2"/>
    <row r="52935" hidden="1" x14ac:dyDescent="0.2"/>
    <row r="52936" hidden="1" x14ac:dyDescent="0.2"/>
    <row r="52937" hidden="1" x14ac:dyDescent="0.2"/>
    <row r="52938" hidden="1" x14ac:dyDescent="0.2"/>
    <row r="52939" hidden="1" x14ac:dyDescent="0.2"/>
    <row r="52940" hidden="1" x14ac:dyDescent="0.2"/>
    <row r="52941" hidden="1" x14ac:dyDescent="0.2"/>
    <row r="52942" hidden="1" x14ac:dyDescent="0.2"/>
    <row r="52943" hidden="1" x14ac:dyDescent="0.2"/>
    <row r="52944" hidden="1" x14ac:dyDescent="0.2"/>
    <row r="52945" hidden="1" x14ac:dyDescent="0.2"/>
    <row r="52946" hidden="1" x14ac:dyDescent="0.2"/>
    <row r="52947" hidden="1" x14ac:dyDescent="0.2"/>
    <row r="52948" hidden="1" x14ac:dyDescent="0.2"/>
    <row r="52949" hidden="1" x14ac:dyDescent="0.2"/>
    <row r="52950" hidden="1" x14ac:dyDescent="0.2"/>
    <row r="52951" hidden="1" x14ac:dyDescent="0.2"/>
    <row r="52952" hidden="1" x14ac:dyDescent="0.2"/>
    <row r="52953" hidden="1" x14ac:dyDescent="0.2"/>
    <row r="52954" hidden="1" x14ac:dyDescent="0.2"/>
    <row r="52955" hidden="1" x14ac:dyDescent="0.2"/>
    <row r="52956" hidden="1" x14ac:dyDescent="0.2"/>
    <row r="52957" hidden="1" x14ac:dyDescent="0.2"/>
    <row r="52958" hidden="1" x14ac:dyDescent="0.2"/>
    <row r="52959" hidden="1" x14ac:dyDescent="0.2"/>
    <row r="52960" hidden="1" x14ac:dyDescent="0.2"/>
    <row r="52961" hidden="1" x14ac:dyDescent="0.2"/>
    <row r="52962" hidden="1" x14ac:dyDescent="0.2"/>
    <row r="52963" hidden="1" x14ac:dyDescent="0.2"/>
    <row r="52964" hidden="1" x14ac:dyDescent="0.2"/>
    <row r="52965" hidden="1" x14ac:dyDescent="0.2"/>
    <row r="52966" hidden="1" x14ac:dyDescent="0.2"/>
    <row r="52967" hidden="1" x14ac:dyDescent="0.2"/>
    <row r="52968" hidden="1" x14ac:dyDescent="0.2"/>
    <row r="52969" hidden="1" x14ac:dyDescent="0.2"/>
    <row r="52970" hidden="1" x14ac:dyDescent="0.2"/>
    <row r="52971" hidden="1" x14ac:dyDescent="0.2"/>
    <row r="52972" hidden="1" x14ac:dyDescent="0.2"/>
    <row r="52973" hidden="1" x14ac:dyDescent="0.2"/>
    <row r="52974" hidden="1" x14ac:dyDescent="0.2"/>
    <row r="52975" hidden="1" x14ac:dyDescent="0.2"/>
    <row r="52976" hidden="1" x14ac:dyDescent="0.2"/>
    <row r="52977" hidden="1" x14ac:dyDescent="0.2"/>
    <row r="52978" hidden="1" x14ac:dyDescent="0.2"/>
    <row r="52979" hidden="1" x14ac:dyDescent="0.2"/>
    <row r="52980" hidden="1" x14ac:dyDescent="0.2"/>
    <row r="52981" hidden="1" x14ac:dyDescent="0.2"/>
    <row r="52982" hidden="1" x14ac:dyDescent="0.2"/>
    <row r="52983" hidden="1" x14ac:dyDescent="0.2"/>
    <row r="52984" hidden="1" x14ac:dyDescent="0.2"/>
    <row r="52985" hidden="1" x14ac:dyDescent="0.2"/>
    <row r="52986" hidden="1" x14ac:dyDescent="0.2"/>
    <row r="52987" hidden="1" x14ac:dyDescent="0.2"/>
    <row r="52988" hidden="1" x14ac:dyDescent="0.2"/>
    <row r="52989" hidden="1" x14ac:dyDescent="0.2"/>
    <row r="52990" hidden="1" x14ac:dyDescent="0.2"/>
    <row r="52991" hidden="1" x14ac:dyDescent="0.2"/>
    <row r="52992" hidden="1" x14ac:dyDescent="0.2"/>
    <row r="52993" hidden="1" x14ac:dyDescent="0.2"/>
    <row r="52994" hidden="1" x14ac:dyDescent="0.2"/>
    <row r="52995" hidden="1" x14ac:dyDescent="0.2"/>
    <row r="52996" hidden="1" x14ac:dyDescent="0.2"/>
    <row r="52997" hidden="1" x14ac:dyDescent="0.2"/>
    <row r="52998" hidden="1" x14ac:dyDescent="0.2"/>
    <row r="52999" hidden="1" x14ac:dyDescent="0.2"/>
    <row r="53000" hidden="1" x14ac:dyDescent="0.2"/>
    <row r="53001" hidden="1" x14ac:dyDescent="0.2"/>
    <row r="53002" hidden="1" x14ac:dyDescent="0.2"/>
    <row r="53003" hidden="1" x14ac:dyDescent="0.2"/>
    <row r="53004" hidden="1" x14ac:dyDescent="0.2"/>
    <row r="53005" hidden="1" x14ac:dyDescent="0.2"/>
    <row r="53006" hidden="1" x14ac:dyDescent="0.2"/>
    <row r="53007" hidden="1" x14ac:dyDescent="0.2"/>
    <row r="53008" hidden="1" x14ac:dyDescent="0.2"/>
    <row r="53009" hidden="1" x14ac:dyDescent="0.2"/>
    <row r="53010" hidden="1" x14ac:dyDescent="0.2"/>
    <row r="53011" hidden="1" x14ac:dyDescent="0.2"/>
    <row r="53012" hidden="1" x14ac:dyDescent="0.2"/>
    <row r="53013" hidden="1" x14ac:dyDescent="0.2"/>
    <row r="53014" hidden="1" x14ac:dyDescent="0.2"/>
    <row r="53015" hidden="1" x14ac:dyDescent="0.2"/>
    <row r="53016" hidden="1" x14ac:dyDescent="0.2"/>
    <row r="53017" hidden="1" x14ac:dyDescent="0.2"/>
    <row r="53018" hidden="1" x14ac:dyDescent="0.2"/>
    <row r="53019" hidden="1" x14ac:dyDescent="0.2"/>
    <row r="53020" hidden="1" x14ac:dyDescent="0.2"/>
    <row r="53021" hidden="1" x14ac:dyDescent="0.2"/>
    <row r="53022" hidden="1" x14ac:dyDescent="0.2"/>
    <row r="53023" hidden="1" x14ac:dyDescent="0.2"/>
    <row r="53024" hidden="1" x14ac:dyDescent="0.2"/>
    <row r="53025" hidden="1" x14ac:dyDescent="0.2"/>
    <row r="53026" hidden="1" x14ac:dyDescent="0.2"/>
    <row r="53027" hidden="1" x14ac:dyDescent="0.2"/>
    <row r="53028" hidden="1" x14ac:dyDescent="0.2"/>
    <row r="53029" hidden="1" x14ac:dyDescent="0.2"/>
    <row r="53030" hidden="1" x14ac:dyDescent="0.2"/>
    <row r="53031" hidden="1" x14ac:dyDescent="0.2"/>
    <row r="53032" hidden="1" x14ac:dyDescent="0.2"/>
    <row r="53033" hidden="1" x14ac:dyDescent="0.2"/>
    <row r="53034" hidden="1" x14ac:dyDescent="0.2"/>
    <row r="53035" hidden="1" x14ac:dyDescent="0.2"/>
    <row r="53036" hidden="1" x14ac:dyDescent="0.2"/>
    <row r="53037" hidden="1" x14ac:dyDescent="0.2"/>
    <row r="53038" hidden="1" x14ac:dyDescent="0.2"/>
    <row r="53039" hidden="1" x14ac:dyDescent="0.2"/>
    <row r="53040" hidden="1" x14ac:dyDescent="0.2"/>
    <row r="53041" hidden="1" x14ac:dyDescent="0.2"/>
    <row r="53042" hidden="1" x14ac:dyDescent="0.2"/>
    <row r="53043" hidden="1" x14ac:dyDescent="0.2"/>
    <row r="53044" hidden="1" x14ac:dyDescent="0.2"/>
    <row r="53045" hidden="1" x14ac:dyDescent="0.2"/>
    <row r="53046" hidden="1" x14ac:dyDescent="0.2"/>
    <row r="53047" hidden="1" x14ac:dyDescent="0.2"/>
    <row r="53048" hidden="1" x14ac:dyDescent="0.2"/>
    <row r="53049" hidden="1" x14ac:dyDescent="0.2"/>
    <row r="53050" hidden="1" x14ac:dyDescent="0.2"/>
    <row r="53051" hidden="1" x14ac:dyDescent="0.2"/>
    <row r="53052" hidden="1" x14ac:dyDescent="0.2"/>
    <row r="53053" hidden="1" x14ac:dyDescent="0.2"/>
    <row r="53054" hidden="1" x14ac:dyDescent="0.2"/>
    <row r="53055" hidden="1" x14ac:dyDescent="0.2"/>
    <row r="53056" hidden="1" x14ac:dyDescent="0.2"/>
    <row r="53057" hidden="1" x14ac:dyDescent="0.2"/>
    <row r="53058" hidden="1" x14ac:dyDescent="0.2"/>
    <row r="53059" hidden="1" x14ac:dyDescent="0.2"/>
    <row r="53060" hidden="1" x14ac:dyDescent="0.2"/>
    <row r="53061" hidden="1" x14ac:dyDescent="0.2"/>
    <row r="53062" hidden="1" x14ac:dyDescent="0.2"/>
    <row r="53063" hidden="1" x14ac:dyDescent="0.2"/>
    <row r="53064" hidden="1" x14ac:dyDescent="0.2"/>
    <row r="53065" hidden="1" x14ac:dyDescent="0.2"/>
    <row r="53066" hidden="1" x14ac:dyDescent="0.2"/>
    <row r="53067" hidden="1" x14ac:dyDescent="0.2"/>
    <row r="53068" hidden="1" x14ac:dyDescent="0.2"/>
    <row r="53069" hidden="1" x14ac:dyDescent="0.2"/>
    <row r="53070" hidden="1" x14ac:dyDescent="0.2"/>
    <row r="53071" hidden="1" x14ac:dyDescent="0.2"/>
    <row r="53072" hidden="1" x14ac:dyDescent="0.2"/>
    <row r="53073" hidden="1" x14ac:dyDescent="0.2"/>
    <row r="53074" hidden="1" x14ac:dyDescent="0.2"/>
    <row r="53075" hidden="1" x14ac:dyDescent="0.2"/>
    <row r="53076" hidden="1" x14ac:dyDescent="0.2"/>
    <row r="53077" hidden="1" x14ac:dyDescent="0.2"/>
    <row r="53078" hidden="1" x14ac:dyDescent="0.2"/>
    <row r="53079" hidden="1" x14ac:dyDescent="0.2"/>
    <row r="53080" hidden="1" x14ac:dyDescent="0.2"/>
    <row r="53081" hidden="1" x14ac:dyDescent="0.2"/>
    <row r="53082" hidden="1" x14ac:dyDescent="0.2"/>
    <row r="53083" hidden="1" x14ac:dyDescent="0.2"/>
    <row r="53084" hidden="1" x14ac:dyDescent="0.2"/>
    <row r="53085" hidden="1" x14ac:dyDescent="0.2"/>
    <row r="53086" hidden="1" x14ac:dyDescent="0.2"/>
    <row r="53087" hidden="1" x14ac:dyDescent="0.2"/>
    <row r="53088" hidden="1" x14ac:dyDescent="0.2"/>
    <row r="53089" hidden="1" x14ac:dyDescent="0.2"/>
    <row r="53090" hidden="1" x14ac:dyDescent="0.2"/>
    <row r="53091" hidden="1" x14ac:dyDescent="0.2"/>
    <row r="53092" hidden="1" x14ac:dyDescent="0.2"/>
    <row r="53093" hidden="1" x14ac:dyDescent="0.2"/>
    <row r="53094" hidden="1" x14ac:dyDescent="0.2"/>
    <row r="53095" hidden="1" x14ac:dyDescent="0.2"/>
    <row r="53096" hidden="1" x14ac:dyDescent="0.2"/>
    <row r="53097" hidden="1" x14ac:dyDescent="0.2"/>
    <row r="53098" hidden="1" x14ac:dyDescent="0.2"/>
    <row r="53099" hidden="1" x14ac:dyDescent="0.2"/>
    <row r="53100" hidden="1" x14ac:dyDescent="0.2"/>
    <row r="53101" hidden="1" x14ac:dyDescent="0.2"/>
    <row r="53102" hidden="1" x14ac:dyDescent="0.2"/>
    <row r="53103" hidden="1" x14ac:dyDescent="0.2"/>
    <row r="53104" hidden="1" x14ac:dyDescent="0.2"/>
    <row r="53105" hidden="1" x14ac:dyDescent="0.2"/>
    <row r="53106" hidden="1" x14ac:dyDescent="0.2"/>
    <row r="53107" hidden="1" x14ac:dyDescent="0.2"/>
    <row r="53108" hidden="1" x14ac:dyDescent="0.2"/>
    <row r="53109" hidden="1" x14ac:dyDescent="0.2"/>
    <row r="53110" hidden="1" x14ac:dyDescent="0.2"/>
    <row r="53111" hidden="1" x14ac:dyDescent="0.2"/>
    <row r="53112" hidden="1" x14ac:dyDescent="0.2"/>
    <row r="53113" hidden="1" x14ac:dyDescent="0.2"/>
    <row r="53114" hidden="1" x14ac:dyDescent="0.2"/>
    <row r="53115" hidden="1" x14ac:dyDescent="0.2"/>
    <row r="53116" hidden="1" x14ac:dyDescent="0.2"/>
    <row r="53117" hidden="1" x14ac:dyDescent="0.2"/>
    <row r="53118" hidden="1" x14ac:dyDescent="0.2"/>
    <row r="53119" hidden="1" x14ac:dyDescent="0.2"/>
    <row r="53120" hidden="1" x14ac:dyDescent="0.2"/>
    <row r="53121" hidden="1" x14ac:dyDescent="0.2"/>
    <row r="53122" hidden="1" x14ac:dyDescent="0.2"/>
    <row r="53123" hidden="1" x14ac:dyDescent="0.2"/>
    <row r="53124" hidden="1" x14ac:dyDescent="0.2"/>
    <row r="53125" hidden="1" x14ac:dyDescent="0.2"/>
    <row r="53126" hidden="1" x14ac:dyDescent="0.2"/>
    <row r="53127" hidden="1" x14ac:dyDescent="0.2"/>
    <row r="53128" hidden="1" x14ac:dyDescent="0.2"/>
    <row r="53129" hidden="1" x14ac:dyDescent="0.2"/>
    <row r="53130" hidden="1" x14ac:dyDescent="0.2"/>
    <row r="53131" hidden="1" x14ac:dyDescent="0.2"/>
    <row r="53132" hidden="1" x14ac:dyDescent="0.2"/>
    <row r="53133" hidden="1" x14ac:dyDescent="0.2"/>
    <row r="53134" hidden="1" x14ac:dyDescent="0.2"/>
    <row r="53135" hidden="1" x14ac:dyDescent="0.2"/>
    <row r="53136" hidden="1" x14ac:dyDescent="0.2"/>
    <row r="53137" hidden="1" x14ac:dyDescent="0.2"/>
    <row r="53138" hidden="1" x14ac:dyDescent="0.2"/>
    <row r="53139" hidden="1" x14ac:dyDescent="0.2"/>
    <row r="53140" hidden="1" x14ac:dyDescent="0.2"/>
    <row r="53141" hidden="1" x14ac:dyDescent="0.2"/>
    <row r="53142" hidden="1" x14ac:dyDescent="0.2"/>
    <row r="53143" hidden="1" x14ac:dyDescent="0.2"/>
    <row r="53144" hidden="1" x14ac:dyDescent="0.2"/>
    <row r="53145" hidden="1" x14ac:dyDescent="0.2"/>
    <row r="53146" hidden="1" x14ac:dyDescent="0.2"/>
    <row r="53147" hidden="1" x14ac:dyDescent="0.2"/>
    <row r="53148" hidden="1" x14ac:dyDescent="0.2"/>
    <row r="53149" hidden="1" x14ac:dyDescent="0.2"/>
    <row r="53150" hidden="1" x14ac:dyDescent="0.2"/>
    <row r="53151" hidden="1" x14ac:dyDescent="0.2"/>
    <row r="53152" hidden="1" x14ac:dyDescent="0.2"/>
    <row r="53153" hidden="1" x14ac:dyDescent="0.2"/>
    <row r="53154" hidden="1" x14ac:dyDescent="0.2"/>
    <row r="53155" hidden="1" x14ac:dyDescent="0.2"/>
    <row r="53156" hidden="1" x14ac:dyDescent="0.2"/>
    <row r="53157" hidden="1" x14ac:dyDescent="0.2"/>
    <row r="53158" hidden="1" x14ac:dyDescent="0.2"/>
    <row r="53159" hidden="1" x14ac:dyDescent="0.2"/>
    <row r="53160" hidden="1" x14ac:dyDescent="0.2"/>
    <row r="53161" hidden="1" x14ac:dyDescent="0.2"/>
    <row r="53162" hidden="1" x14ac:dyDescent="0.2"/>
    <row r="53163" hidden="1" x14ac:dyDescent="0.2"/>
    <row r="53164" hidden="1" x14ac:dyDescent="0.2"/>
    <row r="53165" hidden="1" x14ac:dyDescent="0.2"/>
    <row r="53166" hidden="1" x14ac:dyDescent="0.2"/>
    <row r="53167" hidden="1" x14ac:dyDescent="0.2"/>
    <row r="53168" hidden="1" x14ac:dyDescent="0.2"/>
    <row r="53169" hidden="1" x14ac:dyDescent="0.2"/>
    <row r="53170" hidden="1" x14ac:dyDescent="0.2"/>
    <row r="53171" hidden="1" x14ac:dyDescent="0.2"/>
    <row r="53172" hidden="1" x14ac:dyDescent="0.2"/>
    <row r="53173" hidden="1" x14ac:dyDescent="0.2"/>
    <row r="53174" hidden="1" x14ac:dyDescent="0.2"/>
    <row r="53175" hidden="1" x14ac:dyDescent="0.2"/>
    <row r="53176" hidden="1" x14ac:dyDescent="0.2"/>
    <row r="53177" hidden="1" x14ac:dyDescent="0.2"/>
    <row r="53178" hidden="1" x14ac:dyDescent="0.2"/>
    <row r="53179" hidden="1" x14ac:dyDescent="0.2"/>
    <row r="53180" hidden="1" x14ac:dyDescent="0.2"/>
    <row r="53181" hidden="1" x14ac:dyDescent="0.2"/>
    <row r="53182" hidden="1" x14ac:dyDescent="0.2"/>
    <row r="53183" hidden="1" x14ac:dyDescent="0.2"/>
    <row r="53184" hidden="1" x14ac:dyDescent="0.2"/>
    <row r="53185" hidden="1" x14ac:dyDescent="0.2"/>
    <row r="53186" hidden="1" x14ac:dyDescent="0.2"/>
    <row r="53187" hidden="1" x14ac:dyDescent="0.2"/>
    <row r="53188" hidden="1" x14ac:dyDescent="0.2"/>
    <row r="53189" hidden="1" x14ac:dyDescent="0.2"/>
    <row r="53190" hidden="1" x14ac:dyDescent="0.2"/>
    <row r="53191" hidden="1" x14ac:dyDescent="0.2"/>
    <row r="53192" hidden="1" x14ac:dyDescent="0.2"/>
    <row r="53193" hidden="1" x14ac:dyDescent="0.2"/>
    <row r="53194" hidden="1" x14ac:dyDescent="0.2"/>
    <row r="53195" hidden="1" x14ac:dyDescent="0.2"/>
    <row r="53196" hidden="1" x14ac:dyDescent="0.2"/>
    <row r="53197" hidden="1" x14ac:dyDescent="0.2"/>
    <row r="53198" hidden="1" x14ac:dyDescent="0.2"/>
    <row r="53199" hidden="1" x14ac:dyDescent="0.2"/>
    <row r="53200" hidden="1" x14ac:dyDescent="0.2"/>
    <row r="53201" hidden="1" x14ac:dyDescent="0.2"/>
    <row r="53202" hidden="1" x14ac:dyDescent="0.2"/>
    <row r="53203" hidden="1" x14ac:dyDescent="0.2"/>
    <row r="53204" hidden="1" x14ac:dyDescent="0.2"/>
    <row r="53205" hidden="1" x14ac:dyDescent="0.2"/>
    <row r="53206" hidden="1" x14ac:dyDescent="0.2"/>
    <row r="53207" hidden="1" x14ac:dyDescent="0.2"/>
    <row r="53208" hidden="1" x14ac:dyDescent="0.2"/>
    <row r="53209" hidden="1" x14ac:dyDescent="0.2"/>
    <row r="53210" hidden="1" x14ac:dyDescent="0.2"/>
    <row r="53211" hidden="1" x14ac:dyDescent="0.2"/>
    <row r="53212" hidden="1" x14ac:dyDescent="0.2"/>
    <row r="53213" hidden="1" x14ac:dyDescent="0.2"/>
    <row r="53214" hidden="1" x14ac:dyDescent="0.2"/>
    <row r="53215" hidden="1" x14ac:dyDescent="0.2"/>
    <row r="53216" hidden="1" x14ac:dyDescent="0.2"/>
    <row r="53217" hidden="1" x14ac:dyDescent="0.2"/>
    <row r="53218" hidden="1" x14ac:dyDescent="0.2"/>
    <row r="53219" hidden="1" x14ac:dyDescent="0.2"/>
    <row r="53220" hidden="1" x14ac:dyDescent="0.2"/>
    <row r="53221" hidden="1" x14ac:dyDescent="0.2"/>
    <row r="53222" hidden="1" x14ac:dyDescent="0.2"/>
    <row r="53223" hidden="1" x14ac:dyDescent="0.2"/>
    <row r="53224" hidden="1" x14ac:dyDescent="0.2"/>
    <row r="53225" hidden="1" x14ac:dyDescent="0.2"/>
    <row r="53226" hidden="1" x14ac:dyDescent="0.2"/>
    <row r="53227" hidden="1" x14ac:dyDescent="0.2"/>
    <row r="53228" hidden="1" x14ac:dyDescent="0.2"/>
    <row r="53229" hidden="1" x14ac:dyDescent="0.2"/>
    <row r="53230" hidden="1" x14ac:dyDescent="0.2"/>
    <row r="53231" hidden="1" x14ac:dyDescent="0.2"/>
    <row r="53232" hidden="1" x14ac:dyDescent="0.2"/>
    <row r="53233" hidden="1" x14ac:dyDescent="0.2"/>
    <row r="53234" hidden="1" x14ac:dyDescent="0.2"/>
    <row r="53235" hidden="1" x14ac:dyDescent="0.2"/>
    <row r="53236" hidden="1" x14ac:dyDescent="0.2"/>
    <row r="53237" hidden="1" x14ac:dyDescent="0.2"/>
    <row r="53238" hidden="1" x14ac:dyDescent="0.2"/>
    <row r="53239" hidden="1" x14ac:dyDescent="0.2"/>
    <row r="53240" hidden="1" x14ac:dyDescent="0.2"/>
    <row r="53241" hidden="1" x14ac:dyDescent="0.2"/>
    <row r="53242" hidden="1" x14ac:dyDescent="0.2"/>
    <row r="53243" hidden="1" x14ac:dyDescent="0.2"/>
    <row r="53244" hidden="1" x14ac:dyDescent="0.2"/>
    <row r="53245" hidden="1" x14ac:dyDescent="0.2"/>
    <row r="53246" hidden="1" x14ac:dyDescent="0.2"/>
    <row r="53247" hidden="1" x14ac:dyDescent="0.2"/>
    <row r="53248" hidden="1" x14ac:dyDescent="0.2"/>
    <row r="53249" hidden="1" x14ac:dyDescent="0.2"/>
    <row r="53250" hidden="1" x14ac:dyDescent="0.2"/>
    <row r="53251" hidden="1" x14ac:dyDescent="0.2"/>
    <row r="53252" hidden="1" x14ac:dyDescent="0.2"/>
    <row r="53253" hidden="1" x14ac:dyDescent="0.2"/>
    <row r="53254" hidden="1" x14ac:dyDescent="0.2"/>
    <row r="53255" hidden="1" x14ac:dyDescent="0.2"/>
    <row r="53256" hidden="1" x14ac:dyDescent="0.2"/>
    <row r="53257" hidden="1" x14ac:dyDescent="0.2"/>
    <row r="53258" hidden="1" x14ac:dyDescent="0.2"/>
    <row r="53259" hidden="1" x14ac:dyDescent="0.2"/>
    <row r="53260" hidden="1" x14ac:dyDescent="0.2"/>
    <row r="53261" hidden="1" x14ac:dyDescent="0.2"/>
    <row r="53262" hidden="1" x14ac:dyDescent="0.2"/>
    <row r="53263" hidden="1" x14ac:dyDescent="0.2"/>
    <row r="53264" hidden="1" x14ac:dyDescent="0.2"/>
    <row r="53265" hidden="1" x14ac:dyDescent="0.2"/>
    <row r="53266" hidden="1" x14ac:dyDescent="0.2"/>
    <row r="53267" hidden="1" x14ac:dyDescent="0.2"/>
    <row r="53268" hidden="1" x14ac:dyDescent="0.2"/>
    <row r="53269" hidden="1" x14ac:dyDescent="0.2"/>
    <row r="53270" hidden="1" x14ac:dyDescent="0.2"/>
    <row r="53271" hidden="1" x14ac:dyDescent="0.2"/>
    <row r="53272" hidden="1" x14ac:dyDescent="0.2"/>
    <row r="53273" hidden="1" x14ac:dyDescent="0.2"/>
    <row r="53274" hidden="1" x14ac:dyDescent="0.2"/>
    <row r="53275" hidden="1" x14ac:dyDescent="0.2"/>
    <row r="53276" hidden="1" x14ac:dyDescent="0.2"/>
    <row r="53277" hidden="1" x14ac:dyDescent="0.2"/>
    <row r="53278" hidden="1" x14ac:dyDescent="0.2"/>
    <row r="53279" hidden="1" x14ac:dyDescent="0.2"/>
    <row r="53280" hidden="1" x14ac:dyDescent="0.2"/>
    <row r="53281" hidden="1" x14ac:dyDescent="0.2"/>
    <row r="53282" hidden="1" x14ac:dyDescent="0.2"/>
    <row r="53283" hidden="1" x14ac:dyDescent="0.2"/>
    <row r="53284" hidden="1" x14ac:dyDescent="0.2"/>
    <row r="53285" hidden="1" x14ac:dyDescent="0.2"/>
    <row r="53286" hidden="1" x14ac:dyDescent="0.2"/>
    <row r="53287" hidden="1" x14ac:dyDescent="0.2"/>
    <row r="53288" hidden="1" x14ac:dyDescent="0.2"/>
    <row r="53289" hidden="1" x14ac:dyDescent="0.2"/>
    <row r="53290" hidden="1" x14ac:dyDescent="0.2"/>
    <row r="53291" hidden="1" x14ac:dyDescent="0.2"/>
    <row r="53292" hidden="1" x14ac:dyDescent="0.2"/>
    <row r="53293" hidden="1" x14ac:dyDescent="0.2"/>
    <row r="53294" hidden="1" x14ac:dyDescent="0.2"/>
    <row r="53295" hidden="1" x14ac:dyDescent="0.2"/>
    <row r="53296" hidden="1" x14ac:dyDescent="0.2"/>
    <row r="53297" hidden="1" x14ac:dyDescent="0.2"/>
    <row r="53298" hidden="1" x14ac:dyDescent="0.2"/>
    <row r="53299" hidden="1" x14ac:dyDescent="0.2"/>
    <row r="53300" hidden="1" x14ac:dyDescent="0.2"/>
    <row r="53301" hidden="1" x14ac:dyDescent="0.2"/>
    <row r="53302" hidden="1" x14ac:dyDescent="0.2"/>
    <row r="53303" hidden="1" x14ac:dyDescent="0.2"/>
    <row r="53304" hidden="1" x14ac:dyDescent="0.2"/>
    <row r="53305" hidden="1" x14ac:dyDescent="0.2"/>
    <row r="53306" hidden="1" x14ac:dyDescent="0.2"/>
    <row r="53307" hidden="1" x14ac:dyDescent="0.2"/>
    <row r="53308" hidden="1" x14ac:dyDescent="0.2"/>
    <row r="53309" hidden="1" x14ac:dyDescent="0.2"/>
    <row r="53310" hidden="1" x14ac:dyDescent="0.2"/>
    <row r="53311" hidden="1" x14ac:dyDescent="0.2"/>
    <row r="53312" hidden="1" x14ac:dyDescent="0.2"/>
    <row r="53313" hidden="1" x14ac:dyDescent="0.2"/>
    <row r="53314" hidden="1" x14ac:dyDescent="0.2"/>
    <row r="53315" hidden="1" x14ac:dyDescent="0.2"/>
    <row r="53316" hidden="1" x14ac:dyDescent="0.2"/>
    <row r="53317" hidden="1" x14ac:dyDescent="0.2"/>
    <row r="53318" hidden="1" x14ac:dyDescent="0.2"/>
    <row r="53319" hidden="1" x14ac:dyDescent="0.2"/>
    <row r="53320" hidden="1" x14ac:dyDescent="0.2"/>
    <row r="53321" hidden="1" x14ac:dyDescent="0.2"/>
    <row r="53322" hidden="1" x14ac:dyDescent="0.2"/>
    <row r="53323" hidden="1" x14ac:dyDescent="0.2"/>
    <row r="53324" hidden="1" x14ac:dyDescent="0.2"/>
    <row r="53325" hidden="1" x14ac:dyDescent="0.2"/>
    <row r="53326" hidden="1" x14ac:dyDescent="0.2"/>
    <row r="53327" hidden="1" x14ac:dyDescent="0.2"/>
    <row r="53328" hidden="1" x14ac:dyDescent="0.2"/>
    <row r="53329" hidden="1" x14ac:dyDescent="0.2"/>
    <row r="53330" hidden="1" x14ac:dyDescent="0.2"/>
    <row r="53331" hidden="1" x14ac:dyDescent="0.2"/>
    <row r="53332" hidden="1" x14ac:dyDescent="0.2"/>
    <row r="53333" hidden="1" x14ac:dyDescent="0.2"/>
    <row r="53334" hidden="1" x14ac:dyDescent="0.2"/>
    <row r="53335" hidden="1" x14ac:dyDescent="0.2"/>
    <row r="53336" hidden="1" x14ac:dyDescent="0.2"/>
    <row r="53337" hidden="1" x14ac:dyDescent="0.2"/>
    <row r="53338" hidden="1" x14ac:dyDescent="0.2"/>
    <row r="53339" hidden="1" x14ac:dyDescent="0.2"/>
    <row r="53340" hidden="1" x14ac:dyDescent="0.2"/>
    <row r="53341" hidden="1" x14ac:dyDescent="0.2"/>
    <row r="53342" hidden="1" x14ac:dyDescent="0.2"/>
    <row r="53343" hidden="1" x14ac:dyDescent="0.2"/>
    <row r="53344" hidden="1" x14ac:dyDescent="0.2"/>
    <row r="53345" hidden="1" x14ac:dyDescent="0.2"/>
    <row r="53346" hidden="1" x14ac:dyDescent="0.2"/>
    <row r="53347" hidden="1" x14ac:dyDescent="0.2"/>
    <row r="53348" hidden="1" x14ac:dyDescent="0.2"/>
    <row r="53349" hidden="1" x14ac:dyDescent="0.2"/>
    <row r="53350" hidden="1" x14ac:dyDescent="0.2"/>
    <row r="53351" hidden="1" x14ac:dyDescent="0.2"/>
    <row r="53352" hidden="1" x14ac:dyDescent="0.2"/>
    <row r="53353" hidden="1" x14ac:dyDescent="0.2"/>
    <row r="53354" hidden="1" x14ac:dyDescent="0.2"/>
    <row r="53355" hidden="1" x14ac:dyDescent="0.2"/>
    <row r="53356" hidden="1" x14ac:dyDescent="0.2"/>
    <row r="53357" hidden="1" x14ac:dyDescent="0.2"/>
    <row r="53358" hidden="1" x14ac:dyDescent="0.2"/>
    <row r="53359" hidden="1" x14ac:dyDescent="0.2"/>
    <row r="53360" hidden="1" x14ac:dyDescent="0.2"/>
    <row r="53361" hidden="1" x14ac:dyDescent="0.2"/>
    <row r="53362" hidden="1" x14ac:dyDescent="0.2"/>
    <row r="53363" hidden="1" x14ac:dyDescent="0.2"/>
    <row r="53364" hidden="1" x14ac:dyDescent="0.2"/>
    <row r="53365" hidden="1" x14ac:dyDescent="0.2"/>
    <row r="53366" hidden="1" x14ac:dyDescent="0.2"/>
    <row r="53367" hidden="1" x14ac:dyDescent="0.2"/>
    <row r="53368" hidden="1" x14ac:dyDescent="0.2"/>
    <row r="53369" hidden="1" x14ac:dyDescent="0.2"/>
    <row r="53370" hidden="1" x14ac:dyDescent="0.2"/>
    <row r="53371" hidden="1" x14ac:dyDescent="0.2"/>
    <row r="53372" hidden="1" x14ac:dyDescent="0.2"/>
    <row r="53373" hidden="1" x14ac:dyDescent="0.2"/>
    <row r="53374" hidden="1" x14ac:dyDescent="0.2"/>
    <row r="53375" hidden="1" x14ac:dyDescent="0.2"/>
    <row r="53376" hidden="1" x14ac:dyDescent="0.2"/>
    <row r="53377" hidden="1" x14ac:dyDescent="0.2"/>
    <row r="53378" hidden="1" x14ac:dyDescent="0.2"/>
    <row r="53379" hidden="1" x14ac:dyDescent="0.2"/>
    <row r="53380" hidden="1" x14ac:dyDescent="0.2"/>
    <row r="53381" hidden="1" x14ac:dyDescent="0.2"/>
    <row r="53382" hidden="1" x14ac:dyDescent="0.2"/>
    <row r="53383" hidden="1" x14ac:dyDescent="0.2"/>
    <row r="53384" hidden="1" x14ac:dyDescent="0.2"/>
    <row r="53385" hidden="1" x14ac:dyDescent="0.2"/>
    <row r="53386" hidden="1" x14ac:dyDescent="0.2"/>
    <row r="53387" hidden="1" x14ac:dyDescent="0.2"/>
    <row r="53388" hidden="1" x14ac:dyDescent="0.2"/>
    <row r="53389" hidden="1" x14ac:dyDescent="0.2"/>
    <row r="53390" hidden="1" x14ac:dyDescent="0.2"/>
    <row r="53391" hidden="1" x14ac:dyDescent="0.2"/>
    <row r="53392" hidden="1" x14ac:dyDescent="0.2"/>
    <row r="53393" hidden="1" x14ac:dyDescent="0.2"/>
    <row r="53394" hidden="1" x14ac:dyDescent="0.2"/>
    <row r="53395" hidden="1" x14ac:dyDescent="0.2"/>
    <row r="53396" hidden="1" x14ac:dyDescent="0.2"/>
    <row r="53397" hidden="1" x14ac:dyDescent="0.2"/>
    <row r="53398" hidden="1" x14ac:dyDescent="0.2"/>
    <row r="53399" hidden="1" x14ac:dyDescent="0.2"/>
    <row r="53400" hidden="1" x14ac:dyDescent="0.2"/>
    <row r="53401" hidden="1" x14ac:dyDescent="0.2"/>
    <row r="53402" hidden="1" x14ac:dyDescent="0.2"/>
    <row r="53403" hidden="1" x14ac:dyDescent="0.2"/>
    <row r="53404" hidden="1" x14ac:dyDescent="0.2"/>
    <row r="53405" hidden="1" x14ac:dyDescent="0.2"/>
    <row r="53406" hidden="1" x14ac:dyDescent="0.2"/>
    <row r="53407" hidden="1" x14ac:dyDescent="0.2"/>
    <row r="53408" hidden="1" x14ac:dyDescent="0.2"/>
    <row r="53409" hidden="1" x14ac:dyDescent="0.2"/>
    <row r="53410" hidden="1" x14ac:dyDescent="0.2"/>
    <row r="53411" hidden="1" x14ac:dyDescent="0.2"/>
    <row r="53412" hidden="1" x14ac:dyDescent="0.2"/>
    <row r="53413" hidden="1" x14ac:dyDescent="0.2"/>
    <row r="53414" hidden="1" x14ac:dyDescent="0.2"/>
    <row r="53415" hidden="1" x14ac:dyDescent="0.2"/>
    <row r="53416" hidden="1" x14ac:dyDescent="0.2"/>
    <row r="53417" hidden="1" x14ac:dyDescent="0.2"/>
    <row r="53418" hidden="1" x14ac:dyDescent="0.2"/>
    <row r="53419" hidden="1" x14ac:dyDescent="0.2"/>
    <row r="53420" hidden="1" x14ac:dyDescent="0.2"/>
    <row r="53421" hidden="1" x14ac:dyDescent="0.2"/>
    <row r="53422" hidden="1" x14ac:dyDescent="0.2"/>
    <row r="53423" hidden="1" x14ac:dyDescent="0.2"/>
    <row r="53424" hidden="1" x14ac:dyDescent="0.2"/>
    <row r="53425" hidden="1" x14ac:dyDescent="0.2"/>
    <row r="53426" hidden="1" x14ac:dyDescent="0.2"/>
    <row r="53427" hidden="1" x14ac:dyDescent="0.2"/>
    <row r="53428" hidden="1" x14ac:dyDescent="0.2"/>
    <row r="53429" hidden="1" x14ac:dyDescent="0.2"/>
    <row r="53430" hidden="1" x14ac:dyDescent="0.2"/>
    <row r="53431" hidden="1" x14ac:dyDescent="0.2"/>
    <row r="53432" hidden="1" x14ac:dyDescent="0.2"/>
    <row r="53433" hidden="1" x14ac:dyDescent="0.2"/>
    <row r="53434" hidden="1" x14ac:dyDescent="0.2"/>
    <row r="53435" hidden="1" x14ac:dyDescent="0.2"/>
    <row r="53436" hidden="1" x14ac:dyDescent="0.2"/>
    <row r="53437" hidden="1" x14ac:dyDescent="0.2"/>
    <row r="53438" hidden="1" x14ac:dyDescent="0.2"/>
    <row r="53439" hidden="1" x14ac:dyDescent="0.2"/>
    <row r="53440" hidden="1" x14ac:dyDescent="0.2"/>
    <row r="53441" hidden="1" x14ac:dyDescent="0.2"/>
    <row r="53442" hidden="1" x14ac:dyDescent="0.2"/>
    <row r="53443" hidden="1" x14ac:dyDescent="0.2"/>
    <row r="53444" hidden="1" x14ac:dyDescent="0.2"/>
    <row r="53445" hidden="1" x14ac:dyDescent="0.2"/>
    <row r="53446" hidden="1" x14ac:dyDescent="0.2"/>
    <row r="53447" hidden="1" x14ac:dyDescent="0.2"/>
    <row r="53448" hidden="1" x14ac:dyDescent="0.2"/>
    <row r="53449" hidden="1" x14ac:dyDescent="0.2"/>
    <row r="53450" hidden="1" x14ac:dyDescent="0.2"/>
    <row r="53451" hidden="1" x14ac:dyDescent="0.2"/>
    <row r="53452" hidden="1" x14ac:dyDescent="0.2"/>
    <row r="53453" hidden="1" x14ac:dyDescent="0.2"/>
    <row r="53454" hidden="1" x14ac:dyDescent="0.2"/>
    <row r="53455" hidden="1" x14ac:dyDescent="0.2"/>
    <row r="53456" hidden="1" x14ac:dyDescent="0.2"/>
    <row r="53457" hidden="1" x14ac:dyDescent="0.2"/>
    <row r="53458" hidden="1" x14ac:dyDescent="0.2"/>
    <row r="53459" hidden="1" x14ac:dyDescent="0.2"/>
    <row r="53460" hidden="1" x14ac:dyDescent="0.2"/>
    <row r="53461" hidden="1" x14ac:dyDescent="0.2"/>
    <row r="53462" hidden="1" x14ac:dyDescent="0.2"/>
    <row r="53463" hidden="1" x14ac:dyDescent="0.2"/>
    <row r="53464" hidden="1" x14ac:dyDescent="0.2"/>
    <row r="53465" hidden="1" x14ac:dyDescent="0.2"/>
    <row r="53466" hidden="1" x14ac:dyDescent="0.2"/>
    <row r="53467" hidden="1" x14ac:dyDescent="0.2"/>
    <row r="53468" hidden="1" x14ac:dyDescent="0.2"/>
    <row r="53469" hidden="1" x14ac:dyDescent="0.2"/>
    <row r="53470" hidden="1" x14ac:dyDescent="0.2"/>
    <row r="53471" hidden="1" x14ac:dyDescent="0.2"/>
    <row r="53472" hidden="1" x14ac:dyDescent="0.2"/>
    <row r="53473" hidden="1" x14ac:dyDescent="0.2"/>
    <row r="53474" hidden="1" x14ac:dyDescent="0.2"/>
    <row r="53475" hidden="1" x14ac:dyDescent="0.2"/>
    <row r="53476" hidden="1" x14ac:dyDescent="0.2"/>
    <row r="53477" hidden="1" x14ac:dyDescent="0.2"/>
    <row r="53478" hidden="1" x14ac:dyDescent="0.2"/>
    <row r="53479" hidden="1" x14ac:dyDescent="0.2"/>
    <row r="53480" hidden="1" x14ac:dyDescent="0.2"/>
    <row r="53481" hidden="1" x14ac:dyDescent="0.2"/>
    <row r="53482" hidden="1" x14ac:dyDescent="0.2"/>
    <row r="53483" hidden="1" x14ac:dyDescent="0.2"/>
    <row r="53484" hidden="1" x14ac:dyDescent="0.2"/>
    <row r="53485" hidden="1" x14ac:dyDescent="0.2"/>
    <row r="53486" hidden="1" x14ac:dyDescent="0.2"/>
    <row r="53487" hidden="1" x14ac:dyDescent="0.2"/>
    <row r="53488" hidden="1" x14ac:dyDescent="0.2"/>
    <row r="53489" hidden="1" x14ac:dyDescent="0.2"/>
    <row r="53490" hidden="1" x14ac:dyDescent="0.2"/>
    <row r="53491" hidden="1" x14ac:dyDescent="0.2"/>
    <row r="53492" hidden="1" x14ac:dyDescent="0.2"/>
    <row r="53493" hidden="1" x14ac:dyDescent="0.2"/>
    <row r="53494" hidden="1" x14ac:dyDescent="0.2"/>
    <row r="53495" hidden="1" x14ac:dyDescent="0.2"/>
    <row r="53496" hidden="1" x14ac:dyDescent="0.2"/>
    <row r="53497" hidden="1" x14ac:dyDescent="0.2"/>
    <row r="53498" hidden="1" x14ac:dyDescent="0.2"/>
    <row r="53499" hidden="1" x14ac:dyDescent="0.2"/>
    <row r="53500" hidden="1" x14ac:dyDescent="0.2"/>
    <row r="53501" hidden="1" x14ac:dyDescent="0.2"/>
    <row r="53502" hidden="1" x14ac:dyDescent="0.2"/>
    <row r="53503" hidden="1" x14ac:dyDescent="0.2"/>
    <row r="53504" hidden="1" x14ac:dyDescent="0.2"/>
    <row r="53505" hidden="1" x14ac:dyDescent="0.2"/>
    <row r="53506" hidden="1" x14ac:dyDescent="0.2"/>
    <row r="53507" hidden="1" x14ac:dyDescent="0.2"/>
    <row r="53508" hidden="1" x14ac:dyDescent="0.2"/>
    <row r="53509" hidden="1" x14ac:dyDescent="0.2"/>
    <row r="53510" hidden="1" x14ac:dyDescent="0.2"/>
    <row r="53511" hidden="1" x14ac:dyDescent="0.2"/>
    <row r="53512" hidden="1" x14ac:dyDescent="0.2"/>
    <row r="53513" hidden="1" x14ac:dyDescent="0.2"/>
    <row r="53514" hidden="1" x14ac:dyDescent="0.2"/>
    <row r="53515" hidden="1" x14ac:dyDescent="0.2"/>
    <row r="53516" hidden="1" x14ac:dyDescent="0.2"/>
    <row r="53517" hidden="1" x14ac:dyDescent="0.2"/>
    <row r="53518" hidden="1" x14ac:dyDescent="0.2"/>
    <row r="53519" hidden="1" x14ac:dyDescent="0.2"/>
    <row r="53520" hidden="1" x14ac:dyDescent="0.2"/>
    <row r="53521" hidden="1" x14ac:dyDescent="0.2"/>
    <row r="53522" hidden="1" x14ac:dyDescent="0.2"/>
    <row r="53523" hidden="1" x14ac:dyDescent="0.2"/>
    <row r="53524" hidden="1" x14ac:dyDescent="0.2"/>
    <row r="53525" hidden="1" x14ac:dyDescent="0.2"/>
    <row r="53526" hidden="1" x14ac:dyDescent="0.2"/>
    <row r="53527" hidden="1" x14ac:dyDescent="0.2"/>
    <row r="53528" hidden="1" x14ac:dyDescent="0.2"/>
    <row r="53529" hidden="1" x14ac:dyDescent="0.2"/>
    <row r="53530" hidden="1" x14ac:dyDescent="0.2"/>
    <row r="53531" hidden="1" x14ac:dyDescent="0.2"/>
    <row r="53532" hidden="1" x14ac:dyDescent="0.2"/>
    <row r="53533" hidden="1" x14ac:dyDescent="0.2"/>
    <row r="53534" hidden="1" x14ac:dyDescent="0.2"/>
    <row r="53535" hidden="1" x14ac:dyDescent="0.2"/>
    <row r="53536" hidden="1" x14ac:dyDescent="0.2"/>
    <row r="53537" hidden="1" x14ac:dyDescent="0.2"/>
    <row r="53538" hidden="1" x14ac:dyDescent="0.2"/>
    <row r="53539" hidden="1" x14ac:dyDescent="0.2"/>
    <row r="53540" hidden="1" x14ac:dyDescent="0.2"/>
    <row r="53541" hidden="1" x14ac:dyDescent="0.2"/>
    <row r="53542" hidden="1" x14ac:dyDescent="0.2"/>
    <row r="53543" hidden="1" x14ac:dyDescent="0.2"/>
    <row r="53544" hidden="1" x14ac:dyDescent="0.2"/>
    <row r="53545" hidden="1" x14ac:dyDescent="0.2"/>
    <row r="53546" hidden="1" x14ac:dyDescent="0.2"/>
    <row r="53547" hidden="1" x14ac:dyDescent="0.2"/>
    <row r="53548" hidden="1" x14ac:dyDescent="0.2"/>
    <row r="53549" hidden="1" x14ac:dyDescent="0.2"/>
    <row r="53550" hidden="1" x14ac:dyDescent="0.2"/>
    <row r="53551" hidden="1" x14ac:dyDescent="0.2"/>
    <row r="53552" hidden="1" x14ac:dyDescent="0.2"/>
    <row r="53553" hidden="1" x14ac:dyDescent="0.2"/>
    <row r="53554" hidden="1" x14ac:dyDescent="0.2"/>
    <row r="53555" hidden="1" x14ac:dyDescent="0.2"/>
    <row r="53556" hidden="1" x14ac:dyDescent="0.2"/>
    <row r="53557" hidden="1" x14ac:dyDescent="0.2"/>
    <row r="53558" hidden="1" x14ac:dyDescent="0.2"/>
    <row r="53559" hidden="1" x14ac:dyDescent="0.2"/>
    <row r="53560" hidden="1" x14ac:dyDescent="0.2"/>
    <row r="53561" hidden="1" x14ac:dyDescent="0.2"/>
    <row r="53562" hidden="1" x14ac:dyDescent="0.2"/>
    <row r="53563" hidden="1" x14ac:dyDescent="0.2"/>
    <row r="53564" hidden="1" x14ac:dyDescent="0.2"/>
    <row r="53565" hidden="1" x14ac:dyDescent="0.2"/>
    <row r="53566" hidden="1" x14ac:dyDescent="0.2"/>
    <row r="53567" hidden="1" x14ac:dyDescent="0.2"/>
    <row r="53568" hidden="1" x14ac:dyDescent="0.2"/>
    <row r="53569" hidden="1" x14ac:dyDescent="0.2"/>
    <row r="53570" hidden="1" x14ac:dyDescent="0.2"/>
    <row r="53571" hidden="1" x14ac:dyDescent="0.2"/>
    <row r="53572" hidden="1" x14ac:dyDescent="0.2"/>
    <row r="53573" hidden="1" x14ac:dyDescent="0.2"/>
    <row r="53574" hidden="1" x14ac:dyDescent="0.2"/>
    <row r="53575" hidden="1" x14ac:dyDescent="0.2"/>
    <row r="53576" hidden="1" x14ac:dyDescent="0.2"/>
    <row r="53577" hidden="1" x14ac:dyDescent="0.2"/>
    <row r="53578" hidden="1" x14ac:dyDescent="0.2"/>
    <row r="53579" hidden="1" x14ac:dyDescent="0.2"/>
    <row r="53580" hidden="1" x14ac:dyDescent="0.2"/>
    <row r="53581" hidden="1" x14ac:dyDescent="0.2"/>
    <row r="53582" hidden="1" x14ac:dyDescent="0.2"/>
    <row r="53583" hidden="1" x14ac:dyDescent="0.2"/>
    <row r="53584" hidden="1" x14ac:dyDescent="0.2"/>
    <row r="53585" hidden="1" x14ac:dyDescent="0.2"/>
    <row r="53586" hidden="1" x14ac:dyDescent="0.2"/>
    <row r="53587" hidden="1" x14ac:dyDescent="0.2"/>
    <row r="53588" hidden="1" x14ac:dyDescent="0.2"/>
    <row r="53589" hidden="1" x14ac:dyDescent="0.2"/>
    <row r="53590" hidden="1" x14ac:dyDescent="0.2"/>
    <row r="53591" hidden="1" x14ac:dyDescent="0.2"/>
    <row r="53592" hidden="1" x14ac:dyDescent="0.2"/>
    <row r="53593" hidden="1" x14ac:dyDescent="0.2"/>
    <row r="53594" hidden="1" x14ac:dyDescent="0.2"/>
    <row r="53595" hidden="1" x14ac:dyDescent="0.2"/>
    <row r="53596" hidden="1" x14ac:dyDescent="0.2"/>
    <row r="53597" hidden="1" x14ac:dyDescent="0.2"/>
    <row r="53598" hidden="1" x14ac:dyDescent="0.2"/>
    <row r="53599" hidden="1" x14ac:dyDescent="0.2"/>
    <row r="53600" hidden="1" x14ac:dyDescent="0.2"/>
    <row r="53601" hidden="1" x14ac:dyDescent="0.2"/>
    <row r="53602" hidden="1" x14ac:dyDescent="0.2"/>
    <row r="53603" hidden="1" x14ac:dyDescent="0.2"/>
    <row r="53604" hidden="1" x14ac:dyDescent="0.2"/>
    <row r="53605" hidden="1" x14ac:dyDescent="0.2"/>
    <row r="53606" hidden="1" x14ac:dyDescent="0.2"/>
    <row r="53607" hidden="1" x14ac:dyDescent="0.2"/>
    <row r="53608" hidden="1" x14ac:dyDescent="0.2"/>
    <row r="53609" hidden="1" x14ac:dyDescent="0.2"/>
    <row r="53610" hidden="1" x14ac:dyDescent="0.2"/>
    <row r="53611" hidden="1" x14ac:dyDescent="0.2"/>
    <row r="53612" hidden="1" x14ac:dyDescent="0.2"/>
    <row r="53613" hidden="1" x14ac:dyDescent="0.2"/>
    <row r="53614" hidden="1" x14ac:dyDescent="0.2"/>
    <row r="53615" hidden="1" x14ac:dyDescent="0.2"/>
    <row r="53616" hidden="1" x14ac:dyDescent="0.2"/>
    <row r="53617" hidden="1" x14ac:dyDescent="0.2"/>
    <row r="53618" hidden="1" x14ac:dyDescent="0.2"/>
    <row r="53619" hidden="1" x14ac:dyDescent="0.2"/>
    <row r="53620" hidden="1" x14ac:dyDescent="0.2"/>
    <row r="53621" hidden="1" x14ac:dyDescent="0.2"/>
    <row r="53622" hidden="1" x14ac:dyDescent="0.2"/>
    <row r="53623" hidden="1" x14ac:dyDescent="0.2"/>
    <row r="53624" hidden="1" x14ac:dyDescent="0.2"/>
    <row r="53625" hidden="1" x14ac:dyDescent="0.2"/>
    <row r="53626" hidden="1" x14ac:dyDescent="0.2"/>
    <row r="53627" hidden="1" x14ac:dyDescent="0.2"/>
    <row r="53628" hidden="1" x14ac:dyDescent="0.2"/>
    <row r="53629" hidden="1" x14ac:dyDescent="0.2"/>
    <row r="53630" hidden="1" x14ac:dyDescent="0.2"/>
    <row r="53631" hidden="1" x14ac:dyDescent="0.2"/>
    <row r="53632" hidden="1" x14ac:dyDescent="0.2"/>
    <row r="53633" hidden="1" x14ac:dyDescent="0.2"/>
    <row r="53634" hidden="1" x14ac:dyDescent="0.2"/>
    <row r="53635" hidden="1" x14ac:dyDescent="0.2"/>
    <row r="53636" hidden="1" x14ac:dyDescent="0.2"/>
    <row r="53637" hidden="1" x14ac:dyDescent="0.2"/>
    <row r="53638" hidden="1" x14ac:dyDescent="0.2"/>
    <row r="53639" hidden="1" x14ac:dyDescent="0.2"/>
    <row r="53640" hidden="1" x14ac:dyDescent="0.2"/>
    <row r="53641" hidden="1" x14ac:dyDescent="0.2"/>
    <row r="53642" hidden="1" x14ac:dyDescent="0.2"/>
    <row r="53643" hidden="1" x14ac:dyDescent="0.2"/>
    <row r="53644" hidden="1" x14ac:dyDescent="0.2"/>
    <row r="53645" hidden="1" x14ac:dyDescent="0.2"/>
    <row r="53646" hidden="1" x14ac:dyDescent="0.2"/>
    <row r="53647" hidden="1" x14ac:dyDescent="0.2"/>
    <row r="53648" hidden="1" x14ac:dyDescent="0.2"/>
    <row r="53649" hidden="1" x14ac:dyDescent="0.2"/>
    <row r="53650" hidden="1" x14ac:dyDescent="0.2"/>
    <row r="53651" hidden="1" x14ac:dyDescent="0.2"/>
    <row r="53652" hidden="1" x14ac:dyDescent="0.2"/>
    <row r="53653" hidden="1" x14ac:dyDescent="0.2"/>
    <row r="53654" hidden="1" x14ac:dyDescent="0.2"/>
    <row r="53655" hidden="1" x14ac:dyDescent="0.2"/>
    <row r="53656" hidden="1" x14ac:dyDescent="0.2"/>
    <row r="53657" hidden="1" x14ac:dyDescent="0.2"/>
    <row r="53658" hidden="1" x14ac:dyDescent="0.2"/>
    <row r="53659" hidden="1" x14ac:dyDescent="0.2"/>
    <row r="53660" hidden="1" x14ac:dyDescent="0.2"/>
    <row r="53661" hidden="1" x14ac:dyDescent="0.2"/>
    <row r="53662" hidden="1" x14ac:dyDescent="0.2"/>
    <row r="53663" hidden="1" x14ac:dyDescent="0.2"/>
    <row r="53664" hidden="1" x14ac:dyDescent="0.2"/>
    <row r="53665" hidden="1" x14ac:dyDescent="0.2"/>
    <row r="53666" hidden="1" x14ac:dyDescent="0.2"/>
    <row r="53667" hidden="1" x14ac:dyDescent="0.2"/>
    <row r="53668" hidden="1" x14ac:dyDescent="0.2"/>
    <row r="53669" hidden="1" x14ac:dyDescent="0.2"/>
    <row r="53670" hidden="1" x14ac:dyDescent="0.2"/>
    <row r="53671" hidden="1" x14ac:dyDescent="0.2"/>
    <row r="53672" hidden="1" x14ac:dyDescent="0.2"/>
    <row r="53673" hidden="1" x14ac:dyDescent="0.2"/>
    <row r="53674" hidden="1" x14ac:dyDescent="0.2"/>
    <row r="53675" hidden="1" x14ac:dyDescent="0.2"/>
    <row r="53676" hidden="1" x14ac:dyDescent="0.2"/>
    <row r="53677" hidden="1" x14ac:dyDescent="0.2"/>
    <row r="53678" hidden="1" x14ac:dyDescent="0.2"/>
    <row r="53679" hidden="1" x14ac:dyDescent="0.2"/>
    <row r="53680" hidden="1" x14ac:dyDescent="0.2"/>
    <row r="53681" hidden="1" x14ac:dyDescent="0.2"/>
    <row r="53682" hidden="1" x14ac:dyDescent="0.2"/>
    <row r="53683" hidden="1" x14ac:dyDescent="0.2"/>
    <row r="53684" hidden="1" x14ac:dyDescent="0.2"/>
    <row r="53685" hidden="1" x14ac:dyDescent="0.2"/>
    <row r="53686" hidden="1" x14ac:dyDescent="0.2"/>
    <row r="53687" hidden="1" x14ac:dyDescent="0.2"/>
    <row r="53688" hidden="1" x14ac:dyDescent="0.2"/>
    <row r="53689" hidden="1" x14ac:dyDescent="0.2"/>
    <row r="53690" hidden="1" x14ac:dyDescent="0.2"/>
    <row r="53691" hidden="1" x14ac:dyDescent="0.2"/>
    <row r="53692" hidden="1" x14ac:dyDescent="0.2"/>
    <row r="53693" hidden="1" x14ac:dyDescent="0.2"/>
    <row r="53694" hidden="1" x14ac:dyDescent="0.2"/>
    <row r="53695" hidden="1" x14ac:dyDescent="0.2"/>
    <row r="53696" hidden="1" x14ac:dyDescent="0.2"/>
    <row r="53697" hidden="1" x14ac:dyDescent="0.2"/>
    <row r="53698" hidden="1" x14ac:dyDescent="0.2"/>
    <row r="53699" hidden="1" x14ac:dyDescent="0.2"/>
    <row r="53700" hidden="1" x14ac:dyDescent="0.2"/>
    <row r="53701" hidden="1" x14ac:dyDescent="0.2"/>
    <row r="53702" hidden="1" x14ac:dyDescent="0.2"/>
    <row r="53703" hidden="1" x14ac:dyDescent="0.2"/>
    <row r="53704" hidden="1" x14ac:dyDescent="0.2"/>
    <row r="53705" hidden="1" x14ac:dyDescent="0.2"/>
    <row r="53706" hidden="1" x14ac:dyDescent="0.2"/>
    <row r="53707" hidden="1" x14ac:dyDescent="0.2"/>
    <row r="53708" hidden="1" x14ac:dyDescent="0.2"/>
    <row r="53709" hidden="1" x14ac:dyDescent="0.2"/>
    <row r="53710" hidden="1" x14ac:dyDescent="0.2"/>
    <row r="53711" hidden="1" x14ac:dyDescent="0.2"/>
    <row r="53712" hidden="1" x14ac:dyDescent="0.2"/>
    <row r="53713" hidden="1" x14ac:dyDescent="0.2"/>
    <row r="53714" hidden="1" x14ac:dyDescent="0.2"/>
    <row r="53715" hidden="1" x14ac:dyDescent="0.2"/>
    <row r="53716" hidden="1" x14ac:dyDescent="0.2"/>
    <row r="53717" hidden="1" x14ac:dyDescent="0.2"/>
    <row r="53718" hidden="1" x14ac:dyDescent="0.2"/>
    <row r="53719" hidden="1" x14ac:dyDescent="0.2"/>
    <row r="53720" hidden="1" x14ac:dyDescent="0.2"/>
    <row r="53721" hidden="1" x14ac:dyDescent="0.2"/>
    <row r="53722" hidden="1" x14ac:dyDescent="0.2"/>
    <row r="53723" hidden="1" x14ac:dyDescent="0.2"/>
    <row r="53724" hidden="1" x14ac:dyDescent="0.2"/>
    <row r="53725" hidden="1" x14ac:dyDescent="0.2"/>
    <row r="53726" hidden="1" x14ac:dyDescent="0.2"/>
    <row r="53727" hidden="1" x14ac:dyDescent="0.2"/>
    <row r="53728" hidden="1" x14ac:dyDescent="0.2"/>
    <row r="53729" hidden="1" x14ac:dyDescent="0.2"/>
    <row r="53730" hidden="1" x14ac:dyDescent="0.2"/>
    <row r="53731" hidden="1" x14ac:dyDescent="0.2"/>
    <row r="53732" hidden="1" x14ac:dyDescent="0.2"/>
    <row r="53733" hidden="1" x14ac:dyDescent="0.2"/>
    <row r="53734" hidden="1" x14ac:dyDescent="0.2"/>
    <row r="53735" hidden="1" x14ac:dyDescent="0.2"/>
    <row r="53736" hidden="1" x14ac:dyDescent="0.2"/>
    <row r="53737" hidden="1" x14ac:dyDescent="0.2"/>
    <row r="53738" hidden="1" x14ac:dyDescent="0.2"/>
    <row r="53739" hidden="1" x14ac:dyDescent="0.2"/>
    <row r="53740" hidden="1" x14ac:dyDescent="0.2"/>
    <row r="53741" hidden="1" x14ac:dyDescent="0.2"/>
    <row r="53742" hidden="1" x14ac:dyDescent="0.2"/>
    <row r="53743" hidden="1" x14ac:dyDescent="0.2"/>
    <row r="53744" hidden="1" x14ac:dyDescent="0.2"/>
    <row r="53745" hidden="1" x14ac:dyDescent="0.2"/>
    <row r="53746" hidden="1" x14ac:dyDescent="0.2"/>
    <row r="53747" hidden="1" x14ac:dyDescent="0.2"/>
    <row r="53748" hidden="1" x14ac:dyDescent="0.2"/>
    <row r="53749" hidden="1" x14ac:dyDescent="0.2"/>
    <row r="53750" hidden="1" x14ac:dyDescent="0.2"/>
    <row r="53751" hidden="1" x14ac:dyDescent="0.2"/>
    <row r="53752" hidden="1" x14ac:dyDescent="0.2"/>
    <row r="53753" hidden="1" x14ac:dyDescent="0.2"/>
    <row r="53754" hidden="1" x14ac:dyDescent="0.2"/>
    <row r="53755" hidden="1" x14ac:dyDescent="0.2"/>
    <row r="53756" hidden="1" x14ac:dyDescent="0.2"/>
    <row r="53757" hidden="1" x14ac:dyDescent="0.2"/>
    <row r="53758" hidden="1" x14ac:dyDescent="0.2"/>
    <row r="53759" hidden="1" x14ac:dyDescent="0.2"/>
    <row r="53760" hidden="1" x14ac:dyDescent="0.2"/>
    <row r="53761" hidden="1" x14ac:dyDescent="0.2"/>
    <row r="53762" hidden="1" x14ac:dyDescent="0.2"/>
    <row r="53763" hidden="1" x14ac:dyDescent="0.2"/>
    <row r="53764" hidden="1" x14ac:dyDescent="0.2"/>
    <row r="53765" hidden="1" x14ac:dyDescent="0.2"/>
    <row r="53766" hidden="1" x14ac:dyDescent="0.2"/>
    <row r="53767" hidden="1" x14ac:dyDescent="0.2"/>
    <row r="53768" hidden="1" x14ac:dyDescent="0.2"/>
    <row r="53769" hidden="1" x14ac:dyDescent="0.2"/>
    <row r="53770" hidden="1" x14ac:dyDescent="0.2"/>
    <row r="53771" hidden="1" x14ac:dyDescent="0.2"/>
    <row r="53772" hidden="1" x14ac:dyDescent="0.2"/>
    <row r="53773" hidden="1" x14ac:dyDescent="0.2"/>
    <row r="53774" hidden="1" x14ac:dyDescent="0.2"/>
    <row r="53775" hidden="1" x14ac:dyDescent="0.2"/>
    <row r="53776" hidden="1" x14ac:dyDescent="0.2"/>
    <row r="53777" hidden="1" x14ac:dyDescent="0.2"/>
    <row r="53778" hidden="1" x14ac:dyDescent="0.2"/>
    <row r="53779" hidden="1" x14ac:dyDescent="0.2"/>
    <row r="53780" hidden="1" x14ac:dyDescent="0.2"/>
    <row r="53781" hidden="1" x14ac:dyDescent="0.2"/>
    <row r="53782" hidden="1" x14ac:dyDescent="0.2"/>
    <row r="53783" hidden="1" x14ac:dyDescent="0.2"/>
    <row r="53784" hidden="1" x14ac:dyDescent="0.2"/>
    <row r="53785" hidden="1" x14ac:dyDescent="0.2"/>
    <row r="53786" hidden="1" x14ac:dyDescent="0.2"/>
    <row r="53787" hidden="1" x14ac:dyDescent="0.2"/>
    <row r="53788" hidden="1" x14ac:dyDescent="0.2"/>
    <row r="53789" hidden="1" x14ac:dyDescent="0.2"/>
    <row r="53790" hidden="1" x14ac:dyDescent="0.2"/>
    <row r="53791" hidden="1" x14ac:dyDescent="0.2"/>
    <row r="53792" hidden="1" x14ac:dyDescent="0.2"/>
    <row r="53793" hidden="1" x14ac:dyDescent="0.2"/>
    <row r="53794" hidden="1" x14ac:dyDescent="0.2"/>
    <row r="53795" hidden="1" x14ac:dyDescent="0.2"/>
    <row r="53796" hidden="1" x14ac:dyDescent="0.2"/>
    <row r="53797" hidden="1" x14ac:dyDescent="0.2"/>
    <row r="53798" hidden="1" x14ac:dyDescent="0.2"/>
    <row r="53799" hidden="1" x14ac:dyDescent="0.2"/>
    <row r="53800" hidden="1" x14ac:dyDescent="0.2"/>
    <row r="53801" hidden="1" x14ac:dyDescent="0.2"/>
    <row r="53802" hidden="1" x14ac:dyDescent="0.2"/>
    <row r="53803" hidden="1" x14ac:dyDescent="0.2"/>
    <row r="53804" hidden="1" x14ac:dyDescent="0.2"/>
    <row r="53805" hidden="1" x14ac:dyDescent="0.2"/>
    <row r="53806" hidden="1" x14ac:dyDescent="0.2"/>
    <row r="53807" hidden="1" x14ac:dyDescent="0.2"/>
    <row r="53808" hidden="1" x14ac:dyDescent="0.2"/>
    <row r="53809" hidden="1" x14ac:dyDescent="0.2"/>
    <row r="53810" hidden="1" x14ac:dyDescent="0.2"/>
    <row r="53811" hidden="1" x14ac:dyDescent="0.2"/>
    <row r="53812" hidden="1" x14ac:dyDescent="0.2"/>
    <row r="53813" hidden="1" x14ac:dyDescent="0.2"/>
    <row r="53814" hidden="1" x14ac:dyDescent="0.2"/>
    <row r="53815" hidden="1" x14ac:dyDescent="0.2"/>
    <row r="53816" hidden="1" x14ac:dyDescent="0.2"/>
    <row r="53817" hidden="1" x14ac:dyDescent="0.2"/>
    <row r="53818" hidden="1" x14ac:dyDescent="0.2"/>
    <row r="53819" hidden="1" x14ac:dyDescent="0.2"/>
    <row r="53820" hidden="1" x14ac:dyDescent="0.2"/>
    <row r="53821" hidden="1" x14ac:dyDescent="0.2"/>
    <row r="53822" hidden="1" x14ac:dyDescent="0.2"/>
    <row r="53823" hidden="1" x14ac:dyDescent="0.2"/>
    <row r="53824" hidden="1" x14ac:dyDescent="0.2"/>
    <row r="53825" hidden="1" x14ac:dyDescent="0.2"/>
    <row r="53826" hidden="1" x14ac:dyDescent="0.2"/>
    <row r="53827" hidden="1" x14ac:dyDescent="0.2"/>
    <row r="53828" hidden="1" x14ac:dyDescent="0.2"/>
    <row r="53829" hidden="1" x14ac:dyDescent="0.2"/>
    <row r="53830" hidden="1" x14ac:dyDescent="0.2"/>
    <row r="53831" hidden="1" x14ac:dyDescent="0.2"/>
    <row r="53832" hidden="1" x14ac:dyDescent="0.2"/>
    <row r="53833" hidden="1" x14ac:dyDescent="0.2"/>
    <row r="53834" hidden="1" x14ac:dyDescent="0.2"/>
    <row r="53835" hidden="1" x14ac:dyDescent="0.2"/>
    <row r="53836" hidden="1" x14ac:dyDescent="0.2"/>
    <row r="53837" hidden="1" x14ac:dyDescent="0.2"/>
    <row r="53838" hidden="1" x14ac:dyDescent="0.2"/>
    <row r="53839" hidden="1" x14ac:dyDescent="0.2"/>
    <row r="53840" hidden="1" x14ac:dyDescent="0.2"/>
    <row r="53841" hidden="1" x14ac:dyDescent="0.2"/>
    <row r="53842" hidden="1" x14ac:dyDescent="0.2"/>
    <row r="53843" hidden="1" x14ac:dyDescent="0.2"/>
    <row r="53844" hidden="1" x14ac:dyDescent="0.2"/>
    <row r="53845" hidden="1" x14ac:dyDescent="0.2"/>
    <row r="53846" hidden="1" x14ac:dyDescent="0.2"/>
    <row r="53847" hidden="1" x14ac:dyDescent="0.2"/>
    <row r="53848" hidden="1" x14ac:dyDescent="0.2"/>
    <row r="53849" hidden="1" x14ac:dyDescent="0.2"/>
    <row r="53850" hidden="1" x14ac:dyDescent="0.2"/>
    <row r="53851" hidden="1" x14ac:dyDescent="0.2"/>
    <row r="53852" hidden="1" x14ac:dyDescent="0.2"/>
    <row r="53853" hidden="1" x14ac:dyDescent="0.2"/>
    <row r="53854" hidden="1" x14ac:dyDescent="0.2"/>
    <row r="53855" hidden="1" x14ac:dyDescent="0.2"/>
    <row r="53856" hidden="1" x14ac:dyDescent="0.2"/>
    <row r="53857" hidden="1" x14ac:dyDescent="0.2"/>
    <row r="53858" hidden="1" x14ac:dyDescent="0.2"/>
    <row r="53859" hidden="1" x14ac:dyDescent="0.2"/>
    <row r="53860" hidden="1" x14ac:dyDescent="0.2"/>
    <row r="53861" hidden="1" x14ac:dyDescent="0.2"/>
    <row r="53862" hidden="1" x14ac:dyDescent="0.2"/>
    <row r="53863" hidden="1" x14ac:dyDescent="0.2"/>
    <row r="53864" hidden="1" x14ac:dyDescent="0.2"/>
    <row r="53865" hidden="1" x14ac:dyDescent="0.2"/>
    <row r="53866" hidden="1" x14ac:dyDescent="0.2"/>
    <row r="53867" hidden="1" x14ac:dyDescent="0.2"/>
    <row r="53868" hidden="1" x14ac:dyDescent="0.2"/>
    <row r="53869" hidden="1" x14ac:dyDescent="0.2"/>
    <row r="53870" hidden="1" x14ac:dyDescent="0.2"/>
    <row r="53871" hidden="1" x14ac:dyDescent="0.2"/>
    <row r="53872" hidden="1" x14ac:dyDescent="0.2"/>
    <row r="53873" hidden="1" x14ac:dyDescent="0.2"/>
    <row r="53874" hidden="1" x14ac:dyDescent="0.2"/>
    <row r="53875" hidden="1" x14ac:dyDescent="0.2"/>
    <row r="53876" hidden="1" x14ac:dyDescent="0.2"/>
    <row r="53877" hidden="1" x14ac:dyDescent="0.2"/>
    <row r="53878" hidden="1" x14ac:dyDescent="0.2"/>
    <row r="53879" hidden="1" x14ac:dyDescent="0.2"/>
    <row r="53880" hidden="1" x14ac:dyDescent="0.2"/>
    <row r="53881" hidden="1" x14ac:dyDescent="0.2"/>
    <row r="53882" hidden="1" x14ac:dyDescent="0.2"/>
    <row r="53883" hidden="1" x14ac:dyDescent="0.2"/>
    <row r="53884" hidden="1" x14ac:dyDescent="0.2"/>
    <row r="53885" hidden="1" x14ac:dyDescent="0.2"/>
    <row r="53886" hidden="1" x14ac:dyDescent="0.2"/>
    <row r="53887" hidden="1" x14ac:dyDescent="0.2"/>
    <row r="53888" hidden="1" x14ac:dyDescent="0.2"/>
    <row r="53889" hidden="1" x14ac:dyDescent="0.2"/>
    <row r="53890" hidden="1" x14ac:dyDescent="0.2"/>
    <row r="53891" hidden="1" x14ac:dyDescent="0.2"/>
    <row r="53892" hidden="1" x14ac:dyDescent="0.2"/>
    <row r="53893" hidden="1" x14ac:dyDescent="0.2"/>
    <row r="53894" hidden="1" x14ac:dyDescent="0.2"/>
    <row r="53895" hidden="1" x14ac:dyDescent="0.2"/>
    <row r="53896" hidden="1" x14ac:dyDescent="0.2"/>
    <row r="53897" hidden="1" x14ac:dyDescent="0.2"/>
    <row r="53898" hidden="1" x14ac:dyDescent="0.2"/>
    <row r="53899" hidden="1" x14ac:dyDescent="0.2"/>
    <row r="53900" hidden="1" x14ac:dyDescent="0.2"/>
    <row r="53901" hidden="1" x14ac:dyDescent="0.2"/>
    <row r="53902" hidden="1" x14ac:dyDescent="0.2"/>
    <row r="53903" hidden="1" x14ac:dyDescent="0.2"/>
    <row r="53904" hidden="1" x14ac:dyDescent="0.2"/>
    <row r="53905" hidden="1" x14ac:dyDescent="0.2"/>
    <row r="53906" hidden="1" x14ac:dyDescent="0.2"/>
    <row r="53907" hidden="1" x14ac:dyDescent="0.2"/>
    <row r="53908" hidden="1" x14ac:dyDescent="0.2"/>
    <row r="53909" hidden="1" x14ac:dyDescent="0.2"/>
    <row r="53910" hidden="1" x14ac:dyDescent="0.2"/>
    <row r="53911" hidden="1" x14ac:dyDescent="0.2"/>
    <row r="53912" hidden="1" x14ac:dyDescent="0.2"/>
    <row r="53913" hidden="1" x14ac:dyDescent="0.2"/>
    <row r="53914" hidden="1" x14ac:dyDescent="0.2"/>
    <row r="53915" hidden="1" x14ac:dyDescent="0.2"/>
    <row r="53916" hidden="1" x14ac:dyDescent="0.2"/>
    <row r="53917" hidden="1" x14ac:dyDescent="0.2"/>
    <row r="53918" hidden="1" x14ac:dyDescent="0.2"/>
    <row r="53919" hidden="1" x14ac:dyDescent="0.2"/>
    <row r="53920" hidden="1" x14ac:dyDescent="0.2"/>
    <row r="53921" hidden="1" x14ac:dyDescent="0.2"/>
    <row r="53922" hidden="1" x14ac:dyDescent="0.2"/>
    <row r="53923" hidden="1" x14ac:dyDescent="0.2"/>
    <row r="53924" hidden="1" x14ac:dyDescent="0.2"/>
    <row r="53925" hidden="1" x14ac:dyDescent="0.2"/>
    <row r="53926" hidden="1" x14ac:dyDescent="0.2"/>
    <row r="53927" hidden="1" x14ac:dyDescent="0.2"/>
    <row r="53928" hidden="1" x14ac:dyDescent="0.2"/>
    <row r="53929" hidden="1" x14ac:dyDescent="0.2"/>
    <row r="53930" hidden="1" x14ac:dyDescent="0.2"/>
    <row r="53931" hidden="1" x14ac:dyDescent="0.2"/>
    <row r="53932" hidden="1" x14ac:dyDescent="0.2"/>
    <row r="53933" hidden="1" x14ac:dyDescent="0.2"/>
    <row r="53934" hidden="1" x14ac:dyDescent="0.2"/>
    <row r="53935" hidden="1" x14ac:dyDescent="0.2"/>
    <row r="53936" hidden="1" x14ac:dyDescent="0.2"/>
    <row r="53937" hidden="1" x14ac:dyDescent="0.2"/>
    <row r="53938" hidden="1" x14ac:dyDescent="0.2"/>
    <row r="53939" hidden="1" x14ac:dyDescent="0.2"/>
    <row r="53940" hidden="1" x14ac:dyDescent="0.2"/>
    <row r="53941" hidden="1" x14ac:dyDescent="0.2"/>
    <row r="53942" hidden="1" x14ac:dyDescent="0.2"/>
    <row r="53943" hidden="1" x14ac:dyDescent="0.2"/>
    <row r="53944" hidden="1" x14ac:dyDescent="0.2"/>
    <row r="53945" hidden="1" x14ac:dyDescent="0.2"/>
    <row r="53946" hidden="1" x14ac:dyDescent="0.2"/>
    <row r="53947" hidden="1" x14ac:dyDescent="0.2"/>
    <row r="53948" hidden="1" x14ac:dyDescent="0.2"/>
    <row r="53949" hidden="1" x14ac:dyDescent="0.2"/>
    <row r="53950" hidden="1" x14ac:dyDescent="0.2"/>
    <row r="53951" hidden="1" x14ac:dyDescent="0.2"/>
    <row r="53952" hidden="1" x14ac:dyDescent="0.2"/>
    <row r="53953" hidden="1" x14ac:dyDescent="0.2"/>
    <row r="53954" hidden="1" x14ac:dyDescent="0.2"/>
    <row r="53955" hidden="1" x14ac:dyDescent="0.2"/>
    <row r="53956" hidden="1" x14ac:dyDescent="0.2"/>
    <row r="53957" hidden="1" x14ac:dyDescent="0.2"/>
    <row r="53958" hidden="1" x14ac:dyDescent="0.2"/>
    <row r="53959" hidden="1" x14ac:dyDescent="0.2"/>
    <row r="53960" hidden="1" x14ac:dyDescent="0.2"/>
    <row r="53961" hidden="1" x14ac:dyDescent="0.2"/>
    <row r="53962" hidden="1" x14ac:dyDescent="0.2"/>
    <row r="53963" hidden="1" x14ac:dyDescent="0.2"/>
    <row r="53964" hidden="1" x14ac:dyDescent="0.2"/>
    <row r="53965" hidden="1" x14ac:dyDescent="0.2"/>
    <row r="53966" hidden="1" x14ac:dyDescent="0.2"/>
    <row r="53967" hidden="1" x14ac:dyDescent="0.2"/>
    <row r="53968" hidden="1" x14ac:dyDescent="0.2"/>
    <row r="53969" hidden="1" x14ac:dyDescent="0.2"/>
    <row r="53970" hidden="1" x14ac:dyDescent="0.2"/>
    <row r="53971" hidden="1" x14ac:dyDescent="0.2"/>
    <row r="53972" hidden="1" x14ac:dyDescent="0.2"/>
    <row r="53973" hidden="1" x14ac:dyDescent="0.2"/>
    <row r="53974" hidden="1" x14ac:dyDescent="0.2"/>
    <row r="53975" hidden="1" x14ac:dyDescent="0.2"/>
    <row r="53976" hidden="1" x14ac:dyDescent="0.2"/>
    <row r="53977" hidden="1" x14ac:dyDescent="0.2"/>
    <row r="53978" hidden="1" x14ac:dyDescent="0.2"/>
    <row r="53979" hidden="1" x14ac:dyDescent="0.2"/>
    <row r="53980" hidden="1" x14ac:dyDescent="0.2"/>
    <row r="53981" hidden="1" x14ac:dyDescent="0.2"/>
    <row r="53982" hidden="1" x14ac:dyDescent="0.2"/>
    <row r="53983" hidden="1" x14ac:dyDescent="0.2"/>
    <row r="53984" hidden="1" x14ac:dyDescent="0.2"/>
    <row r="53985" hidden="1" x14ac:dyDescent="0.2"/>
    <row r="53986" hidden="1" x14ac:dyDescent="0.2"/>
    <row r="53987" hidden="1" x14ac:dyDescent="0.2"/>
    <row r="53988" hidden="1" x14ac:dyDescent="0.2"/>
    <row r="53989" hidden="1" x14ac:dyDescent="0.2"/>
    <row r="53990" hidden="1" x14ac:dyDescent="0.2"/>
    <row r="53991" hidden="1" x14ac:dyDescent="0.2"/>
    <row r="53992" hidden="1" x14ac:dyDescent="0.2"/>
    <row r="53993" hidden="1" x14ac:dyDescent="0.2"/>
    <row r="53994" hidden="1" x14ac:dyDescent="0.2"/>
    <row r="53995" hidden="1" x14ac:dyDescent="0.2"/>
    <row r="53996" hidden="1" x14ac:dyDescent="0.2"/>
    <row r="53997" hidden="1" x14ac:dyDescent="0.2"/>
    <row r="53998" hidden="1" x14ac:dyDescent="0.2"/>
    <row r="53999" hidden="1" x14ac:dyDescent="0.2"/>
    <row r="54000" hidden="1" x14ac:dyDescent="0.2"/>
    <row r="54001" hidden="1" x14ac:dyDescent="0.2"/>
    <row r="54002" hidden="1" x14ac:dyDescent="0.2"/>
    <row r="54003" hidden="1" x14ac:dyDescent="0.2"/>
    <row r="54004" hidden="1" x14ac:dyDescent="0.2"/>
    <row r="54005" hidden="1" x14ac:dyDescent="0.2"/>
    <row r="54006" hidden="1" x14ac:dyDescent="0.2"/>
    <row r="54007" hidden="1" x14ac:dyDescent="0.2"/>
    <row r="54008" hidden="1" x14ac:dyDescent="0.2"/>
    <row r="54009" hidden="1" x14ac:dyDescent="0.2"/>
    <row r="54010" hidden="1" x14ac:dyDescent="0.2"/>
    <row r="54011" hidden="1" x14ac:dyDescent="0.2"/>
    <row r="54012" hidden="1" x14ac:dyDescent="0.2"/>
    <row r="54013" hidden="1" x14ac:dyDescent="0.2"/>
    <row r="54014" hidden="1" x14ac:dyDescent="0.2"/>
    <row r="54015" hidden="1" x14ac:dyDescent="0.2"/>
    <row r="54016" hidden="1" x14ac:dyDescent="0.2"/>
    <row r="54017" hidden="1" x14ac:dyDescent="0.2"/>
    <row r="54018" hidden="1" x14ac:dyDescent="0.2"/>
    <row r="54019" hidden="1" x14ac:dyDescent="0.2"/>
    <row r="54020" hidden="1" x14ac:dyDescent="0.2"/>
    <row r="54021" hidden="1" x14ac:dyDescent="0.2"/>
    <row r="54022" hidden="1" x14ac:dyDescent="0.2"/>
    <row r="54023" hidden="1" x14ac:dyDescent="0.2"/>
    <row r="54024" hidden="1" x14ac:dyDescent="0.2"/>
    <row r="54025" hidden="1" x14ac:dyDescent="0.2"/>
    <row r="54026" hidden="1" x14ac:dyDescent="0.2"/>
    <row r="54027" hidden="1" x14ac:dyDescent="0.2"/>
    <row r="54028" hidden="1" x14ac:dyDescent="0.2"/>
    <row r="54029" hidden="1" x14ac:dyDescent="0.2"/>
    <row r="54030" hidden="1" x14ac:dyDescent="0.2"/>
    <row r="54031" hidden="1" x14ac:dyDescent="0.2"/>
    <row r="54032" hidden="1" x14ac:dyDescent="0.2"/>
    <row r="54033" hidden="1" x14ac:dyDescent="0.2"/>
    <row r="54034" hidden="1" x14ac:dyDescent="0.2"/>
    <row r="54035" hidden="1" x14ac:dyDescent="0.2"/>
    <row r="54036" hidden="1" x14ac:dyDescent="0.2"/>
    <row r="54037" hidden="1" x14ac:dyDescent="0.2"/>
    <row r="54038" hidden="1" x14ac:dyDescent="0.2"/>
    <row r="54039" hidden="1" x14ac:dyDescent="0.2"/>
    <row r="54040" hidden="1" x14ac:dyDescent="0.2"/>
    <row r="54041" hidden="1" x14ac:dyDescent="0.2"/>
    <row r="54042" hidden="1" x14ac:dyDescent="0.2"/>
    <row r="54043" hidden="1" x14ac:dyDescent="0.2"/>
    <row r="54044" hidden="1" x14ac:dyDescent="0.2"/>
    <row r="54045" hidden="1" x14ac:dyDescent="0.2"/>
    <row r="54046" hidden="1" x14ac:dyDescent="0.2"/>
    <row r="54047" hidden="1" x14ac:dyDescent="0.2"/>
    <row r="54048" hidden="1" x14ac:dyDescent="0.2"/>
    <row r="54049" hidden="1" x14ac:dyDescent="0.2"/>
    <row r="54050" hidden="1" x14ac:dyDescent="0.2"/>
    <row r="54051" hidden="1" x14ac:dyDescent="0.2"/>
    <row r="54052" hidden="1" x14ac:dyDescent="0.2"/>
    <row r="54053" hidden="1" x14ac:dyDescent="0.2"/>
    <row r="54054" hidden="1" x14ac:dyDescent="0.2"/>
    <row r="54055" hidden="1" x14ac:dyDescent="0.2"/>
    <row r="54056" hidden="1" x14ac:dyDescent="0.2"/>
    <row r="54057" hidden="1" x14ac:dyDescent="0.2"/>
    <row r="54058" hidden="1" x14ac:dyDescent="0.2"/>
    <row r="54059" hidden="1" x14ac:dyDescent="0.2"/>
    <row r="54060" hidden="1" x14ac:dyDescent="0.2"/>
    <row r="54061" hidden="1" x14ac:dyDescent="0.2"/>
    <row r="54062" hidden="1" x14ac:dyDescent="0.2"/>
    <row r="54063" hidden="1" x14ac:dyDescent="0.2"/>
    <row r="54064" hidden="1" x14ac:dyDescent="0.2"/>
    <row r="54065" hidden="1" x14ac:dyDescent="0.2"/>
    <row r="54066" hidden="1" x14ac:dyDescent="0.2"/>
    <row r="54067" hidden="1" x14ac:dyDescent="0.2"/>
    <row r="54068" hidden="1" x14ac:dyDescent="0.2"/>
    <row r="54069" hidden="1" x14ac:dyDescent="0.2"/>
    <row r="54070" hidden="1" x14ac:dyDescent="0.2"/>
    <row r="54071" hidden="1" x14ac:dyDescent="0.2"/>
    <row r="54072" hidden="1" x14ac:dyDescent="0.2"/>
    <row r="54073" hidden="1" x14ac:dyDescent="0.2"/>
    <row r="54074" hidden="1" x14ac:dyDescent="0.2"/>
    <row r="54075" hidden="1" x14ac:dyDescent="0.2"/>
    <row r="54076" hidden="1" x14ac:dyDescent="0.2"/>
    <row r="54077" hidden="1" x14ac:dyDescent="0.2"/>
    <row r="54078" hidden="1" x14ac:dyDescent="0.2"/>
    <row r="54079" hidden="1" x14ac:dyDescent="0.2"/>
    <row r="54080" hidden="1" x14ac:dyDescent="0.2"/>
    <row r="54081" hidden="1" x14ac:dyDescent="0.2"/>
    <row r="54082" hidden="1" x14ac:dyDescent="0.2"/>
    <row r="54083" hidden="1" x14ac:dyDescent="0.2"/>
    <row r="54084" hidden="1" x14ac:dyDescent="0.2"/>
    <row r="54085" hidden="1" x14ac:dyDescent="0.2"/>
    <row r="54086" hidden="1" x14ac:dyDescent="0.2"/>
    <row r="54087" hidden="1" x14ac:dyDescent="0.2"/>
    <row r="54088" hidden="1" x14ac:dyDescent="0.2"/>
    <row r="54089" hidden="1" x14ac:dyDescent="0.2"/>
    <row r="54090" hidden="1" x14ac:dyDescent="0.2"/>
    <row r="54091" hidden="1" x14ac:dyDescent="0.2"/>
    <row r="54092" hidden="1" x14ac:dyDescent="0.2"/>
    <row r="54093" hidden="1" x14ac:dyDescent="0.2"/>
    <row r="54094" hidden="1" x14ac:dyDescent="0.2"/>
    <row r="54095" hidden="1" x14ac:dyDescent="0.2"/>
    <row r="54096" hidden="1" x14ac:dyDescent="0.2"/>
    <row r="54097" hidden="1" x14ac:dyDescent="0.2"/>
    <row r="54098" hidden="1" x14ac:dyDescent="0.2"/>
    <row r="54099" hidden="1" x14ac:dyDescent="0.2"/>
    <row r="54100" hidden="1" x14ac:dyDescent="0.2"/>
    <row r="54101" hidden="1" x14ac:dyDescent="0.2"/>
    <row r="54102" hidden="1" x14ac:dyDescent="0.2"/>
    <row r="54103" hidden="1" x14ac:dyDescent="0.2"/>
    <row r="54104" hidden="1" x14ac:dyDescent="0.2"/>
    <row r="54105" hidden="1" x14ac:dyDescent="0.2"/>
    <row r="54106" hidden="1" x14ac:dyDescent="0.2"/>
    <row r="54107" hidden="1" x14ac:dyDescent="0.2"/>
    <row r="54108" hidden="1" x14ac:dyDescent="0.2"/>
    <row r="54109" hidden="1" x14ac:dyDescent="0.2"/>
    <row r="54110" hidden="1" x14ac:dyDescent="0.2"/>
    <row r="54111" hidden="1" x14ac:dyDescent="0.2"/>
    <row r="54112" hidden="1" x14ac:dyDescent="0.2"/>
    <row r="54113" hidden="1" x14ac:dyDescent="0.2"/>
    <row r="54114" hidden="1" x14ac:dyDescent="0.2"/>
    <row r="54115" hidden="1" x14ac:dyDescent="0.2"/>
    <row r="54116" hidden="1" x14ac:dyDescent="0.2"/>
    <row r="54117" hidden="1" x14ac:dyDescent="0.2"/>
    <row r="54118" hidden="1" x14ac:dyDescent="0.2"/>
    <row r="54119" hidden="1" x14ac:dyDescent="0.2"/>
    <row r="54120" hidden="1" x14ac:dyDescent="0.2"/>
    <row r="54121" hidden="1" x14ac:dyDescent="0.2"/>
    <row r="54122" hidden="1" x14ac:dyDescent="0.2"/>
    <row r="54123" hidden="1" x14ac:dyDescent="0.2"/>
    <row r="54124" hidden="1" x14ac:dyDescent="0.2"/>
    <row r="54125" hidden="1" x14ac:dyDescent="0.2"/>
    <row r="54126" hidden="1" x14ac:dyDescent="0.2"/>
    <row r="54127" hidden="1" x14ac:dyDescent="0.2"/>
    <row r="54128" hidden="1" x14ac:dyDescent="0.2"/>
    <row r="54129" hidden="1" x14ac:dyDescent="0.2"/>
    <row r="54130" hidden="1" x14ac:dyDescent="0.2"/>
    <row r="54131" hidden="1" x14ac:dyDescent="0.2"/>
    <row r="54132" hidden="1" x14ac:dyDescent="0.2"/>
    <row r="54133" hidden="1" x14ac:dyDescent="0.2"/>
    <row r="54134" hidden="1" x14ac:dyDescent="0.2"/>
    <row r="54135" hidden="1" x14ac:dyDescent="0.2"/>
    <row r="54136" hidden="1" x14ac:dyDescent="0.2"/>
    <row r="54137" hidden="1" x14ac:dyDescent="0.2"/>
    <row r="54138" hidden="1" x14ac:dyDescent="0.2"/>
    <row r="54139" hidden="1" x14ac:dyDescent="0.2"/>
    <row r="54140" hidden="1" x14ac:dyDescent="0.2"/>
    <row r="54141" hidden="1" x14ac:dyDescent="0.2"/>
    <row r="54142" hidden="1" x14ac:dyDescent="0.2"/>
    <row r="54143" hidden="1" x14ac:dyDescent="0.2"/>
    <row r="54144" hidden="1" x14ac:dyDescent="0.2"/>
    <row r="54145" hidden="1" x14ac:dyDescent="0.2"/>
    <row r="54146" hidden="1" x14ac:dyDescent="0.2"/>
    <row r="54147" hidden="1" x14ac:dyDescent="0.2"/>
    <row r="54148" hidden="1" x14ac:dyDescent="0.2"/>
    <row r="54149" hidden="1" x14ac:dyDescent="0.2"/>
    <row r="54150" hidden="1" x14ac:dyDescent="0.2"/>
    <row r="54151" hidden="1" x14ac:dyDescent="0.2"/>
    <row r="54152" hidden="1" x14ac:dyDescent="0.2"/>
    <row r="54153" hidden="1" x14ac:dyDescent="0.2"/>
    <row r="54154" hidden="1" x14ac:dyDescent="0.2"/>
    <row r="54155" hidden="1" x14ac:dyDescent="0.2"/>
    <row r="54156" hidden="1" x14ac:dyDescent="0.2"/>
    <row r="54157" hidden="1" x14ac:dyDescent="0.2"/>
    <row r="54158" hidden="1" x14ac:dyDescent="0.2"/>
    <row r="54159" hidden="1" x14ac:dyDescent="0.2"/>
    <row r="54160" hidden="1" x14ac:dyDescent="0.2"/>
    <row r="54161" hidden="1" x14ac:dyDescent="0.2"/>
    <row r="54162" hidden="1" x14ac:dyDescent="0.2"/>
    <row r="54163" hidden="1" x14ac:dyDescent="0.2"/>
    <row r="54164" hidden="1" x14ac:dyDescent="0.2"/>
    <row r="54165" hidden="1" x14ac:dyDescent="0.2"/>
    <row r="54166" hidden="1" x14ac:dyDescent="0.2"/>
    <row r="54167" hidden="1" x14ac:dyDescent="0.2"/>
    <row r="54168" hidden="1" x14ac:dyDescent="0.2"/>
    <row r="54169" hidden="1" x14ac:dyDescent="0.2"/>
    <row r="54170" hidden="1" x14ac:dyDescent="0.2"/>
    <row r="54171" hidden="1" x14ac:dyDescent="0.2"/>
    <row r="54172" hidden="1" x14ac:dyDescent="0.2"/>
    <row r="54173" hidden="1" x14ac:dyDescent="0.2"/>
    <row r="54174" hidden="1" x14ac:dyDescent="0.2"/>
    <row r="54175" hidden="1" x14ac:dyDescent="0.2"/>
    <row r="54176" hidden="1" x14ac:dyDescent="0.2"/>
    <row r="54177" hidden="1" x14ac:dyDescent="0.2"/>
    <row r="54178" hidden="1" x14ac:dyDescent="0.2"/>
    <row r="54179" hidden="1" x14ac:dyDescent="0.2"/>
    <row r="54180" hidden="1" x14ac:dyDescent="0.2"/>
    <row r="54181" hidden="1" x14ac:dyDescent="0.2"/>
    <row r="54182" hidden="1" x14ac:dyDescent="0.2"/>
    <row r="54183" hidden="1" x14ac:dyDescent="0.2"/>
    <row r="54184" hidden="1" x14ac:dyDescent="0.2"/>
    <row r="54185" hidden="1" x14ac:dyDescent="0.2"/>
    <row r="54186" hidden="1" x14ac:dyDescent="0.2"/>
    <row r="54187" hidden="1" x14ac:dyDescent="0.2"/>
    <row r="54188" hidden="1" x14ac:dyDescent="0.2"/>
    <row r="54189" hidden="1" x14ac:dyDescent="0.2"/>
    <row r="54190" hidden="1" x14ac:dyDescent="0.2"/>
    <row r="54191" hidden="1" x14ac:dyDescent="0.2"/>
    <row r="54192" hidden="1" x14ac:dyDescent="0.2"/>
    <row r="54193" hidden="1" x14ac:dyDescent="0.2"/>
    <row r="54194" hidden="1" x14ac:dyDescent="0.2"/>
    <row r="54195" hidden="1" x14ac:dyDescent="0.2"/>
    <row r="54196" hidden="1" x14ac:dyDescent="0.2"/>
    <row r="54197" hidden="1" x14ac:dyDescent="0.2"/>
    <row r="54198" hidden="1" x14ac:dyDescent="0.2"/>
    <row r="54199" hidden="1" x14ac:dyDescent="0.2"/>
    <row r="54200" hidden="1" x14ac:dyDescent="0.2"/>
    <row r="54201" hidden="1" x14ac:dyDescent="0.2"/>
    <row r="54202" hidden="1" x14ac:dyDescent="0.2"/>
    <row r="54203" hidden="1" x14ac:dyDescent="0.2"/>
    <row r="54204" hidden="1" x14ac:dyDescent="0.2"/>
    <row r="54205" hidden="1" x14ac:dyDescent="0.2"/>
    <row r="54206" hidden="1" x14ac:dyDescent="0.2"/>
    <row r="54207" hidden="1" x14ac:dyDescent="0.2"/>
    <row r="54208" hidden="1" x14ac:dyDescent="0.2"/>
    <row r="54209" hidden="1" x14ac:dyDescent="0.2"/>
    <row r="54210" hidden="1" x14ac:dyDescent="0.2"/>
    <row r="54211" hidden="1" x14ac:dyDescent="0.2"/>
    <row r="54212" hidden="1" x14ac:dyDescent="0.2"/>
    <row r="54213" hidden="1" x14ac:dyDescent="0.2"/>
    <row r="54214" hidden="1" x14ac:dyDescent="0.2"/>
    <row r="54215" hidden="1" x14ac:dyDescent="0.2"/>
    <row r="54216" hidden="1" x14ac:dyDescent="0.2"/>
    <row r="54217" hidden="1" x14ac:dyDescent="0.2"/>
    <row r="54218" hidden="1" x14ac:dyDescent="0.2"/>
    <row r="54219" hidden="1" x14ac:dyDescent="0.2"/>
    <row r="54220" hidden="1" x14ac:dyDescent="0.2"/>
    <row r="54221" hidden="1" x14ac:dyDescent="0.2"/>
    <row r="54222" hidden="1" x14ac:dyDescent="0.2"/>
    <row r="54223" hidden="1" x14ac:dyDescent="0.2"/>
    <row r="54224" hidden="1" x14ac:dyDescent="0.2"/>
    <row r="54225" hidden="1" x14ac:dyDescent="0.2"/>
    <row r="54226" hidden="1" x14ac:dyDescent="0.2"/>
    <row r="54227" hidden="1" x14ac:dyDescent="0.2"/>
    <row r="54228" hidden="1" x14ac:dyDescent="0.2"/>
    <row r="54229" hidden="1" x14ac:dyDescent="0.2"/>
    <row r="54230" hidden="1" x14ac:dyDescent="0.2"/>
    <row r="54231" hidden="1" x14ac:dyDescent="0.2"/>
    <row r="54232" hidden="1" x14ac:dyDescent="0.2"/>
    <row r="54233" hidden="1" x14ac:dyDescent="0.2"/>
    <row r="54234" hidden="1" x14ac:dyDescent="0.2"/>
    <row r="54235" hidden="1" x14ac:dyDescent="0.2"/>
    <row r="54236" hidden="1" x14ac:dyDescent="0.2"/>
    <row r="54237" hidden="1" x14ac:dyDescent="0.2"/>
    <row r="54238" hidden="1" x14ac:dyDescent="0.2"/>
    <row r="54239" hidden="1" x14ac:dyDescent="0.2"/>
    <row r="54240" hidden="1" x14ac:dyDescent="0.2"/>
    <row r="54241" hidden="1" x14ac:dyDescent="0.2"/>
    <row r="54242" hidden="1" x14ac:dyDescent="0.2"/>
    <row r="54243" hidden="1" x14ac:dyDescent="0.2"/>
    <row r="54244" hidden="1" x14ac:dyDescent="0.2"/>
    <row r="54245" hidden="1" x14ac:dyDescent="0.2"/>
    <row r="54246" hidden="1" x14ac:dyDescent="0.2"/>
    <row r="54247" hidden="1" x14ac:dyDescent="0.2"/>
    <row r="54248" hidden="1" x14ac:dyDescent="0.2"/>
    <row r="54249" hidden="1" x14ac:dyDescent="0.2"/>
    <row r="54250" hidden="1" x14ac:dyDescent="0.2"/>
    <row r="54251" hidden="1" x14ac:dyDescent="0.2"/>
    <row r="54252" hidden="1" x14ac:dyDescent="0.2"/>
    <row r="54253" hidden="1" x14ac:dyDescent="0.2"/>
    <row r="54254" hidden="1" x14ac:dyDescent="0.2"/>
    <row r="54255" hidden="1" x14ac:dyDescent="0.2"/>
    <row r="54256" hidden="1" x14ac:dyDescent="0.2"/>
    <row r="54257" hidden="1" x14ac:dyDescent="0.2"/>
    <row r="54258" hidden="1" x14ac:dyDescent="0.2"/>
    <row r="54259" hidden="1" x14ac:dyDescent="0.2"/>
    <row r="54260" hidden="1" x14ac:dyDescent="0.2"/>
    <row r="54261" hidden="1" x14ac:dyDescent="0.2"/>
    <row r="54262" hidden="1" x14ac:dyDescent="0.2"/>
    <row r="54263" hidden="1" x14ac:dyDescent="0.2"/>
    <row r="54264" hidden="1" x14ac:dyDescent="0.2"/>
    <row r="54265" hidden="1" x14ac:dyDescent="0.2"/>
    <row r="54266" hidden="1" x14ac:dyDescent="0.2"/>
    <row r="54267" hidden="1" x14ac:dyDescent="0.2"/>
    <row r="54268" hidden="1" x14ac:dyDescent="0.2"/>
    <row r="54269" hidden="1" x14ac:dyDescent="0.2"/>
    <row r="54270" hidden="1" x14ac:dyDescent="0.2"/>
    <row r="54271" hidden="1" x14ac:dyDescent="0.2"/>
    <row r="54272" hidden="1" x14ac:dyDescent="0.2"/>
    <row r="54273" hidden="1" x14ac:dyDescent="0.2"/>
    <row r="54274" hidden="1" x14ac:dyDescent="0.2"/>
    <row r="54275" hidden="1" x14ac:dyDescent="0.2"/>
    <row r="54276" hidden="1" x14ac:dyDescent="0.2"/>
    <row r="54277" hidden="1" x14ac:dyDescent="0.2"/>
    <row r="54278" hidden="1" x14ac:dyDescent="0.2"/>
    <row r="54279" hidden="1" x14ac:dyDescent="0.2"/>
    <row r="54280" hidden="1" x14ac:dyDescent="0.2"/>
    <row r="54281" hidden="1" x14ac:dyDescent="0.2"/>
    <row r="54282" hidden="1" x14ac:dyDescent="0.2"/>
    <row r="54283" hidden="1" x14ac:dyDescent="0.2"/>
    <row r="54284" hidden="1" x14ac:dyDescent="0.2"/>
    <row r="54285" hidden="1" x14ac:dyDescent="0.2"/>
    <row r="54286" hidden="1" x14ac:dyDescent="0.2"/>
    <row r="54287" hidden="1" x14ac:dyDescent="0.2"/>
    <row r="54288" hidden="1" x14ac:dyDescent="0.2"/>
    <row r="54289" hidden="1" x14ac:dyDescent="0.2"/>
    <row r="54290" hidden="1" x14ac:dyDescent="0.2"/>
    <row r="54291" hidden="1" x14ac:dyDescent="0.2"/>
    <row r="54292" hidden="1" x14ac:dyDescent="0.2"/>
    <row r="54293" hidden="1" x14ac:dyDescent="0.2"/>
    <row r="54294" hidden="1" x14ac:dyDescent="0.2"/>
    <row r="54295" hidden="1" x14ac:dyDescent="0.2"/>
    <row r="54296" hidden="1" x14ac:dyDescent="0.2"/>
    <row r="54297" hidden="1" x14ac:dyDescent="0.2"/>
    <row r="54298" hidden="1" x14ac:dyDescent="0.2"/>
    <row r="54299" hidden="1" x14ac:dyDescent="0.2"/>
    <row r="54300" hidden="1" x14ac:dyDescent="0.2"/>
    <row r="54301" hidden="1" x14ac:dyDescent="0.2"/>
    <row r="54302" hidden="1" x14ac:dyDescent="0.2"/>
    <row r="54303" hidden="1" x14ac:dyDescent="0.2"/>
    <row r="54304" hidden="1" x14ac:dyDescent="0.2"/>
    <row r="54305" hidden="1" x14ac:dyDescent="0.2"/>
    <row r="54306" hidden="1" x14ac:dyDescent="0.2"/>
    <row r="54307" hidden="1" x14ac:dyDescent="0.2"/>
    <row r="54308" hidden="1" x14ac:dyDescent="0.2"/>
    <row r="54309" hidden="1" x14ac:dyDescent="0.2"/>
    <row r="54310" hidden="1" x14ac:dyDescent="0.2"/>
    <row r="54311" hidden="1" x14ac:dyDescent="0.2"/>
    <row r="54312" hidden="1" x14ac:dyDescent="0.2"/>
    <row r="54313" hidden="1" x14ac:dyDescent="0.2"/>
    <row r="54314" hidden="1" x14ac:dyDescent="0.2"/>
    <row r="54315" hidden="1" x14ac:dyDescent="0.2"/>
    <row r="54316" hidden="1" x14ac:dyDescent="0.2"/>
    <row r="54317" hidden="1" x14ac:dyDescent="0.2"/>
    <row r="54318" hidden="1" x14ac:dyDescent="0.2"/>
    <row r="54319" hidden="1" x14ac:dyDescent="0.2"/>
    <row r="54320" hidden="1" x14ac:dyDescent="0.2"/>
    <row r="54321" hidden="1" x14ac:dyDescent="0.2"/>
    <row r="54322" hidden="1" x14ac:dyDescent="0.2"/>
    <row r="54323" hidden="1" x14ac:dyDescent="0.2"/>
    <row r="54324" hidden="1" x14ac:dyDescent="0.2"/>
    <row r="54325" hidden="1" x14ac:dyDescent="0.2"/>
    <row r="54326" hidden="1" x14ac:dyDescent="0.2"/>
    <row r="54327" hidden="1" x14ac:dyDescent="0.2"/>
    <row r="54328" hidden="1" x14ac:dyDescent="0.2"/>
    <row r="54329" hidden="1" x14ac:dyDescent="0.2"/>
    <row r="54330" hidden="1" x14ac:dyDescent="0.2"/>
    <row r="54331" hidden="1" x14ac:dyDescent="0.2"/>
    <row r="54332" hidden="1" x14ac:dyDescent="0.2"/>
    <row r="54333" hidden="1" x14ac:dyDescent="0.2"/>
    <row r="54334" hidden="1" x14ac:dyDescent="0.2"/>
    <row r="54335" hidden="1" x14ac:dyDescent="0.2"/>
    <row r="54336" hidden="1" x14ac:dyDescent="0.2"/>
    <row r="54337" hidden="1" x14ac:dyDescent="0.2"/>
    <row r="54338" hidden="1" x14ac:dyDescent="0.2"/>
    <row r="54339" hidden="1" x14ac:dyDescent="0.2"/>
    <row r="54340" hidden="1" x14ac:dyDescent="0.2"/>
    <row r="54341" hidden="1" x14ac:dyDescent="0.2"/>
    <row r="54342" hidden="1" x14ac:dyDescent="0.2"/>
    <row r="54343" hidden="1" x14ac:dyDescent="0.2"/>
    <row r="54344" hidden="1" x14ac:dyDescent="0.2"/>
    <row r="54345" hidden="1" x14ac:dyDescent="0.2"/>
    <row r="54346" hidden="1" x14ac:dyDescent="0.2"/>
    <row r="54347" hidden="1" x14ac:dyDescent="0.2"/>
    <row r="54348" hidden="1" x14ac:dyDescent="0.2"/>
    <row r="54349" hidden="1" x14ac:dyDescent="0.2"/>
    <row r="54350" hidden="1" x14ac:dyDescent="0.2"/>
    <row r="54351" hidden="1" x14ac:dyDescent="0.2"/>
    <row r="54352" hidden="1" x14ac:dyDescent="0.2"/>
    <row r="54353" hidden="1" x14ac:dyDescent="0.2"/>
    <row r="54354" hidden="1" x14ac:dyDescent="0.2"/>
    <row r="54355" hidden="1" x14ac:dyDescent="0.2"/>
    <row r="54356" hidden="1" x14ac:dyDescent="0.2"/>
    <row r="54357" hidden="1" x14ac:dyDescent="0.2"/>
    <row r="54358" hidden="1" x14ac:dyDescent="0.2"/>
    <row r="54359" hidden="1" x14ac:dyDescent="0.2"/>
    <row r="54360" hidden="1" x14ac:dyDescent="0.2"/>
    <row r="54361" hidden="1" x14ac:dyDescent="0.2"/>
    <row r="54362" hidden="1" x14ac:dyDescent="0.2"/>
    <row r="54363" hidden="1" x14ac:dyDescent="0.2"/>
    <row r="54364" hidden="1" x14ac:dyDescent="0.2"/>
    <row r="54365" hidden="1" x14ac:dyDescent="0.2"/>
    <row r="54366" hidden="1" x14ac:dyDescent="0.2"/>
    <row r="54367" hidden="1" x14ac:dyDescent="0.2"/>
    <row r="54368" hidden="1" x14ac:dyDescent="0.2"/>
    <row r="54369" hidden="1" x14ac:dyDescent="0.2"/>
    <row r="54370" hidden="1" x14ac:dyDescent="0.2"/>
    <row r="54371" hidden="1" x14ac:dyDescent="0.2"/>
    <row r="54372" hidden="1" x14ac:dyDescent="0.2"/>
    <row r="54373" hidden="1" x14ac:dyDescent="0.2"/>
    <row r="54374" hidden="1" x14ac:dyDescent="0.2"/>
    <row r="54375" hidden="1" x14ac:dyDescent="0.2"/>
    <row r="54376" hidden="1" x14ac:dyDescent="0.2"/>
    <row r="54377" hidden="1" x14ac:dyDescent="0.2"/>
    <row r="54378" hidden="1" x14ac:dyDescent="0.2"/>
    <row r="54379" hidden="1" x14ac:dyDescent="0.2"/>
    <row r="54380" hidden="1" x14ac:dyDescent="0.2"/>
    <row r="54381" hidden="1" x14ac:dyDescent="0.2"/>
    <row r="54382" hidden="1" x14ac:dyDescent="0.2"/>
    <row r="54383" hidden="1" x14ac:dyDescent="0.2"/>
    <row r="54384" hidden="1" x14ac:dyDescent="0.2"/>
    <row r="54385" hidden="1" x14ac:dyDescent="0.2"/>
    <row r="54386" hidden="1" x14ac:dyDescent="0.2"/>
    <row r="54387" hidden="1" x14ac:dyDescent="0.2"/>
    <row r="54388" hidden="1" x14ac:dyDescent="0.2"/>
    <row r="54389" hidden="1" x14ac:dyDescent="0.2"/>
    <row r="54390" hidden="1" x14ac:dyDescent="0.2"/>
    <row r="54391" hidden="1" x14ac:dyDescent="0.2"/>
    <row r="54392" hidden="1" x14ac:dyDescent="0.2"/>
    <row r="54393" hidden="1" x14ac:dyDescent="0.2"/>
    <row r="54394" hidden="1" x14ac:dyDescent="0.2"/>
    <row r="54395" hidden="1" x14ac:dyDescent="0.2"/>
    <row r="54396" hidden="1" x14ac:dyDescent="0.2"/>
    <row r="54397" hidden="1" x14ac:dyDescent="0.2"/>
    <row r="54398" hidden="1" x14ac:dyDescent="0.2"/>
    <row r="54399" hidden="1" x14ac:dyDescent="0.2"/>
    <row r="54400" hidden="1" x14ac:dyDescent="0.2"/>
    <row r="54401" hidden="1" x14ac:dyDescent="0.2"/>
    <row r="54402" hidden="1" x14ac:dyDescent="0.2"/>
    <row r="54403" hidden="1" x14ac:dyDescent="0.2"/>
    <row r="54404" hidden="1" x14ac:dyDescent="0.2"/>
    <row r="54405" hidden="1" x14ac:dyDescent="0.2"/>
    <row r="54406" hidden="1" x14ac:dyDescent="0.2"/>
    <row r="54407" hidden="1" x14ac:dyDescent="0.2"/>
    <row r="54408" hidden="1" x14ac:dyDescent="0.2"/>
    <row r="54409" hidden="1" x14ac:dyDescent="0.2"/>
    <row r="54410" hidden="1" x14ac:dyDescent="0.2"/>
    <row r="54411" hidden="1" x14ac:dyDescent="0.2"/>
    <row r="54412" hidden="1" x14ac:dyDescent="0.2"/>
    <row r="54413" hidden="1" x14ac:dyDescent="0.2"/>
    <row r="54414" hidden="1" x14ac:dyDescent="0.2"/>
    <row r="54415" hidden="1" x14ac:dyDescent="0.2"/>
    <row r="54416" hidden="1" x14ac:dyDescent="0.2"/>
    <row r="54417" hidden="1" x14ac:dyDescent="0.2"/>
    <row r="54418" hidden="1" x14ac:dyDescent="0.2"/>
    <row r="54419" hidden="1" x14ac:dyDescent="0.2"/>
    <row r="54420" hidden="1" x14ac:dyDescent="0.2"/>
    <row r="54421" hidden="1" x14ac:dyDescent="0.2"/>
    <row r="54422" hidden="1" x14ac:dyDescent="0.2"/>
    <row r="54423" hidden="1" x14ac:dyDescent="0.2"/>
    <row r="54424" hidden="1" x14ac:dyDescent="0.2"/>
    <row r="54425" hidden="1" x14ac:dyDescent="0.2"/>
    <row r="54426" hidden="1" x14ac:dyDescent="0.2"/>
    <row r="54427" hidden="1" x14ac:dyDescent="0.2"/>
    <row r="54428" hidden="1" x14ac:dyDescent="0.2"/>
    <row r="54429" hidden="1" x14ac:dyDescent="0.2"/>
    <row r="54430" hidden="1" x14ac:dyDescent="0.2"/>
    <row r="54431" hidden="1" x14ac:dyDescent="0.2"/>
    <row r="54432" hidden="1" x14ac:dyDescent="0.2"/>
    <row r="54433" hidden="1" x14ac:dyDescent="0.2"/>
    <row r="54434" hidden="1" x14ac:dyDescent="0.2"/>
    <row r="54435" hidden="1" x14ac:dyDescent="0.2"/>
    <row r="54436" hidden="1" x14ac:dyDescent="0.2"/>
    <row r="54437" hidden="1" x14ac:dyDescent="0.2"/>
    <row r="54438" hidden="1" x14ac:dyDescent="0.2"/>
    <row r="54439" hidden="1" x14ac:dyDescent="0.2"/>
    <row r="54440" hidden="1" x14ac:dyDescent="0.2"/>
    <row r="54441" hidden="1" x14ac:dyDescent="0.2"/>
    <row r="54442" hidden="1" x14ac:dyDescent="0.2"/>
    <row r="54443" hidden="1" x14ac:dyDescent="0.2"/>
    <row r="54444" hidden="1" x14ac:dyDescent="0.2"/>
    <row r="54445" hidden="1" x14ac:dyDescent="0.2"/>
    <row r="54446" hidden="1" x14ac:dyDescent="0.2"/>
    <row r="54447" hidden="1" x14ac:dyDescent="0.2"/>
    <row r="54448" hidden="1" x14ac:dyDescent="0.2"/>
    <row r="54449" hidden="1" x14ac:dyDescent="0.2"/>
    <row r="54450" hidden="1" x14ac:dyDescent="0.2"/>
    <row r="54451" hidden="1" x14ac:dyDescent="0.2"/>
    <row r="54452" hidden="1" x14ac:dyDescent="0.2"/>
    <row r="54453" hidden="1" x14ac:dyDescent="0.2"/>
    <row r="54454" hidden="1" x14ac:dyDescent="0.2"/>
    <row r="54455" hidden="1" x14ac:dyDescent="0.2"/>
    <row r="54456" hidden="1" x14ac:dyDescent="0.2"/>
    <row r="54457" hidden="1" x14ac:dyDescent="0.2"/>
    <row r="54458" hidden="1" x14ac:dyDescent="0.2"/>
    <row r="54459" hidden="1" x14ac:dyDescent="0.2"/>
    <row r="54460" hidden="1" x14ac:dyDescent="0.2"/>
    <row r="54461" hidden="1" x14ac:dyDescent="0.2"/>
    <row r="54462" hidden="1" x14ac:dyDescent="0.2"/>
    <row r="54463" hidden="1" x14ac:dyDescent="0.2"/>
    <row r="54464" hidden="1" x14ac:dyDescent="0.2"/>
    <row r="54465" hidden="1" x14ac:dyDescent="0.2"/>
    <row r="54466" hidden="1" x14ac:dyDescent="0.2"/>
    <row r="54467" hidden="1" x14ac:dyDescent="0.2"/>
    <row r="54468" hidden="1" x14ac:dyDescent="0.2"/>
    <row r="54469" hidden="1" x14ac:dyDescent="0.2"/>
    <row r="54470" hidden="1" x14ac:dyDescent="0.2"/>
    <row r="54471" hidden="1" x14ac:dyDescent="0.2"/>
    <row r="54472" hidden="1" x14ac:dyDescent="0.2"/>
    <row r="54473" hidden="1" x14ac:dyDescent="0.2"/>
    <row r="54474" hidden="1" x14ac:dyDescent="0.2"/>
    <row r="54475" hidden="1" x14ac:dyDescent="0.2"/>
    <row r="54476" hidden="1" x14ac:dyDescent="0.2"/>
    <row r="54477" hidden="1" x14ac:dyDescent="0.2"/>
    <row r="54478" hidden="1" x14ac:dyDescent="0.2"/>
    <row r="54479" hidden="1" x14ac:dyDescent="0.2"/>
    <row r="54480" hidden="1" x14ac:dyDescent="0.2"/>
    <row r="54481" hidden="1" x14ac:dyDescent="0.2"/>
    <row r="54482" hidden="1" x14ac:dyDescent="0.2"/>
    <row r="54483" hidden="1" x14ac:dyDescent="0.2"/>
    <row r="54484" hidden="1" x14ac:dyDescent="0.2"/>
    <row r="54485" hidden="1" x14ac:dyDescent="0.2"/>
    <row r="54486" hidden="1" x14ac:dyDescent="0.2"/>
    <row r="54487" hidden="1" x14ac:dyDescent="0.2"/>
    <row r="54488" hidden="1" x14ac:dyDescent="0.2"/>
    <row r="54489" hidden="1" x14ac:dyDescent="0.2"/>
    <row r="54490" hidden="1" x14ac:dyDescent="0.2"/>
    <row r="54491" hidden="1" x14ac:dyDescent="0.2"/>
    <row r="54492" hidden="1" x14ac:dyDescent="0.2"/>
    <row r="54493" hidden="1" x14ac:dyDescent="0.2"/>
    <row r="54494" hidden="1" x14ac:dyDescent="0.2"/>
    <row r="54495" hidden="1" x14ac:dyDescent="0.2"/>
    <row r="54496" hidden="1" x14ac:dyDescent="0.2"/>
    <row r="54497" hidden="1" x14ac:dyDescent="0.2"/>
    <row r="54498" hidden="1" x14ac:dyDescent="0.2"/>
    <row r="54499" hidden="1" x14ac:dyDescent="0.2"/>
    <row r="54500" hidden="1" x14ac:dyDescent="0.2"/>
    <row r="54501" hidden="1" x14ac:dyDescent="0.2"/>
    <row r="54502" hidden="1" x14ac:dyDescent="0.2"/>
    <row r="54503" hidden="1" x14ac:dyDescent="0.2"/>
    <row r="54504" hidden="1" x14ac:dyDescent="0.2"/>
    <row r="54505" hidden="1" x14ac:dyDescent="0.2"/>
    <row r="54506" hidden="1" x14ac:dyDescent="0.2"/>
    <row r="54507" hidden="1" x14ac:dyDescent="0.2"/>
    <row r="54508" hidden="1" x14ac:dyDescent="0.2"/>
    <row r="54509" hidden="1" x14ac:dyDescent="0.2"/>
    <row r="54510" hidden="1" x14ac:dyDescent="0.2"/>
    <row r="54511" hidden="1" x14ac:dyDescent="0.2"/>
    <row r="54512" hidden="1" x14ac:dyDescent="0.2"/>
    <row r="54513" hidden="1" x14ac:dyDescent="0.2"/>
    <row r="54514" hidden="1" x14ac:dyDescent="0.2"/>
    <row r="54515" hidden="1" x14ac:dyDescent="0.2"/>
    <row r="54516" hidden="1" x14ac:dyDescent="0.2"/>
    <row r="54517" hidden="1" x14ac:dyDescent="0.2"/>
    <row r="54518" hidden="1" x14ac:dyDescent="0.2"/>
    <row r="54519" hidden="1" x14ac:dyDescent="0.2"/>
    <row r="54520" hidden="1" x14ac:dyDescent="0.2"/>
    <row r="54521" hidden="1" x14ac:dyDescent="0.2"/>
    <row r="54522" hidden="1" x14ac:dyDescent="0.2"/>
    <row r="54523" hidden="1" x14ac:dyDescent="0.2"/>
    <row r="54524" hidden="1" x14ac:dyDescent="0.2"/>
    <row r="54525" hidden="1" x14ac:dyDescent="0.2"/>
    <row r="54526" hidden="1" x14ac:dyDescent="0.2"/>
    <row r="54527" hidden="1" x14ac:dyDescent="0.2"/>
    <row r="54528" hidden="1" x14ac:dyDescent="0.2"/>
    <row r="54529" hidden="1" x14ac:dyDescent="0.2"/>
    <row r="54530" hidden="1" x14ac:dyDescent="0.2"/>
    <row r="54531" hidden="1" x14ac:dyDescent="0.2"/>
    <row r="54532" hidden="1" x14ac:dyDescent="0.2"/>
    <row r="54533" hidden="1" x14ac:dyDescent="0.2"/>
    <row r="54534" hidden="1" x14ac:dyDescent="0.2"/>
    <row r="54535" hidden="1" x14ac:dyDescent="0.2"/>
    <row r="54536" hidden="1" x14ac:dyDescent="0.2"/>
    <row r="54537" hidden="1" x14ac:dyDescent="0.2"/>
    <row r="54538" hidden="1" x14ac:dyDescent="0.2"/>
    <row r="54539" hidden="1" x14ac:dyDescent="0.2"/>
    <row r="54540" hidden="1" x14ac:dyDescent="0.2"/>
    <row r="54541" hidden="1" x14ac:dyDescent="0.2"/>
    <row r="54542" hidden="1" x14ac:dyDescent="0.2"/>
    <row r="54543" hidden="1" x14ac:dyDescent="0.2"/>
    <row r="54544" hidden="1" x14ac:dyDescent="0.2"/>
    <row r="54545" hidden="1" x14ac:dyDescent="0.2"/>
    <row r="54546" hidden="1" x14ac:dyDescent="0.2"/>
    <row r="54547" hidden="1" x14ac:dyDescent="0.2"/>
    <row r="54548" hidden="1" x14ac:dyDescent="0.2"/>
    <row r="54549" hidden="1" x14ac:dyDescent="0.2"/>
    <row r="54550" hidden="1" x14ac:dyDescent="0.2"/>
    <row r="54551" hidden="1" x14ac:dyDescent="0.2"/>
    <row r="54552" hidden="1" x14ac:dyDescent="0.2"/>
    <row r="54553" hidden="1" x14ac:dyDescent="0.2"/>
    <row r="54554" hidden="1" x14ac:dyDescent="0.2"/>
    <row r="54555" hidden="1" x14ac:dyDescent="0.2"/>
    <row r="54556" hidden="1" x14ac:dyDescent="0.2"/>
    <row r="54557" hidden="1" x14ac:dyDescent="0.2"/>
    <row r="54558" hidden="1" x14ac:dyDescent="0.2"/>
    <row r="54559" hidden="1" x14ac:dyDescent="0.2"/>
    <row r="54560" hidden="1" x14ac:dyDescent="0.2"/>
    <row r="54561" hidden="1" x14ac:dyDescent="0.2"/>
    <row r="54562" hidden="1" x14ac:dyDescent="0.2"/>
    <row r="54563" hidden="1" x14ac:dyDescent="0.2"/>
    <row r="54564" hidden="1" x14ac:dyDescent="0.2"/>
    <row r="54565" hidden="1" x14ac:dyDescent="0.2"/>
    <row r="54566" hidden="1" x14ac:dyDescent="0.2"/>
    <row r="54567" hidden="1" x14ac:dyDescent="0.2"/>
    <row r="54568" hidden="1" x14ac:dyDescent="0.2"/>
    <row r="54569" hidden="1" x14ac:dyDescent="0.2"/>
    <row r="54570" hidden="1" x14ac:dyDescent="0.2"/>
    <row r="54571" hidden="1" x14ac:dyDescent="0.2"/>
    <row r="54572" hidden="1" x14ac:dyDescent="0.2"/>
    <row r="54573" hidden="1" x14ac:dyDescent="0.2"/>
    <row r="54574" hidden="1" x14ac:dyDescent="0.2"/>
    <row r="54575" hidden="1" x14ac:dyDescent="0.2"/>
    <row r="54576" hidden="1" x14ac:dyDescent="0.2"/>
    <row r="54577" hidden="1" x14ac:dyDescent="0.2"/>
    <row r="54578" hidden="1" x14ac:dyDescent="0.2"/>
    <row r="54579" hidden="1" x14ac:dyDescent="0.2"/>
    <row r="54580" hidden="1" x14ac:dyDescent="0.2"/>
    <row r="54581" hidden="1" x14ac:dyDescent="0.2"/>
    <row r="54582" hidden="1" x14ac:dyDescent="0.2"/>
    <row r="54583" hidden="1" x14ac:dyDescent="0.2"/>
    <row r="54584" hidden="1" x14ac:dyDescent="0.2"/>
    <row r="54585" hidden="1" x14ac:dyDescent="0.2"/>
    <row r="54586" hidden="1" x14ac:dyDescent="0.2"/>
    <row r="54587" hidden="1" x14ac:dyDescent="0.2"/>
    <row r="54588" hidden="1" x14ac:dyDescent="0.2"/>
    <row r="54589" hidden="1" x14ac:dyDescent="0.2"/>
    <row r="54590" hidden="1" x14ac:dyDescent="0.2"/>
    <row r="54591" hidden="1" x14ac:dyDescent="0.2"/>
    <row r="54592" hidden="1" x14ac:dyDescent="0.2"/>
    <row r="54593" hidden="1" x14ac:dyDescent="0.2"/>
    <row r="54594" hidden="1" x14ac:dyDescent="0.2"/>
    <row r="54595" hidden="1" x14ac:dyDescent="0.2"/>
    <row r="54596" hidden="1" x14ac:dyDescent="0.2"/>
    <row r="54597" hidden="1" x14ac:dyDescent="0.2"/>
    <row r="54598" hidden="1" x14ac:dyDescent="0.2"/>
    <row r="54599" hidden="1" x14ac:dyDescent="0.2"/>
    <row r="54600" hidden="1" x14ac:dyDescent="0.2"/>
    <row r="54601" hidden="1" x14ac:dyDescent="0.2"/>
    <row r="54602" hidden="1" x14ac:dyDescent="0.2"/>
    <row r="54603" hidden="1" x14ac:dyDescent="0.2"/>
    <row r="54604" hidden="1" x14ac:dyDescent="0.2"/>
    <row r="54605" hidden="1" x14ac:dyDescent="0.2"/>
    <row r="54606" hidden="1" x14ac:dyDescent="0.2"/>
    <row r="54607" hidden="1" x14ac:dyDescent="0.2"/>
    <row r="54608" hidden="1" x14ac:dyDescent="0.2"/>
    <row r="54609" hidden="1" x14ac:dyDescent="0.2"/>
    <row r="54610" hidden="1" x14ac:dyDescent="0.2"/>
    <row r="54611" hidden="1" x14ac:dyDescent="0.2"/>
    <row r="54612" hidden="1" x14ac:dyDescent="0.2"/>
    <row r="54613" hidden="1" x14ac:dyDescent="0.2"/>
    <row r="54614" hidden="1" x14ac:dyDescent="0.2"/>
    <row r="54615" hidden="1" x14ac:dyDescent="0.2"/>
    <row r="54616" hidden="1" x14ac:dyDescent="0.2"/>
    <row r="54617" hidden="1" x14ac:dyDescent="0.2"/>
    <row r="54618" hidden="1" x14ac:dyDescent="0.2"/>
    <row r="54619" hidden="1" x14ac:dyDescent="0.2"/>
    <row r="54620" hidden="1" x14ac:dyDescent="0.2"/>
    <row r="54621" hidden="1" x14ac:dyDescent="0.2"/>
    <row r="54622" hidden="1" x14ac:dyDescent="0.2"/>
    <row r="54623" hidden="1" x14ac:dyDescent="0.2"/>
    <row r="54624" hidden="1" x14ac:dyDescent="0.2"/>
    <row r="54625" hidden="1" x14ac:dyDescent="0.2"/>
    <row r="54626" hidden="1" x14ac:dyDescent="0.2"/>
    <row r="54627" hidden="1" x14ac:dyDescent="0.2"/>
    <row r="54628" hidden="1" x14ac:dyDescent="0.2"/>
    <row r="54629" hidden="1" x14ac:dyDescent="0.2"/>
    <row r="54630" hidden="1" x14ac:dyDescent="0.2"/>
    <row r="54631" hidden="1" x14ac:dyDescent="0.2"/>
    <row r="54632" hidden="1" x14ac:dyDescent="0.2"/>
    <row r="54633" hidden="1" x14ac:dyDescent="0.2"/>
    <row r="54634" hidden="1" x14ac:dyDescent="0.2"/>
    <row r="54635" hidden="1" x14ac:dyDescent="0.2"/>
    <row r="54636" hidden="1" x14ac:dyDescent="0.2"/>
    <row r="54637" hidden="1" x14ac:dyDescent="0.2"/>
    <row r="54638" hidden="1" x14ac:dyDescent="0.2"/>
    <row r="54639" hidden="1" x14ac:dyDescent="0.2"/>
    <row r="54640" hidden="1" x14ac:dyDescent="0.2"/>
    <row r="54641" hidden="1" x14ac:dyDescent="0.2"/>
    <row r="54642" hidden="1" x14ac:dyDescent="0.2"/>
    <row r="54643" hidden="1" x14ac:dyDescent="0.2"/>
    <row r="54644" hidden="1" x14ac:dyDescent="0.2"/>
    <row r="54645" hidden="1" x14ac:dyDescent="0.2"/>
    <row r="54646" hidden="1" x14ac:dyDescent="0.2"/>
    <row r="54647" hidden="1" x14ac:dyDescent="0.2"/>
    <row r="54648" hidden="1" x14ac:dyDescent="0.2"/>
    <row r="54649" hidden="1" x14ac:dyDescent="0.2"/>
    <row r="54650" hidden="1" x14ac:dyDescent="0.2"/>
    <row r="54651" hidden="1" x14ac:dyDescent="0.2"/>
    <row r="54652" hidden="1" x14ac:dyDescent="0.2"/>
    <row r="54653" hidden="1" x14ac:dyDescent="0.2"/>
    <row r="54654" hidden="1" x14ac:dyDescent="0.2"/>
    <row r="54655" hidden="1" x14ac:dyDescent="0.2"/>
    <row r="54656" hidden="1" x14ac:dyDescent="0.2"/>
    <row r="54657" hidden="1" x14ac:dyDescent="0.2"/>
    <row r="54658" hidden="1" x14ac:dyDescent="0.2"/>
    <row r="54659" hidden="1" x14ac:dyDescent="0.2"/>
    <row r="54660" hidden="1" x14ac:dyDescent="0.2"/>
    <row r="54661" hidden="1" x14ac:dyDescent="0.2"/>
    <row r="54662" hidden="1" x14ac:dyDescent="0.2"/>
    <row r="54663" hidden="1" x14ac:dyDescent="0.2"/>
    <row r="54664" hidden="1" x14ac:dyDescent="0.2"/>
    <row r="54665" hidden="1" x14ac:dyDescent="0.2"/>
    <row r="54666" hidden="1" x14ac:dyDescent="0.2"/>
    <row r="54667" hidden="1" x14ac:dyDescent="0.2"/>
    <row r="54668" hidden="1" x14ac:dyDescent="0.2"/>
    <row r="54669" hidden="1" x14ac:dyDescent="0.2"/>
    <row r="54670" hidden="1" x14ac:dyDescent="0.2"/>
    <row r="54671" hidden="1" x14ac:dyDescent="0.2"/>
    <row r="54672" hidden="1" x14ac:dyDescent="0.2"/>
    <row r="54673" hidden="1" x14ac:dyDescent="0.2"/>
    <row r="54674" hidden="1" x14ac:dyDescent="0.2"/>
    <row r="54675" hidden="1" x14ac:dyDescent="0.2"/>
    <row r="54676" hidden="1" x14ac:dyDescent="0.2"/>
    <row r="54677" hidden="1" x14ac:dyDescent="0.2"/>
    <row r="54678" hidden="1" x14ac:dyDescent="0.2"/>
    <row r="54679" hidden="1" x14ac:dyDescent="0.2"/>
    <row r="54680" hidden="1" x14ac:dyDescent="0.2"/>
    <row r="54681" hidden="1" x14ac:dyDescent="0.2"/>
    <row r="54682" hidden="1" x14ac:dyDescent="0.2"/>
    <row r="54683" hidden="1" x14ac:dyDescent="0.2"/>
    <row r="54684" hidden="1" x14ac:dyDescent="0.2"/>
    <row r="54685" hidden="1" x14ac:dyDescent="0.2"/>
    <row r="54686" hidden="1" x14ac:dyDescent="0.2"/>
    <row r="54687" hidden="1" x14ac:dyDescent="0.2"/>
    <row r="54688" hidden="1" x14ac:dyDescent="0.2"/>
    <row r="54689" hidden="1" x14ac:dyDescent="0.2"/>
    <row r="54690" hidden="1" x14ac:dyDescent="0.2"/>
    <row r="54691" hidden="1" x14ac:dyDescent="0.2"/>
    <row r="54692" hidden="1" x14ac:dyDescent="0.2"/>
    <row r="54693" hidden="1" x14ac:dyDescent="0.2"/>
    <row r="54694" hidden="1" x14ac:dyDescent="0.2"/>
    <row r="54695" hidden="1" x14ac:dyDescent="0.2"/>
    <row r="54696" hidden="1" x14ac:dyDescent="0.2"/>
    <row r="54697" hidden="1" x14ac:dyDescent="0.2"/>
    <row r="54698" hidden="1" x14ac:dyDescent="0.2"/>
    <row r="54699" hidden="1" x14ac:dyDescent="0.2"/>
    <row r="54700" hidden="1" x14ac:dyDescent="0.2"/>
    <row r="54701" hidden="1" x14ac:dyDescent="0.2"/>
    <row r="54702" hidden="1" x14ac:dyDescent="0.2"/>
    <row r="54703" hidden="1" x14ac:dyDescent="0.2"/>
    <row r="54704" hidden="1" x14ac:dyDescent="0.2"/>
    <row r="54705" hidden="1" x14ac:dyDescent="0.2"/>
    <row r="54706" hidden="1" x14ac:dyDescent="0.2"/>
    <row r="54707" hidden="1" x14ac:dyDescent="0.2"/>
    <row r="54708" hidden="1" x14ac:dyDescent="0.2"/>
    <row r="54709" hidden="1" x14ac:dyDescent="0.2"/>
    <row r="54710" hidden="1" x14ac:dyDescent="0.2"/>
    <row r="54711" hidden="1" x14ac:dyDescent="0.2"/>
    <row r="54712" hidden="1" x14ac:dyDescent="0.2"/>
    <row r="54713" hidden="1" x14ac:dyDescent="0.2"/>
    <row r="54714" hidden="1" x14ac:dyDescent="0.2"/>
    <row r="54715" hidden="1" x14ac:dyDescent="0.2"/>
    <row r="54716" hidden="1" x14ac:dyDescent="0.2"/>
    <row r="54717" hidden="1" x14ac:dyDescent="0.2"/>
    <row r="54718" hidden="1" x14ac:dyDescent="0.2"/>
    <row r="54719" hidden="1" x14ac:dyDescent="0.2"/>
    <row r="54720" hidden="1" x14ac:dyDescent="0.2"/>
    <row r="54721" hidden="1" x14ac:dyDescent="0.2"/>
    <row r="54722" hidden="1" x14ac:dyDescent="0.2"/>
    <row r="54723" hidden="1" x14ac:dyDescent="0.2"/>
    <row r="54724" hidden="1" x14ac:dyDescent="0.2"/>
    <row r="54725" hidden="1" x14ac:dyDescent="0.2"/>
    <row r="54726" hidden="1" x14ac:dyDescent="0.2"/>
    <row r="54727" hidden="1" x14ac:dyDescent="0.2"/>
    <row r="54728" hidden="1" x14ac:dyDescent="0.2"/>
    <row r="54729" hidden="1" x14ac:dyDescent="0.2"/>
    <row r="54730" hidden="1" x14ac:dyDescent="0.2"/>
    <row r="54731" hidden="1" x14ac:dyDescent="0.2"/>
    <row r="54732" hidden="1" x14ac:dyDescent="0.2"/>
    <row r="54733" hidden="1" x14ac:dyDescent="0.2"/>
    <row r="54734" hidden="1" x14ac:dyDescent="0.2"/>
    <row r="54735" hidden="1" x14ac:dyDescent="0.2"/>
    <row r="54736" hidden="1" x14ac:dyDescent="0.2"/>
    <row r="54737" hidden="1" x14ac:dyDescent="0.2"/>
    <row r="54738" hidden="1" x14ac:dyDescent="0.2"/>
    <row r="54739" hidden="1" x14ac:dyDescent="0.2"/>
    <row r="54740" hidden="1" x14ac:dyDescent="0.2"/>
    <row r="54741" hidden="1" x14ac:dyDescent="0.2"/>
    <row r="54742" hidden="1" x14ac:dyDescent="0.2"/>
    <row r="54743" hidden="1" x14ac:dyDescent="0.2"/>
    <row r="54744" hidden="1" x14ac:dyDescent="0.2"/>
    <row r="54745" hidden="1" x14ac:dyDescent="0.2"/>
    <row r="54746" hidden="1" x14ac:dyDescent="0.2"/>
    <row r="54747" hidden="1" x14ac:dyDescent="0.2"/>
    <row r="54748" hidden="1" x14ac:dyDescent="0.2"/>
    <row r="54749" hidden="1" x14ac:dyDescent="0.2"/>
    <row r="54750" hidden="1" x14ac:dyDescent="0.2"/>
    <row r="54751" hidden="1" x14ac:dyDescent="0.2"/>
    <row r="54752" hidden="1" x14ac:dyDescent="0.2"/>
    <row r="54753" hidden="1" x14ac:dyDescent="0.2"/>
    <row r="54754" hidden="1" x14ac:dyDescent="0.2"/>
    <row r="54755" hidden="1" x14ac:dyDescent="0.2"/>
    <row r="54756" hidden="1" x14ac:dyDescent="0.2"/>
    <row r="54757" hidden="1" x14ac:dyDescent="0.2"/>
    <row r="54758" hidden="1" x14ac:dyDescent="0.2"/>
    <row r="54759" hidden="1" x14ac:dyDescent="0.2"/>
    <row r="54760" hidden="1" x14ac:dyDescent="0.2"/>
    <row r="54761" hidden="1" x14ac:dyDescent="0.2"/>
    <row r="54762" hidden="1" x14ac:dyDescent="0.2"/>
    <row r="54763" hidden="1" x14ac:dyDescent="0.2"/>
    <row r="54764" hidden="1" x14ac:dyDescent="0.2"/>
    <row r="54765" hidden="1" x14ac:dyDescent="0.2"/>
    <row r="54766" hidden="1" x14ac:dyDescent="0.2"/>
    <row r="54767" hidden="1" x14ac:dyDescent="0.2"/>
    <row r="54768" hidden="1" x14ac:dyDescent="0.2"/>
    <row r="54769" hidden="1" x14ac:dyDescent="0.2"/>
    <row r="54770" hidden="1" x14ac:dyDescent="0.2"/>
    <row r="54771" hidden="1" x14ac:dyDescent="0.2"/>
    <row r="54772" hidden="1" x14ac:dyDescent="0.2"/>
    <row r="54773" hidden="1" x14ac:dyDescent="0.2"/>
    <row r="54774" hidden="1" x14ac:dyDescent="0.2"/>
    <row r="54775" hidden="1" x14ac:dyDescent="0.2"/>
    <row r="54776" hidden="1" x14ac:dyDescent="0.2"/>
    <row r="54777" hidden="1" x14ac:dyDescent="0.2"/>
    <row r="54778" hidden="1" x14ac:dyDescent="0.2"/>
    <row r="54779" hidden="1" x14ac:dyDescent="0.2"/>
    <row r="54780" hidden="1" x14ac:dyDescent="0.2"/>
    <row r="54781" hidden="1" x14ac:dyDescent="0.2"/>
    <row r="54782" hidden="1" x14ac:dyDescent="0.2"/>
    <row r="54783" hidden="1" x14ac:dyDescent="0.2"/>
    <row r="54784" hidden="1" x14ac:dyDescent="0.2"/>
    <row r="54785" hidden="1" x14ac:dyDescent="0.2"/>
    <row r="54786" hidden="1" x14ac:dyDescent="0.2"/>
    <row r="54787" hidden="1" x14ac:dyDescent="0.2"/>
    <row r="54788" hidden="1" x14ac:dyDescent="0.2"/>
    <row r="54789" hidden="1" x14ac:dyDescent="0.2"/>
    <row r="54790" hidden="1" x14ac:dyDescent="0.2"/>
    <row r="54791" hidden="1" x14ac:dyDescent="0.2"/>
    <row r="54792" hidden="1" x14ac:dyDescent="0.2"/>
    <row r="54793" hidden="1" x14ac:dyDescent="0.2"/>
    <row r="54794" hidden="1" x14ac:dyDescent="0.2"/>
    <row r="54795" hidden="1" x14ac:dyDescent="0.2"/>
    <row r="54796" hidden="1" x14ac:dyDescent="0.2"/>
    <row r="54797" hidden="1" x14ac:dyDescent="0.2"/>
    <row r="54798" hidden="1" x14ac:dyDescent="0.2"/>
    <row r="54799" hidden="1" x14ac:dyDescent="0.2"/>
    <row r="54800" hidden="1" x14ac:dyDescent="0.2"/>
    <row r="54801" hidden="1" x14ac:dyDescent="0.2"/>
    <row r="54802" hidden="1" x14ac:dyDescent="0.2"/>
    <row r="54803" hidden="1" x14ac:dyDescent="0.2"/>
    <row r="54804" hidden="1" x14ac:dyDescent="0.2"/>
    <row r="54805" hidden="1" x14ac:dyDescent="0.2"/>
    <row r="54806" hidden="1" x14ac:dyDescent="0.2"/>
    <row r="54807" hidden="1" x14ac:dyDescent="0.2"/>
    <row r="54808" hidden="1" x14ac:dyDescent="0.2"/>
    <row r="54809" hidden="1" x14ac:dyDescent="0.2"/>
    <row r="54810" hidden="1" x14ac:dyDescent="0.2"/>
    <row r="54811" hidden="1" x14ac:dyDescent="0.2"/>
    <row r="54812" hidden="1" x14ac:dyDescent="0.2"/>
    <row r="54813" hidden="1" x14ac:dyDescent="0.2"/>
    <row r="54814" hidden="1" x14ac:dyDescent="0.2"/>
    <row r="54815" hidden="1" x14ac:dyDescent="0.2"/>
    <row r="54816" hidden="1" x14ac:dyDescent="0.2"/>
    <row r="54817" hidden="1" x14ac:dyDescent="0.2"/>
    <row r="54818" hidden="1" x14ac:dyDescent="0.2"/>
    <row r="54819" hidden="1" x14ac:dyDescent="0.2"/>
    <row r="54820" hidden="1" x14ac:dyDescent="0.2"/>
    <row r="54821" hidden="1" x14ac:dyDescent="0.2"/>
    <row r="54822" hidden="1" x14ac:dyDescent="0.2"/>
    <row r="54823" hidden="1" x14ac:dyDescent="0.2"/>
    <row r="54824" hidden="1" x14ac:dyDescent="0.2"/>
    <row r="54825" hidden="1" x14ac:dyDescent="0.2"/>
    <row r="54826" hidden="1" x14ac:dyDescent="0.2"/>
    <row r="54827" hidden="1" x14ac:dyDescent="0.2"/>
    <row r="54828" hidden="1" x14ac:dyDescent="0.2"/>
    <row r="54829" hidden="1" x14ac:dyDescent="0.2"/>
    <row r="54830" hidden="1" x14ac:dyDescent="0.2"/>
    <row r="54831" hidden="1" x14ac:dyDescent="0.2"/>
    <row r="54832" hidden="1" x14ac:dyDescent="0.2"/>
    <row r="54833" hidden="1" x14ac:dyDescent="0.2"/>
    <row r="54834" hidden="1" x14ac:dyDescent="0.2"/>
    <row r="54835" hidden="1" x14ac:dyDescent="0.2"/>
    <row r="54836" hidden="1" x14ac:dyDescent="0.2"/>
    <row r="54837" hidden="1" x14ac:dyDescent="0.2"/>
    <row r="54838" hidden="1" x14ac:dyDescent="0.2"/>
    <row r="54839" hidden="1" x14ac:dyDescent="0.2"/>
    <row r="54840" hidden="1" x14ac:dyDescent="0.2"/>
    <row r="54841" hidden="1" x14ac:dyDescent="0.2"/>
    <row r="54842" hidden="1" x14ac:dyDescent="0.2"/>
    <row r="54843" hidden="1" x14ac:dyDescent="0.2"/>
    <row r="54844" hidden="1" x14ac:dyDescent="0.2"/>
    <row r="54845" hidden="1" x14ac:dyDescent="0.2"/>
    <row r="54846" hidden="1" x14ac:dyDescent="0.2"/>
    <row r="54847" hidden="1" x14ac:dyDescent="0.2"/>
    <row r="54848" hidden="1" x14ac:dyDescent="0.2"/>
    <row r="54849" hidden="1" x14ac:dyDescent="0.2"/>
    <row r="54850" hidden="1" x14ac:dyDescent="0.2"/>
    <row r="54851" hidden="1" x14ac:dyDescent="0.2"/>
    <row r="54852" hidden="1" x14ac:dyDescent="0.2"/>
    <row r="54853" hidden="1" x14ac:dyDescent="0.2"/>
    <row r="54854" hidden="1" x14ac:dyDescent="0.2"/>
    <row r="54855" hidden="1" x14ac:dyDescent="0.2"/>
    <row r="54856" hidden="1" x14ac:dyDescent="0.2"/>
    <row r="54857" hidden="1" x14ac:dyDescent="0.2"/>
    <row r="54858" hidden="1" x14ac:dyDescent="0.2"/>
    <row r="54859" hidden="1" x14ac:dyDescent="0.2"/>
    <row r="54860" hidden="1" x14ac:dyDescent="0.2"/>
    <row r="54861" hidden="1" x14ac:dyDescent="0.2"/>
    <row r="54862" hidden="1" x14ac:dyDescent="0.2"/>
    <row r="54863" hidden="1" x14ac:dyDescent="0.2"/>
    <row r="54864" hidden="1" x14ac:dyDescent="0.2"/>
    <row r="54865" hidden="1" x14ac:dyDescent="0.2"/>
    <row r="54866" hidden="1" x14ac:dyDescent="0.2"/>
    <row r="54867" hidden="1" x14ac:dyDescent="0.2"/>
    <row r="54868" hidden="1" x14ac:dyDescent="0.2"/>
    <row r="54869" hidden="1" x14ac:dyDescent="0.2"/>
    <row r="54870" hidden="1" x14ac:dyDescent="0.2"/>
    <row r="54871" hidden="1" x14ac:dyDescent="0.2"/>
    <row r="54872" hidden="1" x14ac:dyDescent="0.2"/>
    <row r="54873" hidden="1" x14ac:dyDescent="0.2"/>
    <row r="54874" hidden="1" x14ac:dyDescent="0.2"/>
    <row r="54875" hidden="1" x14ac:dyDescent="0.2"/>
    <row r="54876" hidden="1" x14ac:dyDescent="0.2"/>
    <row r="54877" hidden="1" x14ac:dyDescent="0.2"/>
    <row r="54878" hidden="1" x14ac:dyDescent="0.2"/>
    <row r="54879" hidden="1" x14ac:dyDescent="0.2"/>
    <row r="54880" hidden="1" x14ac:dyDescent="0.2"/>
    <row r="54881" hidden="1" x14ac:dyDescent="0.2"/>
    <row r="54882" hidden="1" x14ac:dyDescent="0.2"/>
    <row r="54883" hidden="1" x14ac:dyDescent="0.2"/>
    <row r="54884" hidden="1" x14ac:dyDescent="0.2"/>
    <row r="54885" hidden="1" x14ac:dyDescent="0.2"/>
    <row r="54886" hidden="1" x14ac:dyDescent="0.2"/>
    <row r="54887" hidden="1" x14ac:dyDescent="0.2"/>
    <row r="54888" hidden="1" x14ac:dyDescent="0.2"/>
    <row r="54889" hidden="1" x14ac:dyDescent="0.2"/>
    <row r="54890" hidden="1" x14ac:dyDescent="0.2"/>
    <row r="54891" hidden="1" x14ac:dyDescent="0.2"/>
    <row r="54892" hidden="1" x14ac:dyDescent="0.2"/>
    <row r="54893" hidden="1" x14ac:dyDescent="0.2"/>
    <row r="54894" hidden="1" x14ac:dyDescent="0.2"/>
    <row r="54895" hidden="1" x14ac:dyDescent="0.2"/>
    <row r="54896" hidden="1" x14ac:dyDescent="0.2"/>
    <row r="54897" hidden="1" x14ac:dyDescent="0.2"/>
    <row r="54898" hidden="1" x14ac:dyDescent="0.2"/>
    <row r="54899" hidden="1" x14ac:dyDescent="0.2"/>
    <row r="54900" hidden="1" x14ac:dyDescent="0.2"/>
    <row r="54901" hidden="1" x14ac:dyDescent="0.2"/>
    <row r="54902" hidden="1" x14ac:dyDescent="0.2"/>
    <row r="54903" hidden="1" x14ac:dyDescent="0.2"/>
    <row r="54904" hidden="1" x14ac:dyDescent="0.2"/>
    <row r="54905" hidden="1" x14ac:dyDescent="0.2"/>
    <row r="54906" hidden="1" x14ac:dyDescent="0.2"/>
    <row r="54907" hidden="1" x14ac:dyDescent="0.2"/>
    <row r="54908" hidden="1" x14ac:dyDescent="0.2"/>
    <row r="54909" hidden="1" x14ac:dyDescent="0.2"/>
    <row r="54910" hidden="1" x14ac:dyDescent="0.2"/>
    <row r="54911" hidden="1" x14ac:dyDescent="0.2"/>
    <row r="54912" hidden="1" x14ac:dyDescent="0.2"/>
    <row r="54913" hidden="1" x14ac:dyDescent="0.2"/>
    <row r="54914" hidden="1" x14ac:dyDescent="0.2"/>
    <row r="54915" hidden="1" x14ac:dyDescent="0.2"/>
    <row r="54916" hidden="1" x14ac:dyDescent="0.2"/>
    <row r="54917" hidden="1" x14ac:dyDescent="0.2"/>
    <row r="54918" hidden="1" x14ac:dyDescent="0.2"/>
    <row r="54919" hidden="1" x14ac:dyDescent="0.2"/>
    <row r="54920" hidden="1" x14ac:dyDescent="0.2"/>
    <row r="54921" hidden="1" x14ac:dyDescent="0.2"/>
    <row r="54922" hidden="1" x14ac:dyDescent="0.2"/>
    <row r="54923" hidden="1" x14ac:dyDescent="0.2"/>
    <row r="54924" hidden="1" x14ac:dyDescent="0.2"/>
    <row r="54925" hidden="1" x14ac:dyDescent="0.2"/>
    <row r="54926" hidden="1" x14ac:dyDescent="0.2"/>
    <row r="54927" hidden="1" x14ac:dyDescent="0.2"/>
    <row r="54928" hidden="1" x14ac:dyDescent="0.2"/>
    <row r="54929" hidden="1" x14ac:dyDescent="0.2"/>
    <row r="54930" hidden="1" x14ac:dyDescent="0.2"/>
    <row r="54931" hidden="1" x14ac:dyDescent="0.2"/>
    <row r="54932" hidden="1" x14ac:dyDescent="0.2"/>
    <row r="54933" hidden="1" x14ac:dyDescent="0.2"/>
    <row r="54934" hidden="1" x14ac:dyDescent="0.2"/>
    <row r="54935" hidden="1" x14ac:dyDescent="0.2"/>
    <row r="54936" hidden="1" x14ac:dyDescent="0.2"/>
    <row r="54937" hidden="1" x14ac:dyDescent="0.2"/>
    <row r="54938" hidden="1" x14ac:dyDescent="0.2"/>
    <row r="54939" hidden="1" x14ac:dyDescent="0.2"/>
    <row r="54940" hidden="1" x14ac:dyDescent="0.2"/>
    <row r="54941" hidden="1" x14ac:dyDescent="0.2"/>
    <row r="54942" hidden="1" x14ac:dyDescent="0.2"/>
    <row r="54943" hidden="1" x14ac:dyDescent="0.2"/>
    <row r="54944" hidden="1" x14ac:dyDescent="0.2"/>
    <row r="54945" hidden="1" x14ac:dyDescent="0.2"/>
    <row r="54946" hidden="1" x14ac:dyDescent="0.2"/>
    <row r="54947" hidden="1" x14ac:dyDescent="0.2"/>
    <row r="54948" hidden="1" x14ac:dyDescent="0.2"/>
    <row r="54949" hidden="1" x14ac:dyDescent="0.2"/>
    <row r="54950" hidden="1" x14ac:dyDescent="0.2"/>
    <row r="54951" hidden="1" x14ac:dyDescent="0.2"/>
    <row r="54952" hidden="1" x14ac:dyDescent="0.2"/>
    <row r="54953" hidden="1" x14ac:dyDescent="0.2"/>
    <row r="54954" hidden="1" x14ac:dyDescent="0.2"/>
    <row r="54955" hidden="1" x14ac:dyDescent="0.2"/>
    <row r="54956" hidden="1" x14ac:dyDescent="0.2"/>
    <row r="54957" hidden="1" x14ac:dyDescent="0.2"/>
    <row r="54958" hidden="1" x14ac:dyDescent="0.2"/>
    <row r="54959" hidden="1" x14ac:dyDescent="0.2"/>
    <row r="54960" hidden="1" x14ac:dyDescent="0.2"/>
    <row r="54961" hidden="1" x14ac:dyDescent="0.2"/>
    <row r="54962" hidden="1" x14ac:dyDescent="0.2"/>
    <row r="54963" hidden="1" x14ac:dyDescent="0.2"/>
    <row r="54964" hidden="1" x14ac:dyDescent="0.2"/>
    <row r="54965" hidden="1" x14ac:dyDescent="0.2"/>
    <row r="54966" hidden="1" x14ac:dyDescent="0.2"/>
    <row r="54967" hidden="1" x14ac:dyDescent="0.2"/>
    <row r="54968" hidden="1" x14ac:dyDescent="0.2"/>
    <row r="54969" hidden="1" x14ac:dyDescent="0.2"/>
    <row r="54970" hidden="1" x14ac:dyDescent="0.2"/>
    <row r="54971" hidden="1" x14ac:dyDescent="0.2"/>
    <row r="54972" hidden="1" x14ac:dyDescent="0.2"/>
    <row r="54973" hidden="1" x14ac:dyDescent="0.2"/>
    <row r="54974" hidden="1" x14ac:dyDescent="0.2"/>
    <row r="54975" hidden="1" x14ac:dyDescent="0.2"/>
    <row r="54976" hidden="1" x14ac:dyDescent="0.2"/>
    <row r="54977" hidden="1" x14ac:dyDescent="0.2"/>
    <row r="54978" hidden="1" x14ac:dyDescent="0.2"/>
    <row r="54979" hidden="1" x14ac:dyDescent="0.2"/>
    <row r="54980" hidden="1" x14ac:dyDescent="0.2"/>
    <row r="54981" hidden="1" x14ac:dyDescent="0.2"/>
    <row r="54982" hidden="1" x14ac:dyDescent="0.2"/>
    <row r="54983" hidden="1" x14ac:dyDescent="0.2"/>
    <row r="54984" hidden="1" x14ac:dyDescent="0.2"/>
    <row r="54985" hidden="1" x14ac:dyDescent="0.2"/>
    <row r="54986" hidden="1" x14ac:dyDescent="0.2"/>
    <row r="54987" hidden="1" x14ac:dyDescent="0.2"/>
    <row r="54988" hidden="1" x14ac:dyDescent="0.2"/>
    <row r="54989" hidden="1" x14ac:dyDescent="0.2"/>
    <row r="54990" hidden="1" x14ac:dyDescent="0.2"/>
    <row r="54991" hidden="1" x14ac:dyDescent="0.2"/>
    <row r="54992" hidden="1" x14ac:dyDescent="0.2"/>
    <row r="54993" hidden="1" x14ac:dyDescent="0.2"/>
    <row r="54994" hidden="1" x14ac:dyDescent="0.2"/>
    <row r="54995" hidden="1" x14ac:dyDescent="0.2"/>
    <row r="54996" hidden="1" x14ac:dyDescent="0.2"/>
    <row r="54997" hidden="1" x14ac:dyDescent="0.2"/>
    <row r="54998" hidden="1" x14ac:dyDescent="0.2"/>
    <row r="54999" hidden="1" x14ac:dyDescent="0.2"/>
    <row r="55000" hidden="1" x14ac:dyDescent="0.2"/>
    <row r="55001" hidden="1" x14ac:dyDescent="0.2"/>
    <row r="55002" hidden="1" x14ac:dyDescent="0.2"/>
    <row r="55003" hidden="1" x14ac:dyDescent="0.2"/>
    <row r="55004" hidden="1" x14ac:dyDescent="0.2"/>
    <row r="55005" hidden="1" x14ac:dyDescent="0.2"/>
    <row r="55006" hidden="1" x14ac:dyDescent="0.2"/>
    <row r="55007" hidden="1" x14ac:dyDescent="0.2"/>
    <row r="55008" hidden="1" x14ac:dyDescent="0.2"/>
    <row r="55009" hidden="1" x14ac:dyDescent="0.2"/>
    <row r="55010" hidden="1" x14ac:dyDescent="0.2"/>
    <row r="55011" hidden="1" x14ac:dyDescent="0.2"/>
    <row r="55012" hidden="1" x14ac:dyDescent="0.2"/>
    <row r="55013" hidden="1" x14ac:dyDescent="0.2"/>
    <row r="55014" hidden="1" x14ac:dyDescent="0.2"/>
    <row r="55015" hidden="1" x14ac:dyDescent="0.2"/>
    <row r="55016" hidden="1" x14ac:dyDescent="0.2"/>
    <row r="55017" hidden="1" x14ac:dyDescent="0.2"/>
    <row r="55018" hidden="1" x14ac:dyDescent="0.2"/>
    <row r="55019" hidden="1" x14ac:dyDescent="0.2"/>
    <row r="55020" hidden="1" x14ac:dyDescent="0.2"/>
    <row r="55021" hidden="1" x14ac:dyDescent="0.2"/>
    <row r="55022" hidden="1" x14ac:dyDescent="0.2"/>
    <row r="55023" hidden="1" x14ac:dyDescent="0.2"/>
    <row r="55024" hidden="1" x14ac:dyDescent="0.2"/>
    <row r="55025" hidden="1" x14ac:dyDescent="0.2"/>
    <row r="55026" hidden="1" x14ac:dyDescent="0.2"/>
    <row r="55027" hidden="1" x14ac:dyDescent="0.2"/>
    <row r="55028" hidden="1" x14ac:dyDescent="0.2"/>
    <row r="55029" hidden="1" x14ac:dyDescent="0.2"/>
    <row r="55030" hidden="1" x14ac:dyDescent="0.2"/>
    <row r="55031" hidden="1" x14ac:dyDescent="0.2"/>
    <row r="55032" hidden="1" x14ac:dyDescent="0.2"/>
    <row r="55033" hidden="1" x14ac:dyDescent="0.2"/>
    <row r="55034" hidden="1" x14ac:dyDescent="0.2"/>
    <row r="55035" hidden="1" x14ac:dyDescent="0.2"/>
    <row r="55036" hidden="1" x14ac:dyDescent="0.2"/>
    <row r="55037" hidden="1" x14ac:dyDescent="0.2"/>
    <row r="55038" hidden="1" x14ac:dyDescent="0.2"/>
    <row r="55039" hidden="1" x14ac:dyDescent="0.2"/>
    <row r="55040" hidden="1" x14ac:dyDescent="0.2"/>
    <row r="55041" hidden="1" x14ac:dyDescent="0.2"/>
    <row r="55042" hidden="1" x14ac:dyDescent="0.2"/>
    <row r="55043" hidden="1" x14ac:dyDescent="0.2"/>
    <row r="55044" hidden="1" x14ac:dyDescent="0.2"/>
    <row r="55045" hidden="1" x14ac:dyDescent="0.2"/>
    <row r="55046" hidden="1" x14ac:dyDescent="0.2"/>
    <row r="55047" hidden="1" x14ac:dyDescent="0.2"/>
    <row r="55048" hidden="1" x14ac:dyDescent="0.2"/>
    <row r="55049" hidden="1" x14ac:dyDescent="0.2"/>
    <row r="55050" hidden="1" x14ac:dyDescent="0.2"/>
    <row r="55051" hidden="1" x14ac:dyDescent="0.2"/>
    <row r="55052" hidden="1" x14ac:dyDescent="0.2"/>
    <row r="55053" hidden="1" x14ac:dyDescent="0.2"/>
    <row r="55054" hidden="1" x14ac:dyDescent="0.2"/>
    <row r="55055" hidden="1" x14ac:dyDescent="0.2"/>
    <row r="55056" hidden="1" x14ac:dyDescent="0.2"/>
    <row r="55057" hidden="1" x14ac:dyDescent="0.2"/>
    <row r="55058" hidden="1" x14ac:dyDescent="0.2"/>
    <row r="55059" hidden="1" x14ac:dyDescent="0.2"/>
    <row r="55060" hidden="1" x14ac:dyDescent="0.2"/>
    <row r="55061" hidden="1" x14ac:dyDescent="0.2"/>
    <row r="55062" hidden="1" x14ac:dyDescent="0.2"/>
    <row r="55063" hidden="1" x14ac:dyDescent="0.2"/>
    <row r="55064" hidden="1" x14ac:dyDescent="0.2"/>
    <row r="55065" hidden="1" x14ac:dyDescent="0.2"/>
    <row r="55066" hidden="1" x14ac:dyDescent="0.2"/>
    <row r="55067" hidden="1" x14ac:dyDescent="0.2"/>
    <row r="55068" hidden="1" x14ac:dyDescent="0.2"/>
    <row r="55069" hidden="1" x14ac:dyDescent="0.2"/>
    <row r="55070" hidden="1" x14ac:dyDescent="0.2"/>
    <row r="55071" hidden="1" x14ac:dyDescent="0.2"/>
    <row r="55072" hidden="1" x14ac:dyDescent="0.2"/>
    <row r="55073" hidden="1" x14ac:dyDescent="0.2"/>
    <row r="55074" hidden="1" x14ac:dyDescent="0.2"/>
    <row r="55075" hidden="1" x14ac:dyDescent="0.2"/>
    <row r="55076" hidden="1" x14ac:dyDescent="0.2"/>
    <row r="55077" hidden="1" x14ac:dyDescent="0.2"/>
    <row r="55078" hidden="1" x14ac:dyDescent="0.2"/>
    <row r="55079" hidden="1" x14ac:dyDescent="0.2"/>
    <row r="55080" hidden="1" x14ac:dyDescent="0.2"/>
    <row r="55081" hidden="1" x14ac:dyDescent="0.2"/>
    <row r="55082" hidden="1" x14ac:dyDescent="0.2"/>
    <row r="55083" hidden="1" x14ac:dyDescent="0.2"/>
    <row r="55084" hidden="1" x14ac:dyDescent="0.2"/>
    <row r="55085" hidden="1" x14ac:dyDescent="0.2"/>
    <row r="55086" hidden="1" x14ac:dyDescent="0.2"/>
    <row r="55087" hidden="1" x14ac:dyDescent="0.2"/>
    <row r="55088" hidden="1" x14ac:dyDescent="0.2"/>
    <row r="55089" hidden="1" x14ac:dyDescent="0.2"/>
    <row r="55090" hidden="1" x14ac:dyDescent="0.2"/>
    <row r="55091" hidden="1" x14ac:dyDescent="0.2"/>
    <row r="55092" hidden="1" x14ac:dyDescent="0.2"/>
    <row r="55093" hidden="1" x14ac:dyDescent="0.2"/>
    <row r="55094" hidden="1" x14ac:dyDescent="0.2"/>
    <row r="55095" hidden="1" x14ac:dyDescent="0.2"/>
    <row r="55096" hidden="1" x14ac:dyDescent="0.2"/>
    <row r="55097" hidden="1" x14ac:dyDescent="0.2"/>
    <row r="55098" hidden="1" x14ac:dyDescent="0.2"/>
    <row r="55099" hidden="1" x14ac:dyDescent="0.2"/>
    <row r="55100" hidden="1" x14ac:dyDescent="0.2"/>
    <row r="55101" hidden="1" x14ac:dyDescent="0.2"/>
    <row r="55102" hidden="1" x14ac:dyDescent="0.2"/>
    <row r="55103" hidden="1" x14ac:dyDescent="0.2"/>
    <row r="55104" hidden="1" x14ac:dyDescent="0.2"/>
    <row r="55105" hidden="1" x14ac:dyDescent="0.2"/>
    <row r="55106" hidden="1" x14ac:dyDescent="0.2"/>
    <row r="55107" hidden="1" x14ac:dyDescent="0.2"/>
    <row r="55108" hidden="1" x14ac:dyDescent="0.2"/>
    <row r="55109" hidden="1" x14ac:dyDescent="0.2"/>
    <row r="55110" hidden="1" x14ac:dyDescent="0.2"/>
    <row r="55111" hidden="1" x14ac:dyDescent="0.2"/>
    <row r="55112" hidden="1" x14ac:dyDescent="0.2"/>
    <row r="55113" hidden="1" x14ac:dyDescent="0.2"/>
    <row r="55114" hidden="1" x14ac:dyDescent="0.2"/>
    <row r="55115" hidden="1" x14ac:dyDescent="0.2"/>
    <row r="55116" hidden="1" x14ac:dyDescent="0.2"/>
    <row r="55117" hidden="1" x14ac:dyDescent="0.2"/>
    <row r="55118" hidden="1" x14ac:dyDescent="0.2"/>
    <row r="55119" hidden="1" x14ac:dyDescent="0.2"/>
    <row r="55120" hidden="1" x14ac:dyDescent="0.2"/>
    <row r="55121" hidden="1" x14ac:dyDescent="0.2"/>
    <row r="55122" hidden="1" x14ac:dyDescent="0.2"/>
    <row r="55123" hidden="1" x14ac:dyDescent="0.2"/>
    <row r="55124" hidden="1" x14ac:dyDescent="0.2"/>
    <row r="55125" hidden="1" x14ac:dyDescent="0.2"/>
    <row r="55126" hidden="1" x14ac:dyDescent="0.2"/>
    <row r="55127" hidden="1" x14ac:dyDescent="0.2"/>
    <row r="55128" hidden="1" x14ac:dyDescent="0.2"/>
    <row r="55129" hidden="1" x14ac:dyDescent="0.2"/>
    <row r="55130" hidden="1" x14ac:dyDescent="0.2"/>
    <row r="55131" hidden="1" x14ac:dyDescent="0.2"/>
    <row r="55132" hidden="1" x14ac:dyDescent="0.2"/>
    <row r="55133" hidden="1" x14ac:dyDescent="0.2"/>
    <row r="55134" hidden="1" x14ac:dyDescent="0.2"/>
    <row r="55135" hidden="1" x14ac:dyDescent="0.2"/>
    <row r="55136" hidden="1" x14ac:dyDescent="0.2"/>
    <row r="55137" hidden="1" x14ac:dyDescent="0.2"/>
    <row r="55138" hidden="1" x14ac:dyDescent="0.2"/>
    <row r="55139" hidden="1" x14ac:dyDescent="0.2"/>
    <row r="55140" hidden="1" x14ac:dyDescent="0.2"/>
    <row r="55141" hidden="1" x14ac:dyDescent="0.2"/>
    <row r="55142" hidden="1" x14ac:dyDescent="0.2"/>
    <row r="55143" hidden="1" x14ac:dyDescent="0.2"/>
    <row r="55144" hidden="1" x14ac:dyDescent="0.2"/>
    <row r="55145" hidden="1" x14ac:dyDescent="0.2"/>
    <row r="55146" hidden="1" x14ac:dyDescent="0.2"/>
    <row r="55147" hidden="1" x14ac:dyDescent="0.2"/>
    <row r="55148" hidden="1" x14ac:dyDescent="0.2"/>
    <row r="55149" hidden="1" x14ac:dyDescent="0.2"/>
    <row r="55150" hidden="1" x14ac:dyDescent="0.2"/>
    <row r="55151" hidden="1" x14ac:dyDescent="0.2"/>
    <row r="55152" hidden="1" x14ac:dyDescent="0.2"/>
    <row r="55153" hidden="1" x14ac:dyDescent="0.2"/>
    <row r="55154" hidden="1" x14ac:dyDescent="0.2"/>
    <row r="55155" hidden="1" x14ac:dyDescent="0.2"/>
    <row r="55156" hidden="1" x14ac:dyDescent="0.2"/>
    <row r="55157" hidden="1" x14ac:dyDescent="0.2"/>
    <row r="55158" hidden="1" x14ac:dyDescent="0.2"/>
    <row r="55159" hidden="1" x14ac:dyDescent="0.2"/>
    <row r="55160" hidden="1" x14ac:dyDescent="0.2"/>
    <row r="55161" hidden="1" x14ac:dyDescent="0.2"/>
    <row r="55162" hidden="1" x14ac:dyDescent="0.2"/>
    <row r="55163" hidden="1" x14ac:dyDescent="0.2"/>
    <row r="55164" hidden="1" x14ac:dyDescent="0.2"/>
    <row r="55165" hidden="1" x14ac:dyDescent="0.2"/>
    <row r="55166" hidden="1" x14ac:dyDescent="0.2"/>
    <row r="55167" hidden="1" x14ac:dyDescent="0.2"/>
    <row r="55168" hidden="1" x14ac:dyDescent="0.2"/>
    <row r="55169" hidden="1" x14ac:dyDescent="0.2"/>
    <row r="55170" hidden="1" x14ac:dyDescent="0.2"/>
    <row r="55171" hidden="1" x14ac:dyDescent="0.2"/>
    <row r="55172" hidden="1" x14ac:dyDescent="0.2"/>
    <row r="55173" hidden="1" x14ac:dyDescent="0.2"/>
    <row r="55174" hidden="1" x14ac:dyDescent="0.2"/>
    <row r="55175" hidden="1" x14ac:dyDescent="0.2"/>
    <row r="55176" hidden="1" x14ac:dyDescent="0.2"/>
    <row r="55177" hidden="1" x14ac:dyDescent="0.2"/>
    <row r="55178" hidden="1" x14ac:dyDescent="0.2"/>
    <row r="55179" hidden="1" x14ac:dyDescent="0.2"/>
    <row r="55180" hidden="1" x14ac:dyDescent="0.2"/>
    <row r="55181" hidden="1" x14ac:dyDescent="0.2"/>
    <row r="55182" hidden="1" x14ac:dyDescent="0.2"/>
    <row r="55183" hidden="1" x14ac:dyDescent="0.2"/>
    <row r="55184" hidden="1" x14ac:dyDescent="0.2"/>
    <row r="55185" hidden="1" x14ac:dyDescent="0.2"/>
    <row r="55186" hidden="1" x14ac:dyDescent="0.2"/>
    <row r="55187" hidden="1" x14ac:dyDescent="0.2"/>
    <row r="55188" hidden="1" x14ac:dyDescent="0.2"/>
    <row r="55189" hidden="1" x14ac:dyDescent="0.2"/>
    <row r="55190" hidden="1" x14ac:dyDescent="0.2"/>
    <row r="55191" hidden="1" x14ac:dyDescent="0.2"/>
    <row r="55192" hidden="1" x14ac:dyDescent="0.2"/>
    <row r="55193" hidden="1" x14ac:dyDescent="0.2"/>
    <row r="55194" hidden="1" x14ac:dyDescent="0.2"/>
    <row r="55195" hidden="1" x14ac:dyDescent="0.2"/>
    <row r="55196" hidden="1" x14ac:dyDescent="0.2"/>
    <row r="55197" hidden="1" x14ac:dyDescent="0.2"/>
    <row r="55198" hidden="1" x14ac:dyDescent="0.2"/>
    <row r="55199" hidden="1" x14ac:dyDescent="0.2"/>
    <row r="55200" hidden="1" x14ac:dyDescent="0.2"/>
    <row r="55201" hidden="1" x14ac:dyDescent="0.2"/>
    <row r="55202" hidden="1" x14ac:dyDescent="0.2"/>
    <row r="55203" hidden="1" x14ac:dyDescent="0.2"/>
    <row r="55204" hidden="1" x14ac:dyDescent="0.2"/>
    <row r="55205" hidden="1" x14ac:dyDescent="0.2"/>
    <row r="55206" hidden="1" x14ac:dyDescent="0.2"/>
    <row r="55207" hidden="1" x14ac:dyDescent="0.2"/>
    <row r="55208" hidden="1" x14ac:dyDescent="0.2"/>
    <row r="55209" hidden="1" x14ac:dyDescent="0.2"/>
    <row r="55210" hidden="1" x14ac:dyDescent="0.2"/>
    <row r="55211" hidden="1" x14ac:dyDescent="0.2"/>
    <row r="55212" hidden="1" x14ac:dyDescent="0.2"/>
    <row r="55213" hidden="1" x14ac:dyDescent="0.2"/>
    <row r="55214" hidden="1" x14ac:dyDescent="0.2"/>
    <row r="55215" hidden="1" x14ac:dyDescent="0.2"/>
    <row r="55216" hidden="1" x14ac:dyDescent="0.2"/>
    <row r="55217" hidden="1" x14ac:dyDescent="0.2"/>
    <row r="55218" hidden="1" x14ac:dyDescent="0.2"/>
    <row r="55219" hidden="1" x14ac:dyDescent="0.2"/>
    <row r="55220" hidden="1" x14ac:dyDescent="0.2"/>
    <row r="55221" hidden="1" x14ac:dyDescent="0.2"/>
    <row r="55222" hidden="1" x14ac:dyDescent="0.2"/>
    <row r="55223" hidden="1" x14ac:dyDescent="0.2"/>
    <row r="55224" hidden="1" x14ac:dyDescent="0.2"/>
    <row r="55225" hidden="1" x14ac:dyDescent="0.2"/>
    <row r="55226" hidden="1" x14ac:dyDescent="0.2"/>
    <row r="55227" hidden="1" x14ac:dyDescent="0.2"/>
    <row r="55228" hidden="1" x14ac:dyDescent="0.2"/>
    <row r="55229" hidden="1" x14ac:dyDescent="0.2"/>
    <row r="55230" hidden="1" x14ac:dyDescent="0.2"/>
    <row r="55231" hidden="1" x14ac:dyDescent="0.2"/>
    <row r="55232" hidden="1" x14ac:dyDescent="0.2"/>
    <row r="55233" hidden="1" x14ac:dyDescent="0.2"/>
    <row r="55234" hidden="1" x14ac:dyDescent="0.2"/>
    <row r="55235" hidden="1" x14ac:dyDescent="0.2"/>
    <row r="55236" hidden="1" x14ac:dyDescent="0.2"/>
    <row r="55237" hidden="1" x14ac:dyDescent="0.2"/>
    <row r="55238" hidden="1" x14ac:dyDescent="0.2"/>
    <row r="55239" hidden="1" x14ac:dyDescent="0.2"/>
    <row r="55240" hidden="1" x14ac:dyDescent="0.2"/>
    <row r="55241" hidden="1" x14ac:dyDescent="0.2"/>
    <row r="55242" hidden="1" x14ac:dyDescent="0.2"/>
    <row r="55243" hidden="1" x14ac:dyDescent="0.2"/>
    <row r="55244" hidden="1" x14ac:dyDescent="0.2"/>
    <row r="55245" hidden="1" x14ac:dyDescent="0.2"/>
    <row r="55246" hidden="1" x14ac:dyDescent="0.2"/>
    <row r="55247" hidden="1" x14ac:dyDescent="0.2"/>
    <row r="55248" hidden="1" x14ac:dyDescent="0.2"/>
    <row r="55249" hidden="1" x14ac:dyDescent="0.2"/>
    <row r="55250" hidden="1" x14ac:dyDescent="0.2"/>
    <row r="55251" hidden="1" x14ac:dyDescent="0.2"/>
    <row r="55252" hidden="1" x14ac:dyDescent="0.2"/>
    <row r="55253" hidden="1" x14ac:dyDescent="0.2"/>
    <row r="55254" hidden="1" x14ac:dyDescent="0.2"/>
    <row r="55255" hidden="1" x14ac:dyDescent="0.2"/>
    <row r="55256" hidden="1" x14ac:dyDescent="0.2"/>
    <row r="55257" hidden="1" x14ac:dyDescent="0.2"/>
    <row r="55258" hidden="1" x14ac:dyDescent="0.2"/>
    <row r="55259" hidden="1" x14ac:dyDescent="0.2"/>
    <row r="55260" hidden="1" x14ac:dyDescent="0.2"/>
    <row r="55261" hidden="1" x14ac:dyDescent="0.2"/>
    <row r="55262" hidden="1" x14ac:dyDescent="0.2"/>
    <row r="55263" hidden="1" x14ac:dyDescent="0.2"/>
    <row r="55264" hidden="1" x14ac:dyDescent="0.2"/>
    <row r="55265" hidden="1" x14ac:dyDescent="0.2"/>
    <row r="55266" hidden="1" x14ac:dyDescent="0.2"/>
    <row r="55267" hidden="1" x14ac:dyDescent="0.2"/>
    <row r="55268" hidden="1" x14ac:dyDescent="0.2"/>
    <row r="55269" hidden="1" x14ac:dyDescent="0.2"/>
    <row r="55270" hidden="1" x14ac:dyDescent="0.2"/>
    <row r="55271" hidden="1" x14ac:dyDescent="0.2"/>
    <row r="55272" hidden="1" x14ac:dyDescent="0.2"/>
    <row r="55273" hidden="1" x14ac:dyDescent="0.2"/>
    <row r="55274" hidden="1" x14ac:dyDescent="0.2"/>
    <row r="55275" hidden="1" x14ac:dyDescent="0.2"/>
    <row r="55276" hidden="1" x14ac:dyDescent="0.2"/>
    <row r="55277" hidden="1" x14ac:dyDescent="0.2"/>
    <row r="55278" hidden="1" x14ac:dyDescent="0.2"/>
    <row r="55279" hidden="1" x14ac:dyDescent="0.2"/>
    <row r="55280" hidden="1" x14ac:dyDescent="0.2"/>
    <row r="55281" hidden="1" x14ac:dyDescent="0.2"/>
    <row r="55282" hidden="1" x14ac:dyDescent="0.2"/>
    <row r="55283" hidden="1" x14ac:dyDescent="0.2"/>
    <row r="55284" hidden="1" x14ac:dyDescent="0.2"/>
    <row r="55285" hidden="1" x14ac:dyDescent="0.2"/>
    <row r="55286" hidden="1" x14ac:dyDescent="0.2"/>
    <row r="55287" hidden="1" x14ac:dyDescent="0.2"/>
    <row r="55288" hidden="1" x14ac:dyDescent="0.2"/>
    <row r="55289" hidden="1" x14ac:dyDescent="0.2"/>
    <row r="55290" hidden="1" x14ac:dyDescent="0.2"/>
    <row r="55291" hidden="1" x14ac:dyDescent="0.2"/>
    <row r="55292" hidden="1" x14ac:dyDescent="0.2"/>
    <row r="55293" hidden="1" x14ac:dyDescent="0.2"/>
    <row r="55294" hidden="1" x14ac:dyDescent="0.2"/>
    <row r="55295" hidden="1" x14ac:dyDescent="0.2"/>
    <row r="55296" hidden="1" x14ac:dyDescent="0.2"/>
    <row r="55297" hidden="1" x14ac:dyDescent="0.2"/>
    <row r="55298" hidden="1" x14ac:dyDescent="0.2"/>
    <row r="55299" hidden="1" x14ac:dyDescent="0.2"/>
    <row r="55300" hidden="1" x14ac:dyDescent="0.2"/>
    <row r="55301" hidden="1" x14ac:dyDescent="0.2"/>
    <row r="55302" hidden="1" x14ac:dyDescent="0.2"/>
    <row r="55303" hidden="1" x14ac:dyDescent="0.2"/>
    <row r="55304" hidden="1" x14ac:dyDescent="0.2"/>
    <row r="55305" hidden="1" x14ac:dyDescent="0.2"/>
    <row r="55306" hidden="1" x14ac:dyDescent="0.2"/>
    <row r="55307" hidden="1" x14ac:dyDescent="0.2"/>
    <row r="55308" hidden="1" x14ac:dyDescent="0.2"/>
    <row r="55309" hidden="1" x14ac:dyDescent="0.2"/>
    <row r="55310" hidden="1" x14ac:dyDescent="0.2"/>
    <row r="55311" hidden="1" x14ac:dyDescent="0.2"/>
    <row r="55312" hidden="1" x14ac:dyDescent="0.2"/>
    <row r="55313" hidden="1" x14ac:dyDescent="0.2"/>
    <row r="55314" hidden="1" x14ac:dyDescent="0.2"/>
    <row r="55315" hidden="1" x14ac:dyDescent="0.2"/>
    <row r="55316" hidden="1" x14ac:dyDescent="0.2"/>
    <row r="55317" hidden="1" x14ac:dyDescent="0.2"/>
    <row r="55318" hidden="1" x14ac:dyDescent="0.2"/>
    <row r="55319" hidden="1" x14ac:dyDescent="0.2"/>
    <row r="55320" hidden="1" x14ac:dyDescent="0.2"/>
    <row r="55321" hidden="1" x14ac:dyDescent="0.2"/>
    <row r="55322" hidden="1" x14ac:dyDescent="0.2"/>
    <row r="55323" hidden="1" x14ac:dyDescent="0.2"/>
    <row r="55324" hidden="1" x14ac:dyDescent="0.2"/>
    <row r="55325" hidden="1" x14ac:dyDescent="0.2"/>
    <row r="55326" hidden="1" x14ac:dyDescent="0.2"/>
    <row r="55327" hidden="1" x14ac:dyDescent="0.2"/>
    <row r="55328" hidden="1" x14ac:dyDescent="0.2"/>
    <row r="55329" hidden="1" x14ac:dyDescent="0.2"/>
    <row r="55330" hidden="1" x14ac:dyDescent="0.2"/>
    <row r="55331" hidden="1" x14ac:dyDescent="0.2"/>
    <row r="55332" hidden="1" x14ac:dyDescent="0.2"/>
    <row r="55333" hidden="1" x14ac:dyDescent="0.2"/>
    <row r="55334" hidden="1" x14ac:dyDescent="0.2"/>
    <row r="55335" hidden="1" x14ac:dyDescent="0.2"/>
    <row r="55336" hidden="1" x14ac:dyDescent="0.2"/>
    <row r="55337" hidden="1" x14ac:dyDescent="0.2"/>
    <row r="55338" hidden="1" x14ac:dyDescent="0.2"/>
    <row r="55339" hidden="1" x14ac:dyDescent="0.2"/>
    <row r="55340" hidden="1" x14ac:dyDescent="0.2"/>
    <row r="55341" hidden="1" x14ac:dyDescent="0.2"/>
    <row r="55342" hidden="1" x14ac:dyDescent="0.2"/>
    <row r="55343" hidden="1" x14ac:dyDescent="0.2"/>
    <row r="55344" hidden="1" x14ac:dyDescent="0.2"/>
    <row r="55345" hidden="1" x14ac:dyDescent="0.2"/>
    <row r="55346" hidden="1" x14ac:dyDescent="0.2"/>
    <row r="55347" hidden="1" x14ac:dyDescent="0.2"/>
    <row r="55348" hidden="1" x14ac:dyDescent="0.2"/>
    <row r="55349" hidden="1" x14ac:dyDescent="0.2"/>
    <row r="55350" hidden="1" x14ac:dyDescent="0.2"/>
    <row r="55351" hidden="1" x14ac:dyDescent="0.2"/>
    <row r="55352" hidden="1" x14ac:dyDescent="0.2"/>
    <row r="55353" hidden="1" x14ac:dyDescent="0.2"/>
    <row r="55354" hidden="1" x14ac:dyDescent="0.2"/>
    <row r="55355" hidden="1" x14ac:dyDescent="0.2"/>
    <row r="55356" hidden="1" x14ac:dyDescent="0.2"/>
    <row r="55357" hidden="1" x14ac:dyDescent="0.2"/>
    <row r="55358" hidden="1" x14ac:dyDescent="0.2"/>
    <row r="55359" hidden="1" x14ac:dyDescent="0.2"/>
    <row r="55360" hidden="1" x14ac:dyDescent="0.2"/>
    <row r="55361" hidden="1" x14ac:dyDescent="0.2"/>
    <row r="55362" hidden="1" x14ac:dyDescent="0.2"/>
    <row r="55363" hidden="1" x14ac:dyDescent="0.2"/>
    <row r="55364" hidden="1" x14ac:dyDescent="0.2"/>
    <row r="55365" hidden="1" x14ac:dyDescent="0.2"/>
    <row r="55366" hidden="1" x14ac:dyDescent="0.2"/>
    <row r="55367" hidden="1" x14ac:dyDescent="0.2"/>
    <row r="55368" hidden="1" x14ac:dyDescent="0.2"/>
    <row r="55369" hidden="1" x14ac:dyDescent="0.2"/>
    <row r="55370" hidden="1" x14ac:dyDescent="0.2"/>
    <row r="55371" hidden="1" x14ac:dyDescent="0.2"/>
    <row r="55372" hidden="1" x14ac:dyDescent="0.2"/>
    <row r="55373" hidden="1" x14ac:dyDescent="0.2"/>
    <row r="55374" hidden="1" x14ac:dyDescent="0.2"/>
    <row r="55375" hidden="1" x14ac:dyDescent="0.2"/>
    <row r="55376" hidden="1" x14ac:dyDescent="0.2"/>
    <row r="55377" hidden="1" x14ac:dyDescent="0.2"/>
    <row r="55378" hidden="1" x14ac:dyDescent="0.2"/>
    <row r="55379" hidden="1" x14ac:dyDescent="0.2"/>
    <row r="55380" hidden="1" x14ac:dyDescent="0.2"/>
    <row r="55381" hidden="1" x14ac:dyDescent="0.2"/>
    <row r="55382" hidden="1" x14ac:dyDescent="0.2"/>
    <row r="55383" hidden="1" x14ac:dyDescent="0.2"/>
    <row r="55384" hidden="1" x14ac:dyDescent="0.2"/>
    <row r="55385" hidden="1" x14ac:dyDescent="0.2"/>
    <row r="55386" hidden="1" x14ac:dyDescent="0.2"/>
    <row r="55387" hidden="1" x14ac:dyDescent="0.2"/>
    <row r="55388" hidden="1" x14ac:dyDescent="0.2"/>
    <row r="55389" hidden="1" x14ac:dyDescent="0.2"/>
    <row r="55390" hidden="1" x14ac:dyDescent="0.2"/>
    <row r="55391" hidden="1" x14ac:dyDescent="0.2"/>
    <row r="55392" hidden="1" x14ac:dyDescent="0.2"/>
    <row r="55393" hidden="1" x14ac:dyDescent="0.2"/>
    <row r="55394" hidden="1" x14ac:dyDescent="0.2"/>
    <row r="55395" hidden="1" x14ac:dyDescent="0.2"/>
    <row r="55396" hidden="1" x14ac:dyDescent="0.2"/>
    <row r="55397" hidden="1" x14ac:dyDescent="0.2"/>
    <row r="55398" hidden="1" x14ac:dyDescent="0.2"/>
    <row r="55399" hidden="1" x14ac:dyDescent="0.2"/>
    <row r="55400" hidden="1" x14ac:dyDescent="0.2"/>
    <row r="55401" hidden="1" x14ac:dyDescent="0.2"/>
    <row r="55402" hidden="1" x14ac:dyDescent="0.2"/>
    <row r="55403" hidden="1" x14ac:dyDescent="0.2"/>
    <row r="55404" hidden="1" x14ac:dyDescent="0.2"/>
    <row r="55405" hidden="1" x14ac:dyDescent="0.2"/>
    <row r="55406" hidden="1" x14ac:dyDescent="0.2"/>
    <row r="55407" hidden="1" x14ac:dyDescent="0.2"/>
    <row r="55408" hidden="1" x14ac:dyDescent="0.2"/>
    <row r="55409" hidden="1" x14ac:dyDescent="0.2"/>
    <row r="55410" hidden="1" x14ac:dyDescent="0.2"/>
    <row r="55411" hidden="1" x14ac:dyDescent="0.2"/>
    <row r="55412" hidden="1" x14ac:dyDescent="0.2"/>
    <row r="55413" hidden="1" x14ac:dyDescent="0.2"/>
    <row r="55414" hidden="1" x14ac:dyDescent="0.2"/>
    <row r="55415" hidden="1" x14ac:dyDescent="0.2"/>
    <row r="55416" hidden="1" x14ac:dyDescent="0.2"/>
    <row r="55417" hidden="1" x14ac:dyDescent="0.2"/>
    <row r="55418" hidden="1" x14ac:dyDescent="0.2"/>
    <row r="55419" hidden="1" x14ac:dyDescent="0.2"/>
    <row r="55420" hidden="1" x14ac:dyDescent="0.2"/>
    <row r="55421" hidden="1" x14ac:dyDescent="0.2"/>
    <row r="55422" hidden="1" x14ac:dyDescent="0.2"/>
    <row r="55423" hidden="1" x14ac:dyDescent="0.2"/>
    <row r="55424" hidden="1" x14ac:dyDescent="0.2"/>
    <row r="55425" hidden="1" x14ac:dyDescent="0.2"/>
    <row r="55426" hidden="1" x14ac:dyDescent="0.2"/>
    <row r="55427" hidden="1" x14ac:dyDescent="0.2"/>
    <row r="55428" hidden="1" x14ac:dyDescent="0.2"/>
    <row r="55429" hidden="1" x14ac:dyDescent="0.2"/>
    <row r="55430" hidden="1" x14ac:dyDescent="0.2"/>
    <row r="55431" hidden="1" x14ac:dyDescent="0.2"/>
    <row r="55432" hidden="1" x14ac:dyDescent="0.2"/>
    <row r="55433" hidden="1" x14ac:dyDescent="0.2"/>
    <row r="55434" hidden="1" x14ac:dyDescent="0.2"/>
    <row r="55435" hidden="1" x14ac:dyDescent="0.2"/>
    <row r="55436" hidden="1" x14ac:dyDescent="0.2"/>
    <row r="55437" hidden="1" x14ac:dyDescent="0.2"/>
    <row r="55438" hidden="1" x14ac:dyDescent="0.2"/>
    <row r="55439" hidden="1" x14ac:dyDescent="0.2"/>
    <row r="55440" hidden="1" x14ac:dyDescent="0.2"/>
    <row r="55441" hidden="1" x14ac:dyDescent="0.2"/>
    <row r="55442" hidden="1" x14ac:dyDescent="0.2"/>
    <row r="55443" hidden="1" x14ac:dyDescent="0.2"/>
    <row r="55444" hidden="1" x14ac:dyDescent="0.2"/>
    <row r="55445" hidden="1" x14ac:dyDescent="0.2"/>
    <row r="55446" hidden="1" x14ac:dyDescent="0.2"/>
    <row r="55447" hidden="1" x14ac:dyDescent="0.2"/>
    <row r="55448" hidden="1" x14ac:dyDescent="0.2"/>
    <row r="55449" hidden="1" x14ac:dyDescent="0.2"/>
    <row r="55450" hidden="1" x14ac:dyDescent="0.2"/>
    <row r="55451" hidden="1" x14ac:dyDescent="0.2"/>
    <row r="55452" hidden="1" x14ac:dyDescent="0.2"/>
    <row r="55453" hidden="1" x14ac:dyDescent="0.2"/>
    <row r="55454" hidden="1" x14ac:dyDescent="0.2"/>
    <row r="55455" hidden="1" x14ac:dyDescent="0.2"/>
    <row r="55456" hidden="1" x14ac:dyDescent="0.2"/>
    <row r="55457" hidden="1" x14ac:dyDescent="0.2"/>
    <row r="55458" hidden="1" x14ac:dyDescent="0.2"/>
    <row r="55459" hidden="1" x14ac:dyDescent="0.2"/>
    <row r="55460" hidden="1" x14ac:dyDescent="0.2"/>
    <row r="55461" hidden="1" x14ac:dyDescent="0.2"/>
    <row r="55462" hidden="1" x14ac:dyDescent="0.2"/>
    <row r="55463" hidden="1" x14ac:dyDescent="0.2"/>
    <row r="55464" hidden="1" x14ac:dyDescent="0.2"/>
    <row r="55465" hidden="1" x14ac:dyDescent="0.2"/>
    <row r="55466" hidden="1" x14ac:dyDescent="0.2"/>
    <row r="55467" hidden="1" x14ac:dyDescent="0.2"/>
    <row r="55468" hidden="1" x14ac:dyDescent="0.2"/>
    <row r="55469" hidden="1" x14ac:dyDescent="0.2"/>
    <row r="55470" hidden="1" x14ac:dyDescent="0.2"/>
    <row r="55471" hidden="1" x14ac:dyDescent="0.2"/>
    <row r="55472" hidden="1" x14ac:dyDescent="0.2"/>
    <row r="55473" hidden="1" x14ac:dyDescent="0.2"/>
    <row r="55474" hidden="1" x14ac:dyDescent="0.2"/>
    <row r="55475" hidden="1" x14ac:dyDescent="0.2"/>
    <row r="55476" hidden="1" x14ac:dyDescent="0.2"/>
    <row r="55477" hidden="1" x14ac:dyDescent="0.2"/>
    <row r="55478" hidden="1" x14ac:dyDescent="0.2"/>
    <row r="55479" hidden="1" x14ac:dyDescent="0.2"/>
    <row r="55480" hidden="1" x14ac:dyDescent="0.2"/>
    <row r="55481" hidden="1" x14ac:dyDescent="0.2"/>
    <row r="55482" hidden="1" x14ac:dyDescent="0.2"/>
    <row r="55483" hidden="1" x14ac:dyDescent="0.2"/>
    <row r="55484" hidden="1" x14ac:dyDescent="0.2"/>
    <row r="55485" hidden="1" x14ac:dyDescent="0.2"/>
    <row r="55486" hidden="1" x14ac:dyDescent="0.2"/>
    <row r="55487" hidden="1" x14ac:dyDescent="0.2"/>
    <row r="55488" hidden="1" x14ac:dyDescent="0.2"/>
    <row r="55489" hidden="1" x14ac:dyDescent="0.2"/>
    <row r="55490" hidden="1" x14ac:dyDescent="0.2"/>
    <row r="55491" hidden="1" x14ac:dyDescent="0.2"/>
    <row r="55492" hidden="1" x14ac:dyDescent="0.2"/>
    <row r="55493" hidden="1" x14ac:dyDescent="0.2"/>
    <row r="55494" hidden="1" x14ac:dyDescent="0.2"/>
    <row r="55495" hidden="1" x14ac:dyDescent="0.2"/>
    <row r="55496" hidden="1" x14ac:dyDescent="0.2"/>
    <row r="55497" hidden="1" x14ac:dyDescent="0.2"/>
    <row r="55498" hidden="1" x14ac:dyDescent="0.2"/>
    <row r="55499" hidden="1" x14ac:dyDescent="0.2"/>
    <row r="55500" hidden="1" x14ac:dyDescent="0.2"/>
    <row r="55501" hidden="1" x14ac:dyDescent="0.2"/>
    <row r="55502" hidden="1" x14ac:dyDescent="0.2"/>
    <row r="55503" hidden="1" x14ac:dyDescent="0.2"/>
    <row r="55504" hidden="1" x14ac:dyDescent="0.2"/>
    <row r="55505" hidden="1" x14ac:dyDescent="0.2"/>
    <row r="55506" hidden="1" x14ac:dyDescent="0.2"/>
    <row r="55507" hidden="1" x14ac:dyDescent="0.2"/>
    <row r="55508" hidden="1" x14ac:dyDescent="0.2"/>
    <row r="55509" hidden="1" x14ac:dyDescent="0.2"/>
    <row r="55510" hidden="1" x14ac:dyDescent="0.2"/>
    <row r="55511" hidden="1" x14ac:dyDescent="0.2"/>
    <row r="55512" hidden="1" x14ac:dyDescent="0.2"/>
    <row r="55513" hidden="1" x14ac:dyDescent="0.2"/>
    <row r="55514" hidden="1" x14ac:dyDescent="0.2"/>
    <row r="55515" hidden="1" x14ac:dyDescent="0.2"/>
    <row r="55516" hidden="1" x14ac:dyDescent="0.2"/>
    <row r="55517" hidden="1" x14ac:dyDescent="0.2"/>
    <row r="55518" hidden="1" x14ac:dyDescent="0.2"/>
    <row r="55519" hidden="1" x14ac:dyDescent="0.2"/>
    <row r="55520" hidden="1" x14ac:dyDescent="0.2"/>
    <row r="55521" hidden="1" x14ac:dyDescent="0.2"/>
    <row r="55522" hidden="1" x14ac:dyDescent="0.2"/>
    <row r="55523" hidden="1" x14ac:dyDescent="0.2"/>
    <row r="55524" hidden="1" x14ac:dyDescent="0.2"/>
    <row r="55525" hidden="1" x14ac:dyDescent="0.2"/>
    <row r="55526" hidden="1" x14ac:dyDescent="0.2"/>
    <row r="55527" hidden="1" x14ac:dyDescent="0.2"/>
    <row r="55528" hidden="1" x14ac:dyDescent="0.2"/>
    <row r="55529" hidden="1" x14ac:dyDescent="0.2"/>
    <row r="55530" hidden="1" x14ac:dyDescent="0.2"/>
    <row r="55531" hidden="1" x14ac:dyDescent="0.2"/>
    <row r="55532" hidden="1" x14ac:dyDescent="0.2"/>
    <row r="55533" hidden="1" x14ac:dyDescent="0.2"/>
    <row r="55534" hidden="1" x14ac:dyDescent="0.2"/>
    <row r="55535" hidden="1" x14ac:dyDescent="0.2"/>
    <row r="55536" hidden="1" x14ac:dyDescent="0.2"/>
    <row r="55537" hidden="1" x14ac:dyDescent="0.2"/>
    <row r="55538" hidden="1" x14ac:dyDescent="0.2"/>
    <row r="55539" hidden="1" x14ac:dyDescent="0.2"/>
    <row r="55540" hidden="1" x14ac:dyDescent="0.2"/>
    <row r="55541" hidden="1" x14ac:dyDescent="0.2"/>
    <row r="55542" hidden="1" x14ac:dyDescent="0.2"/>
    <row r="55543" hidden="1" x14ac:dyDescent="0.2"/>
    <row r="55544" hidden="1" x14ac:dyDescent="0.2"/>
    <row r="55545" hidden="1" x14ac:dyDescent="0.2"/>
    <row r="55546" hidden="1" x14ac:dyDescent="0.2"/>
    <row r="55547" hidden="1" x14ac:dyDescent="0.2"/>
    <row r="55548" hidden="1" x14ac:dyDescent="0.2"/>
    <row r="55549" hidden="1" x14ac:dyDescent="0.2"/>
    <row r="55550" hidden="1" x14ac:dyDescent="0.2"/>
    <row r="55551" hidden="1" x14ac:dyDescent="0.2"/>
    <row r="55552" hidden="1" x14ac:dyDescent="0.2"/>
    <row r="55553" hidden="1" x14ac:dyDescent="0.2"/>
    <row r="55554" hidden="1" x14ac:dyDescent="0.2"/>
    <row r="55555" hidden="1" x14ac:dyDescent="0.2"/>
    <row r="55556" hidden="1" x14ac:dyDescent="0.2"/>
    <row r="55557" hidden="1" x14ac:dyDescent="0.2"/>
    <row r="55558" hidden="1" x14ac:dyDescent="0.2"/>
    <row r="55559" hidden="1" x14ac:dyDescent="0.2"/>
    <row r="55560" hidden="1" x14ac:dyDescent="0.2"/>
    <row r="55561" hidden="1" x14ac:dyDescent="0.2"/>
    <row r="55562" hidden="1" x14ac:dyDescent="0.2"/>
    <row r="55563" hidden="1" x14ac:dyDescent="0.2"/>
    <row r="55564" hidden="1" x14ac:dyDescent="0.2"/>
    <row r="55565" hidden="1" x14ac:dyDescent="0.2"/>
    <row r="55566" hidden="1" x14ac:dyDescent="0.2"/>
    <row r="55567" hidden="1" x14ac:dyDescent="0.2"/>
    <row r="55568" hidden="1" x14ac:dyDescent="0.2"/>
    <row r="55569" hidden="1" x14ac:dyDescent="0.2"/>
    <row r="55570" hidden="1" x14ac:dyDescent="0.2"/>
    <row r="55571" hidden="1" x14ac:dyDescent="0.2"/>
    <row r="55572" hidden="1" x14ac:dyDescent="0.2"/>
    <row r="55573" hidden="1" x14ac:dyDescent="0.2"/>
    <row r="55574" hidden="1" x14ac:dyDescent="0.2"/>
    <row r="55575" hidden="1" x14ac:dyDescent="0.2"/>
    <row r="55576" hidden="1" x14ac:dyDescent="0.2"/>
    <row r="55577" hidden="1" x14ac:dyDescent="0.2"/>
    <row r="55578" hidden="1" x14ac:dyDescent="0.2"/>
    <row r="55579" hidden="1" x14ac:dyDescent="0.2"/>
    <row r="55580" hidden="1" x14ac:dyDescent="0.2"/>
    <row r="55581" hidden="1" x14ac:dyDescent="0.2"/>
    <row r="55582" hidden="1" x14ac:dyDescent="0.2"/>
    <row r="55583" hidden="1" x14ac:dyDescent="0.2"/>
    <row r="55584" hidden="1" x14ac:dyDescent="0.2"/>
    <row r="55585" hidden="1" x14ac:dyDescent="0.2"/>
    <row r="55586" hidden="1" x14ac:dyDescent="0.2"/>
    <row r="55587" hidden="1" x14ac:dyDescent="0.2"/>
    <row r="55588" hidden="1" x14ac:dyDescent="0.2"/>
    <row r="55589" hidden="1" x14ac:dyDescent="0.2"/>
    <row r="55590" hidden="1" x14ac:dyDescent="0.2"/>
    <row r="55591" hidden="1" x14ac:dyDescent="0.2"/>
    <row r="55592" hidden="1" x14ac:dyDescent="0.2"/>
    <row r="55593" hidden="1" x14ac:dyDescent="0.2"/>
    <row r="55594" hidden="1" x14ac:dyDescent="0.2"/>
    <row r="55595" hidden="1" x14ac:dyDescent="0.2"/>
    <row r="55596" hidden="1" x14ac:dyDescent="0.2"/>
    <row r="55597" hidden="1" x14ac:dyDescent="0.2"/>
    <row r="55598" hidden="1" x14ac:dyDescent="0.2"/>
    <row r="55599" hidden="1" x14ac:dyDescent="0.2"/>
    <row r="55600" hidden="1" x14ac:dyDescent="0.2"/>
    <row r="55601" hidden="1" x14ac:dyDescent="0.2"/>
    <row r="55602" hidden="1" x14ac:dyDescent="0.2"/>
    <row r="55603" hidden="1" x14ac:dyDescent="0.2"/>
    <row r="55604" hidden="1" x14ac:dyDescent="0.2"/>
    <row r="55605" hidden="1" x14ac:dyDescent="0.2"/>
    <row r="55606" hidden="1" x14ac:dyDescent="0.2"/>
    <row r="55607" hidden="1" x14ac:dyDescent="0.2"/>
    <row r="55608" hidden="1" x14ac:dyDescent="0.2"/>
    <row r="55609" hidden="1" x14ac:dyDescent="0.2"/>
    <row r="55610" hidden="1" x14ac:dyDescent="0.2"/>
    <row r="55611" hidden="1" x14ac:dyDescent="0.2"/>
    <row r="55612" hidden="1" x14ac:dyDescent="0.2"/>
    <row r="55613" hidden="1" x14ac:dyDescent="0.2"/>
    <row r="55614" hidden="1" x14ac:dyDescent="0.2"/>
    <row r="55615" hidden="1" x14ac:dyDescent="0.2"/>
    <row r="55616" hidden="1" x14ac:dyDescent="0.2"/>
    <row r="55617" hidden="1" x14ac:dyDescent="0.2"/>
    <row r="55618" hidden="1" x14ac:dyDescent="0.2"/>
    <row r="55619" hidden="1" x14ac:dyDescent="0.2"/>
    <row r="55620" hidden="1" x14ac:dyDescent="0.2"/>
    <row r="55621" hidden="1" x14ac:dyDescent="0.2"/>
    <row r="55622" hidden="1" x14ac:dyDescent="0.2"/>
    <row r="55623" hidden="1" x14ac:dyDescent="0.2"/>
    <row r="55624" hidden="1" x14ac:dyDescent="0.2"/>
    <row r="55625" hidden="1" x14ac:dyDescent="0.2"/>
    <row r="55626" hidden="1" x14ac:dyDescent="0.2"/>
    <row r="55627" hidden="1" x14ac:dyDescent="0.2"/>
    <row r="55628" hidden="1" x14ac:dyDescent="0.2"/>
    <row r="55629" hidden="1" x14ac:dyDescent="0.2"/>
    <row r="55630" hidden="1" x14ac:dyDescent="0.2"/>
    <row r="55631" hidden="1" x14ac:dyDescent="0.2"/>
    <row r="55632" hidden="1" x14ac:dyDescent="0.2"/>
    <row r="55633" hidden="1" x14ac:dyDescent="0.2"/>
    <row r="55634" hidden="1" x14ac:dyDescent="0.2"/>
    <row r="55635" hidden="1" x14ac:dyDescent="0.2"/>
    <row r="55636" hidden="1" x14ac:dyDescent="0.2"/>
    <row r="55637" hidden="1" x14ac:dyDescent="0.2"/>
    <row r="55638" hidden="1" x14ac:dyDescent="0.2"/>
    <row r="55639" hidden="1" x14ac:dyDescent="0.2"/>
    <row r="55640" hidden="1" x14ac:dyDescent="0.2"/>
    <row r="55641" hidden="1" x14ac:dyDescent="0.2"/>
    <row r="55642" hidden="1" x14ac:dyDescent="0.2"/>
    <row r="55643" hidden="1" x14ac:dyDescent="0.2"/>
    <row r="55644" hidden="1" x14ac:dyDescent="0.2"/>
    <row r="55645" hidden="1" x14ac:dyDescent="0.2"/>
    <row r="55646" hidden="1" x14ac:dyDescent="0.2"/>
    <row r="55647" hidden="1" x14ac:dyDescent="0.2"/>
    <row r="55648" hidden="1" x14ac:dyDescent="0.2"/>
    <row r="55649" hidden="1" x14ac:dyDescent="0.2"/>
    <row r="55650" hidden="1" x14ac:dyDescent="0.2"/>
    <row r="55651" hidden="1" x14ac:dyDescent="0.2"/>
    <row r="55652" hidden="1" x14ac:dyDescent="0.2"/>
    <row r="55653" hidden="1" x14ac:dyDescent="0.2"/>
    <row r="55654" hidden="1" x14ac:dyDescent="0.2"/>
    <row r="55655" hidden="1" x14ac:dyDescent="0.2"/>
    <row r="55656" hidden="1" x14ac:dyDescent="0.2"/>
    <row r="55657" hidden="1" x14ac:dyDescent="0.2"/>
    <row r="55658" hidden="1" x14ac:dyDescent="0.2"/>
    <row r="55659" hidden="1" x14ac:dyDescent="0.2"/>
    <row r="55660" hidden="1" x14ac:dyDescent="0.2"/>
    <row r="55661" hidden="1" x14ac:dyDescent="0.2"/>
    <row r="55662" hidden="1" x14ac:dyDescent="0.2"/>
    <row r="55663" hidden="1" x14ac:dyDescent="0.2"/>
    <row r="55664" hidden="1" x14ac:dyDescent="0.2"/>
    <row r="55665" hidden="1" x14ac:dyDescent="0.2"/>
    <row r="55666" hidden="1" x14ac:dyDescent="0.2"/>
    <row r="55667" hidden="1" x14ac:dyDescent="0.2"/>
    <row r="55668" hidden="1" x14ac:dyDescent="0.2"/>
    <row r="55669" hidden="1" x14ac:dyDescent="0.2"/>
    <row r="55670" hidden="1" x14ac:dyDescent="0.2"/>
    <row r="55671" hidden="1" x14ac:dyDescent="0.2"/>
    <row r="55672" hidden="1" x14ac:dyDescent="0.2"/>
    <row r="55673" hidden="1" x14ac:dyDescent="0.2"/>
    <row r="55674" hidden="1" x14ac:dyDescent="0.2"/>
    <row r="55675" hidden="1" x14ac:dyDescent="0.2"/>
    <row r="55676" hidden="1" x14ac:dyDescent="0.2"/>
    <row r="55677" hidden="1" x14ac:dyDescent="0.2"/>
    <row r="55678" hidden="1" x14ac:dyDescent="0.2"/>
    <row r="55679" hidden="1" x14ac:dyDescent="0.2"/>
    <row r="55680" hidden="1" x14ac:dyDescent="0.2"/>
    <row r="55681" hidden="1" x14ac:dyDescent="0.2"/>
    <row r="55682" hidden="1" x14ac:dyDescent="0.2"/>
    <row r="55683" hidden="1" x14ac:dyDescent="0.2"/>
    <row r="55684" hidden="1" x14ac:dyDescent="0.2"/>
    <row r="55685" hidden="1" x14ac:dyDescent="0.2"/>
    <row r="55686" hidden="1" x14ac:dyDescent="0.2"/>
    <row r="55687" hidden="1" x14ac:dyDescent="0.2"/>
    <row r="55688" hidden="1" x14ac:dyDescent="0.2"/>
    <row r="55689" hidden="1" x14ac:dyDescent="0.2"/>
    <row r="55690" hidden="1" x14ac:dyDescent="0.2"/>
    <row r="55691" hidden="1" x14ac:dyDescent="0.2"/>
    <row r="55692" hidden="1" x14ac:dyDescent="0.2"/>
    <row r="55693" hidden="1" x14ac:dyDescent="0.2"/>
    <row r="55694" hidden="1" x14ac:dyDescent="0.2"/>
    <row r="55695" hidden="1" x14ac:dyDescent="0.2"/>
    <row r="55696" hidden="1" x14ac:dyDescent="0.2"/>
    <row r="55697" hidden="1" x14ac:dyDescent="0.2"/>
    <row r="55698" hidden="1" x14ac:dyDescent="0.2"/>
    <row r="55699" hidden="1" x14ac:dyDescent="0.2"/>
    <row r="55700" hidden="1" x14ac:dyDescent="0.2"/>
    <row r="55701" hidden="1" x14ac:dyDescent="0.2"/>
    <row r="55702" hidden="1" x14ac:dyDescent="0.2"/>
    <row r="55703" hidden="1" x14ac:dyDescent="0.2"/>
    <row r="55704" hidden="1" x14ac:dyDescent="0.2"/>
    <row r="55705" hidden="1" x14ac:dyDescent="0.2"/>
    <row r="55706" hidden="1" x14ac:dyDescent="0.2"/>
    <row r="55707" hidden="1" x14ac:dyDescent="0.2"/>
    <row r="55708" hidden="1" x14ac:dyDescent="0.2"/>
    <row r="55709" hidden="1" x14ac:dyDescent="0.2"/>
    <row r="55710" hidden="1" x14ac:dyDescent="0.2"/>
    <row r="55711" hidden="1" x14ac:dyDescent="0.2"/>
    <row r="55712" hidden="1" x14ac:dyDescent="0.2"/>
    <row r="55713" hidden="1" x14ac:dyDescent="0.2"/>
    <row r="55714" hidden="1" x14ac:dyDescent="0.2"/>
    <row r="55715" hidden="1" x14ac:dyDescent="0.2"/>
    <row r="55716" hidden="1" x14ac:dyDescent="0.2"/>
    <row r="55717" hidden="1" x14ac:dyDescent="0.2"/>
    <row r="55718" hidden="1" x14ac:dyDescent="0.2"/>
    <row r="55719" hidden="1" x14ac:dyDescent="0.2"/>
    <row r="55720" hidden="1" x14ac:dyDescent="0.2"/>
    <row r="55721" hidden="1" x14ac:dyDescent="0.2"/>
    <row r="55722" hidden="1" x14ac:dyDescent="0.2"/>
    <row r="55723" hidden="1" x14ac:dyDescent="0.2"/>
    <row r="55724" hidden="1" x14ac:dyDescent="0.2"/>
    <row r="55725" hidden="1" x14ac:dyDescent="0.2"/>
    <row r="55726" hidden="1" x14ac:dyDescent="0.2"/>
    <row r="55727" hidden="1" x14ac:dyDescent="0.2"/>
    <row r="55728" hidden="1" x14ac:dyDescent="0.2"/>
    <row r="55729" hidden="1" x14ac:dyDescent="0.2"/>
    <row r="55730" hidden="1" x14ac:dyDescent="0.2"/>
    <row r="55731" hidden="1" x14ac:dyDescent="0.2"/>
    <row r="55732" hidden="1" x14ac:dyDescent="0.2"/>
    <row r="55733" hidden="1" x14ac:dyDescent="0.2"/>
    <row r="55734" hidden="1" x14ac:dyDescent="0.2"/>
    <row r="55735" hidden="1" x14ac:dyDescent="0.2"/>
    <row r="55736" hidden="1" x14ac:dyDescent="0.2"/>
    <row r="55737" hidden="1" x14ac:dyDescent="0.2"/>
    <row r="55738" hidden="1" x14ac:dyDescent="0.2"/>
    <row r="55739" hidden="1" x14ac:dyDescent="0.2"/>
    <row r="55740" hidden="1" x14ac:dyDescent="0.2"/>
    <row r="55741" hidden="1" x14ac:dyDescent="0.2"/>
    <row r="55742" hidden="1" x14ac:dyDescent="0.2"/>
    <row r="55743" hidden="1" x14ac:dyDescent="0.2"/>
    <row r="55744" hidden="1" x14ac:dyDescent="0.2"/>
    <row r="55745" hidden="1" x14ac:dyDescent="0.2"/>
    <row r="55746" hidden="1" x14ac:dyDescent="0.2"/>
    <row r="55747" hidden="1" x14ac:dyDescent="0.2"/>
    <row r="55748" hidden="1" x14ac:dyDescent="0.2"/>
    <row r="55749" hidden="1" x14ac:dyDescent="0.2"/>
    <row r="55750" hidden="1" x14ac:dyDescent="0.2"/>
    <row r="55751" hidden="1" x14ac:dyDescent="0.2"/>
    <row r="55752" hidden="1" x14ac:dyDescent="0.2"/>
    <row r="55753" hidden="1" x14ac:dyDescent="0.2"/>
    <row r="55754" hidden="1" x14ac:dyDescent="0.2"/>
    <row r="55755" hidden="1" x14ac:dyDescent="0.2"/>
    <row r="55756" hidden="1" x14ac:dyDescent="0.2"/>
    <row r="55757" hidden="1" x14ac:dyDescent="0.2"/>
    <row r="55758" hidden="1" x14ac:dyDescent="0.2"/>
    <row r="55759" hidden="1" x14ac:dyDescent="0.2"/>
    <row r="55760" hidden="1" x14ac:dyDescent="0.2"/>
    <row r="55761" hidden="1" x14ac:dyDescent="0.2"/>
    <row r="55762" hidden="1" x14ac:dyDescent="0.2"/>
    <row r="55763" hidden="1" x14ac:dyDescent="0.2"/>
    <row r="55764" hidden="1" x14ac:dyDescent="0.2"/>
    <row r="55765" hidden="1" x14ac:dyDescent="0.2"/>
    <row r="55766" hidden="1" x14ac:dyDescent="0.2"/>
    <row r="55767" hidden="1" x14ac:dyDescent="0.2"/>
    <row r="55768" hidden="1" x14ac:dyDescent="0.2"/>
    <row r="55769" hidden="1" x14ac:dyDescent="0.2"/>
    <row r="55770" hidden="1" x14ac:dyDescent="0.2"/>
    <row r="55771" hidden="1" x14ac:dyDescent="0.2"/>
    <row r="55772" hidden="1" x14ac:dyDescent="0.2"/>
    <row r="55773" hidden="1" x14ac:dyDescent="0.2"/>
    <row r="55774" hidden="1" x14ac:dyDescent="0.2"/>
    <row r="55775" hidden="1" x14ac:dyDescent="0.2"/>
    <row r="55776" hidden="1" x14ac:dyDescent="0.2"/>
    <row r="55777" hidden="1" x14ac:dyDescent="0.2"/>
    <row r="55778" hidden="1" x14ac:dyDescent="0.2"/>
    <row r="55779" hidden="1" x14ac:dyDescent="0.2"/>
    <row r="55780" hidden="1" x14ac:dyDescent="0.2"/>
    <row r="55781" hidden="1" x14ac:dyDescent="0.2"/>
    <row r="55782" hidden="1" x14ac:dyDescent="0.2"/>
    <row r="55783" hidden="1" x14ac:dyDescent="0.2"/>
    <row r="55784" hidden="1" x14ac:dyDescent="0.2"/>
    <row r="55785" hidden="1" x14ac:dyDescent="0.2"/>
    <row r="55786" hidden="1" x14ac:dyDescent="0.2"/>
    <row r="55787" hidden="1" x14ac:dyDescent="0.2"/>
    <row r="55788" hidden="1" x14ac:dyDescent="0.2"/>
    <row r="55789" hidden="1" x14ac:dyDescent="0.2"/>
    <row r="55790" hidden="1" x14ac:dyDescent="0.2"/>
    <row r="55791" hidden="1" x14ac:dyDescent="0.2"/>
    <row r="55792" hidden="1" x14ac:dyDescent="0.2"/>
    <row r="55793" hidden="1" x14ac:dyDescent="0.2"/>
    <row r="55794" hidden="1" x14ac:dyDescent="0.2"/>
    <row r="55795" hidden="1" x14ac:dyDescent="0.2"/>
    <row r="55796" hidden="1" x14ac:dyDescent="0.2"/>
    <row r="55797" hidden="1" x14ac:dyDescent="0.2"/>
    <row r="55798" hidden="1" x14ac:dyDescent="0.2"/>
    <row r="55799" hidden="1" x14ac:dyDescent="0.2"/>
    <row r="55800" hidden="1" x14ac:dyDescent="0.2"/>
    <row r="55801" hidden="1" x14ac:dyDescent="0.2"/>
    <row r="55802" hidden="1" x14ac:dyDescent="0.2"/>
    <row r="55803" hidden="1" x14ac:dyDescent="0.2"/>
    <row r="55804" hidden="1" x14ac:dyDescent="0.2"/>
    <row r="55805" hidden="1" x14ac:dyDescent="0.2"/>
    <row r="55806" hidden="1" x14ac:dyDescent="0.2"/>
    <row r="55807" hidden="1" x14ac:dyDescent="0.2"/>
    <row r="55808" hidden="1" x14ac:dyDescent="0.2"/>
    <row r="55809" hidden="1" x14ac:dyDescent="0.2"/>
    <row r="55810" hidden="1" x14ac:dyDescent="0.2"/>
    <row r="55811" hidden="1" x14ac:dyDescent="0.2"/>
    <row r="55812" hidden="1" x14ac:dyDescent="0.2"/>
    <row r="55813" hidden="1" x14ac:dyDescent="0.2"/>
    <row r="55814" hidden="1" x14ac:dyDescent="0.2"/>
    <row r="55815" hidden="1" x14ac:dyDescent="0.2"/>
    <row r="55816" hidden="1" x14ac:dyDescent="0.2"/>
    <row r="55817" hidden="1" x14ac:dyDescent="0.2"/>
    <row r="55818" hidden="1" x14ac:dyDescent="0.2"/>
    <row r="55819" hidden="1" x14ac:dyDescent="0.2"/>
    <row r="55820" hidden="1" x14ac:dyDescent="0.2"/>
    <row r="55821" hidden="1" x14ac:dyDescent="0.2"/>
    <row r="55822" hidden="1" x14ac:dyDescent="0.2"/>
    <row r="55823" hidden="1" x14ac:dyDescent="0.2"/>
    <row r="55824" hidden="1" x14ac:dyDescent="0.2"/>
    <row r="55825" hidden="1" x14ac:dyDescent="0.2"/>
    <row r="55826" hidden="1" x14ac:dyDescent="0.2"/>
    <row r="55827" hidden="1" x14ac:dyDescent="0.2"/>
    <row r="55828" hidden="1" x14ac:dyDescent="0.2"/>
    <row r="55829" hidden="1" x14ac:dyDescent="0.2"/>
    <row r="55830" hidden="1" x14ac:dyDescent="0.2"/>
    <row r="55831" hidden="1" x14ac:dyDescent="0.2"/>
    <row r="55832" hidden="1" x14ac:dyDescent="0.2"/>
    <row r="55833" hidden="1" x14ac:dyDescent="0.2"/>
    <row r="55834" hidden="1" x14ac:dyDescent="0.2"/>
    <row r="55835" hidden="1" x14ac:dyDescent="0.2"/>
    <row r="55836" hidden="1" x14ac:dyDescent="0.2"/>
    <row r="55837" hidden="1" x14ac:dyDescent="0.2"/>
    <row r="55838" hidden="1" x14ac:dyDescent="0.2"/>
    <row r="55839" hidden="1" x14ac:dyDescent="0.2"/>
    <row r="55840" hidden="1" x14ac:dyDescent="0.2"/>
    <row r="55841" hidden="1" x14ac:dyDescent="0.2"/>
    <row r="55842" hidden="1" x14ac:dyDescent="0.2"/>
    <row r="55843" hidden="1" x14ac:dyDescent="0.2"/>
    <row r="55844" hidden="1" x14ac:dyDescent="0.2"/>
    <row r="55845" hidden="1" x14ac:dyDescent="0.2"/>
    <row r="55846" hidden="1" x14ac:dyDescent="0.2"/>
    <row r="55847" hidden="1" x14ac:dyDescent="0.2"/>
    <row r="55848" hidden="1" x14ac:dyDescent="0.2"/>
    <row r="55849" hidden="1" x14ac:dyDescent="0.2"/>
    <row r="55850" hidden="1" x14ac:dyDescent="0.2"/>
    <row r="55851" hidden="1" x14ac:dyDescent="0.2"/>
    <row r="55852" hidden="1" x14ac:dyDescent="0.2"/>
    <row r="55853" hidden="1" x14ac:dyDescent="0.2"/>
    <row r="55854" hidden="1" x14ac:dyDescent="0.2"/>
    <row r="55855" hidden="1" x14ac:dyDescent="0.2"/>
    <row r="55856" hidden="1" x14ac:dyDescent="0.2"/>
    <row r="55857" hidden="1" x14ac:dyDescent="0.2"/>
    <row r="55858" hidden="1" x14ac:dyDescent="0.2"/>
    <row r="55859" hidden="1" x14ac:dyDescent="0.2"/>
    <row r="55860" hidden="1" x14ac:dyDescent="0.2"/>
    <row r="55861" hidden="1" x14ac:dyDescent="0.2"/>
    <row r="55862" hidden="1" x14ac:dyDescent="0.2"/>
    <row r="55863" hidden="1" x14ac:dyDescent="0.2"/>
    <row r="55864" hidden="1" x14ac:dyDescent="0.2"/>
    <row r="55865" hidden="1" x14ac:dyDescent="0.2"/>
    <row r="55866" hidden="1" x14ac:dyDescent="0.2"/>
    <row r="55867" hidden="1" x14ac:dyDescent="0.2"/>
    <row r="55868" hidden="1" x14ac:dyDescent="0.2"/>
    <row r="55869" hidden="1" x14ac:dyDescent="0.2"/>
    <row r="55870" hidden="1" x14ac:dyDescent="0.2"/>
    <row r="55871" hidden="1" x14ac:dyDescent="0.2"/>
    <row r="55872" hidden="1" x14ac:dyDescent="0.2"/>
    <row r="55873" hidden="1" x14ac:dyDescent="0.2"/>
    <row r="55874" hidden="1" x14ac:dyDescent="0.2"/>
    <row r="55875" hidden="1" x14ac:dyDescent="0.2"/>
    <row r="55876" hidden="1" x14ac:dyDescent="0.2"/>
    <row r="55877" hidden="1" x14ac:dyDescent="0.2"/>
    <row r="55878" hidden="1" x14ac:dyDescent="0.2"/>
    <row r="55879" hidden="1" x14ac:dyDescent="0.2"/>
    <row r="55880" hidden="1" x14ac:dyDescent="0.2"/>
    <row r="55881" hidden="1" x14ac:dyDescent="0.2"/>
    <row r="55882" hidden="1" x14ac:dyDescent="0.2"/>
    <row r="55883" hidden="1" x14ac:dyDescent="0.2"/>
    <row r="55884" hidden="1" x14ac:dyDescent="0.2"/>
    <row r="55885" hidden="1" x14ac:dyDescent="0.2"/>
    <row r="55886" hidden="1" x14ac:dyDescent="0.2"/>
    <row r="55887" hidden="1" x14ac:dyDescent="0.2"/>
    <row r="55888" hidden="1" x14ac:dyDescent="0.2"/>
    <row r="55889" hidden="1" x14ac:dyDescent="0.2"/>
    <row r="55890" hidden="1" x14ac:dyDescent="0.2"/>
    <row r="55891" hidden="1" x14ac:dyDescent="0.2"/>
    <row r="55892" hidden="1" x14ac:dyDescent="0.2"/>
    <row r="55893" hidden="1" x14ac:dyDescent="0.2"/>
    <row r="55894" hidden="1" x14ac:dyDescent="0.2"/>
    <row r="55895" hidden="1" x14ac:dyDescent="0.2"/>
    <row r="55896" hidden="1" x14ac:dyDescent="0.2"/>
    <row r="55897" hidden="1" x14ac:dyDescent="0.2"/>
    <row r="55898" hidden="1" x14ac:dyDescent="0.2"/>
    <row r="55899" hidden="1" x14ac:dyDescent="0.2"/>
    <row r="55900" hidden="1" x14ac:dyDescent="0.2"/>
    <row r="55901" hidden="1" x14ac:dyDescent="0.2"/>
    <row r="55902" hidden="1" x14ac:dyDescent="0.2"/>
    <row r="55903" hidden="1" x14ac:dyDescent="0.2"/>
    <row r="55904" hidden="1" x14ac:dyDescent="0.2"/>
    <row r="55905" hidden="1" x14ac:dyDescent="0.2"/>
    <row r="55906" hidden="1" x14ac:dyDescent="0.2"/>
    <row r="55907" hidden="1" x14ac:dyDescent="0.2"/>
    <row r="55908" hidden="1" x14ac:dyDescent="0.2"/>
    <row r="55909" hidden="1" x14ac:dyDescent="0.2"/>
    <row r="55910" hidden="1" x14ac:dyDescent="0.2"/>
    <row r="55911" hidden="1" x14ac:dyDescent="0.2"/>
    <row r="55912" hidden="1" x14ac:dyDescent="0.2"/>
    <row r="55913" hidden="1" x14ac:dyDescent="0.2"/>
    <row r="55914" hidden="1" x14ac:dyDescent="0.2"/>
    <row r="55915" hidden="1" x14ac:dyDescent="0.2"/>
    <row r="55916" hidden="1" x14ac:dyDescent="0.2"/>
    <row r="55917" hidden="1" x14ac:dyDescent="0.2"/>
    <row r="55918" hidden="1" x14ac:dyDescent="0.2"/>
    <row r="55919" hidden="1" x14ac:dyDescent="0.2"/>
    <row r="55920" hidden="1" x14ac:dyDescent="0.2"/>
    <row r="55921" hidden="1" x14ac:dyDescent="0.2"/>
    <row r="55922" hidden="1" x14ac:dyDescent="0.2"/>
    <row r="55923" hidden="1" x14ac:dyDescent="0.2"/>
    <row r="55924" hidden="1" x14ac:dyDescent="0.2"/>
    <row r="55925" hidden="1" x14ac:dyDescent="0.2"/>
    <row r="55926" hidden="1" x14ac:dyDescent="0.2"/>
    <row r="55927" hidden="1" x14ac:dyDescent="0.2"/>
    <row r="55928" hidden="1" x14ac:dyDescent="0.2"/>
    <row r="55929" hidden="1" x14ac:dyDescent="0.2"/>
    <row r="55930" hidden="1" x14ac:dyDescent="0.2"/>
    <row r="55931" hidden="1" x14ac:dyDescent="0.2"/>
    <row r="55932" hidden="1" x14ac:dyDescent="0.2"/>
    <row r="55933" hidden="1" x14ac:dyDescent="0.2"/>
    <row r="55934" hidden="1" x14ac:dyDescent="0.2"/>
    <row r="55935" hidden="1" x14ac:dyDescent="0.2"/>
    <row r="55936" hidden="1" x14ac:dyDescent="0.2"/>
    <row r="55937" hidden="1" x14ac:dyDescent="0.2"/>
    <row r="55938" hidden="1" x14ac:dyDescent="0.2"/>
    <row r="55939" hidden="1" x14ac:dyDescent="0.2"/>
    <row r="55940" hidden="1" x14ac:dyDescent="0.2"/>
    <row r="55941" hidden="1" x14ac:dyDescent="0.2"/>
    <row r="55942" hidden="1" x14ac:dyDescent="0.2"/>
    <row r="55943" hidden="1" x14ac:dyDescent="0.2"/>
    <row r="55944" hidden="1" x14ac:dyDescent="0.2"/>
    <row r="55945" hidden="1" x14ac:dyDescent="0.2"/>
    <row r="55946" hidden="1" x14ac:dyDescent="0.2"/>
    <row r="55947" hidden="1" x14ac:dyDescent="0.2"/>
    <row r="55948" hidden="1" x14ac:dyDescent="0.2"/>
    <row r="55949" hidden="1" x14ac:dyDescent="0.2"/>
    <row r="55950" hidden="1" x14ac:dyDescent="0.2"/>
    <row r="55951" hidden="1" x14ac:dyDescent="0.2"/>
    <row r="55952" hidden="1" x14ac:dyDescent="0.2"/>
    <row r="55953" hidden="1" x14ac:dyDescent="0.2"/>
    <row r="55954" hidden="1" x14ac:dyDescent="0.2"/>
    <row r="55955" hidden="1" x14ac:dyDescent="0.2"/>
    <row r="55956" hidden="1" x14ac:dyDescent="0.2"/>
    <row r="55957" hidden="1" x14ac:dyDescent="0.2"/>
    <row r="55958" hidden="1" x14ac:dyDescent="0.2"/>
    <row r="55959" hidden="1" x14ac:dyDescent="0.2"/>
    <row r="55960" hidden="1" x14ac:dyDescent="0.2"/>
    <row r="55961" hidden="1" x14ac:dyDescent="0.2"/>
    <row r="55962" hidden="1" x14ac:dyDescent="0.2"/>
    <row r="55963" hidden="1" x14ac:dyDescent="0.2"/>
    <row r="55964" hidden="1" x14ac:dyDescent="0.2"/>
    <row r="55965" hidden="1" x14ac:dyDescent="0.2"/>
    <row r="55966" hidden="1" x14ac:dyDescent="0.2"/>
    <row r="55967" hidden="1" x14ac:dyDescent="0.2"/>
    <row r="55968" hidden="1" x14ac:dyDescent="0.2"/>
    <row r="55969" hidden="1" x14ac:dyDescent="0.2"/>
    <row r="55970" hidden="1" x14ac:dyDescent="0.2"/>
    <row r="55971" hidden="1" x14ac:dyDescent="0.2"/>
    <row r="55972" hidden="1" x14ac:dyDescent="0.2"/>
    <row r="55973" hidden="1" x14ac:dyDescent="0.2"/>
    <row r="55974" hidden="1" x14ac:dyDescent="0.2"/>
    <row r="55975" hidden="1" x14ac:dyDescent="0.2"/>
    <row r="55976" hidden="1" x14ac:dyDescent="0.2"/>
    <row r="55977" hidden="1" x14ac:dyDescent="0.2"/>
    <row r="55978" hidden="1" x14ac:dyDescent="0.2"/>
    <row r="55979" hidden="1" x14ac:dyDescent="0.2"/>
    <row r="55980" hidden="1" x14ac:dyDescent="0.2"/>
    <row r="55981" hidden="1" x14ac:dyDescent="0.2"/>
    <row r="55982" hidden="1" x14ac:dyDescent="0.2"/>
    <row r="55983" hidden="1" x14ac:dyDescent="0.2"/>
    <row r="55984" hidden="1" x14ac:dyDescent="0.2"/>
    <row r="55985" hidden="1" x14ac:dyDescent="0.2"/>
    <row r="55986" hidden="1" x14ac:dyDescent="0.2"/>
    <row r="55987" hidden="1" x14ac:dyDescent="0.2"/>
    <row r="55988" hidden="1" x14ac:dyDescent="0.2"/>
    <row r="55989" hidden="1" x14ac:dyDescent="0.2"/>
    <row r="55990" hidden="1" x14ac:dyDescent="0.2"/>
    <row r="55991" hidden="1" x14ac:dyDescent="0.2"/>
    <row r="55992" hidden="1" x14ac:dyDescent="0.2"/>
    <row r="55993" hidden="1" x14ac:dyDescent="0.2"/>
    <row r="55994" hidden="1" x14ac:dyDescent="0.2"/>
    <row r="55995" hidden="1" x14ac:dyDescent="0.2"/>
    <row r="55996" hidden="1" x14ac:dyDescent="0.2"/>
    <row r="55997" hidden="1" x14ac:dyDescent="0.2"/>
    <row r="55998" hidden="1" x14ac:dyDescent="0.2"/>
    <row r="55999" hidden="1" x14ac:dyDescent="0.2"/>
    <row r="56000" hidden="1" x14ac:dyDescent="0.2"/>
    <row r="56001" hidden="1" x14ac:dyDescent="0.2"/>
    <row r="56002" hidden="1" x14ac:dyDescent="0.2"/>
    <row r="56003" hidden="1" x14ac:dyDescent="0.2"/>
    <row r="56004" hidden="1" x14ac:dyDescent="0.2"/>
    <row r="56005" hidden="1" x14ac:dyDescent="0.2"/>
    <row r="56006" hidden="1" x14ac:dyDescent="0.2"/>
    <row r="56007" hidden="1" x14ac:dyDescent="0.2"/>
    <row r="56008" hidden="1" x14ac:dyDescent="0.2"/>
    <row r="56009" hidden="1" x14ac:dyDescent="0.2"/>
    <row r="56010" hidden="1" x14ac:dyDescent="0.2"/>
    <row r="56011" hidden="1" x14ac:dyDescent="0.2"/>
    <row r="56012" hidden="1" x14ac:dyDescent="0.2"/>
    <row r="56013" hidden="1" x14ac:dyDescent="0.2"/>
    <row r="56014" hidden="1" x14ac:dyDescent="0.2"/>
    <row r="56015" hidden="1" x14ac:dyDescent="0.2"/>
    <row r="56016" hidden="1" x14ac:dyDescent="0.2"/>
    <row r="56017" hidden="1" x14ac:dyDescent="0.2"/>
    <row r="56018" hidden="1" x14ac:dyDescent="0.2"/>
    <row r="56019" hidden="1" x14ac:dyDescent="0.2"/>
    <row r="56020" hidden="1" x14ac:dyDescent="0.2"/>
    <row r="56021" hidden="1" x14ac:dyDescent="0.2"/>
    <row r="56022" hidden="1" x14ac:dyDescent="0.2"/>
    <row r="56023" hidden="1" x14ac:dyDescent="0.2"/>
    <row r="56024" hidden="1" x14ac:dyDescent="0.2"/>
    <row r="56025" hidden="1" x14ac:dyDescent="0.2"/>
    <row r="56026" hidden="1" x14ac:dyDescent="0.2"/>
    <row r="56027" hidden="1" x14ac:dyDescent="0.2"/>
    <row r="56028" hidden="1" x14ac:dyDescent="0.2"/>
    <row r="56029" hidden="1" x14ac:dyDescent="0.2"/>
    <row r="56030" hidden="1" x14ac:dyDescent="0.2"/>
    <row r="56031" hidden="1" x14ac:dyDescent="0.2"/>
    <row r="56032" hidden="1" x14ac:dyDescent="0.2"/>
    <row r="56033" hidden="1" x14ac:dyDescent="0.2"/>
    <row r="56034" hidden="1" x14ac:dyDescent="0.2"/>
    <row r="56035" hidden="1" x14ac:dyDescent="0.2"/>
    <row r="56036" hidden="1" x14ac:dyDescent="0.2"/>
    <row r="56037" hidden="1" x14ac:dyDescent="0.2"/>
    <row r="56038" hidden="1" x14ac:dyDescent="0.2"/>
    <row r="56039" hidden="1" x14ac:dyDescent="0.2"/>
    <row r="56040" hidden="1" x14ac:dyDescent="0.2"/>
    <row r="56041" hidden="1" x14ac:dyDescent="0.2"/>
    <row r="56042" hidden="1" x14ac:dyDescent="0.2"/>
    <row r="56043" hidden="1" x14ac:dyDescent="0.2"/>
    <row r="56044" hidden="1" x14ac:dyDescent="0.2"/>
    <row r="56045" hidden="1" x14ac:dyDescent="0.2"/>
    <row r="56046" hidden="1" x14ac:dyDescent="0.2"/>
    <row r="56047" hidden="1" x14ac:dyDescent="0.2"/>
    <row r="56048" hidden="1" x14ac:dyDescent="0.2"/>
    <row r="56049" hidden="1" x14ac:dyDescent="0.2"/>
    <row r="56050" hidden="1" x14ac:dyDescent="0.2"/>
    <row r="56051" hidden="1" x14ac:dyDescent="0.2"/>
    <row r="56052" hidden="1" x14ac:dyDescent="0.2"/>
    <row r="56053" hidden="1" x14ac:dyDescent="0.2"/>
    <row r="56054" hidden="1" x14ac:dyDescent="0.2"/>
    <row r="56055" hidden="1" x14ac:dyDescent="0.2"/>
    <row r="56056" hidden="1" x14ac:dyDescent="0.2"/>
    <row r="56057" hidden="1" x14ac:dyDescent="0.2"/>
    <row r="56058" hidden="1" x14ac:dyDescent="0.2"/>
    <row r="56059" hidden="1" x14ac:dyDescent="0.2"/>
    <row r="56060" hidden="1" x14ac:dyDescent="0.2"/>
    <row r="56061" hidden="1" x14ac:dyDescent="0.2"/>
    <row r="56062" hidden="1" x14ac:dyDescent="0.2"/>
    <row r="56063" hidden="1" x14ac:dyDescent="0.2"/>
    <row r="56064" hidden="1" x14ac:dyDescent="0.2"/>
    <row r="56065" hidden="1" x14ac:dyDescent="0.2"/>
    <row r="56066" hidden="1" x14ac:dyDescent="0.2"/>
    <row r="56067" hidden="1" x14ac:dyDescent="0.2"/>
    <row r="56068" hidden="1" x14ac:dyDescent="0.2"/>
    <row r="56069" hidden="1" x14ac:dyDescent="0.2"/>
    <row r="56070" hidden="1" x14ac:dyDescent="0.2"/>
    <row r="56071" hidden="1" x14ac:dyDescent="0.2"/>
    <row r="56072" hidden="1" x14ac:dyDescent="0.2"/>
    <row r="56073" hidden="1" x14ac:dyDescent="0.2"/>
    <row r="56074" hidden="1" x14ac:dyDescent="0.2"/>
    <row r="56075" hidden="1" x14ac:dyDescent="0.2"/>
    <row r="56076" hidden="1" x14ac:dyDescent="0.2"/>
    <row r="56077" hidden="1" x14ac:dyDescent="0.2"/>
    <row r="56078" hidden="1" x14ac:dyDescent="0.2"/>
    <row r="56079" hidden="1" x14ac:dyDescent="0.2"/>
    <row r="56080" hidden="1" x14ac:dyDescent="0.2"/>
    <row r="56081" hidden="1" x14ac:dyDescent="0.2"/>
    <row r="56082" hidden="1" x14ac:dyDescent="0.2"/>
    <row r="56083" hidden="1" x14ac:dyDescent="0.2"/>
    <row r="56084" hidden="1" x14ac:dyDescent="0.2"/>
    <row r="56085" hidden="1" x14ac:dyDescent="0.2"/>
    <row r="56086" hidden="1" x14ac:dyDescent="0.2"/>
    <row r="56087" hidden="1" x14ac:dyDescent="0.2"/>
    <row r="56088" hidden="1" x14ac:dyDescent="0.2"/>
    <row r="56089" hidden="1" x14ac:dyDescent="0.2"/>
    <row r="56090" hidden="1" x14ac:dyDescent="0.2"/>
    <row r="56091" hidden="1" x14ac:dyDescent="0.2"/>
    <row r="56092" hidden="1" x14ac:dyDescent="0.2"/>
    <row r="56093" hidden="1" x14ac:dyDescent="0.2"/>
    <row r="56094" hidden="1" x14ac:dyDescent="0.2"/>
    <row r="56095" hidden="1" x14ac:dyDescent="0.2"/>
    <row r="56096" hidden="1" x14ac:dyDescent="0.2"/>
    <row r="56097" hidden="1" x14ac:dyDescent="0.2"/>
    <row r="56098" hidden="1" x14ac:dyDescent="0.2"/>
    <row r="56099" hidden="1" x14ac:dyDescent="0.2"/>
    <row r="56100" hidden="1" x14ac:dyDescent="0.2"/>
    <row r="56101" hidden="1" x14ac:dyDescent="0.2"/>
    <row r="56102" hidden="1" x14ac:dyDescent="0.2"/>
    <row r="56103" hidden="1" x14ac:dyDescent="0.2"/>
    <row r="56104" hidden="1" x14ac:dyDescent="0.2"/>
    <row r="56105" hidden="1" x14ac:dyDescent="0.2"/>
    <row r="56106" hidden="1" x14ac:dyDescent="0.2"/>
    <row r="56107" hidden="1" x14ac:dyDescent="0.2"/>
    <row r="56108" hidden="1" x14ac:dyDescent="0.2"/>
    <row r="56109" hidden="1" x14ac:dyDescent="0.2"/>
    <row r="56110" hidden="1" x14ac:dyDescent="0.2"/>
    <row r="56111" hidden="1" x14ac:dyDescent="0.2"/>
    <row r="56112" hidden="1" x14ac:dyDescent="0.2"/>
    <row r="56113" hidden="1" x14ac:dyDescent="0.2"/>
    <row r="56114" hidden="1" x14ac:dyDescent="0.2"/>
    <row r="56115" hidden="1" x14ac:dyDescent="0.2"/>
    <row r="56116" hidden="1" x14ac:dyDescent="0.2"/>
    <row r="56117" hidden="1" x14ac:dyDescent="0.2"/>
    <row r="56118" hidden="1" x14ac:dyDescent="0.2"/>
    <row r="56119" hidden="1" x14ac:dyDescent="0.2"/>
    <row r="56120" hidden="1" x14ac:dyDescent="0.2"/>
    <row r="56121" hidden="1" x14ac:dyDescent="0.2"/>
    <row r="56122" hidden="1" x14ac:dyDescent="0.2"/>
    <row r="56123" hidden="1" x14ac:dyDescent="0.2"/>
    <row r="56124" hidden="1" x14ac:dyDescent="0.2"/>
    <row r="56125" hidden="1" x14ac:dyDescent="0.2"/>
    <row r="56126" hidden="1" x14ac:dyDescent="0.2"/>
    <row r="56127" hidden="1" x14ac:dyDescent="0.2"/>
    <row r="56128" hidden="1" x14ac:dyDescent="0.2"/>
    <row r="56129" hidden="1" x14ac:dyDescent="0.2"/>
    <row r="56130" hidden="1" x14ac:dyDescent="0.2"/>
    <row r="56131" hidden="1" x14ac:dyDescent="0.2"/>
    <row r="56132" hidden="1" x14ac:dyDescent="0.2"/>
    <row r="56133" hidden="1" x14ac:dyDescent="0.2"/>
    <row r="56134" hidden="1" x14ac:dyDescent="0.2"/>
    <row r="56135" hidden="1" x14ac:dyDescent="0.2"/>
    <row r="56136" hidden="1" x14ac:dyDescent="0.2"/>
    <row r="56137" hidden="1" x14ac:dyDescent="0.2"/>
    <row r="56138" hidden="1" x14ac:dyDescent="0.2"/>
    <row r="56139" hidden="1" x14ac:dyDescent="0.2"/>
    <row r="56140" hidden="1" x14ac:dyDescent="0.2"/>
    <row r="56141" hidden="1" x14ac:dyDescent="0.2"/>
    <row r="56142" hidden="1" x14ac:dyDescent="0.2"/>
    <row r="56143" hidden="1" x14ac:dyDescent="0.2"/>
    <row r="56144" hidden="1" x14ac:dyDescent="0.2"/>
    <row r="56145" hidden="1" x14ac:dyDescent="0.2"/>
    <row r="56146" hidden="1" x14ac:dyDescent="0.2"/>
    <row r="56147" hidden="1" x14ac:dyDescent="0.2"/>
    <row r="56148" hidden="1" x14ac:dyDescent="0.2"/>
    <row r="56149" hidden="1" x14ac:dyDescent="0.2"/>
    <row r="56150" hidden="1" x14ac:dyDescent="0.2"/>
    <row r="56151" hidden="1" x14ac:dyDescent="0.2"/>
    <row r="56152" hidden="1" x14ac:dyDescent="0.2"/>
    <row r="56153" hidden="1" x14ac:dyDescent="0.2"/>
    <row r="56154" hidden="1" x14ac:dyDescent="0.2"/>
    <row r="56155" hidden="1" x14ac:dyDescent="0.2"/>
    <row r="56156" hidden="1" x14ac:dyDescent="0.2"/>
    <row r="56157" hidden="1" x14ac:dyDescent="0.2"/>
    <row r="56158" hidden="1" x14ac:dyDescent="0.2"/>
    <row r="56159" hidden="1" x14ac:dyDescent="0.2"/>
    <row r="56160" hidden="1" x14ac:dyDescent="0.2"/>
    <row r="56161" hidden="1" x14ac:dyDescent="0.2"/>
    <row r="56162" hidden="1" x14ac:dyDescent="0.2"/>
    <row r="56163" hidden="1" x14ac:dyDescent="0.2"/>
    <row r="56164" hidden="1" x14ac:dyDescent="0.2"/>
    <row r="56165" hidden="1" x14ac:dyDescent="0.2"/>
    <row r="56166" hidden="1" x14ac:dyDescent="0.2"/>
    <row r="56167" hidden="1" x14ac:dyDescent="0.2"/>
    <row r="56168" hidden="1" x14ac:dyDescent="0.2"/>
    <row r="56169" hidden="1" x14ac:dyDescent="0.2"/>
    <row r="56170" hidden="1" x14ac:dyDescent="0.2"/>
    <row r="56171" hidden="1" x14ac:dyDescent="0.2"/>
    <row r="56172" hidden="1" x14ac:dyDescent="0.2"/>
    <row r="56173" hidden="1" x14ac:dyDescent="0.2"/>
    <row r="56174" hidden="1" x14ac:dyDescent="0.2"/>
    <row r="56175" hidden="1" x14ac:dyDescent="0.2"/>
    <row r="56176" hidden="1" x14ac:dyDescent="0.2"/>
    <row r="56177" hidden="1" x14ac:dyDescent="0.2"/>
    <row r="56178" hidden="1" x14ac:dyDescent="0.2"/>
    <row r="56179" hidden="1" x14ac:dyDescent="0.2"/>
    <row r="56180" hidden="1" x14ac:dyDescent="0.2"/>
    <row r="56181" hidden="1" x14ac:dyDescent="0.2"/>
    <row r="56182" hidden="1" x14ac:dyDescent="0.2"/>
    <row r="56183" hidden="1" x14ac:dyDescent="0.2"/>
    <row r="56184" hidden="1" x14ac:dyDescent="0.2"/>
    <row r="56185" hidden="1" x14ac:dyDescent="0.2"/>
    <row r="56186" hidden="1" x14ac:dyDescent="0.2"/>
    <row r="56187" hidden="1" x14ac:dyDescent="0.2"/>
    <row r="56188" hidden="1" x14ac:dyDescent="0.2"/>
    <row r="56189" hidden="1" x14ac:dyDescent="0.2"/>
    <row r="56190" hidden="1" x14ac:dyDescent="0.2"/>
    <row r="56191" hidden="1" x14ac:dyDescent="0.2"/>
    <row r="56192" hidden="1" x14ac:dyDescent="0.2"/>
    <row r="56193" hidden="1" x14ac:dyDescent="0.2"/>
    <row r="56194" hidden="1" x14ac:dyDescent="0.2"/>
    <row r="56195" hidden="1" x14ac:dyDescent="0.2"/>
    <row r="56196" hidden="1" x14ac:dyDescent="0.2"/>
    <row r="56197" hidden="1" x14ac:dyDescent="0.2"/>
    <row r="56198" hidden="1" x14ac:dyDescent="0.2"/>
    <row r="56199" hidden="1" x14ac:dyDescent="0.2"/>
    <row r="56200" hidden="1" x14ac:dyDescent="0.2"/>
    <row r="56201" hidden="1" x14ac:dyDescent="0.2"/>
    <row r="56202" hidden="1" x14ac:dyDescent="0.2"/>
    <row r="56203" hidden="1" x14ac:dyDescent="0.2"/>
    <row r="56204" hidden="1" x14ac:dyDescent="0.2"/>
    <row r="56205" hidden="1" x14ac:dyDescent="0.2"/>
    <row r="56206" hidden="1" x14ac:dyDescent="0.2"/>
    <row r="56207" hidden="1" x14ac:dyDescent="0.2"/>
    <row r="56208" hidden="1" x14ac:dyDescent="0.2"/>
    <row r="56209" hidden="1" x14ac:dyDescent="0.2"/>
    <row r="56210" hidden="1" x14ac:dyDescent="0.2"/>
    <row r="56211" hidden="1" x14ac:dyDescent="0.2"/>
    <row r="56212" hidden="1" x14ac:dyDescent="0.2"/>
    <row r="56213" hidden="1" x14ac:dyDescent="0.2"/>
    <row r="56214" hidden="1" x14ac:dyDescent="0.2"/>
    <row r="56215" hidden="1" x14ac:dyDescent="0.2"/>
    <row r="56216" hidden="1" x14ac:dyDescent="0.2"/>
    <row r="56217" hidden="1" x14ac:dyDescent="0.2"/>
    <row r="56218" hidden="1" x14ac:dyDescent="0.2"/>
    <row r="56219" hidden="1" x14ac:dyDescent="0.2"/>
    <row r="56220" hidden="1" x14ac:dyDescent="0.2"/>
    <row r="56221" hidden="1" x14ac:dyDescent="0.2"/>
    <row r="56222" hidden="1" x14ac:dyDescent="0.2"/>
    <row r="56223" hidden="1" x14ac:dyDescent="0.2"/>
    <row r="56224" hidden="1" x14ac:dyDescent="0.2"/>
    <row r="56225" hidden="1" x14ac:dyDescent="0.2"/>
    <row r="56226" hidden="1" x14ac:dyDescent="0.2"/>
    <row r="56227" hidden="1" x14ac:dyDescent="0.2"/>
    <row r="56228" hidden="1" x14ac:dyDescent="0.2"/>
    <row r="56229" hidden="1" x14ac:dyDescent="0.2"/>
    <row r="56230" hidden="1" x14ac:dyDescent="0.2"/>
    <row r="56231" hidden="1" x14ac:dyDescent="0.2"/>
    <row r="56232" hidden="1" x14ac:dyDescent="0.2"/>
    <row r="56233" hidden="1" x14ac:dyDescent="0.2"/>
    <row r="56234" hidden="1" x14ac:dyDescent="0.2"/>
    <row r="56235" hidden="1" x14ac:dyDescent="0.2"/>
    <row r="56236" hidden="1" x14ac:dyDescent="0.2"/>
    <row r="56237" hidden="1" x14ac:dyDescent="0.2"/>
    <row r="56238" hidden="1" x14ac:dyDescent="0.2"/>
    <row r="56239" hidden="1" x14ac:dyDescent="0.2"/>
    <row r="56240" hidden="1" x14ac:dyDescent="0.2"/>
    <row r="56241" hidden="1" x14ac:dyDescent="0.2"/>
    <row r="56242" hidden="1" x14ac:dyDescent="0.2"/>
    <row r="56243" hidden="1" x14ac:dyDescent="0.2"/>
    <row r="56244" hidden="1" x14ac:dyDescent="0.2"/>
    <row r="56245" hidden="1" x14ac:dyDescent="0.2"/>
    <row r="56246" hidden="1" x14ac:dyDescent="0.2"/>
    <row r="56247" hidden="1" x14ac:dyDescent="0.2"/>
    <row r="56248" hidden="1" x14ac:dyDescent="0.2"/>
    <row r="56249" hidden="1" x14ac:dyDescent="0.2"/>
    <row r="56250" hidden="1" x14ac:dyDescent="0.2"/>
    <row r="56251" hidden="1" x14ac:dyDescent="0.2"/>
    <row r="56252" hidden="1" x14ac:dyDescent="0.2"/>
    <row r="56253" hidden="1" x14ac:dyDescent="0.2"/>
    <row r="56254" hidden="1" x14ac:dyDescent="0.2"/>
    <row r="56255" hidden="1" x14ac:dyDescent="0.2"/>
    <row r="56256" hidden="1" x14ac:dyDescent="0.2"/>
    <row r="56257" hidden="1" x14ac:dyDescent="0.2"/>
    <row r="56258" hidden="1" x14ac:dyDescent="0.2"/>
    <row r="56259" hidden="1" x14ac:dyDescent="0.2"/>
    <row r="56260" hidden="1" x14ac:dyDescent="0.2"/>
    <row r="56261" hidden="1" x14ac:dyDescent="0.2"/>
    <row r="56262" hidden="1" x14ac:dyDescent="0.2"/>
    <row r="56263" hidden="1" x14ac:dyDescent="0.2"/>
    <row r="56264" hidden="1" x14ac:dyDescent="0.2"/>
    <row r="56265" hidden="1" x14ac:dyDescent="0.2"/>
    <row r="56266" hidden="1" x14ac:dyDescent="0.2"/>
    <row r="56267" hidden="1" x14ac:dyDescent="0.2"/>
    <row r="56268" hidden="1" x14ac:dyDescent="0.2"/>
    <row r="56269" hidden="1" x14ac:dyDescent="0.2"/>
    <row r="56270" hidden="1" x14ac:dyDescent="0.2"/>
    <row r="56271" hidden="1" x14ac:dyDescent="0.2"/>
    <row r="56272" hidden="1" x14ac:dyDescent="0.2"/>
    <row r="56273" hidden="1" x14ac:dyDescent="0.2"/>
    <row r="56274" hidden="1" x14ac:dyDescent="0.2"/>
    <row r="56275" hidden="1" x14ac:dyDescent="0.2"/>
    <row r="56276" hidden="1" x14ac:dyDescent="0.2"/>
    <row r="56277" hidden="1" x14ac:dyDescent="0.2"/>
    <row r="56278" hidden="1" x14ac:dyDescent="0.2"/>
    <row r="56279" hidden="1" x14ac:dyDescent="0.2"/>
    <row r="56280" hidden="1" x14ac:dyDescent="0.2"/>
    <row r="56281" hidden="1" x14ac:dyDescent="0.2"/>
    <row r="56282" hidden="1" x14ac:dyDescent="0.2"/>
    <row r="56283" hidden="1" x14ac:dyDescent="0.2"/>
    <row r="56284" hidden="1" x14ac:dyDescent="0.2"/>
    <row r="56285" hidden="1" x14ac:dyDescent="0.2"/>
    <row r="56286" hidden="1" x14ac:dyDescent="0.2"/>
    <row r="56287" hidden="1" x14ac:dyDescent="0.2"/>
    <row r="56288" hidden="1" x14ac:dyDescent="0.2"/>
    <row r="56289" hidden="1" x14ac:dyDescent="0.2"/>
    <row r="56290" hidden="1" x14ac:dyDescent="0.2"/>
    <row r="56291" hidden="1" x14ac:dyDescent="0.2"/>
    <row r="56292" hidden="1" x14ac:dyDescent="0.2"/>
    <row r="56293" hidden="1" x14ac:dyDescent="0.2"/>
    <row r="56294" hidden="1" x14ac:dyDescent="0.2"/>
    <row r="56295" hidden="1" x14ac:dyDescent="0.2"/>
    <row r="56296" hidden="1" x14ac:dyDescent="0.2"/>
    <row r="56297" hidden="1" x14ac:dyDescent="0.2"/>
    <row r="56298" hidden="1" x14ac:dyDescent="0.2"/>
    <row r="56299" hidden="1" x14ac:dyDescent="0.2"/>
    <row r="56300" hidden="1" x14ac:dyDescent="0.2"/>
    <row r="56301" hidden="1" x14ac:dyDescent="0.2"/>
    <row r="56302" hidden="1" x14ac:dyDescent="0.2"/>
    <row r="56303" hidden="1" x14ac:dyDescent="0.2"/>
    <row r="56304" hidden="1" x14ac:dyDescent="0.2"/>
    <row r="56305" hidden="1" x14ac:dyDescent="0.2"/>
    <row r="56306" hidden="1" x14ac:dyDescent="0.2"/>
    <row r="56307" hidden="1" x14ac:dyDescent="0.2"/>
    <row r="56308" hidden="1" x14ac:dyDescent="0.2"/>
    <row r="56309" hidden="1" x14ac:dyDescent="0.2"/>
    <row r="56310" hidden="1" x14ac:dyDescent="0.2"/>
    <row r="56311" hidden="1" x14ac:dyDescent="0.2"/>
    <row r="56312" hidden="1" x14ac:dyDescent="0.2"/>
    <row r="56313" hidden="1" x14ac:dyDescent="0.2"/>
    <row r="56314" hidden="1" x14ac:dyDescent="0.2"/>
    <row r="56315" hidden="1" x14ac:dyDescent="0.2"/>
    <row r="56316" hidden="1" x14ac:dyDescent="0.2"/>
    <row r="56317" hidden="1" x14ac:dyDescent="0.2"/>
    <row r="56318" hidden="1" x14ac:dyDescent="0.2"/>
    <row r="56319" hidden="1" x14ac:dyDescent="0.2"/>
    <row r="56320" hidden="1" x14ac:dyDescent="0.2"/>
    <row r="56321" hidden="1" x14ac:dyDescent="0.2"/>
    <row r="56322" hidden="1" x14ac:dyDescent="0.2"/>
    <row r="56323" hidden="1" x14ac:dyDescent="0.2"/>
    <row r="56324" hidden="1" x14ac:dyDescent="0.2"/>
    <row r="56325" hidden="1" x14ac:dyDescent="0.2"/>
    <row r="56326" hidden="1" x14ac:dyDescent="0.2"/>
    <row r="56327" hidden="1" x14ac:dyDescent="0.2"/>
    <row r="56328" hidden="1" x14ac:dyDescent="0.2"/>
    <row r="56329" hidden="1" x14ac:dyDescent="0.2"/>
    <row r="56330" hidden="1" x14ac:dyDescent="0.2"/>
    <row r="56331" hidden="1" x14ac:dyDescent="0.2"/>
    <row r="56332" hidden="1" x14ac:dyDescent="0.2"/>
    <row r="56333" hidden="1" x14ac:dyDescent="0.2"/>
    <row r="56334" hidden="1" x14ac:dyDescent="0.2"/>
    <row r="56335" hidden="1" x14ac:dyDescent="0.2"/>
    <row r="56336" hidden="1" x14ac:dyDescent="0.2"/>
    <row r="56337" hidden="1" x14ac:dyDescent="0.2"/>
    <row r="56338" hidden="1" x14ac:dyDescent="0.2"/>
    <row r="56339" hidden="1" x14ac:dyDescent="0.2"/>
    <row r="56340" hidden="1" x14ac:dyDescent="0.2"/>
    <row r="56341" hidden="1" x14ac:dyDescent="0.2"/>
    <row r="56342" hidden="1" x14ac:dyDescent="0.2"/>
    <row r="56343" hidden="1" x14ac:dyDescent="0.2"/>
    <row r="56344" hidden="1" x14ac:dyDescent="0.2"/>
    <row r="56345" hidden="1" x14ac:dyDescent="0.2"/>
    <row r="56346" hidden="1" x14ac:dyDescent="0.2"/>
    <row r="56347" hidden="1" x14ac:dyDescent="0.2"/>
    <row r="56348" hidden="1" x14ac:dyDescent="0.2"/>
    <row r="56349" hidden="1" x14ac:dyDescent="0.2"/>
    <row r="56350" hidden="1" x14ac:dyDescent="0.2"/>
    <row r="56351" hidden="1" x14ac:dyDescent="0.2"/>
    <row r="56352" hidden="1" x14ac:dyDescent="0.2"/>
    <row r="56353" hidden="1" x14ac:dyDescent="0.2"/>
    <row r="56354" hidden="1" x14ac:dyDescent="0.2"/>
    <row r="56355" hidden="1" x14ac:dyDescent="0.2"/>
    <row r="56356" hidden="1" x14ac:dyDescent="0.2"/>
    <row r="56357" hidden="1" x14ac:dyDescent="0.2"/>
    <row r="56358" hidden="1" x14ac:dyDescent="0.2"/>
    <row r="56359" hidden="1" x14ac:dyDescent="0.2"/>
    <row r="56360" hidden="1" x14ac:dyDescent="0.2"/>
    <row r="56361" hidden="1" x14ac:dyDescent="0.2"/>
    <row r="56362" hidden="1" x14ac:dyDescent="0.2"/>
    <row r="56363" hidden="1" x14ac:dyDescent="0.2"/>
    <row r="56364" hidden="1" x14ac:dyDescent="0.2"/>
    <row r="56365" hidden="1" x14ac:dyDescent="0.2"/>
    <row r="56366" hidden="1" x14ac:dyDescent="0.2"/>
    <row r="56367" hidden="1" x14ac:dyDescent="0.2"/>
    <row r="56368" hidden="1" x14ac:dyDescent="0.2"/>
    <row r="56369" hidden="1" x14ac:dyDescent="0.2"/>
    <row r="56370" hidden="1" x14ac:dyDescent="0.2"/>
    <row r="56371" hidden="1" x14ac:dyDescent="0.2"/>
    <row r="56372" hidden="1" x14ac:dyDescent="0.2"/>
    <row r="56373" hidden="1" x14ac:dyDescent="0.2"/>
    <row r="56374" hidden="1" x14ac:dyDescent="0.2"/>
    <row r="56375" hidden="1" x14ac:dyDescent="0.2"/>
    <row r="56376" hidden="1" x14ac:dyDescent="0.2"/>
    <row r="56377" hidden="1" x14ac:dyDescent="0.2"/>
    <row r="56378" hidden="1" x14ac:dyDescent="0.2"/>
    <row r="56379" hidden="1" x14ac:dyDescent="0.2"/>
    <row r="56380" hidden="1" x14ac:dyDescent="0.2"/>
    <row r="56381" hidden="1" x14ac:dyDescent="0.2"/>
    <row r="56382" hidden="1" x14ac:dyDescent="0.2"/>
    <row r="56383" hidden="1" x14ac:dyDescent="0.2"/>
    <row r="56384" hidden="1" x14ac:dyDescent="0.2"/>
    <row r="56385" hidden="1" x14ac:dyDescent="0.2"/>
    <row r="56386" hidden="1" x14ac:dyDescent="0.2"/>
    <row r="56387" hidden="1" x14ac:dyDescent="0.2"/>
    <row r="56388" hidden="1" x14ac:dyDescent="0.2"/>
    <row r="56389" hidden="1" x14ac:dyDescent="0.2"/>
    <row r="56390" hidden="1" x14ac:dyDescent="0.2"/>
    <row r="56391" hidden="1" x14ac:dyDescent="0.2"/>
    <row r="56392" hidden="1" x14ac:dyDescent="0.2"/>
    <row r="56393" hidden="1" x14ac:dyDescent="0.2"/>
    <row r="56394" hidden="1" x14ac:dyDescent="0.2"/>
    <row r="56395" hidden="1" x14ac:dyDescent="0.2"/>
    <row r="56396" hidden="1" x14ac:dyDescent="0.2"/>
    <row r="56397" hidden="1" x14ac:dyDescent="0.2"/>
    <row r="56398" hidden="1" x14ac:dyDescent="0.2"/>
    <row r="56399" hidden="1" x14ac:dyDescent="0.2"/>
    <row r="56400" hidden="1" x14ac:dyDescent="0.2"/>
    <row r="56401" hidden="1" x14ac:dyDescent="0.2"/>
    <row r="56402" hidden="1" x14ac:dyDescent="0.2"/>
    <row r="56403" hidden="1" x14ac:dyDescent="0.2"/>
    <row r="56404" hidden="1" x14ac:dyDescent="0.2"/>
    <row r="56405" hidden="1" x14ac:dyDescent="0.2"/>
    <row r="56406" hidden="1" x14ac:dyDescent="0.2"/>
    <row r="56407" hidden="1" x14ac:dyDescent="0.2"/>
    <row r="56408" hidden="1" x14ac:dyDescent="0.2"/>
    <row r="56409" hidden="1" x14ac:dyDescent="0.2"/>
    <row r="56410" hidden="1" x14ac:dyDescent="0.2"/>
    <row r="56411" hidden="1" x14ac:dyDescent="0.2"/>
    <row r="56412" hidden="1" x14ac:dyDescent="0.2"/>
    <row r="56413" hidden="1" x14ac:dyDescent="0.2"/>
    <row r="56414" hidden="1" x14ac:dyDescent="0.2"/>
    <row r="56415" hidden="1" x14ac:dyDescent="0.2"/>
    <row r="56416" hidden="1" x14ac:dyDescent="0.2"/>
    <row r="56417" hidden="1" x14ac:dyDescent="0.2"/>
    <row r="56418" hidden="1" x14ac:dyDescent="0.2"/>
    <row r="56419" hidden="1" x14ac:dyDescent="0.2"/>
    <row r="56420" hidden="1" x14ac:dyDescent="0.2"/>
    <row r="56421" hidden="1" x14ac:dyDescent="0.2"/>
    <row r="56422" hidden="1" x14ac:dyDescent="0.2"/>
    <row r="56423" hidden="1" x14ac:dyDescent="0.2"/>
    <row r="56424" hidden="1" x14ac:dyDescent="0.2"/>
    <row r="56425" hidden="1" x14ac:dyDescent="0.2"/>
    <row r="56426" hidden="1" x14ac:dyDescent="0.2"/>
    <row r="56427" hidden="1" x14ac:dyDescent="0.2"/>
    <row r="56428" hidden="1" x14ac:dyDescent="0.2"/>
    <row r="56429" hidden="1" x14ac:dyDescent="0.2"/>
    <row r="56430" hidden="1" x14ac:dyDescent="0.2"/>
    <row r="56431" hidden="1" x14ac:dyDescent="0.2"/>
    <row r="56432" hidden="1" x14ac:dyDescent="0.2"/>
    <row r="56433" hidden="1" x14ac:dyDescent="0.2"/>
    <row r="56434" hidden="1" x14ac:dyDescent="0.2"/>
    <row r="56435" hidden="1" x14ac:dyDescent="0.2"/>
    <row r="56436" hidden="1" x14ac:dyDescent="0.2"/>
    <row r="56437" hidden="1" x14ac:dyDescent="0.2"/>
    <row r="56438" hidden="1" x14ac:dyDescent="0.2"/>
    <row r="56439" hidden="1" x14ac:dyDescent="0.2"/>
    <row r="56440" hidden="1" x14ac:dyDescent="0.2"/>
    <row r="56441" hidden="1" x14ac:dyDescent="0.2"/>
    <row r="56442" hidden="1" x14ac:dyDescent="0.2"/>
    <row r="56443" hidden="1" x14ac:dyDescent="0.2"/>
    <row r="56444" hidden="1" x14ac:dyDescent="0.2"/>
    <row r="56445" hidden="1" x14ac:dyDescent="0.2"/>
    <row r="56446" hidden="1" x14ac:dyDescent="0.2"/>
    <row r="56447" hidden="1" x14ac:dyDescent="0.2"/>
    <row r="56448" hidden="1" x14ac:dyDescent="0.2"/>
    <row r="56449" hidden="1" x14ac:dyDescent="0.2"/>
    <row r="56450" hidden="1" x14ac:dyDescent="0.2"/>
    <row r="56451" hidden="1" x14ac:dyDescent="0.2"/>
    <row r="56452" hidden="1" x14ac:dyDescent="0.2"/>
    <row r="56453" hidden="1" x14ac:dyDescent="0.2"/>
    <row r="56454" hidden="1" x14ac:dyDescent="0.2"/>
    <row r="56455" hidden="1" x14ac:dyDescent="0.2"/>
    <row r="56456" hidden="1" x14ac:dyDescent="0.2"/>
    <row r="56457" hidden="1" x14ac:dyDescent="0.2"/>
    <row r="56458" hidden="1" x14ac:dyDescent="0.2"/>
    <row r="56459" hidden="1" x14ac:dyDescent="0.2"/>
    <row r="56460" hidden="1" x14ac:dyDescent="0.2"/>
    <row r="56461" hidden="1" x14ac:dyDescent="0.2"/>
    <row r="56462" hidden="1" x14ac:dyDescent="0.2"/>
    <row r="56463" hidden="1" x14ac:dyDescent="0.2"/>
    <row r="56464" hidden="1" x14ac:dyDescent="0.2"/>
    <row r="56465" hidden="1" x14ac:dyDescent="0.2"/>
    <row r="56466" hidden="1" x14ac:dyDescent="0.2"/>
    <row r="56467" hidden="1" x14ac:dyDescent="0.2"/>
    <row r="56468" hidden="1" x14ac:dyDescent="0.2"/>
    <row r="56469" hidden="1" x14ac:dyDescent="0.2"/>
    <row r="56470" hidden="1" x14ac:dyDescent="0.2"/>
    <row r="56471" hidden="1" x14ac:dyDescent="0.2"/>
    <row r="56472" hidden="1" x14ac:dyDescent="0.2"/>
    <row r="56473" hidden="1" x14ac:dyDescent="0.2"/>
    <row r="56474" hidden="1" x14ac:dyDescent="0.2"/>
    <row r="56475" hidden="1" x14ac:dyDescent="0.2"/>
    <row r="56476" hidden="1" x14ac:dyDescent="0.2"/>
    <row r="56477" hidden="1" x14ac:dyDescent="0.2"/>
    <row r="56478" hidden="1" x14ac:dyDescent="0.2"/>
    <row r="56479" hidden="1" x14ac:dyDescent="0.2"/>
    <row r="56480" hidden="1" x14ac:dyDescent="0.2"/>
    <row r="56481" hidden="1" x14ac:dyDescent="0.2"/>
    <row r="56482" hidden="1" x14ac:dyDescent="0.2"/>
    <row r="56483" hidden="1" x14ac:dyDescent="0.2"/>
    <row r="56484" hidden="1" x14ac:dyDescent="0.2"/>
    <row r="56485" hidden="1" x14ac:dyDescent="0.2"/>
    <row r="56486" hidden="1" x14ac:dyDescent="0.2"/>
    <row r="56487" hidden="1" x14ac:dyDescent="0.2"/>
    <row r="56488" hidden="1" x14ac:dyDescent="0.2"/>
    <row r="56489" hidden="1" x14ac:dyDescent="0.2"/>
    <row r="56490" hidden="1" x14ac:dyDescent="0.2"/>
    <row r="56491" hidden="1" x14ac:dyDescent="0.2"/>
    <row r="56492" hidden="1" x14ac:dyDescent="0.2"/>
    <row r="56493" hidden="1" x14ac:dyDescent="0.2"/>
    <row r="56494" hidden="1" x14ac:dyDescent="0.2"/>
    <row r="56495" hidden="1" x14ac:dyDescent="0.2"/>
    <row r="56496" hidden="1" x14ac:dyDescent="0.2"/>
    <row r="56497" hidden="1" x14ac:dyDescent="0.2"/>
    <row r="56498" hidden="1" x14ac:dyDescent="0.2"/>
    <row r="56499" hidden="1" x14ac:dyDescent="0.2"/>
    <row r="56500" hidden="1" x14ac:dyDescent="0.2"/>
    <row r="56501" hidden="1" x14ac:dyDescent="0.2"/>
    <row r="56502" hidden="1" x14ac:dyDescent="0.2"/>
    <row r="56503" hidden="1" x14ac:dyDescent="0.2"/>
    <row r="56504" hidden="1" x14ac:dyDescent="0.2"/>
    <row r="56505" hidden="1" x14ac:dyDescent="0.2"/>
    <row r="56506" hidden="1" x14ac:dyDescent="0.2"/>
    <row r="56507" hidden="1" x14ac:dyDescent="0.2"/>
    <row r="56508" hidden="1" x14ac:dyDescent="0.2"/>
    <row r="56509" hidden="1" x14ac:dyDescent="0.2"/>
    <row r="56510" hidden="1" x14ac:dyDescent="0.2"/>
    <row r="56511" hidden="1" x14ac:dyDescent="0.2"/>
    <row r="56512" hidden="1" x14ac:dyDescent="0.2"/>
    <row r="56513" hidden="1" x14ac:dyDescent="0.2"/>
    <row r="56514" hidden="1" x14ac:dyDescent="0.2"/>
    <row r="56515" hidden="1" x14ac:dyDescent="0.2"/>
    <row r="56516" hidden="1" x14ac:dyDescent="0.2"/>
    <row r="56517" hidden="1" x14ac:dyDescent="0.2"/>
    <row r="56518" hidden="1" x14ac:dyDescent="0.2"/>
    <row r="56519" hidden="1" x14ac:dyDescent="0.2"/>
    <row r="56520" hidden="1" x14ac:dyDescent="0.2"/>
    <row r="56521" hidden="1" x14ac:dyDescent="0.2"/>
    <row r="56522" hidden="1" x14ac:dyDescent="0.2"/>
    <row r="56523" hidden="1" x14ac:dyDescent="0.2"/>
    <row r="56524" hidden="1" x14ac:dyDescent="0.2"/>
    <row r="56525" hidden="1" x14ac:dyDescent="0.2"/>
    <row r="56526" hidden="1" x14ac:dyDescent="0.2"/>
    <row r="56527" hidden="1" x14ac:dyDescent="0.2"/>
    <row r="56528" hidden="1" x14ac:dyDescent="0.2"/>
    <row r="56529" hidden="1" x14ac:dyDescent="0.2"/>
    <row r="56530" hidden="1" x14ac:dyDescent="0.2"/>
    <row r="56531" hidden="1" x14ac:dyDescent="0.2"/>
    <row r="56532" hidden="1" x14ac:dyDescent="0.2"/>
    <row r="56533" hidden="1" x14ac:dyDescent="0.2"/>
    <row r="56534" hidden="1" x14ac:dyDescent="0.2"/>
    <row r="56535" hidden="1" x14ac:dyDescent="0.2"/>
    <row r="56536" hidden="1" x14ac:dyDescent="0.2"/>
    <row r="56537" hidden="1" x14ac:dyDescent="0.2"/>
    <row r="56538" hidden="1" x14ac:dyDescent="0.2"/>
    <row r="56539" hidden="1" x14ac:dyDescent="0.2"/>
    <row r="56540" hidden="1" x14ac:dyDescent="0.2"/>
    <row r="56541" hidden="1" x14ac:dyDescent="0.2"/>
    <row r="56542" hidden="1" x14ac:dyDescent="0.2"/>
    <row r="56543" hidden="1" x14ac:dyDescent="0.2"/>
    <row r="56544" hidden="1" x14ac:dyDescent="0.2"/>
    <row r="56545" hidden="1" x14ac:dyDescent="0.2"/>
    <row r="56546" hidden="1" x14ac:dyDescent="0.2"/>
    <row r="56547" hidden="1" x14ac:dyDescent="0.2"/>
    <row r="56548" hidden="1" x14ac:dyDescent="0.2"/>
    <row r="56549" hidden="1" x14ac:dyDescent="0.2"/>
    <row r="56550" hidden="1" x14ac:dyDescent="0.2"/>
    <row r="56551" hidden="1" x14ac:dyDescent="0.2"/>
    <row r="56552" hidden="1" x14ac:dyDescent="0.2"/>
    <row r="56553" hidden="1" x14ac:dyDescent="0.2"/>
    <row r="56554" hidden="1" x14ac:dyDescent="0.2"/>
    <row r="56555" hidden="1" x14ac:dyDescent="0.2"/>
    <row r="56556" hidden="1" x14ac:dyDescent="0.2"/>
    <row r="56557" hidden="1" x14ac:dyDescent="0.2"/>
    <row r="56558" hidden="1" x14ac:dyDescent="0.2"/>
    <row r="56559" hidden="1" x14ac:dyDescent="0.2"/>
    <row r="56560" hidden="1" x14ac:dyDescent="0.2"/>
    <row r="56561" hidden="1" x14ac:dyDescent="0.2"/>
    <row r="56562" hidden="1" x14ac:dyDescent="0.2"/>
    <row r="56563" hidden="1" x14ac:dyDescent="0.2"/>
    <row r="56564" hidden="1" x14ac:dyDescent="0.2"/>
    <row r="56565" hidden="1" x14ac:dyDescent="0.2"/>
    <row r="56566" hidden="1" x14ac:dyDescent="0.2"/>
    <row r="56567" hidden="1" x14ac:dyDescent="0.2"/>
    <row r="56568" hidden="1" x14ac:dyDescent="0.2"/>
    <row r="56569" hidden="1" x14ac:dyDescent="0.2"/>
    <row r="56570" hidden="1" x14ac:dyDescent="0.2"/>
    <row r="56571" hidden="1" x14ac:dyDescent="0.2"/>
    <row r="56572" hidden="1" x14ac:dyDescent="0.2"/>
    <row r="56573" hidden="1" x14ac:dyDescent="0.2"/>
    <row r="56574" hidden="1" x14ac:dyDescent="0.2"/>
    <row r="56575" hidden="1" x14ac:dyDescent="0.2"/>
    <row r="56576" hidden="1" x14ac:dyDescent="0.2"/>
    <row r="56577" hidden="1" x14ac:dyDescent="0.2"/>
    <row r="56578" hidden="1" x14ac:dyDescent="0.2"/>
    <row r="56579" hidden="1" x14ac:dyDescent="0.2"/>
    <row r="56580" hidden="1" x14ac:dyDescent="0.2"/>
    <row r="56581" hidden="1" x14ac:dyDescent="0.2"/>
    <row r="56582" hidden="1" x14ac:dyDescent="0.2"/>
    <row r="56583" hidden="1" x14ac:dyDescent="0.2"/>
    <row r="56584" hidden="1" x14ac:dyDescent="0.2"/>
    <row r="56585" hidden="1" x14ac:dyDescent="0.2"/>
    <row r="56586" hidden="1" x14ac:dyDescent="0.2"/>
    <row r="56587" hidden="1" x14ac:dyDescent="0.2"/>
    <row r="56588" hidden="1" x14ac:dyDescent="0.2"/>
    <row r="56589" hidden="1" x14ac:dyDescent="0.2"/>
    <row r="56590" hidden="1" x14ac:dyDescent="0.2"/>
    <row r="56591" hidden="1" x14ac:dyDescent="0.2"/>
    <row r="56592" hidden="1" x14ac:dyDescent="0.2"/>
    <row r="56593" hidden="1" x14ac:dyDescent="0.2"/>
    <row r="56594" hidden="1" x14ac:dyDescent="0.2"/>
    <row r="56595" hidden="1" x14ac:dyDescent="0.2"/>
    <row r="56596" hidden="1" x14ac:dyDescent="0.2"/>
    <row r="56597" hidden="1" x14ac:dyDescent="0.2"/>
    <row r="56598" hidden="1" x14ac:dyDescent="0.2"/>
    <row r="56599" hidden="1" x14ac:dyDescent="0.2"/>
    <row r="56600" hidden="1" x14ac:dyDescent="0.2"/>
    <row r="56601" hidden="1" x14ac:dyDescent="0.2"/>
    <row r="56602" hidden="1" x14ac:dyDescent="0.2"/>
    <row r="56603" hidden="1" x14ac:dyDescent="0.2"/>
    <row r="56604" hidden="1" x14ac:dyDescent="0.2"/>
    <row r="56605" hidden="1" x14ac:dyDescent="0.2"/>
    <row r="56606" hidden="1" x14ac:dyDescent="0.2"/>
    <row r="56607" hidden="1" x14ac:dyDescent="0.2"/>
    <row r="56608" hidden="1" x14ac:dyDescent="0.2"/>
    <row r="56609" hidden="1" x14ac:dyDescent="0.2"/>
    <row r="56610" hidden="1" x14ac:dyDescent="0.2"/>
    <row r="56611" hidden="1" x14ac:dyDescent="0.2"/>
    <row r="56612" hidden="1" x14ac:dyDescent="0.2"/>
    <row r="56613" hidden="1" x14ac:dyDescent="0.2"/>
    <row r="56614" hidden="1" x14ac:dyDescent="0.2"/>
    <row r="56615" hidden="1" x14ac:dyDescent="0.2"/>
    <row r="56616" hidden="1" x14ac:dyDescent="0.2"/>
    <row r="56617" hidden="1" x14ac:dyDescent="0.2"/>
    <row r="56618" hidden="1" x14ac:dyDescent="0.2"/>
    <row r="56619" hidden="1" x14ac:dyDescent="0.2"/>
    <row r="56620" hidden="1" x14ac:dyDescent="0.2"/>
    <row r="56621" hidden="1" x14ac:dyDescent="0.2"/>
    <row r="56622" hidden="1" x14ac:dyDescent="0.2"/>
    <row r="56623" hidden="1" x14ac:dyDescent="0.2"/>
    <row r="56624" hidden="1" x14ac:dyDescent="0.2"/>
    <row r="56625" hidden="1" x14ac:dyDescent="0.2"/>
    <row r="56626" hidden="1" x14ac:dyDescent="0.2"/>
    <row r="56627" hidden="1" x14ac:dyDescent="0.2"/>
    <row r="56628" hidden="1" x14ac:dyDescent="0.2"/>
    <row r="56629" hidden="1" x14ac:dyDescent="0.2"/>
    <row r="56630" hidden="1" x14ac:dyDescent="0.2"/>
    <row r="56631" hidden="1" x14ac:dyDescent="0.2"/>
    <row r="56632" hidden="1" x14ac:dyDescent="0.2"/>
    <row r="56633" hidden="1" x14ac:dyDescent="0.2"/>
    <row r="56634" hidden="1" x14ac:dyDescent="0.2"/>
    <row r="56635" hidden="1" x14ac:dyDescent="0.2"/>
    <row r="56636" hidden="1" x14ac:dyDescent="0.2"/>
    <row r="56637" hidden="1" x14ac:dyDescent="0.2"/>
    <row r="56638" hidden="1" x14ac:dyDescent="0.2"/>
    <row r="56639" hidden="1" x14ac:dyDescent="0.2"/>
    <row r="56640" hidden="1" x14ac:dyDescent="0.2"/>
    <row r="56641" hidden="1" x14ac:dyDescent="0.2"/>
    <row r="56642" hidden="1" x14ac:dyDescent="0.2"/>
    <row r="56643" hidden="1" x14ac:dyDescent="0.2"/>
    <row r="56644" hidden="1" x14ac:dyDescent="0.2"/>
    <row r="56645" hidden="1" x14ac:dyDescent="0.2"/>
    <row r="56646" hidden="1" x14ac:dyDescent="0.2"/>
    <row r="56647" hidden="1" x14ac:dyDescent="0.2"/>
    <row r="56648" hidden="1" x14ac:dyDescent="0.2"/>
    <row r="56649" hidden="1" x14ac:dyDescent="0.2"/>
    <row r="56650" hidden="1" x14ac:dyDescent="0.2"/>
    <row r="56651" hidden="1" x14ac:dyDescent="0.2"/>
    <row r="56652" hidden="1" x14ac:dyDescent="0.2"/>
    <row r="56653" hidden="1" x14ac:dyDescent="0.2"/>
    <row r="56654" hidden="1" x14ac:dyDescent="0.2"/>
    <row r="56655" hidden="1" x14ac:dyDescent="0.2"/>
    <row r="56656" hidden="1" x14ac:dyDescent="0.2"/>
    <row r="56657" hidden="1" x14ac:dyDescent="0.2"/>
    <row r="56658" hidden="1" x14ac:dyDescent="0.2"/>
    <row r="56659" hidden="1" x14ac:dyDescent="0.2"/>
    <row r="56660" hidden="1" x14ac:dyDescent="0.2"/>
    <row r="56661" hidden="1" x14ac:dyDescent="0.2"/>
    <row r="56662" hidden="1" x14ac:dyDescent="0.2"/>
    <row r="56663" hidden="1" x14ac:dyDescent="0.2"/>
    <row r="56664" hidden="1" x14ac:dyDescent="0.2"/>
    <row r="56665" hidden="1" x14ac:dyDescent="0.2"/>
    <row r="56666" hidden="1" x14ac:dyDescent="0.2"/>
    <row r="56667" hidden="1" x14ac:dyDescent="0.2"/>
    <row r="56668" hidden="1" x14ac:dyDescent="0.2"/>
    <row r="56669" hidden="1" x14ac:dyDescent="0.2"/>
    <row r="56670" hidden="1" x14ac:dyDescent="0.2"/>
    <row r="56671" hidden="1" x14ac:dyDescent="0.2"/>
    <row r="56672" hidden="1" x14ac:dyDescent="0.2"/>
    <row r="56673" hidden="1" x14ac:dyDescent="0.2"/>
    <row r="56674" hidden="1" x14ac:dyDescent="0.2"/>
    <row r="56675" hidden="1" x14ac:dyDescent="0.2"/>
    <row r="56676" hidden="1" x14ac:dyDescent="0.2"/>
    <row r="56677" hidden="1" x14ac:dyDescent="0.2"/>
    <row r="56678" hidden="1" x14ac:dyDescent="0.2"/>
    <row r="56679" hidden="1" x14ac:dyDescent="0.2"/>
    <row r="56680" hidden="1" x14ac:dyDescent="0.2"/>
    <row r="56681" hidden="1" x14ac:dyDescent="0.2"/>
    <row r="56682" hidden="1" x14ac:dyDescent="0.2"/>
    <row r="56683" hidden="1" x14ac:dyDescent="0.2"/>
    <row r="56684" hidden="1" x14ac:dyDescent="0.2"/>
    <row r="56685" hidden="1" x14ac:dyDescent="0.2"/>
    <row r="56686" hidden="1" x14ac:dyDescent="0.2"/>
    <row r="56687" hidden="1" x14ac:dyDescent="0.2"/>
    <row r="56688" hidden="1" x14ac:dyDescent="0.2"/>
    <row r="56689" hidden="1" x14ac:dyDescent="0.2"/>
    <row r="56690" hidden="1" x14ac:dyDescent="0.2"/>
    <row r="56691" hidden="1" x14ac:dyDescent="0.2"/>
    <row r="56692" hidden="1" x14ac:dyDescent="0.2"/>
    <row r="56693" hidden="1" x14ac:dyDescent="0.2"/>
    <row r="56694" hidden="1" x14ac:dyDescent="0.2"/>
    <row r="56695" hidden="1" x14ac:dyDescent="0.2"/>
    <row r="56696" hidden="1" x14ac:dyDescent="0.2"/>
    <row r="56697" hidden="1" x14ac:dyDescent="0.2"/>
    <row r="56698" hidden="1" x14ac:dyDescent="0.2"/>
    <row r="56699" hidden="1" x14ac:dyDescent="0.2"/>
    <row r="56700" hidden="1" x14ac:dyDescent="0.2"/>
    <row r="56701" hidden="1" x14ac:dyDescent="0.2"/>
    <row r="56702" hidden="1" x14ac:dyDescent="0.2"/>
    <row r="56703" hidden="1" x14ac:dyDescent="0.2"/>
    <row r="56704" hidden="1" x14ac:dyDescent="0.2"/>
    <row r="56705" hidden="1" x14ac:dyDescent="0.2"/>
    <row r="56706" hidden="1" x14ac:dyDescent="0.2"/>
    <row r="56707" hidden="1" x14ac:dyDescent="0.2"/>
    <row r="56708" hidden="1" x14ac:dyDescent="0.2"/>
    <row r="56709" hidden="1" x14ac:dyDescent="0.2"/>
    <row r="56710" hidden="1" x14ac:dyDescent="0.2"/>
    <row r="56711" hidden="1" x14ac:dyDescent="0.2"/>
    <row r="56712" hidden="1" x14ac:dyDescent="0.2"/>
    <row r="56713" hidden="1" x14ac:dyDescent="0.2"/>
    <row r="56714" hidden="1" x14ac:dyDescent="0.2"/>
    <row r="56715" hidden="1" x14ac:dyDescent="0.2"/>
    <row r="56716" hidden="1" x14ac:dyDescent="0.2"/>
    <row r="56717" hidden="1" x14ac:dyDescent="0.2"/>
    <row r="56718" hidden="1" x14ac:dyDescent="0.2"/>
    <row r="56719" hidden="1" x14ac:dyDescent="0.2"/>
    <row r="56720" hidden="1" x14ac:dyDescent="0.2"/>
    <row r="56721" hidden="1" x14ac:dyDescent="0.2"/>
    <row r="56722" hidden="1" x14ac:dyDescent="0.2"/>
    <row r="56723" hidden="1" x14ac:dyDescent="0.2"/>
    <row r="56724" hidden="1" x14ac:dyDescent="0.2"/>
    <row r="56725" hidden="1" x14ac:dyDescent="0.2"/>
    <row r="56726" hidden="1" x14ac:dyDescent="0.2"/>
    <row r="56727" hidden="1" x14ac:dyDescent="0.2"/>
    <row r="56728" hidden="1" x14ac:dyDescent="0.2"/>
    <row r="56729" hidden="1" x14ac:dyDescent="0.2"/>
    <row r="56730" hidden="1" x14ac:dyDescent="0.2"/>
    <row r="56731" hidden="1" x14ac:dyDescent="0.2"/>
    <row r="56732" hidden="1" x14ac:dyDescent="0.2"/>
    <row r="56733" hidden="1" x14ac:dyDescent="0.2"/>
    <row r="56734" hidden="1" x14ac:dyDescent="0.2"/>
    <row r="56735" hidden="1" x14ac:dyDescent="0.2"/>
    <row r="56736" hidden="1" x14ac:dyDescent="0.2"/>
    <row r="56737" hidden="1" x14ac:dyDescent="0.2"/>
    <row r="56738" hidden="1" x14ac:dyDescent="0.2"/>
    <row r="56739" hidden="1" x14ac:dyDescent="0.2"/>
    <row r="56740" hidden="1" x14ac:dyDescent="0.2"/>
    <row r="56741" hidden="1" x14ac:dyDescent="0.2"/>
    <row r="56742" hidden="1" x14ac:dyDescent="0.2"/>
    <row r="56743" hidden="1" x14ac:dyDescent="0.2"/>
    <row r="56744" hidden="1" x14ac:dyDescent="0.2"/>
    <row r="56745" hidden="1" x14ac:dyDescent="0.2"/>
    <row r="56746" hidden="1" x14ac:dyDescent="0.2"/>
    <row r="56747" hidden="1" x14ac:dyDescent="0.2"/>
    <row r="56748" hidden="1" x14ac:dyDescent="0.2"/>
    <row r="56749" hidden="1" x14ac:dyDescent="0.2"/>
    <row r="56750" hidden="1" x14ac:dyDescent="0.2"/>
    <row r="56751" hidden="1" x14ac:dyDescent="0.2"/>
    <row r="56752" hidden="1" x14ac:dyDescent="0.2"/>
    <row r="56753" hidden="1" x14ac:dyDescent="0.2"/>
    <row r="56754" hidden="1" x14ac:dyDescent="0.2"/>
    <row r="56755" hidden="1" x14ac:dyDescent="0.2"/>
    <row r="56756" hidden="1" x14ac:dyDescent="0.2"/>
    <row r="56757" hidden="1" x14ac:dyDescent="0.2"/>
    <row r="56758" hidden="1" x14ac:dyDescent="0.2"/>
    <row r="56759" hidden="1" x14ac:dyDescent="0.2"/>
    <row r="56760" hidden="1" x14ac:dyDescent="0.2"/>
    <row r="56761" hidden="1" x14ac:dyDescent="0.2"/>
    <row r="56762" hidden="1" x14ac:dyDescent="0.2"/>
    <row r="56763" hidden="1" x14ac:dyDescent="0.2"/>
    <row r="56764" hidden="1" x14ac:dyDescent="0.2"/>
    <row r="56765" hidden="1" x14ac:dyDescent="0.2"/>
    <row r="56766" hidden="1" x14ac:dyDescent="0.2"/>
    <row r="56767" hidden="1" x14ac:dyDescent="0.2"/>
    <row r="56768" hidden="1" x14ac:dyDescent="0.2"/>
    <row r="56769" hidden="1" x14ac:dyDescent="0.2"/>
    <row r="56770" hidden="1" x14ac:dyDescent="0.2"/>
    <row r="56771" hidden="1" x14ac:dyDescent="0.2"/>
    <row r="56772" hidden="1" x14ac:dyDescent="0.2"/>
    <row r="56773" hidden="1" x14ac:dyDescent="0.2"/>
    <row r="56774" hidden="1" x14ac:dyDescent="0.2"/>
    <row r="56775" hidden="1" x14ac:dyDescent="0.2"/>
    <row r="56776" hidden="1" x14ac:dyDescent="0.2"/>
    <row r="56777" hidden="1" x14ac:dyDescent="0.2"/>
    <row r="56778" hidden="1" x14ac:dyDescent="0.2"/>
    <row r="56779" hidden="1" x14ac:dyDescent="0.2"/>
    <row r="56780" hidden="1" x14ac:dyDescent="0.2"/>
    <row r="56781" hidden="1" x14ac:dyDescent="0.2"/>
    <row r="56782" hidden="1" x14ac:dyDescent="0.2"/>
    <row r="56783" hidden="1" x14ac:dyDescent="0.2"/>
    <row r="56784" hidden="1" x14ac:dyDescent="0.2"/>
    <row r="56785" hidden="1" x14ac:dyDescent="0.2"/>
    <row r="56786" hidden="1" x14ac:dyDescent="0.2"/>
    <row r="56787" hidden="1" x14ac:dyDescent="0.2"/>
    <row r="56788" hidden="1" x14ac:dyDescent="0.2"/>
    <row r="56789" hidden="1" x14ac:dyDescent="0.2"/>
    <row r="56790" hidden="1" x14ac:dyDescent="0.2"/>
    <row r="56791" hidden="1" x14ac:dyDescent="0.2"/>
    <row r="56792" hidden="1" x14ac:dyDescent="0.2"/>
    <row r="56793" hidden="1" x14ac:dyDescent="0.2"/>
    <row r="56794" hidden="1" x14ac:dyDescent="0.2"/>
    <row r="56795" hidden="1" x14ac:dyDescent="0.2"/>
    <row r="56796" hidden="1" x14ac:dyDescent="0.2"/>
    <row r="56797" hidden="1" x14ac:dyDescent="0.2"/>
    <row r="56798" hidden="1" x14ac:dyDescent="0.2"/>
    <row r="56799" hidden="1" x14ac:dyDescent="0.2"/>
    <row r="56800" hidden="1" x14ac:dyDescent="0.2"/>
    <row r="56801" hidden="1" x14ac:dyDescent="0.2"/>
    <row r="56802" hidden="1" x14ac:dyDescent="0.2"/>
    <row r="56803" hidden="1" x14ac:dyDescent="0.2"/>
    <row r="56804" hidden="1" x14ac:dyDescent="0.2"/>
    <row r="56805" hidden="1" x14ac:dyDescent="0.2"/>
    <row r="56806" hidden="1" x14ac:dyDescent="0.2"/>
    <row r="56807" hidden="1" x14ac:dyDescent="0.2"/>
    <row r="56808" hidden="1" x14ac:dyDescent="0.2"/>
    <row r="56809" hidden="1" x14ac:dyDescent="0.2"/>
    <row r="56810" hidden="1" x14ac:dyDescent="0.2"/>
    <row r="56811" hidden="1" x14ac:dyDescent="0.2"/>
    <row r="56812" hidden="1" x14ac:dyDescent="0.2"/>
    <row r="56813" hidden="1" x14ac:dyDescent="0.2"/>
    <row r="56814" hidden="1" x14ac:dyDescent="0.2"/>
    <row r="56815" hidden="1" x14ac:dyDescent="0.2"/>
    <row r="56816" hidden="1" x14ac:dyDescent="0.2"/>
    <row r="56817" hidden="1" x14ac:dyDescent="0.2"/>
    <row r="56818" hidden="1" x14ac:dyDescent="0.2"/>
    <row r="56819" hidden="1" x14ac:dyDescent="0.2"/>
    <row r="56820" hidden="1" x14ac:dyDescent="0.2"/>
    <row r="56821" hidden="1" x14ac:dyDescent="0.2"/>
    <row r="56822" hidden="1" x14ac:dyDescent="0.2"/>
    <row r="56823" hidden="1" x14ac:dyDescent="0.2"/>
    <row r="56824" hidden="1" x14ac:dyDescent="0.2"/>
    <row r="56825" hidden="1" x14ac:dyDescent="0.2"/>
    <row r="56826" hidden="1" x14ac:dyDescent="0.2"/>
    <row r="56827" hidden="1" x14ac:dyDescent="0.2"/>
    <row r="56828" hidden="1" x14ac:dyDescent="0.2"/>
    <row r="56829" hidden="1" x14ac:dyDescent="0.2"/>
    <row r="56830" hidden="1" x14ac:dyDescent="0.2"/>
    <row r="56831" hidden="1" x14ac:dyDescent="0.2"/>
    <row r="56832" hidden="1" x14ac:dyDescent="0.2"/>
    <row r="56833" hidden="1" x14ac:dyDescent="0.2"/>
    <row r="56834" hidden="1" x14ac:dyDescent="0.2"/>
    <row r="56835" hidden="1" x14ac:dyDescent="0.2"/>
    <row r="56836" hidden="1" x14ac:dyDescent="0.2"/>
    <row r="56837" hidden="1" x14ac:dyDescent="0.2"/>
    <row r="56838" hidden="1" x14ac:dyDescent="0.2"/>
    <row r="56839" hidden="1" x14ac:dyDescent="0.2"/>
    <row r="56840" hidden="1" x14ac:dyDescent="0.2"/>
    <row r="56841" hidden="1" x14ac:dyDescent="0.2"/>
    <row r="56842" hidden="1" x14ac:dyDescent="0.2"/>
    <row r="56843" hidden="1" x14ac:dyDescent="0.2"/>
    <row r="56844" hidden="1" x14ac:dyDescent="0.2"/>
    <row r="56845" hidden="1" x14ac:dyDescent="0.2"/>
    <row r="56846" hidden="1" x14ac:dyDescent="0.2"/>
    <row r="56847" hidden="1" x14ac:dyDescent="0.2"/>
    <row r="56848" hidden="1" x14ac:dyDescent="0.2"/>
    <row r="56849" hidden="1" x14ac:dyDescent="0.2"/>
    <row r="56850" hidden="1" x14ac:dyDescent="0.2"/>
    <row r="56851" hidden="1" x14ac:dyDescent="0.2"/>
    <row r="56852" hidden="1" x14ac:dyDescent="0.2"/>
    <row r="56853" hidden="1" x14ac:dyDescent="0.2"/>
    <row r="56854" hidden="1" x14ac:dyDescent="0.2"/>
    <row r="56855" hidden="1" x14ac:dyDescent="0.2"/>
    <row r="56856" hidden="1" x14ac:dyDescent="0.2"/>
    <row r="56857" hidden="1" x14ac:dyDescent="0.2"/>
    <row r="56858" hidden="1" x14ac:dyDescent="0.2"/>
    <row r="56859" hidden="1" x14ac:dyDescent="0.2"/>
    <row r="56860" hidden="1" x14ac:dyDescent="0.2"/>
    <row r="56861" hidden="1" x14ac:dyDescent="0.2"/>
    <row r="56862" hidden="1" x14ac:dyDescent="0.2"/>
    <row r="56863" hidden="1" x14ac:dyDescent="0.2"/>
    <row r="56864" hidden="1" x14ac:dyDescent="0.2"/>
    <row r="56865" hidden="1" x14ac:dyDescent="0.2"/>
    <row r="56866" hidden="1" x14ac:dyDescent="0.2"/>
    <row r="56867" hidden="1" x14ac:dyDescent="0.2"/>
    <row r="56868" hidden="1" x14ac:dyDescent="0.2"/>
    <row r="56869" hidden="1" x14ac:dyDescent="0.2"/>
    <row r="56870" hidden="1" x14ac:dyDescent="0.2"/>
    <row r="56871" hidden="1" x14ac:dyDescent="0.2"/>
    <row r="56872" hidden="1" x14ac:dyDescent="0.2"/>
    <row r="56873" hidden="1" x14ac:dyDescent="0.2"/>
    <row r="56874" hidden="1" x14ac:dyDescent="0.2"/>
    <row r="56875" hidden="1" x14ac:dyDescent="0.2"/>
    <row r="56876" hidden="1" x14ac:dyDescent="0.2"/>
    <row r="56877" hidden="1" x14ac:dyDescent="0.2"/>
    <row r="56878" hidden="1" x14ac:dyDescent="0.2"/>
    <row r="56879" hidden="1" x14ac:dyDescent="0.2"/>
    <row r="56880" hidden="1" x14ac:dyDescent="0.2"/>
    <row r="56881" hidden="1" x14ac:dyDescent="0.2"/>
    <row r="56882" hidden="1" x14ac:dyDescent="0.2"/>
    <row r="56883" hidden="1" x14ac:dyDescent="0.2"/>
    <row r="56884" hidden="1" x14ac:dyDescent="0.2"/>
    <row r="56885" hidden="1" x14ac:dyDescent="0.2"/>
    <row r="56886" hidden="1" x14ac:dyDescent="0.2"/>
    <row r="56887" hidden="1" x14ac:dyDescent="0.2"/>
    <row r="56888" hidden="1" x14ac:dyDescent="0.2"/>
    <row r="56889" hidden="1" x14ac:dyDescent="0.2"/>
    <row r="56890" hidden="1" x14ac:dyDescent="0.2"/>
    <row r="56891" hidden="1" x14ac:dyDescent="0.2"/>
    <row r="56892" hidden="1" x14ac:dyDescent="0.2"/>
    <row r="56893" hidden="1" x14ac:dyDescent="0.2"/>
    <row r="56894" hidden="1" x14ac:dyDescent="0.2"/>
    <row r="56895" hidden="1" x14ac:dyDescent="0.2"/>
    <row r="56896" hidden="1" x14ac:dyDescent="0.2"/>
    <row r="56897" hidden="1" x14ac:dyDescent="0.2"/>
    <row r="56898" hidden="1" x14ac:dyDescent="0.2"/>
    <row r="56899" hidden="1" x14ac:dyDescent="0.2"/>
    <row r="56900" hidden="1" x14ac:dyDescent="0.2"/>
    <row r="56901" hidden="1" x14ac:dyDescent="0.2"/>
    <row r="56902" hidden="1" x14ac:dyDescent="0.2"/>
    <row r="56903" hidden="1" x14ac:dyDescent="0.2"/>
    <row r="56904" hidden="1" x14ac:dyDescent="0.2"/>
    <row r="56905" hidden="1" x14ac:dyDescent="0.2"/>
    <row r="56906" hidden="1" x14ac:dyDescent="0.2"/>
    <row r="56907" hidden="1" x14ac:dyDescent="0.2"/>
    <row r="56908" hidden="1" x14ac:dyDescent="0.2"/>
    <row r="56909" hidden="1" x14ac:dyDescent="0.2"/>
    <row r="56910" hidden="1" x14ac:dyDescent="0.2"/>
    <row r="56911" hidden="1" x14ac:dyDescent="0.2"/>
    <row r="56912" hidden="1" x14ac:dyDescent="0.2"/>
    <row r="56913" hidden="1" x14ac:dyDescent="0.2"/>
    <row r="56914" hidden="1" x14ac:dyDescent="0.2"/>
    <row r="56915" hidden="1" x14ac:dyDescent="0.2"/>
    <row r="56916" hidden="1" x14ac:dyDescent="0.2"/>
    <row r="56917" hidden="1" x14ac:dyDescent="0.2"/>
    <row r="56918" hidden="1" x14ac:dyDescent="0.2"/>
    <row r="56919" hidden="1" x14ac:dyDescent="0.2"/>
    <row r="56920" hidden="1" x14ac:dyDescent="0.2"/>
    <row r="56921" hidden="1" x14ac:dyDescent="0.2"/>
    <row r="56922" hidden="1" x14ac:dyDescent="0.2"/>
    <row r="56923" hidden="1" x14ac:dyDescent="0.2"/>
    <row r="56924" hidden="1" x14ac:dyDescent="0.2"/>
    <row r="56925" hidden="1" x14ac:dyDescent="0.2"/>
    <row r="56926" hidden="1" x14ac:dyDescent="0.2"/>
    <row r="56927" hidden="1" x14ac:dyDescent="0.2"/>
    <row r="56928" hidden="1" x14ac:dyDescent="0.2"/>
    <row r="56929" hidden="1" x14ac:dyDescent="0.2"/>
    <row r="56930" hidden="1" x14ac:dyDescent="0.2"/>
    <row r="56931" hidden="1" x14ac:dyDescent="0.2"/>
    <row r="56932" hidden="1" x14ac:dyDescent="0.2"/>
    <row r="56933" hidden="1" x14ac:dyDescent="0.2"/>
    <row r="56934" hidden="1" x14ac:dyDescent="0.2"/>
    <row r="56935" hidden="1" x14ac:dyDescent="0.2"/>
    <row r="56936" hidden="1" x14ac:dyDescent="0.2"/>
    <row r="56937" hidden="1" x14ac:dyDescent="0.2"/>
    <row r="56938" hidden="1" x14ac:dyDescent="0.2"/>
    <row r="56939" hidden="1" x14ac:dyDescent="0.2"/>
    <row r="56940" hidden="1" x14ac:dyDescent="0.2"/>
    <row r="56941" hidden="1" x14ac:dyDescent="0.2"/>
    <row r="56942" hidden="1" x14ac:dyDescent="0.2"/>
    <row r="56943" hidden="1" x14ac:dyDescent="0.2"/>
    <row r="56944" hidden="1" x14ac:dyDescent="0.2"/>
    <row r="56945" hidden="1" x14ac:dyDescent="0.2"/>
    <row r="56946" hidden="1" x14ac:dyDescent="0.2"/>
    <row r="56947" hidden="1" x14ac:dyDescent="0.2"/>
    <row r="56948" hidden="1" x14ac:dyDescent="0.2"/>
    <row r="56949" hidden="1" x14ac:dyDescent="0.2"/>
    <row r="56950" hidden="1" x14ac:dyDescent="0.2"/>
    <row r="56951" hidden="1" x14ac:dyDescent="0.2"/>
    <row r="56952" hidden="1" x14ac:dyDescent="0.2"/>
    <row r="56953" hidden="1" x14ac:dyDescent="0.2"/>
    <row r="56954" hidden="1" x14ac:dyDescent="0.2"/>
    <row r="56955" hidden="1" x14ac:dyDescent="0.2"/>
    <row r="56956" hidden="1" x14ac:dyDescent="0.2"/>
    <row r="56957" hidden="1" x14ac:dyDescent="0.2"/>
    <row r="56958" hidden="1" x14ac:dyDescent="0.2"/>
    <row r="56959" hidden="1" x14ac:dyDescent="0.2"/>
    <row r="56960" hidden="1" x14ac:dyDescent="0.2"/>
    <row r="56961" hidden="1" x14ac:dyDescent="0.2"/>
    <row r="56962" hidden="1" x14ac:dyDescent="0.2"/>
    <row r="56963" hidden="1" x14ac:dyDescent="0.2"/>
    <row r="56964" hidden="1" x14ac:dyDescent="0.2"/>
    <row r="56965" hidden="1" x14ac:dyDescent="0.2"/>
    <row r="56966" hidden="1" x14ac:dyDescent="0.2"/>
    <row r="56967" hidden="1" x14ac:dyDescent="0.2"/>
    <row r="56968" hidden="1" x14ac:dyDescent="0.2"/>
    <row r="56969" hidden="1" x14ac:dyDescent="0.2"/>
    <row r="56970" hidden="1" x14ac:dyDescent="0.2"/>
    <row r="56971" hidden="1" x14ac:dyDescent="0.2"/>
    <row r="56972" hidden="1" x14ac:dyDescent="0.2"/>
    <row r="56973" hidden="1" x14ac:dyDescent="0.2"/>
    <row r="56974" hidden="1" x14ac:dyDescent="0.2"/>
    <row r="56975" hidden="1" x14ac:dyDescent="0.2"/>
    <row r="56976" hidden="1" x14ac:dyDescent="0.2"/>
    <row r="56977" hidden="1" x14ac:dyDescent="0.2"/>
    <row r="56978" hidden="1" x14ac:dyDescent="0.2"/>
    <row r="56979" hidden="1" x14ac:dyDescent="0.2"/>
    <row r="56980" hidden="1" x14ac:dyDescent="0.2"/>
    <row r="56981" hidden="1" x14ac:dyDescent="0.2"/>
    <row r="56982" hidden="1" x14ac:dyDescent="0.2"/>
    <row r="56983" hidden="1" x14ac:dyDescent="0.2"/>
    <row r="56984" hidden="1" x14ac:dyDescent="0.2"/>
    <row r="56985" hidden="1" x14ac:dyDescent="0.2"/>
    <row r="56986" hidden="1" x14ac:dyDescent="0.2"/>
    <row r="56987" hidden="1" x14ac:dyDescent="0.2"/>
    <row r="56988" hidden="1" x14ac:dyDescent="0.2"/>
    <row r="56989" hidden="1" x14ac:dyDescent="0.2"/>
    <row r="56990" hidden="1" x14ac:dyDescent="0.2"/>
    <row r="56991" hidden="1" x14ac:dyDescent="0.2"/>
    <row r="56992" hidden="1" x14ac:dyDescent="0.2"/>
    <row r="56993" hidden="1" x14ac:dyDescent="0.2"/>
    <row r="56994" hidden="1" x14ac:dyDescent="0.2"/>
    <row r="56995" hidden="1" x14ac:dyDescent="0.2"/>
    <row r="56996" hidden="1" x14ac:dyDescent="0.2"/>
    <row r="56997" hidden="1" x14ac:dyDescent="0.2"/>
    <row r="56998" hidden="1" x14ac:dyDescent="0.2"/>
    <row r="56999" hidden="1" x14ac:dyDescent="0.2"/>
    <row r="57000" hidden="1" x14ac:dyDescent="0.2"/>
    <row r="57001" hidden="1" x14ac:dyDescent="0.2"/>
    <row r="57002" hidden="1" x14ac:dyDescent="0.2"/>
    <row r="57003" hidden="1" x14ac:dyDescent="0.2"/>
    <row r="57004" hidden="1" x14ac:dyDescent="0.2"/>
    <row r="57005" hidden="1" x14ac:dyDescent="0.2"/>
    <row r="57006" hidden="1" x14ac:dyDescent="0.2"/>
    <row r="57007" hidden="1" x14ac:dyDescent="0.2"/>
    <row r="57008" hidden="1" x14ac:dyDescent="0.2"/>
    <row r="57009" hidden="1" x14ac:dyDescent="0.2"/>
    <row r="57010" hidden="1" x14ac:dyDescent="0.2"/>
    <row r="57011" hidden="1" x14ac:dyDescent="0.2"/>
    <row r="57012" hidden="1" x14ac:dyDescent="0.2"/>
    <row r="57013" hidden="1" x14ac:dyDescent="0.2"/>
    <row r="57014" hidden="1" x14ac:dyDescent="0.2"/>
    <row r="57015" hidden="1" x14ac:dyDescent="0.2"/>
    <row r="57016" hidden="1" x14ac:dyDescent="0.2"/>
    <row r="57017" hidden="1" x14ac:dyDescent="0.2"/>
    <row r="57018" hidden="1" x14ac:dyDescent="0.2"/>
    <row r="57019" hidden="1" x14ac:dyDescent="0.2"/>
    <row r="57020" hidden="1" x14ac:dyDescent="0.2"/>
    <row r="57021" hidden="1" x14ac:dyDescent="0.2"/>
    <row r="57022" hidden="1" x14ac:dyDescent="0.2"/>
    <row r="57023" hidden="1" x14ac:dyDescent="0.2"/>
    <row r="57024" hidden="1" x14ac:dyDescent="0.2"/>
    <row r="57025" hidden="1" x14ac:dyDescent="0.2"/>
    <row r="57026" hidden="1" x14ac:dyDescent="0.2"/>
    <row r="57027" hidden="1" x14ac:dyDescent="0.2"/>
    <row r="57028" hidden="1" x14ac:dyDescent="0.2"/>
    <row r="57029" hidden="1" x14ac:dyDescent="0.2"/>
    <row r="57030" hidden="1" x14ac:dyDescent="0.2"/>
    <row r="57031" hidden="1" x14ac:dyDescent="0.2"/>
    <row r="57032" hidden="1" x14ac:dyDescent="0.2"/>
    <row r="57033" hidden="1" x14ac:dyDescent="0.2"/>
    <row r="57034" hidden="1" x14ac:dyDescent="0.2"/>
    <row r="57035" hidden="1" x14ac:dyDescent="0.2"/>
    <row r="57036" hidden="1" x14ac:dyDescent="0.2"/>
    <row r="57037" hidden="1" x14ac:dyDescent="0.2"/>
    <row r="57038" hidden="1" x14ac:dyDescent="0.2"/>
    <row r="57039" hidden="1" x14ac:dyDescent="0.2"/>
    <row r="57040" hidden="1" x14ac:dyDescent="0.2"/>
    <row r="57041" hidden="1" x14ac:dyDescent="0.2"/>
    <row r="57042" hidden="1" x14ac:dyDescent="0.2"/>
    <row r="57043" hidden="1" x14ac:dyDescent="0.2"/>
    <row r="57044" hidden="1" x14ac:dyDescent="0.2"/>
    <row r="57045" hidden="1" x14ac:dyDescent="0.2"/>
    <row r="57046" hidden="1" x14ac:dyDescent="0.2"/>
    <row r="57047" hidden="1" x14ac:dyDescent="0.2"/>
    <row r="57048" hidden="1" x14ac:dyDescent="0.2"/>
    <row r="57049" hidden="1" x14ac:dyDescent="0.2"/>
    <row r="57050" hidden="1" x14ac:dyDescent="0.2"/>
    <row r="57051" hidden="1" x14ac:dyDescent="0.2"/>
    <row r="57052" hidden="1" x14ac:dyDescent="0.2"/>
    <row r="57053" hidden="1" x14ac:dyDescent="0.2"/>
    <row r="57054" hidden="1" x14ac:dyDescent="0.2"/>
    <row r="57055" hidden="1" x14ac:dyDescent="0.2"/>
    <row r="57056" hidden="1" x14ac:dyDescent="0.2"/>
    <row r="57057" hidden="1" x14ac:dyDescent="0.2"/>
    <row r="57058" hidden="1" x14ac:dyDescent="0.2"/>
    <row r="57059" hidden="1" x14ac:dyDescent="0.2"/>
    <row r="57060" hidden="1" x14ac:dyDescent="0.2"/>
    <row r="57061" hidden="1" x14ac:dyDescent="0.2"/>
    <row r="57062" hidden="1" x14ac:dyDescent="0.2"/>
    <row r="57063" hidden="1" x14ac:dyDescent="0.2"/>
    <row r="57064" hidden="1" x14ac:dyDescent="0.2"/>
    <row r="57065" hidden="1" x14ac:dyDescent="0.2"/>
    <row r="57066" hidden="1" x14ac:dyDescent="0.2"/>
    <row r="57067" hidden="1" x14ac:dyDescent="0.2"/>
    <row r="57068" hidden="1" x14ac:dyDescent="0.2"/>
    <row r="57069" hidden="1" x14ac:dyDescent="0.2"/>
    <row r="57070" hidden="1" x14ac:dyDescent="0.2"/>
    <row r="57071" hidden="1" x14ac:dyDescent="0.2"/>
    <row r="57072" hidden="1" x14ac:dyDescent="0.2"/>
    <row r="57073" hidden="1" x14ac:dyDescent="0.2"/>
    <row r="57074" hidden="1" x14ac:dyDescent="0.2"/>
    <row r="57075" hidden="1" x14ac:dyDescent="0.2"/>
    <row r="57076" hidden="1" x14ac:dyDescent="0.2"/>
    <row r="57077" hidden="1" x14ac:dyDescent="0.2"/>
    <row r="57078" hidden="1" x14ac:dyDescent="0.2"/>
    <row r="57079" hidden="1" x14ac:dyDescent="0.2"/>
    <row r="57080" hidden="1" x14ac:dyDescent="0.2"/>
    <row r="57081" hidden="1" x14ac:dyDescent="0.2"/>
    <row r="57082" hidden="1" x14ac:dyDescent="0.2"/>
    <row r="57083" hidden="1" x14ac:dyDescent="0.2"/>
    <row r="57084" hidden="1" x14ac:dyDescent="0.2"/>
    <row r="57085" hidden="1" x14ac:dyDescent="0.2"/>
    <row r="57086" hidden="1" x14ac:dyDescent="0.2"/>
    <row r="57087" hidden="1" x14ac:dyDescent="0.2"/>
    <row r="57088" hidden="1" x14ac:dyDescent="0.2"/>
    <row r="57089" hidden="1" x14ac:dyDescent="0.2"/>
    <row r="57090" hidden="1" x14ac:dyDescent="0.2"/>
    <row r="57091" hidden="1" x14ac:dyDescent="0.2"/>
    <row r="57092" hidden="1" x14ac:dyDescent="0.2"/>
    <row r="57093" hidden="1" x14ac:dyDescent="0.2"/>
    <row r="57094" hidden="1" x14ac:dyDescent="0.2"/>
    <row r="57095" hidden="1" x14ac:dyDescent="0.2"/>
    <row r="57096" hidden="1" x14ac:dyDescent="0.2"/>
    <row r="57097" hidden="1" x14ac:dyDescent="0.2"/>
    <row r="57098" hidden="1" x14ac:dyDescent="0.2"/>
    <row r="57099" hidden="1" x14ac:dyDescent="0.2"/>
    <row r="57100" hidden="1" x14ac:dyDescent="0.2"/>
    <row r="57101" hidden="1" x14ac:dyDescent="0.2"/>
    <row r="57102" hidden="1" x14ac:dyDescent="0.2"/>
    <row r="57103" hidden="1" x14ac:dyDescent="0.2"/>
    <row r="57104" hidden="1" x14ac:dyDescent="0.2"/>
    <row r="57105" hidden="1" x14ac:dyDescent="0.2"/>
    <row r="57106" hidden="1" x14ac:dyDescent="0.2"/>
    <row r="57107" hidden="1" x14ac:dyDescent="0.2"/>
    <row r="57108" hidden="1" x14ac:dyDescent="0.2"/>
    <row r="57109" hidden="1" x14ac:dyDescent="0.2"/>
    <row r="57110" hidden="1" x14ac:dyDescent="0.2"/>
    <row r="57111" hidden="1" x14ac:dyDescent="0.2"/>
    <row r="57112" hidden="1" x14ac:dyDescent="0.2"/>
    <row r="57113" hidden="1" x14ac:dyDescent="0.2"/>
    <row r="57114" hidden="1" x14ac:dyDescent="0.2"/>
    <row r="57115" hidden="1" x14ac:dyDescent="0.2"/>
    <row r="57116" hidden="1" x14ac:dyDescent="0.2"/>
    <row r="57117" hidden="1" x14ac:dyDescent="0.2"/>
    <row r="57118" hidden="1" x14ac:dyDescent="0.2"/>
    <row r="57119" hidden="1" x14ac:dyDescent="0.2"/>
    <row r="57120" hidden="1" x14ac:dyDescent="0.2"/>
    <row r="57121" hidden="1" x14ac:dyDescent="0.2"/>
    <row r="57122" hidden="1" x14ac:dyDescent="0.2"/>
    <row r="57123" hidden="1" x14ac:dyDescent="0.2"/>
    <row r="57124" hidden="1" x14ac:dyDescent="0.2"/>
    <row r="57125" hidden="1" x14ac:dyDescent="0.2"/>
    <row r="57126" hidden="1" x14ac:dyDescent="0.2"/>
    <row r="57127" hidden="1" x14ac:dyDescent="0.2"/>
    <row r="57128" hidden="1" x14ac:dyDescent="0.2"/>
    <row r="57129" hidden="1" x14ac:dyDescent="0.2"/>
    <row r="57130" hidden="1" x14ac:dyDescent="0.2"/>
    <row r="57131" hidden="1" x14ac:dyDescent="0.2"/>
    <row r="57132" hidden="1" x14ac:dyDescent="0.2"/>
    <row r="57133" hidden="1" x14ac:dyDescent="0.2"/>
    <row r="57134" hidden="1" x14ac:dyDescent="0.2"/>
    <row r="57135" hidden="1" x14ac:dyDescent="0.2"/>
    <row r="57136" hidden="1" x14ac:dyDescent="0.2"/>
    <row r="57137" hidden="1" x14ac:dyDescent="0.2"/>
    <row r="57138" hidden="1" x14ac:dyDescent="0.2"/>
    <row r="57139" hidden="1" x14ac:dyDescent="0.2"/>
    <row r="57140" hidden="1" x14ac:dyDescent="0.2"/>
    <row r="57141" hidden="1" x14ac:dyDescent="0.2"/>
    <row r="57142" hidden="1" x14ac:dyDescent="0.2"/>
    <row r="57143" hidden="1" x14ac:dyDescent="0.2"/>
    <row r="57144" hidden="1" x14ac:dyDescent="0.2"/>
    <row r="57145" hidden="1" x14ac:dyDescent="0.2"/>
    <row r="57146" hidden="1" x14ac:dyDescent="0.2"/>
    <row r="57147" hidden="1" x14ac:dyDescent="0.2"/>
    <row r="57148" hidden="1" x14ac:dyDescent="0.2"/>
    <row r="57149" hidden="1" x14ac:dyDescent="0.2"/>
    <row r="57150" hidden="1" x14ac:dyDescent="0.2"/>
    <row r="57151" hidden="1" x14ac:dyDescent="0.2"/>
    <row r="57152" hidden="1" x14ac:dyDescent="0.2"/>
    <row r="57153" hidden="1" x14ac:dyDescent="0.2"/>
    <row r="57154" hidden="1" x14ac:dyDescent="0.2"/>
    <row r="57155" hidden="1" x14ac:dyDescent="0.2"/>
    <row r="57156" hidden="1" x14ac:dyDescent="0.2"/>
    <row r="57157" hidden="1" x14ac:dyDescent="0.2"/>
    <row r="57158" hidden="1" x14ac:dyDescent="0.2"/>
    <row r="57159" hidden="1" x14ac:dyDescent="0.2"/>
    <row r="57160" hidden="1" x14ac:dyDescent="0.2"/>
    <row r="57161" hidden="1" x14ac:dyDescent="0.2"/>
    <row r="57162" hidden="1" x14ac:dyDescent="0.2"/>
    <row r="57163" hidden="1" x14ac:dyDescent="0.2"/>
    <row r="57164" hidden="1" x14ac:dyDescent="0.2"/>
    <row r="57165" hidden="1" x14ac:dyDescent="0.2"/>
    <row r="57166" hidden="1" x14ac:dyDescent="0.2"/>
    <row r="57167" hidden="1" x14ac:dyDescent="0.2"/>
    <row r="57168" hidden="1" x14ac:dyDescent="0.2"/>
    <row r="57169" hidden="1" x14ac:dyDescent="0.2"/>
    <row r="57170" hidden="1" x14ac:dyDescent="0.2"/>
    <row r="57171" hidden="1" x14ac:dyDescent="0.2"/>
    <row r="57172" hidden="1" x14ac:dyDescent="0.2"/>
    <row r="57173" hidden="1" x14ac:dyDescent="0.2"/>
    <row r="57174" hidden="1" x14ac:dyDescent="0.2"/>
    <row r="57175" hidden="1" x14ac:dyDescent="0.2"/>
    <row r="57176" hidden="1" x14ac:dyDescent="0.2"/>
    <row r="57177" hidden="1" x14ac:dyDescent="0.2"/>
    <row r="57178" hidden="1" x14ac:dyDescent="0.2"/>
    <row r="57179" hidden="1" x14ac:dyDescent="0.2"/>
    <row r="57180" hidden="1" x14ac:dyDescent="0.2"/>
    <row r="57181" hidden="1" x14ac:dyDescent="0.2"/>
    <row r="57182" hidden="1" x14ac:dyDescent="0.2"/>
    <row r="57183" hidden="1" x14ac:dyDescent="0.2"/>
    <row r="57184" hidden="1" x14ac:dyDescent="0.2"/>
    <row r="57185" hidden="1" x14ac:dyDescent="0.2"/>
    <row r="57186" hidden="1" x14ac:dyDescent="0.2"/>
    <row r="57187" hidden="1" x14ac:dyDescent="0.2"/>
    <row r="57188" hidden="1" x14ac:dyDescent="0.2"/>
    <row r="57189" hidden="1" x14ac:dyDescent="0.2"/>
    <row r="57190" hidden="1" x14ac:dyDescent="0.2"/>
    <row r="57191" hidden="1" x14ac:dyDescent="0.2"/>
    <row r="57192" hidden="1" x14ac:dyDescent="0.2"/>
    <row r="57193" hidden="1" x14ac:dyDescent="0.2"/>
    <row r="57194" hidden="1" x14ac:dyDescent="0.2"/>
    <row r="57195" hidden="1" x14ac:dyDescent="0.2"/>
    <row r="57196" hidden="1" x14ac:dyDescent="0.2"/>
    <row r="57197" hidden="1" x14ac:dyDescent="0.2"/>
    <row r="57198" hidden="1" x14ac:dyDescent="0.2"/>
    <row r="57199" hidden="1" x14ac:dyDescent="0.2"/>
    <row r="57200" hidden="1" x14ac:dyDescent="0.2"/>
    <row r="57201" hidden="1" x14ac:dyDescent="0.2"/>
    <row r="57202" hidden="1" x14ac:dyDescent="0.2"/>
    <row r="57203" hidden="1" x14ac:dyDescent="0.2"/>
    <row r="57204" hidden="1" x14ac:dyDescent="0.2"/>
    <row r="57205" hidden="1" x14ac:dyDescent="0.2"/>
    <row r="57206" hidden="1" x14ac:dyDescent="0.2"/>
    <row r="57207" hidden="1" x14ac:dyDescent="0.2"/>
    <row r="57208" hidden="1" x14ac:dyDescent="0.2"/>
    <row r="57209" hidden="1" x14ac:dyDescent="0.2"/>
    <row r="57210" hidden="1" x14ac:dyDescent="0.2"/>
    <row r="57211" hidden="1" x14ac:dyDescent="0.2"/>
    <row r="57212" hidden="1" x14ac:dyDescent="0.2"/>
    <row r="57213" hidden="1" x14ac:dyDescent="0.2"/>
    <row r="57214" hidden="1" x14ac:dyDescent="0.2"/>
    <row r="57215" hidden="1" x14ac:dyDescent="0.2"/>
    <row r="57216" hidden="1" x14ac:dyDescent="0.2"/>
    <row r="57217" hidden="1" x14ac:dyDescent="0.2"/>
    <row r="57218" hidden="1" x14ac:dyDescent="0.2"/>
    <row r="57219" hidden="1" x14ac:dyDescent="0.2"/>
    <row r="57220" hidden="1" x14ac:dyDescent="0.2"/>
    <row r="57221" hidden="1" x14ac:dyDescent="0.2"/>
    <row r="57222" hidden="1" x14ac:dyDescent="0.2"/>
    <row r="57223" hidden="1" x14ac:dyDescent="0.2"/>
    <row r="57224" hidden="1" x14ac:dyDescent="0.2"/>
    <row r="57225" hidden="1" x14ac:dyDescent="0.2"/>
    <row r="57226" hidden="1" x14ac:dyDescent="0.2"/>
    <row r="57227" hidden="1" x14ac:dyDescent="0.2"/>
    <row r="57228" hidden="1" x14ac:dyDescent="0.2"/>
    <row r="57229" hidden="1" x14ac:dyDescent="0.2"/>
    <row r="57230" hidden="1" x14ac:dyDescent="0.2"/>
    <row r="57231" hidden="1" x14ac:dyDescent="0.2"/>
    <row r="57232" hidden="1" x14ac:dyDescent="0.2"/>
    <row r="57233" hidden="1" x14ac:dyDescent="0.2"/>
    <row r="57234" hidden="1" x14ac:dyDescent="0.2"/>
    <row r="57235" hidden="1" x14ac:dyDescent="0.2"/>
    <row r="57236" hidden="1" x14ac:dyDescent="0.2"/>
    <row r="57237" hidden="1" x14ac:dyDescent="0.2"/>
    <row r="57238" hidden="1" x14ac:dyDescent="0.2"/>
    <row r="57239" hidden="1" x14ac:dyDescent="0.2"/>
    <row r="57240" hidden="1" x14ac:dyDescent="0.2"/>
    <row r="57241" hidden="1" x14ac:dyDescent="0.2"/>
    <row r="57242" hidden="1" x14ac:dyDescent="0.2"/>
    <row r="57243" hidden="1" x14ac:dyDescent="0.2"/>
    <row r="57244" hidden="1" x14ac:dyDescent="0.2"/>
    <row r="57245" hidden="1" x14ac:dyDescent="0.2"/>
    <row r="57246" hidden="1" x14ac:dyDescent="0.2"/>
    <row r="57247" hidden="1" x14ac:dyDescent="0.2"/>
    <row r="57248" hidden="1" x14ac:dyDescent="0.2"/>
    <row r="57249" hidden="1" x14ac:dyDescent="0.2"/>
    <row r="57250" hidden="1" x14ac:dyDescent="0.2"/>
    <row r="57251" hidden="1" x14ac:dyDescent="0.2"/>
    <row r="57252" hidden="1" x14ac:dyDescent="0.2"/>
    <row r="57253" hidden="1" x14ac:dyDescent="0.2"/>
    <row r="57254" hidden="1" x14ac:dyDescent="0.2"/>
    <row r="57255" hidden="1" x14ac:dyDescent="0.2"/>
    <row r="57256" hidden="1" x14ac:dyDescent="0.2"/>
    <row r="57257" hidden="1" x14ac:dyDescent="0.2"/>
    <row r="57258" hidden="1" x14ac:dyDescent="0.2"/>
    <row r="57259" hidden="1" x14ac:dyDescent="0.2"/>
    <row r="57260" hidden="1" x14ac:dyDescent="0.2"/>
    <row r="57261" hidden="1" x14ac:dyDescent="0.2"/>
    <row r="57262" hidden="1" x14ac:dyDescent="0.2"/>
    <row r="57263" hidden="1" x14ac:dyDescent="0.2"/>
    <row r="57264" hidden="1" x14ac:dyDescent="0.2"/>
    <row r="57265" hidden="1" x14ac:dyDescent="0.2"/>
    <row r="57266" hidden="1" x14ac:dyDescent="0.2"/>
    <row r="57267" hidden="1" x14ac:dyDescent="0.2"/>
    <row r="57268" hidden="1" x14ac:dyDescent="0.2"/>
    <row r="57269" hidden="1" x14ac:dyDescent="0.2"/>
    <row r="57270" hidden="1" x14ac:dyDescent="0.2"/>
    <row r="57271" hidden="1" x14ac:dyDescent="0.2"/>
    <row r="57272" hidden="1" x14ac:dyDescent="0.2"/>
    <row r="57273" hidden="1" x14ac:dyDescent="0.2"/>
    <row r="57274" hidden="1" x14ac:dyDescent="0.2"/>
    <row r="57275" hidden="1" x14ac:dyDescent="0.2"/>
    <row r="57276" hidden="1" x14ac:dyDescent="0.2"/>
    <row r="57277" hidden="1" x14ac:dyDescent="0.2"/>
    <row r="57278" hidden="1" x14ac:dyDescent="0.2"/>
    <row r="57279" hidden="1" x14ac:dyDescent="0.2"/>
    <row r="57280" hidden="1" x14ac:dyDescent="0.2"/>
    <row r="57281" hidden="1" x14ac:dyDescent="0.2"/>
    <row r="57282" hidden="1" x14ac:dyDescent="0.2"/>
    <row r="57283" hidden="1" x14ac:dyDescent="0.2"/>
    <row r="57284" hidden="1" x14ac:dyDescent="0.2"/>
    <row r="57285" hidden="1" x14ac:dyDescent="0.2"/>
    <row r="57286" hidden="1" x14ac:dyDescent="0.2"/>
    <row r="57287" hidden="1" x14ac:dyDescent="0.2"/>
    <row r="57288" hidden="1" x14ac:dyDescent="0.2"/>
    <row r="57289" hidden="1" x14ac:dyDescent="0.2"/>
    <row r="57290" hidden="1" x14ac:dyDescent="0.2"/>
    <row r="57291" hidden="1" x14ac:dyDescent="0.2"/>
    <row r="57292" hidden="1" x14ac:dyDescent="0.2"/>
    <row r="57293" hidden="1" x14ac:dyDescent="0.2"/>
    <row r="57294" hidden="1" x14ac:dyDescent="0.2"/>
    <row r="57295" hidden="1" x14ac:dyDescent="0.2"/>
    <row r="57296" hidden="1" x14ac:dyDescent="0.2"/>
    <row r="57297" hidden="1" x14ac:dyDescent="0.2"/>
    <row r="57298" hidden="1" x14ac:dyDescent="0.2"/>
    <row r="57299" hidden="1" x14ac:dyDescent="0.2"/>
    <row r="57300" hidden="1" x14ac:dyDescent="0.2"/>
    <row r="57301" hidden="1" x14ac:dyDescent="0.2"/>
    <row r="57302" hidden="1" x14ac:dyDescent="0.2"/>
    <row r="57303" hidden="1" x14ac:dyDescent="0.2"/>
    <row r="57304" hidden="1" x14ac:dyDescent="0.2"/>
    <row r="57305" hidden="1" x14ac:dyDescent="0.2"/>
    <row r="57306" hidden="1" x14ac:dyDescent="0.2"/>
    <row r="57307" hidden="1" x14ac:dyDescent="0.2"/>
    <row r="57308" hidden="1" x14ac:dyDescent="0.2"/>
    <row r="57309" hidden="1" x14ac:dyDescent="0.2"/>
    <row r="57310" hidden="1" x14ac:dyDescent="0.2"/>
    <row r="57311" hidden="1" x14ac:dyDescent="0.2"/>
    <row r="57312" hidden="1" x14ac:dyDescent="0.2"/>
    <row r="57313" hidden="1" x14ac:dyDescent="0.2"/>
    <row r="57314" hidden="1" x14ac:dyDescent="0.2"/>
    <row r="57315" hidden="1" x14ac:dyDescent="0.2"/>
    <row r="57316" hidden="1" x14ac:dyDescent="0.2"/>
    <row r="57317" hidden="1" x14ac:dyDescent="0.2"/>
    <row r="57318" hidden="1" x14ac:dyDescent="0.2"/>
    <row r="57319" hidden="1" x14ac:dyDescent="0.2"/>
    <row r="57320" hidden="1" x14ac:dyDescent="0.2"/>
    <row r="57321" hidden="1" x14ac:dyDescent="0.2"/>
    <row r="57322" hidden="1" x14ac:dyDescent="0.2"/>
    <row r="57323" hidden="1" x14ac:dyDescent="0.2"/>
    <row r="57324" hidden="1" x14ac:dyDescent="0.2"/>
    <row r="57325" hidden="1" x14ac:dyDescent="0.2"/>
    <row r="57326" hidden="1" x14ac:dyDescent="0.2"/>
    <row r="57327" hidden="1" x14ac:dyDescent="0.2"/>
    <row r="57328" hidden="1" x14ac:dyDescent="0.2"/>
    <row r="57329" hidden="1" x14ac:dyDescent="0.2"/>
    <row r="57330" hidden="1" x14ac:dyDescent="0.2"/>
    <row r="57331" hidden="1" x14ac:dyDescent="0.2"/>
    <row r="57332" hidden="1" x14ac:dyDescent="0.2"/>
    <row r="57333" hidden="1" x14ac:dyDescent="0.2"/>
    <row r="57334" hidden="1" x14ac:dyDescent="0.2"/>
    <row r="57335" hidden="1" x14ac:dyDescent="0.2"/>
    <row r="57336" hidden="1" x14ac:dyDescent="0.2"/>
    <row r="57337" hidden="1" x14ac:dyDescent="0.2"/>
    <row r="57338" hidden="1" x14ac:dyDescent="0.2"/>
    <row r="57339" hidden="1" x14ac:dyDescent="0.2"/>
    <row r="57340" hidden="1" x14ac:dyDescent="0.2"/>
    <row r="57341" hidden="1" x14ac:dyDescent="0.2"/>
    <row r="57342" hidden="1" x14ac:dyDescent="0.2"/>
    <row r="57343" hidden="1" x14ac:dyDescent="0.2"/>
    <row r="57344" hidden="1" x14ac:dyDescent="0.2"/>
    <row r="57345" hidden="1" x14ac:dyDescent="0.2"/>
    <row r="57346" hidden="1" x14ac:dyDescent="0.2"/>
    <row r="57347" hidden="1" x14ac:dyDescent="0.2"/>
    <row r="57348" hidden="1" x14ac:dyDescent="0.2"/>
    <row r="57349" hidden="1" x14ac:dyDescent="0.2"/>
    <row r="57350" hidden="1" x14ac:dyDescent="0.2"/>
    <row r="57351" hidden="1" x14ac:dyDescent="0.2"/>
    <row r="57352" hidden="1" x14ac:dyDescent="0.2"/>
    <row r="57353" hidden="1" x14ac:dyDescent="0.2"/>
    <row r="57354" hidden="1" x14ac:dyDescent="0.2"/>
    <row r="57355" hidden="1" x14ac:dyDescent="0.2"/>
    <row r="57356" hidden="1" x14ac:dyDescent="0.2"/>
    <row r="57357" hidden="1" x14ac:dyDescent="0.2"/>
    <row r="57358" hidden="1" x14ac:dyDescent="0.2"/>
    <row r="57359" hidden="1" x14ac:dyDescent="0.2"/>
    <row r="57360" hidden="1" x14ac:dyDescent="0.2"/>
    <row r="57361" hidden="1" x14ac:dyDescent="0.2"/>
    <row r="57362" hidden="1" x14ac:dyDescent="0.2"/>
    <row r="57363" hidden="1" x14ac:dyDescent="0.2"/>
    <row r="57364" hidden="1" x14ac:dyDescent="0.2"/>
    <row r="57365" hidden="1" x14ac:dyDescent="0.2"/>
    <row r="57366" hidden="1" x14ac:dyDescent="0.2"/>
    <row r="57367" hidden="1" x14ac:dyDescent="0.2"/>
    <row r="57368" hidden="1" x14ac:dyDescent="0.2"/>
    <row r="57369" hidden="1" x14ac:dyDescent="0.2"/>
    <row r="57370" hidden="1" x14ac:dyDescent="0.2"/>
    <row r="57371" hidden="1" x14ac:dyDescent="0.2"/>
    <row r="57372" hidden="1" x14ac:dyDescent="0.2"/>
    <row r="57373" hidden="1" x14ac:dyDescent="0.2"/>
    <row r="57374" hidden="1" x14ac:dyDescent="0.2"/>
    <row r="57375" hidden="1" x14ac:dyDescent="0.2"/>
    <row r="57376" hidden="1" x14ac:dyDescent="0.2"/>
    <row r="57377" hidden="1" x14ac:dyDescent="0.2"/>
    <row r="57378" hidden="1" x14ac:dyDescent="0.2"/>
    <row r="57379" hidden="1" x14ac:dyDescent="0.2"/>
    <row r="57380" hidden="1" x14ac:dyDescent="0.2"/>
    <row r="57381" hidden="1" x14ac:dyDescent="0.2"/>
    <row r="57382" hidden="1" x14ac:dyDescent="0.2"/>
    <row r="57383" hidden="1" x14ac:dyDescent="0.2"/>
    <row r="57384" hidden="1" x14ac:dyDescent="0.2"/>
    <row r="57385" hidden="1" x14ac:dyDescent="0.2"/>
    <row r="57386" hidden="1" x14ac:dyDescent="0.2"/>
    <row r="57387" hidden="1" x14ac:dyDescent="0.2"/>
    <row r="57388" hidden="1" x14ac:dyDescent="0.2"/>
    <row r="57389" hidden="1" x14ac:dyDescent="0.2"/>
    <row r="57390" hidden="1" x14ac:dyDescent="0.2"/>
    <row r="57391" hidden="1" x14ac:dyDescent="0.2"/>
    <row r="57392" hidden="1" x14ac:dyDescent="0.2"/>
    <row r="57393" hidden="1" x14ac:dyDescent="0.2"/>
    <row r="57394" hidden="1" x14ac:dyDescent="0.2"/>
    <row r="57395" hidden="1" x14ac:dyDescent="0.2"/>
    <row r="57396" hidden="1" x14ac:dyDescent="0.2"/>
    <row r="57397" hidden="1" x14ac:dyDescent="0.2"/>
    <row r="57398" hidden="1" x14ac:dyDescent="0.2"/>
    <row r="57399" hidden="1" x14ac:dyDescent="0.2"/>
    <row r="57400" hidden="1" x14ac:dyDescent="0.2"/>
    <row r="57401" hidden="1" x14ac:dyDescent="0.2"/>
    <row r="57402" hidden="1" x14ac:dyDescent="0.2"/>
    <row r="57403" hidden="1" x14ac:dyDescent="0.2"/>
    <row r="57404" hidden="1" x14ac:dyDescent="0.2"/>
    <row r="57405" hidden="1" x14ac:dyDescent="0.2"/>
    <row r="57406" hidden="1" x14ac:dyDescent="0.2"/>
    <row r="57407" hidden="1" x14ac:dyDescent="0.2"/>
    <row r="57408" hidden="1" x14ac:dyDescent="0.2"/>
    <row r="57409" hidden="1" x14ac:dyDescent="0.2"/>
    <row r="57410" hidden="1" x14ac:dyDescent="0.2"/>
    <row r="57411" hidden="1" x14ac:dyDescent="0.2"/>
    <row r="57412" hidden="1" x14ac:dyDescent="0.2"/>
    <row r="57413" hidden="1" x14ac:dyDescent="0.2"/>
    <row r="57414" hidden="1" x14ac:dyDescent="0.2"/>
    <row r="57415" hidden="1" x14ac:dyDescent="0.2"/>
    <row r="57416" hidden="1" x14ac:dyDescent="0.2"/>
    <row r="57417" hidden="1" x14ac:dyDescent="0.2"/>
    <row r="57418" hidden="1" x14ac:dyDescent="0.2"/>
    <row r="57419" hidden="1" x14ac:dyDescent="0.2"/>
    <row r="57420" hidden="1" x14ac:dyDescent="0.2"/>
    <row r="57421" hidden="1" x14ac:dyDescent="0.2"/>
    <row r="57422" hidden="1" x14ac:dyDescent="0.2"/>
    <row r="57423" hidden="1" x14ac:dyDescent="0.2"/>
    <row r="57424" hidden="1" x14ac:dyDescent="0.2"/>
    <row r="57425" hidden="1" x14ac:dyDescent="0.2"/>
    <row r="57426" hidden="1" x14ac:dyDescent="0.2"/>
    <row r="57427" hidden="1" x14ac:dyDescent="0.2"/>
    <row r="57428" hidden="1" x14ac:dyDescent="0.2"/>
    <row r="57429" hidden="1" x14ac:dyDescent="0.2"/>
    <row r="57430" hidden="1" x14ac:dyDescent="0.2"/>
    <row r="57431" hidden="1" x14ac:dyDescent="0.2"/>
    <row r="57432" hidden="1" x14ac:dyDescent="0.2"/>
    <row r="57433" hidden="1" x14ac:dyDescent="0.2"/>
    <row r="57434" hidden="1" x14ac:dyDescent="0.2"/>
    <row r="57435" hidden="1" x14ac:dyDescent="0.2"/>
    <row r="57436" hidden="1" x14ac:dyDescent="0.2"/>
    <row r="57437" hidden="1" x14ac:dyDescent="0.2"/>
    <row r="57438" hidden="1" x14ac:dyDescent="0.2"/>
    <row r="57439" hidden="1" x14ac:dyDescent="0.2"/>
    <row r="57440" hidden="1" x14ac:dyDescent="0.2"/>
    <row r="57441" hidden="1" x14ac:dyDescent="0.2"/>
    <row r="57442" hidden="1" x14ac:dyDescent="0.2"/>
    <row r="57443" hidden="1" x14ac:dyDescent="0.2"/>
    <row r="57444" hidden="1" x14ac:dyDescent="0.2"/>
    <row r="57445" hidden="1" x14ac:dyDescent="0.2"/>
    <row r="57446" hidden="1" x14ac:dyDescent="0.2"/>
    <row r="57447" hidden="1" x14ac:dyDescent="0.2"/>
    <row r="57448" hidden="1" x14ac:dyDescent="0.2"/>
    <row r="57449" hidden="1" x14ac:dyDescent="0.2"/>
    <row r="57450" hidden="1" x14ac:dyDescent="0.2"/>
    <row r="57451" hidden="1" x14ac:dyDescent="0.2"/>
    <row r="57452" hidden="1" x14ac:dyDescent="0.2"/>
    <row r="57453" hidden="1" x14ac:dyDescent="0.2"/>
    <row r="57454" hidden="1" x14ac:dyDescent="0.2"/>
    <row r="57455" hidden="1" x14ac:dyDescent="0.2"/>
    <row r="57456" hidden="1" x14ac:dyDescent="0.2"/>
    <row r="57457" hidden="1" x14ac:dyDescent="0.2"/>
    <row r="57458" hidden="1" x14ac:dyDescent="0.2"/>
    <row r="57459" hidden="1" x14ac:dyDescent="0.2"/>
    <row r="57460" hidden="1" x14ac:dyDescent="0.2"/>
    <row r="57461" hidden="1" x14ac:dyDescent="0.2"/>
    <row r="57462" hidden="1" x14ac:dyDescent="0.2"/>
    <row r="57463" hidden="1" x14ac:dyDescent="0.2"/>
    <row r="57464" hidden="1" x14ac:dyDescent="0.2"/>
    <row r="57465" hidden="1" x14ac:dyDescent="0.2"/>
    <row r="57466" hidden="1" x14ac:dyDescent="0.2"/>
    <row r="57467" hidden="1" x14ac:dyDescent="0.2"/>
    <row r="57468" hidden="1" x14ac:dyDescent="0.2"/>
    <row r="57469" hidden="1" x14ac:dyDescent="0.2"/>
    <row r="57470" hidden="1" x14ac:dyDescent="0.2"/>
    <row r="57471" hidden="1" x14ac:dyDescent="0.2"/>
    <row r="57472" hidden="1" x14ac:dyDescent="0.2"/>
    <row r="57473" hidden="1" x14ac:dyDescent="0.2"/>
    <row r="57474" hidden="1" x14ac:dyDescent="0.2"/>
    <row r="57475" hidden="1" x14ac:dyDescent="0.2"/>
    <row r="57476" hidden="1" x14ac:dyDescent="0.2"/>
    <row r="57477" hidden="1" x14ac:dyDescent="0.2"/>
    <row r="57478" hidden="1" x14ac:dyDescent="0.2"/>
    <row r="57479" hidden="1" x14ac:dyDescent="0.2"/>
    <row r="57480" hidden="1" x14ac:dyDescent="0.2"/>
    <row r="57481" hidden="1" x14ac:dyDescent="0.2"/>
    <row r="57482" hidden="1" x14ac:dyDescent="0.2"/>
    <row r="57483" hidden="1" x14ac:dyDescent="0.2"/>
    <row r="57484" hidden="1" x14ac:dyDescent="0.2"/>
    <row r="57485" hidden="1" x14ac:dyDescent="0.2"/>
    <row r="57486" hidden="1" x14ac:dyDescent="0.2"/>
    <row r="57487" hidden="1" x14ac:dyDescent="0.2"/>
    <row r="57488" hidden="1" x14ac:dyDescent="0.2"/>
    <row r="57489" hidden="1" x14ac:dyDescent="0.2"/>
    <row r="57490" hidden="1" x14ac:dyDescent="0.2"/>
    <row r="57491" hidden="1" x14ac:dyDescent="0.2"/>
    <row r="57492" hidden="1" x14ac:dyDescent="0.2"/>
    <row r="57493" hidden="1" x14ac:dyDescent="0.2"/>
    <row r="57494" hidden="1" x14ac:dyDescent="0.2"/>
    <row r="57495" hidden="1" x14ac:dyDescent="0.2"/>
    <row r="57496" hidden="1" x14ac:dyDescent="0.2"/>
    <row r="57497" hidden="1" x14ac:dyDescent="0.2"/>
    <row r="57498" hidden="1" x14ac:dyDescent="0.2"/>
    <row r="57499" hidden="1" x14ac:dyDescent="0.2"/>
    <row r="57500" hidden="1" x14ac:dyDescent="0.2"/>
    <row r="57501" hidden="1" x14ac:dyDescent="0.2"/>
    <row r="57502" hidden="1" x14ac:dyDescent="0.2"/>
    <row r="57503" hidden="1" x14ac:dyDescent="0.2"/>
    <row r="57504" hidden="1" x14ac:dyDescent="0.2"/>
    <row r="57505" hidden="1" x14ac:dyDescent="0.2"/>
    <row r="57506" hidden="1" x14ac:dyDescent="0.2"/>
    <row r="57507" hidden="1" x14ac:dyDescent="0.2"/>
    <row r="57508" hidden="1" x14ac:dyDescent="0.2"/>
    <row r="57509" hidden="1" x14ac:dyDescent="0.2"/>
    <row r="57510" hidden="1" x14ac:dyDescent="0.2"/>
    <row r="57511" hidden="1" x14ac:dyDescent="0.2"/>
    <row r="57512" hidden="1" x14ac:dyDescent="0.2"/>
    <row r="57513" hidden="1" x14ac:dyDescent="0.2"/>
    <row r="57514" hidden="1" x14ac:dyDescent="0.2"/>
    <row r="57515" hidden="1" x14ac:dyDescent="0.2"/>
    <row r="57516" hidden="1" x14ac:dyDescent="0.2"/>
    <row r="57517" hidden="1" x14ac:dyDescent="0.2"/>
    <row r="57518" hidden="1" x14ac:dyDescent="0.2"/>
    <row r="57519" hidden="1" x14ac:dyDescent="0.2"/>
    <row r="57520" hidden="1" x14ac:dyDescent="0.2"/>
    <row r="57521" hidden="1" x14ac:dyDescent="0.2"/>
    <row r="57522" hidden="1" x14ac:dyDescent="0.2"/>
    <row r="57523" hidden="1" x14ac:dyDescent="0.2"/>
    <row r="57524" hidden="1" x14ac:dyDescent="0.2"/>
    <row r="57525" hidden="1" x14ac:dyDescent="0.2"/>
    <row r="57526" hidden="1" x14ac:dyDescent="0.2"/>
    <row r="57527" hidden="1" x14ac:dyDescent="0.2"/>
    <row r="57528" hidden="1" x14ac:dyDescent="0.2"/>
    <row r="57529" hidden="1" x14ac:dyDescent="0.2"/>
    <row r="57530" hidden="1" x14ac:dyDescent="0.2"/>
    <row r="57531" hidden="1" x14ac:dyDescent="0.2"/>
    <row r="57532" hidden="1" x14ac:dyDescent="0.2"/>
    <row r="57533" hidden="1" x14ac:dyDescent="0.2"/>
    <row r="57534" hidden="1" x14ac:dyDescent="0.2"/>
    <row r="57535" hidden="1" x14ac:dyDescent="0.2"/>
    <row r="57536" hidden="1" x14ac:dyDescent="0.2"/>
    <row r="57537" hidden="1" x14ac:dyDescent="0.2"/>
    <row r="57538" hidden="1" x14ac:dyDescent="0.2"/>
    <row r="57539" hidden="1" x14ac:dyDescent="0.2"/>
    <row r="57540" hidden="1" x14ac:dyDescent="0.2"/>
    <row r="57541" hidden="1" x14ac:dyDescent="0.2"/>
    <row r="57542" hidden="1" x14ac:dyDescent="0.2"/>
    <row r="57543" hidden="1" x14ac:dyDescent="0.2"/>
    <row r="57544" hidden="1" x14ac:dyDescent="0.2"/>
    <row r="57545" hidden="1" x14ac:dyDescent="0.2"/>
    <row r="57546" hidden="1" x14ac:dyDescent="0.2"/>
    <row r="57547" hidden="1" x14ac:dyDescent="0.2"/>
    <row r="57548" hidden="1" x14ac:dyDescent="0.2"/>
    <row r="57549" hidden="1" x14ac:dyDescent="0.2"/>
    <row r="57550" hidden="1" x14ac:dyDescent="0.2"/>
    <row r="57551" hidden="1" x14ac:dyDescent="0.2"/>
    <row r="57552" hidden="1" x14ac:dyDescent="0.2"/>
    <row r="57553" hidden="1" x14ac:dyDescent="0.2"/>
    <row r="57554" hidden="1" x14ac:dyDescent="0.2"/>
    <row r="57555" hidden="1" x14ac:dyDescent="0.2"/>
    <row r="57556" hidden="1" x14ac:dyDescent="0.2"/>
    <row r="57557" hidden="1" x14ac:dyDescent="0.2"/>
    <row r="57558" hidden="1" x14ac:dyDescent="0.2"/>
    <row r="57559" hidden="1" x14ac:dyDescent="0.2"/>
    <row r="57560" hidden="1" x14ac:dyDescent="0.2"/>
    <row r="57561" hidden="1" x14ac:dyDescent="0.2"/>
    <row r="57562" hidden="1" x14ac:dyDescent="0.2"/>
    <row r="57563" hidden="1" x14ac:dyDescent="0.2"/>
    <row r="57564" hidden="1" x14ac:dyDescent="0.2"/>
    <row r="57565" hidden="1" x14ac:dyDescent="0.2"/>
    <row r="57566" hidden="1" x14ac:dyDescent="0.2"/>
    <row r="57567" hidden="1" x14ac:dyDescent="0.2"/>
    <row r="57568" hidden="1" x14ac:dyDescent="0.2"/>
    <row r="57569" hidden="1" x14ac:dyDescent="0.2"/>
    <row r="57570" hidden="1" x14ac:dyDescent="0.2"/>
    <row r="57571" hidden="1" x14ac:dyDescent="0.2"/>
    <row r="57572" hidden="1" x14ac:dyDescent="0.2"/>
    <row r="57573" hidden="1" x14ac:dyDescent="0.2"/>
    <row r="57574" hidden="1" x14ac:dyDescent="0.2"/>
    <row r="57575" hidden="1" x14ac:dyDescent="0.2"/>
    <row r="57576" hidden="1" x14ac:dyDescent="0.2"/>
    <row r="57577" hidden="1" x14ac:dyDescent="0.2"/>
    <row r="57578" hidden="1" x14ac:dyDescent="0.2"/>
    <row r="57579" hidden="1" x14ac:dyDescent="0.2"/>
    <row r="57580" hidden="1" x14ac:dyDescent="0.2"/>
    <row r="57581" hidden="1" x14ac:dyDescent="0.2"/>
    <row r="57582" hidden="1" x14ac:dyDescent="0.2"/>
    <row r="57583" hidden="1" x14ac:dyDescent="0.2"/>
    <row r="57584" hidden="1" x14ac:dyDescent="0.2"/>
    <row r="57585" hidden="1" x14ac:dyDescent="0.2"/>
    <row r="57586" hidden="1" x14ac:dyDescent="0.2"/>
    <row r="57587" hidden="1" x14ac:dyDescent="0.2"/>
    <row r="57588" hidden="1" x14ac:dyDescent="0.2"/>
    <row r="57589" hidden="1" x14ac:dyDescent="0.2"/>
    <row r="57590" hidden="1" x14ac:dyDescent="0.2"/>
    <row r="57591" hidden="1" x14ac:dyDescent="0.2"/>
    <row r="57592" hidden="1" x14ac:dyDescent="0.2"/>
    <row r="57593" hidden="1" x14ac:dyDescent="0.2"/>
    <row r="57594" hidden="1" x14ac:dyDescent="0.2"/>
    <row r="57595" hidden="1" x14ac:dyDescent="0.2"/>
    <row r="57596" hidden="1" x14ac:dyDescent="0.2"/>
    <row r="57597" hidden="1" x14ac:dyDescent="0.2"/>
    <row r="57598" hidden="1" x14ac:dyDescent="0.2"/>
    <row r="57599" hidden="1" x14ac:dyDescent="0.2"/>
    <row r="57600" hidden="1" x14ac:dyDescent="0.2"/>
    <row r="57601" hidden="1" x14ac:dyDescent="0.2"/>
    <row r="57602" hidden="1" x14ac:dyDescent="0.2"/>
    <row r="57603" hidden="1" x14ac:dyDescent="0.2"/>
    <row r="57604" hidden="1" x14ac:dyDescent="0.2"/>
    <row r="57605" hidden="1" x14ac:dyDescent="0.2"/>
    <row r="57606" hidden="1" x14ac:dyDescent="0.2"/>
    <row r="57607" hidden="1" x14ac:dyDescent="0.2"/>
    <row r="57608" hidden="1" x14ac:dyDescent="0.2"/>
    <row r="57609" hidden="1" x14ac:dyDescent="0.2"/>
    <row r="57610" hidden="1" x14ac:dyDescent="0.2"/>
    <row r="57611" hidden="1" x14ac:dyDescent="0.2"/>
    <row r="57612" hidden="1" x14ac:dyDescent="0.2"/>
    <row r="57613" hidden="1" x14ac:dyDescent="0.2"/>
    <row r="57614" hidden="1" x14ac:dyDescent="0.2"/>
    <row r="57615" hidden="1" x14ac:dyDescent="0.2"/>
    <row r="57616" hidden="1" x14ac:dyDescent="0.2"/>
    <row r="57617" hidden="1" x14ac:dyDescent="0.2"/>
    <row r="57618" hidden="1" x14ac:dyDescent="0.2"/>
    <row r="57619" hidden="1" x14ac:dyDescent="0.2"/>
    <row r="57620" hidden="1" x14ac:dyDescent="0.2"/>
    <row r="57621" hidden="1" x14ac:dyDescent="0.2"/>
    <row r="57622" hidden="1" x14ac:dyDescent="0.2"/>
    <row r="57623" hidden="1" x14ac:dyDescent="0.2"/>
    <row r="57624" hidden="1" x14ac:dyDescent="0.2"/>
    <row r="57625" hidden="1" x14ac:dyDescent="0.2"/>
    <row r="57626" hidden="1" x14ac:dyDescent="0.2"/>
    <row r="57627" hidden="1" x14ac:dyDescent="0.2"/>
    <row r="57628" hidden="1" x14ac:dyDescent="0.2"/>
    <row r="57629" hidden="1" x14ac:dyDescent="0.2"/>
    <row r="57630" hidden="1" x14ac:dyDescent="0.2"/>
    <row r="57631" hidden="1" x14ac:dyDescent="0.2"/>
    <row r="57632" hidden="1" x14ac:dyDescent="0.2"/>
    <row r="57633" hidden="1" x14ac:dyDescent="0.2"/>
    <row r="57634" hidden="1" x14ac:dyDescent="0.2"/>
    <row r="57635" hidden="1" x14ac:dyDescent="0.2"/>
    <row r="57636" hidden="1" x14ac:dyDescent="0.2"/>
    <row r="57637" hidden="1" x14ac:dyDescent="0.2"/>
    <row r="57638" hidden="1" x14ac:dyDescent="0.2"/>
    <row r="57639" hidden="1" x14ac:dyDescent="0.2"/>
    <row r="57640" hidden="1" x14ac:dyDescent="0.2"/>
    <row r="57641" hidden="1" x14ac:dyDescent="0.2"/>
    <row r="57642" hidden="1" x14ac:dyDescent="0.2"/>
    <row r="57643" hidden="1" x14ac:dyDescent="0.2"/>
    <row r="57644" hidden="1" x14ac:dyDescent="0.2"/>
    <row r="57645" hidden="1" x14ac:dyDescent="0.2"/>
    <row r="57646" hidden="1" x14ac:dyDescent="0.2"/>
    <row r="57647" hidden="1" x14ac:dyDescent="0.2"/>
    <row r="57648" hidden="1" x14ac:dyDescent="0.2"/>
    <row r="57649" hidden="1" x14ac:dyDescent="0.2"/>
    <row r="57650" hidden="1" x14ac:dyDescent="0.2"/>
    <row r="57651" hidden="1" x14ac:dyDescent="0.2"/>
    <row r="57652" hidden="1" x14ac:dyDescent="0.2"/>
    <row r="57653" hidden="1" x14ac:dyDescent="0.2"/>
    <row r="57654" hidden="1" x14ac:dyDescent="0.2"/>
    <row r="57655" hidden="1" x14ac:dyDescent="0.2"/>
    <row r="57656" hidden="1" x14ac:dyDescent="0.2"/>
    <row r="57657" hidden="1" x14ac:dyDescent="0.2"/>
    <row r="57658" hidden="1" x14ac:dyDescent="0.2"/>
    <row r="57659" hidden="1" x14ac:dyDescent="0.2"/>
    <row r="57660" hidden="1" x14ac:dyDescent="0.2"/>
    <row r="57661" hidden="1" x14ac:dyDescent="0.2"/>
    <row r="57662" hidden="1" x14ac:dyDescent="0.2"/>
    <row r="57663" hidden="1" x14ac:dyDescent="0.2"/>
    <row r="57664" hidden="1" x14ac:dyDescent="0.2"/>
    <row r="57665" hidden="1" x14ac:dyDescent="0.2"/>
    <row r="57666" hidden="1" x14ac:dyDescent="0.2"/>
    <row r="57667" hidden="1" x14ac:dyDescent="0.2"/>
    <row r="57668" hidden="1" x14ac:dyDescent="0.2"/>
    <row r="57669" hidden="1" x14ac:dyDescent="0.2"/>
    <row r="57670" hidden="1" x14ac:dyDescent="0.2"/>
    <row r="57671" hidden="1" x14ac:dyDescent="0.2"/>
    <row r="57672" hidden="1" x14ac:dyDescent="0.2"/>
    <row r="57673" hidden="1" x14ac:dyDescent="0.2"/>
    <row r="57674" hidden="1" x14ac:dyDescent="0.2"/>
    <row r="57675" hidden="1" x14ac:dyDescent="0.2"/>
    <row r="57676" hidden="1" x14ac:dyDescent="0.2"/>
    <row r="57677" hidden="1" x14ac:dyDescent="0.2"/>
    <row r="57678" hidden="1" x14ac:dyDescent="0.2"/>
    <row r="57679" hidden="1" x14ac:dyDescent="0.2"/>
    <row r="57680" hidden="1" x14ac:dyDescent="0.2"/>
    <row r="57681" hidden="1" x14ac:dyDescent="0.2"/>
    <row r="57682" hidden="1" x14ac:dyDescent="0.2"/>
    <row r="57683" hidden="1" x14ac:dyDescent="0.2"/>
    <row r="57684" hidden="1" x14ac:dyDescent="0.2"/>
    <row r="57685" hidden="1" x14ac:dyDescent="0.2"/>
    <row r="57686" hidden="1" x14ac:dyDescent="0.2"/>
    <row r="57687" hidden="1" x14ac:dyDescent="0.2"/>
    <row r="57688" hidden="1" x14ac:dyDescent="0.2"/>
    <row r="57689" hidden="1" x14ac:dyDescent="0.2"/>
    <row r="57690" hidden="1" x14ac:dyDescent="0.2"/>
    <row r="57691" hidden="1" x14ac:dyDescent="0.2"/>
    <row r="57692" hidden="1" x14ac:dyDescent="0.2"/>
    <row r="57693" hidden="1" x14ac:dyDescent="0.2"/>
    <row r="57694" hidden="1" x14ac:dyDescent="0.2"/>
    <row r="57695" hidden="1" x14ac:dyDescent="0.2"/>
    <row r="57696" hidden="1" x14ac:dyDescent="0.2"/>
    <row r="57697" hidden="1" x14ac:dyDescent="0.2"/>
    <row r="57698" hidden="1" x14ac:dyDescent="0.2"/>
    <row r="57699" hidden="1" x14ac:dyDescent="0.2"/>
    <row r="57700" hidden="1" x14ac:dyDescent="0.2"/>
    <row r="57701" hidden="1" x14ac:dyDescent="0.2"/>
    <row r="57702" hidden="1" x14ac:dyDescent="0.2"/>
    <row r="57703" hidden="1" x14ac:dyDescent="0.2"/>
    <row r="57704" hidden="1" x14ac:dyDescent="0.2"/>
    <row r="57705" hidden="1" x14ac:dyDescent="0.2"/>
    <row r="57706" hidden="1" x14ac:dyDescent="0.2"/>
    <row r="57707" hidden="1" x14ac:dyDescent="0.2"/>
    <row r="57708" hidden="1" x14ac:dyDescent="0.2"/>
    <row r="57709" hidden="1" x14ac:dyDescent="0.2"/>
    <row r="57710" hidden="1" x14ac:dyDescent="0.2"/>
    <row r="57711" hidden="1" x14ac:dyDescent="0.2"/>
    <row r="57712" hidden="1" x14ac:dyDescent="0.2"/>
    <row r="57713" hidden="1" x14ac:dyDescent="0.2"/>
    <row r="57714" hidden="1" x14ac:dyDescent="0.2"/>
    <row r="57715" hidden="1" x14ac:dyDescent="0.2"/>
    <row r="57716" hidden="1" x14ac:dyDescent="0.2"/>
    <row r="57717" hidden="1" x14ac:dyDescent="0.2"/>
    <row r="57718" hidden="1" x14ac:dyDescent="0.2"/>
    <row r="57719" hidden="1" x14ac:dyDescent="0.2"/>
    <row r="57720" hidden="1" x14ac:dyDescent="0.2"/>
    <row r="57721" hidden="1" x14ac:dyDescent="0.2"/>
    <row r="57722" hidden="1" x14ac:dyDescent="0.2"/>
    <row r="57723" hidden="1" x14ac:dyDescent="0.2"/>
    <row r="57724" hidden="1" x14ac:dyDescent="0.2"/>
    <row r="57725" hidden="1" x14ac:dyDescent="0.2"/>
    <row r="57726" hidden="1" x14ac:dyDescent="0.2"/>
    <row r="57727" hidden="1" x14ac:dyDescent="0.2"/>
    <row r="57728" hidden="1" x14ac:dyDescent="0.2"/>
    <row r="57729" hidden="1" x14ac:dyDescent="0.2"/>
    <row r="57730" hidden="1" x14ac:dyDescent="0.2"/>
    <row r="57731" hidden="1" x14ac:dyDescent="0.2"/>
    <row r="57732" hidden="1" x14ac:dyDescent="0.2"/>
    <row r="57733" hidden="1" x14ac:dyDescent="0.2"/>
    <row r="57734" hidden="1" x14ac:dyDescent="0.2"/>
    <row r="57735" hidden="1" x14ac:dyDescent="0.2"/>
    <row r="57736" hidden="1" x14ac:dyDescent="0.2"/>
    <row r="57737" hidden="1" x14ac:dyDescent="0.2"/>
    <row r="57738" hidden="1" x14ac:dyDescent="0.2"/>
    <row r="57739" hidden="1" x14ac:dyDescent="0.2"/>
    <row r="57740" hidden="1" x14ac:dyDescent="0.2"/>
    <row r="57741" hidden="1" x14ac:dyDescent="0.2"/>
    <row r="57742" hidden="1" x14ac:dyDescent="0.2"/>
    <row r="57743" hidden="1" x14ac:dyDescent="0.2"/>
    <row r="57744" hidden="1" x14ac:dyDescent="0.2"/>
    <row r="57745" hidden="1" x14ac:dyDescent="0.2"/>
    <row r="57746" hidden="1" x14ac:dyDescent="0.2"/>
    <row r="57747" hidden="1" x14ac:dyDescent="0.2"/>
    <row r="57748" hidden="1" x14ac:dyDescent="0.2"/>
    <row r="57749" hidden="1" x14ac:dyDescent="0.2"/>
    <row r="57750" hidden="1" x14ac:dyDescent="0.2"/>
    <row r="57751" hidden="1" x14ac:dyDescent="0.2"/>
    <row r="57752" hidden="1" x14ac:dyDescent="0.2"/>
    <row r="57753" hidden="1" x14ac:dyDescent="0.2"/>
    <row r="57754" hidden="1" x14ac:dyDescent="0.2"/>
    <row r="57755" hidden="1" x14ac:dyDescent="0.2"/>
    <row r="57756" hidden="1" x14ac:dyDescent="0.2"/>
    <row r="57757" hidden="1" x14ac:dyDescent="0.2"/>
    <row r="57758" hidden="1" x14ac:dyDescent="0.2"/>
    <row r="57759" hidden="1" x14ac:dyDescent="0.2"/>
    <row r="57760" hidden="1" x14ac:dyDescent="0.2"/>
    <row r="57761" hidden="1" x14ac:dyDescent="0.2"/>
    <row r="57762" hidden="1" x14ac:dyDescent="0.2"/>
    <row r="57763" hidden="1" x14ac:dyDescent="0.2"/>
    <row r="57764" hidden="1" x14ac:dyDescent="0.2"/>
    <row r="57765" hidden="1" x14ac:dyDescent="0.2"/>
    <row r="57766" hidden="1" x14ac:dyDescent="0.2"/>
    <row r="57767" hidden="1" x14ac:dyDescent="0.2"/>
    <row r="57768" hidden="1" x14ac:dyDescent="0.2"/>
    <row r="57769" hidden="1" x14ac:dyDescent="0.2"/>
    <row r="57770" hidden="1" x14ac:dyDescent="0.2"/>
    <row r="57771" hidden="1" x14ac:dyDescent="0.2"/>
    <row r="57772" hidden="1" x14ac:dyDescent="0.2"/>
    <row r="57773" hidden="1" x14ac:dyDescent="0.2"/>
    <row r="57774" hidden="1" x14ac:dyDescent="0.2"/>
    <row r="57775" hidden="1" x14ac:dyDescent="0.2"/>
    <row r="57776" hidden="1" x14ac:dyDescent="0.2"/>
    <row r="57777" hidden="1" x14ac:dyDescent="0.2"/>
    <row r="57778" hidden="1" x14ac:dyDescent="0.2"/>
    <row r="57779" hidden="1" x14ac:dyDescent="0.2"/>
    <row r="57780" hidden="1" x14ac:dyDescent="0.2"/>
    <row r="57781" hidden="1" x14ac:dyDescent="0.2"/>
    <row r="57782" hidden="1" x14ac:dyDescent="0.2"/>
    <row r="57783" hidden="1" x14ac:dyDescent="0.2"/>
    <row r="57784" hidden="1" x14ac:dyDescent="0.2"/>
    <row r="57785" hidden="1" x14ac:dyDescent="0.2"/>
    <row r="57786" hidden="1" x14ac:dyDescent="0.2"/>
    <row r="57787" hidden="1" x14ac:dyDescent="0.2"/>
    <row r="57788" hidden="1" x14ac:dyDescent="0.2"/>
    <row r="57789" hidden="1" x14ac:dyDescent="0.2"/>
    <row r="57790" hidden="1" x14ac:dyDescent="0.2"/>
    <row r="57791" hidden="1" x14ac:dyDescent="0.2"/>
    <row r="57792" hidden="1" x14ac:dyDescent="0.2"/>
    <row r="57793" hidden="1" x14ac:dyDescent="0.2"/>
    <row r="57794" hidden="1" x14ac:dyDescent="0.2"/>
    <row r="57795" hidden="1" x14ac:dyDescent="0.2"/>
    <row r="57796" hidden="1" x14ac:dyDescent="0.2"/>
    <row r="57797" hidden="1" x14ac:dyDescent="0.2"/>
    <row r="57798" hidden="1" x14ac:dyDescent="0.2"/>
    <row r="57799" hidden="1" x14ac:dyDescent="0.2"/>
    <row r="57800" hidden="1" x14ac:dyDescent="0.2"/>
    <row r="57801" hidden="1" x14ac:dyDescent="0.2"/>
    <row r="57802" hidden="1" x14ac:dyDescent="0.2"/>
    <row r="57803" hidden="1" x14ac:dyDescent="0.2"/>
    <row r="57804" hidden="1" x14ac:dyDescent="0.2"/>
    <row r="57805" hidden="1" x14ac:dyDescent="0.2"/>
    <row r="57806" hidden="1" x14ac:dyDescent="0.2"/>
    <row r="57807" hidden="1" x14ac:dyDescent="0.2"/>
    <row r="57808" hidden="1" x14ac:dyDescent="0.2"/>
    <row r="57809" hidden="1" x14ac:dyDescent="0.2"/>
    <row r="57810" hidden="1" x14ac:dyDescent="0.2"/>
    <row r="57811" hidden="1" x14ac:dyDescent="0.2"/>
    <row r="57812" hidden="1" x14ac:dyDescent="0.2"/>
    <row r="57813" hidden="1" x14ac:dyDescent="0.2"/>
    <row r="57814" hidden="1" x14ac:dyDescent="0.2"/>
    <row r="57815" hidden="1" x14ac:dyDescent="0.2"/>
    <row r="57816" hidden="1" x14ac:dyDescent="0.2"/>
    <row r="57817" hidden="1" x14ac:dyDescent="0.2"/>
    <row r="57818" hidden="1" x14ac:dyDescent="0.2"/>
    <row r="57819" hidden="1" x14ac:dyDescent="0.2"/>
    <row r="57820" hidden="1" x14ac:dyDescent="0.2"/>
    <row r="57821" hidden="1" x14ac:dyDescent="0.2"/>
    <row r="57822" hidden="1" x14ac:dyDescent="0.2"/>
    <row r="57823" hidden="1" x14ac:dyDescent="0.2"/>
    <row r="57824" hidden="1" x14ac:dyDescent="0.2"/>
    <row r="57825" hidden="1" x14ac:dyDescent="0.2"/>
    <row r="57826" hidden="1" x14ac:dyDescent="0.2"/>
    <row r="57827" hidden="1" x14ac:dyDescent="0.2"/>
    <row r="57828" hidden="1" x14ac:dyDescent="0.2"/>
    <row r="57829" hidden="1" x14ac:dyDescent="0.2"/>
    <row r="57830" hidden="1" x14ac:dyDescent="0.2"/>
    <row r="57831" hidden="1" x14ac:dyDescent="0.2"/>
    <row r="57832" hidden="1" x14ac:dyDescent="0.2"/>
    <row r="57833" hidden="1" x14ac:dyDescent="0.2"/>
    <row r="57834" hidden="1" x14ac:dyDescent="0.2"/>
    <row r="57835" hidden="1" x14ac:dyDescent="0.2"/>
    <row r="57836" hidden="1" x14ac:dyDescent="0.2"/>
    <row r="57837" hidden="1" x14ac:dyDescent="0.2"/>
    <row r="57838" hidden="1" x14ac:dyDescent="0.2"/>
    <row r="57839" hidden="1" x14ac:dyDescent="0.2"/>
    <row r="57840" hidden="1" x14ac:dyDescent="0.2"/>
    <row r="57841" hidden="1" x14ac:dyDescent="0.2"/>
    <row r="57842" hidden="1" x14ac:dyDescent="0.2"/>
    <row r="57843" hidden="1" x14ac:dyDescent="0.2"/>
    <row r="57844" hidden="1" x14ac:dyDescent="0.2"/>
    <row r="57845" hidden="1" x14ac:dyDescent="0.2"/>
    <row r="57846" hidden="1" x14ac:dyDescent="0.2"/>
    <row r="57847" hidden="1" x14ac:dyDescent="0.2"/>
    <row r="57848" hidden="1" x14ac:dyDescent="0.2"/>
    <row r="57849" hidden="1" x14ac:dyDescent="0.2"/>
    <row r="57850" hidden="1" x14ac:dyDescent="0.2"/>
    <row r="57851" hidden="1" x14ac:dyDescent="0.2"/>
    <row r="57852" hidden="1" x14ac:dyDescent="0.2"/>
    <row r="57853" hidden="1" x14ac:dyDescent="0.2"/>
    <row r="57854" hidden="1" x14ac:dyDescent="0.2"/>
    <row r="57855" hidden="1" x14ac:dyDescent="0.2"/>
    <row r="57856" hidden="1" x14ac:dyDescent="0.2"/>
    <row r="57857" hidden="1" x14ac:dyDescent="0.2"/>
    <row r="57858" hidden="1" x14ac:dyDescent="0.2"/>
    <row r="57859" hidden="1" x14ac:dyDescent="0.2"/>
    <row r="57860" hidden="1" x14ac:dyDescent="0.2"/>
    <row r="57861" hidden="1" x14ac:dyDescent="0.2"/>
    <row r="57862" hidden="1" x14ac:dyDescent="0.2"/>
    <row r="57863" hidden="1" x14ac:dyDescent="0.2"/>
    <row r="57864" hidden="1" x14ac:dyDescent="0.2"/>
    <row r="57865" hidden="1" x14ac:dyDescent="0.2"/>
    <row r="57866" hidden="1" x14ac:dyDescent="0.2"/>
    <row r="57867" hidden="1" x14ac:dyDescent="0.2"/>
    <row r="57868" hidden="1" x14ac:dyDescent="0.2"/>
    <row r="57869" hidden="1" x14ac:dyDescent="0.2"/>
    <row r="57870" hidden="1" x14ac:dyDescent="0.2"/>
    <row r="57871" hidden="1" x14ac:dyDescent="0.2"/>
    <row r="57872" hidden="1" x14ac:dyDescent="0.2"/>
    <row r="57873" hidden="1" x14ac:dyDescent="0.2"/>
    <row r="57874" hidden="1" x14ac:dyDescent="0.2"/>
    <row r="57875" hidden="1" x14ac:dyDescent="0.2"/>
    <row r="57876" hidden="1" x14ac:dyDescent="0.2"/>
    <row r="57877" hidden="1" x14ac:dyDescent="0.2"/>
    <row r="57878" hidden="1" x14ac:dyDescent="0.2"/>
    <row r="57879" hidden="1" x14ac:dyDescent="0.2"/>
    <row r="57880" hidden="1" x14ac:dyDescent="0.2"/>
    <row r="57881" hidden="1" x14ac:dyDescent="0.2"/>
    <row r="57882" hidden="1" x14ac:dyDescent="0.2"/>
    <row r="57883" hidden="1" x14ac:dyDescent="0.2"/>
    <row r="57884" hidden="1" x14ac:dyDescent="0.2"/>
    <row r="57885" hidden="1" x14ac:dyDescent="0.2"/>
    <row r="57886" hidden="1" x14ac:dyDescent="0.2"/>
    <row r="57887" hidden="1" x14ac:dyDescent="0.2"/>
    <row r="57888" hidden="1" x14ac:dyDescent="0.2"/>
    <row r="57889" hidden="1" x14ac:dyDescent="0.2"/>
    <row r="57890" hidden="1" x14ac:dyDescent="0.2"/>
    <row r="57891" hidden="1" x14ac:dyDescent="0.2"/>
    <row r="57892" hidden="1" x14ac:dyDescent="0.2"/>
    <row r="57893" hidden="1" x14ac:dyDescent="0.2"/>
    <row r="57894" hidden="1" x14ac:dyDescent="0.2"/>
    <row r="57895" hidden="1" x14ac:dyDescent="0.2"/>
    <row r="57896" hidden="1" x14ac:dyDescent="0.2"/>
    <row r="57897" hidden="1" x14ac:dyDescent="0.2"/>
    <row r="57898" hidden="1" x14ac:dyDescent="0.2"/>
    <row r="57899" hidden="1" x14ac:dyDescent="0.2"/>
    <row r="57900" hidden="1" x14ac:dyDescent="0.2"/>
    <row r="57901" hidden="1" x14ac:dyDescent="0.2"/>
    <row r="57902" hidden="1" x14ac:dyDescent="0.2"/>
    <row r="57903" hidden="1" x14ac:dyDescent="0.2"/>
    <row r="57904" hidden="1" x14ac:dyDescent="0.2"/>
    <row r="57905" hidden="1" x14ac:dyDescent="0.2"/>
    <row r="57906" hidden="1" x14ac:dyDescent="0.2"/>
    <row r="57907" hidden="1" x14ac:dyDescent="0.2"/>
    <row r="57908" hidden="1" x14ac:dyDescent="0.2"/>
    <row r="57909" hidden="1" x14ac:dyDescent="0.2"/>
    <row r="57910" hidden="1" x14ac:dyDescent="0.2"/>
    <row r="57911" hidden="1" x14ac:dyDescent="0.2"/>
    <row r="57912" hidden="1" x14ac:dyDescent="0.2"/>
    <row r="57913" hidden="1" x14ac:dyDescent="0.2"/>
    <row r="57914" hidden="1" x14ac:dyDescent="0.2"/>
    <row r="57915" hidden="1" x14ac:dyDescent="0.2"/>
    <row r="57916" hidden="1" x14ac:dyDescent="0.2"/>
    <row r="57917" hidden="1" x14ac:dyDescent="0.2"/>
    <row r="57918" hidden="1" x14ac:dyDescent="0.2"/>
    <row r="57919" hidden="1" x14ac:dyDescent="0.2"/>
    <row r="57920" hidden="1" x14ac:dyDescent="0.2"/>
    <row r="57921" hidden="1" x14ac:dyDescent="0.2"/>
    <row r="57922" hidden="1" x14ac:dyDescent="0.2"/>
    <row r="57923" hidden="1" x14ac:dyDescent="0.2"/>
    <row r="57924" hidden="1" x14ac:dyDescent="0.2"/>
    <row r="57925" hidden="1" x14ac:dyDescent="0.2"/>
    <row r="57926" hidden="1" x14ac:dyDescent="0.2"/>
    <row r="57927" hidden="1" x14ac:dyDescent="0.2"/>
    <row r="57928" hidden="1" x14ac:dyDescent="0.2"/>
    <row r="57929" hidden="1" x14ac:dyDescent="0.2"/>
    <row r="57930" hidden="1" x14ac:dyDescent="0.2"/>
    <row r="57931" hidden="1" x14ac:dyDescent="0.2"/>
    <row r="57932" hidden="1" x14ac:dyDescent="0.2"/>
    <row r="57933" hidden="1" x14ac:dyDescent="0.2"/>
    <row r="57934" hidden="1" x14ac:dyDescent="0.2"/>
    <row r="57935" hidden="1" x14ac:dyDescent="0.2"/>
    <row r="57936" hidden="1" x14ac:dyDescent="0.2"/>
    <row r="57937" hidden="1" x14ac:dyDescent="0.2"/>
    <row r="57938" hidden="1" x14ac:dyDescent="0.2"/>
    <row r="57939" hidden="1" x14ac:dyDescent="0.2"/>
    <row r="57940" hidden="1" x14ac:dyDescent="0.2"/>
    <row r="57941" hidden="1" x14ac:dyDescent="0.2"/>
    <row r="57942" hidden="1" x14ac:dyDescent="0.2"/>
    <row r="57943" hidden="1" x14ac:dyDescent="0.2"/>
    <row r="57944" hidden="1" x14ac:dyDescent="0.2"/>
    <row r="57945" hidden="1" x14ac:dyDescent="0.2"/>
    <row r="57946" hidden="1" x14ac:dyDescent="0.2"/>
    <row r="57947" hidden="1" x14ac:dyDescent="0.2"/>
    <row r="57948" hidden="1" x14ac:dyDescent="0.2"/>
    <row r="57949" hidden="1" x14ac:dyDescent="0.2"/>
    <row r="57950" hidden="1" x14ac:dyDescent="0.2"/>
    <row r="57951" hidden="1" x14ac:dyDescent="0.2"/>
    <row r="57952" hidden="1" x14ac:dyDescent="0.2"/>
    <row r="57953" hidden="1" x14ac:dyDescent="0.2"/>
    <row r="57954" hidden="1" x14ac:dyDescent="0.2"/>
    <row r="57955" hidden="1" x14ac:dyDescent="0.2"/>
    <row r="57956" hidden="1" x14ac:dyDescent="0.2"/>
    <row r="57957" hidden="1" x14ac:dyDescent="0.2"/>
    <row r="57958" hidden="1" x14ac:dyDescent="0.2"/>
    <row r="57959" hidden="1" x14ac:dyDescent="0.2"/>
    <row r="57960" hidden="1" x14ac:dyDescent="0.2"/>
    <row r="57961" hidden="1" x14ac:dyDescent="0.2"/>
    <row r="57962" hidden="1" x14ac:dyDescent="0.2"/>
    <row r="57963" hidden="1" x14ac:dyDescent="0.2"/>
    <row r="57964" hidden="1" x14ac:dyDescent="0.2"/>
    <row r="57965" hidden="1" x14ac:dyDescent="0.2"/>
    <row r="57966" hidden="1" x14ac:dyDescent="0.2"/>
    <row r="57967" hidden="1" x14ac:dyDescent="0.2"/>
    <row r="57968" hidden="1" x14ac:dyDescent="0.2"/>
    <row r="57969" hidden="1" x14ac:dyDescent="0.2"/>
    <row r="57970" hidden="1" x14ac:dyDescent="0.2"/>
    <row r="57971" hidden="1" x14ac:dyDescent="0.2"/>
    <row r="57972" hidden="1" x14ac:dyDescent="0.2"/>
    <row r="57973" hidden="1" x14ac:dyDescent="0.2"/>
    <row r="57974" hidden="1" x14ac:dyDescent="0.2"/>
    <row r="57975" hidden="1" x14ac:dyDescent="0.2"/>
    <row r="57976" hidden="1" x14ac:dyDescent="0.2"/>
    <row r="57977" hidden="1" x14ac:dyDescent="0.2"/>
    <row r="57978" hidden="1" x14ac:dyDescent="0.2"/>
    <row r="57979" hidden="1" x14ac:dyDescent="0.2"/>
    <row r="57980" hidden="1" x14ac:dyDescent="0.2"/>
    <row r="57981" hidden="1" x14ac:dyDescent="0.2"/>
    <row r="57982" hidden="1" x14ac:dyDescent="0.2"/>
    <row r="57983" hidden="1" x14ac:dyDescent="0.2"/>
    <row r="57984" hidden="1" x14ac:dyDescent="0.2"/>
    <row r="57985" hidden="1" x14ac:dyDescent="0.2"/>
    <row r="57986" hidden="1" x14ac:dyDescent="0.2"/>
    <row r="57987" hidden="1" x14ac:dyDescent="0.2"/>
    <row r="57988" hidden="1" x14ac:dyDescent="0.2"/>
    <row r="57989" hidden="1" x14ac:dyDescent="0.2"/>
    <row r="57990" hidden="1" x14ac:dyDescent="0.2"/>
    <row r="57991" hidden="1" x14ac:dyDescent="0.2"/>
    <row r="57992" hidden="1" x14ac:dyDescent="0.2"/>
    <row r="57993" hidden="1" x14ac:dyDescent="0.2"/>
    <row r="57994" hidden="1" x14ac:dyDescent="0.2"/>
    <row r="57995" hidden="1" x14ac:dyDescent="0.2"/>
    <row r="57996" hidden="1" x14ac:dyDescent="0.2"/>
    <row r="57997" hidden="1" x14ac:dyDescent="0.2"/>
    <row r="57998" hidden="1" x14ac:dyDescent="0.2"/>
    <row r="57999" hidden="1" x14ac:dyDescent="0.2"/>
    <row r="58000" hidden="1" x14ac:dyDescent="0.2"/>
    <row r="58001" hidden="1" x14ac:dyDescent="0.2"/>
    <row r="58002" hidden="1" x14ac:dyDescent="0.2"/>
    <row r="58003" hidden="1" x14ac:dyDescent="0.2"/>
    <row r="58004" hidden="1" x14ac:dyDescent="0.2"/>
    <row r="58005" hidden="1" x14ac:dyDescent="0.2"/>
    <row r="58006" hidden="1" x14ac:dyDescent="0.2"/>
    <row r="58007" hidden="1" x14ac:dyDescent="0.2"/>
    <row r="58008" hidden="1" x14ac:dyDescent="0.2"/>
    <row r="58009" hidden="1" x14ac:dyDescent="0.2"/>
    <row r="58010" hidden="1" x14ac:dyDescent="0.2"/>
    <row r="58011" hidden="1" x14ac:dyDescent="0.2"/>
    <row r="58012" hidden="1" x14ac:dyDescent="0.2"/>
    <row r="58013" hidden="1" x14ac:dyDescent="0.2"/>
    <row r="58014" hidden="1" x14ac:dyDescent="0.2"/>
    <row r="58015" hidden="1" x14ac:dyDescent="0.2"/>
    <row r="58016" hidden="1" x14ac:dyDescent="0.2"/>
    <row r="58017" hidden="1" x14ac:dyDescent="0.2"/>
    <row r="58018" hidden="1" x14ac:dyDescent="0.2"/>
    <row r="58019" hidden="1" x14ac:dyDescent="0.2"/>
    <row r="58020" hidden="1" x14ac:dyDescent="0.2"/>
    <row r="58021" hidden="1" x14ac:dyDescent="0.2"/>
    <row r="58022" hidden="1" x14ac:dyDescent="0.2"/>
    <row r="58023" hidden="1" x14ac:dyDescent="0.2"/>
    <row r="58024" hidden="1" x14ac:dyDescent="0.2"/>
    <row r="58025" hidden="1" x14ac:dyDescent="0.2"/>
    <row r="58026" hidden="1" x14ac:dyDescent="0.2"/>
    <row r="58027" hidden="1" x14ac:dyDescent="0.2"/>
    <row r="58028" hidden="1" x14ac:dyDescent="0.2"/>
    <row r="58029" hidden="1" x14ac:dyDescent="0.2"/>
    <row r="58030" hidden="1" x14ac:dyDescent="0.2"/>
    <row r="58031" hidden="1" x14ac:dyDescent="0.2"/>
    <row r="58032" hidden="1" x14ac:dyDescent="0.2"/>
    <row r="58033" hidden="1" x14ac:dyDescent="0.2"/>
    <row r="58034" hidden="1" x14ac:dyDescent="0.2"/>
    <row r="58035" hidden="1" x14ac:dyDescent="0.2"/>
    <row r="58036" hidden="1" x14ac:dyDescent="0.2"/>
    <row r="58037" hidden="1" x14ac:dyDescent="0.2"/>
    <row r="58038" hidden="1" x14ac:dyDescent="0.2"/>
    <row r="58039" hidden="1" x14ac:dyDescent="0.2"/>
    <row r="58040" hidden="1" x14ac:dyDescent="0.2"/>
    <row r="58041" hidden="1" x14ac:dyDescent="0.2"/>
    <row r="58042" hidden="1" x14ac:dyDescent="0.2"/>
    <row r="58043" hidden="1" x14ac:dyDescent="0.2"/>
    <row r="58044" hidden="1" x14ac:dyDescent="0.2"/>
    <row r="58045" hidden="1" x14ac:dyDescent="0.2"/>
    <row r="58046" hidden="1" x14ac:dyDescent="0.2"/>
    <row r="58047" hidden="1" x14ac:dyDescent="0.2"/>
    <row r="58048" hidden="1" x14ac:dyDescent="0.2"/>
    <row r="58049" hidden="1" x14ac:dyDescent="0.2"/>
    <row r="58050" hidden="1" x14ac:dyDescent="0.2"/>
    <row r="58051" hidden="1" x14ac:dyDescent="0.2"/>
    <row r="58052" hidden="1" x14ac:dyDescent="0.2"/>
    <row r="58053" hidden="1" x14ac:dyDescent="0.2"/>
    <row r="58054" hidden="1" x14ac:dyDescent="0.2"/>
    <row r="58055" hidden="1" x14ac:dyDescent="0.2"/>
    <row r="58056" hidden="1" x14ac:dyDescent="0.2"/>
    <row r="58057" hidden="1" x14ac:dyDescent="0.2"/>
    <row r="58058" hidden="1" x14ac:dyDescent="0.2"/>
    <row r="58059" hidden="1" x14ac:dyDescent="0.2"/>
    <row r="58060" hidden="1" x14ac:dyDescent="0.2"/>
    <row r="58061" hidden="1" x14ac:dyDescent="0.2"/>
    <row r="58062" hidden="1" x14ac:dyDescent="0.2"/>
    <row r="58063" hidden="1" x14ac:dyDescent="0.2"/>
    <row r="58064" hidden="1" x14ac:dyDescent="0.2"/>
    <row r="58065" hidden="1" x14ac:dyDescent="0.2"/>
    <row r="58066" hidden="1" x14ac:dyDescent="0.2"/>
    <row r="58067" hidden="1" x14ac:dyDescent="0.2"/>
    <row r="58068" hidden="1" x14ac:dyDescent="0.2"/>
    <row r="58069" hidden="1" x14ac:dyDescent="0.2"/>
    <row r="58070" hidden="1" x14ac:dyDescent="0.2"/>
    <row r="58071" hidden="1" x14ac:dyDescent="0.2"/>
    <row r="58072" hidden="1" x14ac:dyDescent="0.2"/>
    <row r="58073" hidden="1" x14ac:dyDescent="0.2"/>
    <row r="58074" hidden="1" x14ac:dyDescent="0.2"/>
    <row r="58075" hidden="1" x14ac:dyDescent="0.2"/>
    <row r="58076" hidden="1" x14ac:dyDescent="0.2"/>
    <row r="58077" hidden="1" x14ac:dyDescent="0.2"/>
    <row r="58078" hidden="1" x14ac:dyDescent="0.2"/>
    <row r="58079" hidden="1" x14ac:dyDescent="0.2"/>
    <row r="58080" hidden="1" x14ac:dyDescent="0.2"/>
    <row r="58081" hidden="1" x14ac:dyDescent="0.2"/>
    <row r="58082" hidden="1" x14ac:dyDescent="0.2"/>
    <row r="58083" hidden="1" x14ac:dyDescent="0.2"/>
    <row r="58084" hidden="1" x14ac:dyDescent="0.2"/>
    <row r="58085" hidden="1" x14ac:dyDescent="0.2"/>
    <row r="58086" hidden="1" x14ac:dyDescent="0.2"/>
    <row r="58087" hidden="1" x14ac:dyDescent="0.2"/>
    <row r="58088" hidden="1" x14ac:dyDescent="0.2"/>
    <row r="58089" hidden="1" x14ac:dyDescent="0.2"/>
    <row r="58090" hidden="1" x14ac:dyDescent="0.2"/>
    <row r="58091" hidden="1" x14ac:dyDescent="0.2"/>
    <row r="58092" hidden="1" x14ac:dyDescent="0.2"/>
    <row r="58093" hidden="1" x14ac:dyDescent="0.2"/>
    <row r="58094" hidden="1" x14ac:dyDescent="0.2"/>
    <row r="58095" hidden="1" x14ac:dyDescent="0.2"/>
    <row r="58096" hidden="1" x14ac:dyDescent="0.2"/>
    <row r="58097" hidden="1" x14ac:dyDescent="0.2"/>
    <row r="58098" hidden="1" x14ac:dyDescent="0.2"/>
    <row r="58099" hidden="1" x14ac:dyDescent="0.2"/>
    <row r="58100" hidden="1" x14ac:dyDescent="0.2"/>
    <row r="58101" hidden="1" x14ac:dyDescent="0.2"/>
    <row r="58102" hidden="1" x14ac:dyDescent="0.2"/>
    <row r="58103" hidden="1" x14ac:dyDescent="0.2"/>
    <row r="58104" hidden="1" x14ac:dyDescent="0.2"/>
    <row r="58105" hidden="1" x14ac:dyDescent="0.2"/>
    <row r="58106" hidden="1" x14ac:dyDescent="0.2"/>
    <row r="58107" hidden="1" x14ac:dyDescent="0.2"/>
    <row r="58108" hidden="1" x14ac:dyDescent="0.2"/>
    <row r="58109" hidden="1" x14ac:dyDescent="0.2"/>
    <row r="58110" hidden="1" x14ac:dyDescent="0.2"/>
    <row r="58111" hidden="1" x14ac:dyDescent="0.2"/>
    <row r="58112" hidden="1" x14ac:dyDescent="0.2"/>
    <row r="58113" hidden="1" x14ac:dyDescent="0.2"/>
    <row r="58114" hidden="1" x14ac:dyDescent="0.2"/>
    <row r="58115" hidden="1" x14ac:dyDescent="0.2"/>
    <row r="58116" hidden="1" x14ac:dyDescent="0.2"/>
    <row r="58117" hidden="1" x14ac:dyDescent="0.2"/>
    <row r="58118" hidden="1" x14ac:dyDescent="0.2"/>
    <row r="58119" hidden="1" x14ac:dyDescent="0.2"/>
    <row r="58120" hidden="1" x14ac:dyDescent="0.2"/>
    <row r="58121" hidden="1" x14ac:dyDescent="0.2"/>
    <row r="58122" hidden="1" x14ac:dyDescent="0.2"/>
    <row r="58123" hidden="1" x14ac:dyDescent="0.2"/>
    <row r="58124" hidden="1" x14ac:dyDescent="0.2"/>
    <row r="58125" hidden="1" x14ac:dyDescent="0.2"/>
    <row r="58126" hidden="1" x14ac:dyDescent="0.2"/>
    <row r="58127" hidden="1" x14ac:dyDescent="0.2"/>
    <row r="58128" hidden="1" x14ac:dyDescent="0.2"/>
    <row r="58129" hidden="1" x14ac:dyDescent="0.2"/>
    <row r="58130" hidden="1" x14ac:dyDescent="0.2"/>
    <row r="58131" hidden="1" x14ac:dyDescent="0.2"/>
    <row r="58132" hidden="1" x14ac:dyDescent="0.2"/>
    <row r="58133" hidden="1" x14ac:dyDescent="0.2"/>
    <row r="58134" hidden="1" x14ac:dyDescent="0.2"/>
    <row r="58135" hidden="1" x14ac:dyDescent="0.2"/>
    <row r="58136" hidden="1" x14ac:dyDescent="0.2"/>
    <row r="58137" hidden="1" x14ac:dyDescent="0.2"/>
    <row r="58138" hidden="1" x14ac:dyDescent="0.2"/>
    <row r="58139" hidden="1" x14ac:dyDescent="0.2"/>
    <row r="58140" hidden="1" x14ac:dyDescent="0.2"/>
    <row r="58141" hidden="1" x14ac:dyDescent="0.2"/>
    <row r="58142" hidden="1" x14ac:dyDescent="0.2"/>
    <row r="58143" hidden="1" x14ac:dyDescent="0.2"/>
    <row r="58144" hidden="1" x14ac:dyDescent="0.2"/>
    <row r="58145" hidden="1" x14ac:dyDescent="0.2"/>
    <row r="58146" hidden="1" x14ac:dyDescent="0.2"/>
    <row r="58147" hidden="1" x14ac:dyDescent="0.2"/>
    <row r="58148" hidden="1" x14ac:dyDescent="0.2"/>
    <row r="58149" hidden="1" x14ac:dyDescent="0.2"/>
    <row r="58150" hidden="1" x14ac:dyDescent="0.2"/>
    <row r="58151" hidden="1" x14ac:dyDescent="0.2"/>
    <row r="58152" hidden="1" x14ac:dyDescent="0.2"/>
    <row r="58153" hidden="1" x14ac:dyDescent="0.2"/>
    <row r="58154" hidden="1" x14ac:dyDescent="0.2"/>
    <row r="58155" hidden="1" x14ac:dyDescent="0.2"/>
    <row r="58156" hidden="1" x14ac:dyDescent="0.2"/>
    <row r="58157" hidden="1" x14ac:dyDescent="0.2"/>
    <row r="58158" hidden="1" x14ac:dyDescent="0.2"/>
    <row r="58159" hidden="1" x14ac:dyDescent="0.2"/>
    <row r="58160" hidden="1" x14ac:dyDescent="0.2"/>
    <row r="58161" hidden="1" x14ac:dyDescent="0.2"/>
    <row r="58162" hidden="1" x14ac:dyDescent="0.2"/>
    <row r="58163" hidden="1" x14ac:dyDescent="0.2"/>
    <row r="58164" hidden="1" x14ac:dyDescent="0.2"/>
    <row r="58165" hidden="1" x14ac:dyDescent="0.2"/>
    <row r="58166" hidden="1" x14ac:dyDescent="0.2"/>
    <row r="58167" hidden="1" x14ac:dyDescent="0.2"/>
    <row r="58168" hidden="1" x14ac:dyDescent="0.2"/>
    <row r="58169" hidden="1" x14ac:dyDescent="0.2"/>
    <row r="58170" hidden="1" x14ac:dyDescent="0.2"/>
    <row r="58171" hidden="1" x14ac:dyDescent="0.2"/>
    <row r="58172" hidden="1" x14ac:dyDescent="0.2"/>
    <row r="58173" hidden="1" x14ac:dyDescent="0.2"/>
    <row r="58174" hidden="1" x14ac:dyDescent="0.2"/>
    <row r="58175" hidden="1" x14ac:dyDescent="0.2"/>
    <row r="58176" hidden="1" x14ac:dyDescent="0.2"/>
    <row r="58177" hidden="1" x14ac:dyDescent="0.2"/>
    <row r="58178" hidden="1" x14ac:dyDescent="0.2"/>
    <row r="58179" hidden="1" x14ac:dyDescent="0.2"/>
    <row r="58180" hidden="1" x14ac:dyDescent="0.2"/>
    <row r="58181" hidden="1" x14ac:dyDescent="0.2"/>
    <row r="58182" hidden="1" x14ac:dyDescent="0.2"/>
    <row r="58183" hidden="1" x14ac:dyDescent="0.2"/>
    <row r="58184" hidden="1" x14ac:dyDescent="0.2"/>
    <row r="58185" hidden="1" x14ac:dyDescent="0.2"/>
    <row r="58186" hidden="1" x14ac:dyDescent="0.2"/>
    <row r="58187" hidden="1" x14ac:dyDescent="0.2"/>
    <row r="58188" hidden="1" x14ac:dyDescent="0.2"/>
    <row r="58189" hidden="1" x14ac:dyDescent="0.2"/>
    <row r="58190" hidden="1" x14ac:dyDescent="0.2"/>
    <row r="58191" hidden="1" x14ac:dyDescent="0.2"/>
    <row r="58192" hidden="1" x14ac:dyDescent="0.2"/>
    <row r="58193" hidden="1" x14ac:dyDescent="0.2"/>
    <row r="58194" hidden="1" x14ac:dyDescent="0.2"/>
    <row r="58195" hidden="1" x14ac:dyDescent="0.2"/>
    <row r="58196" hidden="1" x14ac:dyDescent="0.2"/>
    <row r="58197" hidden="1" x14ac:dyDescent="0.2"/>
    <row r="58198" hidden="1" x14ac:dyDescent="0.2"/>
    <row r="58199" hidden="1" x14ac:dyDescent="0.2"/>
    <row r="58200" hidden="1" x14ac:dyDescent="0.2"/>
    <row r="58201" hidden="1" x14ac:dyDescent="0.2"/>
    <row r="58202" hidden="1" x14ac:dyDescent="0.2"/>
    <row r="58203" hidden="1" x14ac:dyDescent="0.2"/>
    <row r="58204" hidden="1" x14ac:dyDescent="0.2"/>
    <row r="58205" hidden="1" x14ac:dyDescent="0.2"/>
    <row r="58206" hidden="1" x14ac:dyDescent="0.2"/>
    <row r="58207" hidden="1" x14ac:dyDescent="0.2"/>
    <row r="58208" hidden="1" x14ac:dyDescent="0.2"/>
    <row r="58209" hidden="1" x14ac:dyDescent="0.2"/>
    <row r="58210" hidden="1" x14ac:dyDescent="0.2"/>
    <row r="58211" hidden="1" x14ac:dyDescent="0.2"/>
    <row r="58212" hidden="1" x14ac:dyDescent="0.2"/>
    <row r="58213" hidden="1" x14ac:dyDescent="0.2"/>
    <row r="58214" hidden="1" x14ac:dyDescent="0.2"/>
    <row r="58215" hidden="1" x14ac:dyDescent="0.2"/>
    <row r="58216" hidden="1" x14ac:dyDescent="0.2"/>
    <row r="58217" hidden="1" x14ac:dyDescent="0.2"/>
    <row r="58218" hidden="1" x14ac:dyDescent="0.2"/>
    <row r="58219" hidden="1" x14ac:dyDescent="0.2"/>
    <row r="58220" hidden="1" x14ac:dyDescent="0.2"/>
    <row r="58221" hidden="1" x14ac:dyDescent="0.2"/>
    <row r="58222" hidden="1" x14ac:dyDescent="0.2"/>
    <row r="58223" hidden="1" x14ac:dyDescent="0.2"/>
    <row r="58224" hidden="1" x14ac:dyDescent="0.2"/>
    <row r="58225" hidden="1" x14ac:dyDescent="0.2"/>
    <row r="58226" hidden="1" x14ac:dyDescent="0.2"/>
    <row r="58227" hidden="1" x14ac:dyDescent="0.2"/>
    <row r="58228" hidden="1" x14ac:dyDescent="0.2"/>
    <row r="58229" hidden="1" x14ac:dyDescent="0.2"/>
    <row r="58230" hidden="1" x14ac:dyDescent="0.2"/>
    <row r="58231" hidden="1" x14ac:dyDescent="0.2"/>
    <row r="58232" hidden="1" x14ac:dyDescent="0.2"/>
    <row r="58233" hidden="1" x14ac:dyDescent="0.2"/>
    <row r="58234" hidden="1" x14ac:dyDescent="0.2"/>
    <row r="58235" hidden="1" x14ac:dyDescent="0.2"/>
    <row r="58236" hidden="1" x14ac:dyDescent="0.2"/>
    <row r="58237" hidden="1" x14ac:dyDescent="0.2"/>
    <row r="58238" hidden="1" x14ac:dyDescent="0.2"/>
    <row r="58239" hidden="1" x14ac:dyDescent="0.2"/>
    <row r="58240" hidden="1" x14ac:dyDescent="0.2"/>
    <row r="58241" hidden="1" x14ac:dyDescent="0.2"/>
    <row r="58242" hidden="1" x14ac:dyDescent="0.2"/>
    <row r="58243" hidden="1" x14ac:dyDescent="0.2"/>
    <row r="58244" hidden="1" x14ac:dyDescent="0.2"/>
    <row r="58245" hidden="1" x14ac:dyDescent="0.2"/>
    <row r="58246" hidden="1" x14ac:dyDescent="0.2"/>
    <row r="58247" hidden="1" x14ac:dyDescent="0.2"/>
    <row r="58248" hidden="1" x14ac:dyDescent="0.2"/>
    <row r="58249" hidden="1" x14ac:dyDescent="0.2"/>
    <row r="58250" hidden="1" x14ac:dyDescent="0.2"/>
    <row r="58251" hidden="1" x14ac:dyDescent="0.2"/>
    <row r="58252" hidden="1" x14ac:dyDescent="0.2"/>
    <row r="58253" hidden="1" x14ac:dyDescent="0.2"/>
    <row r="58254" hidden="1" x14ac:dyDescent="0.2"/>
    <row r="58255" hidden="1" x14ac:dyDescent="0.2"/>
    <row r="58256" hidden="1" x14ac:dyDescent="0.2"/>
    <row r="58257" hidden="1" x14ac:dyDescent="0.2"/>
    <row r="58258" hidden="1" x14ac:dyDescent="0.2"/>
    <row r="58259" hidden="1" x14ac:dyDescent="0.2"/>
    <row r="58260" hidden="1" x14ac:dyDescent="0.2"/>
    <row r="58261" hidden="1" x14ac:dyDescent="0.2"/>
    <row r="58262" hidden="1" x14ac:dyDescent="0.2"/>
    <row r="58263" hidden="1" x14ac:dyDescent="0.2"/>
    <row r="58264" hidden="1" x14ac:dyDescent="0.2"/>
    <row r="58265" hidden="1" x14ac:dyDescent="0.2"/>
    <row r="58266" hidden="1" x14ac:dyDescent="0.2"/>
    <row r="58267" hidden="1" x14ac:dyDescent="0.2"/>
    <row r="58268" hidden="1" x14ac:dyDescent="0.2"/>
    <row r="58269" hidden="1" x14ac:dyDescent="0.2"/>
    <row r="58270" hidden="1" x14ac:dyDescent="0.2"/>
    <row r="58271" hidden="1" x14ac:dyDescent="0.2"/>
    <row r="58272" hidden="1" x14ac:dyDescent="0.2"/>
    <row r="58273" hidden="1" x14ac:dyDescent="0.2"/>
    <row r="58274" hidden="1" x14ac:dyDescent="0.2"/>
    <row r="58275" hidden="1" x14ac:dyDescent="0.2"/>
    <row r="58276" hidden="1" x14ac:dyDescent="0.2"/>
    <row r="58277" hidden="1" x14ac:dyDescent="0.2"/>
    <row r="58278" hidden="1" x14ac:dyDescent="0.2"/>
    <row r="58279" hidden="1" x14ac:dyDescent="0.2"/>
    <row r="58280" hidden="1" x14ac:dyDescent="0.2"/>
    <row r="58281" hidden="1" x14ac:dyDescent="0.2"/>
    <row r="58282" hidden="1" x14ac:dyDescent="0.2"/>
    <row r="58283" hidden="1" x14ac:dyDescent="0.2"/>
    <row r="58284" hidden="1" x14ac:dyDescent="0.2"/>
    <row r="58285" hidden="1" x14ac:dyDescent="0.2"/>
    <row r="58286" hidden="1" x14ac:dyDescent="0.2"/>
    <row r="58287" hidden="1" x14ac:dyDescent="0.2"/>
    <row r="58288" hidden="1" x14ac:dyDescent="0.2"/>
    <row r="58289" hidden="1" x14ac:dyDescent="0.2"/>
    <row r="58290" hidden="1" x14ac:dyDescent="0.2"/>
    <row r="58291" hidden="1" x14ac:dyDescent="0.2"/>
    <row r="58292" hidden="1" x14ac:dyDescent="0.2"/>
    <row r="58293" hidden="1" x14ac:dyDescent="0.2"/>
    <row r="58294" hidden="1" x14ac:dyDescent="0.2"/>
    <row r="58295" hidden="1" x14ac:dyDescent="0.2"/>
    <row r="58296" hidden="1" x14ac:dyDescent="0.2"/>
    <row r="58297" hidden="1" x14ac:dyDescent="0.2"/>
    <row r="58298" hidden="1" x14ac:dyDescent="0.2"/>
    <row r="58299" hidden="1" x14ac:dyDescent="0.2"/>
    <row r="58300" hidden="1" x14ac:dyDescent="0.2"/>
    <row r="58301" hidden="1" x14ac:dyDescent="0.2"/>
    <row r="58302" hidden="1" x14ac:dyDescent="0.2"/>
    <row r="58303" hidden="1" x14ac:dyDescent="0.2"/>
    <row r="58304" hidden="1" x14ac:dyDescent="0.2"/>
    <row r="58305" hidden="1" x14ac:dyDescent="0.2"/>
    <row r="58306" hidden="1" x14ac:dyDescent="0.2"/>
    <row r="58307" hidden="1" x14ac:dyDescent="0.2"/>
    <row r="58308" hidden="1" x14ac:dyDescent="0.2"/>
    <row r="58309" hidden="1" x14ac:dyDescent="0.2"/>
    <row r="58310" hidden="1" x14ac:dyDescent="0.2"/>
    <row r="58311" hidden="1" x14ac:dyDescent="0.2"/>
    <row r="58312" hidden="1" x14ac:dyDescent="0.2"/>
    <row r="58313" hidden="1" x14ac:dyDescent="0.2"/>
    <row r="58314" hidden="1" x14ac:dyDescent="0.2"/>
    <row r="58315" hidden="1" x14ac:dyDescent="0.2"/>
    <row r="58316" hidden="1" x14ac:dyDescent="0.2"/>
    <row r="58317" hidden="1" x14ac:dyDescent="0.2"/>
    <row r="58318" hidden="1" x14ac:dyDescent="0.2"/>
    <row r="58319" hidden="1" x14ac:dyDescent="0.2"/>
    <row r="58320" hidden="1" x14ac:dyDescent="0.2"/>
    <row r="58321" hidden="1" x14ac:dyDescent="0.2"/>
    <row r="58322" hidden="1" x14ac:dyDescent="0.2"/>
    <row r="58323" hidden="1" x14ac:dyDescent="0.2"/>
    <row r="58324" hidden="1" x14ac:dyDescent="0.2"/>
    <row r="58325" hidden="1" x14ac:dyDescent="0.2"/>
    <row r="58326" hidden="1" x14ac:dyDescent="0.2"/>
    <row r="58327" hidden="1" x14ac:dyDescent="0.2"/>
    <row r="58328" hidden="1" x14ac:dyDescent="0.2"/>
    <row r="58329" hidden="1" x14ac:dyDescent="0.2"/>
    <row r="58330" hidden="1" x14ac:dyDescent="0.2"/>
    <row r="58331" hidden="1" x14ac:dyDescent="0.2"/>
    <row r="58332" hidden="1" x14ac:dyDescent="0.2"/>
    <row r="58333" hidden="1" x14ac:dyDescent="0.2"/>
    <row r="58334" hidden="1" x14ac:dyDescent="0.2"/>
    <row r="58335" hidden="1" x14ac:dyDescent="0.2"/>
    <row r="58336" hidden="1" x14ac:dyDescent="0.2"/>
    <row r="58337" hidden="1" x14ac:dyDescent="0.2"/>
    <row r="58338" hidden="1" x14ac:dyDescent="0.2"/>
    <row r="58339" hidden="1" x14ac:dyDescent="0.2"/>
    <row r="58340" hidden="1" x14ac:dyDescent="0.2"/>
    <row r="58341" hidden="1" x14ac:dyDescent="0.2"/>
    <row r="58342" hidden="1" x14ac:dyDescent="0.2"/>
    <row r="58343" hidden="1" x14ac:dyDescent="0.2"/>
    <row r="58344" hidden="1" x14ac:dyDescent="0.2"/>
    <row r="58345" hidden="1" x14ac:dyDescent="0.2"/>
    <row r="58346" hidden="1" x14ac:dyDescent="0.2"/>
    <row r="58347" hidden="1" x14ac:dyDescent="0.2"/>
    <row r="58348" hidden="1" x14ac:dyDescent="0.2"/>
    <row r="58349" hidden="1" x14ac:dyDescent="0.2"/>
    <row r="58350" hidden="1" x14ac:dyDescent="0.2"/>
    <row r="58351" hidden="1" x14ac:dyDescent="0.2"/>
    <row r="58352" hidden="1" x14ac:dyDescent="0.2"/>
    <row r="58353" hidden="1" x14ac:dyDescent="0.2"/>
    <row r="58354" hidden="1" x14ac:dyDescent="0.2"/>
    <row r="58355" hidden="1" x14ac:dyDescent="0.2"/>
    <row r="58356" hidden="1" x14ac:dyDescent="0.2"/>
    <row r="58357" hidden="1" x14ac:dyDescent="0.2"/>
    <row r="58358" hidden="1" x14ac:dyDescent="0.2"/>
    <row r="58359" hidden="1" x14ac:dyDescent="0.2"/>
    <row r="58360" hidden="1" x14ac:dyDescent="0.2"/>
    <row r="58361" hidden="1" x14ac:dyDescent="0.2"/>
    <row r="58362" hidden="1" x14ac:dyDescent="0.2"/>
    <row r="58363" hidden="1" x14ac:dyDescent="0.2"/>
    <row r="58364" hidden="1" x14ac:dyDescent="0.2"/>
    <row r="58365" hidden="1" x14ac:dyDescent="0.2"/>
    <row r="58366" hidden="1" x14ac:dyDescent="0.2"/>
    <row r="58367" hidden="1" x14ac:dyDescent="0.2"/>
    <row r="58368" hidden="1" x14ac:dyDescent="0.2"/>
    <row r="58369" hidden="1" x14ac:dyDescent="0.2"/>
    <row r="58370" hidden="1" x14ac:dyDescent="0.2"/>
    <row r="58371" hidden="1" x14ac:dyDescent="0.2"/>
    <row r="58372" hidden="1" x14ac:dyDescent="0.2"/>
    <row r="58373" hidden="1" x14ac:dyDescent="0.2"/>
    <row r="58374" hidden="1" x14ac:dyDescent="0.2"/>
    <row r="58375" hidden="1" x14ac:dyDescent="0.2"/>
    <row r="58376" hidden="1" x14ac:dyDescent="0.2"/>
    <row r="58377" hidden="1" x14ac:dyDescent="0.2"/>
    <row r="58378" hidden="1" x14ac:dyDescent="0.2"/>
    <row r="58379" hidden="1" x14ac:dyDescent="0.2"/>
    <row r="58380" hidden="1" x14ac:dyDescent="0.2"/>
    <row r="58381" hidden="1" x14ac:dyDescent="0.2"/>
    <row r="58382" hidden="1" x14ac:dyDescent="0.2"/>
    <row r="58383" hidden="1" x14ac:dyDescent="0.2"/>
    <row r="58384" hidden="1" x14ac:dyDescent="0.2"/>
    <row r="58385" hidden="1" x14ac:dyDescent="0.2"/>
    <row r="58386" hidden="1" x14ac:dyDescent="0.2"/>
    <row r="58387" hidden="1" x14ac:dyDescent="0.2"/>
    <row r="58388" hidden="1" x14ac:dyDescent="0.2"/>
    <row r="58389" hidden="1" x14ac:dyDescent="0.2"/>
    <row r="58390" hidden="1" x14ac:dyDescent="0.2"/>
    <row r="58391" hidden="1" x14ac:dyDescent="0.2"/>
    <row r="58392" hidden="1" x14ac:dyDescent="0.2"/>
    <row r="58393" hidden="1" x14ac:dyDescent="0.2"/>
    <row r="58394" hidden="1" x14ac:dyDescent="0.2"/>
    <row r="58395" hidden="1" x14ac:dyDescent="0.2"/>
    <row r="58396" hidden="1" x14ac:dyDescent="0.2"/>
    <row r="58397" hidden="1" x14ac:dyDescent="0.2"/>
    <row r="58398" hidden="1" x14ac:dyDescent="0.2"/>
    <row r="58399" hidden="1" x14ac:dyDescent="0.2"/>
    <row r="58400" hidden="1" x14ac:dyDescent="0.2"/>
    <row r="58401" hidden="1" x14ac:dyDescent="0.2"/>
    <row r="58402" hidden="1" x14ac:dyDescent="0.2"/>
    <row r="58403" hidden="1" x14ac:dyDescent="0.2"/>
    <row r="58404" hidden="1" x14ac:dyDescent="0.2"/>
    <row r="58405" hidden="1" x14ac:dyDescent="0.2"/>
    <row r="58406" hidden="1" x14ac:dyDescent="0.2"/>
    <row r="58407" hidden="1" x14ac:dyDescent="0.2"/>
    <row r="58408" hidden="1" x14ac:dyDescent="0.2"/>
    <row r="58409" hidden="1" x14ac:dyDescent="0.2"/>
    <row r="58410" hidden="1" x14ac:dyDescent="0.2"/>
    <row r="58411" hidden="1" x14ac:dyDescent="0.2"/>
    <row r="58412" hidden="1" x14ac:dyDescent="0.2"/>
    <row r="58413" hidden="1" x14ac:dyDescent="0.2"/>
    <row r="58414" hidden="1" x14ac:dyDescent="0.2"/>
    <row r="58415" hidden="1" x14ac:dyDescent="0.2"/>
    <row r="58416" hidden="1" x14ac:dyDescent="0.2"/>
    <row r="58417" hidden="1" x14ac:dyDescent="0.2"/>
    <row r="58418" hidden="1" x14ac:dyDescent="0.2"/>
    <row r="58419" hidden="1" x14ac:dyDescent="0.2"/>
    <row r="58420" hidden="1" x14ac:dyDescent="0.2"/>
    <row r="58421" hidden="1" x14ac:dyDescent="0.2"/>
    <row r="58422" hidden="1" x14ac:dyDescent="0.2"/>
    <row r="58423" hidden="1" x14ac:dyDescent="0.2"/>
    <row r="58424" hidden="1" x14ac:dyDescent="0.2"/>
    <row r="58425" hidden="1" x14ac:dyDescent="0.2"/>
    <row r="58426" hidden="1" x14ac:dyDescent="0.2"/>
    <row r="58427" hidden="1" x14ac:dyDescent="0.2"/>
    <row r="58428" hidden="1" x14ac:dyDescent="0.2"/>
    <row r="58429" hidden="1" x14ac:dyDescent="0.2"/>
    <row r="58430" hidden="1" x14ac:dyDescent="0.2"/>
    <row r="58431" hidden="1" x14ac:dyDescent="0.2"/>
    <row r="58432" hidden="1" x14ac:dyDescent="0.2"/>
    <row r="58433" hidden="1" x14ac:dyDescent="0.2"/>
    <row r="58434" hidden="1" x14ac:dyDescent="0.2"/>
    <row r="58435" hidden="1" x14ac:dyDescent="0.2"/>
    <row r="58436" hidden="1" x14ac:dyDescent="0.2"/>
    <row r="58437" hidden="1" x14ac:dyDescent="0.2"/>
    <row r="58438" hidden="1" x14ac:dyDescent="0.2"/>
    <row r="58439" hidden="1" x14ac:dyDescent="0.2"/>
    <row r="58440" hidden="1" x14ac:dyDescent="0.2"/>
    <row r="58441" hidden="1" x14ac:dyDescent="0.2"/>
    <row r="58442" hidden="1" x14ac:dyDescent="0.2"/>
    <row r="58443" hidden="1" x14ac:dyDescent="0.2"/>
    <row r="58444" hidden="1" x14ac:dyDescent="0.2"/>
    <row r="58445" hidden="1" x14ac:dyDescent="0.2"/>
    <row r="58446" hidden="1" x14ac:dyDescent="0.2"/>
    <row r="58447" hidden="1" x14ac:dyDescent="0.2"/>
    <row r="58448" hidden="1" x14ac:dyDescent="0.2"/>
    <row r="58449" hidden="1" x14ac:dyDescent="0.2"/>
    <row r="58450" hidden="1" x14ac:dyDescent="0.2"/>
    <row r="58451" hidden="1" x14ac:dyDescent="0.2"/>
    <row r="58452" hidden="1" x14ac:dyDescent="0.2"/>
    <row r="58453" hidden="1" x14ac:dyDescent="0.2"/>
    <row r="58454" hidden="1" x14ac:dyDescent="0.2"/>
    <row r="58455" hidden="1" x14ac:dyDescent="0.2"/>
    <row r="58456" hidden="1" x14ac:dyDescent="0.2"/>
    <row r="58457" hidden="1" x14ac:dyDescent="0.2"/>
    <row r="58458" hidden="1" x14ac:dyDescent="0.2"/>
    <row r="58459" hidden="1" x14ac:dyDescent="0.2"/>
    <row r="58460" hidden="1" x14ac:dyDescent="0.2"/>
    <row r="58461" hidden="1" x14ac:dyDescent="0.2"/>
    <row r="58462" hidden="1" x14ac:dyDescent="0.2"/>
    <row r="58463" hidden="1" x14ac:dyDescent="0.2"/>
    <row r="58464" hidden="1" x14ac:dyDescent="0.2"/>
    <row r="58465" hidden="1" x14ac:dyDescent="0.2"/>
    <row r="58466" hidden="1" x14ac:dyDescent="0.2"/>
    <row r="58467" hidden="1" x14ac:dyDescent="0.2"/>
    <row r="58468" hidden="1" x14ac:dyDescent="0.2"/>
    <row r="58469" hidden="1" x14ac:dyDescent="0.2"/>
    <row r="58470" hidden="1" x14ac:dyDescent="0.2"/>
    <row r="58471" hidden="1" x14ac:dyDescent="0.2"/>
    <row r="58472" hidden="1" x14ac:dyDescent="0.2"/>
    <row r="58473" hidden="1" x14ac:dyDescent="0.2"/>
    <row r="58474" hidden="1" x14ac:dyDescent="0.2"/>
    <row r="58475" hidden="1" x14ac:dyDescent="0.2"/>
    <row r="58476" hidden="1" x14ac:dyDescent="0.2"/>
    <row r="58477" hidden="1" x14ac:dyDescent="0.2"/>
    <row r="58478" hidden="1" x14ac:dyDescent="0.2"/>
    <row r="58479" hidden="1" x14ac:dyDescent="0.2"/>
    <row r="58480" hidden="1" x14ac:dyDescent="0.2"/>
    <row r="58481" hidden="1" x14ac:dyDescent="0.2"/>
    <row r="58482" hidden="1" x14ac:dyDescent="0.2"/>
    <row r="58483" hidden="1" x14ac:dyDescent="0.2"/>
    <row r="58484" hidden="1" x14ac:dyDescent="0.2"/>
    <row r="58485" hidden="1" x14ac:dyDescent="0.2"/>
    <row r="58486" hidden="1" x14ac:dyDescent="0.2"/>
    <row r="58487" hidden="1" x14ac:dyDescent="0.2"/>
    <row r="58488" hidden="1" x14ac:dyDescent="0.2"/>
    <row r="58489" hidden="1" x14ac:dyDescent="0.2"/>
    <row r="58490" hidden="1" x14ac:dyDescent="0.2"/>
    <row r="58491" hidden="1" x14ac:dyDescent="0.2"/>
    <row r="58492" hidden="1" x14ac:dyDescent="0.2"/>
    <row r="58493" hidden="1" x14ac:dyDescent="0.2"/>
    <row r="58494" hidden="1" x14ac:dyDescent="0.2"/>
    <row r="58495" hidden="1" x14ac:dyDescent="0.2"/>
    <row r="58496" hidden="1" x14ac:dyDescent="0.2"/>
    <row r="58497" hidden="1" x14ac:dyDescent="0.2"/>
    <row r="58498" hidden="1" x14ac:dyDescent="0.2"/>
    <row r="58499" hidden="1" x14ac:dyDescent="0.2"/>
    <row r="58500" hidden="1" x14ac:dyDescent="0.2"/>
    <row r="58501" hidden="1" x14ac:dyDescent="0.2"/>
    <row r="58502" hidden="1" x14ac:dyDescent="0.2"/>
    <row r="58503" hidden="1" x14ac:dyDescent="0.2"/>
    <row r="58504" hidden="1" x14ac:dyDescent="0.2"/>
    <row r="58505" hidden="1" x14ac:dyDescent="0.2"/>
    <row r="58506" hidden="1" x14ac:dyDescent="0.2"/>
    <row r="58507" hidden="1" x14ac:dyDescent="0.2"/>
    <row r="58508" hidden="1" x14ac:dyDescent="0.2"/>
    <row r="58509" hidden="1" x14ac:dyDescent="0.2"/>
    <row r="58510" hidden="1" x14ac:dyDescent="0.2"/>
    <row r="58511" hidden="1" x14ac:dyDescent="0.2"/>
    <row r="58512" hidden="1" x14ac:dyDescent="0.2"/>
    <row r="58513" hidden="1" x14ac:dyDescent="0.2"/>
    <row r="58514" hidden="1" x14ac:dyDescent="0.2"/>
    <row r="58515" hidden="1" x14ac:dyDescent="0.2"/>
    <row r="58516" hidden="1" x14ac:dyDescent="0.2"/>
    <row r="58517" hidden="1" x14ac:dyDescent="0.2"/>
    <row r="58518" hidden="1" x14ac:dyDescent="0.2"/>
    <row r="58519" hidden="1" x14ac:dyDescent="0.2"/>
    <row r="58520" hidden="1" x14ac:dyDescent="0.2"/>
    <row r="58521" hidden="1" x14ac:dyDescent="0.2"/>
    <row r="58522" hidden="1" x14ac:dyDescent="0.2"/>
    <row r="58523" hidden="1" x14ac:dyDescent="0.2"/>
    <row r="58524" hidden="1" x14ac:dyDescent="0.2"/>
    <row r="58525" hidden="1" x14ac:dyDescent="0.2"/>
    <row r="58526" hidden="1" x14ac:dyDescent="0.2"/>
    <row r="58527" hidden="1" x14ac:dyDescent="0.2"/>
    <row r="58528" hidden="1" x14ac:dyDescent="0.2"/>
    <row r="58529" hidden="1" x14ac:dyDescent="0.2"/>
    <row r="58530" hidden="1" x14ac:dyDescent="0.2"/>
    <row r="58531" hidden="1" x14ac:dyDescent="0.2"/>
    <row r="58532" hidden="1" x14ac:dyDescent="0.2"/>
    <row r="58533" hidden="1" x14ac:dyDescent="0.2"/>
    <row r="58534" hidden="1" x14ac:dyDescent="0.2"/>
    <row r="58535" hidden="1" x14ac:dyDescent="0.2"/>
    <row r="58536" hidden="1" x14ac:dyDescent="0.2"/>
    <row r="58537" hidden="1" x14ac:dyDescent="0.2"/>
    <row r="58538" hidden="1" x14ac:dyDescent="0.2"/>
    <row r="58539" hidden="1" x14ac:dyDescent="0.2"/>
    <row r="58540" hidden="1" x14ac:dyDescent="0.2"/>
    <row r="58541" hidden="1" x14ac:dyDescent="0.2"/>
    <row r="58542" hidden="1" x14ac:dyDescent="0.2"/>
    <row r="58543" hidden="1" x14ac:dyDescent="0.2"/>
    <row r="58544" hidden="1" x14ac:dyDescent="0.2"/>
    <row r="58545" hidden="1" x14ac:dyDescent="0.2"/>
    <row r="58546" hidden="1" x14ac:dyDescent="0.2"/>
    <row r="58547" hidden="1" x14ac:dyDescent="0.2"/>
    <row r="58548" hidden="1" x14ac:dyDescent="0.2"/>
    <row r="58549" hidden="1" x14ac:dyDescent="0.2"/>
    <row r="58550" hidden="1" x14ac:dyDescent="0.2"/>
    <row r="58551" hidden="1" x14ac:dyDescent="0.2"/>
    <row r="58552" hidden="1" x14ac:dyDescent="0.2"/>
    <row r="58553" hidden="1" x14ac:dyDescent="0.2"/>
    <row r="58554" hidden="1" x14ac:dyDescent="0.2"/>
    <row r="58555" hidden="1" x14ac:dyDescent="0.2"/>
    <row r="58556" hidden="1" x14ac:dyDescent="0.2"/>
    <row r="58557" hidden="1" x14ac:dyDescent="0.2"/>
    <row r="58558" hidden="1" x14ac:dyDescent="0.2"/>
    <row r="58559" hidden="1" x14ac:dyDescent="0.2"/>
    <row r="58560" hidden="1" x14ac:dyDescent="0.2"/>
    <row r="58561" hidden="1" x14ac:dyDescent="0.2"/>
    <row r="58562" hidden="1" x14ac:dyDescent="0.2"/>
    <row r="58563" hidden="1" x14ac:dyDescent="0.2"/>
    <row r="58564" hidden="1" x14ac:dyDescent="0.2"/>
    <row r="58565" hidden="1" x14ac:dyDescent="0.2"/>
    <row r="58566" hidden="1" x14ac:dyDescent="0.2"/>
    <row r="58567" hidden="1" x14ac:dyDescent="0.2"/>
    <row r="58568" hidden="1" x14ac:dyDescent="0.2"/>
    <row r="58569" hidden="1" x14ac:dyDescent="0.2"/>
    <row r="58570" hidden="1" x14ac:dyDescent="0.2"/>
    <row r="58571" hidden="1" x14ac:dyDescent="0.2"/>
    <row r="58572" hidden="1" x14ac:dyDescent="0.2"/>
    <row r="58573" hidden="1" x14ac:dyDescent="0.2"/>
    <row r="58574" hidden="1" x14ac:dyDescent="0.2"/>
    <row r="58575" hidden="1" x14ac:dyDescent="0.2"/>
    <row r="58576" hidden="1" x14ac:dyDescent="0.2"/>
    <row r="58577" hidden="1" x14ac:dyDescent="0.2"/>
    <row r="58578" hidden="1" x14ac:dyDescent="0.2"/>
    <row r="58579" hidden="1" x14ac:dyDescent="0.2"/>
    <row r="58580" hidden="1" x14ac:dyDescent="0.2"/>
    <row r="58581" hidden="1" x14ac:dyDescent="0.2"/>
    <row r="58582" hidden="1" x14ac:dyDescent="0.2"/>
    <row r="58583" hidden="1" x14ac:dyDescent="0.2"/>
    <row r="58584" hidden="1" x14ac:dyDescent="0.2"/>
    <row r="58585" hidden="1" x14ac:dyDescent="0.2"/>
    <row r="58586" hidden="1" x14ac:dyDescent="0.2"/>
    <row r="58587" hidden="1" x14ac:dyDescent="0.2"/>
    <row r="58588" hidden="1" x14ac:dyDescent="0.2"/>
    <row r="58589" hidden="1" x14ac:dyDescent="0.2"/>
    <row r="58590" hidden="1" x14ac:dyDescent="0.2"/>
    <row r="58591" hidden="1" x14ac:dyDescent="0.2"/>
    <row r="58592" hidden="1" x14ac:dyDescent="0.2"/>
    <row r="58593" hidden="1" x14ac:dyDescent="0.2"/>
    <row r="58594" hidden="1" x14ac:dyDescent="0.2"/>
    <row r="58595" hidden="1" x14ac:dyDescent="0.2"/>
    <row r="58596" hidden="1" x14ac:dyDescent="0.2"/>
    <row r="58597" hidden="1" x14ac:dyDescent="0.2"/>
    <row r="58598" hidden="1" x14ac:dyDescent="0.2"/>
    <row r="58599" hidden="1" x14ac:dyDescent="0.2"/>
    <row r="58600" hidden="1" x14ac:dyDescent="0.2"/>
    <row r="58601" hidden="1" x14ac:dyDescent="0.2"/>
    <row r="58602" hidden="1" x14ac:dyDescent="0.2"/>
    <row r="58603" hidden="1" x14ac:dyDescent="0.2"/>
    <row r="58604" hidden="1" x14ac:dyDescent="0.2"/>
    <row r="58605" hidden="1" x14ac:dyDescent="0.2"/>
    <row r="58606" hidden="1" x14ac:dyDescent="0.2"/>
    <row r="58607" hidden="1" x14ac:dyDescent="0.2"/>
    <row r="58608" hidden="1" x14ac:dyDescent="0.2"/>
    <row r="58609" hidden="1" x14ac:dyDescent="0.2"/>
    <row r="58610" hidden="1" x14ac:dyDescent="0.2"/>
    <row r="58611" hidden="1" x14ac:dyDescent="0.2"/>
    <row r="58612" hidden="1" x14ac:dyDescent="0.2"/>
    <row r="58613" hidden="1" x14ac:dyDescent="0.2"/>
    <row r="58614" hidden="1" x14ac:dyDescent="0.2"/>
    <row r="58615" hidden="1" x14ac:dyDescent="0.2"/>
    <row r="58616" hidden="1" x14ac:dyDescent="0.2"/>
    <row r="58617" hidden="1" x14ac:dyDescent="0.2"/>
    <row r="58618" hidden="1" x14ac:dyDescent="0.2"/>
    <row r="58619" hidden="1" x14ac:dyDescent="0.2"/>
    <row r="58620" hidden="1" x14ac:dyDescent="0.2"/>
    <row r="58621" hidden="1" x14ac:dyDescent="0.2"/>
    <row r="58622" hidden="1" x14ac:dyDescent="0.2"/>
    <row r="58623" hidden="1" x14ac:dyDescent="0.2"/>
    <row r="58624" hidden="1" x14ac:dyDescent="0.2"/>
    <row r="58625" hidden="1" x14ac:dyDescent="0.2"/>
    <row r="58626" hidden="1" x14ac:dyDescent="0.2"/>
    <row r="58627" hidden="1" x14ac:dyDescent="0.2"/>
    <row r="58628" hidden="1" x14ac:dyDescent="0.2"/>
    <row r="58629" hidden="1" x14ac:dyDescent="0.2"/>
    <row r="58630" hidden="1" x14ac:dyDescent="0.2"/>
    <row r="58631" hidden="1" x14ac:dyDescent="0.2"/>
    <row r="58632" hidden="1" x14ac:dyDescent="0.2"/>
    <row r="58633" hidden="1" x14ac:dyDescent="0.2"/>
    <row r="58634" hidden="1" x14ac:dyDescent="0.2"/>
    <row r="58635" hidden="1" x14ac:dyDescent="0.2"/>
    <row r="58636" hidden="1" x14ac:dyDescent="0.2"/>
    <row r="58637" hidden="1" x14ac:dyDescent="0.2"/>
    <row r="58638" hidden="1" x14ac:dyDescent="0.2"/>
    <row r="58639" hidden="1" x14ac:dyDescent="0.2"/>
    <row r="58640" hidden="1" x14ac:dyDescent="0.2"/>
    <row r="58641" hidden="1" x14ac:dyDescent="0.2"/>
    <row r="58642" hidden="1" x14ac:dyDescent="0.2"/>
    <row r="58643" hidden="1" x14ac:dyDescent="0.2"/>
    <row r="58644" hidden="1" x14ac:dyDescent="0.2"/>
    <row r="58645" hidden="1" x14ac:dyDescent="0.2"/>
    <row r="58646" hidden="1" x14ac:dyDescent="0.2"/>
    <row r="58647" hidden="1" x14ac:dyDescent="0.2"/>
    <row r="58648" hidden="1" x14ac:dyDescent="0.2"/>
    <row r="58649" hidden="1" x14ac:dyDescent="0.2"/>
    <row r="58650" hidden="1" x14ac:dyDescent="0.2"/>
    <row r="58651" hidden="1" x14ac:dyDescent="0.2"/>
    <row r="58652" hidden="1" x14ac:dyDescent="0.2"/>
    <row r="58653" hidden="1" x14ac:dyDescent="0.2"/>
    <row r="58654" hidden="1" x14ac:dyDescent="0.2"/>
    <row r="58655" hidden="1" x14ac:dyDescent="0.2"/>
    <row r="58656" hidden="1" x14ac:dyDescent="0.2"/>
    <row r="58657" hidden="1" x14ac:dyDescent="0.2"/>
    <row r="58658" hidden="1" x14ac:dyDescent="0.2"/>
    <row r="58659" hidden="1" x14ac:dyDescent="0.2"/>
    <row r="58660" hidden="1" x14ac:dyDescent="0.2"/>
    <row r="58661" hidden="1" x14ac:dyDescent="0.2"/>
    <row r="58662" hidden="1" x14ac:dyDescent="0.2"/>
    <row r="58663" hidden="1" x14ac:dyDescent="0.2"/>
    <row r="58664" hidden="1" x14ac:dyDescent="0.2"/>
    <row r="58665" hidden="1" x14ac:dyDescent="0.2"/>
    <row r="58666" hidden="1" x14ac:dyDescent="0.2"/>
    <row r="58667" hidden="1" x14ac:dyDescent="0.2"/>
    <row r="58668" hidden="1" x14ac:dyDescent="0.2"/>
    <row r="58669" hidden="1" x14ac:dyDescent="0.2"/>
    <row r="58670" hidden="1" x14ac:dyDescent="0.2"/>
    <row r="58671" hidden="1" x14ac:dyDescent="0.2"/>
    <row r="58672" hidden="1" x14ac:dyDescent="0.2"/>
    <row r="58673" hidden="1" x14ac:dyDescent="0.2"/>
    <row r="58674" hidden="1" x14ac:dyDescent="0.2"/>
    <row r="58675" hidden="1" x14ac:dyDescent="0.2"/>
    <row r="58676" hidden="1" x14ac:dyDescent="0.2"/>
    <row r="58677" hidden="1" x14ac:dyDescent="0.2"/>
    <row r="58678" hidden="1" x14ac:dyDescent="0.2"/>
    <row r="58679" hidden="1" x14ac:dyDescent="0.2"/>
    <row r="58680" hidden="1" x14ac:dyDescent="0.2"/>
    <row r="58681" hidden="1" x14ac:dyDescent="0.2"/>
    <row r="58682" hidden="1" x14ac:dyDescent="0.2"/>
    <row r="58683" hidden="1" x14ac:dyDescent="0.2"/>
    <row r="58684" hidden="1" x14ac:dyDescent="0.2"/>
    <row r="58685" hidden="1" x14ac:dyDescent="0.2"/>
    <row r="58686" hidden="1" x14ac:dyDescent="0.2"/>
    <row r="58687" hidden="1" x14ac:dyDescent="0.2"/>
    <row r="58688" hidden="1" x14ac:dyDescent="0.2"/>
    <row r="58689" hidden="1" x14ac:dyDescent="0.2"/>
    <row r="58690" hidden="1" x14ac:dyDescent="0.2"/>
    <row r="58691" hidden="1" x14ac:dyDescent="0.2"/>
    <row r="58692" hidden="1" x14ac:dyDescent="0.2"/>
    <row r="58693" hidden="1" x14ac:dyDescent="0.2"/>
    <row r="58694" hidden="1" x14ac:dyDescent="0.2"/>
    <row r="58695" hidden="1" x14ac:dyDescent="0.2"/>
    <row r="58696" hidden="1" x14ac:dyDescent="0.2"/>
    <row r="58697" hidden="1" x14ac:dyDescent="0.2"/>
    <row r="58698" hidden="1" x14ac:dyDescent="0.2"/>
    <row r="58699" hidden="1" x14ac:dyDescent="0.2"/>
    <row r="58700" hidden="1" x14ac:dyDescent="0.2"/>
    <row r="58701" hidden="1" x14ac:dyDescent="0.2"/>
    <row r="58702" hidden="1" x14ac:dyDescent="0.2"/>
    <row r="58703" hidden="1" x14ac:dyDescent="0.2"/>
    <row r="58704" hidden="1" x14ac:dyDescent="0.2"/>
    <row r="58705" hidden="1" x14ac:dyDescent="0.2"/>
    <row r="58706" hidden="1" x14ac:dyDescent="0.2"/>
    <row r="58707" hidden="1" x14ac:dyDescent="0.2"/>
    <row r="58708" hidden="1" x14ac:dyDescent="0.2"/>
    <row r="58709" hidden="1" x14ac:dyDescent="0.2"/>
    <row r="58710" hidden="1" x14ac:dyDescent="0.2"/>
    <row r="58711" hidden="1" x14ac:dyDescent="0.2"/>
    <row r="58712" hidden="1" x14ac:dyDescent="0.2"/>
    <row r="58713" hidden="1" x14ac:dyDescent="0.2"/>
    <row r="58714" hidden="1" x14ac:dyDescent="0.2"/>
    <row r="58715" hidden="1" x14ac:dyDescent="0.2"/>
    <row r="58716" hidden="1" x14ac:dyDescent="0.2"/>
    <row r="58717" hidden="1" x14ac:dyDescent="0.2"/>
    <row r="58718" hidden="1" x14ac:dyDescent="0.2"/>
    <row r="58719" hidden="1" x14ac:dyDescent="0.2"/>
    <row r="58720" hidden="1" x14ac:dyDescent="0.2"/>
    <row r="58721" hidden="1" x14ac:dyDescent="0.2"/>
    <row r="58722" hidden="1" x14ac:dyDescent="0.2"/>
    <row r="58723" hidden="1" x14ac:dyDescent="0.2"/>
    <row r="58724" hidden="1" x14ac:dyDescent="0.2"/>
    <row r="58725" hidden="1" x14ac:dyDescent="0.2"/>
    <row r="58726" hidden="1" x14ac:dyDescent="0.2"/>
    <row r="58727" hidden="1" x14ac:dyDescent="0.2"/>
    <row r="58728" hidden="1" x14ac:dyDescent="0.2"/>
    <row r="58729" hidden="1" x14ac:dyDescent="0.2"/>
    <row r="58730" hidden="1" x14ac:dyDescent="0.2"/>
    <row r="58731" hidden="1" x14ac:dyDescent="0.2"/>
    <row r="58732" hidden="1" x14ac:dyDescent="0.2"/>
    <row r="58733" hidden="1" x14ac:dyDescent="0.2"/>
    <row r="58734" hidden="1" x14ac:dyDescent="0.2"/>
    <row r="58735" hidden="1" x14ac:dyDescent="0.2"/>
    <row r="58736" hidden="1" x14ac:dyDescent="0.2"/>
    <row r="58737" hidden="1" x14ac:dyDescent="0.2"/>
    <row r="58738" hidden="1" x14ac:dyDescent="0.2"/>
    <row r="58739" hidden="1" x14ac:dyDescent="0.2"/>
    <row r="58740" hidden="1" x14ac:dyDescent="0.2"/>
    <row r="58741" hidden="1" x14ac:dyDescent="0.2"/>
    <row r="58742" hidden="1" x14ac:dyDescent="0.2"/>
    <row r="58743" hidden="1" x14ac:dyDescent="0.2"/>
    <row r="58744" hidden="1" x14ac:dyDescent="0.2"/>
    <row r="58745" hidden="1" x14ac:dyDescent="0.2"/>
    <row r="58746" hidden="1" x14ac:dyDescent="0.2"/>
    <row r="58747" hidden="1" x14ac:dyDescent="0.2"/>
    <row r="58748" hidden="1" x14ac:dyDescent="0.2"/>
    <row r="58749" hidden="1" x14ac:dyDescent="0.2"/>
    <row r="58750" hidden="1" x14ac:dyDescent="0.2"/>
    <row r="58751" hidden="1" x14ac:dyDescent="0.2"/>
    <row r="58752" hidden="1" x14ac:dyDescent="0.2"/>
    <row r="58753" hidden="1" x14ac:dyDescent="0.2"/>
    <row r="58754" hidden="1" x14ac:dyDescent="0.2"/>
    <row r="58755" hidden="1" x14ac:dyDescent="0.2"/>
    <row r="58756" hidden="1" x14ac:dyDescent="0.2"/>
    <row r="58757" hidden="1" x14ac:dyDescent="0.2"/>
    <row r="58758" hidden="1" x14ac:dyDescent="0.2"/>
    <row r="58759" hidden="1" x14ac:dyDescent="0.2"/>
    <row r="58760" hidden="1" x14ac:dyDescent="0.2"/>
    <row r="58761" hidden="1" x14ac:dyDescent="0.2"/>
    <row r="58762" hidden="1" x14ac:dyDescent="0.2"/>
    <row r="58763" hidden="1" x14ac:dyDescent="0.2"/>
    <row r="58764" hidden="1" x14ac:dyDescent="0.2"/>
    <row r="58765" hidden="1" x14ac:dyDescent="0.2"/>
    <row r="58766" hidden="1" x14ac:dyDescent="0.2"/>
    <row r="58767" hidden="1" x14ac:dyDescent="0.2"/>
    <row r="58768" hidden="1" x14ac:dyDescent="0.2"/>
    <row r="58769" hidden="1" x14ac:dyDescent="0.2"/>
    <row r="58770" hidden="1" x14ac:dyDescent="0.2"/>
    <row r="58771" hidden="1" x14ac:dyDescent="0.2"/>
    <row r="58772" hidden="1" x14ac:dyDescent="0.2"/>
    <row r="58773" hidden="1" x14ac:dyDescent="0.2"/>
    <row r="58774" hidden="1" x14ac:dyDescent="0.2"/>
    <row r="58775" hidden="1" x14ac:dyDescent="0.2"/>
    <row r="58776" hidden="1" x14ac:dyDescent="0.2"/>
    <row r="58777" hidden="1" x14ac:dyDescent="0.2"/>
    <row r="58778" hidden="1" x14ac:dyDescent="0.2"/>
    <row r="58779" hidden="1" x14ac:dyDescent="0.2"/>
    <row r="58780" hidden="1" x14ac:dyDescent="0.2"/>
    <row r="58781" hidden="1" x14ac:dyDescent="0.2"/>
    <row r="58782" hidden="1" x14ac:dyDescent="0.2"/>
    <row r="58783" hidden="1" x14ac:dyDescent="0.2"/>
    <row r="58784" hidden="1" x14ac:dyDescent="0.2"/>
    <row r="58785" hidden="1" x14ac:dyDescent="0.2"/>
    <row r="58786" hidden="1" x14ac:dyDescent="0.2"/>
    <row r="58787" hidden="1" x14ac:dyDescent="0.2"/>
    <row r="58788" hidden="1" x14ac:dyDescent="0.2"/>
    <row r="58789" hidden="1" x14ac:dyDescent="0.2"/>
    <row r="58790" hidden="1" x14ac:dyDescent="0.2"/>
    <row r="58791" hidden="1" x14ac:dyDescent="0.2"/>
    <row r="58792" hidden="1" x14ac:dyDescent="0.2"/>
    <row r="58793" hidden="1" x14ac:dyDescent="0.2"/>
    <row r="58794" hidden="1" x14ac:dyDescent="0.2"/>
    <row r="58795" hidden="1" x14ac:dyDescent="0.2"/>
    <row r="58796" hidden="1" x14ac:dyDescent="0.2"/>
    <row r="58797" hidden="1" x14ac:dyDescent="0.2"/>
    <row r="58798" hidden="1" x14ac:dyDescent="0.2"/>
    <row r="58799" hidden="1" x14ac:dyDescent="0.2"/>
    <row r="58800" hidden="1" x14ac:dyDescent="0.2"/>
    <row r="58801" hidden="1" x14ac:dyDescent="0.2"/>
    <row r="58802" hidden="1" x14ac:dyDescent="0.2"/>
    <row r="58803" hidden="1" x14ac:dyDescent="0.2"/>
    <row r="58804" hidden="1" x14ac:dyDescent="0.2"/>
    <row r="58805" hidden="1" x14ac:dyDescent="0.2"/>
    <row r="58806" hidden="1" x14ac:dyDescent="0.2"/>
    <row r="58807" hidden="1" x14ac:dyDescent="0.2"/>
    <row r="58808" hidden="1" x14ac:dyDescent="0.2"/>
    <row r="58809" hidden="1" x14ac:dyDescent="0.2"/>
    <row r="58810" hidden="1" x14ac:dyDescent="0.2"/>
    <row r="58811" hidden="1" x14ac:dyDescent="0.2"/>
    <row r="58812" hidden="1" x14ac:dyDescent="0.2"/>
    <row r="58813" hidden="1" x14ac:dyDescent="0.2"/>
    <row r="58814" hidden="1" x14ac:dyDescent="0.2"/>
    <row r="58815" hidden="1" x14ac:dyDescent="0.2"/>
    <row r="58816" hidden="1" x14ac:dyDescent="0.2"/>
    <row r="58817" hidden="1" x14ac:dyDescent="0.2"/>
    <row r="58818" hidden="1" x14ac:dyDescent="0.2"/>
    <row r="58819" hidden="1" x14ac:dyDescent="0.2"/>
    <row r="58820" hidden="1" x14ac:dyDescent="0.2"/>
    <row r="58821" hidden="1" x14ac:dyDescent="0.2"/>
    <row r="58822" hidden="1" x14ac:dyDescent="0.2"/>
    <row r="58823" hidden="1" x14ac:dyDescent="0.2"/>
    <row r="58824" hidden="1" x14ac:dyDescent="0.2"/>
    <row r="58825" hidden="1" x14ac:dyDescent="0.2"/>
    <row r="58826" hidden="1" x14ac:dyDescent="0.2"/>
    <row r="58827" hidden="1" x14ac:dyDescent="0.2"/>
    <row r="58828" hidden="1" x14ac:dyDescent="0.2"/>
    <row r="58829" hidden="1" x14ac:dyDescent="0.2"/>
    <row r="58830" hidden="1" x14ac:dyDescent="0.2"/>
    <row r="58831" hidden="1" x14ac:dyDescent="0.2"/>
    <row r="58832" hidden="1" x14ac:dyDescent="0.2"/>
    <row r="58833" hidden="1" x14ac:dyDescent="0.2"/>
    <row r="58834" hidden="1" x14ac:dyDescent="0.2"/>
    <row r="58835" hidden="1" x14ac:dyDescent="0.2"/>
    <row r="58836" hidden="1" x14ac:dyDescent="0.2"/>
    <row r="58837" hidden="1" x14ac:dyDescent="0.2"/>
    <row r="58838" hidden="1" x14ac:dyDescent="0.2"/>
    <row r="58839" hidden="1" x14ac:dyDescent="0.2"/>
    <row r="58840" hidden="1" x14ac:dyDescent="0.2"/>
    <row r="58841" hidden="1" x14ac:dyDescent="0.2"/>
    <row r="58842" hidden="1" x14ac:dyDescent="0.2"/>
    <row r="58843" hidden="1" x14ac:dyDescent="0.2"/>
    <row r="58844" hidden="1" x14ac:dyDescent="0.2"/>
    <row r="58845" hidden="1" x14ac:dyDescent="0.2"/>
    <row r="58846" hidden="1" x14ac:dyDescent="0.2"/>
    <row r="58847" hidden="1" x14ac:dyDescent="0.2"/>
    <row r="58848" hidden="1" x14ac:dyDescent="0.2"/>
    <row r="58849" hidden="1" x14ac:dyDescent="0.2"/>
    <row r="58850" hidden="1" x14ac:dyDescent="0.2"/>
    <row r="58851" hidden="1" x14ac:dyDescent="0.2"/>
    <row r="58852" hidden="1" x14ac:dyDescent="0.2"/>
    <row r="58853" hidden="1" x14ac:dyDescent="0.2"/>
    <row r="58854" hidden="1" x14ac:dyDescent="0.2"/>
    <row r="58855" hidden="1" x14ac:dyDescent="0.2"/>
    <row r="58856" hidden="1" x14ac:dyDescent="0.2"/>
    <row r="58857" hidden="1" x14ac:dyDescent="0.2"/>
    <row r="58858" hidden="1" x14ac:dyDescent="0.2"/>
    <row r="58859" hidden="1" x14ac:dyDescent="0.2"/>
    <row r="58860" hidden="1" x14ac:dyDescent="0.2"/>
    <row r="58861" hidden="1" x14ac:dyDescent="0.2"/>
    <row r="58862" hidden="1" x14ac:dyDescent="0.2"/>
    <row r="58863" hidden="1" x14ac:dyDescent="0.2"/>
    <row r="58864" hidden="1" x14ac:dyDescent="0.2"/>
    <row r="58865" hidden="1" x14ac:dyDescent="0.2"/>
    <row r="58866" hidden="1" x14ac:dyDescent="0.2"/>
    <row r="58867" hidden="1" x14ac:dyDescent="0.2"/>
    <row r="58868" hidden="1" x14ac:dyDescent="0.2"/>
    <row r="58869" hidden="1" x14ac:dyDescent="0.2"/>
    <row r="58870" hidden="1" x14ac:dyDescent="0.2"/>
    <row r="58871" hidden="1" x14ac:dyDescent="0.2"/>
    <row r="58872" hidden="1" x14ac:dyDescent="0.2"/>
    <row r="58873" hidden="1" x14ac:dyDescent="0.2"/>
    <row r="58874" hidden="1" x14ac:dyDescent="0.2"/>
    <row r="58875" hidden="1" x14ac:dyDescent="0.2"/>
    <row r="58876" hidden="1" x14ac:dyDescent="0.2"/>
    <row r="58877" hidden="1" x14ac:dyDescent="0.2"/>
    <row r="58878" hidden="1" x14ac:dyDescent="0.2"/>
    <row r="58879" hidden="1" x14ac:dyDescent="0.2"/>
    <row r="58880" hidden="1" x14ac:dyDescent="0.2"/>
    <row r="58881" hidden="1" x14ac:dyDescent="0.2"/>
    <row r="58882" hidden="1" x14ac:dyDescent="0.2"/>
    <row r="58883" hidden="1" x14ac:dyDescent="0.2"/>
    <row r="58884" hidden="1" x14ac:dyDescent="0.2"/>
    <row r="58885" hidden="1" x14ac:dyDescent="0.2"/>
    <row r="58886" hidden="1" x14ac:dyDescent="0.2"/>
    <row r="58887" hidden="1" x14ac:dyDescent="0.2"/>
    <row r="58888" hidden="1" x14ac:dyDescent="0.2"/>
    <row r="58889" hidden="1" x14ac:dyDescent="0.2"/>
    <row r="58890" hidden="1" x14ac:dyDescent="0.2"/>
    <row r="58891" hidden="1" x14ac:dyDescent="0.2"/>
    <row r="58892" hidden="1" x14ac:dyDescent="0.2"/>
    <row r="58893" hidden="1" x14ac:dyDescent="0.2"/>
    <row r="58894" hidden="1" x14ac:dyDescent="0.2"/>
    <row r="58895" hidden="1" x14ac:dyDescent="0.2"/>
    <row r="58896" hidden="1" x14ac:dyDescent="0.2"/>
    <row r="58897" hidden="1" x14ac:dyDescent="0.2"/>
    <row r="58898" hidden="1" x14ac:dyDescent="0.2"/>
    <row r="58899" hidden="1" x14ac:dyDescent="0.2"/>
    <row r="58900" hidden="1" x14ac:dyDescent="0.2"/>
    <row r="58901" hidden="1" x14ac:dyDescent="0.2"/>
    <row r="58902" hidden="1" x14ac:dyDescent="0.2"/>
    <row r="58903" hidden="1" x14ac:dyDescent="0.2"/>
    <row r="58904" hidden="1" x14ac:dyDescent="0.2"/>
    <row r="58905" hidden="1" x14ac:dyDescent="0.2"/>
    <row r="58906" hidden="1" x14ac:dyDescent="0.2"/>
    <row r="58907" hidden="1" x14ac:dyDescent="0.2"/>
    <row r="58908" hidden="1" x14ac:dyDescent="0.2"/>
    <row r="58909" hidden="1" x14ac:dyDescent="0.2"/>
    <row r="58910" hidden="1" x14ac:dyDescent="0.2"/>
    <row r="58911" hidden="1" x14ac:dyDescent="0.2"/>
    <row r="58912" hidden="1" x14ac:dyDescent="0.2"/>
    <row r="58913" hidden="1" x14ac:dyDescent="0.2"/>
    <row r="58914" hidden="1" x14ac:dyDescent="0.2"/>
    <row r="58915" hidden="1" x14ac:dyDescent="0.2"/>
    <row r="58916" hidden="1" x14ac:dyDescent="0.2"/>
    <row r="58917" hidden="1" x14ac:dyDescent="0.2"/>
    <row r="58918" hidden="1" x14ac:dyDescent="0.2"/>
    <row r="58919" hidden="1" x14ac:dyDescent="0.2"/>
    <row r="58920" hidden="1" x14ac:dyDescent="0.2"/>
    <row r="58921" hidden="1" x14ac:dyDescent="0.2"/>
    <row r="58922" hidden="1" x14ac:dyDescent="0.2"/>
    <row r="58923" hidden="1" x14ac:dyDescent="0.2"/>
    <row r="58924" hidden="1" x14ac:dyDescent="0.2"/>
    <row r="58925" hidden="1" x14ac:dyDescent="0.2"/>
    <row r="58926" hidden="1" x14ac:dyDescent="0.2"/>
    <row r="58927" hidden="1" x14ac:dyDescent="0.2"/>
    <row r="58928" hidden="1" x14ac:dyDescent="0.2"/>
    <row r="58929" hidden="1" x14ac:dyDescent="0.2"/>
    <row r="58930" hidden="1" x14ac:dyDescent="0.2"/>
    <row r="58931" hidden="1" x14ac:dyDescent="0.2"/>
    <row r="58932" hidden="1" x14ac:dyDescent="0.2"/>
    <row r="58933" hidden="1" x14ac:dyDescent="0.2"/>
    <row r="58934" hidden="1" x14ac:dyDescent="0.2"/>
    <row r="58935" hidden="1" x14ac:dyDescent="0.2"/>
    <row r="58936" hidden="1" x14ac:dyDescent="0.2"/>
    <row r="58937" hidden="1" x14ac:dyDescent="0.2"/>
    <row r="58938" hidden="1" x14ac:dyDescent="0.2"/>
    <row r="58939" hidden="1" x14ac:dyDescent="0.2"/>
    <row r="58940" hidden="1" x14ac:dyDescent="0.2"/>
    <row r="58941" hidden="1" x14ac:dyDescent="0.2"/>
    <row r="58942" hidden="1" x14ac:dyDescent="0.2"/>
    <row r="58943" hidden="1" x14ac:dyDescent="0.2"/>
    <row r="58944" hidden="1" x14ac:dyDescent="0.2"/>
    <row r="58945" hidden="1" x14ac:dyDescent="0.2"/>
    <row r="58946" hidden="1" x14ac:dyDescent="0.2"/>
    <row r="58947" hidden="1" x14ac:dyDescent="0.2"/>
    <row r="58948" hidden="1" x14ac:dyDescent="0.2"/>
    <row r="58949" hidden="1" x14ac:dyDescent="0.2"/>
    <row r="58950" hidden="1" x14ac:dyDescent="0.2"/>
    <row r="58951" hidden="1" x14ac:dyDescent="0.2"/>
    <row r="58952" hidden="1" x14ac:dyDescent="0.2"/>
    <row r="58953" hidden="1" x14ac:dyDescent="0.2"/>
    <row r="58954" hidden="1" x14ac:dyDescent="0.2"/>
    <row r="58955" hidden="1" x14ac:dyDescent="0.2"/>
    <row r="58956" hidden="1" x14ac:dyDescent="0.2"/>
    <row r="58957" hidden="1" x14ac:dyDescent="0.2"/>
    <row r="58958" hidden="1" x14ac:dyDescent="0.2"/>
    <row r="58959" hidden="1" x14ac:dyDescent="0.2"/>
    <row r="58960" hidden="1" x14ac:dyDescent="0.2"/>
    <row r="58961" hidden="1" x14ac:dyDescent="0.2"/>
    <row r="58962" hidden="1" x14ac:dyDescent="0.2"/>
    <row r="58963" hidden="1" x14ac:dyDescent="0.2"/>
    <row r="58964" hidden="1" x14ac:dyDescent="0.2"/>
    <row r="58965" hidden="1" x14ac:dyDescent="0.2"/>
    <row r="58966" hidden="1" x14ac:dyDescent="0.2"/>
    <row r="58967" hidden="1" x14ac:dyDescent="0.2"/>
    <row r="58968" hidden="1" x14ac:dyDescent="0.2"/>
    <row r="58969" hidden="1" x14ac:dyDescent="0.2"/>
    <row r="58970" hidden="1" x14ac:dyDescent="0.2"/>
    <row r="58971" hidden="1" x14ac:dyDescent="0.2"/>
    <row r="58972" hidden="1" x14ac:dyDescent="0.2"/>
    <row r="58973" hidden="1" x14ac:dyDescent="0.2"/>
    <row r="58974" hidden="1" x14ac:dyDescent="0.2"/>
    <row r="58975" hidden="1" x14ac:dyDescent="0.2"/>
    <row r="58976" hidden="1" x14ac:dyDescent="0.2"/>
    <row r="58977" hidden="1" x14ac:dyDescent="0.2"/>
    <row r="58978" hidden="1" x14ac:dyDescent="0.2"/>
    <row r="58979" hidden="1" x14ac:dyDescent="0.2"/>
    <row r="58980" hidden="1" x14ac:dyDescent="0.2"/>
    <row r="58981" hidden="1" x14ac:dyDescent="0.2"/>
    <row r="58982" hidden="1" x14ac:dyDescent="0.2"/>
    <row r="58983" hidden="1" x14ac:dyDescent="0.2"/>
    <row r="58984" hidden="1" x14ac:dyDescent="0.2"/>
    <row r="58985" hidden="1" x14ac:dyDescent="0.2"/>
    <row r="58986" hidden="1" x14ac:dyDescent="0.2"/>
    <row r="58987" hidden="1" x14ac:dyDescent="0.2"/>
    <row r="58988" hidden="1" x14ac:dyDescent="0.2"/>
    <row r="58989" hidden="1" x14ac:dyDescent="0.2"/>
    <row r="58990" hidden="1" x14ac:dyDescent="0.2"/>
    <row r="58991" hidden="1" x14ac:dyDescent="0.2"/>
    <row r="58992" hidden="1" x14ac:dyDescent="0.2"/>
    <row r="58993" hidden="1" x14ac:dyDescent="0.2"/>
    <row r="58994" hidden="1" x14ac:dyDescent="0.2"/>
    <row r="58995" hidden="1" x14ac:dyDescent="0.2"/>
    <row r="58996" hidden="1" x14ac:dyDescent="0.2"/>
    <row r="58997" hidden="1" x14ac:dyDescent="0.2"/>
    <row r="58998" hidden="1" x14ac:dyDescent="0.2"/>
    <row r="58999" hidden="1" x14ac:dyDescent="0.2"/>
    <row r="59000" hidden="1" x14ac:dyDescent="0.2"/>
    <row r="59001" hidden="1" x14ac:dyDescent="0.2"/>
    <row r="59002" hidden="1" x14ac:dyDescent="0.2"/>
    <row r="59003" hidden="1" x14ac:dyDescent="0.2"/>
    <row r="59004" hidden="1" x14ac:dyDescent="0.2"/>
    <row r="59005" hidden="1" x14ac:dyDescent="0.2"/>
    <row r="59006" hidden="1" x14ac:dyDescent="0.2"/>
    <row r="59007" hidden="1" x14ac:dyDescent="0.2"/>
    <row r="59008" hidden="1" x14ac:dyDescent="0.2"/>
    <row r="59009" hidden="1" x14ac:dyDescent="0.2"/>
    <row r="59010" hidden="1" x14ac:dyDescent="0.2"/>
    <row r="59011" hidden="1" x14ac:dyDescent="0.2"/>
    <row r="59012" hidden="1" x14ac:dyDescent="0.2"/>
    <row r="59013" hidden="1" x14ac:dyDescent="0.2"/>
    <row r="59014" hidden="1" x14ac:dyDescent="0.2"/>
    <row r="59015" hidden="1" x14ac:dyDescent="0.2"/>
    <row r="59016" hidden="1" x14ac:dyDescent="0.2"/>
    <row r="59017" hidden="1" x14ac:dyDescent="0.2"/>
    <row r="59018" hidden="1" x14ac:dyDescent="0.2"/>
    <row r="59019" hidden="1" x14ac:dyDescent="0.2"/>
    <row r="59020" hidden="1" x14ac:dyDescent="0.2"/>
    <row r="59021" hidden="1" x14ac:dyDescent="0.2"/>
    <row r="59022" hidden="1" x14ac:dyDescent="0.2"/>
    <row r="59023" hidden="1" x14ac:dyDescent="0.2"/>
    <row r="59024" hidden="1" x14ac:dyDescent="0.2"/>
    <row r="59025" hidden="1" x14ac:dyDescent="0.2"/>
    <row r="59026" hidden="1" x14ac:dyDescent="0.2"/>
    <row r="59027" hidden="1" x14ac:dyDescent="0.2"/>
    <row r="59028" hidden="1" x14ac:dyDescent="0.2"/>
    <row r="59029" hidden="1" x14ac:dyDescent="0.2"/>
    <row r="59030" hidden="1" x14ac:dyDescent="0.2"/>
    <row r="59031" hidden="1" x14ac:dyDescent="0.2"/>
    <row r="59032" hidden="1" x14ac:dyDescent="0.2"/>
    <row r="59033" hidden="1" x14ac:dyDescent="0.2"/>
    <row r="59034" hidden="1" x14ac:dyDescent="0.2"/>
    <row r="59035" hidden="1" x14ac:dyDescent="0.2"/>
    <row r="59036" hidden="1" x14ac:dyDescent="0.2"/>
    <row r="59037" hidden="1" x14ac:dyDescent="0.2"/>
    <row r="59038" hidden="1" x14ac:dyDescent="0.2"/>
    <row r="59039" hidden="1" x14ac:dyDescent="0.2"/>
    <row r="59040" hidden="1" x14ac:dyDescent="0.2"/>
    <row r="59041" hidden="1" x14ac:dyDescent="0.2"/>
    <row r="59042" hidden="1" x14ac:dyDescent="0.2"/>
    <row r="59043" hidden="1" x14ac:dyDescent="0.2"/>
    <row r="59044" hidden="1" x14ac:dyDescent="0.2"/>
    <row r="59045" hidden="1" x14ac:dyDescent="0.2"/>
    <row r="59046" hidden="1" x14ac:dyDescent="0.2"/>
    <row r="59047" hidden="1" x14ac:dyDescent="0.2"/>
    <row r="59048" hidden="1" x14ac:dyDescent="0.2"/>
    <row r="59049" hidden="1" x14ac:dyDescent="0.2"/>
    <row r="59050" hidden="1" x14ac:dyDescent="0.2"/>
    <row r="59051" hidden="1" x14ac:dyDescent="0.2"/>
    <row r="59052" hidden="1" x14ac:dyDescent="0.2"/>
    <row r="59053" hidden="1" x14ac:dyDescent="0.2"/>
    <row r="59054" hidden="1" x14ac:dyDescent="0.2"/>
    <row r="59055" hidden="1" x14ac:dyDescent="0.2"/>
    <row r="59056" hidden="1" x14ac:dyDescent="0.2"/>
    <row r="59057" hidden="1" x14ac:dyDescent="0.2"/>
    <row r="59058" hidden="1" x14ac:dyDescent="0.2"/>
    <row r="59059" hidden="1" x14ac:dyDescent="0.2"/>
    <row r="59060" hidden="1" x14ac:dyDescent="0.2"/>
    <row r="59061" hidden="1" x14ac:dyDescent="0.2"/>
    <row r="59062" hidden="1" x14ac:dyDescent="0.2"/>
    <row r="59063" hidden="1" x14ac:dyDescent="0.2"/>
    <row r="59064" hidden="1" x14ac:dyDescent="0.2"/>
    <row r="59065" hidden="1" x14ac:dyDescent="0.2"/>
    <row r="59066" hidden="1" x14ac:dyDescent="0.2"/>
    <row r="59067" hidden="1" x14ac:dyDescent="0.2"/>
    <row r="59068" hidden="1" x14ac:dyDescent="0.2"/>
    <row r="59069" hidden="1" x14ac:dyDescent="0.2"/>
    <row r="59070" hidden="1" x14ac:dyDescent="0.2"/>
    <row r="59071" hidden="1" x14ac:dyDescent="0.2"/>
    <row r="59072" hidden="1" x14ac:dyDescent="0.2"/>
    <row r="59073" hidden="1" x14ac:dyDescent="0.2"/>
    <row r="59074" hidden="1" x14ac:dyDescent="0.2"/>
    <row r="59075" hidden="1" x14ac:dyDescent="0.2"/>
    <row r="59076" hidden="1" x14ac:dyDescent="0.2"/>
    <row r="59077" hidden="1" x14ac:dyDescent="0.2"/>
    <row r="59078" hidden="1" x14ac:dyDescent="0.2"/>
    <row r="59079" hidden="1" x14ac:dyDescent="0.2"/>
    <row r="59080" hidden="1" x14ac:dyDescent="0.2"/>
    <row r="59081" hidden="1" x14ac:dyDescent="0.2"/>
    <row r="59082" hidden="1" x14ac:dyDescent="0.2"/>
    <row r="59083" hidden="1" x14ac:dyDescent="0.2"/>
    <row r="59084" hidden="1" x14ac:dyDescent="0.2"/>
    <row r="59085" hidden="1" x14ac:dyDescent="0.2"/>
    <row r="59086" hidden="1" x14ac:dyDescent="0.2"/>
    <row r="59087" hidden="1" x14ac:dyDescent="0.2"/>
    <row r="59088" hidden="1" x14ac:dyDescent="0.2"/>
    <row r="59089" hidden="1" x14ac:dyDescent="0.2"/>
    <row r="59090" hidden="1" x14ac:dyDescent="0.2"/>
    <row r="59091" hidden="1" x14ac:dyDescent="0.2"/>
    <row r="59092" hidden="1" x14ac:dyDescent="0.2"/>
    <row r="59093" hidden="1" x14ac:dyDescent="0.2"/>
    <row r="59094" hidden="1" x14ac:dyDescent="0.2"/>
    <row r="59095" hidden="1" x14ac:dyDescent="0.2"/>
    <row r="59096" hidden="1" x14ac:dyDescent="0.2"/>
    <row r="59097" hidden="1" x14ac:dyDescent="0.2"/>
    <row r="59098" hidden="1" x14ac:dyDescent="0.2"/>
    <row r="59099" hidden="1" x14ac:dyDescent="0.2"/>
    <row r="59100" hidden="1" x14ac:dyDescent="0.2"/>
    <row r="59101" hidden="1" x14ac:dyDescent="0.2"/>
    <row r="59102" hidden="1" x14ac:dyDescent="0.2"/>
    <row r="59103" hidden="1" x14ac:dyDescent="0.2"/>
    <row r="59104" hidden="1" x14ac:dyDescent="0.2"/>
    <row r="59105" hidden="1" x14ac:dyDescent="0.2"/>
    <row r="59106" hidden="1" x14ac:dyDescent="0.2"/>
    <row r="59107" hidden="1" x14ac:dyDescent="0.2"/>
    <row r="59108" hidden="1" x14ac:dyDescent="0.2"/>
    <row r="59109" hidden="1" x14ac:dyDescent="0.2"/>
    <row r="59110" hidden="1" x14ac:dyDescent="0.2"/>
    <row r="59111" hidden="1" x14ac:dyDescent="0.2"/>
    <row r="59112" hidden="1" x14ac:dyDescent="0.2"/>
    <row r="59113" hidden="1" x14ac:dyDescent="0.2"/>
    <row r="59114" hidden="1" x14ac:dyDescent="0.2"/>
    <row r="59115" hidden="1" x14ac:dyDescent="0.2"/>
    <row r="59116" hidden="1" x14ac:dyDescent="0.2"/>
    <row r="59117" hidden="1" x14ac:dyDescent="0.2"/>
    <row r="59118" hidden="1" x14ac:dyDescent="0.2"/>
    <row r="59119" hidden="1" x14ac:dyDescent="0.2"/>
    <row r="59120" hidden="1" x14ac:dyDescent="0.2"/>
    <row r="59121" hidden="1" x14ac:dyDescent="0.2"/>
    <row r="59122" hidden="1" x14ac:dyDescent="0.2"/>
    <row r="59123" hidden="1" x14ac:dyDescent="0.2"/>
    <row r="59124" hidden="1" x14ac:dyDescent="0.2"/>
    <row r="59125" hidden="1" x14ac:dyDescent="0.2"/>
    <row r="59126" hidden="1" x14ac:dyDescent="0.2"/>
    <row r="59127" hidden="1" x14ac:dyDescent="0.2"/>
    <row r="59128" hidden="1" x14ac:dyDescent="0.2"/>
    <row r="59129" hidden="1" x14ac:dyDescent="0.2"/>
    <row r="59130" hidden="1" x14ac:dyDescent="0.2"/>
    <row r="59131" hidden="1" x14ac:dyDescent="0.2"/>
    <row r="59132" hidden="1" x14ac:dyDescent="0.2"/>
    <row r="59133" hidden="1" x14ac:dyDescent="0.2"/>
    <row r="59134" hidden="1" x14ac:dyDescent="0.2"/>
    <row r="59135" hidden="1" x14ac:dyDescent="0.2"/>
    <row r="59136" hidden="1" x14ac:dyDescent="0.2"/>
    <row r="59137" hidden="1" x14ac:dyDescent="0.2"/>
    <row r="59138" hidden="1" x14ac:dyDescent="0.2"/>
    <row r="59139" hidden="1" x14ac:dyDescent="0.2"/>
    <row r="59140" hidden="1" x14ac:dyDescent="0.2"/>
    <row r="59141" hidden="1" x14ac:dyDescent="0.2"/>
    <row r="59142" hidden="1" x14ac:dyDescent="0.2"/>
    <row r="59143" hidden="1" x14ac:dyDescent="0.2"/>
    <row r="59144" hidden="1" x14ac:dyDescent="0.2"/>
    <row r="59145" hidden="1" x14ac:dyDescent="0.2"/>
    <row r="59146" hidden="1" x14ac:dyDescent="0.2"/>
    <row r="59147" hidden="1" x14ac:dyDescent="0.2"/>
    <row r="59148" hidden="1" x14ac:dyDescent="0.2"/>
    <row r="59149" hidden="1" x14ac:dyDescent="0.2"/>
    <row r="59150" hidden="1" x14ac:dyDescent="0.2"/>
    <row r="59151" hidden="1" x14ac:dyDescent="0.2"/>
    <row r="59152" hidden="1" x14ac:dyDescent="0.2"/>
    <row r="59153" hidden="1" x14ac:dyDescent="0.2"/>
    <row r="59154" hidden="1" x14ac:dyDescent="0.2"/>
    <row r="59155" hidden="1" x14ac:dyDescent="0.2"/>
    <row r="59156" hidden="1" x14ac:dyDescent="0.2"/>
    <row r="59157" hidden="1" x14ac:dyDescent="0.2"/>
    <row r="59158" hidden="1" x14ac:dyDescent="0.2"/>
    <row r="59159" hidden="1" x14ac:dyDescent="0.2"/>
    <row r="59160" hidden="1" x14ac:dyDescent="0.2"/>
    <row r="59161" hidden="1" x14ac:dyDescent="0.2"/>
    <row r="59162" hidden="1" x14ac:dyDescent="0.2"/>
    <row r="59163" hidden="1" x14ac:dyDescent="0.2"/>
    <row r="59164" hidden="1" x14ac:dyDescent="0.2"/>
    <row r="59165" hidden="1" x14ac:dyDescent="0.2"/>
    <row r="59166" hidden="1" x14ac:dyDescent="0.2"/>
    <row r="59167" hidden="1" x14ac:dyDescent="0.2"/>
    <row r="59168" hidden="1" x14ac:dyDescent="0.2"/>
    <row r="59169" hidden="1" x14ac:dyDescent="0.2"/>
    <row r="59170" hidden="1" x14ac:dyDescent="0.2"/>
    <row r="59171" hidden="1" x14ac:dyDescent="0.2"/>
    <row r="59172" hidden="1" x14ac:dyDescent="0.2"/>
    <row r="59173" hidden="1" x14ac:dyDescent="0.2"/>
    <row r="59174" hidden="1" x14ac:dyDescent="0.2"/>
    <row r="59175" hidden="1" x14ac:dyDescent="0.2"/>
    <row r="59176" hidden="1" x14ac:dyDescent="0.2"/>
    <row r="59177" hidden="1" x14ac:dyDescent="0.2"/>
    <row r="59178" hidden="1" x14ac:dyDescent="0.2"/>
    <row r="59179" hidden="1" x14ac:dyDescent="0.2"/>
    <row r="59180" hidden="1" x14ac:dyDescent="0.2"/>
    <row r="59181" hidden="1" x14ac:dyDescent="0.2"/>
    <row r="59182" hidden="1" x14ac:dyDescent="0.2"/>
    <row r="59183" hidden="1" x14ac:dyDescent="0.2"/>
    <row r="59184" hidden="1" x14ac:dyDescent="0.2"/>
    <row r="59185" hidden="1" x14ac:dyDescent="0.2"/>
    <row r="59186" hidden="1" x14ac:dyDescent="0.2"/>
    <row r="59187" hidden="1" x14ac:dyDescent="0.2"/>
    <row r="59188" hidden="1" x14ac:dyDescent="0.2"/>
    <row r="59189" hidden="1" x14ac:dyDescent="0.2"/>
    <row r="59190" hidden="1" x14ac:dyDescent="0.2"/>
    <row r="59191" hidden="1" x14ac:dyDescent="0.2"/>
    <row r="59192" hidden="1" x14ac:dyDescent="0.2"/>
    <row r="59193" hidden="1" x14ac:dyDescent="0.2"/>
    <row r="59194" hidden="1" x14ac:dyDescent="0.2"/>
    <row r="59195" hidden="1" x14ac:dyDescent="0.2"/>
    <row r="59196" hidden="1" x14ac:dyDescent="0.2"/>
    <row r="59197" hidden="1" x14ac:dyDescent="0.2"/>
    <row r="59198" hidden="1" x14ac:dyDescent="0.2"/>
    <row r="59199" hidden="1" x14ac:dyDescent="0.2"/>
    <row r="59200" hidden="1" x14ac:dyDescent="0.2"/>
    <row r="59201" hidden="1" x14ac:dyDescent="0.2"/>
    <row r="59202" hidden="1" x14ac:dyDescent="0.2"/>
    <row r="59203" hidden="1" x14ac:dyDescent="0.2"/>
    <row r="59204" hidden="1" x14ac:dyDescent="0.2"/>
    <row r="59205" hidden="1" x14ac:dyDescent="0.2"/>
    <row r="59206" hidden="1" x14ac:dyDescent="0.2"/>
    <row r="59207" hidden="1" x14ac:dyDescent="0.2"/>
    <row r="59208" hidden="1" x14ac:dyDescent="0.2"/>
    <row r="59209" hidden="1" x14ac:dyDescent="0.2"/>
    <row r="59210" hidden="1" x14ac:dyDescent="0.2"/>
    <row r="59211" hidden="1" x14ac:dyDescent="0.2"/>
    <row r="59212" hidden="1" x14ac:dyDescent="0.2"/>
    <row r="59213" hidden="1" x14ac:dyDescent="0.2"/>
    <row r="59214" hidden="1" x14ac:dyDescent="0.2"/>
    <row r="59215" hidden="1" x14ac:dyDescent="0.2"/>
    <row r="59216" hidden="1" x14ac:dyDescent="0.2"/>
    <row r="59217" hidden="1" x14ac:dyDescent="0.2"/>
    <row r="59218" hidden="1" x14ac:dyDescent="0.2"/>
    <row r="59219" hidden="1" x14ac:dyDescent="0.2"/>
    <row r="59220" hidden="1" x14ac:dyDescent="0.2"/>
    <row r="59221" hidden="1" x14ac:dyDescent="0.2"/>
    <row r="59222" hidden="1" x14ac:dyDescent="0.2"/>
    <row r="59223" hidden="1" x14ac:dyDescent="0.2"/>
    <row r="59224" hidden="1" x14ac:dyDescent="0.2"/>
    <row r="59225" hidden="1" x14ac:dyDescent="0.2"/>
    <row r="59226" hidden="1" x14ac:dyDescent="0.2"/>
    <row r="59227" hidden="1" x14ac:dyDescent="0.2"/>
    <row r="59228" hidden="1" x14ac:dyDescent="0.2"/>
    <row r="59229" hidden="1" x14ac:dyDescent="0.2"/>
    <row r="59230" hidden="1" x14ac:dyDescent="0.2"/>
    <row r="59231" hidden="1" x14ac:dyDescent="0.2"/>
    <row r="59232" hidden="1" x14ac:dyDescent="0.2"/>
    <row r="59233" hidden="1" x14ac:dyDescent="0.2"/>
    <row r="59234" hidden="1" x14ac:dyDescent="0.2"/>
    <row r="59235" hidden="1" x14ac:dyDescent="0.2"/>
    <row r="59236" hidden="1" x14ac:dyDescent="0.2"/>
    <row r="59237" hidden="1" x14ac:dyDescent="0.2"/>
    <row r="59238" hidden="1" x14ac:dyDescent="0.2"/>
    <row r="59239" hidden="1" x14ac:dyDescent="0.2"/>
    <row r="59240" hidden="1" x14ac:dyDescent="0.2"/>
    <row r="59241" hidden="1" x14ac:dyDescent="0.2"/>
    <row r="59242" hidden="1" x14ac:dyDescent="0.2"/>
    <row r="59243" hidden="1" x14ac:dyDescent="0.2"/>
    <row r="59244" hidden="1" x14ac:dyDescent="0.2"/>
    <row r="59245" hidden="1" x14ac:dyDescent="0.2"/>
    <row r="59246" hidden="1" x14ac:dyDescent="0.2"/>
    <row r="59247" hidden="1" x14ac:dyDescent="0.2"/>
    <row r="59248" hidden="1" x14ac:dyDescent="0.2"/>
    <row r="59249" hidden="1" x14ac:dyDescent="0.2"/>
    <row r="59250" hidden="1" x14ac:dyDescent="0.2"/>
    <row r="59251" hidden="1" x14ac:dyDescent="0.2"/>
    <row r="59252" hidden="1" x14ac:dyDescent="0.2"/>
    <row r="59253" hidden="1" x14ac:dyDescent="0.2"/>
    <row r="59254" hidden="1" x14ac:dyDescent="0.2"/>
    <row r="59255" hidden="1" x14ac:dyDescent="0.2"/>
    <row r="59256" hidden="1" x14ac:dyDescent="0.2"/>
    <row r="59257" hidden="1" x14ac:dyDescent="0.2"/>
    <row r="59258" hidden="1" x14ac:dyDescent="0.2"/>
    <row r="59259" hidden="1" x14ac:dyDescent="0.2"/>
    <row r="59260" hidden="1" x14ac:dyDescent="0.2"/>
    <row r="59261" hidden="1" x14ac:dyDescent="0.2"/>
    <row r="59262" hidden="1" x14ac:dyDescent="0.2"/>
    <row r="59263" hidden="1" x14ac:dyDescent="0.2"/>
    <row r="59264" hidden="1" x14ac:dyDescent="0.2"/>
    <row r="59265" hidden="1" x14ac:dyDescent="0.2"/>
    <row r="59266" hidden="1" x14ac:dyDescent="0.2"/>
    <row r="59267" hidden="1" x14ac:dyDescent="0.2"/>
    <row r="59268" hidden="1" x14ac:dyDescent="0.2"/>
    <row r="59269" hidden="1" x14ac:dyDescent="0.2"/>
    <row r="59270" hidden="1" x14ac:dyDescent="0.2"/>
    <row r="59271" hidden="1" x14ac:dyDescent="0.2"/>
    <row r="59272" hidden="1" x14ac:dyDescent="0.2"/>
    <row r="59273" hidden="1" x14ac:dyDescent="0.2"/>
    <row r="59274" hidden="1" x14ac:dyDescent="0.2"/>
    <row r="59275" hidden="1" x14ac:dyDescent="0.2"/>
    <row r="59276" hidden="1" x14ac:dyDescent="0.2"/>
    <row r="59277" hidden="1" x14ac:dyDescent="0.2"/>
    <row r="59278" hidden="1" x14ac:dyDescent="0.2"/>
    <row r="59279" hidden="1" x14ac:dyDescent="0.2"/>
    <row r="59280" hidden="1" x14ac:dyDescent="0.2"/>
    <row r="59281" hidden="1" x14ac:dyDescent="0.2"/>
    <row r="59282" hidden="1" x14ac:dyDescent="0.2"/>
    <row r="59283" hidden="1" x14ac:dyDescent="0.2"/>
    <row r="59284" hidden="1" x14ac:dyDescent="0.2"/>
    <row r="59285" hidden="1" x14ac:dyDescent="0.2"/>
    <row r="59286" hidden="1" x14ac:dyDescent="0.2"/>
    <row r="59287" hidden="1" x14ac:dyDescent="0.2"/>
    <row r="59288" hidden="1" x14ac:dyDescent="0.2"/>
    <row r="59289" hidden="1" x14ac:dyDescent="0.2"/>
    <row r="59290" hidden="1" x14ac:dyDescent="0.2"/>
    <row r="59291" hidden="1" x14ac:dyDescent="0.2"/>
    <row r="59292" hidden="1" x14ac:dyDescent="0.2"/>
    <row r="59293" hidden="1" x14ac:dyDescent="0.2"/>
    <row r="59294" hidden="1" x14ac:dyDescent="0.2"/>
    <row r="59295" hidden="1" x14ac:dyDescent="0.2"/>
    <row r="59296" hidden="1" x14ac:dyDescent="0.2"/>
    <row r="59297" hidden="1" x14ac:dyDescent="0.2"/>
    <row r="59298" hidden="1" x14ac:dyDescent="0.2"/>
    <row r="59299" hidden="1" x14ac:dyDescent="0.2"/>
    <row r="59300" hidden="1" x14ac:dyDescent="0.2"/>
    <row r="59301" hidden="1" x14ac:dyDescent="0.2"/>
    <row r="59302" hidden="1" x14ac:dyDescent="0.2"/>
    <row r="59303" hidden="1" x14ac:dyDescent="0.2"/>
    <row r="59304" hidden="1" x14ac:dyDescent="0.2"/>
    <row r="59305" hidden="1" x14ac:dyDescent="0.2"/>
    <row r="59306" hidden="1" x14ac:dyDescent="0.2"/>
    <row r="59307" hidden="1" x14ac:dyDescent="0.2"/>
    <row r="59308" hidden="1" x14ac:dyDescent="0.2"/>
    <row r="59309" hidden="1" x14ac:dyDescent="0.2"/>
    <row r="59310" hidden="1" x14ac:dyDescent="0.2"/>
    <row r="59311" hidden="1" x14ac:dyDescent="0.2"/>
    <row r="59312" hidden="1" x14ac:dyDescent="0.2"/>
    <row r="59313" hidden="1" x14ac:dyDescent="0.2"/>
    <row r="59314" hidden="1" x14ac:dyDescent="0.2"/>
    <row r="59315" hidden="1" x14ac:dyDescent="0.2"/>
    <row r="59316" hidden="1" x14ac:dyDescent="0.2"/>
    <row r="59317" hidden="1" x14ac:dyDescent="0.2"/>
    <row r="59318" hidden="1" x14ac:dyDescent="0.2"/>
    <row r="59319" hidden="1" x14ac:dyDescent="0.2"/>
    <row r="59320" hidden="1" x14ac:dyDescent="0.2"/>
    <row r="59321" hidden="1" x14ac:dyDescent="0.2"/>
    <row r="59322" hidden="1" x14ac:dyDescent="0.2"/>
    <row r="59323" hidden="1" x14ac:dyDescent="0.2"/>
    <row r="59324" hidden="1" x14ac:dyDescent="0.2"/>
    <row r="59325" hidden="1" x14ac:dyDescent="0.2"/>
    <row r="59326" hidden="1" x14ac:dyDescent="0.2"/>
    <row r="59327" hidden="1" x14ac:dyDescent="0.2"/>
    <row r="59328" hidden="1" x14ac:dyDescent="0.2"/>
    <row r="59329" hidden="1" x14ac:dyDescent="0.2"/>
    <row r="59330" hidden="1" x14ac:dyDescent="0.2"/>
    <row r="59331" hidden="1" x14ac:dyDescent="0.2"/>
    <row r="59332" hidden="1" x14ac:dyDescent="0.2"/>
    <row r="59333" hidden="1" x14ac:dyDescent="0.2"/>
    <row r="59334" hidden="1" x14ac:dyDescent="0.2"/>
    <row r="59335" hidden="1" x14ac:dyDescent="0.2"/>
    <row r="59336" hidden="1" x14ac:dyDescent="0.2"/>
    <row r="59337" hidden="1" x14ac:dyDescent="0.2"/>
    <row r="59338" hidden="1" x14ac:dyDescent="0.2"/>
    <row r="59339" hidden="1" x14ac:dyDescent="0.2"/>
    <row r="59340" hidden="1" x14ac:dyDescent="0.2"/>
    <row r="59341" hidden="1" x14ac:dyDescent="0.2"/>
    <row r="59342" hidden="1" x14ac:dyDescent="0.2"/>
    <row r="59343" hidden="1" x14ac:dyDescent="0.2"/>
    <row r="59344" hidden="1" x14ac:dyDescent="0.2"/>
    <row r="59345" hidden="1" x14ac:dyDescent="0.2"/>
    <row r="59346" hidden="1" x14ac:dyDescent="0.2"/>
    <row r="59347" hidden="1" x14ac:dyDescent="0.2"/>
    <row r="59348" hidden="1" x14ac:dyDescent="0.2"/>
    <row r="59349" hidden="1" x14ac:dyDescent="0.2"/>
    <row r="59350" hidden="1" x14ac:dyDescent="0.2"/>
    <row r="59351" hidden="1" x14ac:dyDescent="0.2"/>
    <row r="59352" hidden="1" x14ac:dyDescent="0.2"/>
    <row r="59353" hidden="1" x14ac:dyDescent="0.2"/>
    <row r="59354" hidden="1" x14ac:dyDescent="0.2"/>
    <row r="59355" hidden="1" x14ac:dyDescent="0.2"/>
    <row r="59356" hidden="1" x14ac:dyDescent="0.2"/>
    <row r="59357" hidden="1" x14ac:dyDescent="0.2"/>
    <row r="59358" hidden="1" x14ac:dyDescent="0.2"/>
    <row r="59359" hidden="1" x14ac:dyDescent="0.2"/>
    <row r="59360" hidden="1" x14ac:dyDescent="0.2"/>
    <row r="59361" hidden="1" x14ac:dyDescent="0.2"/>
    <row r="59362" hidden="1" x14ac:dyDescent="0.2"/>
    <row r="59363" hidden="1" x14ac:dyDescent="0.2"/>
    <row r="59364" hidden="1" x14ac:dyDescent="0.2"/>
    <row r="59365" hidden="1" x14ac:dyDescent="0.2"/>
    <row r="59366" hidden="1" x14ac:dyDescent="0.2"/>
    <row r="59367" hidden="1" x14ac:dyDescent="0.2"/>
    <row r="59368" hidden="1" x14ac:dyDescent="0.2"/>
    <row r="59369" hidden="1" x14ac:dyDescent="0.2"/>
    <row r="59370" hidden="1" x14ac:dyDescent="0.2"/>
    <row r="59371" hidden="1" x14ac:dyDescent="0.2"/>
    <row r="59372" hidden="1" x14ac:dyDescent="0.2"/>
    <row r="59373" hidden="1" x14ac:dyDescent="0.2"/>
    <row r="59374" hidden="1" x14ac:dyDescent="0.2"/>
    <row r="59375" hidden="1" x14ac:dyDescent="0.2"/>
    <row r="59376" hidden="1" x14ac:dyDescent="0.2"/>
    <row r="59377" hidden="1" x14ac:dyDescent="0.2"/>
    <row r="59378" hidden="1" x14ac:dyDescent="0.2"/>
    <row r="59379" hidden="1" x14ac:dyDescent="0.2"/>
    <row r="59380" hidden="1" x14ac:dyDescent="0.2"/>
    <row r="59381" hidden="1" x14ac:dyDescent="0.2"/>
    <row r="59382" hidden="1" x14ac:dyDescent="0.2"/>
    <row r="59383" hidden="1" x14ac:dyDescent="0.2"/>
    <row r="59384" hidden="1" x14ac:dyDescent="0.2"/>
    <row r="59385" hidden="1" x14ac:dyDescent="0.2"/>
    <row r="59386" hidden="1" x14ac:dyDescent="0.2"/>
    <row r="59387" hidden="1" x14ac:dyDescent="0.2"/>
    <row r="59388" hidden="1" x14ac:dyDescent="0.2"/>
    <row r="59389" hidden="1" x14ac:dyDescent="0.2"/>
    <row r="59390" hidden="1" x14ac:dyDescent="0.2"/>
    <row r="59391" hidden="1" x14ac:dyDescent="0.2"/>
    <row r="59392" hidden="1" x14ac:dyDescent="0.2"/>
    <row r="59393" hidden="1" x14ac:dyDescent="0.2"/>
    <row r="59394" hidden="1" x14ac:dyDescent="0.2"/>
    <row r="59395" hidden="1" x14ac:dyDescent="0.2"/>
    <row r="59396" hidden="1" x14ac:dyDescent="0.2"/>
    <row r="59397" hidden="1" x14ac:dyDescent="0.2"/>
    <row r="59398" hidden="1" x14ac:dyDescent="0.2"/>
    <row r="59399" hidden="1" x14ac:dyDescent="0.2"/>
    <row r="59400" hidden="1" x14ac:dyDescent="0.2"/>
    <row r="59401" hidden="1" x14ac:dyDescent="0.2"/>
    <row r="59402" hidden="1" x14ac:dyDescent="0.2"/>
    <row r="59403" hidden="1" x14ac:dyDescent="0.2"/>
    <row r="59404" hidden="1" x14ac:dyDescent="0.2"/>
    <row r="59405" hidden="1" x14ac:dyDescent="0.2"/>
    <row r="59406" hidden="1" x14ac:dyDescent="0.2"/>
    <row r="59407" hidden="1" x14ac:dyDescent="0.2"/>
    <row r="59408" hidden="1" x14ac:dyDescent="0.2"/>
    <row r="59409" hidden="1" x14ac:dyDescent="0.2"/>
    <row r="59410" hidden="1" x14ac:dyDescent="0.2"/>
    <row r="59411" hidden="1" x14ac:dyDescent="0.2"/>
    <row r="59412" hidden="1" x14ac:dyDescent="0.2"/>
    <row r="59413" hidden="1" x14ac:dyDescent="0.2"/>
    <row r="59414" hidden="1" x14ac:dyDescent="0.2"/>
    <row r="59415" hidden="1" x14ac:dyDescent="0.2"/>
    <row r="59416" hidden="1" x14ac:dyDescent="0.2"/>
    <row r="59417" hidden="1" x14ac:dyDescent="0.2"/>
    <row r="59418" hidden="1" x14ac:dyDescent="0.2"/>
    <row r="59419" hidden="1" x14ac:dyDescent="0.2"/>
    <row r="59420" hidden="1" x14ac:dyDescent="0.2"/>
    <row r="59421" hidden="1" x14ac:dyDescent="0.2"/>
    <row r="59422" hidden="1" x14ac:dyDescent="0.2"/>
    <row r="59423" hidden="1" x14ac:dyDescent="0.2"/>
    <row r="59424" hidden="1" x14ac:dyDescent="0.2"/>
    <row r="59425" hidden="1" x14ac:dyDescent="0.2"/>
    <row r="59426" hidden="1" x14ac:dyDescent="0.2"/>
    <row r="59427" hidden="1" x14ac:dyDescent="0.2"/>
    <row r="59428" hidden="1" x14ac:dyDescent="0.2"/>
    <row r="59429" hidden="1" x14ac:dyDescent="0.2"/>
    <row r="59430" hidden="1" x14ac:dyDescent="0.2"/>
    <row r="59431" hidden="1" x14ac:dyDescent="0.2"/>
    <row r="59432" hidden="1" x14ac:dyDescent="0.2"/>
    <row r="59433" hidden="1" x14ac:dyDescent="0.2"/>
    <row r="59434" hidden="1" x14ac:dyDescent="0.2"/>
    <row r="59435" hidden="1" x14ac:dyDescent="0.2"/>
    <row r="59436" hidden="1" x14ac:dyDescent="0.2"/>
    <row r="59437" hidden="1" x14ac:dyDescent="0.2"/>
    <row r="59438" hidden="1" x14ac:dyDescent="0.2"/>
    <row r="59439" hidden="1" x14ac:dyDescent="0.2"/>
    <row r="59440" hidden="1" x14ac:dyDescent="0.2"/>
    <row r="59441" hidden="1" x14ac:dyDescent="0.2"/>
    <row r="59442" hidden="1" x14ac:dyDescent="0.2"/>
    <row r="59443" hidden="1" x14ac:dyDescent="0.2"/>
    <row r="59444" hidden="1" x14ac:dyDescent="0.2"/>
    <row r="59445" hidden="1" x14ac:dyDescent="0.2"/>
    <row r="59446" hidden="1" x14ac:dyDescent="0.2"/>
    <row r="59447" hidden="1" x14ac:dyDescent="0.2"/>
    <row r="59448" hidden="1" x14ac:dyDescent="0.2"/>
    <row r="59449" hidden="1" x14ac:dyDescent="0.2"/>
    <row r="59450" hidden="1" x14ac:dyDescent="0.2"/>
    <row r="59451" hidden="1" x14ac:dyDescent="0.2"/>
    <row r="59452" hidden="1" x14ac:dyDescent="0.2"/>
    <row r="59453" hidden="1" x14ac:dyDescent="0.2"/>
    <row r="59454" hidden="1" x14ac:dyDescent="0.2"/>
    <row r="59455" hidden="1" x14ac:dyDescent="0.2"/>
    <row r="59456" hidden="1" x14ac:dyDescent="0.2"/>
    <row r="59457" hidden="1" x14ac:dyDescent="0.2"/>
    <row r="59458" hidden="1" x14ac:dyDescent="0.2"/>
    <row r="59459" hidden="1" x14ac:dyDescent="0.2"/>
    <row r="59460" hidden="1" x14ac:dyDescent="0.2"/>
    <row r="59461" hidden="1" x14ac:dyDescent="0.2"/>
    <row r="59462" hidden="1" x14ac:dyDescent="0.2"/>
    <row r="59463" hidden="1" x14ac:dyDescent="0.2"/>
    <row r="59464" hidden="1" x14ac:dyDescent="0.2"/>
    <row r="59465" hidden="1" x14ac:dyDescent="0.2"/>
    <row r="59466" hidden="1" x14ac:dyDescent="0.2"/>
    <row r="59467" hidden="1" x14ac:dyDescent="0.2"/>
    <row r="59468" hidden="1" x14ac:dyDescent="0.2"/>
    <row r="59469" hidden="1" x14ac:dyDescent="0.2"/>
    <row r="59470" hidden="1" x14ac:dyDescent="0.2"/>
    <row r="59471" hidden="1" x14ac:dyDescent="0.2"/>
    <row r="59472" hidden="1" x14ac:dyDescent="0.2"/>
    <row r="59473" hidden="1" x14ac:dyDescent="0.2"/>
    <row r="59474" hidden="1" x14ac:dyDescent="0.2"/>
    <row r="59475" hidden="1" x14ac:dyDescent="0.2"/>
    <row r="59476" hidden="1" x14ac:dyDescent="0.2"/>
    <row r="59477" hidden="1" x14ac:dyDescent="0.2"/>
    <row r="59478" hidden="1" x14ac:dyDescent="0.2"/>
    <row r="59479" hidden="1" x14ac:dyDescent="0.2"/>
    <row r="59480" hidden="1" x14ac:dyDescent="0.2"/>
    <row r="59481" hidden="1" x14ac:dyDescent="0.2"/>
    <row r="59482" hidden="1" x14ac:dyDescent="0.2"/>
    <row r="59483" hidden="1" x14ac:dyDescent="0.2"/>
    <row r="59484" hidden="1" x14ac:dyDescent="0.2"/>
    <row r="59485" hidden="1" x14ac:dyDescent="0.2"/>
    <row r="59486" hidden="1" x14ac:dyDescent="0.2"/>
    <row r="59487" hidden="1" x14ac:dyDescent="0.2"/>
    <row r="59488" hidden="1" x14ac:dyDescent="0.2"/>
    <row r="59489" hidden="1" x14ac:dyDescent="0.2"/>
    <row r="59490" hidden="1" x14ac:dyDescent="0.2"/>
    <row r="59491" hidden="1" x14ac:dyDescent="0.2"/>
    <row r="59492" hidden="1" x14ac:dyDescent="0.2"/>
    <row r="59493" hidden="1" x14ac:dyDescent="0.2"/>
    <row r="59494" hidden="1" x14ac:dyDescent="0.2"/>
    <row r="59495" hidden="1" x14ac:dyDescent="0.2"/>
    <row r="59496" hidden="1" x14ac:dyDescent="0.2"/>
    <row r="59497" hidden="1" x14ac:dyDescent="0.2"/>
    <row r="59498" hidden="1" x14ac:dyDescent="0.2"/>
    <row r="59499" hidden="1" x14ac:dyDescent="0.2"/>
    <row r="59500" hidden="1" x14ac:dyDescent="0.2"/>
    <row r="59501" hidden="1" x14ac:dyDescent="0.2"/>
    <row r="59502" hidden="1" x14ac:dyDescent="0.2"/>
    <row r="59503" hidden="1" x14ac:dyDescent="0.2"/>
    <row r="59504" hidden="1" x14ac:dyDescent="0.2"/>
    <row r="59505" hidden="1" x14ac:dyDescent="0.2"/>
    <row r="59506" hidden="1" x14ac:dyDescent="0.2"/>
    <row r="59507" hidden="1" x14ac:dyDescent="0.2"/>
    <row r="59508" hidden="1" x14ac:dyDescent="0.2"/>
    <row r="59509" hidden="1" x14ac:dyDescent="0.2"/>
    <row r="59510" hidden="1" x14ac:dyDescent="0.2"/>
    <row r="59511" hidden="1" x14ac:dyDescent="0.2"/>
    <row r="59512" hidden="1" x14ac:dyDescent="0.2"/>
    <row r="59513" hidden="1" x14ac:dyDescent="0.2"/>
    <row r="59514" hidden="1" x14ac:dyDescent="0.2"/>
    <row r="59515" hidden="1" x14ac:dyDescent="0.2"/>
    <row r="59516" hidden="1" x14ac:dyDescent="0.2"/>
    <row r="59517" hidden="1" x14ac:dyDescent="0.2"/>
    <row r="59518" hidden="1" x14ac:dyDescent="0.2"/>
    <row r="59519" hidden="1" x14ac:dyDescent="0.2"/>
    <row r="59520" hidden="1" x14ac:dyDescent="0.2"/>
    <row r="59521" hidden="1" x14ac:dyDescent="0.2"/>
    <row r="59522" hidden="1" x14ac:dyDescent="0.2"/>
    <row r="59523" hidden="1" x14ac:dyDescent="0.2"/>
    <row r="59524" hidden="1" x14ac:dyDescent="0.2"/>
    <row r="59525" hidden="1" x14ac:dyDescent="0.2"/>
    <row r="59526" hidden="1" x14ac:dyDescent="0.2"/>
    <row r="59527" hidden="1" x14ac:dyDescent="0.2"/>
    <row r="59528" hidden="1" x14ac:dyDescent="0.2"/>
    <row r="59529" hidden="1" x14ac:dyDescent="0.2"/>
    <row r="59530" hidden="1" x14ac:dyDescent="0.2"/>
    <row r="59531" hidden="1" x14ac:dyDescent="0.2"/>
    <row r="59532" hidden="1" x14ac:dyDescent="0.2"/>
    <row r="59533" hidden="1" x14ac:dyDescent="0.2"/>
    <row r="59534" hidden="1" x14ac:dyDescent="0.2"/>
    <row r="59535" hidden="1" x14ac:dyDescent="0.2"/>
    <row r="59536" hidden="1" x14ac:dyDescent="0.2"/>
    <row r="59537" hidden="1" x14ac:dyDescent="0.2"/>
    <row r="59538" hidden="1" x14ac:dyDescent="0.2"/>
    <row r="59539" hidden="1" x14ac:dyDescent="0.2"/>
    <row r="59540" hidden="1" x14ac:dyDescent="0.2"/>
    <row r="59541" hidden="1" x14ac:dyDescent="0.2"/>
    <row r="59542" hidden="1" x14ac:dyDescent="0.2"/>
    <row r="59543" hidden="1" x14ac:dyDescent="0.2"/>
    <row r="59544" hidden="1" x14ac:dyDescent="0.2"/>
    <row r="59545" hidden="1" x14ac:dyDescent="0.2"/>
    <row r="59546" hidden="1" x14ac:dyDescent="0.2"/>
    <row r="59547" hidden="1" x14ac:dyDescent="0.2"/>
    <row r="59548" hidden="1" x14ac:dyDescent="0.2"/>
    <row r="59549" hidden="1" x14ac:dyDescent="0.2"/>
    <row r="59550" hidden="1" x14ac:dyDescent="0.2"/>
    <row r="59551" hidden="1" x14ac:dyDescent="0.2"/>
    <row r="59552" hidden="1" x14ac:dyDescent="0.2"/>
    <row r="59553" hidden="1" x14ac:dyDescent="0.2"/>
    <row r="59554" hidden="1" x14ac:dyDescent="0.2"/>
    <row r="59555" hidden="1" x14ac:dyDescent="0.2"/>
    <row r="59556" hidden="1" x14ac:dyDescent="0.2"/>
    <row r="59557" hidden="1" x14ac:dyDescent="0.2"/>
    <row r="59558" hidden="1" x14ac:dyDescent="0.2"/>
    <row r="59559" hidden="1" x14ac:dyDescent="0.2"/>
    <row r="59560" hidden="1" x14ac:dyDescent="0.2"/>
    <row r="59561" hidden="1" x14ac:dyDescent="0.2"/>
    <row r="59562" hidden="1" x14ac:dyDescent="0.2"/>
    <row r="59563" hidden="1" x14ac:dyDescent="0.2"/>
    <row r="59564" hidden="1" x14ac:dyDescent="0.2"/>
    <row r="59565" hidden="1" x14ac:dyDescent="0.2"/>
    <row r="59566" hidden="1" x14ac:dyDescent="0.2"/>
    <row r="59567" hidden="1" x14ac:dyDescent="0.2"/>
    <row r="59568" hidden="1" x14ac:dyDescent="0.2"/>
    <row r="59569" hidden="1" x14ac:dyDescent="0.2"/>
    <row r="59570" hidden="1" x14ac:dyDescent="0.2"/>
    <row r="59571" hidden="1" x14ac:dyDescent="0.2"/>
    <row r="59572" hidden="1" x14ac:dyDescent="0.2"/>
    <row r="59573" hidden="1" x14ac:dyDescent="0.2"/>
    <row r="59574" hidden="1" x14ac:dyDescent="0.2"/>
    <row r="59575" hidden="1" x14ac:dyDescent="0.2"/>
    <row r="59576" hidden="1" x14ac:dyDescent="0.2"/>
    <row r="59577" hidden="1" x14ac:dyDescent="0.2"/>
    <row r="59578" hidden="1" x14ac:dyDescent="0.2"/>
    <row r="59579" hidden="1" x14ac:dyDescent="0.2"/>
    <row r="59580" hidden="1" x14ac:dyDescent="0.2"/>
    <row r="59581" hidden="1" x14ac:dyDescent="0.2"/>
    <row r="59582" hidden="1" x14ac:dyDescent="0.2"/>
    <row r="59583" hidden="1" x14ac:dyDescent="0.2"/>
    <row r="59584" hidden="1" x14ac:dyDescent="0.2"/>
    <row r="59585" hidden="1" x14ac:dyDescent="0.2"/>
    <row r="59586" hidden="1" x14ac:dyDescent="0.2"/>
    <row r="59587" hidden="1" x14ac:dyDescent="0.2"/>
    <row r="59588" hidden="1" x14ac:dyDescent="0.2"/>
    <row r="59589" hidden="1" x14ac:dyDescent="0.2"/>
    <row r="59590" hidden="1" x14ac:dyDescent="0.2"/>
    <row r="59591" hidden="1" x14ac:dyDescent="0.2"/>
    <row r="59592" hidden="1" x14ac:dyDescent="0.2"/>
    <row r="59593" hidden="1" x14ac:dyDescent="0.2"/>
    <row r="59594" hidden="1" x14ac:dyDescent="0.2"/>
    <row r="59595" hidden="1" x14ac:dyDescent="0.2"/>
    <row r="59596" hidden="1" x14ac:dyDescent="0.2"/>
    <row r="59597" hidden="1" x14ac:dyDescent="0.2"/>
    <row r="59598" hidden="1" x14ac:dyDescent="0.2"/>
    <row r="59599" hidden="1" x14ac:dyDescent="0.2"/>
    <row r="59600" hidden="1" x14ac:dyDescent="0.2"/>
    <row r="59601" hidden="1" x14ac:dyDescent="0.2"/>
    <row r="59602" hidden="1" x14ac:dyDescent="0.2"/>
    <row r="59603" hidden="1" x14ac:dyDescent="0.2"/>
    <row r="59604" hidden="1" x14ac:dyDescent="0.2"/>
    <row r="59605" hidden="1" x14ac:dyDescent="0.2"/>
    <row r="59606" hidden="1" x14ac:dyDescent="0.2"/>
    <row r="59607" hidden="1" x14ac:dyDescent="0.2"/>
    <row r="59608" hidden="1" x14ac:dyDescent="0.2"/>
    <row r="59609" hidden="1" x14ac:dyDescent="0.2"/>
    <row r="59610" hidden="1" x14ac:dyDescent="0.2"/>
    <row r="59611" hidden="1" x14ac:dyDescent="0.2"/>
    <row r="59612" hidden="1" x14ac:dyDescent="0.2"/>
    <row r="59613" hidden="1" x14ac:dyDescent="0.2"/>
    <row r="59614" hidden="1" x14ac:dyDescent="0.2"/>
    <row r="59615" hidden="1" x14ac:dyDescent="0.2"/>
    <row r="59616" hidden="1" x14ac:dyDescent="0.2"/>
    <row r="59617" hidden="1" x14ac:dyDescent="0.2"/>
    <row r="59618" hidden="1" x14ac:dyDescent="0.2"/>
    <row r="59619" hidden="1" x14ac:dyDescent="0.2"/>
    <row r="59620" hidden="1" x14ac:dyDescent="0.2"/>
    <row r="59621" hidden="1" x14ac:dyDescent="0.2"/>
    <row r="59622" hidden="1" x14ac:dyDescent="0.2"/>
    <row r="59623" hidden="1" x14ac:dyDescent="0.2"/>
    <row r="59624" hidden="1" x14ac:dyDescent="0.2"/>
    <row r="59625" hidden="1" x14ac:dyDescent="0.2"/>
    <row r="59626" hidden="1" x14ac:dyDescent="0.2"/>
    <row r="59627" hidden="1" x14ac:dyDescent="0.2"/>
    <row r="59628" hidden="1" x14ac:dyDescent="0.2"/>
    <row r="59629" hidden="1" x14ac:dyDescent="0.2"/>
    <row r="59630" hidden="1" x14ac:dyDescent="0.2"/>
    <row r="59631" hidden="1" x14ac:dyDescent="0.2"/>
    <row r="59632" hidden="1" x14ac:dyDescent="0.2"/>
    <row r="59633" hidden="1" x14ac:dyDescent="0.2"/>
    <row r="59634" hidden="1" x14ac:dyDescent="0.2"/>
    <row r="59635" hidden="1" x14ac:dyDescent="0.2"/>
    <row r="59636" hidden="1" x14ac:dyDescent="0.2"/>
    <row r="59637" hidden="1" x14ac:dyDescent="0.2"/>
    <row r="59638" hidden="1" x14ac:dyDescent="0.2"/>
    <row r="59639" hidden="1" x14ac:dyDescent="0.2"/>
    <row r="59640" hidden="1" x14ac:dyDescent="0.2"/>
    <row r="59641" hidden="1" x14ac:dyDescent="0.2"/>
    <row r="59642" hidden="1" x14ac:dyDescent="0.2"/>
    <row r="59643" hidden="1" x14ac:dyDescent="0.2"/>
    <row r="59644" hidden="1" x14ac:dyDescent="0.2"/>
    <row r="59645" hidden="1" x14ac:dyDescent="0.2"/>
    <row r="59646" hidden="1" x14ac:dyDescent="0.2"/>
    <row r="59647" hidden="1" x14ac:dyDescent="0.2"/>
    <row r="59648" hidden="1" x14ac:dyDescent="0.2"/>
    <row r="59649" hidden="1" x14ac:dyDescent="0.2"/>
    <row r="59650" hidden="1" x14ac:dyDescent="0.2"/>
    <row r="59651" hidden="1" x14ac:dyDescent="0.2"/>
    <row r="59652" hidden="1" x14ac:dyDescent="0.2"/>
    <row r="59653" hidden="1" x14ac:dyDescent="0.2"/>
    <row r="59654" hidden="1" x14ac:dyDescent="0.2"/>
    <row r="59655" hidden="1" x14ac:dyDescent="0.2"/>
    <row r="59656" hidden="1" x14ac:dyDescent="0.2"/>
    <row r="59657" hidden="1" x14ac:dyDescent="0.2"/>
    <row r="59658" hidden="1" x14ac:dyDescent="0.2"/>
    <row r="59659" hidden="1" x14ac:dyDescent="0.2"/>
    <row r="59660" hidden="1" x14ac:dyDescent="0.2"/>
    <row r="59661" hidden="1" x14ac:dyDescent="0.2"/>
    <row r="59662" hidden="1" x14ac:dyDescent="0.2"/>
    <row r="59663" hidden="1" x14ac:dyDescent="0.2"/>
    <row r="59664" hidden="1" x14ac:dyDescent="0.2"/>
    <row r="59665" hidden="1" x14ac:dyDescent="0.2"/>
    <row r="59666" hidden="1" x14ac:dyDescent="0.2"/>
    <row r="59667" hidden="1" x14ac:dyDescent="0.2"/>
    <row r="59668" hidden="1" x14ac:dyDescent="0.2"/>
    <row r="59669" hidden="1" x14ac:dyDescent="0.2"/>
    <row r="59670" hidden="1" x14ac:dyDescent="0.2"/>
    <row r="59671" hidden="1" x14ac:dyDescent="0.2"/>
    <row r="59672" hidden="1" x14ac:dyDescent="0.2"/>
    <row r="59673" hidden="1" x14ac:dyDescent="0.2"/>
    <row r="59674" hidden="1" x14ac:dyDescent="0.2"/>
    <row r="59675" hidden="1" x14ac:dyDescent="0.2"/>
    <row r="59676" hidden="1" x14ac:dyDescent="0.2"/>
    <row r="59677" hidden="1" x14ac:dyDescent="0.2"/>
    <row r="59678" hidden="1" x14ac:dyDescent="0.2"/>
    <row r="59679" hidden="1" x14ac:dyDescent="0.2"/>
    <row r="59680" hidden="1" x14ac:dyDescent="0.2"/>
    <row r="59681" hidden="1" x14ac:dyDescent="0.2"/>
    <row r="59682" hidden="1" x14ac:dyDescent="0.2"/>
    <row r="59683" hidden="1" x14ac:dyDescent="0.2"/>
    <row r="59684" hidden="1" x14ac:dyDescent="0.2"/>
    <row r="59685" hidden="1" x14ac:dyDescent="0.2"/>
    <row r="59686" hidden="1" x14ac:dyDescent="0.2"/>
    <row r="59687" hidden="1" x14ac:dyDescent="0.2"/>
    <row r="59688" hidden="1" x14ac:dyDescent="0.2"/>
    <row r="59689" hidden="1" x14ac:dyDescent="0.2"/>
    <row r="59690" hidden="1" x14ac:dyDescent="0.2"/>
    <row r="59691" hidden="1" x14ac:dyDescent="0.2"/>
    <row r="59692" hidden="1" x14ac:dyDescent="0.2"/>
    <row r="59693" hidden="1" x14ac:dyDescent="0.2"/>
    <row r="59694" hidden="1" x14ac:dyDescent="0.2"/>
    <row r="59695" hidden="1" x14ac:dyDescent="0.2"/>
    <row r="59696" hidden="1" x14ac:dyDescent="0.2"/>
    <row r="59697" hidden="1" x14ac:dyDescent="0.2"/>
    <row r="59698" hidden="1" x14ac:dyDescent="0.2"/>
    <row r="59699" hidden="1" x14ac:dyDescent="0.2"/>
    <row r="59700" hidden="1" x14ac:dyDescent="0.2"/>
    <row r="59701" hidden="1" x14ac:dyDescent="0.2"/>
    <row r="59702" hidden="1" x14ac:dyDescent="0.2"/>
    <row r="59703" hidden="1" x14ac:dyDescent="0.2"/>
    <row r="59704" hidden="1" x14ac:dyDescent="0.2"/>
    <row r="59705" hidden="1" x14ac:dyDescent="0.2"/>
    <row r="59706" hidden="1" x14ac:dyDescent="0.2"/>
    <row r="59707" hidden="1" x14ac:dyDescent="0.2"/>
    <row r="59708" hidden="1" x14ac:dyDescent="0.2"/>
    <row r="59709" hidden="1" x14ac:dyDescent="0.2"/>
    <row r="59710" hidden="1" x14ac:dyDescent="0.2"/>
    <row r="59711" hidden="1" x14ac:dyDescent="0.2"/>
    <row r="59712" hidden="1" x14ac:dyDescent="0.2"/>
    <row r="59713" hidden="1" x14ac:dyDescent="0.2"/>
    <row r="59714" hidden="1" x14ac:dyDescent="0.2"/>
    <row r="59715" hidden="1" x14ac:dyDescent="0.2"/>
    <row r="59716" hidden="1" x14ac:dyDescent="0.2"/>
    <row r="59717" hidden="1" x14ac:dyDescent="0.2"/>
    <row r="59718" hidden="1" x14ac:dyDescent="0.2"/>
    <row r="59719" hidden="1" x14ac:dyDescent="0.2"/>
    <row r="59720" hidden="1" x14ac:dyDescent="0.2"/>
    <row r="59721" hidden="1" x14ac:dyDescent="0.2"/>
    <row r="59722" hidden="1" x14ac:dyDescent="0.2"/>
    <row r="59723" hidden="1" x14ac:dyDescent="0.2"/>
    <row r="59724" hidden="1" x14ac:dyDescent="0.2"/>
    <row r="59725" hidden="1" x14ac:dyDescent="0.2"/>
    <row r="59726" hidden="1" x14ac:dyDescent="0.2"/>
    <row r="59727" hidden="1" x14ac:dyDescent="0.2"/>
    <row r="59728" hidden="1" x14ac:dyDescent="0.2"/>
    <row r="59729" hidden="1" x14ac:dyDescent="0.2"/>
    <row r="59730" hidden="1" x14ac:dyDescent="0.2"/>
    <row r="59731" hidden="1" x14ac:dyDescent="0.2"/>
    <row r="59732" hidden="1" x14ac:dyDescent="0.2"/>
    <row r="59733" hidden="1" x14ac:dyDescent="0.2"/>
    <row r="59734" hidden="1" x14ac:dyDescent="0.2"/>
    <row r="59735" hidden="1" x14ac:dyDescent="0.2"/>
    <row r="59736" hidden="1" x14ac:dyDescent="0.2"/>
    <row r="59737" hidden="1" x14ac:dyDescent="0.2"/>
    <row r="59738" hidden="1" x14ac:dyDescent="0.2"/>
    <row r="59739" hidden="1" x14ac:dyDescent="0.2"/>
    <row r="59740" hidden="1" x14ac:dyDescent="0.2"/>
    <row r="59741" hidden="1" x14ac:dyDescent="0.2"/>
    <row r="59742" hidden="1" x14ac:dyDescent="0.2"/>
    <row r="59743" hidden="1" x14ac:dyDescent="0.2"/>
    <row r="59744" hidden="1" x14ac:dyDescent="0.2"/>
    <row r="59745" hidden="1" x14ac:dyDescent="0.2"/>
    <row r="59746" hidden="1" x14ac:dyDescent="0.2"/>
    <row r="59747" hidden="1" x14ac:dyDescent="0.2"/>
    <row r="59748" hidden="1" x14ac:dyDescent="0.2"/>
    <row r="59749" hidden="1" x14ac:dyDescent="0.2"/>
    <row r="59750" hidden="1" x14ac:dyDescent="0.2"/>
    <row r="59751" hidden="1" x14ac:dyDescent="0.2"/>
    <row r="59752" hidden="1" x14ac:dyDescent="0.2"/>
    <row r="59753" hidden="1" x14ac:dyDescent="0.2"/>
    <row r="59754" hidden="1" x14ac:dyDescent="0.2"/>
    <row r="59755" hidden="1" x14ac:dyDescent="0.2"/>
    <row r="59756" hidden="1" x14ac:dyDescent="0.2"/>
    <row r="59757" hidden="1" x14ac:dyDescent="0.2"/>
    <row r="59758" hidden="1" x14ac:dyDescent="0.2"/>
    <row r="59759" hidden="1" x14ac:dyDescent="0.2"/>
    <row r="59760" hidden="1" x14ac:dyDescent="0.2"/>
    <row r="59761" hidden="1" x14ac:dyDescent="0.2"/>
    <row r="59762" hidden="1" x14ac:dyDescent="0.2"/>
    <row r="59763" hidden="1" x14ac:dyDescent="0.2"/>
    <row r="59764" hidden="1" x14ac:dyDescent="0.2"/>
    <row r="59765" hidden="1" x14ac:dyDescent="0.2"/>
    <row r="59766" hidden="1" x14ac:dyDescent="0.2"/>
    <row r="59767" hidden="1" x14ac:dyDescent="0.2"/>
    <row r="59768" hidden="1" x14ac:dyDescent="0.2"/>
    <row r="59769" hidden="1" x14ac:dyDescent="0.2"/>
    <row r="59770" hidden="1" x14ac:dyDescent="0.2"/>
    <row r="59771" hidden="1" x14ac:dyDescent="0.2"/>
    <row r="59772" hidden="1" x14ac:dyDescent="0.2"/>
    <row r="59773" hidden="1" x14ac:dyDescent="0.2"/>
    <row r="59774" hidden="1" x14ac:dyDescent="0.2"/>
    <row r="59775" hidden="1" x14ac:dyDescent="0.2"/>
    <row r="59776" hidden="1" x14ac:dyDescent="0.2"/>
    <row r="59777" hidden="1" x14ac:dyDescent="0.2"/>
    <row r="59778" hidden="1" x14ac:dyDescent="0.2"/>
    <row r="59779" hidden="1" x14ac:dyDescent="0.2"/>
    <row r="59780" hidden="1" x14ac:dyDescent="0.2"/>
    <row r="59781" hidden="1" x14ac:dyDescent="0.2"/>
    <row r="59782" hidden="1" x14ac:dyDescent="0.2"/>
    <row r="59783" hidden="1" x14ac:dyDescent="0.2"/>
    <row r="59784" hidden="1" x14ac:dyDescent="0.2"/>
    <row r="59785" hidden="1" x14ac:dyDescent="0.2"/>
    <row r="59786" hidden="1" x14ac:dyDescent="0.2"/>
    <row r="59787" hidden="1" x14ac:dyDescent="0.2"/>
    <row r="59788" hidden="1" x14ac:dyDescent="0.2"/>
    <row r="59789" hidden="1" x14ac:dyDescent="0.2"/>
    <row r="59790" hidden="1" x14ac:dyDescent="0.2"/>
    <row r="59791" hidden="1" x14ac:dyDescent="0.2"/>
    <row r="59792" hidden="1" x14ac:dyDescent="0.2"/>
    <row r="59793" hidden="1" x14ac:dyDescent="0.2"/>
    <row r="59794" hidden="1" x14ac:dyDescent="0.2"/>
    <row r="59795" hidden="1" x14ac:dyDescent="0.2"/>
    <row r="59796" hidden="1" x14ac:dyDescent="0.2"/>
    <row r="59797" hidden="1" x14ac:dyDescent="0.2"/>
    <row r="59798" hidden="1" x14ac:dyDescent="0.2"/>
    <row r="59799" hidden="1" x14ac:dyDescent="0.2"/>
    <row r="59800" hidden="1" x14ac:dyDescent="0.2"/>
    <row r="59801" hidden="1" x14ac:dyDescent="0.2"/>
    <row r="59802" hidden="1" x14ac:dyDescent="0.2"/>
    <row r="59803" hidden="1" x14ac:dyDescent="0.2"/>
    <row r="59804" hidden="1" x14ac:dyDescent="0.2"/>
    <row r="59805" hidden="1" x14ac:dyDescent="0.2"/>
    <row r="59806" hidden="1" x14ac:dyDescent="0.2"/>
    <row r="59807" hidden="1" x14ac:dyDescent="0.2"/>
    <row r="59808" hidden="1" x14ac:dyDescent="0.2"/>
    <row r="59809" hidden="1" x14ac:dyDescent="0.2"/>
    <row r="59810" hidden="1" x14ac:dyDescent="0.2"/>
    <row r="59811" hidden="1" x14ac:dyDescent="0.2"/>
    <row r="59812" hidden="1" x14ac:dyDescent="0.2"/>
    <row r="59813" hidden="1" x14ac:dyDescent="0.2"/>
    <row r="59814" hidden="1" x14ac:dyDescent="0.2"/>
    <row r="59815" hidden="1" x14ac:dyDescent="0.2"/>
    <row r="59816" hidden="1" x14ac:dyDescent="0.2"/>
    <row r="59817" hidden="1" x14ac:dyDescent="0.2"/>
    <row r="59818" hidden="1" x14ac:dyDescent="0.2"/>
    <row r="59819" hidden="1" x14ac:dyDescent="0.2"/>
    <row r="59820" hidden="1" x14ac:dyDescent="0.2"/>
    <row r="59821" hidden="1" x14ac:dyDescent="0.2"/>
    <row r="59822" hidden="1" x14ac:dyDescent="0.2"/>
    <row r="59823" hidden="1" x14ac:dyDescent="0.2"/>
    <row r="59824" hidden="1" x14ac:dyDescent="0.2"/>
    <row r="59825" hidden="1" x14ac:dyDescent="0.2"/>
    <row r="59826" hidden="1" x14ac:dyDescent="0.2"/>
    <row r="59827" hidden="1" x14ac:dyDescent="0.2"/>
    <row r="59828" hidden="1" x14ac:dyDescent="0.2"/>
    <row r="59829" hidden="1" x14ac:dyDescent="0.2"/>
    <row r="59830" hidden="1" x14ac:dyDescent="0.2"/>
    <row r="59831" hidden="1" x14ac:dyDescent="0.2"/>
    <row r="59832" hidden="1" x14ac:dyDescent="0.2"/>
    <row r="59833" hidden="1" x14ac:dyDescent="0.2"/>
    <row r="59834" hidden="1" x14ac:dyDescent="0.2"/>
    <row r="59835" hidden="1" x14ac:dyDescent="0.2"/>
    <row r="59836" hidden="1" x14ac:dyDescent="0.2"/>
    <row r="59837" hidden="1" x14ac:dyDescent="0.2"/>
    <row r="59838" hidden="1" x14ac:dyDescent="0.2"/>
    <row r="59839" hidden="1" x14ac:dyDescent="0.2"/>
    <row r="59840" hidden="1" x14ac:dyDescent="0.2"/>
    <row r="59841" hidden="1" x14ac:dyDescent="0.2"/>
    <row r="59842" hidden="1" x14ac:dyDescent="0.2"/>
    <row r="59843" hidden="1" x14ac:dyDescent="0.2"/>
    <row r="59844" hidden="1" x14ac:dyDescent="0.2"/>
    <row r="59845" hidden="1" x14ac:dyDescent="0.2"/>
    <row r="59846" hidden="1" x14ac:dyDescent="0.2"/>
    <row r="59847" hidden="1" x14ac:dyDescent="0.2"/>
    <row r="59848" hidden="1" x14ac:dyDescent="0.2"/>
    <row r="59849" hidden="1" x14ac:dyDescent="0.2"/>
    <row r="59850" hidden="1" x14ac:dyDescent="0.2"/>
    <row r="59851" hidden="1" x14ac:dyDescent="0.2"/>
    <row r="59852" hidden="1" x14ac:dyDescent="0.2"/>
    <row r="59853" hidden="1" x14ac:dyDescent="0.2"/>
    <row r="59854" hidden="1" x14ac:dyDescent="0.2"/>
    <row r="59855" hidden="1" x14ac:dyDescent="0.2"/>
    <row r="59856" hidden="1" x14ac:dyDescent="0.2"/>
    <row r="59857" hidden="1" x14ac:dyDescent="0.2"/>
    <row r="59858" hidden="1" x14ac:dyDescent="0.2"/>
    <row r="59859" hidden="1" x14ac:dyDescent="0.2"/>
    <row r="59860" hidden="1" x14ac:dyDescent="0.2"/>
    <row r="59861" hidden="1" x14ac:dyDescent="0.2"/>
    <row r="59862" hidden="1" x14ac:dyDescent="0.2"/>
    <row r="59863" hidden="1" x14ac:dyDescent="0.2"/>
    <row r="59864" hidden="1" x14ac:dyDescent="0.2"/>
    <row r="59865" hidden="1" x14ac:dyDescent="0.2"/>
    <row r="59866" hidden="1" x14ac:dyDescent="0.2"/>
    <row r="59867" hidden="1" x14ac:dyDescent="0.2"/>
    <row r="59868" hidden="1" x14ac:dyDescent="0.2"/>
    <row r="59869" hidden="1" x14ac:dyDescent="0.2"/>
    <row r="59870" hidden="1" x14ac:dyDescent="0.2"/>
    <row r="59871" hidden="1" x14ac:dyDescent="0.2"/>
    <row r="59872" hidden="1" x14ac:dyDescent="0.2"/>
    <row r="59873" hidden="1" x14ac:dyDescent="0.2"/>
    <row r="59874" hidden="1" x14ac:dyDescent="0.2"/>
    <row r="59875" hidden="1" x14ac:dyDescent="0.2"/>
    <row r="59876" hidden="1" x14ac:dyDescent="0.2"/>
    <row r="59877" hidden="1" x14ac:dyDescent="0.2"/>
    <row r="59878" hidden="1" x14ac:dyDescent="0.2"/>
    <row r="59879" hidden="1" x14ac:dyDescent="0.2"/>
    <row r="59880" hidden="1" x14ac:dyDescent="0.2"/>
    <row r="59881" hidden="1" x14ac:dyDescent="0.2"/>
    <row r="59882" hidden="1" x14ac:dyDescent="0.2"/>
    <row r="59883" hidden="1" x14ac:dyDescent="0.2"/>
    <row r="59884" hidden="1" x14ac:dyDescent="0.2"/>
    <row r="59885" hidden="1" x14ac:dyDescent="0.2"/>
    <row r="59886" hidden="1" x14ac:dyDescent="0.2"/>
    <row r="59887" hidden="1" x14ac:dyDescent="0.2"/>
    <row r="59888" hidden="1" x14ac:dyDescent="0.2"/>
    <row r="59889" hidden="1" x14ac:dyDescent="0.2"/>
    <row r="59890" hidden="1" x14ac:dyDescent="0.2"/>
    <row r="59891" hidden="1" x14ac:dyDescent="0.2"/>
    <row r="59892" hidden="1" x14ac:dyDescent="0.2"/>
    <row r="59893" hidden="1" x14ac:dyDescent="0.2"/>
    <row r="59894" hidden="1" x14ac:dyDescent="0.2"/>
    <row r="59895" hidden="1" x14ac:dyDescent="0.2"/>
    <row r="59896" hidden="1" x14ac:dyDescent="0.2"/>
    <row r="59897" hidden="1" x14ac:dyDescent="0.2"/>
    <row r="59898" hidden="1" x14ac:dyDescent="0.2"/>
    <row r="59899" hidden="1" x14ac:dyDescent="0.2"/>
    <row r="59900" hidden="1" x14ac:dyDescent="0.2"/>
    <row r="59901" hidden="1" x14ac:dyDescent="0.2"/>
    <row r="59902" hidden="1" x14ac:dyDescent="0.2"/>
    <row r="59903" hidden="1" x14ac:dyDescent="0.2"/>
    <row r="59904" hidden="1" x14ac:dyDescent="0.2"/>
    <row r="59905" hidden="1" x14ac:dyDescent="0.2"/>
    <row r="59906" hidden="1" x14ac:dyDescent="0.2"/>
    <row r="59907" hidden="1" x14ac:dyDescent="0.2"/>
    <row r="59908" hidden="1" x14ac:dyDescent="0.2"/>
    <row r="59909" hidden="1" x14ac:dyDescent="0.2"/>
    <row r="59910" hidden="1" x14ac:dyDescent="0.2"/>
    <row r="59911" hidden="1" x14ac:dyDescent="0.2"/>
    <row r="59912" hidden="1" x14ac:dyDescent="0.2"/>
    <row r="59913" hidden="1" x14ac:dyDescent="0.2"/>
    <row r="59914" hidden="1" x14ac:dyDescent="0.2"/>
    <row r="59915" hidden="1" x14ac:dyDescent="0.2"/>
    <row r="59916" hidden="1" x14ac:dyDescent="0.2"/>
    <row r="59917" hidden="1" x14ac:dyDescent="0.2"/>
    <row r="59918" hidden="1" x14ac:dyDescent="0.2"/>
    <row r="59919" hidden="1" x14ac:dyDescent="0.2"/>
    <row r="59920" hidden="1" x14ac:dyDescent="0.2"/>
    <row r="59921" hidden="1" x14ac:dyDescent="0.2"/>
    <row r="59922" hidden="1" x14ac:dyDescent="0.2"/>
    <row r="59923" hidden="1" x14ac:dyDescent="0.2"/>
    <row r="59924" hidden="1" x14ac:dyDescent="0.2"/>
    <row r="59925" hidden="1" x14ac:dyDescent="0.2"/>
    <row r="59926" hidden="1" x14ac:dyDescent="0.2"/>
    <row r="59927" hidden="1" x14ac:dyDescent="0.2"/>
    <row r="59928" hidden="1" x14ac:dyDescent="0.2"/>
    <row r="59929" hidden="1" x14ac:dyDescent="0.2"/>
    <row r="59930" hidden="1" x14ac:dyDescent="0.2"/>
    <row r="59931" hidden="1" x14ac:dyDescent="0.2"/>
    <row r="59932" hidden="1" x14ac:dyDescent="0.2"/>
    <row r="59933" hidden="1" x14ac:dyDescent="0.2"/>
    <row r="59934" hidden="1" x14ac:dyDescent="0.2"/>
    <row r="59935" hidden="1" x14ac:dyDescent="0.2"/>
    <row r="59936" hidden="1" x14ac:dyDescent="0.2"/>
    <row r="59937" hidden="1" x14ac:dyDescent="0.2"/>
    <row r="59938" hidden="1" x14ac:dyDescent="0.2"/>
    <row r="59939" hidden="1" x14ac:dyDescent="0.2"/>
    <row r="59940" hidden="1" x14ac:dyDescent="0.2"/>
    <row r="59941" hidden="1" x14ac:dyDescent="0.2"/>
    <row r="59942" hidden="1" x14ac:dyDescent="0.2"/>
    <row r="59943" hidden="1" x14ac:dyDescent="0.2"/>
    <row r="59944" hidden="1" x14ac:dyDescent="0.2"/>
    <row r="59945" hidden="1" x14ac:dyDescent="0.2"/>
    <row r="59946" hidden="1" x14ac:dyDescent="0.2"/>
    <row r="59947" hidden="1" x14ac:dyDescent="0.2"/>
    <row r="59948" hidden="1" x14ac:dyDescent="0.2"/>
    <row r="59949" hidden="1" x14ac:dyDescent="0.2"/>
    <row r="59950" hidden="1" x14ac:dyDescent="0.2"/>
    <row r="59951" hidden="1" x14ac:dyDescent="0.2"/>
    <row r="59952" hidden="1" x14ac:dyDescent="0.2"/>
    <row r="59953" hidden="1" x14ac:dyDescent="0.2"/>
    <row r="59954" hidden="1" x14ac:dyDescent="0.2"/>
    <row r="59955" hidden="1" x14ac:dyDescent="0.2"/>
    <row r="59956" hidden="1" x14ac:dyDescent="0.2"/>
    <row r="59957" hidden="1" x14ac:dyDescent="0.2"/>
    <row r="59958" hidden="1" x14ac:dyDescent="0.2"/>
    <row r="59959" hidden="1" x14ac:dyDescent="0.2"/>
    <row r="59960" hidden="1" x14ac:dyDescent="0.2"/>
    <row r="59961" hidden="1" x14ac:dyDescent="0.2"/>
    <row r="59962" hidden="1" x14ac:dyDescent="0.2"/>
    <row r="59963" hidden="1" x14ac:dyDescent="0.2"/>
    <row r="59964" hidden="1" x14ac:dyDescent="0.2"/>
    <row r="59965" hidden="1" x14ac:dyDescent="0.2"/>
    <row r="59966" hidden="1" x14ac:dyDescent="0.2"/>
    <row r="59967" hidden="1" x14ac:dyDescent="0.2"/>
    <row r="59968" hidden="1" x14ac:dyDescent="0.2"/>
    <row r="59969" hidden="1" x14ac:dyDescent="0.2"/>
    <row r="59970" hidden="1" x14ac:dyDescent="0.2"/>
    <row r="59971" hidden="1" x14ac:dyDescent="0.2"/>
    <row r="59972" hidden="1" x14ac:dyDescent="0.2"/>
    <row r="59973" hidden="1" x14ac:dyDescent="0.2"/>
    <row r="59974" hidden="1" x14ac:dyDescent="0.2"/>
    <row r="59975" hidden="1" x14ac:dyDescent="0.2"/>
    <row r="59976" hidden="1" x14ac:dyDescent="0.2"/>
    <row r="59977" hidden="1" x14ac:dyDescent="0.2"/>
    <row r="59978" hidden="1" x14ac:dyDescent="0.2"/>
    <row r="59979" hidden="1" x14ac:dyDescent="0.2"/>
    <row r="59980" hidden="1" x14ac:dyDescent="0.2"/>
    <row r="59981" hidden="1" x14ac:dyDescent="0.2"/>
    <row r="59982" hidden="1" x14ac:dyDescent="0.2"/>
    <row r="59983" hidden="1" x14ac:dyDescent="0.2"/>
    <row r="59984" hidden="1" x14ac:dyDescent="0.2"/>
    <row r="59985" hidden="1" x14ac:dyDescent="0.2"/>
    <row r="59986" hidden="1" x14ac:dyDescent="0.2"/>
    <row r="59987" hidden="1" x14ac:dyDescent="0.2"/>
    <row r="59988" hidden="1" x14ac:dyDescent="0.2"/>
    <row r="59989" hidden="1" x14ac:dyDescent="0.2"/>
    <row r="59990" hidden="1" x14ac:dyDescent="0.2"/>
    <row r="59991" hidden="1" x14ac:dyDescent="0.2"/>
    <row r="59992" hidden="1" x14ac:dyDescent="0.2"/>
    <row r="59993" hidden="1" x14ac:dyDescent="0.2"/>
    <row r="59994" hidden="1" x14ac:dyDescent="0.2"/>
    <row r="59995" hidden="1" x14ac:dyDescent="0.2"/>
    <row r="59996" hidden="1" x14ac:dyDescent="0.2"/>
    <row r="59997" hidden="1" x14ac:dyDescent="0.2"/>
    <row r="59998" hidden="1" x14ac:dyDescent="0.2"/>
    <row r="59999" hidden="1" x14ac:dyDescent="0.2"/>
    <row r="60000" hidden="1" x14ac:dyDescent="0.2"/>
    <row r="60001" hidden="1" x14ac:dyDescent="0.2"/>
    <row r="60002" hidden="1" x14ac:dyDescent="0.2"/>
    <row r="60003" hidden="1" x14ac:dyDescent="0.2"/>
    <row r="60004" hidden="1" x14ac:dyDescent="0.2"/>
    <row r="60005" hidden="1" x14ac:dyDescent="0.2"/>
    <row r="60006" hidden="1" x14ac:dyDescent="0.2"/>
    <row r="60007" hidden="1" x14ac:dyDescent="0.2"/>
    <row r="60008" hidden="1" x14ac:dyDescent="0.2"/>
    <row r="60009" hidden="1" x14ac:dyDescent="0.2"/>
    <row r="60010" hidden="1" x14ac:dyDescent="0.2"/>
    <row r="60011" hidden="1" x14ac:dyDescent="0.2"/>
    <row r="60012" hidden="1" x14ac:dyDescent="0.2"/>
    <row r="60013" hidden="1" x14ac:dyDescent="0.2"/>
    <row r="60014" hidden="1" x14ac:dyDescent="0.2"/>
    <row r="60015" hidden="1" x14ac:dyDescent="0.2"/>
    <row r="60016" hidden="1" x14ac:dyDescent="0.2"/>
    <row r="60017" hidden="1" x14ac:dyDescent="0.2"/>
    <row r="60018" hidden="1" x14ac:dyDescent="0.2"/>
    <row r="60019" hidden="1" x14ac:dyDescent="0.2"/>
    <row r="60020" hidden="1" x14ac:dyDescent="0.2"/>
    <row r="60021" hidden="1" x14ac:dyDescent="0.2"/>
    <row r="60022" hidden="1" x14ac:dyDescent="0.2"/>
    <row r="60023" hidden="1" x14ac:dyDescent="0.2"/>
    <row r="60024" hidden="1" x14ac:dyDescent="0.2"/>
    <row r="60025" hidden="1" x14ac:dyDescent="0.2"/>
    <row r="60026" hidden="1" x14ac:dyDescent="0.2"/>
    <row r="60027" hidden="1" x14ac:dyDescent="0.2"/>
    <row r="60028" hidden="1" x14ac:dyDescent="0.2"/>
    <row r="60029" hidden="1" x14ac:dyDescent="0.2"/>
    <row r="60030" hidden="1" x14ac:dyDescent="0.2"/>
    <row r="60031" hidden="1" x14ac:dyDescent="0.2"/>
    <row r="60032" hidden="1" x14ac:dyDescent="0.2"/>
    <row r="60033" hidden="1" x14ac:dyDescent="0.2"/>
    <row r="60034" hidden="1" x14ac:dyDescent="0.2"/>
    <row r="60035" hidden="1" x14ac:dyDescent="0.2"/>
    <row r="60036" hidden="1" x14ac:dyDescent="0.2"/>
    <row r="60037" hidden="1" x14ac:dyDescent="0.2"/>
    <row r="60038" hidden="1" x14ac:dyDescent="0.2"/>
    <row r="60039" hidden="1" x14ac:dyDescent="0.2"/>
    <row r="60040" hidden="1" x14ac:dyDescent="0.2"/>
    <row r="60041" hidden="1" x14ac:dyDescent="0.2"/>
    <row r="60042" hidden="1" x14ac:dyDescent="0.2"/>
    <row r="60043" hidden="1" x14ac:dyDescent="0.2"/>
    <row r="60044" hidden="1" x14ac:dyDescent="0.2"/>
    <row r="60045" hidden="1" x14ac:dyDescent="0.2"/>
    <row r="60046" hidden="1" x14ac:dyDescent="0.2"/>
    <row r="60047" hidden="1" x14ac:dyDescent="0.2"/>
    <row r="60048" hidden="1" x14ac:dyDescent="0.2"/>
    <row r="60049" hidden="1" x14ac:dyDescent="0.2"/>
    <row r="60050" hidden="1" x14ac:dyDescent="0.2"/>
    <row r="60051" hidden="1" x14ac:dyDescent="0.2"/>
    <row r="60052" hidden="1" x14ac:dyDescent="0.2"/>
    <row r="60053" hidden="1" x14ac:dyDescent="0.2"/>
    <row r="60054" hidden="1" x14ac:dyDescent="0.2"/>
    <row r="60055" hidden="1" x14ac:dyDescent="0.2"/>
    <row r="60056" hidden="1" x14ac:dyDescent="0.2"/>
    <row r="60057" hidden="1" x14ac:dyDescent="0.2"/>
    <row r="60058" hidden="1" x14ac:dyDescent="0.2"/>
    <row r="60059" hidden="1" x14ac:dyDescent="0.2"/>
    <row r="60060" hidden="1" x14ac:dyDescent="0.2"/>
    <row r="60061" hidden="1" x14ac:dyDescent="0.2"/>
    <row r="60062" hidden="1" x14ac:dyDescent="0.2"/>
    <row r="60063" hidden="1" x14ac:dyDescent="0.2"/>
    <row r="60064" hidden="1" x14ac:dyDescent="0.2"/>
    <row r="60065" hidden="1" x14ac:dyDescent="0.2"/>
    <row r="60066" hidden="1" x14ac:dyDescent="0.2"/>
    <row r="60067" hidden="1" x14ac:dyDescent="0.2"/>
    <row r="60068" hidden="1" x14ac:dyDescent="0.2"/>
    <row r="60069" hidden="1" x14ac:dyDescent="0.2"/>
    <row r="60070" hidden="1" x14ac:dyDescent="0.2"/>
    <row r="60071" hidden="1" x14ac:dyDescent="0.2"/>
    <row r="60072" hidden="1" x14ac:dyDescent="0.2"/>
    <row r="60073" hidden="1" x14ac:dyDescent="0.2"/>
    <row r="60074" hidden="1" x14ac:dyDescent="0.2"/>
    <row r="60075" hidden="1" x14ac:dyDescent="0.2"/>
    <row r="60076" hidden="1" x14ac:dyDescent="0.2"/>
    <row r="60077" hidden="1" x14ac:dyDescent="0.2"/>
    <row r="60078" hidden="1" x14ac:dyDescent="0.2"/>
    <row r="60079" hidden="1" x14ac:dyDescent="0.2"/>
    <row r="60080" hidden="1" x14ac:dyDescent="0.2"/>
    <row r="60081" hidden="1" x14ac:dyDescent="0.2"/>
    <row r="60082" hidden="1" x14ac:dyDescent="0.2"/>
    <row r="60083" hidden="1" x14ac:dyDescent="0.2"/>
    <row r="60084" hidden="1" x14ac:dyDescent="0.2"/>
    <row r="60085" hidden="1" x14ac:dyDescent="0.2"/>
    <row r="60086" hidden="1" x14ac:dyDescent="0.2"/>
    <row r="60087" hidden="1" x14ac:dyDescent="0.2"/>
    <row r="60088" hidden="1" x14ac:dyDescent="0.2"/>
    <row r="60089" hidden="1" x14ac:dyDescent="0.2"/>
    <row r="60090" hidden="1" x14ac:dyDescent="0.2"/>
    <row r="60091" hidden="1" x14ac:dyDescent="0.2"/>
    <row r="60092" hidden="1" x14ac:dyDescent="0.2"/>
    <row r="60093" hidden="1" x14ac:dyDescent="0.2"/>
    <row r="60094" hidden="1" x14ac:dyDescent="0.2"/>
    <row r="60095" hidden="1" x14ac:dyDescent="0.2"/>
    <row r="60096" hidden="1" x14ac:dyDescent="0.2"/>
    <row r="60097" hidden="1" x14ac:dyDescent="0.2"/>
    <row r="60098" hidden="1" x14ac:dyDescent="0.2"/>
    <row r="60099" hidden="1" x14ac:dyDescent="0.2"/>
    <row r="60100" hidden="1" x14ac:dyDescent="0.2"/>
    <row r="60101" hidden="1" x14ac:dyDescent="0.2"/>
    <row r="60102" hidden="1" x14ac:dyDescent="0.2"/>
    <row r="60103" hidden="1" x14ac:dyDescent="0.2"/>
    <row r="60104" hidden="1" x14ac:dyDescent="0.2"/>
    <row r="60105" hidden="1" x14ac:dyDescent="0.2"/>
    <row r="60106" hidden="1" x14ac:dyDescent="0.2"/>
    <row r="60107" hidden="1" x14ac:dyDescent="0.2"/>
    <row r="60108" hidden="1" x14ac:dyDescent="0.2"/>
    <row r="60109" hidden="1" x14ac:dyDescent="0.2"/>
    <row r="60110" hidden="1" x14ac:dyDescent="0.2"/>
    <row r="60111" hidden="1" x14ac:dyDescent="0.2"/>
    <row r="60112" hidden="1" x14ac:dyDescent="0.2"/>
    <row r="60113" hidden="1" x14ac:dyDescent="0.2"/>
    <row r="60114" hidden="1" x14ac:dyDescent="0.2"/>
    <row r="60115" hidden="1" x14ac:dyDescent="0.2"/>
    <row r="60116" hidden="1" x14ac:dyDescent="0.2"/>
    <row r="60117" hidden="1" x14ac:dyDescent="0.2"/>
    <row r="60118" hidden="1" x14ac:dyDescent="0.2"/>
    <row r="60119" hidden="1" x14ac:dyDescent="0.2"/>
    <row r="60120" hidden="1" x14ac:dyDescent="0.2"/>
    <row r="60121" hidden="1" x14ac:dyDescent="0.2"/>
    <row r="60122" hidden="1" x14ac:dyDescent="0.2"/>
    <row r="60123" hidden="1" x14ac:dyDescent="0.2"/>
    <row r="60124" hidden="1" x14ac:dyDescent="0.2"/>
    <row r="60125" hidden="1" x14ac:dyDescent="0.2"/>
    <row r="60126" hidden="1" x14ac:dyDescent="0.2"/>
    <row r="60127" hidden="1" x14ac:dyDescent="0.2"/>
    <row r="60128" hidden="1" x14ac:dyDescent="0.2"/>
    <row r="60129" hidden="1" x14ac:dyDescent="0.2"/>
    <row r="60130" hidden="1" x14ac:dyDescent="0.2"/>
    <row r="60131" hidden="1" x14ac:dyDescent="0.2"/>
    <row r="60132" hidden="1" x14ac:dyDescent="0.2"/>
    <row r="60133" hidden="1" x14ac:dyDescent="0.2"/>
    <row r="60134" hidden="1" x14ac:dyDescent="0.2"/>
    <row r="60135" hidden="1" x14ac:dyDescent="0.2"/>
    <row r="60136" hidden="1" x14ac:dyDescent="0.2"/>
    <row r="60137" hidden="1" x14ac:dyDescent="0.2"/>
    <row r="60138" hidden="1" x14ac:dyDescent="0.2"/>
    <row r="60139" hidden="1" x14ac:dyDescent="0.2"/>
    <row r="60140" hidden="1" x14ac:dyDescent="0.2"/>
    <row r="60141" hidden="1" x14ac:dyDescent="0.2"/>
    <row r="60142" hidden="1" x14ac:dyDescent="0.2"/>
    <row r="60143" hidden="1" x14ac:dyDescent="0.2"/>
    <row r="60144" hidden="1" x14ac:dyDescent="0.2"/>
    <row r="60145" hidden="1" x14ac:dyDescent="0.2"/>
    <row r="60146" hidden="1" x14ac:dyDescent="0.2"/>
    <row r="60147" hidden="1" x14ac:dyDescent="0.2"/>
    <row r="60148" hidden="1" x14ac:dyDescent="0.2"/>
    <row r="60149" hidden="1" x14ac:dyDescent="0.2"/>
    <row r="60150" hidden="1" x14ac:dyDescent="0.2"/>
    <row r="60151" hidden="1" x14ac:dyDescent="0.2"/>
    <row r="60152" hidden="1" x14ac:dyDescent="0.2"/>
    <row r="60153" hidden="1" x14ac:dyDescent="0.2"/>
    <row r="60154" hidden="1" x14ac:dyDescent="0.2"/>
    <row r="60155" hidden="1" x14ac:dyDescent="0.2"/>
    <row r="60156" hidden="1" x14ac:dyDescent="0.2"/>
    <row r="60157" hidden="1" x14ac:dyDescent="0.2"/>
    <row r="60158" hidden="1" x14ac:dyDescent="0.2"/>
    <row r="60159" hidden="1" x14ac:dyDescent="0.2"/>
    <row r="60160" hidden="1" x14ac:dyDescent="0.2"/>
    <row r="60161" hidden="1" x14ac:dyDescent="0.2"/>
    <row r="60162" hidden="1" x14ac:dyDescent="0.2"/>
    <row r="60163" hidden="1" x14ac:dyDescent="0.2"/>
    <row r="60164" hidden="1" x14ac:dyDescent="0.2"/>
    <row r="60165" hidden="1" x14ac:dyDescent="0.2"/>
    <row r="60166" hidden="1" x14ac:dyDescent="0.2"/>
    <row r="60167" hidden="1" x14ac:dyDescent="0.2"/>
    <row r="60168" hidden="1" x14ac:dyDescent="0.2"/>
    <row r="60169" hidden="1" x14ac:dyDescent="0.2"/>
    <row r="60170" hidden="1" x14ac:dyDescent="0.2"/>
    <row r="60171" hidden="1" x14ac:dyDescent="0.2"/>
    <row r="60172" hidden="1" x14ac:dyDescent="0.2"/>
    <row r="60173" hidden="1" x14ac:dyDescent="0.2"/>
    <row r="60174" hidden="1" x14ac:dyDescent="0.2"/>
    <row r="60175" hidden="1" x14ac:dyDescent="0.2"/>
    <row r="60176" hidden="1" x14ac:dyDescent="0.2"/>
    <row r="60177" hidden="1" x14ac:dyDescent="0.2"/>
    <row r="60178" hidden="1" x14ac:dyDescent="0.2"/>
    <row r="60179" hidden="1" x14ac:dyDescent="0.2"/>
    <row r="60180" hidden="1" x14ac:dyDescent="0.2"/>
    <row r="60181" hidden="1" x14ac:dyDescent="0.2"/>
    <row r="60182" hidden="1" x14ac:dyDescent="0.2"/>
    <row r="60183" hidden="1" x14ac:dyDescent="0.2"/>
    <row r="60184" hidden="1" x14ac:dyDescent="0.2"/>
    <row r="60185" hidden="1" x14ac:dyDescent="0.2"/>
    <row r="60186" hidden="1" x14ac:dyDescent="0.2"/>
    <row r="60187" hidden="1" x14ac:dyDescent="0.2"/>
    <row r="60188" hidden="1" x14ac:dyDescent="0.2"/>
    <row r="60189" hidden="1" x14ac:dyDescent="0.2"/>
    <row r="60190" hidden="1" x14ac:dyDescent="0.2"/>
    <row r="60191" hidden="1" x14ac:dyDescent="0.2"/>
    <row r="60192" hidden="1" x14ac:dyDescent="0.2"/>
    <row r="60193" hidden="1" x14ac:dyDescent="0.2"/>
    <row r="60194" hidden="1" x14ac:dyDescent="0.2"/>
    <row r="60195" hidden="1" x14ac:dyDescent="0.2"/>
    <row r="60196" hidden="1" x14ac:dyDescent="0.2"/>
    <row r="60197" hidden="1" x14ac:dyDescent="0.2"/>
    <row r="60198" hidden="1" x14ac:dyDescent="0.2"/>
    <row r="60199" hidden="1" x14ac:dyDescent="0.2"/>
    <row r="60200" hidden="1" x14ac:dyDescent="0.2"/>
    <row r="60201" hidden="1" x14ac:dyDescent="0.2"/>
    <row r="60202" hidden="1" x14ac:dyDescent="0.2"/>
    <row r="60203" hidden="1" x14ac:dyDescent="0.2"/>
    <row r="60204" hidden="1" x14ac:dyDescent="0.2"/>
    <row r="60205" hidden="1" x14ac:dyDescent="0.2"/>
    <row r="60206" hidden="1" x14ac:dyDescent="0.2"/>
    <row r="60207" hidden="1" x14ac:dyDescent="0.2"/>
    <row r="60208" hidden="1" x14ac:dyDescent="0.2"/>
    <row r="60209" hidden="1" x14ac:dyDescent="0.2"/>
    <row r="60210" hidden="1" x14ac:dyDescent="0.2"/>
    <row r="60211" hidden="1" x14ac:dyDescent="0.2"/>
    <row r="60212" hidden="1" x14ac:dyDescent="0.2"/>
    <row r="60213" hidden="1" x14ac:dyDescent="0.2"/>
    <row r="60214" hidden="1" x14ac:dyDescent="0.2"/>
    <row r="60215" hidden="1" x14ac:dyDescent="0.2"/>
    <row r="60216" hidden="1" x14ac:dyDescent="0.2"/>
    <row r="60217" hidden="1" x14ac:dyDescent="0.2"/>
    <row r="60218" hidden="1" x14ac:dyDescent="0.2"/>
    <row r="60219" hidden="1" x14ac:dyDescent="0.2"/>
    <row r="60220" hidden="1" x14ac:dyDescent="0.2"/>
    <row r="60221" hidden="1" x14ac:dyDescent="0.2"/>
    <row r="60222" hidden="1" x14ac:dyDescent="0.2"/>
    <row r="60223" hidden="1" x14ac:dyDescent="0.2"/>
    <row r="60224" hidden="1" x14ac:dyDescent="0.2"/>
    <row r="60225" hidden="1" x14ac:dyDescent="0.2"/>
    <row r="60226" hidden="1" x14ac:dyDescent="0.2"/>
    <row r="60227" hidden="1" x14ac:dyDescent="0.2"/>
    <row r="60228" hidden="1" x14ac:dyDescent="0.2"/>
    <row r="60229" hidden="1" x14ac:dyDescent="0.2"/>
    <row r="60230" hidden="1" x14ac:dyDescent="0.2"/>
    <row r="60231" hidden="1" x14ac:dyDescent="0.2"/>
    <row r="60232" hidden="1" x14ac:dyDescent="0.2"/>
    <row r="60233" hidden="1" x14ac:dyDescent="0.2"/>
    <row r="60234" hidden="1" x14ac:dyDescent="0.2"/>
    <row r="60235" hidden="1" x14ac:dyDescent="0.2"/>
    <row r="60236" hidden="1" x14ac:dyDescent="0.2"/>
    <row r="60237" hidden="1" x14ac:dyDescent="0.2"/>
    <row r="60238" hidden="1" x14ac:dyDescent="0.2"/>
    <row r="60239" hidden="1" x14ac:dyDescent="0.2"/>
    <row r="60240" hidden="1" x14ac:dyDescent="0.2"/>
    <row r="60241" hidden="1" x14ac:dyDescent="0.2"/>
    <row r="60242" hidden="1" x14ac:dyDescent="0.2"/>
    <row r="60243" hidden="1" x14ac:dyDescent="0.2"/>
    <row r="60244" hidden="1" x14ac:dyDescent="0.2"/>
    <row r="60245" hidden="1" x14ac:dyDescent="0.2"/>
    <row r="60246" hidden="1" x14ac:dyDescent="0.2"/>
    <row r="60247" hidden="1" x14ac:dyDescent="0.2"/>
    <row r="60248" hidden="1" x14ac:dyDescent="0.2"/>
    <row r="60249" hidden="1" x14ac:dyDescent="0.2"/>
    <row r="60250" hidden="1" x14ac:dyDescent="0.2"/>
    <row r="60251" hidden="1" x14ac:dyDescent="0.2"/>
    <row r="60252" hidden="1" x14ac:dyDescent="0.2"/>
    <row r="60253" hidden="1" x14ac:dyDescent="0.2"/>
    <row r="60254" hidden="1" x14ac:dyDescent="0.2"/>
    <row r="60255" hidden="1" x14ac:dyDescent="0.2"/>
    <row r="60256" hidden="1" x14ac:dyDescent="0.2"/>
    <row r="60257" hidden="1" x14ac:dyDescent="0.2"/>
    <row r="60258" hidden="1" x14ac:dyDescent="0.2"/>
    <row r="60259" hidden="1" x14ac:dyDescent="0.2"/>
    <row r="60260" hidden="1" x14ac:dyDescent="0.2"/>
    <row r="60261" hidden="1" x14ac:dyDescent="0.2"/>
    <row r="60262" hidden="1" x14ac:dyDescent="0.2"/>
    <row r="60263" hidden="1" x14ac:dyDescent="0.2"/>
    <row r="60264" hidden="1" x14ac:dyDescent="0.2"/>
    <row r="60265" hidden="1" x14ac:dyDescent="0.2"/>
    <row r="60266" hidden="1" x14ac:dyDescent="0.2"/>
    <row r="60267" hidden="1" x14ac:dyDescent="0.2"/>
    <row r="60268" hidden="1" x14ac:dyDescent="0.2"/>
    <row r="60269" hidden="1" x14ac:dyDescent="0.2"/>
    <row r="60270" hidden="1" x14ac:dyDescent="0.2"/>
    <row r="60271" hidden="1" x14ac:dyDescent="0.2"/>
    <row r="60272" hidden="1" x14ac:dyDescent="0.2"/>
    <row r="60273" hidden="1" x14ac:dyDescent="0.2"/>
    <row r="60274" hidden="1" x14ac:dyDescent="0.2"/>
    <row r="60275" hidden="1" x14ac:dyDescent="0.2"/>
    <row r="60276" hidden="1" x14ac:dyDescent="0.2"/>
    <row r="60277" hidden="1" x14ac:dyDescent="0.2"/>
    <row r="60278" hidden="1" x14ac:dyDescent="0.2"/>
    <row r="60279" hidden="1" x14ac:dyDescent="0.2"/>
    <row r="60280" hidden="1" x14ac:dyDescent="0.2"/>
    <row r="60281" hidden="1" x14ac:dyDescent="0.2"/>
    <row r="60282" hidden="1" x14ac:dyDescent="0.2"/>
    <row r="60283" hidden="1" x14ac:dyDescent="0.2"/>
    <row r="60284" hidden="1" x14ac:dyDescent="0.2"/>
    <row r="60285" hidden="1" x14ac:dyDescent="0.2"/>
    <row r="60286" hidden="1" x14ac:dyDescent="0.2"/>
    <row r="60287" hidden="1" x14ac:dyDescent="0.2"/>
    <row r="60288" hidden="1" x14ac:dyDescent="0.2"/>
    <row r="60289" hidden="1" x14ac:dyDescent="0.2"/>
    <row r="60290" hidden="1" x14ac:dyDescent="0.2"/>
    <row r="60291" hidden="1" x14ac:dyDescent="0.2"/>
    <row r="60292" hidden="1" x14ac:dyDescent="0.2"/>
    <row r="60293" hidden="1" x14ac:dyDescent="0.2"/>
    <row r="60294" hidden="1" x14ac:dyDescent="0.2"/>
    <row r="60295" hidden="1" x14ac:dyDescent="0.2"/>
    <row r="60296" hidden="1" x14ac:dyDescent="0.2"/>
    <row r="60297" hidden="1" x14ac:dyDescent="0.2"/>
    <row r="60298" hidden="1" x14ac:dyDescent="0.2"/>
    <row r="60299" hidden="1" x14ac:dyDescent="0.2"/>
    <row r="60300" hidden="1" x14ac:dyDescent="0.2"/>
    <row r="60301" hidden="1" x14ac:dyDescent="0.2"/>
    <row r="60302" hidden="1" x14ac:dyDescent="0.2"/>
    <row r="60303" hidden="1" x14ac:dyDescent="0.2"/>
    <row r="60304" hidden="1" x14ac:dyDescent="0.2"/>
    <row r="60305" hidden="1" x14ac:dyDescent="0.2"/>
    <row r="60306" hidden="1" x14ac:dyDescent="0.2"/>
    <row r="60307" hidden="1" x14ac:dyDescent="0.2"/>
    <row r="60308" hidden="1" x14ac:dyDescent="0.2"/>
    <row r="60309" hidden="1" x14ac:dyDescent="0.2"/>
    <row r="60310" hidden="1" x14ac:dyDescent="0.2"/>
    <row r="60311" hidden="1" x14ac:dyDescent="0.2"/>
    <row r="60312" hidden="1" x14ac:dyDescent="0.2"/>
    <row r="60313" hidden="1" x14ac:dyDescent="0.2"/>
    <row r="60314" hidden="1" x14ac:dyDescent="0.2"/>
    <row r="60315" hidden="1" x14ac:dyDescent="0.2"/>
    <row r="60316" hidden="1" x14ac:dyDescent="0.2"/>
    <row r="60317" hidden="1" x14ac:dyDescent="0.2"/>
    <row r="60318" hidden="1" x14ac:dyDescent="0.2"/>
    <row r="60319" hidden="1" x14ac:dyDescent="0.2"/>
    <row r="60320" hidden="1" x14ac:dyDescent="0.2"/>
    <row r="60321" hidden="1" x14ac:dyDescent="0.2"/>
    <row r="60322" hidden="1" x14ac:dyDescent="0.2"/>
    <row r="60323" hidden="1" x14ac:dyDescent="0.2"/>
    <row r="60324" hidden="1" x14ac:dyDescent="0.2"/>
    <row r="60325" hidden="1" x14ac:dyDescent="0.2"/>
    <row r="60326" hidden="1" x14ac:dyDescent="0.2"/>
    <row r="60327" hidden="1" x14ac:dyDescent="0.2"/>
    <row r="60328" hidden="1" x14ac:dyDescent="0.2"/>
    <row r="60329" hidden="1" x14ac:dyDescent="0.2"/>
    <row r="60330" hidden="1" x14ac:dyDescent="0.2"/>
    <row r="60331" hidden="1" x14ac:dyDescent="0.2"/>
    <row r="60332" hidden="1" x14ac:dyDescent="0.2"/>
    <row r="60333" hidden="1" x14ac:dyDescent="0.2"/>
    <row r="60334" hidden="1" x14ac:dyDescent="0.2"/>
    <row r="60335" hidden="1" x14ac:dyDescent="0.2"/>
    <row r="60336" hidden="1" x14ac:dyDescent="0.2"/>
    <row r="60337" hidden="1" x14ac:dyDescent="0.2"/>
    <row r="60338" hidden="1" x14ac:dyDescent="0.2"/>
    <row r="60339" hidden="1" x14ac:dyDescent="0.2"/>
    <row r="60340" hidden="1" x14ac:dyDescent="0.2"/>
    <row r="60341" hidden="1" x14ac:dyDescent="0.2"/>
    <row r="60342" hidden="1" x14ac:dyDescent="0.2"/>
    <row r="60343" hidden="1" x14ac:dyDescent="0.2"/>
    <row r="60344" hidden="1" x14ac:dyDescent="0.2"/>
    <row r="60345" hidden="1" x14ac:dyDescent="0.2"/>
    <row r="60346" hidden="1" x14ac:dyDescent="0.2"/>
    <row r="60347" hidden="1" x14ac:dyDescent="0.2"/>
    <row r="60348" hidden="1" x14ac:dyDescent="0.2"/>
    <row r="60349" hidden="1" x14ac:dyDescent="0.2"/>
    <row r="60350" hidden="1" x14ac:dyDescent="0.2"/>
    <row r="60351" hidden="1" x14ac:dyDescent="0.2"/>
    <row r="60352" hidden="1" x14ac:dyDescent="0.2"/>
    <row r="60353" hidden="1" x14ac:dyDescent="0.2"/>
    <row r="60354" hidden="1" x14ac:dyDescent="0.2"/>
    <row r="60355" hidden="1" x14ac:dyDescent="0.2"/>
    <row r="60356" hidden="1" x14ac:dyDescent="0.2"/>
    <row r="60357" hidden="1" x14ac:dyDescent="0.2"/>
    <row r="60358" hidden="1" x14ac:dyDescent="0.2"/>
    <row r="60359" hidden="1" x14ac:dyDescent="0.2"/>
    <row r="60360" hidden="1" x14ac:dyDescent="0.2"/>
    <row r="60361" hidden="1" x14ac:dyDescent="0.2"/>
    <row r="60362" hidden="1" x14ac:dyDescent="0.2"/>
    <row r="60363" hidden="1" x14ac:dyDescent="0.2"/>
    <row r="60364" hidden="1" x14ac:dyDescent="0.2"/>
    <row r="60365" hidden="1" x14ac:dyDescent="0.2"/>
    <row r="60366" hidden="1" x14ac:dyDescent="0.2"/>
    <row r="60367" hidden="1" x14ac:dyDescent="0.2"/>
    <row r="60368" hidden="1" x14ac:dyDescent="0.2"/>
    <row r="60369" hidden="1" x14ac:dyDescent="0.2"/>
    <row r="60370" hidden="1" x14ac:dyDescent="0.2"/>
    <row r="60371" hidden="1" x14ac:dyDescent="0.2"/>
    <row r="60372" hidden="1" x14ac:dyDescent="0.2"/>
    <row r="60373" hidden="1" x14ac:dyDescent="0.2"/>
    <row r="60374" hidden="1" x14ac:dyDescent="0.2"/>
    <row r="60375" hidden="1" x14ac:dyDescent="0.2"/>
    <row r="60376" hidden="1" x14ac:dyDescent="0.2"/>
    <row r="60377" hidden="1" x14ac:dyDescent="0.2"/>
    <row r="60378" hidden="1" x14ac:dyDescent="0.2"/>
    <row r="60379" hidden="1" x14ac:dyDescent="0.2"/>
    <row r="60380" hidden="1" x14ac:dyDescent="0.2"/>
    <row r="60381" hidden="1" x14ac:dyDescent="0.2"/>
    <row r="60382" hidden="1" x14ac:dyDescent="0.2"/>
    <row r="60383" hidden="1" x14ac:dyDescent="0.2"/>
    <row r="60384" hidden="1" x14ac:dyDescent="0.2"/>
    <row r="60385" hidden="1" x14ac:dyDescent="0.2"/>
    <row r="60386" hidden="1" x14ac:dyDescent="0.2"/>
    <row r="60387" hidden="1" x14ac:dyDescent="0.2"/>
    <row r="60388" hidden="1" x14ac:dyDescent="0.2"/>
    <row r="60389" hidden="1" x14ac:dyDescent="0.2"/>
    <row r="60390" hidden="1" x14ac:dyDescent="0.2"/>
    <row r="60391" hidden="1" x14ac:dyDescent="0.2"/>
    <row r="60392" hidden="1" x14ac:dyDescent="0.2"/>
    <row r="60393" hidden="1" x14ac:dyDescent="0.2"/>
    <row r="60394" hidden="1" x14ac:dyDescent="0.2"/>
    <row r="60395" hidden="1" x14ac:dyDescent="0.2"/>
    <row r="60396" hidden="1" x14ac:dyDescent="0.2"/>
    <row r="60397" hidden="1" x14ac:dyDescent="0.2"/>
    <row r="60398" hidden="1" x14ac:dyDescent="0.2"/>
    <row r="60399" hidden="1" x14ac:dyDescent="0.2"/>
    <row r="60400" hidden="1" x14ac:dyDescent="0.2"/>
    <row r="60401" hidden="1" x14ac:dyDescent="0.2"/>
    <row r="60402" hidden="1" x14ac:dyDescent="0.2"/>
    <row r="60403" hidden="1" x14ac:dyDescent="0.2"/>
    <row r="60404" hidden="1" x14ac:dyDescent="0.2"/>
    <row r="60405" hidden="1" x14ac:dyDescent="0.2"/>
    <row r="60406" hidden="1" x14ac:dyDescent="0.2"/>
    <row r="60407" hidden="1" x14ac:dyDescent="0.2"/>
    <row r="60408" hidden="1" x14ac:dyDescent="0.2"/>
    <row r="60409" hidden="1" x14ac:dyDescent="0.2"/>
    <row r="60410" hidden="1" x14ac:dyDescent="0.2"/>
    <row r="60411" hidden="1" x14ac:dyDescent="0.2"/>
    <row r="60412" hidden="1" x14ac:dyDescent="0.2"/>
    <row r="60413" hidden="1" x14ac:dyDescent="0.2"/>
    <row r="60414" hidden="1" x14ac:dyDescent="0.2"/>
    <row r="60415" hidden="1" x14ac:dyDescent="0.2"/>
    <row r="60416" hidden="1" x14ac:dyDescent="0.2"/>
    <row r="60417" hidden="1" x14ac:dyDescent="0.2"/>
    <row r="60418" hidden="1" x14ac:dyDescent="0.2"/>
    <row r="60419" hidden="1" x14ac:dyDescent="0.2"/>
    <row r="60420" hidden="1" x14ac:dyDescent="0.2"/>
    <row r="60421" hidden="1" x14ac:dyDescent="0.2"/>
    <row r="60422" hidden="1" x14ac:dyDescent="0.2"/>
    <row r="60423" hidden="1" x14ac:dyDescent="0.2"/>
    <row r="60424" hidden="1" x14ac:dyDescent="0.2"/>
    <row r="60425" hidden="1" x14ac:dyDescent="0.2"/>
    <row r="60426" hidden="1" x14ac:dyDescent="0.2"/>
    <row r="60427" hidden="1" x14ac:dyDescent="0.2"/>
    <row r="60428" hidden="1" x14ac:dyDescent="0.2"/>
    <row r="60429" hidden="1" x14ac:dyDescent="0.2"/>
    <row r="60430" hidden="1" x14ac:dyDescent="0.2"/>
    <row r="60431" hidden="1" x14ac:dyDescent="0.2"/>
    <row r="60432" hidden="1" x14ac:dyDescent="0.2"/>
    <row r="60433" hidden="1" x14ac:dyDescent="0.2"/>
    <row r="60434" hidden="1" x14ac:dyDescent="0.2"/>
    <row r="60435" hidden="1" x14ac:dyDescent="0.2"/>
    <row r="60436" hidden="1" x14ac:dyDescent="0.2"/>
    <row r="60437" hidden="1" x14ac:dyDescent="0.2"/>
    <row r="60438" hidden="1" x14ac:dyDescent="0.2"/>
    <row r="60439" hidden="1" x14ac:dyDescent="0.2"/>
    <row r="60440" hidden="1" x14ac:dyDescent="0.2"/>
    <row r="60441" hidden="1" x14ac:dyDescent="0.2"/>
    <row r="60442" hidden="1" x14ac:dyDescent="0.2"/>
    <row r="60443" hidden="1" x14ac:dyDescent="0.2"/>
    <row r="60444" hidden="1" x14ac:dyDescent="0.2"/>
    <row r="60445" hidden="1" x14ac:dyDescent="0.2"/>
    <row r="60446" hidden="1" x14ac:dyDescent="0.2"/>
    <row r="60447" hidden="1" x14ac:dyDescent="0.2"/>
    <row r="60448" hidden="1" x14ac:dyDescent="0.2"/>
    <row r="60449" hidden="1" x14ac:dyDescent="0.2"/>
    <row r="60450" hidden="1" x14ac:dyDescent="0.2"/>
    <row r="60451" hidden="1" x14ac:dyDescent="0.2"/>
    <row r="60452" hidden="1" x14ac:dyDescent="0.2"/>
    <row r="60453" hidden="1" x14ac:dyDescent="0.2"/>
    <row r="60454" hidden="1" x14ac:dyDescent="0.2"/>
    <row r="60455" hidden="1" x14ac:dyDescent="0.2"/>
    <row r="60456" hidden="1" x14ac:dyDescent="0.2"/>
    <row r="60457" hidden="1" x14ac:dyDescent="0.2"/>
    <row r="60458" hidden="1" x14ac:dyDescent="0.2"/>
    <row r="60459" hidden="1" x14ac:dyDescent="0.2"/>
    <row r="60460" hidden="1" x14ac:dyDescent="0.2"/>
    <row r="60461" hidden="1" x14ac:dyDescent="0.2"/>
    <row r="60462" hidden="1" x14ac:dyDescent="0.2"/>
    <row r="60463" hidden="1" x14ac:dyDescent="0.2"/>
    <row r="60464" hidden="1" x14ac:dyDescent="0.2"/>
    <row r="60465" hidden="1" x14ac:dyDescent="0.2"/>
    <row r="60466" hidden="1" x14ac:dyDescent="0.2"/>
    <row r="60467" hidden="1" x14ac:dyDescent="0.2"/>
    <row r="60468" hidden="1" x14ac:dyDescent="0.2"/>
    <row r="60469" hidden="1" x14ac:dyDescent="0.2"/>
    <row r="60470" hidden="1" x14ac:dyDescent="0.2"/>
    <row r="60471" hidden="1" x14ac:dyDescent="0.2"/>
    <row r="60472" hidden="1" x14ac:dyDescent="0.2"/>
    <row r="60473" hidden="1" x14ac:dyDescent="0.2"/>
    <row r="60474" hidden="1" x14ac:dyDescent="0.2"/>
    <row r="60475" hidden="1" x14ac:dyDescent="0.2"/>
    <row r="60476" hidden="1" x14ac:dyDescent="0.2"/>
    <row r="60477" hidden="1" x14ac:dyDescent="0.2"/>
    <row r="60478" hidden="1" x14ac:dyDescent="0.2"/>
    <row r="60479" hidden="1" x14ac:dyDescent="0.2"/>
    <row r="60480" hidden="1" x14ac:dyDescent="0.2"/>
    <row r="60481" hidden="1" x14ac:dyDescent="0.2"/>
    <row r="60482" hidden="1" x14ac:dyDescent="0.2"/>
    <row r="60483" hidden="1" x14ac:dyDescent="0.2"/>
    <row r="60484" hidden="1" x14ac:dyDescent="0.2"/>
    <row r="60485" hidden="1" x14ac:dyDescent="0.2"/>
    <row r="60486" hidden="1" x14ac:dyDescent="0.2"/>
    <row r="60487" hidden="1" x14ac:dyDescent="0.2"/>
    <row r="60488" hidden="1" x14ac:dyDescent="0.2"/>
    <row r="60489" hidden="1" x14ac:dyDescent="0.2"/>
    <row r="60490" hidden="1" x14ac:dyDescent="0.2"/>
    <row r="60491" hidden="1" x14ac:dyDescent="0.2"/>
    <row r="60492" hidden="1" x14ac:dyDescent="0.2"/>
    <row r="60493" hidden="1" x14ac:dyDescent="0.2"/>
    <row r="60494" hidden="1" x14ac:dyDescent="0.2"/>
    <row r="60495" hidden="1" x14ac:dyDescent="0.2"/>
    <row r="60496" hidden="1" x14ac:dyDescent="0.2"/>
    <row r="60497" hidden="1" x14ac:dyDescent="0.2"/>
    <row r="60498" hidden="1" x14ac:dyDescent="0.2"/>
    <row r="60499" hidden="1" x14ac:dyDescent="0.2"/>
    <row r="60500" hidden="1" x14ac:dyDescent="0.2"/>
    <row r="60501" hidden="1" x14ac:dyDescent="0.2"/>
    <row r="60502" hidden="1" x14ac:dyDescent="0.2"/>
    <row r="60503" hidden="1" x14ac:dyDescent="0.2"/>
    <row r="60504" hidden="1" x14ac:dyDescent="0.2"/>
    <row r="60505" hidden="1" x14ac:dyDescent="0.2"/>
    <row r="60506" hidden="1" x14ac:dyDescent="0.2"/>
    <row r="60507" hidden="1" x14ac:dyDescent="0.2"/>
    <row r="60508" hidden="1" x14ac:dyDescent="0.2"/>
    <row r="60509" hidden="1" x14ac:dyDescent="0.2"/>
    <row r="60510" hidden="1" x14ac:dyDescent="0.2"/>
    <row r="60511" hidden="1" x14ac:dyDescent="0.2"/>
    <row r="60512" hidden="1" x14ac:dyDescent="0.2"/>
    <row r="60513" hidden="1" x14ac:dyDescent="0.2"/>
    <row r="60514" hidden="1" x14ac:dyDescent="0.2"/>
    <row r="60515" hidden="1" x14ac:dyDescent="0.2"/>
    <row r="60516" hidden="1" x14ac:dyDescent="0.2"/>
    <row r="60517" hidden="1" x14ac:dyDescent="0.2"/>
    <row r="60518" hidden="1" x14ac:dyDescent="0.2"/>
    <row r="60519" hidden="1" x14ac:dyDescent="0.2"/>
    <row r="60520" hidden="1" x14ac:dyDescent="0.2"/>
    <row r="60521" hidden="1" x14ac:dyDescent="0.2"/>
    <row r="60522" hidden="1" x14ac:dyDescent="0.2"/>
    <row r="60523" hidden="1" x14ac:dyDescent="0.2"/>
    <row r="60524" hidden="1" x14ac:dyDescent="0.2"/>
    <row r="60525" hidden="1" x14ac:dyDescent="0.2"/>
    <row r="60526" hidden="1" x14ac:dyDescent="0.2"/>
    <row r="60527" hidden="1" x14ac:dyDescent="0.2"/>
    <row r="60528" hidden="1" x14ac:dyDescent="0.2"/>
    <row r="60529" hidden="1" x14ac:dyDescent="0.2"/>
    <row r="60530" hidden="1" x14ac:dyDescent="0.2"/>
    <row r="60531" hidden="1" x14ac:dyDescent="0.2"/>
    <row r="60532" hidden="1" x14ac:dyDescent="0.2"/>
    <row r="60533" hidden="1" x14ac:dyDescent="0.2"/>
    <row r="60534" hidden="1" x14ac:dyDescent="0.2"/>
    <row r="60535" hidden="1" x14ac:dyDescent="0.2"/>
    <row r="60536" hidden="1" x14ac:dyDescent="0.2"/>
    <row r="60537" hidden="1" x14ac:dyDescent="0.2"/>
    <row r="60538" hidden="1" x14ac:dyDescent="0.2"/>
    <row r="60539" hidden="1" x14ac:dyDescent="0.2"/>
    <row r="60540" hidden="1" x14ac:dyDescent="0.2"/>
    <row r="60541" hidden="1" x14ac:dyDescent="0.2"/>
    <row r="60542" hidden="1" x14ac:dyDescent="0.2"/>
    <row r="60543" hidden="1" x14ac:dyDescent="0.2"/>
    <row r="60544" hidden="1" x14ac:dyDescent="0.2"/>
    <row r="60545" hidden="1" x14ac:dyDescent="0.2"/>
    <row r="60546" hidden="1" x14ac:dyDescent="0.2"/>
    <row r="60547" hidden="1" x14ac:dyDescent="0.2"/>
    <row r="60548" hidden="1" x14ac:dyDescent="0.2"/>
    <row r="60549" hidden="1" x14ac:dyDescent="0.2"/>
    <row r="60550" hidden="1" x14ac:dyDescent="0.2"/>
    <row r="60551" hidden="1" x14ac:dyDescent="0.2"/>
    <row r="60552" hidden="1" x14ac:dyDescent="0.2"/>
    <row r="60553" hidden="1" x14ac:dyDescent="0.2"/>
    <row r="60554" hidden="1" x14ac:dyDescent="0.2"/>
    <row r="60555" hidden="1" x14ac:dyDescent="0.2"/>
    <row r="60556" hidden="1" x14ac:dyDescent="0.2"/>
    <row r="60557" hidden="1" x14ac:dyDescent="0.2"/>
    <row r="60558" hidden="1" x14ac:dyDescent="0.2"/>
    <row r="60559" hidden="1" x14ac:dyDescent="0.2"/>
    <row r="60560" hidden="1" x14ac:dyDescent="0.2"/>
    <row r="60561" hidden="1" x14ac:dyDescent="0.2"/>
    <row r="60562" hidden="1" x14ac:dyDescent="0.2"/>
    <row r="60563" hidden="1" x14ac:dyDescent="0.2"/>
    <row r="60564" hidden="1" x14ac:dyDescent="0.2"/>
    <row r="60565" hidden="1" x14ac:dyDescent="0.2"/>
    <row r="60566" hidden="1" x14ac:dyDescent="0.2"/>
    <row r="60567" hidden="1" x14ac:dyDescent="0.2"/>
    <row r="60568" hidden="1" x14ac:dyDescent="0.2"/>
    <row r="60569" hidden="1" x14ac:dyDescent="0.2"/>
    <row r="60570" hidden="1" x14ac:dyDescent="0.2"/>
    <row r="60571" hidden="1" x14ac:dyDescent="0.2"/>
    <row r="60572" hidden="1" x14ac:dyDescent="0.2"/>
    <row r="60573" hidden="1" x14ac:dyDescent="0.2"/>
    <row r="60574" hidden="1" x14ac:dyDescent="0.2"/>
    <row r="60575" hidden="1" x14ac:dyDescent="0.2"/>
    <row r="60576" hidden="1" x14ac:dyDescent="0.2"/>
    <row r="60577" hidden="1" x14ac:dyDescent="0.2"/>
    <row r="60578" hidden="1" x14ac:dyDescent="0.2"/>
    <row r="60579" hidden="1" x14ac:dyDescent="0.2"/>
    <row r="60580" hidden="1" x14ac:dyDescent="0.2"/>
    <row r="60581" hidden="1" x14ac:dyDescent="0.2"/>
    <row r="60582" hidden="1" x14ac:dyDescent="0.2"/>
    <row r="60583" hidden="1" x14ac:dyDescent="0.2"/>
    <row r="60584" hidden="1" x14ac:dyDescent="0.2"/>
    <row r="60585" hidden="1" x14ac:dyDescent="0.2"/>
    <row r="60586" hidden="1" x14ac:dyDescent="0.2"/>
    <row r="60587" hidden="1" x14ac:dyDescent="0.2"/>
    <row r="60588" hidden="1" x14ac:dyDescent="0.2"/>
    <row r="60589" hidden="1" x14ac:dyDescent="0.2"/>
    <row r="60590" hidden="1" x14ac:dyDescent="0.2"/>
    <row r="60591" hidden="1" x14ac:dyDescent="0.2"/>
    <row r="60592" hidden="1" x14ac:dyDescent="0.2"/>
    <row r="60593" hidden="1" x14ac:dyDescent="0.2"/>
    <row r="60594" hidden="1" x14ac:dyDescent="0.2"/>
    <row r="60595" hidden="1" x14ac:dyDescent="0.2"/>
    <row r="60596" hidden="1" x14ac:dyDescent="0.2"/>
    <row r="60597" hidden="1" x14ac:dyDescent="0.2"/>
    <row r="60598" hidden="1" x14ac:dyDescent="0.2"/>
    <row r="60599" hidden="1" x14ac:dyDescent="0.2"/>
    <row r="60600" hidden="1" x14ac:dyDescent="0.2"/>
    <row r="60601" hidden="1" x14ac:dyDescent="0.2"/>
    <row r="60602" hidden="1" x14ac:dyDescent="0.2"/>
    <row r="60603" hidden="1" x14ac:dyDescent="0.2"/>
    <row r="60604" hidden="1" x14ac:dyDescent="0.2"/>
    <row r="60605" hidden="1" x14ac:dyDescent="0.2"/>
    <row r="60606" hidden="1" x14ac:dyDescent="0.2"/>
    <row r="60607" hidden="1" x14ac:dyDescent="0.2"/>
    <row r="60608" hidden="1" x14ac:dyDescent="0.2"/>
    <row r="60609" hidden="1" x14ac:dyDescent="0.2"/>
    <row r="60610" hidden="1" x14ac:dyDescent="0.2"/>
    <row r="60611" hidden="1" x14ac:dyDescent="0.2"/>
    <row r="60612" hidden="1" x14ac:dyDescent="0.2"/>
    <row r="60613" hidden="1" x14ac:dyDescent="0.2"/>
    <row r="60614" hidden="1" x14ac:dyDescent="0.2"/>
    <row r="60615" hidden="1" x14ac:dyDescent="0.2"/>
    <row r="60616" hidden="1" x14ac:dyDescent="0.2"/>
    <row r="60617" hidden="1" x14ac:dyDescent="0.2"/>
    <row r="60618" hidden="1" x14ac:dyDescent="0.2"/>
    <row r="60619" hidden="1" x14ac:dyDescent="0.2"/>
    <row r="60620" hidden="1" x14ac:dyDescent="0.2"/>
    <row r="60621" hidden="1" x14ac:dyDescent="0.2"/>
    <row r="60622" hidden="1" x14ac:dyDescent="0.2"/>
    <row r="60623" hidden="1" x14ac:dyDescent="0.2"/>
    <row r="60624" hidden="1" x14ac:dyDescent="0.2"/>
    <row r="60625" hidden="1" x14ac:dyDescent="0.2"/>
    <row r="60626" hidden="1" x14ac:dyDescent="0.2"/>
    <row r="60627" hidden="1" x14ac:dyDescent="0.2"/>
    <row r="60628" hidden="1" x14ac:dyDescent="0.2"/>
    <row r="60629" hidden="1" x14ac:dyDescent="0.2"/>
    <row r="60630" hidden="1" x14ac:dyDescent="0.2"/>
    <row r="60631" hidden="1" x14ac:dyDescent="0.2"/>
    <row r="60632" hidden="1" x14ac:dyDescent="0.2"/>
    <row r="60633" hidden="1" x14ac:dyDescent="0.2"/>
    <row r="60634" hidden="1" x14ac:dyDescent="0.2"/>
    <row r="60635" hidden="1" x14ac:dyDescent="0.2"/>
    <row r="60636" hidden="1" x14ac:dyDescent="0.2"/>
    <row r="60637" hidden="1" x14ac:dyDescent="0.2"/>
    <row r="60638" hidden="1" x14ac:dyDescent="0.2"/>
    <row r="60639" hidden="1" x14ac:dyDescent="0.2"/>
    <row r="60640" hidden="1" x14ac:dyDescent="0.2"/>
    <row r="60641" hidden="1" x14ac:dyDescent="0.2"/>
    <row r="60642" hidden="1" x14ac:dyDescent="0.2"/>
    <row r="60643" hidden="1" x14ac:dyDescent="0.2"/>
    <row r="60644" hidden="1" x14ac:dyDescent="0.2"/>
    <row r="60645" hidden="1" x14ac:dyDescent="0.2"/>
    <row r="60646" hidden="1" x14ac:dyDescent="0.2"/>
    <row r="60647" hidden="1" x14ac:dyDescent="0.2"/>
    <row r="60648" hidden="1" x14ac:dyDescent="0.2"/>
    <row r="60649" hidden="1" x14ac:dyDescent="0.2"/>
    <row r="60650" hidden="1" x14ac:dyDescent="0.2"/>
    <row r="60651" hidden="1" x14ac:dyDescent="0.2"/>
    <row r="60652" hidden="1" x14ac:dyDescent="0.2"/>
    <row r="60653" hidden="1" x14ac:dyDescent="0.2"/>
    <row r="60654" hidden="1" x14ac:dyDescent="0.2"/>
    <row r="60655" hidden="1" x14ac:dyDescent="0.2"/>
    <row r="60656" hidden="1" x14ac:dyDescent="0.2"/>
    <row r="60657" hidden="1" x14ac:dyDescent="0.2"/>
    <row r="60658" hidden="1" x14ac:dyDescent="0.2"/>
    <row r="60659" hidden="1" x14ac:dyDescent="0.2"/>
    <row r="60660" hidden="1" x14ac:dyDescent="0.2"/>
    <row r="60661" hidden="1" x14ac:dyDescent="0.2"/>
    <row r="60662" hidden="1" x14ac:dyDescent="0.2"/>
    <row r="60663" hidden="1" x14ac:dyDescent="0.2"/>
    <row r="60664" hidden="1" x14ac:dyDescent="0.2"/>
    <row r="60665" hidden="1" x14ac:dyDescent="0.2"/>
    <row r="60666" hidden="1" x14ac:dyDescent="0.2"/>
    <row r="60667" hidden="1" x14ac:dyDescent="0.2"/>
    <row r="60668" hidden="1" x14ac:dyDescent="0.2"/>
    <row r="60669" hidden="1" x14ac:dyDescent="0.2"/>
    <row r="60670" hidden="1" x14ac:dyDescent="0.2"/>
    <row r="60671" hidden="1" x14ac:dyDescent="0.2"/>
    <row r="60672" hidden="1" x14ac:dyDescent="0.2"/>
    <row r="60673" hidden="1" x14ac:dyDescent="0.2"/>
    <row r="60674" hidden="1" x14ac:dyDescent="0.2"/>
    <row r="60675" hidden="1" x14ac:dyDescent="0.2"/>
    <row r="60676" hidden="1" x14ac:dyDescent="0.2"/>
    <row r="60677" hidden="1" x14ac:dyDescent="0.2"/>
    <row r="60678" hidden="1" x14ac:dyDescent="0.2"/>
    <row r="60679" hidden="1" x14ac:dyDescent="0.2"/>
    <row r="60680" hidden="1" x14ac:dyDescent="0.2"/>
    <row r="60681" hidden="1" x14ac:dyDescent="0.2"/>
    <row r="60682" hidden="1" x14ac:dyDescent="0.2"/>
    <row r="60683" hidden="1" x14ac:dyDescent="0.2"/>
    <row r="60684" hidden="1" x14ac:dyDescent="0.2"/>
    <row r="60685" hidden="1" x14ac:dyDescent="0.2"/>
    <row r="60686" hidden="1" x14ac:dyDescent="0.2"/>
    <row r="60687" hidden="1" x14ac:dyDescent="0.2"/>
    <row r="60688" hidden="1" x14ac:dyDescent="0.2"/>
    <row r="60689" hidden="1" x14ac:dyDescent="0.2"/>
    <row r="60690" hidden="1" x14ac:dyDescent="0.2"/>
    <row r="60691" hidden="1" x14ac:dyDescent="0.2"/>
    <row r="60692" hidden="1" x14ac:dyDescent="0.2"/>
    <row r="60693" hidden="1" x14ac:dyDescent="0.2"/>
    <row r="60694" hidden="1" x14ac:dyDescent="0.2"/>
    <row r="60695" hidden="1" x14ac:dyDescent="0.2"/>
    <row r="60696" hidden="1" x14ac:dyDescent="0.2"/>
    <row r="60697" hidden="1" x14ac:dyDescent="0.2"/>
    <row r="60698" hidden="1" x14ac:dyDescent="0.2"/>
    <row r="60699" hidden="1" x14ac:dyDescent="0.2"/>
    <row r="60700" hidden="1" x14ac:dyDescent="0.2"/>
    <row r="60701" hidden="1" x14ac:dyDescent="0.2"/>
    <row r="60702" hidden="1" x14ac:dyDescent="0.2"/>
    <row r="60703" hidden="1" x14ac:dyDescent="0.2"/>
    <row r="60704" hidden="1" x14ac:dyDescent="0.2"/>
    <row r="60705" hidden="1" x14ac:dyDescent="0.2"/>
    <row r="60706" hidden="1" x14ac:dyDescent="0.2"/>
    <row r="60707" hidden="1" x14ac:dyDescent="0.2"/>
    <row r="60708" hidden="1" x14ac:dyDescent="0.2"/>
    <row r="60709" hidden="1" x14ac:dyDescent="0.2"/>
    <row r="60710" hidden="1" x14ac:dyDescent="0.2"/>
    <row r="60711" hidden="1" x14ac:dyDescent="0.2"/>
    <row r="60712" hidden="1" x14ac:dyDescent="0.2"/>
    <row r="60713" hidden="1" x14ac:dyDescent="0.2"/>
    <row r="60714" hidden="1" x14ac:dyDescent="0.2"/>
    <row r="60715" hidden="1" x14ac:dyDescent="0.2"/>
    <row r="60716" hidden="1" x14ac:dyDescent="0.2"/>
    <row r="60717" hidden="1" x14ac:dyDescent="0.2"/>
    <row r="60718" hidden="1" x14ac:dyDescent="0.2"/>
    <row r="60719" hidden="1" x14ac:dyDescent="0.2"/>
    <row r="60720" hidden="1" x14ac:dyDescent="0.2"/>
    <row r="60721" hidden="1" x14ac:dyDescent="0.2"/>
    <row r="60722" hidden="1" x14ac:dyDescent="0.2"/>
    <row r="60723" hidden="1" x14ac:dyDescent="0.2"/>
    <row r="60724" hidden="1" x14ac:dyDescent="0.2"/>
    <row r="60725" hidden="1" x14ac:dyDescent="0.2"/>
    <row r="60726" hidden="1" x14ac:dyDescent="0.2"/>
    <row r="60727" hidden="1" x14ac:dyDescent="0.2"/>
    <row r="60728" hidden="1" x14ac:dyDescent="0.2"/>
    <row r="60729" hidden="1" x14ac:dyDescent="0.2"/>
    <row r="60730" hidden="1" x14ac:dyDescent="0.2"/>
    <row r="60731" hidden="1" x14ac:dyDescent="0.2"/>
    <row r="60732" hidden="1" x14ac:dyDescent="0.2"/>
    <row r="60733" hidden="1" x14ac:dyDescent="0.2"/>
    <row r="60734" hidden="1" x14ac:dyDescent="0.2"/>
    <row r="60735" hidden="1" x14ac:dyDescent="0.2"/>
    <row r="60736" hidden="1" x14ac:dyDescent="0.2"/>
    <row r="60737" hidden="1" x14ac:dyDescent="0.2"/>
    <row r="60738" hidden="1" x14ac:dyDescent="0.2"/>
    <row r="60739" hidden="1" x14ac:dyDescent="0.2"/>
    <row r="60740" hidden="1" x14ac:dyDescent="0.2"/>
    <row r="60741" hidden="1" x14ac:dyDescent="0.2"/>
    <row r="60742" hidden="1" x14ac:dyDescent="0.2"/>
    <row r="60743" hidden="1" x14ac:dyDescent="0.2"/>
    <row r="60744" hidden="1" x14ac:dyDescent="0.2"/>
    <row r="60745" hidden="1" x14ac:dyDescent="0.2"/>
    <row r="60746" hidden="1" x14ac:dyDescent="0.2"/>
    <row r="60747" hidden="1" x14ac:dyDescent="0.2"/>
    <row r="60748" hidden="1" x14ac:dyDescent="0.2"/>
    <row r="60749" hidden="1" x14ac:dyDescent="0.2"/>
    <row r="60750" hidden="1" x14ac:dyDescent="0.2"/>
    <row r="60751" hidden="1" x14ac:dyDescent="0.2"/>
    <row r="60752" hidden="1" x14ac:dyDescent="0.2"/>
    <row r="60753" hidden="1" x14ac:dyDescent="0.2"/>
    <row r="60754" hidden="1" x14ac:dyDescent="0.2"/>
    <row r="60755" hidden="1" x14ac:dyDescent="0.2"/>
    <row r="60756" hidden="1" x14ac:dyDescent="0.2"/>
    <row r="60757" hidden="1" x14ac:dyDescent="0.2"/>
    <row r="60758" hidden="1" x14ac:dyDescent="0.2"/>
    <row r="60759" hidden="1" x14ac:dyDescent="0.2"/>
    <row r="60760" hidden="1" x14ac:dyDescent="0.2"/>
    <row r="60761" hidden="1" x14ac:dyDescent="0.2"/>
    <row r="60762" hidden="1" x14ac:dyDescent="0.2"/>
    <row r="60763" hidden="1" x14ac:dyDescent="0.2"/>
    <row r="60764" hidden="1" x14ac:dyDescent="0.2"/>
    <row r="60765" hidden="1" x14ac:dyDescent="0.2"/>
    <row r="60766" hidden="1" x14ac:dyDescent="0.2"/>
    <row r="60767" hidden="1" x14ac:dyDescent="0.2"/>
    <row r="60768" hidden="1" x14ac:dyDescent="0.2"/>
    <row r="60769" hidden="1" x14ac:dyDescent="0.2"/>
    <row r="60770" hidden="1" x14ac:dyDescent="0.2"/>
    <row r="60771" hidden="1" x14ac:dyDescent="0.2"/>
    <row r="60772" hidden="1" x14ac:dyDescent="0.2"/>
    <row r="60773" hidden="1" x14ac:dyDescent="0.2"/>
    <row r="60774" hidden="1" x14ac:dyDescent="0.2"/>
    <row r="60775" hidden="1" x14ac:dyDescent="0.2"/>
    <row r="60776" hidden="1" x14ac:dyDescent="0.2"/>
    <row r="60777" hidden="1" x14ac:dyDescent="0.2"/>
    <row r="60778" hidden="1" x14ac:dyDescent="0.2"/>
    <row r="60779" hidden="1" x14ac:dyDescent="0.2"/>
    <row r="60780" hidden="1" x14ac:dyDescent="0.2"/>
    <row r="60781" hidden="1" x14ac:dyDescent="0.2"/>
    <row r="60782" hidden="1" x14ac:dyDescent="0.2"/>
    <row r="60783" hidden="1" x14ac:dyDescent="0.2"/>
    <row r="60784" hidden="1" x14ac:dyDescent="0.2"/>
    <row r="60785" hidden="1" x14ac:dyDescent="0.2"/>
    <row r="60786" hidden="1" x14ac:dyDescent="0.2"/>
    <row r="60787" hidden="1" x14ac:dyDescent="0.2"/>
    <row r="60788" hidden="1" x14ac:dyDescent="0.2"/>
    <row r="60789" hidden="1" x14ac:dyDescent="0.2"/>
    <row r="60790" hidden="1" x14ac:dyDescent="0.2"/>
    <row r="60791" hidden="1" x14ac:dyDescent="0.2"/>
    <row r="60792" hidden="1" x14ac:dyDescent="0.2"/>
    <row r="60793" hidden="1" x14ac:dyDescent="0.2"/>
    <row r="60794" hidden="1" x14ac:dyDescent="0.2"/>
    <row r="60795" hidden="1" x14ac:dyDescent="0.2"/>
    <row r="60796" hidden="1" x14ac:dyDescent="0.2"/>
    <row r="60797" hidden="1" x14ac:dyDescent="0.2"/>
    <row r="60798" hidden="1" x14ac:dyDescent="0.2"/>
    <row r="60799" hidden="1" x14ac:dyDescent="0.2"/>
    <row r="60800" hidden="1" x14ac:dyDescent="0.2"/>
    <row r="60801" hidden="1" x14ac:dyDescent="0.2"/>
    <row r="60802" hidden="1" x14ac:dyDescent="0.2"/>
    <row r="60803" hidden="1" x14ac:dyDescent="0.2"/>
    <row r="60804" hidden="1" x14ac:dyDescent="0.2"/>
    <row r="60805" hidden="1" x14ac:dyDescent="0.2"/>
    <row r="60806" hidden="1" x14ac:dyDescent="0.2"/>
    <row r="60807" hidden="1" x14ac:dyDescent="0.2"/>
    <row r="60808" hidden="1" x14ac:dyDescent="0.2"/>
    <row r="60809" hidden="1" x14ac:dyDescent="0.2"/>
    <row r="60810" hidden="1" x14ac:dyDescent="0.2"/>
    <row r="60811" hidden="1" x14ac:dyDescent="0.2"/>
    <row r="60812" hidden="1" x14ac:dyDescent="0.2"/>
    <row r="60813" hidden="1" x14ac:dyDescent="0.2"/>
    <row r="60814" hidden="1" x14ac:dyDescent="0.2"/>
    <row r="60815" hidden="1" x14ac:dyDescent="0.2"/>
    <row r="60816" hidden="1" x14ac:dyDescent="0.2"/>
    <row r="60817" hidden="1" x14ac:dyDescent="0.2"/>
    <row r="60818" hidden="1" x14ac:dyDescent="0.2"/>
    <row r="60819" hidden="1" x14ac:dyDescent="0.2"/>
    <row r="60820" hidden="1" x14ac:dyDescent="0.2"/>
    <row r="60821" hidden="1" x14ac:dyDescent="0.2"/>
    <row r="60822" hidden="1" x14ac:dyDescent="0.2"/>
    <row r="60823" hidden="1" x14ac:dyDescent="0.2"/>
    <row r="60824" hidden="1" x14ac:dyDescent="0.2"/>
    <row r="60825" hidden="1" x14ac:dyDescent="0.2"/>
    <row r="60826" hidden="1" x14ac:dyDescent="0.2"/>
    <row r="60827" hidden="1" x14ac:dyDescent="0.2"/>
    <row r="60828" hidden="1" x14ac:dyDescent="0.2"/>
    <row r="60829" hidden="1" x14ac:dyDescent="0.2"/>
    <row r="60830" hidden="1" x14ac:dyDescent="0.2"/>
    <row r="60831" hidden="1" x14ac:dyDescent="0.2"/>
    <row r="60832" hidden="1" x14ac:dyDescent="0.2"/>
    <row r="60833" hidden="1" x14ac:dyDescent="0.2"/>
    <row r="60834" hidden="1" x14ac:dyDescent="0.2"/>
    <row r="60835" hidden="1" x14ac:dyDescent="0.2"/>
    <row r="60836" hidden="1" x14ac:dyDescent="0.2"/>
    <row r="60837" hidden="1" x14ac:dyDescent="0.2"/>
    <row r="60838" hidden="1" x14ac:dyDescent="0.2"/>
    <row r="60839" hidden="1" x14ac:dyDescent="0.2"/>
    <row r="60840" hidden="1" x14ac:dyDescent="0.2"/>
    <row r="60841" hidden="1" x14ac:dyDescent="0.2"/>
    <row r="60842" hidden="1" x14ac:dyDescent="0.2"/>
    <row r="60843" hidden="1" x14ac:dyDescent="0.2"/>
    <row r="60844" hidden="1" x14ac:dyDescent="0.2"/>
    <row r="60845" hidden="1" x14ac:dyDescent="0.2"/>
    <row r="60846" hidden="1" x14ac:dyDescent="0.2"/>
    <row r="60847" hidden="1" x14ac:dyDescent="0.2"/>
    <row r="60848" hidden="1" x14ac:dyDescent="0.2"/>
    <row r="60849" hidden="1" x14ac:dyDescent="0.2"/>
    <row r="60850" hidden="1" x14ac:dyDescent="0.2"/>
    <row r="60851" hidden="1" x14ac:dyDescent="0.2"/>
    <row r="60852" hidden="1" x14ac:dyDescent="0.2"/>
    <row r="60853" hidden="1" x14ac:dyDescent="0.2"/>
    <row r="60854" hidden="1" x14ac:dyDescent="0.2"/>
    <row r="60855" hidden="1" x14ac:dyDescent="0.2"/>
    <row r="60856" hidden="1" x14ac:dyDescent="0.2"/>
    <row r="60857" hidden="1" x14ac:dyDescent="0.2"/>
    <row r="60858" hidden="1" x14ac:dyDescent="0.2"/>
    <row r="60859" hidden="1" x14ac:dyDescent="0.2"/>
    <row r="60860" hidden="1" x14ac:dyDescent="0.2"/>
    <row r="60861" hidden="1" x14ac:dyDescent="0.2"/>
    <row r="60862" hidden="1" x14ac:dyDescent="0.2"/>
    <row r="60863" hidden="1" x14ac:dyDescent="0.2"/>
    <row r="60864" hidden="1" x14ac:dyDescent="0.2"/>
    <row r="60865" hidden="1" x14ac:dyDescent="0.2"/>
    <row r="60866" hidden="1" x14ac:dyDescent="0.2"/>
    <row r="60867" hidden="1" x14ac:dyDescent="0.2"/>
    <row r="60868" hidden="1" x14ac:dyDescent="0.2"/>
    <row r="60869" hidden="1" x14ac:dyDescent="0.2"/>
    <row r="60870" hidden="1" x14ac:dyDescent="0.2"/>
    <row r="60871" hidden="1" x14ac:dyDescent="0.2"/>
    <row r="60872" hidden="1" x14ac:dyDescent="0.2"/>
    <row r="60873" hidden="1" x14ac:dyDescent="0.2"/>
    <row r="60874" hidden="1" x14ac:dyDescent="0.2"/>
    <row r="60875" hidden="1" x14ac:dyDescent="0.2"/>
    <row r="60876" hidden="1" x14ac:dyDescent="0.2"/>
    <row r="60877" hidden="1" x14ac:dyDescent="0.2"/>
    <row r="60878" hidden="1" x14ac:dyDescent="0.2"/>
    <row r="60879" hidden="1" x14ac:dyDescent="0.2"/>
    <row r="60880" hidden="1" x14ac:dyDescent="0.2"/>
    <row r="60881" hidden="1" x14ac:dyDescent="0.2"/>
    <row r="60882" hidden="1" x14ac:dyDescent="0.2"/>
    <row r="60883" hidden="1" x14ac:dyDescent="0.2"/>
    <row r="60884" hidden="1" x14ac:dyDescent="0.2"/>
    <row r="60885" hidden="1" x14ac:dyDescent="0.2"/>
    <row r="60886" hidden="1" x14ac:dyDescent="0.2"/>
    <row r="60887" hidden="1" x14ac:dyDescent="0.2"/>
    <row r="60888" hidden="1" x14ac:dyDescent="0.2"/>
    <row r="60889" hidden="1" x14ac:dyDescent="0.2"/>
    <row r="60890" hidden="1" x14ac:dyDescent="0.2"/>
    <row r="60891" hidden="1" x14ac:dyDescent="0.2"/>
    <row r="60892" hidden="1" x14ac:dyDescent="0.2"/>
    <row r="60893" hidden="1" x14ac:dyDescent="0.2"/>
    <row r="60894" hidden="1" x14ac:dyDescent="0.2"/>
    <row r="60895" hidden="1" x14ac:dyDescent="0.2"/>
    <row r="60896" hidden="1" x14ac:dyDescent="0.2"/>
    <row r="60897" hidden="1" x14ac:dyDescent="0.2"/>
    <row r="60898" hidden="1" x14ac:dyDescent="0.2"/>
    <row r="60899" hidden="1" x14ac:dyDescent="0.2"/>
    <row r="60900" hidden="1" x14ac:dyDescent="0.2"/>
    <row r="60901" hidden="1" x14ac:dyDescent="0.2"/>
    <row r="60902" hidden="1" x14ac:dyDescent="0.2"/>
    <row r="60903" hidden="1" x14ac:dyDescent="0.2"/>
    <row r="60904" hidden="1" x14ac:dyDescent="0.2"/>
    <row r="60905" hidden="1" x14ac:dyDescent="0.2"/>
    <row r="60906" hidden="1" x14ac:dyDescent="0.2"/>
    <row r="60907" hidden="1" x14ac:dyDescent="0.2"/>
    <row r="60908" hidden="1" x14ac:dyDescent="0.2"/>
    <row r="60909" hidden="1" x14ac:dyDescent="0.2"/>
    <row r="60910" hidden="1" x14ac:dyDescent="0.2"/>
    <row r="60911" hidden="1" x14ac:dyDescent="0.2"/>
    <row r="60912" hidden="1" x14ac:dyDescent="0.2"/>
    <row r="60913" hidden="1" x14ac:dyDescent="0.2"/>
    <row r="60914" hidden="1" x14ac:dyDescent="0.2"/>
    <row r="60915" hidden="1" x14ac:dyDescent="0.2"/>
    <row r="60916" hidden="1" x14ac:dyDescent="0.2"/>
    <row r="60917" hidden="1" x14ac:dyDescent="0.2"/>
    <row r="60918" hidden="1" x14ac:dyDescent="0.2"/>
    <row r="60919" hidden="1" x14ac:dyDescent="0.2"/>
    <row r="60920" hidden="1" x14ac:dyDescent="0.2"/>
    <row r="60921" hidden="1" x14ac:dyDescent="0.2"/>
    <row r="60922" hidden="1" x14ac:dyDescent="0.2"/>
    <row r="60923" hidden="1" x14ac:dyDescent="0.2"/>
    <row r="60924" hidden="1" x14ac:dyDescent="0.2"/>
    <row r="60925" hidden="1" x14ac:dyDescent="0.2"/>
    <row r="60926" hidden="1" x14ac:dyDescent="0.2"/>
    <row r="60927" hidden="1" x14ac:dyDescent="0.2"/>
    <row r="60928" hidden="1" x14ac:dyDescent="0.2"/>
    <row r="60929" hidden="1" x14ac:dyDescent="0.2"/>
    <row r="60930" hidden="1" x14ac:dyDescent="0.2"/>
    <row r="60931" hidden="1" x14ac:dyDescent="0.2"/>
    <row r="60932" hidden="1" x14ac:dyDescent="0.2"/>
    <row r="60933" hidden="1" x14ac:dyDescent="0.2"/>
    <row r="60934" hidden="1" x14ac:dyDescent="0.2"/>
    <row r="60935" hidden="1" x14ac:dyDescent="0.2"/>
    <row r="60936" hidden="1" x14ac:dyDescent="0.2"/>
    <row r="60937" hidden="1" x14ac:dyDescent="0.2"/>
    <row r="60938" hidden="1" x14ac:dyDescent="0.2"/>
    <row r="60939" hidden="1" x14ac:dyDescent="0.2"/>
    <row r="60940" hidden="1" x14ac:dyDescent="0.2"/>
    <row r="60941" hidden="1" x14ac:dyDescent="0.2"/>
    <row r="60942" hidden="1" x14ac:dyDescent="0.2"/>
    <row r="60943" hidden="1" x14ac:dyDescent="0.2"/>
    <row r="60944" hidden="1" x14ac:dyDescent="0.2"/>
    <row r="60945" hidden="1" x14ac:dyDescent="0.2"/>
    <row r="60946" hidden="1" x14ac:dyDescent="0.2"/>
    <row r="60947" hidden="1" x14ac:dyDescent="0.2"/>
    <row r="60948" hidden="1" x14ac:dyDescent="0.2"/>
    <row r="60949" hidden="1" x14ac:dyDescent="0.2"/>
    <row r="60950" hidden="1" x14ac:dyDescent="0.2"/>
    <row r="60951" hidden="1" x14ac:dyDescent="0.2"/>
    <row r="60952" hidden="1" x14ac:dyDescent="0.2"/>
    <row r="60953" hidden="1" x14ac:dyDescent="0.2"/>
    <row r="60954" hidden="1" x14ac:dyDescent="0.2"/>
    <row r="60955" hidden="1" x14ac:dyDescent="0.2"/>
    <row r="60956" hidden="1" x14ac:dyDescent="0.2"/>
    <row r="60957" hidden="1" x14ac:dyDescent="0.2"/>
    <row r="60958" hidden="1" x14ac:dyDescent="0.2"/>
    <row r="60959" hidden="1" x14ac:dyDescent="0.2"/>
    <row r="60960" hidden="1" x14ac:dyDescent="0.2"/>
    <row r="60961" hidden="1" x14ac:dyDescent="0.2"/>
    <row r="60962" hidden="1" x14ac:dyDescent="0.2"/>
    <row r="60963" hidden="1" x14ac:dyDescent="0.2"/>
    <row r="60964" hidden="1" x14ac:dyDescent="0.2"/>
    <row r="60965" hidden="1" x14ac:dyDescent="0.2"/>
    <row r="60966" hidden="1" x14ac:dyDescent="0.2"/>
    <row r="60967" hidden="1" x14ac:dyDescent="0.2"/>
    <row r="60968" hidden="1" x14ac:dyDescent="0.2"/>
    <row r="60969" hidden="1" x14ac:dyDescent="0.2"/>
    <row r="60970" hidden="1" x14ac:dyDescent="0.2"/>
    <row r="60971" hidden="1" x14ac:dyDescent="0.2"/>
    <row r="60972" hidden="1" x14ac:dyDescent="0.2"/>
    <row r="60973" hidden="1" x14ac:dyDescent="0.2"/>
    <row r="60974" hidden="1" x14ac:dyDescent="0.2"/>
    <row r="60975" hidden="1" x14ac:dyDescent="0.2"/>
    <row r="60976" hidden="1" x14ac:dyDescent="0.2"/>
    <row r="60977" hidden="1" x14ac:dyDescent="0.2"/>
    <row r="60978" hidden="1" x14ac:dyDescent="0.2"/>
    <row r="60979" hidden="1" x14ac:dyDescent="0.2"/>
    <row r="60980" hidden="1" x14ac:dyDescent="0.2"/>
    <row r="60981" hidden="1" x14ac:dyDescent="0.2"/>
    <row r="60982" hidden="1" x14ac:dyDescent="0.2"/>
    <row r="60983" hidden="1" x14ac:dyDescent="0.2"/>
    <row r="60984" hidden="1" x14ac:dyDescent="0.2"/>
    <row r="60985" hidden="1" x14ac:dyDescent="0.2"/>
    <row r="60986" hidden="1" x14ac:dyDescent="0.2"/>
    <row r="60987" hidden="1" x14ac:dyDescent="0.2"/>
    <row r="60988" hidden="1" x14ac:dyDescent="0.2"/>
    <row r="60989" hidden="1" x14ac:dyDescent="0.2"/>
    <row r="60990" hidden="1" x14ac:dyDescent="0.2"/>
    <row r="60991" hidden="1" x14ac:dyDescent="0.2"/>
    <row r="60992" hidden="1" x14ac:dyDescent="0.2"/>
    <row r="60993" hidden="1" x14ac:dyDescent="0.2"/>
    <row r="60994" hidden="1" x14ac:dyDescent="0.2"/>
    <row r="60995" hidden="1" x14ac:dyDescent="0.2"/>
    <row r="60996" hidden="1" x14ac:dyDescent="0.2"/>
    <row r="60997" hidden="1" x14ac:dyDescent="0.2"/>
    <row r="60998" hidden="1" x14ac:dyDescent="0.2"/>
    <row r="60999" hidden="1" x14ac:dyDescent="0.2"/>
    <row r="61000" hidden="1" x14ac:dyDescent="0.2"/>
    <row r="61001" hidden="1" x14ac:dyDescent="0.2"/>
    <row r="61002" hidden="1" x14ac:dyDescent="0.2"/>
    <row r="61003" hidden="1" x14ac:dyDescent="0.2"/>
    <row r="61004" hidden="1" x14ac:dyDescent="0.2"/>
    <row r="61005" hidden="1" x14ac:dyDescent="0.2"/>
    <row r="61006" hidden="1" x14ac:dyDescent="0.2"/>
    <row r="61007" hidden="1" x14ac:dyDescent="0.2"/>
    <row r="61008" hidden="1" x14ac:dyDescent="0.2"/>
    <row r="61009" hidden="1" x14ac:dyDescent="0.2"/>
    <row r="61010" hidden="1" x14ac:dyDescent="0.2"/>
    <row r="61011" hidden="1" x14ac:dyDescent="0.2"/>
    <row r="61012" hidden="1" x14ac:dyDescent="0.2"/>
    <row r="61013" hidden="1" x14ac:dyDescent="0.2"/>
    <row r="61014" hidden="1" x14ac:dyDescent="0.2"/>
    <row r="61015" hidden="1" x14ac:dyDescent="0.2"/>
    <row r="61016" hidden="1" x14ac:dyDescent="0.2"/>
    <row r="61017" hidden="1" x14ac:dyDescent="0.2"/>
    <row r="61018" hidden="1" x14ac:dyDescent="0.2"/>
    <row r="61019" hidden="1" x14ac:dyDescent="0.2"/>
    <row r="61020" hidden="1" x14ac:dyDescent="0.2"/>
    <row r="61021" hidden="1" x14ac:dyDescent="0.2"/>
    <row r="61022" hidden="1" x14ac:dyDescent="0.2"/>
    <row r="61023" hidden="1" x14ac:dyDescent="0.2"/>
    <row r="61024" hidden="1" x14ac:dyDescent="0.2"/>
    <row r="61025" hidden="1" x14ac:dyDescent="0.2"/>
    <row r="61026" hidden="1" x14ac:dyDescent="0.2"/>
    <row r="61027" hidden="1" x14ac:dyDescent="0.2"/>
    <row r="61028" hidden="1" x14ac:dyDescent="0.2"/>
    <row r="61029" hidden="1" x14ac:dyDescent="0.2"/>
    <row r="61030" hidden="1" x14ac:dyDescent="0.2"/>
    <row r="61031" hidden="1" x14ac:dyDescent="0.2"/>
    <row r="61032" hidden="1" x14ac:dyDescent="0.2"/>
    <row r="61033" hidden="1" x14ac:dyDescent="0.2"/>
    <row r="61034" hidden="1" x14ac:dyDescent="0.2"/>
    <row r="61035" hidden="1" x14ac:dyDescent="0.2"/>
    <row r="61036" hidden="1" x14ac:dyDescent="0.2"/>
    <row r="61037" hidden="1" x14ac:dyDescent="0.2"/>
    <row r="61038" hidden="1" x14ac:dyDescent="0.2"/>
    <row r="61039" hidden="1" x14ac:dyDescent="0.2"/>
    <row r="61040" hidden="1" x14ac:dyDescent="0.2"/>
    <row r="61041" hidden="1" x14ac:dyDescent="0.2"/>
    <row r="61042" hidden="1" x14ac:dyDescent="0.2"/>
    <row r="61043" hidden="1" x14ac:dyDescent="0.2"/>
    <row r="61044" hidden="1" x14ac:dyDescent="0.2"/>
    <row r="61045" hidden="1" x14ac:dyDescent="0.2"/>
    <row r="61046" hidden="1" x14ac:dyDescent="0.2"/>
    <row r="61047" hidden="1" x14ac:dyDescent="0.2"/>
    <row r="61048" hidden="1" x14ac:dyDescent="0.2"/>
    <row r="61049" hidden="1" x14ac:dyDescent="0.2"/>
    <row r="61050" hidden="1" x14ac:dyDescent="0.2"/>
    <row r="61051" hidden="1" x14ac:dyDescent="0.2"/>
    <row r="61052" hidden="1" x14ac:dyDescent="0.2"/>
    <row r="61053" hidden="1" x14ac:dyDescent="0.2"/>
    <row r="61054" hidden="1" x14ac:dyDescent="0.2"/>
    <row r="61055" hidden="1" x14ac:dyDescent="0.2"/>
    <row r="61056" hidden="1" x14ac:dyDescent="0.2"/>
    <row r="61057" hidden="1" x14ac:dyDescent="0.2"/>
    <row r="61058" hidden="1" x14ac:dyDescent="0.2"/>
    <row r="61059" hidden="1" x14ac:dyDescent="0.2"/>
    <row r="61060" hidden="1" x14ac:dyDescent="0.2"/>
    <row r="61061" hidden="1" x14ac:dyDescent="0.2"/>
    <row r="61062" hidden="1" x14ac:dyDescent="0.2"/>
    <row r="61063" hidden="1" x14ac:dyDescent="0.2"/>
    <row r="61064" hidden="1" x14ac:dyDescent="0.2"/>
    <row r="61065" hidden="1" x14ac:dyDescent="0.2"/>
    <row r="61066" hidden="1" x14ac:dyDescent="0.2"/>
    <row r="61067" hidden="1" x14ac:dyDescent="0.2"/>
    <row r="61068" hidden="1" x14ac:dyDescent="0.2"/>
    <row r="61069" hidden="1" x14ac:dyDescent="0.2"/>
    <row r="61070" hidden="1" x14ac:dyDescent="0.2"/>
    <row r="61071" hidden="1" x14ac:dyDescent="0.2"/>
    <row r="61072" hidden="1" x14ac:dyDescent="0.2"/>
    <row r="61073" hidden="1" x14ac:dyDescent="0.2"/>
    <row r="61074" hidden="1" x14ac:dyDescent="0.2"/>
    <row r="61075" hidden="1" x14ac:dyDescent="0.2"/>
    <row r="61076" hidden="1" x14ac:dyDescent="0.2"/>
    <row r="61077" hidden="1" x14ac:dyDescent="0.2"/>
    <row r="61078" hidden="1" x14ac:dyDescent="0.2"/>
    <row r="61079" hidden="1" x14ac:dyDescent="0.2"/>
    <row r="61080" hidden="1" x14ac:dyDescent="0.2"/>
    <row r="61081" hidden="1" x14ac:dyDescent="0.2"/>
    <row r="61082" hidden="1" x14ac:dyDescent="0.2"/>
    <row r="61083" hidden="1" x14ac:dyDescent="0.2"/>
    <row r="61084" hidden="1" x14ac:dyDescent="0.2"/>
    <row r="61085" hidden="1" x14ac:dyDescent="0.2"/>
    <row r="61086" hidden="1" x14ac:dyDescent="0.2"/>
    <row r="61087" hidden="1" x14ac:dyDescent="0.2"/>
    <row r="61088" hidden="1" x14ac:dyDescent="0.2"/>
    <row r="61089" hidden="1" x14ac:dyDescent="0.2"/>
    <row r="61090" hidden="1" x14ac:dyDescent="0.2"/>
    <row r="61091" hidden="1" x14ac:dyDescent="0.2"/>
    <row r="61092" hidden="1" x14ac:dyDescent="0.2"/>
    <row r="61093" hidden="1" x14ac:dyDescent="0.2"/>
    <row r="61094" hidden="1" x14ac:dyDescent="0.2"/>
    <row r="61095" hidden="1" x14ac:dyDescent="0.2"/>
    <row r="61096" hidden="1" x14ac:dyDescent="0.2"/>
    <row r="61097" hidden="1" x14ac:dyDescent="0.2"/>
    <row r="61098" hidden="1" x14ac:dyDescent="0.2"/>
    <row r="61099" hidden="1" x14ac:dyDescent="0.2"/>
    <row r="61100" hidden="1" x14ac:dyDescent="0.2"/>
    <row r="61101" hidden="1" x14ac:dyDescent="0.2"/>
    <row r="61102" hidden="1" x14ac:dyDescent="0.2"/>
    <row r="61103" hidden="1" x14ac:dyDescent="0.2"/>
    <row r="61104" hidden="1" x14ac:dyDescent="0.2"/>
    <row r="61105" hidden="1" x14ac:dyDescent="0.2"/>
    <row r="61106" hidden="1" x14ac:dyDescent="0.2"/>
    <row r="61107" hidden="1" x14ac:dyDescent="0.2"/>
    <row r="61108" hidden="1" x14ac:dyDescent="0.2"/>
    <row r="61109" hidden="1" x14ac:dyDescent="0.2"/>
    <row r="61110" hidden="1" x14ac:dyDescent="0.2"/>
    <row r="61111" hidden="1" x14ac:dyDescent="0.2"/>
    <row r="61112" hidden="1" x14ac:dyDescent="0.2"/>
    <row r="61113" hidden="1" x14ac:dyDescent="0.2"/>
    <row r="61114" hidden="1" x14ac:dyDescent="0.2"/>
    <row r="61115" hidden="1" x14ac:dyDescent="0.2"/>
    <row r="61116" hidden="1" x14ac:dyDescent="0.2"/>
    <row r="61117" hidden="1" x14ac:dyDescent="0.2"/>
    <row r="61118" hidden="1" x14ac:dyDescent="0.2"/>
    <row r="61119" hidden="1" x14ac:dyDescent="0.2"/>
    <row r="61120" hidden="1" x14ac:dyDescent="0.2"/>
    <row r="61121" hidden="1" x14ac:dyDescent="0.2"/>
    <row r="61122" hidden="1" x14ac:dyDescent="0.2"/>
    <row r="61123" hidden="1" x14ac:dyDescent="0.2"/>
    <row r="61124" hidden="1" x14ac:dyDescent="0.2"/>
    <row r="61125" hidden="1" x14ac:dyDescent="0.2"/>
    <row r="61126" hidden="1" x14ac:dyDescent="0.2"/>
    <row r="61127" hidden="1" x14ac:dyDescent="0.2"/>
    <row r="61128" hidden="1" x14ac:dyDescent="0.2"/>
    <row r="61129" hidden="1" x14ac:dyDescent="0.2"/>
    <row r="61130" hidden="1" x14ac:dyDescent="0.2"/>
    <row r="61131" hidden="1" x14ac:dyDescent="0.2"/>
    <row r="61132" hidden="1" x14ac:dyDescent="0.2"/>
    <row r="61133" hidden="1" x14ac:dyDescent="0.2"/>
    <row r="61134" hidden="1" x14ac:dyDescent="0.2"/>
    <row r="61135" hidden="1" x14ac:dyDescent="0.2"/>
    <row r="61136" hidden="1" x14ac:dyDescent="0.2"/>
    <row r="61137" hidden="1" x14ac:dyDescent="0.2"/>
    <row r="61138" hidden="1" x14ac:dyDescent="0.2"/>
    <row r="61139" hidden="1" x14ac:dyDescent="0.2"/>
    <row r="61140" hidden="1" x14ac:dyDescent="0.2"/>
    <row r="61141" hidden="1" x14ac:dyDescent="0.2"/>
    <row r="61142" hidden="1" x14ac:dyDescent="0.2"/>
    <row r="61143" hidden="1" x14ac:dyDescent="0.2"/>
    <row r="61144" hidden="1" x14ac:dyDescent="0.2"/>
    <row r="61145" hidden="1" x14ac:dyDescent="0.2"/>
    <row r="61146" hidden="1" x14ac:dyDescent="0.2"/>
    <row r="61147" hidden="1" x14ac:dyDescent="0.2"/>
    <row r="61148" hidden="1" x14ac:dyDescent="0.2"/>
    <row r="61149" hidden="1" x14ac:dyDescent="0.2"/>
    <row r="61150" hidden="1" x14ac:dyDescent="0.2"/>
    <row r="61151" hidden="1" x14ac:dyDescent="0.2"/>
    <row r="61152" hidden="1" x14ac:dyDescent="0.2"/>
    <row r="61153" hidden="1" x14ac:dyDescent="0.2"/>
    <row r="61154" hidden="1" x14ac:dyDescent="0.2"/>
    <row r="61155" hidden="1" x14ac:dyDescent="0.2"/>
    <row r="61156" hidden="1" x14ac:dyDescent="0.2"/>
    <row r="61157" hidden="1" x14ac:dyDescent="0.2"/>
    <row r="61158" hidden="1" x14ac:dyDescent="0.2"/>
    <row r="61159" hidden="1" x14ac:dyDescent="0.2"/>
    <row r="61160" hidden="1" x14ac:dyDescent="0.2"/>
    <row r="61161" hidden="1" x14ac:dyDescent="0.2"/>
    <row r="61162" hidden="1" x14ac:dyDescent="0.2"/>
    <row r="61163" hidden="1" x14ac:dyDescent="0.2"/>
    <row r="61164" hidden="1" x14ac:dyDescent="0.2"/>
    <row r="61165" hidden="1" x14ac:dyDescent="0.2"/>
    <row r="61166" hidden="1" x14ac:dyDescent="0.2"/>
    <row r="61167" hidden="1" x14ac:dyDescent="0.2"/>
    <row r="61168" hidden="1" x14ac:dyDescent="0.2"/>
    <row r="61169" hidden="1" x14ac:dyDescent="0.2"/>
    <row r="61170" hidden="1" x14ac:dyDescent="0.2"/>
    <row r="61171" hidden="1" x14ac:dyDescent="0.2"/>
    <row r="61172" hidden="1" x14ac:dyDescent="0.2"/>
    <row r="61173" hidden="1" x14ac:dyDescent="0.2"/>
    <row r="61174" hidden="1" x14ac:dyDescent="0.2"/>
    <row r="61175" hidden="1" x14ac:dyDescent="0.2"/>
    <row r="61176" hidden="1" x14ac:dyDescent="0.2"/>
    <row r="61177" hidden="1" x14ac:dyDescent="0.2"/>
    <row r="61178" hidden="1" x14ac:dyDescent="0.2"/>
    <row r="61179" hidden="1" x14ac:dyDescent="0.2"/>
    <row r="61180" hidden="1" x14ac:dyDescent="0.2"/>
    <row r="61181" hidden="1" x14ac:dyDescent="0.2"/>
    <row r="61182" hidden="1" x14ac:dyDescent="0.2"/>
    <row r="61183" hidden="1" x14ac:dyDescent="0.2"/>
    <row r="61184" hidden="1" x14ac:dyDescent="0.2"/>
    <row r="61185" hidden="1" x14ac:dyDescent="0.2"/>
    <row r="61186" hidden="1" x14ac:dyDescent="0.2"/>
    <row r="61187" hidden="1" x14ac:dyDescent="0.2"/>
    <row r="61188" hidden="1" x14ac:dyDescent="0.2"/>
    <row r="61189" hidden="1" x14ac:dyDescent="0.2"/>
    <row r="61190" hidden="1" x14ac:dyDescent="0.2"/>
    <row r="61191" hidden="1" x14ac:dyDescent="0.2"/>
    <row r="61192" hidden="1" x14ac:dyDescent="0.2"/>
    <row r="61193" hidden="1" x14ac:dyDescent="0.2"/>
    <row r="61194" hidden="1" x14ac:dyDescent="0.2"/>
    <row r="61195" hidden="1" x14ac:dyDescent="0.2"/>
    <row r="61196" hidden="1" x14ac:dyDescent="0.2"/>
    <row r="61197" hidden="1" x14ac:dyDescent="0.2"/>
    <row r="61198" hidden="1" x14ac:dyDescent="0.2"/>
    <row r="61199" hidden="1" x14ac:dyDescent="0.2"/>
    <row r="61200" hidden="1" x14ac:dyDescent="0.2"/>
    <row r="61201" hidden="1" x14ac:dyDescent="0.2"/>
    <row r="61202" hidden="1" x14ac:dyDescent="0.2"/>
    <row r="61203" hidden="1" x14ac:dyDescent="0.2"/>
    <row r="61204" hidden="1" x14ac:dyDescent="0.2"/>
    <row r="61205" hidden="1" x14ac:dyDescent="0.2"/>
    <row r="61206" hidden="1" x14ac:dyDescent="0.2"/>
    <row r="61207" hidden="1" x14ac:dyDescent="0.2"/>
    <row r="61208" hidden="1" x14ac:dyDescent="0.2"/>
    <row r="61209" hidden="1" x14ac:dyDescent="0.2"/>
    <row r="61210" hidden="1" x14ac:dyDescent="0.2"/>
    <row r="61211" hidden="1" x14ac:dyDescent="0.2"/>
    <row r="61212" hidden="1" x14ac:dyDescent="0.2"/>
    <row r="61213" hidden="1" x14ac:dyDescent="0.2"/>
    <row r="61214" hidden="1" x14ac:dyDescent="0.2"/>
    <row r="61215" hidden="1" x14ac:dyDescent="0.2"/>
    <row r="61216" hidden="1" x14ac:dyDescent="0.2"/>
    <row r="61217" hidden="1" x14ac:dyDescent="0.2"/>
    <row r="61218" hidden="1" x14ac:dyDescent="0.2"/>
    <row r="61219" hidden="1" x14ac:dyDescent="0.2"/>
    <row r="61220" hidden="1" x14ac:dyDescent="0.2"/>
    <row r="61221" hidden="1" x14ac:dyDescent="0.2"/>
    <row r="61222" hidden="1" x14ac:dyDescent="0.2"/>
    <row r="61223" hidden="1" x14ac:dyDescent="0.2"/>
    <row r="61224" hidden="1" x14ac:dyDescent="0.2"/>
    <row r="61225" hidden="1" x14ac:dyDescent="0.2"/>
    <row r="61226" hidden="1" x14ac:dyDescent="0.2"/>
    <row r="61227" hidden="1" x14ac:dyDescent="0.2"/>
    <row r="61228" hidden="1" x14ac:dyDescent="0.2"/>
    <row r="61229" hidden="1" x14ac:dyDescent="0.2"/>
    <row r="61230" hidden="1" x14ac:dyDescent="0.2"/>
    <row r="61231" hidden="1" x14ac:dyDescent="0.2"/>
    <row r="61232" hidden="1" x14ac:dyDescent="0.2"/>
    <row r="61233" hidden="1" x14ac:dyDescent="0.2"/>
    <row r="61234" hidden="1" x14ac:dyDescent="0.2"/>
    <row r="61235" hidden="1" x14ac:dyDescent="0.2"/>
    <row r="61236" hidden="1" x14ac:dyDescent="0.2"/>
    <row r="61237" hidden="1" x14ac:dyDescent="0.2"/>
    <row r="61238" hidden="1" x14ac:dyDescent="0.2"/>
    <row r="61239" hidden="1" x14ac:dyDescent="0.2"/>
    <row r="61240" hidden="1" x14ac:dyDescent="0.2"/>
    <row r="61241" hidden="1" x14ac:dyDescent="0.2"/>
    <row r="61242" hidden="1" x14ac:dyDescent="0.2"/>
    <row r="61243" hidden="1" x14ac:dyDescent="0.2"/>
    <row r="61244" hidden="1" x14ac:dyDescent="0.2"/>
    <row r="61245" hidden="1" x14ac:dyDescent="0.2"/>
    <row r="61246" hidden="1" x14ac:dyDescent="0.2"/>
    <row r="61247" hidden="1" x14ac:dyDescent="0.2"/>
    <row r="61248" hidden="1" x14ac:dyDescent="0.2"/>
    <row r="61249" hidden="1" x14ac:dyDescent="0.2"/>
    <row r="61250" hidden="1" x14ac:dyDescent="0.2"/>
    <row r="61251" hidden="1" x14ac:dyDescent="0.2"/>
    <row r="61252" hidden="1" x14ac:dyDescent="0.2"/>
    <row r="61253" hidden="1" x14ac:dyDescent="0.2"/>
    <row r="61254" hidden="1" x14ac:dyDescent="0.2"/>
    <row r="61255" hidden="1" x14ac:dyDescent="0.2"/>
    <row r="61256" hidden="1" x14ac:dyDescent="0.2"/>
    <row r="61257" hidden="1" x14ac:dyDescent="0.2"/>
    <row r="61258" hidden="1" x14ac:dyDescent="0.2"/>
    <row r="61259" hidden="1" x14ac:dyDescent="0.2"/>
    <row r="61260" hidden="1" x14ac:dyDescent="0.2"/>
    <row r="61261" hidden="1" x14ac:dyDescent="0.2"/>
    <row r="61262" hidden="1" x14ac:dyDescent="0.2"/>
    <row r="61263" hidden="1" x14ac:dyDescent="0.2"/>
    <row r="61264" hidden="1" x14ac:dyDescent="0.2"/>
    <row r="61265" hidden="1" x14ac:dyDescent="0.2"/>
    <row r="61266" hidden="1" x14ac:dyDescent="0.2"/>
    <row r="61267" hidden="1" x14ac:dyDescent="0.2"/>
    <row r="61268" hidden="1" x14ac:dyDescent="0.2"/>
    <row r="61269" hidden="1" x14ac:dyDescent="0.2"/>
    <row r="61270" hidden="1" x14ac:dyDescent="0.2"/>
    <row r="61271" hidden="1" x14ac:dyDescent="0.2"/>
    <row r="61272" hidden="1" x14ac:dyDescent="0.2"/>
    <row r="61273" hidden="1" x14ac:dyDescent="0.2"/>
    <row r="61274" hidden="1" x14ac:dyDescent="0.2"/>
    <row r="61275" hidden="1" x14ac:dyDescent="0.2"/>
    <row r="61276" hidden="1" x14ac:dyDescent="0.2"/>
    <row r="61277" hidden="1" x14ac:dyDescent="0.2"/>
    <row r="61278" hidden="1" x14ac:dyDescent="0.2"/>
    <row r="61279" hidden="1" x14ac:dyDescent="0.2"/>
    <row r="61280" hidden="1" x14ac:dyDescent="0.2"/>
    <row r="61281" hidden="1" x14ac:dyDescent="0.2"/>
    <row r="61282" hidden="1" x14ac:dyDescent="0.2"/>
    <row r="61283" hidden="1" x14ac:dyDescent="0.2"/>
    <row r="61284" hidden="1" x14ac:dyDescent="0.2"/>
    <row r="61285" hidden="1" x14ac:dyDescent="0.2"/>
    <row r="61286" hidden="1" x14ac:dyDescent="0.2"/>
    <row r="61287" hidden="1" x14ac:dyDescent="0.2"/>
    <row r="61288" hidden="1" x14ac:dyDescent="0.2"/>
    <row r="61289" hidden="1" x14ac:dyDescent="0.2"/>
    <row r="61290" hidden="1" x14ac:dyDescent="0.2"/>
    <row r="61291" hidden="1" x14ac:dyDescent="0.2"/>
    <row r="61292" hidden="1" x14ac:dyDescent="0.2"/>
    <row r="61293" hidden="1" x14ac:dyDescent="0.2"/>
    <row r="61294" hidden="1" x14ac:dyDescent="0.2"/>
    <row r="61295" hidden="1" x14ac:dyDescent="0.2"/>
    <row r="61296" hidden="1" x14ac:dyDescent="0.2"/>
    <row r="61297" hidden="1" x14ac:dyDescent="0.2"/>
    <row r="61298" hidden="1" x14ac:dyDescent="0.2"/>
    <row r="61299" hidden="1" x14ac:dyDescent="0.2"/>
    <row r="61300" hidden="1" x14ac:dyDescent="0.2"/>
    <row r="61301" hidden="1" x14ac:dyDescent="0.2"/>
    <row r="61302" hidden="1" x14ac:dyDescent="0.2"/>
    <row r="61303" hidden="1" x14ac:dyDescent="0.2"/>
    <row r="61304" hidden="1" x14ac:dyDescent="0.2"/>
    <row r="61305" hidden="1" x14ac:dyDescent="0.2"/>
    <row r="61306" hidden="1" x14ac:dyDescent="0.2"/>
    <row r="61307" hidden="1" x14ac:dyDescent="0.2"/>
    <row r="61308" hidden="1" x14ac:dyDescent="0.2"/>
    <row r="61309" hidden="1" x14ac:dyDescent="0.2"/>
    <row r="61310" hidden="1" x14ac:dyDescent="0.2"/>
    <row r="61311" hidden="1" x14ac:dyDescent="0.2"/>
    <row r="61312" hidden="1" x14ac:dyDescent="0.2"/>
    <row r="61313" hidden="1" x14ac:dyDescent="0.2"/>
    <row r="61314" hidden="1" x14ac:dyDescent="0.2"/>
    <row r="61315" hidden="1" x14ac:dyDescent="0.2"/>
    <row r="61316" hidden="1" x14ac:dyDescent="0.2"/>
    <row r="61317" hidden="1" x14ac:dyDescent="0.2"/>
    <row r="61318" hidden="1" x14ac:dyDescent="0.2"/>
    <row r="61319" hidden="1" x14ac:dyDescent="0.2"/>
    <row r="61320" hidden="1" x14ac:dyDescent="0.2"/>
    <row r="61321" hidden="1" x14ac:dyDescent="0.2"/>
    <row r="61322" hidden="1" x14ac:dyDescent="0.2"/>
    <row r="61323" hidden="1" x14ac:dyDescent="0.2"/>
    <row r="61324" hidden="1" x14ac:dyDescent="0.2"/>
    <row r="61325" hidden="1" x14ac:dyDescent="0.2"/>
    <row r="61326" hidden="1" x14ac:dyDescent="0.2"/>
    <row r="61327" hidden="1" x14ac:dyDescent="0.2"/>
    <row r="61328" hidden="1" x14ac:dyDescent="0.2"/>
    <row r="61329" hidden="1" x14ac:dyDescent="0.2"/>
    <row r="61330" hidden="1" x14ac:dyDescent="0.2"/>
    <row r="61331" hidden="1" x14ac:dyDescent="0.2"/>
    <row r="61332" hidden="1" x14ac:dyDescent="0.2"/>
    <row r="61333" hidden="1" x14ac:dyDescent="0.2"/>
    <row r="61334" hidden="1" x14ac:dyDescent="0.2"/>
    <row r="61335" hidden="1" x14ac:dyDescent="0.2"/>
    <row r="61336" hidden="1" x14ac:dyDescent="0.2"/>
    <row r="61337" hidden="1" x14ac:dyDescent="0.2"/>
    <row r="61338" hidden="1" x14ac:dyDescent="0.2"/>
    <row r="61339" hidden="1" x14ac:dyDescent="0.2"/>
    <row r="61340" hidden="1" x14ac:dyDescent="0.2"/>
    <row r="61341" hidden="1" x14ac:dyDescent="0.2"/>
    <row r="61342" hidden="1" x14ac:dyDescent="0.2"/>
    <row r="61343" hidden="1" x14ac:dyDescent="0.2"/>
    <row r="61344" hidden="1" x14ac:dyDescent="0.2"/>
    <row r="61345" hidden="1" x14ac:dyDescent="0.2"/>
    <row r="61346" hidden="1" x14ac:dyDescent="0.2"/>
    <row r="61347" hidden="1" x14ac:dyDescent="0.2"/>
    <row r="61348" hidden="1" x14ac:dyDescent="0.2"/>
    <row r="61349" hidden="1" x14ac:dyDescent="0.2"/>
    <row r="61350" hidden="1" x14ac:dyDescent="0.2"/>
    <row r="61351" hidden="1" x14ac:dyDescent="0.2"/>
    <row r="61352" hidden="1" x14ac:dyDescent="0.2"/>
    <row r="61353" hidden="1" x14ac:dyDescent="0.2"/>
    <row r="61354" hidden="1" x14ac:dyDescent="0.2"/>
    <row r="61355" hidden="1" x14ac:dyDescent="0.2"/>
    <row r="61356" hidden="1" x14ac:dyDescent="0.2"/>
    <row r="61357" hidden="1" x14ac:dyDescent="0.2"/>
    <row r="61358" hidden="1" x14ac:dyDescent="0.2"/>
    <row r="61359" hidden="1" x14ac:dyDescent="0.2"/>
    <row r="61360" hidden="1" x14ac:dyDescent="0.2"/>
    <row r="61361" hidden="1" x14ac:dyDescent="0.2"/>
    <row r="61362" hidden="1" x14ac:dyDescent="0.2"/>
    <row r="61363" hidden="1" x14ac:dyDescent="0.2"/>
    <row r="61364" hidden="1" x14ac:dyDescent="0.2"/>
    <row r="61365" hidden="1" x14ac:dyDescent="0.2"/>
    <row r="61366" hidden="1" x14ac:dyDescent="0.2"/>
    <row r="61367" hidden="1" x14ac:dyDescent="0.2"/>
    <row r="61368" hidden="1" x14ac:dyDescent="0.2"/>
    <row r="61369" hidden="1" x14ac:dyDescent="0.2"/>
    <row r="61370" hidden="1" x14ac:dyDescent="0.2"/>
    <row r="61371" hidden="1" x14ac:dyDescent="0.2"/>
    <row r="61372" hidden="1" x14ac:dyDescent="0.2"/>
    <row r="61373" hidden="1" x14ac:dyDescent="0.2"/>
    <row r="61374" hidden="1" x14ac:dyDescent="0.2"/>
    <row r="61375" hidden="1" x14ac:dyDescent="0.2"/>
    <row r="61376" hidden="1" x14ac:dyDescent="0.2"/>
    <row r="61377" hidden="1" x14ac:dyDescent="0.2"/>
    <row r="61378" hidden="1" x14ac:dyDescent="0.2"/>
    <row r="61379" hidden="1" x14ac:dyDescent="0.2"/>
    <row r="61380" hidden="1" x14ac:dyDescent="0.2"/>
    <row r="61381" hidden="1" x14ac:dyDescent="0.2"/>
    <row r="61382" hidden="1" x14ac:dyDescent="0.2"/>
    <row r="61383" hidden="1" x14ac:dyDescent="0.2"/>
    <row r="61384" hidden="1" x14ac:dyDescent="0.2"/>
    <row r="61385" hidden="1" x14ac:dyDescent="0.2"/>
    <row r="61386" hidden="1" x14ac:dyDescent="0.2"/>
    <row r="61387" hidden="1" x14ac:dyDescent="0.2"/>
    <row r="61388" hidden="1" x14ac:dyDescent="0.2"/>
    <row r="61389" hidden="1" x14ac:dyDescent="0.2"/>
    <row r="61390" hidden="1" x14ac:dyDescent="0.2"/>
    <row r="61391" hidden="1" x14ac:dyDescent="0.2"/>
    <row r="61392" hidden="1" x14ac:dyDescent="0.2"/>
    <row r="61393" hidden="1" x14ac:dyDescent="0.2"/>
    <row r="61394" hidden="1" x14ac:dyDescent="0.2"/>
    <row r="61395" hidden="1" x14ac:dyDescent="0.2"/>
    <row r="61396" hidden="1" x14ac:dyDescent="0.2"/>
    <row r="61397" hidden="1" x14ac:dyDescent="0.2"/>
    <row r="61398" hidden="1" x14ac:dyDescent="0.2"/>
    <row r="61399" hidden="1" x14ac:dyDescent="0.2"/>
    <row r="61400" hidden="1" x14ac:dyDescent="0.2"/>
    <row r="61401" hidden="1" x14ac:dyDescent="0.2"/>
    <row r="61402" hidden="1" x14ac:dyDescent="0.2"/>
    <row r="61403" hidden="1" x14ac:dyDescent="0.2"/>
    <row r="61404" hidden="1" x14ac:dyDescent="0.2"/>
    <row r="61405" hidden="1" x14ac:dyDescent="0.2"/>
    <row r="61406" hidden="1" x14ac:dyDescent="0.2"/>
    <row r="61407" hidden="1" x14ac:dyDescent="0.2"/>
    <row r="61408" hidden="1" x14ac:dyDescent="0.2"/>
    <row r="61409" hidden="1" x14ac:dyDescent="0.2"/>
    <row r="61410" hidden="1" x14ac:dyDescent="0.2"/>
    <row r="61411" hidden="1" x14ac:dyDescent="0.2"/>
    <row r="61412" hidden="1" x14ac:dyDescent="0.2"/>
    <row r="61413" hidden="1" x14ac:dyDescent="0.2"/>
    <row r="61414" hidden="1" x14ac:dyDescent="0.2"/>
    <row r="61415" hidden="1" x14ac:dyDescent="0.2"/>
    <row r="61416" hidden="1" x14ac:dyDescent="0.2"/>
    <row r="61417" hidden="1" x14ac:dyDescent="0.2"/>
    <row r="61418" hidden="1" x14ac:dyDescent="0.2"/>
    <row r="61419" hidden="1" x14ac:dyDescent="0.2"/>
    <row r="61420" hidden="1" x14ac:dyDescent="0.2"/>
    <row r="61421" hidden="1" x14ac:dyDescent="0.2"/>
    <row r="61422" hidden="1" x14ac:dyDescent="0.2"/>
    <row r="61423" hidden="1" x14ac:dyDescent="0.2"/>
    <row r="61424" hidden="1" x14ac:dyDescent="0.2"/>
    <row r="61425" hidden="1" x14ac:dyDescent="0.2"/>
    <row r="61426" hidden="1" x14ac:dyDescent="0.2"/>
    <row r="61427" hidden="1" x14ac:dyDescent="0.2"/>
    <row r="61428" hidden="1" x14ac:dyDescent="0.2"/>
    <row r="61429" hidden="1" x14ac:dyDescent="0.2"/>
    <row r="61430" hidden="1" x14ac:dyDescent="0.2"/>
    <row r="61431" hidden="1" x14ac:dyDescent="0.2"/>
    <row r="61432" hidden="1" x14ac:dyDescent="0.2"/>
    <row r="61433" hidden="1" x14ac:dyDescent="0.2"/>
    <row r="61434" hidden="1" x14ac:dyDescent="0.2"/>
    <row r="61435" hidden="1" x14ac:dyDescent="0.2"/>
    <row r="61436" hidden="1" x14ac:dyDescent="0.2"/>
    <row r="61437" hidden="1" x14ac:dyDescent="0.2"/>
    <row r="61438" hidden="1" x14ac:dyDescent="0.2"/>
    <row r="61439" hidden="1" x14ac:dyDescent="0.2"/>
    <row r="61440" hidden="1" x14ac:dyDescent="0.2"/>
    <row r="61441" hidden="1" x14ac:dyDescent="0.2"/>
    <row r="61442" hidden="1" x14ac:dyDescent="0.2"/>
    <row r="61443" hidden="1" x14ac:dyDescent="0.2"/>
    <row r="61444" hidden="1" x14ac:dyDescent="0.2"/>
    <row r="61445" hidden="1" x14ac:dyDescent="0.2"/>
    <row r="61446" hidden="1" x14ac:dyDescent="0.2"/>
    <row r="61447" hidden="1" x14ac:dyDescent="0.2"/>
    <row r="61448" hidden="1" x14ac:dyDescent="0.2"/>
    <row r="61449" hidden="1" x14ac:dyDescent="0.2"/>
    <row r="61450" hidden="1" x14ac:dyDescent="0.2"/>
    <row r="61451" hidden="1" x14ac:dyDescent="0.2"/>
    <row r="61452" hidden="1" x14ac:dyDescent="0.2"/>
    <row r="61453" hidden="1" x14ac:dyDescent="0.2"/>
    <row r="61454" hidden="1" x14ac:dyDescent="0.2"/>
    <row r="61455" hidden="1" x14ac:dyDescent="0.2"/>
    <row r="61456" hidden="1" x14ac:dyDescent="0.2"/>
    <row r="61457" hidden="1" x14ac:dyDescent="0.2"/>
    <row r="61458" hidden="1" x14ac:dyDescent="0.2"/>
    <row r="61459" hidden="1" x14ac:dyDescent="0.2"/>
    <row r="61460" hidden="1" x14ac:dyDescent="0.2"/>
    <row r="61461" hidden="1" x14ac:dyDescent="0.2"/>
    <row r="61462" hidden="1" x14ac:dyDescent="0.2"/>
    <row r="61463" hidden="1" x14ac:dyDescent="0.2"/>
    <row r="61464" hidden="1" x14ac:dyDescent="0.2"/>
    <row r="61465" hidden="1" x14ac:dyDescent="0.2"/>
    <row r="61466" hidden="1" x14ac:dyDescent="0.2"/>
    <row r="61467" hidden="1" x14ac:dyDescent="0.2"/>
    <row r="61468" hidden="1" x14ac:dyDescent="0.2"/>
    <row r="61469" hidden="1" x14ac:dyDescent="0.2"/>
    <row r="61470" hidden="1" x14ac:dyDescent="0.2"/>
    <row r="61471" hidden="1" x14ac:dyDescent="0.2"/>
    <row r="61472" hidden="1" x14ac:dyDescent="0.2"/>
    <row r="61473" hidden="1" x14ac:dyDescent="0.2"/>
    <row r="61474" hidden="1" x14ac:dyDescent="0.2"/>
    <row r="61475" hidden="1" x14ac:dyDescent="0.2"/>
    <row r="61476" hidden="1" x14ac:dyDescent="0.2"/>
    <row r="61477" hidden="1" x14ac:dyDescent="0.2"/>
    <row r="61478" hidden="1" x14ac:dyDescent="0.2"/>
    <row r="61479" hidden="1" x14ac:dyDescent="0.2"/>
    <row r="61480" hidden="1" x14ac:dyDescent="0.2"/>
    <row r="61481" hidden="1" x14ac:dyDescent="0.2"/>
    <row r="61482" hidden="1" x14ac:dyDescent="0.2"/>
    <row r="61483" hidden="1" x14ac:dyDescent="0.2"/>
    <row r="61484" hidden="1" x14ac:dyDescent="0.2"/>
    <row r="61485" hidden="1" x14ac:dyDescent="0.2"/>
    <row r="61486" hidden="1" x14ac:dyDescent="0.2"/>
    <row r="61487" hidden="1" x14ac:dyDescent="0.2"/>
    <row r="61488" hidden="1" x14ac:dyDescent="0.2"/>
    <row r="61489" hidden="1" x14ac:dyDescent="0.2"/>
    <row r="61490" hidden="1" x14ac:dyDescent="0.2"/>
    <row r="61491" hidden="1" x14ac:dyDescent="0.2"/>
    <row r="61492" hidden="1" x14ac:dyDescent="0.2"/>
    <row r="61493" hidden="1" x14ac:dyDescent="0.2"/>
    <row r="61494" hidden="1" x14ac:dyDescent="0.2"/>
    <row r="61495" hidden="1" x14ac:dyDescent="0.2"/>
    <row r="61496" hidden="1" x14ac:dyDescent="0.2"/>
    <row r="61497" hidden="1" x14ac:dyDescent="0.2"/>
    <row r="61498" hidden="1" x14ac:dyDescent="0.2"/>
    <row r="61499" hidden="1" x14ac:dyDescent="0.2"/>
    <row r="61500" hidden="1" x14ac:dyDescent="0.2"/>
    <row r="61501" hidden="1" x14ac:dyDescent="0.2"/>
    <row r="61502" hidden="1" x14ac:dyDescent="0.2"/>
    <row r="61503" hidden="1" x14ac:dyDescent="0.2"/>
    <row r="61504" hidden="1" x14ac:dyDescent="0.2"/>
    <row r="61505" hidden="1" x14ac:dyDescent="0.2"/>
    <row r="61506" hidden="1" x14ac:dyDescent="0.2"/>
    <row r="61507" hidden="1" x14ac:dyDescent="0.2"/>
    <row r="61508" hidden="1" x14ac:dyDescent="0.2"/>
    <row r="61509" hidden="1" x14ac:dyDescent="0.2"/>
    <row r="61510" hidden="1" x14ac:dyDescent="0.2"/>
    <row r="61511" hidden="1" x14ac:dyDescent="0.2"/>
    <row r="61512" hidden="1" x14ac:dyDescent="0.2"/>
    <row r="61513" hidden="1" x14ac:dyDescent="0.2"/>
    <row r="61514" hidden="1" x14ac:dyDescent="0.2"/>
    <row r="61515" hidden="1" x14ac:dyDescent="0.2"/>
    <row r="61516" hidden="1" x14ac:dyDescent="0.2"/>
    <row r="61517" hidden="1" x14ac:dyDescent="0.2"/>
    <row r="61518" hidden="1" x14ac:dyDescent="0.2"/>
    <row r="61519" hidden="1" x14ac:dyDescent="0.2"/>
    <row r="61520" hidden="1" x14ac:dyDescent="0.2"/>
    <row r="61521" hidden="1" x14ac:dyDescent="0.2"/>
    <row r="61522" hidden="1" x14ac:dyDescent="0.2"/>
    <row r="61523" hidden="1" x14ac:dyDescent="0.2"/>
    <row r="61524" hidden="1" x14ac:dyDescent="0.2"/>
    <row r="61525" hidden="1" x14ac:dyDescent="0.2"/>
    <row r="61526" hidden="1" x14ac:dyDescent="0.2"/>
    <row r="61527" hidden="1" x14ac:dyDescent="0.2"/>
    <row r="61528" hidden="1" x14ac:dyDescent="0.2"/>
    <row r="61529" hidden="1" x14ac:dyDescent="0.2"/>
    <row r="61530" hidden="1" x14ac:dyDescent="0.2"/>
    <row r="61531" hidden="1" x14ac:dyDescent="0.2"/>
    <row r="61532" hidden="1" x14ac:dyDescent="0.2"/>
    <row r="61533" hidden="1" x14ac:dyDescent="0.2"/>
    <row r="61534" hidden="1" x14ac:dyDescent="0.2"/>
    <row r="61535" hidden="1" x14ac:dyDescent="0.2"/>
    <row r="61536" hidden="1" x14ac:dyDescent="0.2"/>
    <row r="61537" hidden="1" x14ac:dyDescent="0.2"/>
    <row r="61538" hidden="1" x14ac:dyDescent="0.2"/>
    <row r="61539" hidden="1" x14ac:dyDescent="0.2"/>
    <row r="61540" hidden="1" x14ac:dyDescent="0.2"/>
    <row r="61541" hidden="1" x14ac:dyDescent="0.2"/>
    <row r="61542" hidden="1" x14ac:dyDescent="0.2"/>
    <row r="61543" hidden="1" x14ac:dyDescent="0.2"/>
    <row r="61544" hidden="1" x14ac:dyDescent="0.2"/>
    <row r="61545" hidden="1" x14ac:dyDescent="0.2"/>
    <row r="61546" hidden="1" x14ac:dyDescent="0.2"/>
    <row r="61547" hidden="1" x14ac:dyDescent="0.2"/>
    <row r="61548" hidden="1" x14ac:dyDescent="0.2"/>
    <row r="61549" hidden="1" x14ac:dyDescent="0.2"/>
    <row r="61550" hidden="1" x14ac:dyDescent="0.2"/>
    <row r="61551" hidden="1" x14ac:dyDescent="0.2"/>
    <row r="61552" hidden="1" x14ac:dyDescent="0.2"/>
    <row r="61553" hidden="1" x14ac:dyDescent="0.2"/>
    <row r="61554" hidden="1" x14ac:dyDescent="0.2"/>
    <row r="61555" hidden="1" x14ac:dyDescent="0.2"/>
    <row r="61556" hidden="1" x14ac:dyDescent="0.2"/>
    <row r="61557" hidden="1" x14ac:dyDescent="0.2"/>
    <row r="61558" hidden="1" x14ac:dyDescent="0.2"/>
    <row r="61559" hidden="1" x14ac:dyDescent="0.2"/>
    <row r="61560" hidden="1" x14ac:dyDescent="0.2"/>
    <row r="61561" hidden="1" x14ac:dyDescent="0.2"/>
    <row r="61562" hidden="1" x14ac:dyDescent="0.2"/>
    <row r="61563" hidden="1" x14ac:dyDescent="0.2"/>
    <row r="61564" hidden="1" x14ac:dyDescent="0.2"/>
    <row r="61565" hidden="1" x14ac:dyDescent="0.2"/>
    <row r="61566" hidden="1" x14ac:dyDescent="0.2"/>
    <row r="61567" hidden="1" x14ac:dyDescent="0.2"/>
    <row r="61568" hidden="1" x14ac:dyDescent="0.2"/>
    <row r="61569" hidden="1" x14ac:dyDescent="0.2"/>
    <row r="61570" hidden="1" x14ac:dyDescent="0.2"/>
    <row r="61571" hidden="1" x14ac:dyDescent="0.2"/>
    <row r="61572" hidden="1" x14ac:dyDescent="0.2"/>
    <row r="61573" hidden="1" x14ac:dyDescent="0.2"/>
    <row r="61574" hidden="1" x14ac:dyDescent="0.2"/>
    <row r="61575" hidden="1" x14ac:dyDescent="0.2"/>
    <row r="61576" hidden="1" x14ac:dyDescent="0.2"/>
    <row r="61577" hidden="1" x14ac:dyDescent="0.2"/>
    <row r="61578" hidden="1" x14ac:dyDescent="0.2"/>
    <row r="61579" hidden="1" x14ac:dyDescent="0.2"/>
    <row r="61580" hidden="1" x14ac:dyDescent="0.2"/>
    <row r="61581" hidden="1" x14ac:dyDescent="0.2"/>
    <row r="61582" hidden="1" x14ac:dyDescent="0.2"/>
    <row r="61583" hidden="1" x14ac:dyDescent="0.2"/>
    <row r="61584" hidden="1" x14ac:dyDescent="0.2"/>
    <row r="61585" hidden="1" x14ac:dyDescent="0.2"/>
    <row r="61586" hidden="1" x14ac:dyDescent="0.2"/>
    <row r="61587" hidden="1" x14ac:dyDescent="0.2"/>
    <row r="61588" hidden="1" x14ac:dyDescent="0.2"/>
    <row r="61589" hidden="1" x14ac:dyDescent="0.2"/>
    <row r="61590" hidden="1" x14ac:dyDescent="0.2"/>
    <row r="61591" hidden="1" x14ac:dyDescent="0.2"/>
    <row r="61592" hidden="1" x14ac:dyDescent="0.2"/>
    <row r="61593" hidden="1" x14ac:dyDescent="0.2"/>
    <row r="61594" hidden="1" x14ac:dyDescent="0.2"/>
    <row r="61595" hidden="1" x14ac:dyDescent="0.2"/>
    <row r="61596" hidden="1" x14ac:dyDescent="0.2"/>
    <row r="61597" hidden="1" x14ac:dyDescent="0.2"/>
    <row r="61598" hidden="1" x14ac:dyDescent="0.2"/>
    <row r="61599" hidden="1" x14ac:dyDescent="0.2"/>
    <row r="61600" hidden="1" x14ac:dyDescent="0.2"/>
    <row r="61601" hidden="1" x14ac:dyDescent="0.2"/>
    <row r="61602" hidden="1" x14ac:dyDescent="0.2"/>
    <row r="61603" hidden="1" x14ac:dyDescent="0.2"/>
    <row r="61604" hidden="1" x14ac:dyDescent="0.2"/>
    <row r="61605" hidden="1" x14ac:dyDescent="0.2"/>
    <row r="61606" hidden="1" x14ac:dyDescent="0.2"/>
    <row r="61607" hidden="1" x14ac:dyDescent="0.2"/>
    <row r="61608" hidden="1" x14ac:dyDescent="0.2"/>
    <row r="61609" hidden="1" x14ac:dyDescent="0.2"/>
    <row r="61610" hidden="1" x14ac:dyDescent="0.2"/>
    <row r="61611" hidden="1" x14ac:dyDescent="0.2"/>
    <row r="61612" hidden="1" x14ac:dyDescent="0.2"/>
    <row r="61613" hidden="1" x14ac:dyDescent="0.2"/>
    <row r="61614" hidden="1" x14ac:dyDescent="0.2"/>
    <row r="61615" hidden="1" x14ac:dyDescent="0.2"/>
    <row r="61616" hidden="1" x14ac:dyDescent="0.2"/>
    <row r="61617" hidden="1" x14ac:dyDescent="0.2"/>
    <row r="61618" hidden="1" x14ac:dyDescent="0.2"/>
    <row r="61619" hidden="1" x14ac:dyDescent="0.2"/>
    <row r="61620" hidden="1" x14ac:dyDescent="0.2"/>
    <row r="61621" hidden="1" x14ac:dyDescent="0.2"/>
    <row r="61622" hidden="1" x14ac:dyDescent="0.2"/>
    <row r="61623" hidden="1" x14ac:dyDescent="0.2"/>
    <row r="61624" hidden="1" x14ac:dyDescent="0.2"/>
    <row r="61625" hidden="1" x14ac:dyDescent="0.2"/>
    <row r="61626" hidden="1" x14ac:dyDescent="0.2"/>
    <row r="61627" hidden="1" x14ac:dyDescent="0.2"/>
    <row r="61628" hidden="1" x14ac:dyDescent="0.2"/>
    <row r="61629" hidden="1" x14ac:dyDescent="0.2"/>
    <row r="61630" hidden="1" x14ac:dyDescent="0.2"/>
    <row r="61631" hidden="1" x14ac:dyDescent="0.2"/>
    <row r="61632" hidden="1" x14ac:dyDescent="0.2"/>
    <row r="61633" hidden="1" x14ac:dyDescent="0.2"/>
    <row r="61634" hidden="1" x14ac:dyDescent="0.2"/>
    <row r="61635" hidden="1" x14ac:dyDescent="0.2"/>
    <row r="61636" hidden="1" x14ac:dyDescent="0.2"/>
    <row r="61637" hidden="1" x14ac:dyDescent="0.2"/>
    <row r="61638" hidden="1" x14ac:dyDescent="0.2"/>
    <row r="61639" hidden="1" x14ac:dyDescent="0.2"/>
    <row r="61640" hidden="1" x14ac:dyDescent="0.2"/>
    <row r="61641" hidden="1" x14ac:dyDescent="0.2"/>
    <row r="61642" hidden="1" x14ac:dyDescent="0.2"/>
    <row r="61643" hidden="1" x14ac:dyDescent="0.2"/>
    <row r="61644" hidden="1" x14ac:dyDescent="0.2"/>
    <row r="61645" hidden="1" x14ac:dyDescent="0.2"/>
    <row r="61646" hidden="1" x14ac:dyDescent="0.2"/>
    <row r="61647" hidden="1" x14ac:dyDescent="0.2"/>
    <row r="61648" hidden="1" x14ac:dyDescent="0.2"/>
    <row r="61649" hidden="1" x14ac:dyDescent="0.2"/>
    <row r="61650" hidden="1" x14ac:dyDescent="0.2"/>
    <row r="61651" hidden="1" x14ac:dyDescent="0.2"/>
    <row r="61652" hidden="1" x14ac:dyDescent="0.2"/>
    <row r="61653" hidden="1" x14ac:dyDescent="0.2"/>
    <row r="61654" hidden="1" x14ac:dyDescent="0.2"/>
    <row r="61655" hidden="1" x14ac:dyDescent="0.2"/>
    <row r="61656" hidden="1" x14ac:dyDescent="0.2"/>
    <row r="61657" hidden="1" x14ac:dyDescent="0.2"/>
    <row r="61658" hidden="1" x14ac:dyDescent="0.2"/>
    <row r="61659" hidden="1" x14ac:dyDescent="0.2"/>
    <row r="61660" hidden="1" x14ac:dyDescent="0.2"/>
    <row r="61661" hidden="1" x14ac:dyDescent="0.2"/>
    <row r="61662" hidden="1" x14ac:dyDescent="0.2"/>
    <row r="61663" hidden="1" x14ac:dyDescent="0.2"/>
    <row r="61664" hidden="1" x14ac:dyDescent="0.2"/>
    <row r="61665" hidden="1" x14ac:dyDescent="0.2"/>
    <row r="61666" hidden="1" x14ac:dyDescent="0.2"/>
    <row r="61667" hidden="1" x14ac:dyDescent="0.2"/>
    <row r="61668" hidden="1" x14ac:dyDescent="0.2"/>
    <row r="61669" hidden="1" x14ac:dyDescent="0.2"/>
    <row r="61670" hidden="1" x14ac:dyDescent="0.2"/>
    <row r="61671" hidden="1" x14ac:dyDescent="0.2"/>
    <row r="61672" hidden="1" x14ac:dyDescent="0.2"/>
    <row r="61673" hidden="1" x14ac:dyDescent="0.2"/>
    <row r="61674" hidden="1" x14ac:dyDescent="0.2"/>
    <row r="61675" hidden="1" x14ac:dyDescent="0.2"/>
    <row r="61676" hidden="1" x14ac:dyDescent="0.2"/>
    <row r="61677" hidden="1" x14ac:dyDescent="0.2"/>
    <row r="61678" hidden="1" x14ac:dyDescent="0.2"/>
    <row r="61679" hidden="1" x14ac:dyDescent="0.2"/>
    <row r="61680" hidden="1" x14ac:dyDescent="0.2"/>
    <row r="61681" hidden="1" x14ac:dyDescent="0.2"/>
    <row r="61682" hidden="1" x14ac:dyDescent="0.2"/>
    <row r="61683" hidden="1" x14ac:dyDescent="0.2"/>
    <row r="61684" hidden="1" x14ac:dyDescent="0.2"/>
    <row r="61685" hidden="1" x14ac:dyDescent="0.2"/>
    <row r="61686" hidden="1" x14ac:dyDescent="0.2"/>
    <row r="61687" hidden="1" x14ac:dyDescent="0.2"/>
    <row r="61688" hidden="1" x14ac:dyDescent="0.2"/>
    <row r="61689" hidden="1" x14ac:dyDescent="0.2"/>
    <row r="61690" hidden="1" x14ac:dyDescent="0.2"/>
    <row r="61691" hidden="1" x14ac:dyDescent="0.2"/>
    <row r="61692" hidden="1" x14ac:dyDescent="0.2"/>
    <row r="61693" hidden="1" x14ac:dyDescent="0.2"/>
    <row r="61694" hidden="1" x14ac:dyDescent="0.2"/>
    <row r="61695" hidden="1" x14ac:dyDescent="0.2"/>
    <row r="61696" hidden="1" x14ac:dyDescent="0.2"/>
    <row r="61697" hidden="1" x14ac:dyDescent="0.2"/>
    <row r="61698" hidden="1" x14ac:dyDescent="0.2"/>
    <row r="61699" hidden="1" x14ac:dyDescent="0.2"/>
    <row r="61700" hidden="1" x14ac:dyDescent="0.2"/>
    <row r="61701" hidden="1" x14ac:dyDescent="0.2"/>
    <row r="61702" hidden="1" x14ac:dyDescent="0.2"/>
    <row r="61703" hidden="1" x14ac:dyDescent="0.2"/>
    <row r="61704" hidden="1" x14ac:dyDescent="0.2"/>
    <row r="61705" hidden="1" x14ac:dyDescent="0.2"/>
    <row r="61706" hidden="1" x14ac:dyDescent="0.2"/>
    <row r="61707" hidden="1" x14ac:dyDescent="0.2"/>
    <row r="61708" hidden="1" x14ac:dyDescent="0.2"/>
    <row r="61709" hidden="1" x14ac:dyDescent="0.2"/>
    <row r="61710" hidden="1" x14ac:dyDescent="0.2"/>
    <row r="61711" hidden="1" x14ac:dyDescent="0.2"/>
    <row r="61712" hidden="1" x14ac:dyDescent="0.2"/>
    <row r="61713" hidden="1" x14ac:dyDescent="0.2"/>
    <row r="61714" hidden="1" x14ac:dyDescent="0.2"/>
    <row r="61715" hidden="1" x14ac:dyDescent="0.2"/>
    <row r="61716" hidden="1" x14ac:dyDescent="0.2"/>
    <row r="61717" hidden="1" x14ac:dyDescent="0.2"/>
    <row r="61718" hidden="1" x14ac:dyDescent="0.2"/>
    <row r="61719" hidden="1" x14ac:dyDescent="0.2"/>
    <row r="61720" hidden="1" x14ac:dyDescent="0.2"/>
    <row r="61721" hidden="1" x14ac:dyDescent="0.2"/>
    <row r="61722" hidden="1" x14ac:dyDescent="0.2"/>
    <row r="61723" hidden="1" x14ac:dyDescent="0.2"/>
    <row r="61724" hidden="1" x14ac:dyDescent="0.2"/>
    <row r="61725" hidden="1" x14ac:dyDescent="0.2"/>
    <row r="61726" hidden="1" x14ac:dyDescent="0.2"/>
    <row r="61727" hidden="1" x14ac:dyDescent="0.2"/>
    <row r="61728" hidden="1" x14ac:dyDescent="0.2"/>
    <row r="61729" hidden="1" x14ac:dyDescent="0.2"/>
    <row r="61730" hidden="1" x14ac:dyDescent="0.2"/>
    <row r="61731" hidden="1" x14ac:dyDescent="0.2"/>
    <row r="61732" hidden="1" x14ac:dyDescent="0.2"/>
    <row r="61733" hidden="1" x14ac:dyDescent="0.2"/>
    <row r="61734" hidden="1" x14ac:dyDescent="0.2"/>
    <row r="61735" hidden="1" x14ac:dyDescent="0.2"/>
    <row r="61736" hidden="1" x14ac:dyDescent="0.2"/>
    <row r="61737" hidden="1" x14ac:dyDescent="0.2"/>
    <row r="61738" hidden="1" x14ac:dyDescent="0.2"/>
    <row r="61739" hidden="1" x14ac:dyDescent="0.2"/>
    <row r="61740" hidden="1" x14ac:dyDescent="0.2"/>
    <row r="61741" hidden="1" x14ac:dyDescent="0.2"/>
    <row r="61742" hidden="1" x14ac:dyDescent="0.2"/>
    <row r="61743" hidden="1" x14ac:dyDescent="0.2"/>
    <row r="61744" hidden="1" x14ac:dyDescent="0.2"/>
    <row r="61745" hidden="1" x14ac:dyDescent="0.2"/>
    <row r="61746" hidden="1" x14ac:dyDescent="0.2"/>
    <row r="61747" hidden="1" x14ac:dyDescent="0.2"/>
    <row r="61748" hidden="1" x14ac:dyDescent="0.2"/>
    <row r="61749" hidden="1" x14ac:dyDescent="0.2"/>
    <row r="61750" hidden="1" x14ac:dyDescent="0.2"/>
    <row r="61751" hidden="1" x14ac:dyDescent="0.2"/>
    <row r="61752" hidden="1" x14ac:dyDescent="0.2"/>
    <row r="61753" hidden="1" x14ac:dyDescent="0.2"/>
    <row r="61754" hidden="1" x14ac:dyDescent="0.2"/>
    <row r="61755" hidden="1" x14ac:dyDescent="0.2"/>
    <row r="61756" hidden="1" x14ac:dyDescent="0.2"/>
    <row r="61757" hidden="1" x14ac:dyDescent="0.2"/>
    <row r="61758" hidden="1" x14ac:dyDescent="0.2"/>
    <row r="61759" hidden="1" x14ac:dyDescent="0.2"/>
    <row r="61760" hidden="1" x14ac:dyDescent="0.2"/>
    <row r="61761" hidden="1" x14ac:dyDescent="0.2"/>
    <row r="61762" hidden="1" x14ac:dyDescent="0.2"/>
    <row r="61763" hidden="1" x14ac:dyDescent="0.2"/>
    <row r="61764" hidden="1" x14ac:dyDescent="0.2"/>
    <row r="61765" hidden="1" x14ac:dyDescent="0.2"/>
    <row r="61766" hidden="1" x14ac:dyDescent="0.2"/>
    <row r="61767" hidden="1" x14ac:dyDescent="0.2"/>
    <row r="61768" hidden="1" x14ac:dyDescent="0.2"/>
    <row r="61769" hidden="1" x14ac:dyDescent="0.2"/>
    <row r="61770" hidden="1" x14ac:dyDescent="0.2"/>
    <row r="61771" hidden="1" x14ac:dyDescent="0.2"/>
    <row r="61772" hidden="1" x14ac:dyDescent="0.2"/>
    <row r="61773" hidden="1" x14ac:dyDescent="0.2"/>
    <row r="61774" hidden="1" x14ac:dyDescent="0.2"/>
    <row r="61775" hidden="1" x14ac:dyDescent="0.2"/>
    <row r="61776" hidden="1" x14ac:dyDescent="0.2"/>
    <row r="61777" hidden="1" x14ac:dyDescent="0.2"/>
    <row r="61778" hidden="1" x14ac:dyDescent="0.2"/>
    <row r="61779" hidden="1" x14ac:dyDescent="0.2"/>
    <row r="61780" hidden="1" x14ac:dyDescent="0.2"/>
    <row r="61781" hidden="1" x14ac:dyDescent="0.2"/>
    <row r="61782" hidden="1" x14ac:dyDescent="0.2"/>
    <row r="61783" hidden="1" x14ac:dyDescent="0.2"/>
    <row r="61784" hidden="1" x14ac:dyDescent="0.2"/>
    <row r="61785" hidden="1" x14ac:dyDescent="0.2"/>
    <row r="61786" hidden="1" x14ac:dyDescent="0.2"/>
    <row r="61787" hidden="1" x14ac:dyDescent="0.2"/>
    <row r="61788" hidden="1" x14ac:dyDescent="0.2"/>
    <row r="61789" hidden="1" x14ac:dyDescent="0.2"/>
    <row r="61790" hidden="1" x14ac:dyDescent="0.2"/>
    <row r="61791" hidden="1" x14ac:dyDescent="0.2"/>
    <row r="61792" hidden="1" x14ac:dyDescent="0.2"/>
    <row r="61793" hidden="1" x14ac:dyDescent="0.2"/>
    <row r="61794" hidden="1" x14ac:dyDescent="0.2"/>
    <row r="61795" hidden="1" x14ac:dyDescent="0.2"/>
    <row r="61796" hidden="1" x14ac:dyDescent="0.2"/>
    <row r="61797" hidden="1" x14ac:dyDescent="0.2"/>
    <row r="61798" hidden="1" x14ac:dyDescent="0.2"/>
    <row r="61799" hidden="1" x14ac:dyDescent="0.2"/>
    <row r="61800" hidden="1" x14ac:dyDescent="0.2"/>
    <row r="61801" hidden="1" x14ac:dyDescent="0.2"/>
    <row r="61802" hidden="1" x14ac:dyDescent="0.2"/>
    <row r="61803" hidden="1" x14ac:dyDescent="0.2"/>
    <row r="61804" hidden="1" x14ac:dyDescent="0.2"/>
    <row r="61805" hidden="1" x14ac:dyDescent="0.2"/>
    <row r="61806" hidden="1" x14ac:dyDescent="0.2"/>
    <row r="61807" hidden="1" x14ac:dyDescent="0.2"/>
    <row r="61808" hidden="1" x14ac:dyDescent="0.2"/>
    <row r="61809" hidden="1" x14ac:dyDescent="0.2"/>
    <row r="61810" hidden="1" x14ac:dyDescent="0.2"/>
    <row r="61811" hidden="1" x14ac:dyDescent="0.2"/>
    <row r="61812" hidden="1" x14ac:dyDescent="0.2"/>
    <row r="61813" hidden="1" x14ac:dyDescent="0.2"/>
    <row r="61814" hidden="1" x14ac:dyDescent="0.2"/>
    <row r="61815" hidden="1" x14ac:dyDescent="0.2"/>
    <row r="61816" hidden="1" x14ac:dyDescent="0.2"/>
    <row r="61817" hidden="1" x14ac:dyDescent="0.2"/>
    <row r="61818" hidden="1" x14ac:dyDescent="0.2"/>
    <row r="61819" hidden="1" x14ac:dyDescent="0.2"/>
    <row r="61820" hidden="1" x14ac:dyDescent="0.2"/>
    <row r="61821" hidden="1" x14ac:dyDescent="0.2"/>
    <row r="61822" hidden="1" x14ac:dyDescent="0.2"/>
    <row r="61823" hidden="1" x14ac:dyDescent="0.2"/>
    <row r="61824" hidden="1" x14ac:dyDescent="0.2"/>
    <row r="61825" hidden="1" x14ac:dyDescent="0.2"/>
    <row r="61826" hidden="1" x14ac:dyDescent="0.2"/>
    <row r="61827" hidden="1" x14ac:dyDescent="0.2"/>
    <row r="61828" hidden="1" x14ac:dyDescent="0.2"/>
    <row r="61829" hidden="1" x14ac:dyDescent="0.2"/>
    <row r="61830" hidden="1" x14ac:dyDescent="0.2"/>
    <row r="61831" hidden="1" x14ac:dyDescent="0.2"/>
    <row r="61832" hidden="1" x14ac:dyDescent="0.2"/>
    <row r="61833" hidden="1" x14ac:dyDescent="0.2"/>
    <row r="61834" hidden="1" x14ac:dyDescent="0.2"/>
    <row r="61835" hidden="1" x14ac:dyDescent="0.2"/>
    <row r="61836" hidden="1" x14ac:dyDescent="0.2"/>
    <row r="61837" hidden="1" x14ac:dyDescent="0.2"/>
    <row r="61838" hidden="1" x14ac:dyDescent="0.2"/>
    <row r="61839" hidden="1" x14ac:dyDescent="0.2"/>
    <row r="61840" hidden="1" x14ac:dyDescent="0.2"/>
    <row r="61841" hidden="1" x14ac:dyDescent="0.2"/>
    <row r="61842" hidden="1" x14ac:dyDescent="0.2"/>
    <row r="61843" hidden="1" x14ac:dyDescent="0.2"/>
    <row r="61844" hidden="1" x14ac:dyDescent="0.2"/>
    <row r="61845" hidden="1" x14ac:dyDescent="0.2"/>
    <row r="61846" hidden="1" x14ac:dyDescent="0.2"/>
    <row r="61847" hidden="1" x14ac:dyDescent="0.2"/>
    <row r="61848" hidden="1" x14ac:dyDescent="0.2"/>
    <row r="61849" hidden="1" x14ac:dyDescent="0.2"/>
    <row r="61850" hidden="1" x14ac:dyDescent="0.2"/>
    <row r="61851" hidden="1" x14ac:dyDescent="0.2"/>
    <row r="61852" hidden="1" x14ac:dyDescent="0.2"/>
    <row r="61853" hidden="1" x14ac:dyDescent="0.2"/>
    <row r="61854" hidden="1" x14ac:dyDescent="0.2"/>
    <row r="61855" hidden="1" x14ac:dyDescent="0.2"/>
    <row r="61856" hidden="1" x14ac:dyDescent="0.2"/>
    <row r="61857" hidden="1" x14ac:dyDescent="0.2"/>
    <row r="61858" hidden="1" x14ac:dyDescent="0.2"/>
    <row r="61859" hidden="1" x14ac:dyDescent="0.2"/>
    <row r="61860" hidden="1" x14ac:dyDescent="0.2"/>
    <row r="61861" hidden="1" x14ac:dyDescent="0.2"/>
    <row r="61862" hidden="1" x14ac:dyDescent="0.2"/>
    <row r="61863" hidden="1" x14ac:dyDescent="0.2"/>
    <row r="61864" hidden="1" x14ac:dyDescent="0.2"/>
    <row r="61865" hidden="1" x14ac:dyDescent="0.2"/>
    <row r="61866" hidden="1" x14ac:dyDescent="0.2"/>
    <row r="61867" hidden="1" x14ac:dyDescent="0.2"/>
    <row r="61868" hidden="1" x14ac:dyDescent="0.2"/>
    <row r="61869" hidden="1" x14ac:dyDescent="0.2"/>
    <row r="61870" hidden="1" x14ac:dyDescent="0.2"/>
    <row r="61871" hidden="1" x14ac:dyDescent="0.2"/>
    <row r="61872" hidden="1" x14ac:dyDescent="0.2"/>
    <row r="61873" hidden="1" x14ac:dyDescent="0.2"/>
    <row r="61874" hidden="1" x14ac:dyDescent="0.2"/>
    <row r="61875" hidden="1" x14ac:dyDescent="0.2"/>
    <row r="61876" hidden="1" x14ac:dyDescent="0.2"/>
    <row r="61877" hidden="1" x14ac:dyDescent="0.2"/>
    <row r="61878" hidden="1" x14ac:dyDescent="0.2"/>
    <row r="61879" hidden="1" x14ac:dyDescent="0.2"/>
    <row r="61880" hidden="1" x14ac:dyDescent="0.2"/>
    <row r="61881" hidden="1" x14ac:dyDescent="0.2"/>
    <row r="61882" hidden="1" x14ac:dyDescent="0.2"/>
    <row r="61883" hidden="1" x14ac:dyDescent="0.2"/>
    <row r="61884" hidden="1" x14ac:dyDescent="0.2"/>
    <row r="61885" hidden="1" x14ac:dyDescent="0.2"/>
    <row r="61886" hidden="1" x14ac:dyDescent="0.2"/>
    <row r="61887" hidden="1" x14ac:dyDescent="0.2"/>
    <row r="61888" hidden="1" x14ac:dyDescent="0.2"/>
    <row r="61889" hidden="1" x14ac:dyDescent="0.2"/>
    <row r="61890" hidden="1" x14ac:dyDescent="0.2"/>
    <row r="61891" hidden="1" x14ac:dyDescent="0.2"/>
    <row r="61892" hidden="1" x14ac:dyDescent="0.2"/>
    <row r="61893" hidden="1" x14ac:dyDescent="0.2"/>
    <row r="61894" hidden="1" x14ac:dyDescent="0.2"/>
    <row r="61895" hidden="1" x14ac:dyDescent="0.2"/>
    <row r="61896" hidden="1" x14ac:dyDescent="0.2"/>
    <row r="61897" hidden="1" x14ac:dyDescent="0.2"/>
    <row r="61898" hidden="1" x14ac:dyDescent="0.2"/>
    <row r="61899" hidden="1" x14ac:dyDescent="0.2"/>
    <row r="61900" hidden="1" x14ac:dyDescent="0.2"/>
    <row r="61901" hidden="1" x14ac:dyDescent="0.2"/>
    <row r="61902" hidden="1" x14ac:dyDescent="0.2"/>
    <row r="61903" hidden="1" x14ac:dyDescent="0.2"/>
    <row r="61904" hidden="1" x14ac:dyDescent="0.2"/>
    <row r="61905" hidden="1" x14ac:dyDescent="0.2"/>
    <row r="61906" hidden="1" x14ac:dyDescent="0.2"/>
    <row r="61907" hidden="1" x14ac:dyDescent="0.2"/>
    <row r="61908" hidden="1" x14ac:dyDescent="0.2"/>
    <row r="61909" hidden="1" x14ac:dyDescent="0.2"/>
    <row r="61910" hidden="1" x14ac:dyDescent="0.2"/>
    <row r="61911" hidden="1" x14ac:dyDescent="0.2"/>
    <row r="61912" hidden="1" x14ac:dyDescent="0.2"/>
    <row r="61913" hidden="1" x14ac:dyDescent="0.2"/>
    <row r="61914" hidden="1" x14ac:dyDescent="0.2"/>
    <row r="61915" hidden="1" x14ac:dyDescent="0.2"/>
    <row r="61916" hidden="1" x14ac:dyDescent="0.2"/>
    <row r="61917" hidden="1" x14ac:dyDescent="0.2"/>
    <row r="61918" hidden="1" x14ac:dyDescent="0.2"/>
    <row r="61919" hidden="1" x14ac:dyDescent="0.2"/>
    <row r="61920" hidden="1" x14ac:dyDescent="0.2"/>
    <row r="61921" hidden="1" x14ac:dyDescent="0.2"/>
    <row r="61922" hidden="1" x14ac:dyDescent="0.2"/>
    <row r="61923" hidden="1" x14ac:dyDescent="0.2"/>
    <row r="61924" hidden="1" x14ac:dyDescent="0.2"/>
    <row r="61925" hidden="1" x14ac:dyDescent="0.2"/>
    <row r="61926" hidden="1" x14ac:dyDescent="0.2"/>
    <row r="61927" hidden="1" x14ac:dyDescent="0.2"/>
    <row r="61928" hidden="1" x14ac:dyDescent="0.2"/>
    <row r="61929" hidden="1" x14ac:dyDescent="0.2"/>
    <row r="61930" hidden="1" x14ac:dyDescent="0.2"/>
    <row r="61931" hidden="1" x14ac:dyDescent="0.2"/>
    <row r="61932" hidden="1" x14ac:dyDescent="0.2"/>
    <row r="61933" hidden="1" x14ac:dyDescent="0.2"/>
    <row r="61934" hidden="1" x14ac:dyDescent="0.2"/>
    <row r="61935" hidden="1" x14ac:dyDescent="0.2"/>
    <row r="61936" hidden="1" x14ac:dyDescent="0.2"/>
    <row r="61937" hidden="1" x14ac:dyDescent="0.2"/>
    <row r="61938" hidden="1" x14ac:dyDescent="0.2"/>
    <row r="61939" hidden="1" x14ac:dyDescent="0.2"/>
    <row r="61940" hidden="1" x14ac:dyDescent="0.2"/>
    <row r="61941" hidden="1" x14ac:dyDescent="0.2"/>
    <row r="61942" hidden="1" x14ac:dyDescent="0.2"/>
    <row r="61943" hidden="1" x14ac:dyDescent="0.2"/>
    <row r="61944" hidden="1" x14ac:dyDescent="0.2"/>
    <row r="61945" hidden="1" x14ac:dyDescent="0.2"/>
    <row r="61946" hidden="1" x14ac:dyDescent="0.2"/>
    <row r="61947" hidden="1" x14ac:dyDescent="0.2"/>
    <row r="61948" hidden="1" x14ac:dyDescent="0.2"/>
    <row r="61949" hidden="1" x14ac:dyDescent="0.2"/>
    <row r="61950" hidden="1" x14ac:dyDescent="0.2"/>
    <row r="61951" hidden="1" x14ac:dyDescent="0.2"/>
    <row r="61952" hidden="1" x14ac:dyDescent="0.2"/>
    <row r="61953" hidden="1" x14ac:dyDescent="0.2"/>
    <row r="61954" hidden="1" x14ac:dyDescent="0.2"/>
    <row r="61955" hidden="1" x14ac:dyDescent="0.2"/>
    <row r="61956" hidden="1" x14ac:dyDescent="0.2"/>
    <row r="61957" hidden="1" x14ac:dyDescent="0.2"/>
    <row r="61958" hidden="1" x14ac:dyDescent="0.2"/>
    <row r="61959" hidden="1" x14ac:dyDescent="0.2"/>
    <row r="61960" hidden="1" x14ac:dyDescent="0.2"/>
    <row r="61961" hidden="1" x14ac:dyDescent="0.2"/>
    <row r="61962" hidden="1" x14ac:dyDescent="0.2"/>
    <row r="61963" hidden="1" x14ac:dyDescent="0.2"/>
    <row r="61964" hidden="1" x14ac:dyDescent="0.2"/>
    <row r="61965" hidden="1" x14ac:dyDescent="0.2"/>
    <row r="61966" hidden="1" x14ac:dyDescent="0.2"/>
    <row r="61967" hidden="1" x14ac:dyDescent="0.2"/>
    <row r="61968" hidden="1" x14ac:dyDescent="0.2"/>
    <row r="61969" hidden="1" x14ac:dyDescent="0.2"/>
    <row r="61970" hidden="1" x14ac:dyDescent="0.2"/>
    <row r="61971" hidden="1" x14ac:dyDescent="0.2"/>
    <row r="61972" hidden="1" x14ac:dyDescent="0.2"/>
    <row r="61973" hidden="1" x14ac:dyDescent="0.2"/>
    <row r="61974" hidden="1" x14ac:dyDescent="0.2"/>
    <row r="61975" hidden="1" x14ac:dyDescent="0.2"/>
    <row r="61976" hidden="1" x14ac:dyDescent="0.2"/>
    <row r="61977" hidden="1" x14ac:dyDescent="0.2"/>
    <row r="61978" hidden="1" x14ac:dyDescent="0.2"/>
    <row r="61979" hidden="1" x14ac:dyDescent="0.2"/>
    <row r="61980" hidden="1" x14ac:dyDescent="0.2"/>
    <row r="61981" hidden="1" x14ac:dyDescent="0.2"/>
    <row r="61982" hidden="1" x14ac:dyDescent="0.2"/>
    <row r="61983" hidden="1" x14ac:dyDescent="0.2"/>
    <row r="61984" hidden="1" x14ac:dyDescent="0.2"/>
    <row r="61985" hidden="1" x14ac:dyDescent="0.2"/>
    <row r="61986" hidden="1" x14ac:dyDescent="0.2"/>
    <row r="61987" hidden="1" x14ac:dyDescent="0.2"/>
    <row r="61988" hidden="1" x14ac:dyDescent="0.2"/>
    <row r="61989" hidden="1" x14ac:dyDescent="0.2"/>
    <row r="61990" hidden="1" x14ac:dyDescent="0.2"/>
    <row r="61991" hidden="1" x14ac:dyDescent="0.2"/>
    <row r="61992" hidden="1" x14ac:dyDescent="0.2"/>
    <row r="61993" hidden="1" x14ac:dyDescent="0.2"/>
    <row r="61994" hidden="1" x14ac:dyDescent="0.2"/>
    <row r="61995" hidden="1" x14ac:dyDescent="0.2"/>
    <row r="61996" hidden="1" x14ac:dyDescent="0.2"/>
    <row r="61997" hidden="1" x14ac:dyDescent="0.2"/>
    <row r="61998" hidden="1" x14ac:dyDescent="0.2"/>
    <row r="61999" hidden="1" x14ac:dyDescent="0.2"/>
    <row r="62000" hidden="1" x14ac:dyDescent="0.2"/>
    <row r="62001" hidden="1" x14ac:dyDescent="0.2"/>
    <row r="62002" hidden="1" x14ac:dyDescent="0.2"/>
    <row r="62003" hidden="1" x14ac:dyDescent="0.2"/>
    <row r="62004" hidden="1" x14ac:dyDescent="0.2"/>
    <row r="62005" hidden="1" x14ac:dyDescent="0.2"/>
    <row r="62006" hidden="1" x14ac:dyDescent="0.2"/>
    <row r="62007" hidden="1" x14ac:dyDescent="0.2"/>
    <row r="62008" hidden="1" x14ac:dyDescent="0.2"/>
    <row r="62009" hidden="1" x14ac:dyDescent="0.2"/>
    <row r="62010" hidden="1" x14ac:dyDescent="0.2"/>
    <row r="62011" hidden="1" x14ac:dyDescent="0.2"/>
    <row r="62012" hidden="1" x14ac:dyDescent="0.2"/>
    <row r="62013" hidden="1" x14ac:dyDescent="0.2"/>
    <row r="62014" hidden="1" x14ac:dyDescent="0.2"/>
    <row r="62015" hidden="1" x14ac:dyDescent="0.2"/>
    <row r="62016" hidden="1" x14ac:dyDescent="0.2"/>
    <row r="62017" hidden="1" x14ac:dyDescent="0.2"/>
    <row r="62018" hidden="1" x14ac:dyDescent="0.2"/>
    <row r="62019" hidden="1" x14ac:dyDescent="0.2"/>
    <row r="62020" hidden="1" x14ac:dyDescent="0.2"/>
    <row r="62021" hidden="1" x14ac:dyDescent="0.2"/>
    <row r="62022" hidden="1" x14ac:dyDescent="0.2"/>
    <row r="62023" hidden="1" x14ac:dyDescent="0.2"/>
    <row r="62024" hidden="1" x14ac:dyDescent="0.2"/>
    <row r="62025" hidden="1" x14ac:dyDescent="0.2"/>
    <row r="62026" hidden="1" x14ac:dyDescent="0.2"/>
    <row r="62027" hidden="1" x14ac:dyDescent="0.2"/>
    <row r="62028" hidden="1" x14ac:dyDescent="0.2"/>
    <row r="62029" hidden="1" x14ac:dyDescent="0.2"/>
    <row r="62030" hidden="1" x14ac:dyDescent="0.2"/>
    <row r="62031" hidden="1" x14ac:dyDescent="0.2"/>
    <row r="62032" hidden="1" x14ac:dyDescent="0.2"/>
    <row r="62033" hidden="1" x14ac:dyDescent="0.2"/>
    <row r="62034" hidden="1" x14ac:dyDescent="0.2"/>
    <row r="62035" hidden="1" x14ac:dyDescent="0.2"/>
    <row r="62036" hidden="1" x14ac:dyDescent="0.2"/>
    <row r="62037" hidden="1" x14ac:dyDescent="0.2"/>
    <row r="62038" hidden="1" x14ac:dyDescent="0.2"/>
    <row r="62039" hidden="1" x14ac:dyDescent="0.2"/>
    <row r="62040" hidden="1" x14ac:dyDescent="0.2"/>
    <row r="62041" hidden="1" x14ac:dyDescent="0.2"/>
    <row r="62042" hidden="1" x14ac:dyDescent="0.2"/>
    <row r="62043" hidden="1" x14ac:dyDescent="0.2"/>
    <row r="62044" hidden="1" x14ac:dyDescent="0.2"/>
    <row r="62045" hidden="1" x14ac:dyDescent="0.2"/>
    <row r="62046" hidden="1" x14ac:dyDescent="0.2"/>
    <row r="62047" hidden="1" x14ac:dyDescent="0.2"/>
    <row r="62048" hidden="1" x14ac:dyDescent="0.2"/>
    <row r="62049" hidden="1" x14ac:dyDescent="0.2"/>
    <row r="62050" hidden="1" x14ac:dyDescent="0.2"/>
    <row r="62051" hidden="1" x14ac:dyDescent="0.2"/>
    <row r="62052" hidden="1" x14ac:dyDescent="0.2"/>
    <row r="62053" hidden="1" x14ac:dyDescent="0.2"/>
    <row r="62054" hidden="1" x14ac:dyDescent="0.2"/>
    <row r="62055" hidden="1" x14ac:dyDescent="0.2"/>
    <row r="62056" hidden="1" x14ac:dyDescent="0.2"/>
    <row r="62057" hidden="1" x14ac:dyDescent="0.2"/>
    <row r="62058" hidden="1" x14ac:dyDescent="0.2"/>
    <row r="62059" hidden="1" x14ac:dyDescent="0.2"/>
    <row r="62060" hidden="1" x14ac:dyDescent="0.2"/>
    <row r="62061" hidden="1" x14ac:dyDescent="0.2"/>
    <row r="62062" hidden="1" x14ac:dyDescent="0.2"/>
    <row r="62063" hidden="1" x14ac:dyDescent="0.2"/>
    <row r="62064" hidden="1" x14ac:dyDescent="0.2"/>
    <row r="62065" hidden="1" x14ac:dyDescent="0.2"/>
    <row r="62066" hidden="1" x14ac:dyDescent="0.2"/>
    <row r="62067" hidden="1" x14ac:dyDescent="0.2"/>
    <row r="62068" hidden="1" x14ac:dyDescent="0.2"/>
    <row r="62069" hidden="1" x14ac:dyDescent="0.2"/>
    <row r="62070" hidden="1" x14ac:dyDescent="0.2"/>
    <row r="62071" hidden="1" x14ac:dyDescent="0.2"/>
    <row r="62072" hidden="1" x14ac:dyDescent="0.2"/>
    <row r="62073" hidden="1" x14ac:dyDescent="0.2"/>
    <row r="62074" hidden="1" x14ac:dyDescent="0.2"/>
    <row r="62075" hidden="1" x14ac:dyDescent="0.2"/>
    <row r="62076" hidden="1" x14ac:dyDescent="0.2"/>
    <row r="62077" hidden="1" x14ac:dyDescent="0.2"/>
    <row r="62078" hidden="1" x14ac:dyDescent="0.2"/>
    <row r="62079" hidden="1" x14ac:dyDescent="0.2"/>
    <row r="62080" hidden="1" x14ac:dyDescent="0.2"/>
    <row r="62081" hidden="1" x14ac:dyDescent="0.2"/>
    <row r="62082" hidden="1" x14ac:dyDescent="0.2"/>
    <row r="62083" hidden="1" x14ac:dyDescent="0.2"/>
    <row r="62084" hidden="1" x14ac:dyDescent="0.2"/>
    <row r="62085" hidden="1" x14ac:dyDescent="0.2"/>
    <row r="62086" hidden="1" x14ac:dyDescent="0.2"/>
    <row r="62087" hidden="1" x14ac:dyDescent="0.2"/>
    <row r="62088" hidden="1" x14ac:dyDescent="0.2"/>
    <row r="62089" hidden="1" x14ac:dyDescent="0.2"/>
    <row r="62090" hidden="1" x14ac:dyDescent="0.2"/>
    <row r="62091" hidden="1" x14ac:dyDescent="0.2"/>
    <row r="62092" hidden="1" x14ac:dyDescent="0.2"/>
    <row r="62093" hidden="1" x14ac:dyDescent="0.2"/>
    <row r="62094" hidden="1" x14ac:dyDescent="0.2"/>
    <row r="62095" hidden="1" x14ac:dyDescent="0.2"/>
    <row r="62096" hidden="1" x14ac:dyDescent="0.2"/>
    <row r="62097" hidden="1" x14ac:dyDescent="0.2"/>
    <row r="62098" hidden="1" x14ac:dyDescent="0.2"/>
    <row r="62099" hidden="1" x14ac:dyDescent="0.2"/>
    <row r="62100" hidden="1" x14ac:dyDescent="0.2"/>
    <row r="62101" hidden="1" x14ac:dyDescent="0.2"/>
    <row r="62102" hidden="1" x14ac:dyDescent="0.2"/>
    <row r="62103" hidden="1" x14ac:dyDescent="0.2"/>
    <row r="62104" hidden="1" x14ac:dyDescent="0.2"/>
    <row r="62105" hidden="1" x14ac:dyDescent="0.2"/>
    <row r="62106" hidden="1" x14ac:dyDescent="0.2"/>
    <row r="62107" hidden="1" x14ac:dyDescent="0.2"/>
    <row r="62108" hidden="1" x14ac:dyDescent="0.2"/>
    <row r="62109" hidden="1" x14ac:dyDescent="0.2"/>
    <row r="62110" hidden="1" x14ac:dyDescent="0.2"/>
    <row r="62111" hidden="1" x14ac:dyDescent="0.2"/>
    <row r="62112" hidden="1" x14ac:dyDescent="0.2"/>
    <row r="62113" hidden="1" x14ac:dyDescent="0.2"/>
    <row r="62114" hidden="1" x14ac:dyDescent="0.2"/>
    <row r="62115" hidden="1" x14ac:dyDescent="0.2"/>
    <row r="62116" hidden="1" x14ac:dyDescent="0.2"/>
    <row r="62117" hidden="1" x14ac:dyDescent="0.2"/>
    <row r="62118" hidden="1" x14ac:dyDescent="0.2"/>
    <row r="62119" hidden="1" x14ac:dyDescent="0.2"/>
    <row r="62120" hidden="1" x14ac:dyDescent="0.2"/>
    <row r="62121" hidden="1" x14ac:dyDescent="0.2"/>
    <row r="62122" hidden="1" x14ac:dyDescent="0.2"/>
    <row r="62123" hidden="1" x14ac:dyDescent="0.2"/>
    <row r="62124" hidden="1" x14ac:dyDescent="0.2"/>
    <row r="62125" hidden="1" x14ac:dyDescent="0.2"/>
    <row r="62126" hidden="1" x14ac:dyDescent="0.2"/>
    <row r="62127" hidden="1" x14ac:dyDescent="0.2"/>
    <row r="62128" hidden="1" x14ac:dyDescent="0.2"/>
    <row r="62129" hidden="1" x14ac:dyDescent="0.2"/>
    <row r="62130" hidden="1" x14ac:dyDescent="0.2"/>
    <row r="62131" hidden="1" x14ac:dyDescent="0.2"/>
    <row r="62132" hidden="1" x14ac:dyDescent="0.2"/>
    <row r="62133" hidden="1" x14ac:dyDescent="0.2"/>
    <row r="62134" hidden="1" x14ac:dyDescent="0.2"/>
    <row r="62135" hidden="1" x14ac:dyDescent="0.2"/>
    <row r="62136" hidden="1" x14ac:dyDescent="0.2"/>
    <row r="62137" hidden="1" x14ac:dyDescent="0.2"/>
    <row r="62138" hidden="1" x14ac:dyDescent="0.2"/>
    <row r="62139" hidden="1" x14ac:dyDescent="0.2"/>
    <row r="62140" hidden="1" x14ac:dyDescent="0.2"/>
    <row r="62141" hidden="1" x14ac:dyDescent="0.2"/>
    <row r="62142" hidden="1" x14ac:dyDescent="0.2"/>
    <row r="62143" hidden="1" x14ac:dyDescent="0.2"/>
    <row r="62144" hidden="1" x14ac:dyDescent="0.2"/>
    <row r="62145" hidden="1" x14ac:dyDescent="0.2"/>
    <row r="62146" hidden="1" x14ac:dyDescent="0.2"/>
    <row r="62147" hidden="1" x14ac:dyDescent="0.2"/>
    <row r="62148" hidden="1" x14ac:dyDescent="0.2"/>
    <row r="62149" hidden="1" x14ac:dyDescent="0.2"/>
    <row r="62150" hidden="1" x14ac:dyDescent="0.2"/>
    <row r="62151" hidden="1" x14ac:dyDescent="0.2"/>
    <row r="62152" hidden="1" x14ac:dyDescent="0.2"/>
    <row r="62153" hidden="1" x14ac:dyDescent="0.2"/>
    <row r="62154" hidden="1" x14ac:dyDescent="0.2"/>
    <row r="62155" hidden="1" x14ac:dyDescent="0.2"/>
    <row r="62156" hidden="1" x14ac:dyDescent="0.2"/>
    <row r="62157" hidden="1" x14ac:dyDescent="0.2"/>
    <row r="62158" hidden="1" x14ac:dyDescent="0.2"/>
    <row r="62159" hidden="1" x14ac:dyDescent="0.2"/>
    <row r="62160" hidden="1" x14ac:dyDescent="0.2"/>
    <row r="62161" hidden="1" x14ac:dyDescent="0.2"/>
    <row r="62162" hidden="1" x14ac:dyDescent="0.2"/>
    <row r="62163" hidden="1" x14ac:dyDescent="0.2"/>
    <row r="62164" hidden="1" x14ac:dyDescent="0.2"/>
    <row r="62165" hidden="1" x14ac:dyDescent="0.2"/>
    <row r="62166" hidden="1" x14ac:dyDescent="0.2"/>
    <row r="62167" hidden="1" x14ac:dyDescent="0.2"/>
    <row r="62168" hidden="1" x14ac:dyDescent="0.2"/>
    <row r="62169" hidden="1" x14ac:dyDescent="0.2"/>
    <row r="62170" hidden="1" x14ac:dyDescent="0.2"/>
    <row r="62171" hidden="1" x14ac:dyDescent="0.2"/>
    <row r="62172" hidden="1" x14ac:dyDescent="0.2"/>
    <row r="62173" hidden="1" x14ac:dyDescent="0.2"/>
    <row r="62174" hidden="1" x14ac:dyDescent="0.2"/>
    <row r="62175" hidden="1" x14ac:dyDescent="0.2"/>
    <row r="62176" hidden="1" x14ac:dyDescent="0.2"/>
    <row r="62177" hidden="1" x14ac:dyDescent="0.2"/>
    <row r="62178" hidden="1" x14ac:dyDescent="0.2"/>
    <row r="62179" hidden="1" x14ac:dyDescent="0.2"/>
    <row r="62180" hidden="1" x14ac:dyDescent="0.2"/>
    <row r="62181" hidden="1" x14ac:dyDescent="0.2"/>
    <row r="62182" hidden="1" x14ac:dyDescent="0.2"/>
    <row r="62183" hidden="1" x14ac:dyDescent="0.2"/>
    <row r="62184" hidden="1" x14ac:dyDescent="0.2"/>
    <row r="62185" hidden="1" x14ac:dyDescent="0.2"/>
    <row r="62186" hidden="1" x14ac:dyDescent="0.2"/>
    <row r="62187" hidden="1" x14ac:dyDescent="0.2"/>
    <row r="62188" hidden="1" x14ac:dyDescent="0.2"/>
    <row r="62189" hidden="1" x14ac:dyDescent="0.2"/>
    <row r="62190" hidden="1" x14ac:dyDescent="0.2"/>
    <row r="62191" hidden="1" x14ac:dyDescent="0.2"/>
    <row r="62192" hidden="1" x14ac:dyDescent="0.2"/>
    <row r="62193" hidden="1" x14ac:dyDescent="0.2"/>
    <row r="62194" hidden="1" x14ac:dyDescent="0.2"/>
    <row r="62195" hidden="1" x14ac:dyDescent="0.2"/>
    <row r="62196" hidden="1" x14ac:dyDescent="0.2"/>
    <row r="62197" hidden="1" x14ac:dyDescent="0.2"/>
    <row r="62198" hidden="1" x14ac:dyDescent="0.2"/>
    <row r="62199" hidden="1" x14ac:dyDescent="0.2"/>
    <row r="62200" hidden="1" x14ac:dyDescent="0.2"/>
    <row r="62201" hidden="1" x14ac:dyDescent="0.2"/>
    <row r="62202" hidden="1" x14ac:dyDescent="0.2"/>
    <row r="62203" hidden="1" x14ac:dyDescent="0.2"/>
    <row r="62204" hidden="1" x14ac:dyDescent="0.2"/>
    <row r="62205" hidden="1" x14ac:dyDescent="0.2"/>
    <row r="62206" hidden="1" x14ac:dyDescent="0.2"/>
    <row r="62207" hidden="1" x14ac:dyDescent="0.2"/>
    <row r="62208" hidden="1" x14ac:dyDescent="0.2"/>
    <row r="62209" hidden="1" x14ac:dyDescent="0.2"/>
    <row r="62210" hidden="1" x14ac:dyDescent="0.2"/>
    <row r="62211" hidden="1" x14ac:dyDescent="0.2"/>
    <row r="62212" hidden="1" x14ac:dyDescent="0.2"/>
    <row r="62213" hidden="1" x14ac:dyDescent="0.2"/>
    <row r="62214" hidden="1" x14ac:dyDescent="0.2"/>
    <row r="62215" hidden="1" x14ac:dyDescent="0.2"/>
    <row r="62216" hidden="1" x14ac:dyDescent="0.2"/>
    <row r="62217" hidden="1" x14ac:dyDescent="0.2"/>
    <row r="62218" hidden="1" x14ac:dyDescent="0.2"/>
    <row r="62219" hidden="1" x14ac:dyDescent="0.2"/>
    <row r="62220" hidden="1" x14ac:dyDescent="0.2"/>
    <row r="62221" hidden="1" x14ac:dyDescent="0.2"/>
    <row r="62222" hidden="1" x14ac:dyDescent="0.2"/>
    <row r="62223" hidden="1" x14ac:dyDescent="0.2"/>
    <row r="62224" hidden="1" x14ac:dyDescent="0.2"/>
    <row r="62225" hidden="1" x14ac:dyDescent="0.2"/>
    <row r="62226" hidden="1" x14ac:dyDescent="0.2"/>
    <row r="62227" hidden="1" x14ac:dyDescent="0.2"/>
    <row r="62228" hidden="1" x14ac:dyDescent="0.2"/>
    <row r="62229" hidden="1" x14ac:dyDescent="0.2"/>
    <row r="62230" hidden="1" x14ac:dyDescent="0.2"/>
    <row r="62231" hidden="1" x14ac:dyDescent="0.2"/>
    <row r="62232" hidden="1" x14ac:dyDescent="0.2"/>
    <row r="62233" hidden="1" x14ac:dyDescent="0.2"/>
    <row r="62234" hidden="1" x14ac:dyDescent="0.2"/>
    <row r="62235" hidden="1" x14ac:dyDescent="0.2"/>
    <row r="62236" hidden="1" x14ac:dyDescent="0.2"/>
    <row r="62237" hidden="1" x14ac:dyDescent="0.2"/>
    <row r="62238" hidden="1" x14ac:dyDescent="0.2"/>
    <row r="62239" hidden="1" x14ac:dyDescent="0.2"/>
    <row r="62240" hidden="1" x14ac:dyDescent="0.2"/>
    <row r="62241" hidden="1" x14ac:dyDescent="0.2"/>
    <row r="62242" hidden="1" x14ac:dyDescent="0.2"/>
    <row r="62243" hidden="1" x14ac:dyDescent="0.2"/>
    <row r="62244" hidden="1" x14ac:dyDescent="0.2"/>
    <row r="62245" hidden="1" x14ac:dyDescent="0.2"/>
    <row r="62246" hidden="1" x14ac:dyDescent="0.2"/>
    <row r="62247" hidden="1" x14ac:dyDescent="0.2"/>
    <row r="62248" hidden="1" x14ac:dyDescent="0.2"/>
    <row r="62249" hidden="1" x14ac:dyDescent="0.2"/>
    <row r="62250" hidden="1" x14ac:dyDescent="0.2"/>
    <row r="62251" hidden="1" x14ac:dyDescent="0.2"/>
    <row r="62252" hidden="1" x14ac:dyDescent="0.2"/>
    <row r="62253" hidden="1" x14ac:dyDescent="0.2"/>
    <row r="62254" hidden="1" x14ac:dyDescent="0.2"/>
    <row r="62255" hidden="1" x14ac:dyDescent="0.2"/>
    <row r="62256" hidden="1" x14ac:dyDescent="0.2"/>
    <row r="62257" hidden="1" x14ac:dyDescent="0.2"/>
    <row r="62258" hidden="1" x14ac:dyDescent="0.2"/>
    <row r="62259" hidden="1" x14ac:dyDescent="0.2"/>
    <row r="62260" hidden="1" x14ac:dyDescent="0.2"/>
    <row r="62261" hidden="1" x14ac:dyDescent="0.2"/>
    <row r="62262" hidden="1" x14ac:dyDescent="0.2"/>
    <row r="62263" hidden="1" x14ac:dyDescent="0.2"/>
    <row r="62264" hidden="1" x14ac:dyDescent="0.2"/>
    <row r="62265" hidden="1" x14ac:dyDescent="0.2"/>
    <row r="62266" hidden="1" x14ac:dyDescent="0.2"/>
    <row r="62267" hidden="1" x14ac:dyDescent="0.2"/>
    <row r="62268" hidden="1" x14ac:dyDescent="0.2"/>
    <row r="62269" hidden="1" x14ac:dyDescent="0.2"/>
    <row r="62270" hidden="1" x14ac:dyDescent="0.2"/>
    <row r="62271" hidden="1" x14ac:dyDescent="0.2"/>
    <row r="62272" hidden="1" x14ac:dyDescent="0.2"/>
    <row r="62273" hidden="1" x14ac:dyDescent="0.2"/>
    <row r="62274" hidden="1" x14ac:dyDescent="0.2"/>
    <row r="62275" hidden="1" x14ac:dyDescent="0.2"/>
    <row r="62276" hidden="1" x14ac:dyDescent="0.2"/>
    <row r="62277" hidden="1" x14ac:dyDescent="0.2"/>
    <row r="62278" hidden="1" x14ac:dyDescent="0.2"/>
    <row r="62279" hidden="1" x14ac:dyDescent="0.2"/>
    <row r="62280" hidden="1" x14ac:dyDescent="0.2"/>
    <row r="62281" hidden="1" x14ac:dyDescent="0.2"/>
    <row r="62282" hidden="1" x14ac:dyDescent="0.2"/>
    <row r="62283" hidden="1" x14ac:dyDescent="0.2"/>
    <row r="62284" hidden="1" x14ac:dyDescent="0.2"/>
    <row r="62285" hidden="1" x14ac:dyDescent="0.2"/>
    <row r="62286" hidden="1" x14ac:dyDescent="0.2"/>
    <row r="62287" hidden="1" x14ac:dyDescent="0.2"/>
    <row r="62288" hidden="1" x14ac:dyDescent="0.2"/>
    <row r="62289" hidden="1" x14ac:dyDescent="0.2"/>
    <row r="62290" hidden="1" x14ac:dyDescent="0.2"/>
    <row r="62291" hidden="1" x14ac:dyDescent="0.2"/>
    <row r="62292" hidden="1" x14ac:dyDescent="0.2"/>
    <row r="62293" hidden="1" x14ac:dyDescent="0.2"/>
    <row r="62294" hidden="1" x14ac:dyDescent="0.2"/>
    <row r="62295" hidden="1" x14ac:dyDescent="0.2"/>
    <row r="62296" hidden="1" x14ac:dyDescent="0.2"/>
    <row r="62297" hidden="1" x14ac:dyDescent="0.2"/>
    <row r="62298" hidden="1" x14ac:dyDescent="0.2"/>
    <row r="62299" hidden="1" x14ac:dyDescent="0.2"/>
    <row r="62300" hidden="1" x14ac:dyDescent="0.2"/>
    <row r="62301" hidden="1" x14ac:dyDescent="0.2"/>
    <row r="62302" hidden="1" x14ac:dyDescent="0.2"/>
    <row r="62303" hidden="1" x14ac:dyDescent="0.2"/>
    <row r="62304" hidden="1" x14ac:dyDescent="0.2"/>
    <row r="62305" hidden="1" x14ac:dyDescent="0.2"/>
    <row r="62306" hidden="1" x14ac:dyDescent="0.2"/>
    <row r="62307" hidden="1" x14ac:dyDescent="0.2"/>
    <row r="62308" hidden="1" x14ac:dyDescent="0.2"/>
    <row r="62309" hidden="1" x14ac:dyDescent="0.2"/>
    <row r="62310" hidden="1" x14ac:dyDescent="0.2"/>
    <row r="62311" hidden="1" x14ac:dyDescent="0.2"/>
    <row r="62312" hidden="1" x14ac:dyDescent="0.2"/>
    <row r="62313" hidden="1" x14ac:dyDescent="0.2"/>
    <row r="62314" hidden="1" x14ac:dyDescent="0.2"/>
    <row r="62315" hidden="1" x14ac:dyDescent="0.2"/>
    <row r="62316" hidden="1" x14ac:dyDescent="0.2"/>
    <row r="62317" hidden="1" x14ac:dyDescent="0.2"/>
    <row r="62318" hidden="1" x14ac:dyDescent="0.2"/>
    <row r="62319" hidden="1" x14ac:dyDescent="0.2"/>
    <row r="62320" hidden="1" x14ac:dyDescent="0.2"/>
    <row r="62321" hidden="1" x14ac:dyDescent="0.2"/>
    <row r="62322" hidden="1" x14ac:dyDescent="0.2"/>
    <row r="62323" hidden="1" x14ac:dyDescent="0.2"/>
    <row r="62324" hidden="1" x14ac:dyDescent="0.2"/>
    <row r="62325" hidden="1" x14ac:dyDescent="0.2"/>
    <row r="62326" hidden="1" x14ac:dyDescent="0.2"/>
    <row r="62327" hidden="1" x14ac:dyDescent="0.2"/>
    <row r="62328" hidden="1" x14ac:dyDescent="0.2"/>
    <row r="62329" hidden="1" x14ac:dyDescent="0.2"/>
    <row r="62330" hidden="1" x14ac:dyDescent="0.2"/>
    <row r="62331" hidden="1" x14ac:dyDescent="0.2"/>
    <row r="62332" hidden="1" x14ac:dyDescent="0.2"/>
    <row r="62333" hidden="1" x14ac:dyDescent="0.2"/>
    <row r="62334" hidden="1" x14ac:dyDescent="0.2"/>
    <row r="62335" hidden="1" x14ac:dyDescent="0.2"/>
    <row r="62336" hidden="1" x14ac:dyDescent="0.2"/>
    <row r="62337" hidden="1" x14ac:dyDescent="0.2"/>
    <row r="62338" hidden="1" x14ac:dyDescent="0.2"/>
    <row r="62339" hidden="1" x14ac:dyDescent="0.2"/>
    <row r="62340" hidden="1" x14ac:dyDescent="0.2"/>
    <row r="62341" hidden="1" x14ac:dyDescent="0.2"/>
    <row r="62342" hidden="1" x14ac:dyDescent="0.2"/>
    <row r="62343" hidden="1" x14ac:dyDescent="0.2"/>
    <row r="62344" hidden="1" x14ac:dyDescent="0.2"/>
    <row r="62345" hidden="1" x14ac:dyDescent="0.2"/>
    <row r="62346" hidden="1" x14ac:dyDescent="0.2"/>
    <row r="62347" hidden="1" x14ac:dyDescent="0.2"/>
    <row r="62348" hidden="1" x14ac:dyDescent="0.2"/>
    <row r="62349" hidden="1" x14ac:dyDescent="0.2"/>
    <row r="62350" hidden="1" x14ac:dyDescent="0.2"/>
    <row r="62351" hidden="1" x14ac:dyDescent="0.2"/>
    <row r="62352" hidden="1" x14ac:dyDescent="0.2"/>
    <row r="62353" hidden="1" x14ac:dyDescent="0.2"/>
    <row r="62354" hidden="1" x14ac:dyDescent="0.2"/>
    <row r="62355" hidden="1" x14ac:dyDescent="0.2"/>
    <row r="62356" hidden="1" x14ac:dyDescent="0.2"/>
    <row r="62357" hidden="1" x14ac:dyDescent="0.2"/>
    <row r="62358" hidden="1" x14ac:dyDescent="0.2"/>
    <row r="62359" hidden="1" x14ac:dyDescent="0.2"/>
    <row r="62360" hidden="1" x14ac:dyDescent="0.2"/>
    <row r="62361" hidden="1" x14ac:dyDescent="0.2"/>
    <row r="62362" hidden="1" x14ac:dyDescent="0.2"/>
    <row r="62363" hidden="1" x14ac:dyDescent="0.2"/>
    <row r="62364" hidden="1" x14ac:dyDescent="0.2"/>
    <row r="62365" hidden="1" x14ac:dyDescent="0.2"/>
    <row r="62366" hidden="1" x14ac:dyDescent="0.2"/>
    <row r="62367" hidden="1" x14ac:dyDescent="0.2"/>
    <row r="62368" hidden="1" x14ac:dyDescent="0.2"/>
    <row r="62369" hidden="1" x14ac:dyDescent="0.2"/>
    <row r="62370" hidden="1" x14ac:dyDescent="0.2"/>
    <row r="62371" hidden="1" x14ac:dyDescent="0.2"/>
    <row r="62372" hidden="1" x14ac:dyDescent="0.2"/>
    <row r="62373" hidden="1" x14ac:dyDescent="0.2"/>
    <row r="62374" hidden="1" x14ac:dyDescent="0.2"/>
    <row r="62375" hidden="1" x14ac:dyDescent="0.2"/>
    <row r="62376" hidden="1" x14ac:dyDescent="0.2"/>
    <row r="62377" hidden="1" x14ac:dyDescent="0.2"/>
    <row r="62378" hidden="1" x14ac:dyDescent="0.2"/>
    <row r="62379" hidden="1" x14ac:dyDescent="0.2"/>
    <row r="62380" hidden="1" x14ac:dyDescent="0.2"/>
    <row r="62381" hidden="1" x14ac:dyDescent="0.2"/>
    <row r="62382" hidden="1" x14ac:dyDescent="0.2"/>
    <row r="62383" hidden="1" x14ac:dyDescent="0.2"/>
    <row r="62384" hidden="1" x14ac:dyDescent="0.2"/>
    <row r="62385" hidden="1" x14ac:dyDescent="0.2"/>
    <row r="62386" hidden="1" x14ac:dyDescent="0.2"/>
    <row r="62387" hidden="1" x14ac:dyDescent="0.2"/>
    <row r="62388" hidden="1" x14ac:dyDescent="0.2"/>
    <row r="62389" hidden="1" x14ac:dyDescent="0.2"/>
    <row r="62390" hidden="1" x14ac:dyDescent="0.2"/>
    <row r="62391" hidden="1" x14ac:dyDescent="0.2"/>
    <row r="62392" hidden="1" x14ac:dyDescent="0.2"/>
    <row r="62393" hidden="1" x14ac:dyDescent="0.2"/>
    <row r="62394" hidden="1" x14ac:dyDescent="0.2"/>
    <row r="62395" hidden="1" x14ac:dyDescent="0.2"/>
    <row r="62396" hidden="1" x14ac:dyDescent="0.2"/>
    <row r="62397" hidden="1" x14ac:dyDescent="0.2"/>
    <row r="62398" hidden="1" x14ac:dyDescent="0.2"/>
    <row r="62399" hidden="1" x14ac:dyDescent="0.2"/>
    <row r="62400" hidden="1" x14ac:dyDescent="0.2"/>
    <row r="62401" hidden="1" x14ac:dyDescent="0.2"/>
    <row r="62402" hidden="1" x14ac:dyDescent="0.2"/>
    <row r="62403" hidden="1" x14ac:dyDescent="0.2"/>
    <row r="62404" hidden="1" x14ac:dyDescent="0.2"/>
    <row r="62405" hidden="1" x14ac:dyDescent="0.2"/>
    <row r="62406" hidden="1" x14ac:dyDescent="0.2"/>
    <row r="62407" hidden="1" x14ac:dyDescent="0.2"/>
    <row r="62408" hidden="1" x14ac:dyDescent="0.2"/>
    <row r="62409" hidden="1" x14ac:dyDescent="0.2"/>
    <row r="62410" hidden="1" x14ac:dyDescent="0.2"/>
    <row r="62411" hidden="1" x14ac:dyDescent="0.2"/>
    <row r="62412" hidden="1" x14ac:dyDescent="0.2"/>
    <row r="62413" hidden="1" x14ac:dyDescent="0.2"/>
    <row r="62414" hidden="1" x14ac:dyDescent="0.2"/>
    <row r="62415" hidden="1" x14ac:dyDescent="0.2"/>
    <row r="62416" hidden="1" x14ac:dyDescent="0.2"/>
    <row r="62417" hidden="1" x14ac:dyDescent="0.2"/>
    <row r="62418" hidden="1" x14ac:dyDescent="0.2"/>
    <row r="62419" hidden="1" x14ac:dyDescent="0.2"/>
    <row r="62420" hidden="1" x14ac:dyDescent="0.2"/>
    <row r="62421" hidden="1" x14ac:dyDescent="0.2"/>
    <row r="62422" hidden="1" x14ac:dyDescent="0.2"/>
    <row r="62423" hidden="1" x14ac:dyDescent="0.2"/>
    <row r="62424" hidden="1" x14ac:dyDescent="0.2"/>
    <row r="62425" hidden="1" x14ac:dyDescent="0.2"/>
    <row r="62426" hidden="1" x14ac:dyDescent="0.2"/>
    <row r="62427" hidden="1" x14ac:dyDescent="0.2"/>
    <row r="62428" hidden="1" x14ac:dyDescent="0.2"/>
    <row r="62429" hidden="1" x14ac:dyDescent="0.2"/>
    <row r="62430" hidden="1" x14ac:dyDescent="0.2"/>
    <row r="62431" hidden="1" x14ac:dyDescent="0.2"/>
    <row r="62432" hidden="1" x14ac:dyDescent="0.2"/>
    <row r="62433" hidden="1" x14ac:dyDescent="0.2"/>
    <row r="62434" hidden="1" x14ac:dyDescent="0.2"/>
    <row r="62435" hidden="1" x14ac:dyDescent="0.2"/>
    <row r="62436" hidden="1" x14ac:dyDescent="0.2"/>
    <row r="62437" hidden="1" x14ac:dyDescent="0.2"/>
    <row r="62438" hidden="1" x14ac:dyDescent="0.2"/>
    <row r="62439" hidden="1" x14ac:dyDescent="0.2"/>
    <row r="62440" hidden="1" x14ac:dyDescent="0.2"/>
    <row r="62441" hidden="1" x14ac:dyDescent="0.2"/>
    <row r="62442" hidden="1" x14ac:dyDescent="0.2"/>
    <row r="62443" hidden="1" x14ac:dyDescent="0.2"/>
    <row r="62444" hidden="1" x14ac:dyDescent="0.2"/>
    <row r="62445" hidden="1" x14ac:dyDescent="0.2"/>
    <row r="62446" hidden="1" x14ac:dyDescent="0.2"/>
    <row r="62447" hidden="1" x14ac:dyDescent="0.2"/>
    <row r="62448" hidden="1" x14ac:dyDescent="0.2"/>
    <row r="62449" hidden="1" x14ac:dyDescent="0.2"/>
    <row r="62450" hidden="1" x14ac:dyDescent="0.2"/>
    <row r="62451" hidden="1" x14ac:dyDescent="0.2"/>
    <row r="62452" hidden="1" x14ac:dyDescent="0.2"/>
    <row r="62453" hidden="1" x14ac:dyDescent="0.2"/>
    <row r="62454" hidden="1" x14ac:dyDescent="0.2"/>
    <row r="62455" hidden="1" x14ac:dyDescent="0.2"/>
    <row r="62456" hidden="1" x14ac:dyDescent="0.2"/>
    <row r="62457" hidden="1" x14ac:dyDescent="0.2"/>
    <row r="62458" hidden="1" x14ac:dyDescent="0.2"/>
    <row r="62459" hidden="1" x14ac:dyDescent="0.2"/>
    <row r="62460" hidden="1" x14ac:dyDescent="0.2"/>
    <row r="62461" hidden="1" x14ac:dyDescent="0.2"/>
    <row r="62462" hidden="1" x14ac:dyDescent="0.2"/>
    <row r="62463" hidden="1" x14ac:dyDescent="0.2"/>
    <row r="62464" hidden="1" x14ac:dyDescent="0.2"/>
    <row r="62465" hidden="1" x14ac:dyDescent="0.2"/>
    <row r="62466" hidden="1" x14ac:dyDescent="0.2"/>
    <row r="62467" hidden="1" x14ac:dyDescent="0.2"/>
    <row r="62468" hidden="1" x14ac:dyDescent="0.2"/>
    <row r="62469" hidden="1" x14ac:dyDescent="0.2"/>
    <row r="62470" hidden="1" x14ac:dyDescent="0.2"/>
    <row r="62471" hidden="1" x14ac:dyDescent="0.2"/>
    <row r="62472" hidden="1" x14ac:dyDescent="0.2"/>
    <row r="62473" hidden="1" x14ac:dyDescent="0.2"/>
    <row r="62474" hidden="1" x14ac:dyDescent="0.2"/>
    <row r="62475" hidden="1" x14ac:dyDescent="0.2"/>
    <row r="62476" hidden="1" x14ac:dyDescent="0.2"/>
    <row r="62477" hidden="1" x14ac:dyDescent="0.2"/>
    <row r="62478" hidden="1" x14ac:dyDescent="0.2"/>
    <row r="62479" hidden="1" x14ac:dyDescent="0.2"/>
    <row r="62480" hidden="1" x14ac:dyDescent="0.2"/>
    <row r="62481" hidden="1" x14ac:dyDescent="0.2"/>
    <row r="62482" hidden="1" x14ac:dyDescent="0.2"/>
    <row r="62483" hidden="1" x14ac:dyDescent="0.2"/>
    <row r="62484" hidden="1" x14ac:dyDescent="0.2"/>
    <row r="62485" hidden="1" x14ac:dyDescent="0.2"/>
    <row r="62486" hidden="1" x14ac:dyDescent="0.2"/>
    <row r="62487" hidden="1" x14ac:dyDescent="0.2"/>
    <row r="62488" hidden="1" x14ac:dyDescent="0.2"/>
    <row r="62489" hidden="1" x14ac:dyDescent="0.2"/>
    <row r="62490" hidden="1" x14ac:dyDescent="0.2"/>
    <row r="62491" hidden="1" x14ac:dyDescent="0.2"/>
    <row r="62492" hidden="1" x14ac:dyDescent="0.2"/>
    <row r="62493" hidden="1" x14ac:dyDescent="0.2"/>
    <row r="62494" hidden="1" x14ac:dyDescent="0.2"/>
    <row r="62495" hidden="1" x14ac:dyDescent="0.2"/>
    <row r="62496" hidden="1" x14ac:dyDescent="0.2"/>
    <row r="62497" hidden="1" x14ac:dyDescent="0.2"/>
    <row r="62498" hidden="1" x14ac:dyDescent="0.2"/>
    <row r="62499" hidden="1" x14ac:dyDescent="0.2"/>
    <row r="62500" hidden="1" x14ac:dyDescent="0.2"/>
    <row r="62501" hidden="1" x14ac:dyDescent="0.2"/>
    <row r="62502" hidden="1" x14ac:dyDescent="0.2"/>
    <row r="62503" hidden="1" x14ac:dyDescent="0.2"/>
    <row r="62504" hidden="1" x14ac:dyDescent="0.2"/>
    <row r="62505" hidden="1" x14ac:dyDescent="0.2"/>
    <row r="62506" hidden="1" x14ac:dyDescent="0.2"/>
    <row r="62507" hidden="1" x14ac:dyDescent="0.2"/>
    <row r="62508" hidden="1" x14ac:dyDescent="0.2"/>
    <row r="62509" hidden="1" x14ac:dyDescent="0.2"/>
    <row r="62510" hidden="1" x14ac:dyDescent="0.2"/>
    <row r="62511" hidden="1" x14ac:dyDescent="0.2"/>
    <row r="62512" hidden="1" x14ac:dyDescent="0.2"/>
    <row r="62513" hidden="1" x14ac:dyDescent="0.2"/>
    <row r="62514" hidden="1" x14ac:dyDescent="0.2"/>
    <row r="62515" hidden="1" x14ac:dyDescent="0.2"/>
    <row r="62516" hidden="1" x14ac:dyDescent="0.2"/>
    <row r="62517" hidden="1" x14ac:dyDescent="0.2"/>
    <row r="62518" hidden="1" x14ac:dyDescent="0.2"/>
    <row r="62519" hidden="1" x14ac:dyDescent="0.2"/>
    <row r="62520" hidden="1" x14ac:dyDescent="0.2"/>
    <row r="62521" hidden="1" x14ac:dyDescent="0.2"/>
    <row r="62522" hidden="1" x14ac:dyDescent="0.2"/>
    <row r="62523" hidden="1" x14ac:dyDescent="0.2"/>
    <row r="62524" hidden="1" x14ac:dyDescent="0.2"/>
    <row r="62525" hidden="1" x14ac:dyDescent="0.2"/>
    <row r="62526" hidden="1" x14ac:dyDescent="0.2"/>
    <row r="62527" hidden="1" x14ac:dyDescent="0.2"/>
    <row r="62528" hidden="1" x14ac:dyDescent="0.2"/>
    <row r="62529" hidden="1" x14ac:dyDescent="0.2"/>
    <row r="62530" hidden="1" x14ac:dyDescent="0.2"/>
    <row r="62531" hidden="1" x14ac:dyDescent="0.2"/>
    <row r="62532" hidden="1" x14ac:dyDescent="0.2"/>
    <row r="62533" hidden="1" x14ac:dyDescent="0.2"/>
    <row r="62534" hidden="1" x14ac:dyDescent="0.2"/>
    <row r="62535" hidden="1" x14ac:dyDescent="0.2"/>
    <row r="62536" hidden="1" x14ac:dyDescent="0.2"/>
    <row r="62537" hidden="1" x14ac:dyDescent="0.2"/>
    <row r="62538" hidden="1" x14ac:dyDescent="0.2"/>
    <row r="62539" hidden="1" x14ac:dyDescent="0.2"/>
    <row r="62540" hidden="1" x14ac:dyDescent="0.2"/>
    <row r="62541" hidden="1" x14ac:dyDescent="0.2"/>
    <row r="62542" hidden="1" x14ac:dyDescent="0.2"/>
    <row r="62543" hidden="1" x14ac:dyDescent="0.2"/>
    <row r="62544" hidden="1" x14ac:dyDescent="0.2"/>
    <row r="62545" hidden="1" x14ac:dyDescent="0.2"/>
    <row r="62546" hidden="1" x14ac:dyDescent="0.2"/>
    <row r="62547" hidden="1" x14ac:dyDescent="0.2"/>
    <row r="62548" hidden="1" x14ac:dyDescent="0.2"/>
    <row r="62549" hidden="1" x14ac:dyDescent="0.2"/>
    <row r="62550" hidden="1" x14ac:dyDescent="0.2"/>
    <row r="62551" hidden="1" x14ac:dyDescent="0.2"/>
    <row r="62552" hidden="1" x14ac:dyDescent="0.2"/>
    <row r="62553" hidden="1" x14ac:dyDescent="0.2"/>
    <row r="62554" hidden="1" x14ac:dyDescent="0.2"/>
    <row r="62555" hidden="1" x14ac:dyDescent="0.2"/>
    <row r="62556" hidden="1" x14ac:dyDescent="0.2"/>
    <row r="62557" hidden="1" x14ac:dyDescent="0.2"/>
    <row r="62558" hidden="1" x14ac:dyDescent="0.2"/>
    <row r="62559" hidden="1" x14ac:dyDescent="0.2"/>
    <row r="62560" hidden="1" x14ac:dyDescent="0.2"/>
    <row r="62561" hidden="1" x14ac:dyDescent="0.2"/>
    <row r="62562" hidden="1" x14ac:dyDescent="0.2"/>
    <row r="62563" hidden="1" x14ac:dyDescent="0.2"/>
    <row r="62564" hidden="1" x14ac:dyDescent="0.2"/>
    <row r="62565" hidden="1" x14ac:dyDescent="0.2"/>
    <row r="62566" hidden="1" x14ac:dyDescent="0.2"/>
    <row r="62567" hidden="1" x14ac:dyDescent="0.2"/>
    <row r="62568" hidden="1" x14ac:dyDescent="0.2"/>
    <row r="62569" hidden="1" x14ac:dyDescent="0.2"/>
    <row r="62570" hidden="1" x14ac:dyDescent="0.2"/>
    <row r="62571" hidden="1" x14ac:dyDescent="0.2"/>
    <row r="62572" hidden="1" x14ac:dyDescent="0.2"/>
    <row r="62573" hidden="1" x14ac:dyDescent="0.2"/>
    <row r="62574" hidden="1" x14ac:dyDescent="0.2"/>
    <row r="62575" hidden="1" x14ac:dyDescent="0.2"/>
    <row r="62576" hidden="1" x14ac:dyDescent="0.2"/>
    <row r="62577" hidden="1" x14ac:dyDescent="0.2"/>
    <row r="62578" hidden="1" x14ac:dyDescent="0.2"/>
    <row r="62579" hidden="1" x14ac:dyDescent="0.2"/>
    <row r="62580" hidden="1" x14ac:dyDescent="0.2"/>
    <row r="62581" hidden="1" x14ac:dyDescent="0.2"/>
    <row r="62582" hidden="1" x14ac:dyDescent="0.2"/>
    <row r="62583" hidden="1" x14ac:dyDescent="0.2"/>
    <row r="62584" hidden="1" x14ac:dyDescent="0.2"/>
    <row r="62585" hidden="1" x14ac:dyDescent="0.2"/>
    <row r="62586" hidden="1" x14ac:dyDescent="0.2"/>
    <row r="62587" hidden="1" x14ac:dyDescent="0.2"/>
    <row r="62588" hidden="1" x14ac:dyDescent="0.2"/>
    <row r="62589" hidden="1" x14ac:dyDescent="0.2"/>
    <row r="62590" hidden="1" x14ac:dyDescent="0.2"/>
    <row r="62591" hidden="1" x14ac:dyDescent="0.2"/>
    <row r="62592" hidden="1" x14ac:dyDescent="0.2"/>
    <row r="62593" hidden="1" x14ac:dyDescent="0.2"/>
    <row r="62594" hidden="1" x14ac:dyDescent="0.2"/>
    <row r="62595" hidden="1" x14ac:dyDescent="0.2"/>
    <row r="62596" hidden="1" x14ac:dyDescent="0.2"/>
    <row r="62597" hidden="1" x14ac:dyDescent="0.2"/>
    <row r="62598" hidden="1" x14ac:dyDescent="0.2"/>
    <row r="62599" hidden="1" x14ac:dyDescent="0.2"/>
    <row r="62600" hidden="1" x14ac:dyDescent="0.2"/>
    <row r="62601" hidden="1" x14ac:dyDescent="0.2"/>
    <row r="62602" hidden="1" x14ac:dyDescent="0.2"/>
    <row r="62603" hidden="1" x14ac:dyDescent="0.2"/>
    <row r="62604" hidden="1" x14ac:dyDescent="0.2"/>
    <row r="62605" hidden="1" x14ac:dyDescent="0.2"/>
    <row r="62606" hidden="1" x14ac:dyDescent="0.2"/>
    <row r="62607" hidden="1" x14ac:dyDescent="0.2"/>
    <row r="62608" hidden="1" x14ac:dyDescent="0.2"/>
    <row r="62609" hidden="1" x14ac:dyDescent="0.2"/>
    <row r="62610" hidden="1" x14ac:dyDescent="0.2"/>
    <row r="62611" hidden="1" x14ac:dyDescent="0.2"/>
    <row r="62612" hidden="1" x14ac:dyDescent="0.2"/>
    <row r="62613" hidden="1" x14ac:dyDescent="0.2"/>
    <row r="62614" hidden="1" x14ac:dyDescent="0.2"/>
    <row r="62615" hidden="1" x14ac:dyDescent="0.2"/>
    <row r="62616" hidden="1" x14ac:dyDescent="0.2"/>
    <row r="62617" hidden="1" x14ac:dyDescent="0.2"/>
    <row r="62618" hidden="1" x14ac:dyDescent="0.2"/>
    <row r="62619" hidden="1" x14ac:dyDescent="0.2"/>
    <row r="62620" hidden="1" x14ac:dyDescent="0.2"/>
    <row r="62621" hidden="1" x14ac:dyDescent="0.2"/>
    <row r="62622" hidden="1" x14ac:dyDescent="0.2"/>
    <row r="62623" hidden="1" x14ac:dyDescent="0.2"/>
    <row r="62624" hidden="1" x14ac:dyDescent="0.2"/>
    <row r="62625" hidden="1" x14ac:dyDescent="0.2"/>
    <row r="62626" hidden="1" x14ac:dyDescent="0.2"/>
    <row r="62627" hidden="1" x14ac:dyDescent="0.2"/>
    <row r="62628" hidden="1" x14ac:dyDescent="0.2"/>
    <row r="62629" hidden="1" x14ac:dyDescent="0.2"/>
    <row r="62630" hidden="1" x14ac:dyDescent="0.2"/>
    <row r="62631" hidden="1" x14ac:dyDescent="0.2"/>
    <row r="62632" hidden="1" x14ac:dyDescent="0.2"/>
    <row r="62633" hidden="1" x14ac:dyDescent="0.2"/>
    <row r="62634" hidden="1" x14ac:dyDescent="0.2"/>
    <row r="62635" hidden="1" x14ac:dyDescent="0.2"/>
    <row r="62636" hidden="1" x14ac:dyDescent="0.2"/>
    <row r="62637" hidden="1" x14ac:dyDescent="0.2"/>
    <row r="62638" hidden="1" x14ac:dyDescent="0.2"/>
    <row r="62639" hidden="1" x14ac:dyDescent="0.2"/>
    <row r="62640" hidden="1" x14ac:dyDescent="0.2"/>
    <row r="62641" hidden="1" x14ac:dyDescent="0.2"/>
    <row r="62642" hidden="1" x14ac:dyDescent="0.2"/>
    <row r="62643" hidden="1" x14ac:dyDescent="0.2"/>
    <row r="62644" hidden="1" x14ac:dyDescent="0.2"/>
    <row r="62645" hidden="1" x14ac:dyDescent="0.2"/>
    <row r="62646" hidden="1" x14ac:dyDescent="0.2"/>
    <row r="62647" hidden="1" x14ac:dyDescent="0.2"/>
    <row r="62648" hidden="1" x14ac:dyDescent="0.2"/>
    <row r="62649" hidden="1" x14ac:dyDescent="0.2"/>
    <row r="62650" hidden="1" x14ac:dyDescent="0.2"/>
    <row r="62651" hidden="1" x14ac:dyDescent="0.2"/>
    <row r="62652" hidden="1" x14ac:dyDescent="0.2"/>
    <row r="62653" hidden="1" x14ac:dyDescent="0.2"/>
    <row r="62654" hidden="1" x14ac:dyDescent="0.2"/>
    <row r="62655" hidden="1" x14ac:dyDescent="0.2"/>
    <row r="62656" hidden="1" x14ac:dyDescent="0.2"/>
    <row r="62657" hidden="1" x14ac:dyDescent="0.2"/>
    <row r="62658" hidden="1" x14ac:dyDescent="0.2"/>
    <row r="62659" hidden="1" x14ac:dyDescent="0.2"/>
    <row r="62660" hidden="1" x14ac:dyDescent="0.2"/>
    <row r="62661" hidden="1" x14ac:dyDescent="0.2"/>
    <row r="62662" hidden="1" x14ac:dyDescent="0.2"/>
    <row r="62663" hidden="1" x14ac:dyDescent="0.2"/>
    <row r="62664" hidden="1" x14ac:dyDescent="0.2"/>
    <row r="62665" hidden="1" x14ac:dyDescent="0.2"/>
    <row r="62666" hidden="1" x14ac:dyDescent="0.2"/>
    <row r="62667" hidden="1" x14ac:dyDescent="0.2"/>
    <row r="62668" hidden="1" x14ac:dyDescent="0.2"/>
    <row r="62669" hidden="1" x14ac:dyDescent="0.2"/>
    <row r="62670" hidden="1" x14ac:dyDescent="0.2"/>
    <row r="62671" hidden="1" x14ac:dyDescent="0.2"/>
    <row r="62672" hidden="1" x14ac:dyDescent="0.2"/>
    <row r="62673" hidden="1" x14ac:dyDescent="0.2"/>
    <row r="62674" hidden="1" x14ac:dyDescent="0.2"/>
    <row r="62675" hidden="1" x14ac:dyDescent="0.2"/>
    <row r="62676" hidden="1" x14ac:dyDescent="0.2"/>
    <row r="62677" hidden="1" x14ac:dyDescent="0.2"/>
    <row r="62678" hidden="1" x14ac:dyDescent="0.2"/>
    <row r="62679" hidden="1" x14ac:dyDescent="0.2"/>
    <row r="62680" hidden="1" x14ac:dyDescent="0.2"/>
    <row r="62681" hidden="1" x14ac:dyDescent="0.2"/>
    <row r="62682" hidden="1" x14ac:dyDescent="0.2"/>
    <row r="62683" hidden="1" x14ac:dyDescent="0.2"/>
    <row r="62684" hidden="1" x14ac:dyDescent="0.2"/>
    <row r="62685" hidden="1" x14ac:dyDescent="0.2"/>
    <row r="62686" hidden="1" x14ac:dyDescent="0.2"/>
    <row r="62687" hidden="1" x14ac:dyDescent="0.2"/>
    <row r="62688" hidden="1" x14ac:dyDescent="0.2"/>
    <row r="62689" hidden="1" x14ac:dyDescent="0.2"/>
    <row r="62690" hidden="1" x14ac:dyDescent="0.2"/>
    <row r="62691" hidden="1" x14ac:dyDescent="0.2"/>
    <row r="62692" hidden="1" x14ac:dyDescent="0.2"/>
    <row r="62693" hidden="1" x14ac:dyDescent="0.2"/>
    <row r="62694" hidden="1" x14ac:dyDescent="0.2"/>
    <row r="62695" hidden="1" x14ac:dyDescent="0.2"/>
    <row r="62696" hidden="1" x14ac:dyDescent="0.2"/>
    <row r="62697" hidden="1" x14ac:dyDescent="0.2"/>
    <row r="62698" hidden="1" x14ac:dyDescent="0.2"/>
    <row r="62699" hidden="1" x14ac:dyDescent="0.2"/>
    <row r="62700" hidden="1" x14ac:dyDescent="0.2"/>
    <row r="62701" hidden="1" x14ac:dyDescent="0.2"/>
    <row r="62702" hidden="1" x14ac:dyDescent="0.2"/>
    <row r="62703" hidden="1" x14ac:dyDescent="0.2"/>
    <row r="62704" hidden="1" x14ac:dyDescent="0.2"/>
    <row r="62705" hidden="1" x14ac:dyDescent="0.2"/>
    <row r="62706" hidden="1" x14ac:dyDescent="0.2"/>
    <row r="62707" hidden="1" x14ac:dyDescent="0.2"/>
    <row r="62708" hidden="1" x14ac:dyDescent="0.2"/>
    <row r="62709" hidden="1" x14ac:dyDescent="0.2"/>
    <row r="62710" hidden="1" x14ac:dyDescent="0.2"/>
    <row r="62711" hidden="1" x14ac:dyDescent="0.2"/>
    <row r="62712" hidden="1" x14ac:dyDescent="0.2"/>
    <row r="62713" hidden="1" x14ac:dyDescent="0.2"/>
    <row r="62714" hidden="1" x14ac:dyDescent="0.2"/>
    <row r="62715" hidden="1" x14ac:dyDescent="0.2"/>
    <row r="62716" hidden="1" x14ac:dyDescent="0.2"/>
    <row r="62717" hidden="1" x14ac:dyDescent="0.2"/>
    <row r="62718" hidden="1" x14ac:dyDescent="0.2"/>
    <row r="62719" hidden="1" x14ac:dyDescent="0.2"/>
    <row r="62720" hidden="1" x14ac:dyDescent="0.2"/>
    <row r="62721" hidden="1" x14ac:dyDescent="0.2"/>
    <row r="62722" hidden="1" x14ac:dyDescent="0.2"/>
    <row r="62723" hidden="1" x14ac:dyDescent="0.2"/>
    <row r="62724" hidden="1" x14ac:dyDescent="0.2"/>
    <row r="62725" hidden="1" x14ac:dyDescent="0.2"/>
    <row r="62726" hidden="1" x14ac:dyDescent="0.2"/>
    <row r="62727" hidden="1" x14ac:dyDescent="0.2"/>
    <row r="62728" hidden="1" x14ac:dyDescent="0.2"/>
    <row r="62729" hidden="1" x14ac:dyDescent="0.2"/>
    <row r="62730" hidden="1" x14ac:dyDescent="0.2"/>
    <row r="62731" hidden="1" x14ac:dyDescent="0.2"/>
    <row r="62732" hidden="1" x14ac:dyDescent="0.2"/>
    <row r="62733" hidden="1" x14ac:dyDescent="0.2"/>
    <row r="62734" hidden="1" x14ac:dyDescent="0.2"/>
    <row r="62735" hidden="1" x14ac:dyDescent="0.2"/>
    <row r="62736" hidden="1" x14ac:dyDescent="0.2"/>
    <row r="62737" hidden="1" x14ac:dyDescent="0.2"/>
    <row r="62738" hidden="1" x14ac:dyDescent="0.2"/>
    <row r="62739" hidden="1" x14ac:dyDescent="0.2"/>
    <row r="62740" hidden="1" x14ac:dyDescent="0.2"/>
    <row r="62741" hidden="1" x14ac:dyDescent="0.2"/>
    <row r="62742" hidden="1" x14ac:dyDescent="0.2"/>
    <row r="62743" hidden="1" x14ac:dyDescent="0.2"/>
    <row r="62744" hidden="1" x14ac:dyDescent="0.2"/>
    <row r="62745" hidden="1" x14ac:dyDescent="0.2"/>
    <row r="62746" hidden="1" x14ac:dyDescent="0.2"/>
    <row r="62747" hidden="1" x14ac:dyDescent="0.2"/>
    <row r="62748" hidden="1" x14ac:dyDescent="0.2"/>
    <row r="62749" hidden="1" x14ac:dyDescent="0.2"/>
    <row r="62750" hidden="1" x14ac:dyDescent="0.2"/>
    <row r="62751" hidden="1" x14ac:dyDescent="0.2"/>
    <row r="62752" hidden="1" x14ac:dyDescent="0.2"/>
    <row r="62753" hidden="1" x14ac:dyDescent="0.2"/>
    <row r="62754" hidden="1" x14ac:dyDescent="0.2"/>
    <row r="62755" hidden="1" x14ac:dyDescent="0.2"/>
    <row r="62756" hidden="1" x14ac:dyDescent="0.2"/>
    <row r="62757" hidden="1" x14ac:dyDescent="0.2"/>
    <row r="62758" hidden="1" x14ac:dyDescent="0.2"/>
    <row r="62759" hidden="1" x14ac:dyDescent="0.2"/>
    <row r="62760" hidden="1" x14ac:dyDescent="0.2"/>
    <row r="62761" hidden="1" x14ac:dyDescent="0.2"/>
    <row r="62762" hidden="1" x14ac:dyDescent="0.2"/>
    <row r="62763" hidden="1" x14ac:dyDescent="0.2"/>
    <row r="62764" hidden="1" x14ac:dyDescent="0.2"/>
    <row r="62765" hidden="1" x14ac:dyDescent="0.2"/>
    <row r="62766" hidden="1" x14ac:dyDescent="0.2"/>
    <row r="62767" hidden="1" x14ac:dyDescent="0.2"/>
    <row r="62768" hidden="1" x14ac:dyDescent="0.2"/>
    <row r="62769" hidden="1" x14ac:dyDescent="0.2"/>
    <row r="62770" hidden="1" x14ac:dyDescent="0.2"/>
    <row r="62771" hidden="1" x14ac:dyDescent="0.2"/>
    <row r="62772" hidden="1" x14ac:dyDescent="0.2"/>
    <row r="62773" hidden="1" x14ac:dyDescent="0.2"/>
    <row r="62774" hidden="1" x14ac:dyDescent="0.2"/>
    <row r="62775" hidden="1" x14ac:dyDescent="0.2"/>
    <row r="62776" hidden="1" x14ac:dyDescent="0.2"/>
    <row r="62777" hidden="1" x14ac:dyDescent="0.2"/>
    <row r="62778" hidden="1" x14ac:dyDescent="0.2"/>
    <row r="62779" hidden="1" x14ac:dyDescent="0.2"/>
    <row r="62780" hidden="1" x14ac:dyDescent="0.2"/>
    <row r="62781" hidden="1" x14ac:dyDescent="0.2"/>
    <row r="62782" hidden="1" x14ac:dyDescent="0.2"/>
    <row r="62783" hidden="1" x14ac:dyDescent="0.2"/>
    <row r="62784" hidden="1" x14ac:dyDescent="0.2"/>
    <row r="62785" hidden="1" x14ac:dyDescent="0.2"/>
    <row r="62786" hidden="1" x14ac:dyDescent="0.2"/>
    <row r="62787" hidden="1" x14ac:dyDescent="0.2"/>
    <row r="62788" hidden="1" x14ac:dyDescent="0.2"/>
    <row r="62789" hidden="1" x14ac:dyDescent="0.2"/>
    <row r="62790" hidden="1" x14ac:dyDescent="0.2"/>
    <row r="62791" hidden="1" x14ac:dyDescent="0.2"/>
    <row r="62792" hidden="1" x14ac:dyDescent="0.2"/>
    <row r="62793" hidden="1" x14ac:dyDescent="0.2"/>
    <row r="62794" hidden="1" x14ac:dyDescent="0.2"/>
    <row r="62795" hidden="1" x14ac:dyDescent="0.2"/>
    <row r="62796" hidden="1" x14ac:dyDescent="0.2"/>
    <row r="62797" hidden="1" x14ac:dyDescent="0.2"/>
    <row r="62798" hidden="1" x14ac:dyDescent="0.2"/>
    <row r="62799" hidden="1" x14ac:dyDescent="0.2"/>
    <row r="62800" hidden="1" x14ac:dyDescent="0.2"/>
    <row r="62801" hidden="1" x14ac:dyDescent="0.2"/>
    <row r="62802" hidden="1" x14ac:dyDescent="0.2"/>
    <row r="62803" hidden="1" x14ac:dyDescent="0.2"/>
    <row r="62804" hidden="1" x14ac:dyDescent="0.2"/>
    <row r="62805" hidden="1" x14ac:dyDescent="0.2"/>
    <row r="62806" hidden="1" x14ac:dyDescent="0.2"/>
    <row r="62807" hidden="1" x14ac:dyDescent="0.2"/>
    <row r="62808" hidden="1" x14ac:dyDescent="0.2"/>
    <row r="62809" hidden="1" x14ac:dyDescent="0.2"/>
    <row r="62810" hidden="1" x14ac:dyDescent="0.2"/>
    <row r="62811" hidden="1" x14ac:dyDescent="0.2"/>
    <row r="62812" hidden="1" x14ac:dyDescent="0.2"/>
    <row r="62813" hidden="1" x14ac:dyDescent="0.2"/>
    <row r="62814" hidden="1" x14ac:dyDescent="0.2"/>
    <row r="62815" hidden="1" x14ac:dyDescent="0.2"/>
    <row r="62816" hidden="1" x14ac:dyDescent="0.2"/>
    <row r="62817" hidden="1" x14ac:dyDescent="0.2"/>
    <row r="62818" hidden="1" x14ac:dyDescent="0.2"/>
    <row r="62819" hidden="1" x14ac:dyDescent="0.2"/>
    <row r="62820" hidden="1" x14ac:dyDescent="0.2"/>
    <row r="62821" hidden="1" x14ac:dyDescent="0.2"/>
    <row r="62822" hidden="1" x14ac:dyDescent="0.2"/>
    <row r="62823" hidden="1" x14ac:dyDescent="0.2"/>
    <row r="62824" hidden="1" x14ac:dyDescent="0.2"/>
    <row r="62825" hidden="1" x14ac:dyDescent="0.2"/>
    <row r="62826" hidden="1" x14ac:dyDescent="0.2"/>
    <row r="62827" hidden="1" x14ac:dyDescent="0.2"/>
    <row r="62828" hidden="1" x14ac:dyDescent="0.2"/>
    <row r="62829" hidden="1" x14ac:dyDescent="0.2"/>
    <row r="62830" hidden="1" x14ac:dyDescent="0.2"/>
    <row r="62831" hidden="1" x14ac:dyDescent="0.2"/>
    <row r="62832" hidden="1" x14ac:dyDescent="0.2"/>
    <row r="62833" hidden="1" x14ac:dyDescent="0.2"/>
    <row r="62834" hidden="1" x14ac:dyDescent="0.2"/>
    <row r="62835" hidden="1" x14ac:dyDescent="0.2"/>
    <row r="62836" hidden="1" x14ac:dyDescent="0.2"/>
    <row r="62837" hidden="1" x14ac:dyDescent="0.2"/>
    <row r="62838" hidden="1" x14ac:dyDescent="0.2"/>
    <row r="62839" hidden="1" x14ac:dyDescent="0.2"/>
    <row r="62840" hidden="1" x14ac:dyDescent="0.2"/>
    <row r="62841" hidden="1" x14ac:dyDescent="0.2"/>
    <row r="62842" hidden="1" x14ac:dyDescent="0.2"/>
    <row r="62843" hidden="1" x14ac:dyDescent="0.2"/>
    <row r="62844" hidden="1" x14ac:dyDescent="0.2"/>
    <row r="62845" hidden="1" x14ac:dyDescent="0.2"/>
    <row r="62846" hidden="1" x14ac:dyDescent="0.2"/>
    <row r="62847" hidden="1" x14ac:dyDescent="0.2"/>
    <row r="62848" hidden="1" x14ac:dyDescent="0.2"/>
    <row r="62849" hidden="1" x14ac:dyDescent="0.2"/>
    <row r="62850" hidden="1" x14ac:dyDescent="0.2"/>
    <row r="62851" hidden="1" x14ac:dyDescent="0.2"/>
    <row r="62852" hidden="1" x14ac:dyDescent="0.2"/>
    <row r="62853" hidden="1" x14ac:dyDescent="0.2"/>
    <row r="62854" hidden="1" x14ac:dyDescent="0.2"/>
    <row r="62855" hidden="1" x14ac:dyDescent="0.2"/>
    <row r="62856" hidden="1" x14ac:dyDescent="0.2"/>
    <row r="62857" hidden="1" x14ac:dyDescent="0.2"/>
    <row r="62858" hidden="1" x14ac:dyDescent="0.2"/>
    <row r="62859" hidden="1" x14ac:dyDescent="0.2"/>
    <row r="62860" hidden="1" x14ac:dyDescent="0.2"/>
    <row r="62861" hidden="1" x14ac:dyDescent="0.2"/>
    <row r="62862" hidden="1" x14ac:dyDescent="0.2"/>
    <row r="62863" hidden="1" x14ac:dyDescent="0.2"/>
    <row r="62864" hidden="1" x14ac:dyDescent="0.2"/>
    <row r="62865" hidden="1" x14ac:dyDescent="0.2"/>
    <row r="62866" hidden="1" x14ac:dyDescent="0.2"/>
    <row r="62867" hidden="1" x14ac:dyDescent="0.2"/>
    <row r="62868" hidden="1" x14ac:dyDescent="0.2"/>
    <row r="62869" hidden="1" x14ac:dyDescent="0.2"/>
    <row r="62870" hidden="1" x14ac:dyDescent="0.2"/>
    <row r="62871" hidden="1" x14ac:dyDescent="0.2"/>
    <row r="62872" hidden="1" x14ac:dyDescent="0.2"/>
    <row r="62873" hidden="1" x14ac:dyDescent="0.2"/>
    <row r="62874" hidden="1" x14ac:dyDescent="0.2"/>
    <row r="62875" hidden="1" x14ac:dyDescent="0.2"/>
    <row r="62876" hidden="1" x14ac:dyDescent="0.2"/>
    <row r="62877" hidden="1" x14ac:dyDescent="0.2"/>
    <row r="62878" hidden="1" x14ac:dyDescent="0.2"/>
    <row r="62879" hidden="1" x14ac:dyDescent="0.2"/>
    <row r="62880" hidden="1" x14ac:dyDescent="0.2"/>
    <row r="62881" hidden="1" x14ac:dyDescent="0.2"/>
    <row r="62882" hidden="1" x14ac:dyDescent="0.2"/>
    <row r="62883" hidden="1" x14ac:dyDescent="0.2"/>
    <row r="62884" hidden="1" x14ac:dyDescent="0.2"/>
    <row r="62885" hidden="1" x14ac:dyDescent="0.2"/>
    <row r="62886" hidden="1" x14ac:dyDescent="0.2"/>
    <row r="62887" hidden="1" x14ac:dyDescent="0.2"/>
    <row r="62888" hidden="1" x14ac:dyDescent="0.2"/>
    <row r="62889" hidden="1" x14ac:dyDescent="0.2"/>
    <row r="62890" hidden="1" x14ac:dyDescent="0.2"/>
    <row r="62891" hidden="1" x14ac:dyDescent="0.2"/>
    <row r="62892" hidden="1" x14ac:dyDescent="0.2"/>
    <row r="62893" hidden="1" x14ac:dyDescent="0.2"/>
    <row r="62894" hidden="1" x14ac:dyDescent="0.2"/>
    <row r="62895" hidden="1" x14ac:dyDescent="0.2"/>
    <row r="62896" hidden="1" x14ac:dyDescent="0.2"/>
    <row r="62897" hidden="1" x14ac:dyDescent="0.2"/>
    <row r="62898" hidden="1" x14ac:dyDescent="0.2"/>
    <row r="62899" hidden="1" x14ac:dyDescent="0.2"/>
    <row r="62900" hidden="1" x14ac:dyDescent="0.2"/>
    <row r="62901" hidden="1" x14ac:dyDescent="0.2"/>
    <row r="62902" hidden="1" x14ac:dyDescent="0.2"/>
    <row r="62903" hidden="1" x14ac:dyDescent="0.2"/>
    <row r="62904" hidden="1" x14ac:dyDescent="0.2"/>
    <row r="62905" hidden="1" x14ac:dyDescent="0.2"/>
    <row r="62906" hidden="1" x14ac:dyDescent="0.2"/>
    <row r="62907" hidden="1" x14ac:dyDescent="0.2"/>
    <row r="62908" hidden="1" x14ac:dyDescent="0.2"/>
    <row r="62909" hidden="1" x14ac:dyDescent="0.2"/>
    <row r="62910" hidden="1" x14ac:dyDescent="0.2"/>
    <row r="62911" hidden="1" x14ac:dyDescent="0.2"/>
    <row r="62912" hidden="1" x14ac:dyDescent="0.2"/>
    <row r="62913" hidden="1" x14ac:dyDescent="0.2"/>
    <row r="62914" hidden="1" x14ac:dyDescent="0.2"/>
    <row r="62915" hidden="1" x14ac:dyDescent="0.2"/>
    <row r="62916" hidden="1" x14ac:dyDescent="0.2"/>
    <row r="62917" hidden="1" x14ac:dyDescent="0.2"/>
    <row r="62918" hidden="1" x14ac:dyDescent="0.2"/>
    <row r="62919" hidden="1" x14ac:dyDescent="0.2"/>
    <row r="62920" hidden="1" x14ac:dyDescent="0.2"/>
    <row r="62921" hidden="1" x14ac:dyDescent="0.2"/>
    <row r="62922" hidden="1" x14ac:dyDescent="0.2"/>
    <row r="62923" hidden="1" x14ac:dyDescent="0.2"/>
    <row r="62924" hidden="1" x14ac:dyDescent="0.2"/>
    <row r="62925" hidden="1" x14ac:dyDescent="0.2"/>
    <row r="62926" hidden="1" x14ac:dyDescent="0.2"/>
    <row r="62927" hidden="1" x14ac:dyDescent="0.2"/>
    <row r="62928" hidden="1" x14ac:dyDescent="0.2"/>
    <row r="62929" hidden="1" x14ac:dyDescent="0.2"/>
    <row r="62930" hidden="1" x14ac:dyDescent="0.2"/>
    <row r="62931" hidden="1" x14ac:dyDescent="0.2"/>
    <row r="62932" hidden="1" x14ac:dyDescent="0.2"/>
    <row r="62933" hidden="1" x14ac:dyDescent="0.2"/>
    <row r="62934" hidden="1" x14ac:dyDescent="0.2"/>
    <row r="62935" hidden="1" x14ac:dyDescent="0.2"/>
    <row r="62936" hidden="1" x14ac:dyDescent="0.2"/>
    <row r="62937" hidden="1" x14ac:dyDescent="0.2"/>
    <row r="62938" hidden="1" x14ac:dyDescent="0.2"/>
    <row r="62939" hidden="1" x14ac:dyDescent="0.2"/>
    <row r="62940" hidden="1" x14ac:dyDescent="0.2"/>
    <row r="62941" hidden="1" x14ac:dyDescent="0.2"/>
    <row r="62942" hidden="1" x14ac:dyDescent="0.2"/>
    <row r="62943" hidden="1" x14ac:dyDescent="0.2"/>
    <row r="62944" hidden="1" x14ac:dyDescent="0.2"/>
    <row r="62945" hidden="1" x14ac:dyDescent="0.2"/>
    <row r="62946" hidden="1" x14ac:dyDescent="0.2"/>
    <row r="62947" hidden="1" x14ac:dyDescent="0.2"/>
    <row r="62948" hidden="1" x14ac:dyDescent="0.2"/>
    <row r="62949" hidden="1" x14ac:dyDescent="0.2"/>
    <row r="62950" hidden="1" x14ac:dyDescent="0.2"/>
    <row r="62951" hidden="1" x14ac:dyDescent="0.2"/>
    <row r="62952" hidden="1" x14ac:dyDescent="0.2"/>
    <row r="62953" hidden="1" x14ac:dyDescent="0.2"/>
    <row r="62954" hidden="1" x14ac:dyDescent="0.2"/>
    <row r="62955" hidden="1" x14ac:dyDescent="0.2"/>
    <row r="62956" hidden="1" x14ac:dyDescent="0.2"/>
    <row r="62957" hidden="1" x14ac:dyDescent="0.2"/>
    <row r="62958" hidden="1" x14ac:dyDescent="0.2"/>
    <row r="62959" hidden="1" x14ac:dyDescent="0.2"/>
    <row r="62960" hidden="1" x14ac:dyDescent="0.2"/>
    <row r="62961" hidden="1" x14ac:dyDescent="0.2"/>
    <row r="62962" hidden="1" x14ac:dyDescent="0.2"/>
    <row r="62963" hidden="1" x14ac:dyDescent="0.2"/>
    <row r="62964" hidden="1" x14ac:dyDescent="0.2"/>
    <row r="62965" hidden="1" x14ac:dyDescent="0.2"/>
    <row r="62966" hidden="1" x14ac:dyDescent="0.2"/>
    <row r="62967" hidden="1" x14ac:dyDescent="0.2"/>
    <row r="62968" hidden="1" x14ac:dyDescent="0.2"/>
    <row r="62969" hidden="1" x14ac:dyDescent="0.2"/>
    <row r="62970" hidden="1" x14ac:dyDescent="0.2"/>
    <row r="62971" hidden="1" x14ac:dyDescent="0.2"/>
    <row r="62972" hidden="1" x14ac:dyDescent="0.2"/>
    <row r="62973" hidden="1" x14ac:dyDescent="0.2"/>
    <row r="62974" hidden="1" x14ac:dyDescent="0.2"/>
    <row r="62975" hidden="1" x14ac:dyDescent="0.2"/>
    <row r="62976" hidden="1" x14ac:dyDescent="0.2"/>
    <row r="62977" hidden="1" x14ac:dyDescent="0.2"/>
    <row r="62978" hidden="1" x14ac:dyDescent="0.2"/>
    <row r="62979" hidden="1" x14ac:dyDescent="0.2"/>
    <row r="62980" hidden="1" x14ac:dyDescent="0.2"/>
    <row r="62981" hidden="1" x14ac:dyDescent="0.2"/>
    <row r="62982" hidden="1" x14ac:dyDescent="0.2"/>
    <row r="62983" hidden="1" x14ac:dyDescent="0.2"/>
    <row r="62984" hidden="1" x14ac:dyDescent="0.2"/>
    <row r="62985" hidden="1" x14ac:dyDescent="0.2"/>
    <row r="62986" hidden="1" x14ac:dyDescent="0.2"/>
    <row r="62987" hidden="1" x14ac:dyDescent="0.2"/>
    <row r="62988" hidden="1" x14ac:dyDescent="0.2"/>
    <row r="62989" hidden="1" x14ac:dyDescent="0.2"/>
    <row r="62990" hidden="1" x14ac:dyDescent="0.2"/>
    <row r="62991" hidden="1" x14ac:dyDescent="0.2"/>
    <row r="62992" hidden="1" x14ac:dyDescent="0.2"/>
    <row r="62993" hidden="1" x14ac:dyDescent="0.2"/>
    <row r="62994" hidden="1" x14ac:dyDescent="0.2"/>
    <row r="62995" hidden="1" x14ac:dyDescent="0.2"/>
    <row r="62996" hidden="1" x14ac:dyDescent="0.2"/>
    <row r="62997" hidden="1" x14ac:dyDescent="0.2"/>
    <row r="62998" hidden="1" x14ac:dyDescent="0.2"/>
    <row r="62999" hidden="1" x14ac:dyDescent="0.2"/>
    <row r="63000" hidden="1" x14ac:dyDescent="0.2"/>
    <row r="63001" hidden="1" x14ac:dyDescent="0.2"/>
    <row r="63002" hidden="1" x14ac:dyDescent="0.2"/>
    <row r="63003" hidden="1" x14ac:dyDescent="0.2"/>
    <row r="63004" hidden="1" x14ac:dyDescent="0.2"/>
    <row r="63005" hidden="1" x14ac:dyDescent="0.2"/>
    <row r="63006" hidden="1" x14ac:dyDescent="0.2"/>
    <row r="63007" hidden="1" x14ac:dyDescent="0.2"/>
    <row r="63008" hidden="1" x14ac:dyDescent="0.2"/>
    <row r="63009" hidden="1" x14ac:dyDescent="0.2"/>
    <row r="63010" hidden="1" x14ac:dyDescent="0.2"/>
    <row r="63011" hidden="1" x14ac:dyDescent="0.2"/>
    <row r="63012" hidden="1" x14ac:dyDescent="0.2"/>
    <row r="63013" hidden="1" x14ac:dyDescent="0.2"/>
    <row r="63014" hidden="1" x14ac:dyDescent="0.2"/>
    <row r="63015" hidden="1" x14ac:dyDescent="0.2"/>
    <row r="63016" hidden="1" x14ac:dyDescent="0.2"/>
    <row r="63017" hidden="1" x14ac:dyDescent="0.2"/>
    <row r="63018" hidden="1" x14ac:dyDescent="0.2"/>
    <row r="63019" hidden="1" x14ac:dyDescent="0.2"/>
    <row r="63020" hidden="1" x14ac:dyDescent="0.2"/>
    <row r="63021" hidden="1" x14ac:dyDescent="0.2"/>
    <row r="63022" hidden="1" x14ac:dyDescent="0.2"/>
    <row r="63023" hidden="1" x14ac:dyDescent="0.2"/>
    <row r="63024" hidden="1" x14ac:dyDescent="0.2"/>
    <row r="63025" hidden="1" x14ac:dyDescent="0.2"/>
    <row r="63026" hidden="1" x14ac:dyDescent="0.2"/>
    <row r="63027" hidden="1" x14ac:dyDescent="0.2"/>
    <row r="63028" hidden="1" x14ac:dyDescent="0.2"/>
    <row r="63029" hidden="1" x14ac:dyDescent="0.2"/>
    <row r="63030" hidden="1" x14ac:dyDescent="0.2"/>
    <row r="63031" hidden="1" x14ac:dyDescent="0.2"/>
    <row r="63032" hidden="1" x14ac:dyDescent="0.2"/>
    <row r="63033" hidden="1" x14ac:dyDescent="0.2"/>
    <row r="63034" hidden="1" x14ac:dyDescent="0.2"/>
    <row r="63035" hidden="1" x14ac:dyDescent="0.2"/>
    <row r="63036" hidden="1" x14ac:dyDescent="0.2"/>
    <row r="63037" hidden="1" x14ac:dyDescent="0.2"/>
    <row r="63038" hidden="1" x14ac:dyDescent="0.2"/>
    <row r="63039" hidden="1" x14ac:dyDescent="0.2"/>
    <row r="63040" hidden="1" x14ac:dyDescent="0.2"/>
    <row r="63041" hidden="1" x14ac:dyDescent="0.2"/>
    <row r="63042" hidden="1" x14ac:dyDescent="0.2"/>
    <row r="63043" hidden="1" x14ac:dyDescent="0.2"/>
    <row r="63044" hidden="1" x14ac:dyDescent="0.2"/>
    <row r="63045" hidden="1" x14ac:dyDescent="0.2"/>
    <row r="63046" hidden="1" x14ac:dyDescent="0.2"/>
    <row r="63047" hidden="1" x14ac:dyDescent="0.2"/>
    <row r="63048" hidden="1" x14ac:dyDescent="0.2"/>
    <row r="63049" hidden="1" x14ac:dyDescent="0.2"/>
    <row r="63050" hidden="1" x14ac:dyDescent="0.2"/>
    <row r="63051" hidden="1" x14ac:dyDescent="0.2"/>
    <row r="63052" hidden="1" x14ac:dyDescent="0.2"/>
    <row r="63053" hidden="1" x14ac:dyDescent="0.2"/>
    <row r="63054" hidden="1" x14ac:dyDescent="0.2"/>
    <row r="63055" hidden="1" x14ac:dyDescent="0.2"/>
    <row r="63056" hidden="1" x14ac:dyDescent="0.2"/>
    <row r="63057" hidden="1" x14ac:dyDescent="0.2"/>
    <row r="63058" hidden="1" x14ac:dyDescent="0.2"/>
    <row r="63059" hidden="1" x14ac:dyDescent="0.2"/>
    <row r="63060" hidden="1" x14ac:dyDescent="0.2"/>
    <row r="63061" hidden="1" x14ac:dyDescent="0.2"/>
    <row r="63062" hidden="1" x14ac:dyDescent="0.2"/>
    <row r="63063" hidden="1" x14ac:dyDescent="0.2"/>
    <row r="63064" hidden="1" x14ac:dyDescent="0.2"/>
    <row r="63065" hidden="1" x14ac:dyDescent="0.2"/>
    <row r="63066" hidden="1" x14ac:dyDescent="0.2"/>
    <row r="63067" hidden="1" x14ac:dyDescent="0.2"/>
    <row r="63068" hidden="1" x14ac:dyDescent="0.2"/>
    <row r="63069" hidden="1" x14ac:dyDescent="0.2"/>
    <row r="63070" hidden="1" x14ac:dyDescent="0.2"/>
    <row r="63071" hidden="1" x14ac:dyDescent="0.2"/>
    <row r="63072" hidden="1" x14ac:dyDescent="0.2"/>
    <row r="63073" hidden="1" x14ac:dyDescent="0.2"/>
    <row r="63074" hidden="1" x14ac:dyDescent="0.2"/>
    <row r="63075" hidden="1" x14ac:dyDescent="0.2"/>
    <row r="63076" hidden="1" x14ac:dyDescent="0.2"/>
    <row r="63077" hidden="1" x14ac:dyDescent="0.2"/>
    <row r="63078" hidden="1" x14ac:dyDescent="0.2"/>
    <row r="63079" hidden="1" x14ac:dyDescent="0.2"/>
    <row r="63080" hidden="1" x14ac:dyDescent="0.2"/>
    <row r="63081" hidden="1" x14ac:dyDescent="0.2"/>
    <row r="63082" hidden="1" x14ac:dyDescent="0.2"/>
    <row r="63083" hidden="1" x14ac:dyDescent="0.2"/>
    <row r="63084" hidden="1" x14ac:dyDescent="0.2"/>
    <row r="63085" hidden="1" x14ac:dyDescent="0.2"/>
    <row r="63086" hidden="1" x14ac:dyDescent="0.2"/>
    <row r="63087" hidden="1" x14ac:dyDescent="0.2"/>
    <row r="63088" hidden="1" x14ac:dyDescent="0.2"/>
    <row r="63089" hidden="1" x14ac:dyDescent="0.2"/>
    <row r="63090" hidden="1" x14ac:dyDescent="0.2"/>
    <row r="63091" hidden="1" x14ac:dyDescent="0.2"/>
    <row r="63092" hidden="1" x14ac:dyDescent="0.2"/>
    <row r="63093" hidden="1" x14ac:dyDescent="0.2"/>
    <row r="63094" hidden="1" x14ac:dyDescent="0.2"/>
    <row r="63095" hidden="1" x14ac:dyDescent="0.2"/>
    <row r="63096" hidden="1" x14ac:dyDescent="0.2"/>
    <row r="63097" hidden="1" x14ac:dyDescent="0.2"/>
    <row r="63098" hidden="1" x14ac:dyDescent="0.2"/>
    <row r="63099" hidden="1" x14ac:dyDescent="0.2"/>
    <row r="63100" hidden="1" x14ac:dyDescent="0.2"/>
    <row r="63101" hidden="1" x14ac:dyDescent="0.2"/>
    <row r="63102" hidden="1" x14ac:dyDescent="0.2"/>
    <row r="63103" hidden="1" x14ac:dyDescent="0.2"/>
    <row r="63104" hidden="1" x14ac:dyDescent="0.2"/>
    <row r="63105" hidden="1" x14ac:dyDescent="0.2"/>
    <row r="63106" hidden="1" x14ac:dyDescent="0.2"/>
    <row r="63107" hidden="1" x14ac:dyDescent="0.2"/>
    <row r="63108" hidden="1" x14ac:dyDescent="0.2"/>
    <row r="63109" hidden="1" x14ac:dyDescent="0.2"/>
    <row r="63110" hidden="1" x14ac:dyDescent="0.2"/>
    <row r="63111" hidden="1" x14ac:dyDescent="0.2"/>
    <row r="63112" hidden="1" x14ac:dyDescent="0.2"/>
    <row r="63113" hidden="1" x14ac:dyDescent="0.2"/>
    <row r="63114" hidden="1" x14ac:dyDescent="0.2"/>
    <row r="63115" hidden="1" x14ac:dyDescent="0.2"/>
    <row r="63116" hidden="1" x14ac:dyDescent="0.2"/>
    <row r="63117" hidden="1" x14ac:dyDescent="0.2"/>
    <row r="63118" hidden="1" x14ac:dyDescent="0.2"/>
    <row r="63119" hidden="1" x14ac:dyDescent="0.2"/>
    <row r="63120" hidden="1" x14ac:dyDescent="0.2"/>
    <row r="63121" hidden="1" x14ac:dyDescent="0.2"/>
    <row r="63122" hidden="1" x14ac:dyDescent="0.2"/>
    <row r="63123" hidden="1" x14ac:dyDescent="0.2"/>
    <row r="63124" hidden="1" x14ac:dyDescent="0.2"/>
    <row r="63125" hidden="1" x14ac:dyDescent="0.2"/>
    <row r="63126" hidden="1" x14ac:dyDescent="0.2"/>
    <row r="63127" hidden="1" x14ac:dyDescent="0.2"/>
    <row r="63128" hidden="1" x14ac:dyDescent="0.2"/>
    <row r="63129" hidden="1" x14ac:dyDescent="0.2"/>
    <row r="63130" hidden="1" x14ac:dyDescent="0.2"/>
    <row r="63131" hidden="1" x14ac:dyDescent="0.2"/>
    <row r="63132" hidden="1" x14ac:dyDescent="0.2"/>
    <row r="63133" hidden="1" x14ac:dyDescent="0.2"/>
    <row r="63134" hidden="1" x14ac:dyDescent="0.2"/>
    <row r="63135" hidden="1" x14ac:dyDescent="0.2"/>
    <row r="63136" hidden="1" x14ac:dyDescent="0.2"/>
    <row r="63137" hidden="1" x14ac:dyDescent="0.2"/>
    <row r="63138" hidden="1" x14ac:dyDescent="0.2"/>
    <row r="63139" hidden="1" x14ac:dyDescent="0.2"/>
    <row r="63140" hidden="1" x14ac:dyDescent="0.2"/>
    <row r="63141" hidden="1" x14ac:dyDescent="0.2"/>
    <row r="63142" hidden="1" x14ac:dyDescent="0.2"/>
    <row r="63143" hidden="1" x14ac:dyDescent="0.2"/>
    <row r="63144" hidden="1" x14ac:dyDescent="0.2"/>
    <row r="63145" hidden="1" x14ac:dyDescent="0.2"/>
    <row r="63146" hidden="1" x14ac:dyDescent="0.2"/>
    <row r="63147" hidden="1" x14ac:dyDescent="0.2"/>
    <row r="63148" hidden="1" x14ac:dyDescent="0.2"/>
    <row r="63149" hidden="1" x14ac:dyDescent="0.2"/>
    <row r="63150" hidden="1" x14ac:dyDescent="0.2"/>
    <row r="63151" hidden="1" x14ac:dyDescent="0.2"/>
    <row r="63152" hidden="1" x14ac:dyDescent="0.2"/>
    <row r="63153" hidden="1" x14ac:dyDescent="0.2"/>
    <row r="63154" hidden="1" x14ac:dyDescent="0.2"/>
    <row r="63155" hidden="1" x14ac:dyDescent="0.2"/>
    <row r="63156" hidden="1" x14ac:dyDescent="0.2"/>
    <row r="63157" hidden="1" x14ac:dyDescent="0.2"/>
    <row r="63158" hidden="1" x14ac:dyDescent="0.2"/>
    <row r="63159" hidden="1" x14ac:dyDescent="0.2"/>
    <row r="63160" hidden="1" x14ac:dyDescent="0.2"/>
    <row r="63161" hidden="1" x14ac:dyDescent="0.2"/>
    <row r="63162" hidden="1" x14ac:dyDescent="0.2"/>
    <row r="63163" hidden="1" x14ac:dyDescent="0.2"/>
    <row r="63164" hidden="1" x14ac:dyDescent="0.2"/>
    <row r="63165" hidden="1" x14ac:dyDescent="0.2"/>
    <row r="63166" hidden="1" x14ac:dyDescent="0.2"/>
    <row r="63167" hidden="1" x14ac:dyDescent="0.2"/>
    <row r="63168" hidden="1" x14ac:dyDescent="0.2"/>
    <row r="63169" hidden="1" x14ac:dyDescent="0.2"/>
    <row r="63170" hidden="1" x14ac:dyDescent="0.2"/>
    <row r="63171" hidden="1" x14ac:dyDescent="0.2"/>
    <row r="63172" hidden="1" x14ac:dyDescent="0.2"/>
    <row r="63173" hidden="1" x14ac:dyDescent="0.2"/>
    <row r="63174" hidden="1" x14ac:dyDescent="0.2"/>
    <row r="63175" hidden="1" x14ac:dyDescent="0.2"/>
    <row r="63176" hidden="1" x14ac:dyDescent="0.2"/>
    <row r="63177" hidden="1" x14ac:dyDescent="0.2"/>
    <row r="63178" hidden="1" x14ac:dyDescent="0.2"/>
    <row r="63179" hidden="1" x14ac:dyDescent="0.2"/>
    <row r="63180" hidden="1" x14ac:dyDescent="0.2"/>
    <row r="63181" hidden="1" x14ac:dyDescent="0.2"/>
    <row r="63182" hidden="1" x14ac:dyDescent="0.2"/>
    <row r="63183" hidden="1" x14ac:dyDescent="0.2"/>
    <row r="63184" hidden="1" x14ac:dyDescent="0.2"/>
    <row r="63185" hidden="1" x14ac:dyDescent="0.2"/>
    <row r="63186" hidden="1" x14ac:dyDescent="0.2"/>
    <row r="63187" hidden="1" x14ac:dyDescent="0.2"/>
    <row r="63188" hidden="1" x14ac:dyDescent="0.2"/>
    <row r="63189" hidden="1" x14ac:dyDescent="0.2"/>
    <row r="63190" hidden="1" x14ac:dyDescent="0.2"/>
    <row r="63191" hidden="1" x14ac:dyDescent="0.2"/>
    <row r="63192" hidden="1" x14ac:dyDescent="0.2"/>
    <row r="63193" hidden="1" x14ac:dyDescent="0.2"/>
    <row r="63194" hidden="1" x14ac:dyDescent="0.2"/>
    <row r="63195" hidden="1" x14ac:dyDescent="0.2"/>
    <row r="63196" hidden="1" x14ac:dyDescent="0.2"/>
    <row r="63197" hidden="1" x14ac:dyDescent="0.2"/>
    <row r="63198" hidden="1" x14ac:dyDescent="0.2"/>
    <row r="63199" hidden="1" x14ac:dyDescent="0.2"/>
    <row r="63200" hidden="1" x14ac:dyDescent="0.2"/>
    <row r="63201" hidden="1" x14ac:dyDescent="0.2"/>
    <row r="63202" hidden="1" x14ac:dyDescent="0.2"/>
    <row r="63203" hidden="1" x14ac:dyDescent="0.2"/>
    <row r="63204" hidden="1" x14ac:dyDescent="0.2"/>
    <row r="63205" hidden="1" x14ac:dyDescent="0.2"/>
    <row r="63206" hidden="1" x14ac:dyDescent="0.2"/>
    <row r="63207" hidden="1" x14ac:dyDescent="0.2"/>
    <row r="63208" hidden="1" x14ac:dyDescent="0.2"/>
    <row r="63209" hidden="1" x14ac:dyDescent="0.2"/>
    <row r="63210" hidden="1" x14ac:dyDescent="0.2"/>
    <row r="63211" hidden="1" x14ac:dyDescent="0.2"/>
    <row r="63212" hidden="1" x14ac:dyDescent="0.2"/>
    <row r="63213" hidden="1" x14ac:dyDescent="0.2"/>
    <row r="63214" hidden="1" x14ac:dyDescent="0.2"/>
    <row r="63215" hidden="1" x14ac:dyDescent="0.2"/>
    <row r="63216" hidden="1" x14ac:dyDescent="0.2"/>
    <row r="63217" hidden="1" x14ac:dyDescent="0.2"/>
    <row r="63218" hidden="1" x14ac:dyDescent="0.2"/>
    <row r="63219" hidden="1" x14ac:dyDescent="0.2"/>
    <row r="63220" hidden="1" x14ac:dyDescent="0.2"/>
    <row r="63221" hidden="1" x14ac:dyDescent="0.2"/>
    <row r="63222" hidden="1" x14ac:dyDescent="0.2"/>
    <row r="63223" hidden="1" x14ac:dyDescent="0.2"/>
    <row r="63224" hidden="1" x14ac:dyDescent="0.2"/>
    <row r="63225" hidden="1" x14ac:dyDescent="0.2"/>
    <row r="63226" hidden="1" x14ac:dyDescent="0.2"/>
    <row r="63227" hidden="1" x14ac:dyDescent="0.2"/>
    <row r="63228" hidden="1" x14ac:dyDescent="0.2"/>
    <row r="63229" hidden="1" x14ac:dyDescent="0.2"/>
    <row r="63230" hidden="1" x14ac:dyDescent="0.2"/>
    <row r="63231" hidden="1" x14ac:dyDescent="0.2"/>
    <row r="63232" hidden="1" x14ac:dyDescent="0.2"/>
    <row r="63233" hidden="1" x14ac:dyDescent="0.2"/>
    <row r="63234" hidden="1" x14ac:dyDescent="0.2"/>
    <row r="63235" hidden="1" x14ac:dyDescent="0.2"/>
    <row r="63236" hidden="1" x14ac:dyDescent="0.2"/>
    <row r="63237" hidden="1" x14ac:dyDescent="0.2"/>
    <row r="63238" hidden="1" x14ac:dyDescent="0.2"/>
    <row r="63239" hidden="1" x14ac:dyDescent="0.2"/>
    <row r="63240" hidden="1" x14ac:dyDescent="0.2"/>
    <row r="63241" hidden="1" x14ac:dyDescent="0.2"/>
    <row r="63242" hidden="1" x14ac:dyDescent="0.2"/>
    <row r="63243" hidden="1" x14ac:dyDescent="0.2"/>
    <row r="63244" hidden="1" x14ac:dyDescent="0.2"/>
    <row r="63245" hidden="1" x14ac:dyDescent="0.2"/>
    <row r="63246" hidden="1" x14ac:dyDescent="0.2"/>
    <row r="63247" hidden="1" x14ac:dyDescent="0.2"/>
    <row r="63248" hidden="1" x14ac:dyDescent="0.2"/>
    <row r="63249" hidden="1" x14ac:dyDescent="0.2"/>
    <row r="63250" hidden="1" x14ac:dyDescent="0.2"/>
    <row r="63251" hidden="1" x14ac:dyDescent="0.2"/>
    <row r="63252" hidden="1" x14ac:dyDescent="0.2"/>
    <row r="63253" hidden="1" x14ac:dyDescent="0.2"/>
    <row r="63254" hidden="1" x14ac:dyDescent="0.2"/>
    <row r="63255" hidden="1" x14ac:dyDescent="0.2"/>
    <row r="63256" hidden="1" x14ac:dyDescent="0.2"/>
    <row r="63257" hidden="1" x14ac:dyDescent="0.2"/>
    <row r="63258" hidden="1" x14ac:dyDescent="0.2"/>
    <row r="63259" hidden="1" x14ac:dyDescent="0.2"/>
    <row r="63260" hidden="1" x14ac:dyDescent="0.2"/>
    <row r="63261" hidden="1" x14ac:dyDescent="0.2"/>
    <row r="63262" hidden="1" x14ac:dyDescent="0.2"/>
    <row r="63263" hidden="1" x14ac:dyDescent="0.2"/>
    <row r="63264" hidden="1" x14ac:dyDescent="0.2"/>
    <row r="63265" hidden="1" x14ac:dyDescent="0.2"/>
    <row r="63266" hidden="1" x14ac:dyDescent="0.2"/>
    <row r="63267" hidden="1" x14ac:dyDescent="0.2"/>
    <row r="63268" hidden="1" x14ac:dyDescent="0.2"/>
    <row r="63269" hidden="1" x14ac:dyDescent="0.2"/>
    <row r="63270" hidden="1" x14ac:dyDescent="0.2"/>
    <row r="63271" hidden="1" x14ac:dyDescent="0.2"/>
    <row r="63272" hidden="1" x14ac:dyDescent="0.2"/>
    <row r="63273" hidden="1" x14ac:dyDescent="0.2"/>
    <row r="63274" hidden="1" x14ac:dyDescent="0.2"/>
    <row r="63275" hidden="1" x14ac:dyDescent="0.2"/>
    <row r="63276" hidden="1" x14ac:dyDescent="0.2"/>
    <row r="63277" hidden="1" x14ac:dyDescent="0.2"/>
    <row r="63278" hidden="1" x14ac:dyDescent="0.2"/>
    <row r="63279" hidden="1" x14ac:dyDescent="0.2"/>
    <row r="63280" hidden="1" x14ac:dyDescent="0.2"/>
    <row r="63281" hidden="1" x14ac:dyDescent="0.2"/>
    <row r="63282" hidden="1" x14ac:dyDescent="0.2"/>
    <row r="63283" hidden="1" x14ac:dyDescent="0.2"/>
    <row r="63284" hidden="1" x14ac:dyDescent="0.2"/>
    <row r="63285" hidden="1" x14ac:dyDescent="0.2"/>
    <row r="63286" hidden="1" x14ac:dyDescent="0.2"/>
    <row r="63287" hidden="1" x14ac:dyDescent="0.2"/>
    <row r="63288" hidden="1" x14ac:dyDescent="0.2"/>
    <row r="63289" hidden="1" x14ac:dyDescent="0.2"/>
    <row r="63290" hidden="1" x14ac:dyDescent="0.2"/>
    <row r="63291" hidden="1" x14ac:dyDescent="0.2"/>
    <row r="63292" hidden="1" x14ac:dyDescent="0.2"/>
    <row r="63293" hidden="1" x14ac:dyDescent="0.2"/>
    <row r="63294" hidden="1" x14ac:dyDescent="0.2"/>
    <row r="63295" hidden="1" x14ac:dyDescent="0.2"/>
    <row r="63296" hidden="1" x14ac:dyDescent="0.2"/>
    <row r="63297" hidden="1" x14ac:dyDescent="0.2"/>
    <row r="63298" hidden="1" x14ac:dyDescent="0.2"/>
    <row r="63299" hidden="1" x14ac:dyDescent="0.2"/>
    <row r="63300" hidden="1" x14ac:dyDescent="0.2"/>
    <row r="63301" hidden="1" x14ac:dyDescent="0.2"/>
    <row r="63302" hidden="1" x14ac:dyDescent="0.2"/>
    <row r="63303" hidden="1" x14ac:dyDescent="0.2"/>
    <row r="63304" hidden="1" x14ac:dyDescent="0.2"/>
    <row r="63305" hidden="1" x14ac:dyDescent="0.2"/>
    <row r="63306" hidden="1" x14ac:dyDescent="0.2"/>
    <row r="63307" hidden="1" x14ac:dyDescent="0.2"/>
    <row r="63308" hidden="1" x14ac:dyDescent="0.2"/>
    <row r="63309" hidden="1" x14ac:dyDescent="0.2"/>
    <row r="63310" hidden="1" x14ac:dyDescent="0.2"/>
    <row r="63311" hidden="1" x14ac:dyDescent="0.2"/>
    <row r="63312" hidden="1" x14ac:dyDescent="0.2"/>
    <row r="63313" hidden="1" x14ac:dyDescent="0.2"/>
    <row r="63314" hidden="1" x14ac:dyDescent="0.2"/>
    <row r="63315" hidden="1" x14ac:dyDescent="0.2"/>
    <row r="63316" hidden="1" x14ac:dyDescent="0.2"/>
    <row r="63317" hidden="1" x14ac:dyDescent="0.2"/>
    <row r="63318" hidden="1" x14ac:dyDescent="0.2"/>
    <row r="63319" hidden="1" x14ac:dyDescent="0.2"/>
    <row r="63320" hidden="1" x14ac:dyDescent="0.2"/>
    <row r="63321" hidden="1" x14ac:dyDescent="0.2"/>
    <row r="63322" hidden="1" x14ac:dyDescent="0.2"/>
    <row r="63323" hidden="1" x14ac:dyDescent="0.2"/>
    <row r="63324" hidden="1" x14ac:dyDescent="0.2"/>
    <row r="63325" hidden="1" x14ac:dyDescent="0.2"/>
    <row r="63326" hidden="1" x14ac:dyDescent="0.2"/>
    <row r="63327" hidden="1" x14ac:dyDescent="0.2"/>
    <row r="63328" hidden="1" x14ac:dyDescent="0.2"/>
    <row r="63329" hidden="1" x14ac:dyDescent="0.2"/>
    <row r="63330" hidden="1" x14ac:dyDescent="0.2"/>
    <row r="63331" hidden="1" x14ac:dyDescent="0.2"/>
    <row r="63332" hidden="1" x14ac:dyDescent="0.2"/>
    <row r="63333" hidden="1" x14ac:dyDescent="0.2"/>
    <row r="63334" hidden="1" x14ac:dyDescent="0.2"/>
    <row r="63335" hidden="1" x14ac:dyDescent="0.2"/>
    <row r="63336" hidden="1" x14ac:dyDescent="0.2"/>
    <row r="63337" hidden="1" x14ac:dyDescent="0.2"/>
    <row r="63338" hidden="1" x14ac:dyDescent="0.2"/>
    <row r="63339" hidden="1" x14ac:dyDescent="0.2"/>
    <row r="63340" hidden="1" x14ac:dyDescent="0.2"/>
    <row r="63341" hidden="1" x14ac:dyDescent="0.2"/>
    <row r="63342" hidden="1" x14ac:dyDescent="0.2"/>
    <row r="63343" hidden="1" x14ac:dyDescent="0.2"/>
    <row r="63344" hidden="1" x14ac:dyDescent="0.2"/>
    <row r="63345" hidden="1" x14ac:dyDescent="0.2"/>
    <row r="63346" hidden="1" x14ac:dyDescent="0.2"/>
    <row r="63347" hidden="1" x14ac:dyDescent="0.2"/>
    <row r="63348" hidden="1" x14ac:dyDescent="0.2"/>
    <row r="63349" hidden="1" x14ac:dyDescent="0.2"/>
    <row r="63350" hidden="1" x14ac:dyDescent="0.2"/>
    <row r="63351" hidden="1" x14ac:dyDescent="0.2"/>
    <row r="63352" hidden="1" x14ac:dyDescent="0.2"/>
    <row r="63353" hidden="1" x14ac:dyDescent="0.2"/>
    <row r="63354" hidden="1" x14ac:dyDescent="0.2"/>
    <row r="63355" hidden="1" x14ac:dyDescent="0.2"/>
    <row r="63356" hidden="1" x14ac:dyDescent="0.2"/>
    <row r="63357" hidden="1" x14ac:dyDescent="0.2"/>
    <row r="63358" hidden="1" x14ac:dyDescent="0.2"/>
    <row r="63359" hidden="1" x14ac:dyDescent="0.2"/>
    <row r="63360" hidden="1" x14ac:dyDescent="0.2"/>
    <row r="63361" hidden="1" x14ac:dyDescent="0.2"/>
    <row r="63362" hidden="1" x14ac:dyDescent="0.2"/>
    <row r="63363" hidden="1" x14ac:dyDescent="0.2"/>
    <row r="63364" hidden="1" x14ac:dyDescent="0.2"/>
    <row r="63365" hidden="1" x14ac:dyDescent="0.2"/>
    <row r="63366" hidden="1" x14ac:dyDescent="0.2"/>
    <row r="63367" hidden="1" x14ac:dyDescent="0.2"/>
    <row r="63368" hidden="1" x14ac:dyDescent="0.2"/>
    <row r="63369" hidden="1" x14ac:dyDescent="0.2"/>
    <row r="63370" hidden="1" x14ac:dyDescent="0.2"/>
    <row r="63371" hidden="1" x14ac:dyDescent="0.2"/>
    <row r="63372" hidden="1" x14ac:dyDescent="0.2"/>
    <row r="63373" hidden="1" x14ac:dyDescent="0.2"/>
    <row r="63374" hidden="1" x14ac:dyDescent="0.2"/>
    <row r="63375" hidden="1" x14ac:dyDescent="0.2"/>
    <row r="63376" hidden="1" x14ac:dyDescent="0.2"/>
    <row r="63377" hidden="1" x14ac:dyDescent="0.2"/>
    <row r="63378" hidden="1" x14ac:dyDescent="0.2"/>
    <row r="63379" hidden="1" x14ac:dyDescent="0.2"/>
    <row r="63380" hidden="1" x14ac:dyDescent="0.2"/>
    <row r="63381" hidden="1" x14ac:dyDescent="0.2"/>
    <row r="63382" hidden="1" x14ac:dyDescent="0.2"/>
    <row r="63383" hidden="1" x14ac:dyDescent="0.2"/>
    <row r="63384" hidden="1" x14ac:dyDescent="0.2"/>
    <row r="63385" hidden="1" x14ac:dyDescent="0.2"/>
    <row r="63386" hidden="1" x14ac:dyDescent="0.2"/>
    <row r="63387" hidden="1" x14ac:dyDescent="0.2"/>
    <row r="63388" hidden="1" x14ac:dyDescent="0.2"/>
    <row r="63389" hidden="1" x14ac:dyDescent="0.2"/>
    <row r="63390" hidden="1" x14ac:dyDescent="0.2"/>
    <row r="63391" hidden="1" x14ac:dyDescent="0.2"/>
    <row r="63392" hidden="1" x14ac:dyDescent="0.2"/>
    <row r="63393" hidden="1" x14ac:dyDescent="0.2"/>
    <row r="63394" hidden="1" x14ac:dyDescent="0.2"/>
    <row r="63395" hidden="1" x14ac:dyDescent="0.2"/>
    <row r="63396" hidden="1" x14ac:dyDescent="0.2"/>
    <row r="63397" hidden="1" x14ac:dyDescent="0.2"/>
    <row r="63398" hidden="1" x14ac:dyDescent="0.2"/>
    <row r="63399" hidden="1" x14ac:dyDescent="0.2"/>
    <row r="63400" hidden="1" x14ac:dyDescent="0.2"/>
    <row r="63401" hidden="1" x14ac:dyDescent="0.2"/>
    <row r="63402" hidden="1" x14ac:dyDescent="0.2"/>
    <row r="63403" hidden="1" x14ac:dyDescent="0.2"/>
    <row r="63404" hidden="1" x14ac:dyDescent="0.2"/>
    <row r="63405" hidden="1" x14ac:dyDescent="0.2"/>
    <row r="63406" hidden="1" x14ac:dyDescent="0.2"/>
    <row r="63407" hidden="1" x14ac:dyDescent="0.2"/>
    <row r="63408" hidden="1" x14ac:dyDescent="0.2"/>
    <row r="63409" hidden="1" x14ac:dyDescent="0.2"/>
    <row r="63410" hidden="1" x14ac:dyDescent="0.2"/>
    <row r="63411" hidden="1" x14ac:dyDescent="0.2"/>
    <row r="63412" hidden="1" x14ac:dyDescent="0.2"/>
    <row r="63413" hidden="1" x14ac:dyDescent="0.2"/>
    <row r="63414" hidden="1" x14ac:dyDescent="0.2"/>
    <row r="63415" hidden="1" x14ac:dyDescent="0.2"/>
    <row r="63416" hidden="1" x14ac:dyDescent="0.2"/>
    <row r="63417" hidden="1" x14ac:dyDescent="0.2"/>
    <row r="63418" hidden="1" x14ac:dyDescent="0.2"/>
    <row r="63419" hidden="1" x14ac:dyDescent="0.2"/>
    <row r="63420" hidden="1" x14ac:dyDescent="0.2"/>
    <row r="63421" hidden="1" x14ac:dyDescent="0.2"/>
    <row r="63422" hidden="1" x14ac:dyDescent="0.2"/>
    <row r="63423" hidden="1" x14ac:dyDescent="0.2"/>
    <row r="63424" hidden="1" x14ac:dyDescent="0.2"/>
    <row r="63425" hidden="1" x14ac:dyDescent="0.2"/>
    <row r="63426" hidden="1" x14ac:dyDescent="0.2"/>
    <row r="63427" hidden="1" x14ac:dyDescent="0.2"/>
    <row r="63428" hidden="1" x14ac:dyDescent="0.2"/>
    <row r="63429" hidden="1" x14ac:dyDescent="0.2"/>
    <row r="63430" hidden="1" x14ac:dyDescent="0.2"/>
    <row r="63431" hidden="1" x14ac:dyDescent="0.2"/>
    <row r="63432" hidden="1" x14ac:dyDescent="0.2"/>
    <row r="63433" hidden="1" x14ac:dyDescent="0.2"/>
    <row r="63434" hidden="1" x14ac:dyDescent="0.2"/>
    <row r="63435" hidden="1" x14ac:dyDescent="0.2"/>
    <row r="63436" hidden="1" x14ac:dyDescent="0.2"/>
    <row r="63437" hidden="1" x14ac:dyDescent="0.2"/>
    <row r="63438" hidden="1" x14ac:dyDescent="0.2"/>
    <row r="63439" hidden="1" x14ac:dyDescent="0.2"/>
    <row r="63440" hidden="1" x14ac:dyDescent="0.2"/>
    <row r="63441" hidden="1" x14ac:dyDescent="0.2"/>
    <row r="63442" hidden="1" x14ac:dyDescent="0.2"/>
    <row r="63443" hidden="1" x14ac:dyDescent="0.2"/>
    <row r="63444" hidden="1" x14ac:dyDescent="0.2"/>
    <row r="63445" hidden="1" x14ac:dyDescent="0.2"/>
    <row r="63446" hidden="1" x14ac:dyDescent="0.2"/>
    <row r="63447" hidden="1" x14ac:dyDescent="0.2"/>
    <row r="63448" hidden="1" x14ac:dyDescent="0.2"/>
    <row r="63449" hidden="1" x14ac:dyDescent="0.2"/>
    <row r="63450" hidden="1" x14ac:dyDescent="0.2"/>
    <row r="63451" hidden="1" x14ac:dyDescent="0.2"/>
    <row r="63452" hidden="1" x14ac:dyDescent="0.2"/>
    <row r="63453" hidden="1" x14ac:dyDescent="0.2"/>
    <row r="63454" hidden="1" x14ac:dyDescent="0.2"/>
    <row r="63455" hidden="1" x14ac:dyDescent="0.2"/>
    <row r="63456" hidden="1" x14ac:dyDescent="0.2"/>
    <row r="63457" hidden="1" x14ac:dyDescent="0.2"/>
    <row r="63458" hidden="1" x14ac:dyDescent="0.2"/>
    <row r="63459" hidden="1" x14ac:dyDescent="0.2"/>
    <row r="63460" hidden="1" x14ac:dyDescent="0.2"/>
    <row r="63461" hidden="1" x14ac:dyDescent="0.2"/>
    <row r="63462" hidden="1" x14ac:dyDescent="0.2"/>
    <row r="63463" hidden="1" x14ac:dyDescent="0.2"/>
    <row r="63464" hidden="1" x14ac:dyDescent="0.2"/>
    <row r="63465" hidden="1" x14ac:dyDescent="0.2"/>
    <row r="63466" hidden="1" x14ac:dyDescent="0.2"/>
    <row r="63467" hidden="1" x14ac:dyDescent="0.2"/>
    <row r="63468" hidden="1" x14ac:dyDescent="0.2"/>
    <row r="63469" hidden="1" x14ac:dyDescent="0.2"/>
    <row r="63470" hidden="1" x14ac:dyDescent="0.2"/>
    <row r="63471" hidden="1" x14ac:dyDescent="0.2"/>
    <row r="63472" hidden="1" x14ac:dyDescent="0.2"/>
    <row r="63473" hidden="1" x14ac:dyDescent="0.2"/>
    <row r="63474" hidden="1" x14ac:dyDescent="0.2"/>
    <row r="63475" hidden="1" x14ac:dyDescent="0.2"/>
    <row r="63476" hidden="1" x14ac:dyDescent="0.2"/>
    <row r="63477" hidden="1" x14ac:dyDescent="0.2"/>
    <row r="63478" hidden="1" x14ac:dyDescent="0.2"/>
    <row r="63479" hidden="1" x14ac:dyDescent="0.2"/>
    <row r="63480" hidden="1" x14ac:dyDescent="0.2"/>
    <row r="63481" hidden="1" x14ac:dyDescent="0.2"/>
    <row r="63482" hidden="1" x14ac:dyDescent="0.2"/>
    <row r="63483" hidden="1" x14ac:dyDescent="0.2"/>
    <row r="63484" hidden="1" x14ac:dyDescent="0.2"/>
    <row r="63485" hidden="1" x14ac:dyDescent="0.2"/>
    <row r="63486" hidden="1" x14ac:dyDescent="0.2"/>
    <row r="63487" hidden="1" x14ac:dyDescent="0.2"/>
    <row r="63488" hidden="1" x14ac:dyDescent="0.2"/>
    <row r="63489" hidden="1" x14ac:dyDescent="0.2"/>
    <row r="63490" hidden="1" x14ac:dyDescent="0.2"/>
    <row r="63491" hidden="1" x14ac:dyDescent="0.2"/>
    <row r="63492" hidden="1" x14ac:dyDescent="0.2"/>
    <row r="63493" hidden="1" x14ac:dyDescent="0.2"/>
    <row r="63494" hidden="1" x14ac:dyDescent="0.2"/>
    <row r="63495" hidden="1" x14ac:dyDescent="0.2"/>
    <row r="63496" hidden="1" x14ac:dyDescent="0.2"/>
    <row r="63497" hidden="1" x14ac:dyDescent="0.2"/>
    <row r="63498" hidden="1" x14ac:dyDescent="0.2"/>
    <row r="63499" hidden="1" x14ac:dyDescent="0.2"/>
    <row r="63500" hidden="1" x14ac:dyDescent="0.2"/>
    <row r="63501" hidden="1" x14ac:dyDescent="0.2"/>
    <row r="63502" hidden="1" x14ac:dyDescent="0.2"/>
    <row r="63503" hidden="1" x14ac:dyDescent="0.2"/>
    <row r="63504" hidden="1" x14ac:dyDescent="0.2"/>
    <row r="63505" hidden="1" x14ac:dyDescent="0.2"/>
    <row r="63506" hidden="1" x14ac:dyDescent="0.2"/>
    <row r="63507" hidden="1" x14ac:dyDescent="0.2"/>
    <row r="63508" hidden="1" x14ac:dyDescent="0.2"/>
    <row r="63509" hidden="1" x14ac:dyDescent="0.2"/>
    <row r="63510" hidden="1" x14ac:dyDescent="0.2"/>
    <row r="63511" hidden="1" x14ac:dyDescent="0.2"/>
    <row r="63512" hidden="1" x14ac:dyDescent="0.2"/>
    <row r="63513" hidden="1" x14ac:dyDescent="0.2"/>
    <row r="63514" hidden="1" x14ac:dyDescent="0.2"/>
    <row r="63515" hidden="1" x14ac:dyDescent="0.2"/>
    <row r="63516" hidden="1" x14ac:dyDescent="0.2"/>
    <row r="63517" hidden="1" x14ac:dyDescent="0.2"/>
    <row r="63518" hidden="1" x14ac:dyDescent="0.2"/>
    <row r="63519" hidden="1" x14ac:dyDescent="0.2"/>
    <row r="63520" hidden="1" x14ac:dyDescent="0.2"/>
    <row r="63521" hidden="1" x14ac:dyDescent="0.2"/>
    <row r="63522" hidden="1" x14ac:dyDescent="0.2"/>
    <row r="63523" hidden="1" x14ac:dyDescent="0.2"/>
    <row r="63524" hidden="1" x14ac:dyDescent="0.2"/>
    <row r="63525" hidden="1" x14ac:dyDescent="0.2"/>
    <row r="63526" hidden="1" x14ac:dyDescent="0.2"/>
    <row r="63527" hidden="1" x14ac:dyDescent="0.2"/>
    <row r="63528" hidden="1" x14ac:dyDescent="0.2"/>
    <row r="63529" hidden="1" x14ac:dyDescent="0.2"/>
    <row r="63530" hidden="1" x14ac:dyDescent="0.2"/>
    <row r="63531" hidden="1" x14ac:dyDescent="0.2"/>
    <row r="63532" hidden="1" x14ac:dyDescent="0.2"/>
    <row r="63533" hidden="1" x14ac:dyDescent="0.2"/>
    <row r="63534" hidden="1" x14ac:dyDescent="0.2"/>
    <row r="63535" hidden="1" x14ac:dyDescent="0.2"/>
    <row r="63536" hidden="1" x14ac:dyDescent="0.2"/>
    <row r="63537" hidden="1" x14ac:dyDescent="0.2"/>
    <row r="63538" hidden="1" x14ac:dyDescent="0.2"/>
    <row r="63539" hidden="1" x14ac:dyDescent="0.2"/>
    <row r="63540" hidden="1" x14ac:dyDescent="0.2"/>
    <row r="63541" hidden="1" x14ac:dyDescent="0.2"/>
    <row r="63542" hidden="1" x14ac:dyDescent="0.2"/>
    <row r="63543" hidden="1" x14ac:dyDescent="0.2"/>
    <row r="63544" hidden="1" x14ac:dyDescent="0.2"/>
    <row r="63545" hidden="1" x14ac:dyDescent="0.2"/>
    <row r="63546" hidden="1" x14ac:dyDescent="0.2"/>
    <row r="63547" hidden="1" x14ac:dyDescent="0.2"/>
    <row r="63548" hidden="1" x14ac:dyDescent="0.2"/>
    <row r="63549" hidden="1" x14ac:dyDescent="0.2"/>
    <row r="63550" hidden="1" x14ac:dyDescent="0.2"/>
    <row r="63551" hidden="1" x14ac:dyDescent="0.2"/>
    <row r="63552" hidden="1" x14ac:dyDescent="0.2"/>
    <row r="63553" hidden="1" x14ac:dyDescent="0.2"/>
    <row r="63554" hidden="1" x14ac:dyDescent="0.2"/>
    <row r="63555" hidden="1" x14ac:dyDescent="0.2"/>
    <row r="63556" hidden="1" x14ac:dyDescent="0.2"/>
    <row r="63557" hidden="1" x14ac:dyDescent="0.2"/>
    <row r="63558" hidden="1" x14ac:dyDescent="0.2"/>
    <row r="63559" hidden="1" x14ac:dyDescent="0.2"/>
    <row r="63560" hidden="1" x14ac:dyDescent="0.2"/>
    <row r="63561" hidden="1" x14ac:dyDescent="0.2"/>
    <row r="63562" hidden="1" x14ac:dyDescent="0.2"/>
    <row r="63563" hidden="1" x14ac:dyDescent="0.2"/>
    <row r="63564" hidden="1" x14ac:dyDescent="0.2"/>
    <row r="63565" hidden="1" x14ac:dyDescent="0.2"/>
    <row r="63566" hidden="1" x14ac:dyDescent="0.2"/>
    <row r="63567" hidden="1" x14ac:dyDescent="0.2"/>
    <row r="63568" hidden="1" x14ac:dyDescent="0.2"/>
    <row r="63569" hidden="1" x14ac:dyDescent="0.2"/>
    <row r="63570" hidden="1" x14ac:dyDescent="0.2"/>
    <row r="63571" hidden="1" x14ac:dyDescent="0.2"/>
    <row r="63572" hidden="1" x14ac:dyDescent="0.2"/>
    <row r="63573" hidden="1" x14ac:dyDescent="0.2"/>
    <row r="63574" hidden="1" x14ac:dyDescent="0.2"/>
    <row r="63575" hidden="1" x14ac:dyDescent="0.2"/>
    <row r="63576" hidden="1" x14ac:dyDescent="0.2"/>
    <row r="63577" hidden="1" x14ac:dyDescent="0.2"/>
    <row r="63578" hidden="1" x14ac:dyDescent="0.2"/>
    <row r="63579" hidden="1" x14ac:dyDescent="0.2"/>
    <row r="63580" hidden="1" x14ac:dyDescent="0.2"/>
    <row r="63581" hidden="1" x14ac:dyDescent="0.2"/>
    <row r="63582" hidden="1" x14ac:dyDescent="0.2"/>
    <row r="63583" hidden="1" x14ac:dyDescent="0.2"/>
    <row r="63584" hidden="1" x14ac:dyDescent="0.2"/>
    <row r="63585" hidden="1" x14ac:dyDescent="0.2"/>
    <row r="63586" hidden="1" x14ac:dyDescent="0.2"/>
    <row r="63587" hidden="1" x14ac:dyDescent="0.2"/>
    <row r="63588" hidden="1" x14ac:dyDescent="0.2"/>
    <row r="63589" hidden="1" x14ac:dyDescent="0.2"/>
    <row r="63590" hidden="1" x14ac:dyDescent="0.2"/>
    <row r="63591" hidden="1" x14ac:dyDescent="0.2"/>
    <row r="63592" hidden="1" x14ac:dyDescent="0.2"/>
    <row r="63593" hidden="1" x14ac:dyDescent="0.2"/>
    <row r="63594" hidden="1" x14ac:dyDescent="0.2"/>
    <row r="63595" hidden="1" x14ac:dyDescent="0.2"/>
    <row r="63596" hidden="1" x14ac:dyDescent="0.2"/>
    <row r="63597" hidden="1" x14ac:dyDescent="0.2"/>
    <row r="63598" hidden="1" x14ac:dyDescent="0.2"/>
    <row r="63599" hidden="1" x14ac:dyDescent="0.2"/>
    <row r="63600" hidden="1" x14ac:dyDescent="0.2"/>
    <row r="63601" hidden="1" x14ac:dyDescent="0.2"/>
    <row r="63602" hidden="1" x14ac:dyDescent="0.2"/>
    <row r="63603" hidden="1" x14ac:dyDescent="0.2"/>
    <row r="63604" hidden="1" x14ac:dyDescent="0.2"/>
    <row r="63605" hidden="1" x14ac:dyDescent="0.2"/>
    <row r="63606" hidden="1" x14ac:dyDescent="0.2"/>
    <row r="63607" hidden="1" x14ac:dyDescent="0.2"/>
    <row r="63608" hidden="1" x14ac:dyDescent="0.2"/>
    <row r="63609" hidden="1" x14ac:dyDescent="0.2"/>
    <row r="63610" hidden="1" x14ac:dyDescent="0.2"/>
    <row r="63611" hidden="1" x14ac:dyDescent="0.2"/>
    <row r="63612" hidden="1" x14ac:dyDescent="0.2"/>
    <row r="63613" hidden="1" x14ac:dyDescent="0.2"/>
    <row r="63614" hidden="1" x14ac:dyDescent="0.2"/>
    <row r="63615" hidden="1" x14ac:dyDescent="0.2"/>
    <row r="63616" hidden="1" x14ac:dyDescent="0.2"/>
    <row r="63617" hidden="1" x14ac:dyDescent="0.2"/>
    <row r="63618" hidden="1" x14ac:dyDescent="0.2"/>
    <row r="63619" hidden="1" x14ac:dyDescent="0.2"/>
    <row r="63620" hidden="1" x14ac:dyDescent="0.2"/>
    <row r="63621" hidden="1" x14ac:dyDescent="0.2"/>
    <row r="63622" hidden="1" x14ac:dyDescent="0.2"/>
    <row r="63623" hidden="1" x14ac:dyDescent="0.2"/>
    <row r="63624" hidden="1" x14ac:dyDescent="0.2"/>
    <row r="63625" hidden="1" x14ac:dyDescent="0.2"/>
    <row r="63626" hidden="1" x14ac:dyDescent="0.2"/>
    <row r="63627" hidden="1" x14ac:dyDescent="0.2"/>
    <row r="63628" hidden="1" x14ac:dyDescent="0.2"/>
    <row r="63629" hidden="1" x14ac:dyDescent="0.2"/>
    <row r="63630" hidden="1" x14ac:dyDescent="0.2"/>
    <row r="63631" hidden="1" x14ac:dyDescent="0.2"/>
    <row r="63632" hidden="1" x14ac:dyDescent="0.2"/>
    <row r="63633" hidden="1" x14ac:dyDescent="0.2"/>
    <row r="63634" hidden="1" x14ac:dyDescent="0.2"/>
    <row r="63635" hidden="1" x14ac:dyDescent="0.2"/>
    <row r="63636" hidden="1" x14ac:dyDescent="0.2"/>
    <row r="63637" hidden="1" x14ac:dyDescent="0.2"/>
    <row r="63638" hidden="1" x14ac:dyDescent="0.2"/>
    <row r="63639" hidden="1" x14ac:dyDescent="0.2"/>
    <row r="63640" hidden="1" x14ac:dyDescent="0.2"/>
    <row r="63641" hidden="1" x14ac:dyDescent="0.2"/>
    <row r="63642" hidden="1" x14ac:dyDescent="0.2"/>
    <row r="63643" hidden="1" x14ac:dyDescent="0.2"/>
    <row r="63644" hidden="1" x14ac:dyDescent="0.2"/>
    <row r="63645" hidden="1" x14ac:dyDescent="0.2"/>
    <row r="63646" hidden="1" x14ac:dyDescent="0.2"/>
    <row r="63647" hidden="1" x14ac:dyDescent="0.2"/>
    <row r="63648" hidden="1" x14ac:dyDescent="0.2"/>
    <row r="63649" hidden="1" x14ac:dyDescent="0.2"/>
    <row r="63650" hidden="1" x14ac:dyDescent="0.2"/>
    <row r="63651" hidden="1" x14ac:dyDescent="0.2"/>
    <row r="63652" hidden="1" x14ac:dyDescent="0.2"/>
    <row r="63653" hidden="1" x14ac:dyDescent="0.2"/>
    <row r="63654" hidden="1" x14ac:dyDescent="0.2"/>
    <row r="63655" hidden="1" x14ac:dyDescent="0.2"/>
    <row r="63656" hidden="1" x14ac:dyDescent="0.2"/>
    <row r="63657" hidden="1" x14ac:dyDescent="0.2"/>
    <row r="63658" hidden="1" x14ac:dyDescent="0.2"/>
    <row r="63659" hidden="1" x14ac:dyDescent="0.2"/>
    <row r="63660" hidden="1" x14ac:dyDescent="0.2"/>
    <row r="63661" hidden="1" x14ac:dyDescent="0.2"/>
    <row r="63662" hidden="1" x14ac:dyDescent="0.2"/>
    <row r="63663" hidden="1" x14ac:dyDescent="0.2"/>
    <row r="63664" hidden="1" x14ac:dyDescent="0.2"/>
    <row r="63665" hidden="1" x14ac:dyDescent="0.2"/>
    <row r="63666" hidden="1" x14ac:dyDescent="0.2"/>
    <row r="63667" hidden="1" x14ac:dyDescent="0.2"/>
    <row r="63668" hidden="1" x14ac:dyDescent="0.2"/>
    <row r="63669" hidden="1" x14ac:dyDescent="0.2"/>
    <row r="63670" hidden="1" x14ac:dyDescent="0.2"/>
    <row r="63671" hidden="1" x14ac:dyDescent="0.2"/>
    <row r="63672" hidden="1" x14ac:dyDescent="0.2"/>
    <row r="63673" hidden="1" x14ac:dyDescent="0.2"/>
    <row r="63674" hidden="1" x14ac:dyDescent="0.2"/>
    <row r="63675" hidden="1" x14ac:dyDescent="0.2"/>
    <row r="63676" hidden="1" x14ac:dyDescent="0.2"/>
    <row r="63677" hidden="1" x14ac:dyDescent="0.2"/>
    <row r="63678" hidden="1" x14ac:dyDescent="0.2"/>
    <row r="63679" hidden="1" x14ac:dyDescent="0.2"/>
    <row r="63680" hidden="1" x14ac:dyDescent="0.2"/>
    <row r="63681" hidden="1" x14ac:dyDescent="0.2"/>
    <row r="63682" hidden="1" x14ac:dyDescent="0.2"/>
    <row r="63683" hidden="1" x14ac:dyDescent="0.2"/>
    <row r="63684" hidden="1" x14ac:dyDescent="0.2"/>
    <row r="63685" hidden="1" x14ac:dyDescent="0.2"/>
    <row r="63686" hidden="1" x14ac:dyDescent="0.2"/>
    <row r="63687" hidden="1" x14ac:dyDescent="0.2"/>
    <row r="63688" hidden="1" x14ac:dyDescent="0.2"/>
    <row r="63689" hidden="1" x14ac:dyDescent="0.2"/>
    <row r="63690" hidden="1" x14ac:dyDescent="0.2"/>
    <row r="63691" hidden="1" x14ac:dyDescent="0.2"/>
    <row r="63692" hidden="1" x14ac:dyDescent="0.2"/>
    <row r="63693" hidden="1" x14ac:dyDescent="0.2"/>
    <row r="63694" hidden="1" x14ac:dyDescent="0.2"/>
    <row r="63695" hidden="1" x14ac:dyDescent="0.2"/>
    <row r="63696" hidden="1" x14ac:dyDescent="0.2"/>
    <row r="63697" hidden="1" x14ac:dyDescent="0.2"/>
    <row r="63698" hidden="1" x14ac:dyDescent="0.2"/>
    <row r="63699" hidden="1" x14ac:dyDescent="0.2"/>
    <row r="63700" hidden="1" x14ac:dyDescent="0.2"/>
    <row r="63701" hidden="1" x14ac:dyDescent="0.2"/>
    <row r="63702" hidden="1" x14ac:dyDescent="0.2"/>
    <row r="63703" hidden="1" x14ac:dyDescent="0.2"/>
    <row r="63704" hidden="1" x14ac:dyDescent="0.2"/>
    <row r="63705" hidden="1" x14ac:dyDescent="0.2"/>
    <row r="63706" hidden="1" x14ac:dyDescent="0.2"/>
    <row r="63707" hidden="1" x14ac:dyDescent="0.2"/>
    <row r="63708" hidden="1" x14ac:dyDescent="0.2"/>
    <row r="63709" hidden="1" x14ac:dyDescent="0.2"/>
    <row r="63710" hidden="1" x14ac:dyDescent="0.2"/>
    <row r="63711" hidden="1" x14ac:dyDescent="0.2"/>
    <row r="63712" hidden="1" x14ac:dyDescent="0.2"/>
    <row r="63713" hidden="1" x14ac:dyDescent="0.2"/>
    <row r="63714" hidden="1" x14ac:dyDescent="0.2"/>
    <row r="63715" hidden="1" x14ac:dyDescent="0.2"/>
    <row r="63716" hidden="1" x14ac:dyDescent="0.2"/>
    <row r="63717" hidden="1" x14ac:dyDescent="0.2"/>
    <row r="63718" hidden="1" x14ac:dyDescent="0.2"/>
    <row r="63719" hidden="1" x14ac:dyDescent="0.2"/>
    <row r="63720" hidden="1" x14ac:dyDescent="0.2"/>
    <row r="63721" hidden="1" x14ac:dyDescent="0.2"/>
    <row r="63722" hidden="1" x14ac:dyDescent="0.2"/>
    <row r="63723" hidden="1" x14ac:dyDescent="0.2"/>
    <row r="63724" hidden="1" x14ac:dyDescent="0.2"/>
    <row r="63725" hidden="1" x14ac:dyDescent="0.2"/>
    <row r="63726" hidden="1" x14ac:dyDescent="0.2"/>
    <row r="63727" hidden="1" x14ac:dyDescent="0.2"/>
    <row r="63728" hidden="1" x14ac:dyDescent="0.2"/>
    <row r="63729" hidden="1" x14ac:dyDescent="0.2"/>
    <row r="63730" hidden="1" x14ac:dyDescent="0.2"/>
    <row r="63731" hidden="1" x14ac:dyDescent="0.2"/>
    <row r="63732" hidden="1" x14ac:dyDescent="0.2"/>
    <row r="63733" hidden="1" x14ac:dyDescent="0.2"/>
    <row r="63734" hidden="1" x14ac:dyDescent="0.2"/>
    <row r="63735" hidden="1" x14ac:dyDescent="0.2"/>
    <row r="63736" hidden="1" x14ac:dyDescent="0.2"/>
    <row r="63737" hidden="1" x14ac:dyDescent="0.2"/>
    <row r="63738" hidden="1" x14ac:dyDescent="0.2"/>
    <row r="63739" hidden="1" x14ac:dyDescent="0.2"/>
    <row r="63740" hidden="1" x14ac:dyDescent="0.2"/>
    <row r="63741" hidden="1" x14ac:dyDescent="0.2"/>
    <row r="63742" hidden="1" x14ac:dyDescent="0.2"/>
    <row r="63743" hidden="1" x14ac:dyDescent="0.2"/>
    <row r="63744" hidden="1" x14ac:dyDescent="0.2"/>
    <row r="63745" hidden="1" x14ac:dyDescent="0.2"/>
    <row r="63746" hidden="1" x14ac:dyDescent="0.2"/>
    <row r="63747" hidden="1" x14ac:dyDescent="0.2"/>
    <row r="63748" hidden="1" x14ac:dyDescent="0.2"/>
    <row r="63749" hidden="1" x14ac:dyDescent="0.2"/>
    <row r="63750" hidden="1" x14ac:dyDescent="0.2"/>
    <row r="63751" hidden="1" x14ac:dyDescent="0.2"/>
    <row r="63752" hidden="1" x14ac:dyDescent="0.2"/>
    <row r="63753" hidden="1" x14ac:dyDescent="0.2"/>
    <row r="63754" hidden="1" x14ac:dyDescent="0.2"/>
    <row r="63755" hidden="1" x14ac:dyDescent="0.2"/>
    <row r="63756" hidden="1" x14ac:dyDescent="0.2"/>
    <row r="63757" hidden="1" x14ac:dyDescent="0.2"/>
    <row r="63758" hidden="1" x14ac:dyDescent="0.2"/>
    <row r="63759" hidden="1" x14ac:dyDescent="0.2"/>
    <row r="63760" hidden="1" x14ac:dyDescent="0.2"/>
    <row r="63761" hidden="1" x14ac:dyDescent="0.2"/>
    <row r="63762" hidden="1" x14ac:dyDescent="0.2"/>
    <row r="63763" hidden="1" x14ac:dyDescent="0.2"/>
    <row r="63764" hidden="1" x14ac:dyDescent="0.2"/>
    <row r="63765" hidden="1" x14ac:dyDescent="0.2"/>
    <row r="63766" hidden="1" x14ac:dyDescent="0.2"/>
    <row r="63767" hidden="1" x14ac:dyDescent="0.2"/>
    <row r="63768" hidden="1" x14ac:dyDescent="0.2"/>
    <row r="63769" hidden="1" x14ac:dyDescent="0.2"/>
    <row r="63770" hidden="1" x14ac:dyDescent="0.2"/>
    <row r="63771" hidden="1" x14ac:dyDescent="0.2"/>
    <row r="63772" hidden="1" x14ac:dyDescent="0.2"/>
    <row r="63773" hidden="1" x14ac:dyDescent="0.2"/>
    <row r="63774" hidden="1" x14ac:dyDescent="0.2"/>
    <row r="63775" hidden="1" x14ac:dyDescent="0.2"/>
    <row r="63776" hidden="1" x14ac:dyDescent="0.2"/>
    <row r="63777" hidden="1" x14ac:dyDescent="0.2"/>
    <row r="63778" hidden="1" x14ac:dyDescent="0.2"/>
    <row r="63779" hidden="1" x14ac:dyDescent="0.2"/>
    <row r="63780" hidden="1" x14ac:dyDescent="0.2"/>
    <row r="63781" hidden="1" x14ac:dyDescent="0.2"/>
    <row r="63782" hidden="1" x14ac:dyDescent="0.2"/>
    <row r="63783" hidden="1" x14ac:dyDescent="0.2"/>
    <row r="63784" hidden="1" x14ac:dyDescent="0.2"/>
    <row r="63785" hidden="1" x14ac:dyDescent="0.2"/>
    <row r="63786" hidden="1" x14ac:dyDescent="0.2"/>
    <row r="63787" hidden="1" x14ac:dyDescent="0.2"/>
    <row r="63788" hidden="1" x14ac:dyDescent="0.2"/>
    <row r="63789" hidden="1" x14ac:dyDescent="0.2"/>
    <row r="63790" hidden="1" x14ac:dyDescent="0.2"/>
    <row r="63791" hidden="1" x14ac:dyDescent="0.2"/>
    <row r="63792" hidden="1" x14ac:dyDescent="0.2"/>
    <row r="63793" hidden="1" x14ac:dyDescent="0.2"/>
    <row r="63794" hidden="1" x14ac:dyDescent="0.2"/>
    <row r="63795" hidden="1" x14ac:dyDescent="0.2"/>
    <row r="63796" hidden="1" x14ac:dyDescent="0.2"/>
    <row r="63797" hidden="1" x14ac:dyDescent="0.2"/>
    <row r="63798" hidden="1" x14ac:dyDescent="0.2"/>
    <row r="63799" hidden="1" x14ac:dyDescent="0.2"/>
    <row r="63800" hidden="1" x14ac:dyDescent="0.2"/>
    <row r="63801" hidden="1" x14ac:dyDescent="0.2"/>
    <row r="63802" hidden="1" x14ac:dyDescent="0.2"/>
    <row r="63803" hidden="1" x14ac:dyDescent="0.2"/>
    <row r="63804" hidden="1" x14ac:dyDescent="0.2"/>
    <row r="63805" hidden="1" x14ac:dyDescent="0.2"/>
    <row r="63806" hidden="1" x14ac:dyDescent="0.2"/>
    <row r="63807" hidden="1" x14ac:dyDescent="0.2"/>
    <row r="63808" hidden="1" x14ac:dyDescent="0.2"/>
    <row r="63809" hidden="1" x14ac:dyDescent="0.2"/>
    <row r="63810" hidden="1" x14ac:dyDescent="0.2"/>
    <row r="63811" hidden="1" x14ac:dyDescent="0.2"/>
    <row r="63812" hidden="1" x14ac:dyDescent="0.2"/>
    <row r="63813" hidden="1" x14ac:dyDescent="0.2"/>
    <row r="63814" hidden="1" x14ac:dyDescent="0.2"/>
    <row r="63815" hidden="1" x14ac:dyDescent="0.2"/>
    <row r="63816" hidden="1" x14ac:dyDescent="0.2"/>
    <row r="63817" hidden="1" x14ac:dyDescent="0.2"/>
    <row r="63818" hidden="1" x14ac:dyDescent="0.2"/>
    <row r="63819" hidden="1" x14ac:dyDescent="0.2"/>
    <row r="63820" hidden="1" x14ac:dyDescent="0.2"/>
    <row r="63821" hidden="1" x14ac:dyDescent="0.2"/>
    <row r="63822" hidden="1" x14ac:dyDescent="0.2"/>
    <row r="63823" hidden="1" x14ac:dyDescent="0.2"/>
    <row r="63824" hidden="1" x14ac:dyDescent="0.2"/>
    <row r="63825" hidden="1" x14ac:dyDescent="0.2"/>
    <row r="63826" hidden="1" x14ac:dyDescent="0.2"/>
    <row r="63827" hidden="1" x14ac:dyDescent="0.2"/>
    <row r="63828" hidden="1" x14ac:dyDescent="0.2"/>
    <row r="63829" hidden="1" x14ac:dyDescent="0.2"/>
    <row r="63830" hidden="1" x14ac:dyDescent="0.2"/>
    <row r="63831" hidden="1" x14ac:dyDescent="0.2"/>
    <row r="63832" hidden="1" x14ac:dyDescent="0.2"/>
    <row r="63833" hidden="1" x14ac:dyDescent="0.2"/>
    <row r="63834" hidden="1" x14ac:dyDescent="0.2"/>
    <row r="63835" hidden="1" x14ac:dyDescent="0.2"/>
    <row r="63836" hidden="1" x14ac:dyDescent="0.2"/>
    <row r="63837" hidden="1" x14ac:dyDescent="0.2"/>
    <row r="63838" hidden="1" x14ac:dyDescent="0.2"/>
    <row r="63839" hidden="1" x14ac:dyDescent="0.2"/>
    <row r="63840" hidden="1" x14ac:dyDescent="0.2"/>
    <row r="63841" hidden="1" x14ac:dyDescent="0.2"/>
    <row r="63842" hidden="1" x14ac:dyDescent="0.2"/>
    <row r="63843" hidden="1" x14ac:dyDescent="0.2"/>
    <row r="63844" hidden="1" x14ac:dyDescent="0.2"/>
    <row r="63845" hidden="1" x14ac:dyDescent="0.2"/>
    <row r="63846" hidden="1" x14ac:dyDescent="0.2"/>
    <row r="63847" hidden="1" x14ac:dyDescent="0.2"/>
    <row r="63848" hidden="1" x14ac:dyDescent="0.2"/>
    <row r="63849" hidden="1" x14ac:dyDescent="0.2"/>
    <row r="63850" hidden="1" x14ac:dyDescent="0.2"/>
    <row r="63851" hidden="1" x14ac:dyDescent="0.2"/>
    <row r="63852" hidden="1" x14ac:dyDescent="0.2"/>
    <row r="63853" hidden="1" x14ac:dyDescent="0.2"/>
    <row r="63854" hidden="1" x14ac:dyDescent="0.2"/>
    <row r="63855" hidden="1" x14ac:dyDescent="0.2"/>
    <row r="63856" hidden="1" x14ac:dyDescent="0.2"/>
    <row r="63857" hidden="1" x14ac:dyDescent="0.2"/>
    <row r="63858" hidden="1" x14ac:dyDescent="0.2"/>
    <row r="63859" hidden="1" x14ac:dyDescent="0.2"/>
    <row r="63860" hidden="1" x14ac:dyDescent="0.2"/>
    <row r="63861" hidden="1" x14ac:dyDescent="0.2"/>
    <row r="63862" hidden="1" x14ac:dyDescent="0.2"/>
    <row r="63863" hidden="1" x14ac:dyDescent="0.2"/>
    <row r="63864" hidden="1" x14ac:dyDescent="0.2"/>
    <row r="63865" hidden="1" x14ac:dyDescent="0.2"/>
    <row r="63866" hidden="1" x14ac:dyDescent="0.2"/>
    <row r="63867" hidden="1" x14ac:dyDescent="0.2"/>
    <row r="63868" hidden="1" x14ac:dyDescent="0.2"/>
    <row r="63869" hidden="1" x14ac:dyDescent="0.2"/>
    <row r="63870" hidden="1" x14ac:dyDescent="0.2"/>
    <row r="63871" hidden="1" x14ac:dyDescent="0.2"/>
    <row r="63872" hidden="1" x14ac:dyDescent="0.2"/>
    <row r="63873" hidden="1" x14ac:dyDescent="0.2"/>
    <row r="63874" hidden="1" x14ac:dyDescent="0.2"/>
    <row r="63875" hidden="1" x14ac:dyDescent="0.2"/>
    <row r="63876" hidden="1" x14ac:dyDescent="0.2"/>
    <row r="63877" hidden="1" x14ac:dyDescent="0.2"/>
    <row r="63878" hidden="1" x14ac:dyDescent="0.2"/>
    <row r="63879" hidden="1" x14ac:dyDescent="0.2"/>
    <row r="63880" hidden="1" x14ac:dyDescent="0.2"/>
    <row r="63881" hidden="1" x14ac:dyDescent="0.2"/>
    <row r="63882" hidden="1" x14ac:dyDescent="0.2"/>
    <row r="63883" hidden="1" x14ac:dyDescent="0.2"/>
    <row r="63884" hidden="1" x14ac:dyDescent="0.2"/>
    <row r="63885" hidden="1" x14ac:dyDescent="0.2"/>
    <row r="63886" hidden="1" x14ac:dyDescent="0.2"/>
    <row r="63887" hidden="1" x14ac:dyDescent="0.2"/>
    <row r="63888" hidden="1" x14ac:dyDescent="0.2"/>
    <row r="63889" hidden="1" x14ac:dyDescent="0.2"/>
    <row r="63890" hidden="1" x14ac:dyDescent="0.2"/>
    <row r="63891" hidden="1" x14ac:dyDescent="0.2"/>
    <row r="63892" hidden="1" x14ac:dyDescent="0.2"/>
    <row r="63893" hidden="1" x14ac:dyDescent="0.2"/>
    <row r="63894" hidden="1" x14ac:dyDescent="0.2"/>
    <row r="63895" hidden="1" x14ac:dyDescent="0.2"/>
    <row r="63896" hidden="1" x14ac:dyDescent="0.2"/>
    <row r="63897" hidden="1" x14ac:dyDescent="0.2"/>
    <row r="63898" hidden="1" x14ac:dyDescent="0.2"/>
    <row r="63899" hidden="1" x14ac:dyDescent="0.2"/>
    <row r="63900" hidden="1" x14ac:dyDescent="0.2"/>
    <row r="63901" hidden="1" x14ac:dyDescent="0.2"/>
    <row r="63902" hidden="1" x14ac:dyDescent="0.2"/>
    <row r="63903" hidden="1" x14ac:dyDescent="0.2"/>
    <row r="63904" hidden="1" x14ac:dyDescent="0.2"/>
    <row r="63905" hidden="1" x14ac:dyDescent="0.2"/>
    <row r="63906" hidden="1" x14ac:dyDescent="0.2"/>
    <row r="63907" hidden="1" x14ac:dyDescent="0.2"/>
    <row r="63908" hidden="1" x14ac:dyDescent="0.2"/>
    <row r="63909" hidden="1" x14ac:dyDescent="0.2"/>
    <row r="63910" hidden="1" x14ac:dyDescent="0.2"/>
    <row r="63911" hidden="1" x14ac:dyDescent="0.2"/>
    <row r="63912" hidden="1" x14ac:dyDescent="0.2"/>
    <row r="63913" hidden="1" x14ac:dyDescent="0.2"/>
    <row r="63914" hidden="1" x14ac:dyDescent="0.2"/>
    <row r="63915" hidden="1" x14ac:dyDescent="0.2"/>
    <row r="63916" hidden="1" x14ac:dyDescent="0.2"/>
    <row r="63917" hidden="1" x14ac:dyDescent="0.2"/>
    <row r="63918" hidden="1" x14ac:dyDescent="0.2"/>
    <row r="63919" hidden="1" x14ac:dyDescent="0.2"/>
    <row r="63920" hidden="1" x14ac:dyDescent="0.2"/>
    <row r="63921" hidden="1" x14ac:dyDescent="0.2"/>
    <row r="63922" hidden="1" x14ac:dyDescent="0.2"/>
    <row r="63923" hidden="1" x14ac:dyDescent="0.2"/>
    <row r="63924" hidden="1" x14ac:dyDescent="0.2"/>
    <row r="63925" hidden="1" x14ac:dyDescent="0.2"/>
    <row r="63926" hidden="1" x14ac:dyDescent="0.2"/>
    <row r="63927" hidden="1" x14ac:dyDescent="0.2"/>
    <row r="63928" hidden="1" x14ac:dyDescent="0.2"/>
    <row r="63929" hidden="1" x14ac:dyDescent="0.2"/>
    <row r="63930" hidden="1" x14ac:dyDescent="0.2"/>
    <row r="63931" hidden="1" x14ac:dyDescent="0.2"/>
    <row r="63932" hidden="1" x14ac:dyDescent="0.2"/>
    <row r="63933" hidden="1" x14ac:dyDescent="0.2"/>
    <row r="63934" hidden="1" x14ac:dyDescent="0.2"/>
    <row r="63935" hidden="1" x14ac:dyDescent="0.2"/>
    <row r="63936" hidden="1" x14ac:dyDescent="0.2"/>
    <row r="63937" hidden="1" x14ac:dyDescent="0.2"/>
    <row r="63938" hidden="1" x14ac:dyDescent="0.2"/>
    <row r="63939" hidden="1" x14ac:dyDescent="0.2"/>
    <row r="63940" hidden="1" x14ac:dyDescent="0.2"/>
    <row r="63941" hidden="1" x14ac:dyDescent="0.2"/>
    <row r="63942" hidden="1" x14ac:dyDescent="0.2"/>
    <row r="63943" hidden="1" x14ac:dyDescent="0.2"/>
    <row r="63944" hidden="1" x14ac:dyDescent="0.2"/>
    <row r="63945" hidden="1" x14ac:dyDescent="0.2"/>
    <row r="63946" hidden="1" x14ac:dyDescent="0.2"/>
    <row r="63947" hidden="1" x14ac:dyDescent="0.2"/>
    <row r="63948" hidden="1" x14ac:dyDescent="0.2"/>
    <row r="63949" hidden="1" x14ac:dyDescent="0.2"/>
    <row r="63950" hidden="1" x14ac:dyDescent="0.2"/>
    <row r="63951" hidden="1" x14ac:dyDescent="0.2"/>
    <row r="63952" hidden="1" x14ac:dyDescent="0.2"/>
    <row r="63953" hidden="1" x14ac:dyDescent="0.2"/>
    <row r="63954" hidden="1" x14ac:dyDescent="0.2"/>
    <row r="63955" hidden="1" x14ac:dyDescent="0.2"/>
    <row r="63956" hidden="1" x14ac:dyDescent="0.2"/>
    <row r="63957" hidden="1" x14ac:dyDescent="0.2"/>
    <row r="63958" hidden="1" x14ac:dyDescent="0.2"/>
    <row r="63959" hidden="1" x14ac:dyDescent="0.2"/>
    <row r="63960" hidden="1" x14ac:dyDescent="0.2"/>
    <row r="63961" hidden="1" x14ac:dyDescent="0.2"/>
    <row r="63962" hidden="1" x14ac:dyDescent="0.2"/>
    <row r="63963" hidden="1" x14ac:dyDescent="0.2"/>
    <row r="63964" hidden="1" x14ac:dyDescent="0.2"/>
    <row r="63965" hidden="1" x14ac:dyDescent="0.2"/>
    <row r="63966" hidden="1" x14ac:dyDescent="0.2"/>
    <row r="63967" hidden="1" x14ac:dyDescent="0.2"/>
    <row r="63968" hidden="1" x14ac:dyDescent="0.2"/>
    <row r="63969" hidden="1" x14ac:dyDescent="0.2"/>
    <row r="63970" hidden="1" x14ac:dyDescent="0.2"/>
    <row r="63971" hidden="1" x14ac:dyDescent="0.2"/>
    <row r="63972" hidden="1" x14ac:dyDescent="0.2"/>
    <row r="63973" hidden="1" x14ac:dyDescent="0.2"/>
    <row r="63974" hidden="1" x14ac:dyDescent="0.2"/>
    <row r="63975" hidden="1" x14ac:dyDescent="0.2"/>
    <row r="63976" hidden="1" x14ac:dyDescent="0.2"/>
    <row r="63977" hidden="1" x14ac:dyDescent="0.2"/>
    <row r="63978" hidden="1" x14ac:dyDescent="0.2"/>
    <row r="63979" hidden="1" x14ac:dyDescent="0.2"/>
    <row r="63980" hidden="1" x14ac:dyDescent="0.2"/>
    <row r="63981" hidden="1" x14ac:dyDescent="0.2"/>
    <row r="63982" hidden="1" x14ac:dyDescent="0.2"/>
    <row r="63983" hidden="1" x14ac:dyDescent="0.2"/>
    <row r="63984" hidden="1" x14ac:dyDescent="0.2"/>
    <row r="63985" hidden="1" x14ac:dyDescent="0.2"/>
    <row r="63986" hidden="1" x14ac:dyDescent="0.2"/>
    <row r="63987" hidden="1" x14ac:dyDescent="0.2"/>
    <row r="63988" hidden="1" x14ac:dyDescent="0.2"/>
    <row r="63989" hidden="1" x14ac:dyDescent="0.2"/>
    <row r="63990" hidden="1" x14ac:dyDescent="0.2"/>
    <row r="63991" hidden="1" x14ac:dyDescent="0.2"/>
    <row r="63992" hidden="1" x14ac:dyDescent="0.2"/>
    <row r="63993" hidden="1" x14ac:dyDescent="0.2"/>
    <row r="63994" hidden="1" x14ac:dyDescent="0.2"/>
    <row r="63995" hidden="1" x14ac:dyDescent="0.2"/>
    <row r="63996" hidden="1" x14ac:dyDescent="0.2"/>
    <row r="63997" hidden="1" x14ac:dyDescent="0.2"/>
    <row r="63998" hidden="1" x14ac:dyDescent="0.2"/>
    <row r="63999" hidden="1" x14ac:dyDescent="0.2"/>
    <row r="64000" hidden="1" x14ac:dyDescent="0.2"/>
    <row r="64001" hidden="1" x14ac:dyDescent="0.2"/>
    <row r="64002" hidden="1" x14ac:dyDescent="0.2"/>
    <row r="64003" hidden="1" x14ac:dyDescent="0.2"/>
    <row r="64004" hidden="1" x14ac:dyDescent="0.2"/>
    <row r="64005" hidden="1" x14ac:dyDescent="0.2"/>
    <row r="64006" hidden="1" x14ac:dyDescent="0.2"/>
    <row r="64007" hidden="1" x14ac:dyDescent="0.2"/>
    <row r="64008" hidden="1" x14ac:dyDescent="0.2"/>
    <row r="64009" hidden="1" x14ac:dyDescent="0.2"/>
    <row r="64010" hidden="1" x14ac:dyDescent="0.2"/>
    <row r="64011" hidden="1" x14ac:dyDescent="0.2"/>
    <row r="64012" hidden="1" x14ac:dyDescent="0.2"/>
    <row r="64013" hidden="1" x14ac:dyDescent="0.2"/>
    <row r="64014" hidden="1" x14ac:dyDescent="0.2"/>
    <row r="64015" hidden="1" x14ac:dyDescent="0.2"/>
    <row r="64016" hidden="1" x14ac:dyDescent="0.2"/>
    <row r="64017" hidden="1" x14ac:dyDescent="0.2"/>
    <row r="64018" hidden="1" x14ac:dyDescent="0.2"/>
    <row r="64019" hidden="1" x14ac:dyDescent="0.2"/>
    <row r="64020" hidden="1" x14ac:dyDescent="0.2"/>
    <row r="64021" hidden="1" x14ac:dyDescent="0.2"/>
    <row r="64022" hidden="1" x14ac:dyDescent="0.2"/>
    <row r="64023" hidden="1" x14ac:dyDescent="0.2"/>
    <row r="64024" hidden="1" x14ac:dyDescent="0.2"/>
    <row r="64025" hidden="1" x14ac:dyDescent="0.2"/>
    <row r="64026" hidden="1" x14ac:dyDescent="0.2"/>
    <row r="64027" hidden="1" x14ac:dyDescent="0.2"/>
    <row r="64028" hidden="1" x14ac:dyDescent="0.2"/>
    <row r="64029" hidden="1" x14ac:dyDescent="0.2"/>
    <row r="64030" hidden="1" x14ac:dyDescent="0.2"/>
    <row r="64031" hidden="1" x14ac:dyDescent="0.2"/>
    <row r="64032" hidden="1" x14ac:dyDescent="0.2"/>
    <row r="64033" hidden="1" x14ac:dyDescent="0.2"/>
    <row r="64034" hidden="1" x14ac:dyDescent="0.2"/>
    <row r="64035" hidden="1" x14ac:dyDescent="0.2"/>
    <row r="64036" hidden="1" x14ac:dyDescent="0.2"/>
    <row r="64037" hidden="1" x14ac:dyDescent="0.2"/>
    <row r="64038" hidden="1" x14ac:dyDescent="0.2"/>
    <row r="64039" hidden="1" x14ac:dyDescent="0.2"/>
    <row r="64040" hidden="1" x14ac:dyDescent="0.2"/>
    <row r="64041" hidden="1" x14ac:dyDescent="0.2"/>
    <row r="64042" hidden="1" x14ac:dyDescent="0.2"/>
    <row r="64043" hidden="1" x14ac:dyDescent="0.2"/>
    <row r="64044" hidden="1" x14ac:dyDescent="0.2"/>
    <row r="64045" hidden="1" x14ac:dyDescent="0.2"/>
    <row r="64046" hidden="1" x14ac:dyDescent="0.2"/>
    <row r="64047" hidden="1" x14ac:dyDescent="0.2"/>
    <row r="64048" hidden="1" x14ac:dyDescent="0.2"/>
    <row r="64049" hidden="1" x14ac:dyDescent="0.2"/>
    <row r="64050" hidden="1" x14ac:dyDescent="0.2"/>
    <row r="64051" hidden="1" x14ac:dyDescent="0.2"/>
    <row r="64052" hidden="1" x14ac:dyDescent="0.2"/>
    <row r="64053" hidden="1" x14ac:dyDescent="0.2"/>
    <row r="64054" hidden="1" x14ac:dyDescent="0.2"/>
    <row r="64055" hidden="1" x14ac:dyDescent="0.2"/>
    <row r="64056" hidden="1" x14ac:dyDescent="0.2"/>
    <row r="64057" hidden="1" x14ac:dyDescent="0.2"/>
    <row r="64058" hidden="1" x14ac:dyDescent="0.2"/>
    <row r="64059" hidden="1" x14ac:dyDescent="0.2"/>
    <row r="64060" hidden="1" x14ac:dyDescent="0.2"/>
    <row r="64061" hidden="1" x14ac:dyDescent="0.2"/>
    <row r="64062" hidden="1" x14ac:dyDescent="0.2"/>
    <row r="64063" hidden="1" x14ac:dyDescent="0.2"/>
    <row r="64064" hidden="1" x14ac:dyDescent="0.2"/>
    <row r="64065" hidden="1" x14ac:dyDescent="0.2"/>
    <row r="64066" hidden="1" x14ac:dyDescent="0.2"/>
    <row r="64067" hidden="1" x14ac:dyDescent="0.2"/>
    <row r="64068" hidden="1" x14ac:dyDescent="0.2"/>
    <row r="64069" hidden="1" x14ac:dyDescent="0.2"/>
    <row r="64070" hidden="1" x14ac:dyDescent="0.2"/>
    <row r="64071" hidden="1" x14ac:dyDescent="0.2"/>
    <row r="64072" hidden="1" x14ac:dyDescent="0.2"/>
    <row r="64073" hidden="1" x14ac:dyDescent="0.2"/>
    <row r="64074" hidden="1" x14ac:dyDescent="0.2"/>
    <row r="64075" hidden="1" x14ac:dyDescent="0.2"/>
    <row r="64076" hidden="1" x14ac:dyDescent="0.2"/>
    <row r="64077" hidden="1" x14ac:dyDescent="0.2"/>
    <row r="64078" hidden="1" x14ac:dyDescent="0.2"/>
    <row r="64079" hidden="1" x14ac:dyDescent="0.2"/>
    <row r="64080" hidden="1" x14ac:dyDescent="0.2"/>
    <row r="64081" hidden="1" x14ac:dyDescent="0.2"/>
    <row r="64082" hidden="1" x14ac:dyDescent="0.2"/>
    <row r="64083" hidden="1" x14ac:dyDescent="0.2"/>
    <row r="64084" hidden="1" x14ac:dyDescent="0.2"/>
    <row r="64085" hidden="1" x14ac:dyDescent="0.2"/>
    <row r="64086" hidden="1" x14ac:dyDescent="0.2"/>
    <row r="64087" hidden="1" x14ac:dyDescent="0.2"/>
    <row r="64088" hidden="1" x14ac:dyDescent="0.2"/>
    <row r="64089" hidden="1" x14ac:dyDescent="0.2"/>
    <row r="64090" hidden="1" x14ac:dyDescent="0.2"/>
    <row r="64091" hidden="1" x14ac:dyDescent="0.2"/>
    <row r="64092" hidden="1" x14ac:dyDescent="0.2"/>
    <row r="64093" hidden="1" x14ac:dyDescent="0.2"/>
    <row r="64094" hidden="1" x14ac:dyDescent="0.2"/>
    <row r="64095" hidden="1" x14ac:dyDescent="0.2"/>
    <row r="64096" hidden="1" x14ac:dyDescent="0.2"/>
    <row r="64097" hidden="1" x14ac:dyDescent="0.2"/>
    <row r="64098" hidden="1" x14ac:dyDescent="0.2"/>
    <row r="64099" hidden="1" x14ac:dyDescent="0.2"/>
    <row r="64100" hidden="1" x14ac:dyDescent="0.2"/>
    <row r="64101" hidden="1" x14ac:dyDescent="0.2"/>
    <row r="64102" hidden="1" x14ac:dyDescent="0.2"/>
    <row r="64103" hidden="1" x14ac:dyDescent="0.2"/>
    <row r="64104" hidden="1" x14ac:dyDescent="0.2"/>
    <row r="64105" hidden="1" x14ac:dyDescent="0.2"/>
    <row r="64106" hidden="1" x14ac:dyDescent="0.2"/>
    <row r="64107" hidden="1" x14ac:dyDescent="0.2"/>
    <row r="64108" hidden="1" x14ac:dyDescent="0.2"/>
    <row r="64109" hidden="1" x14ac:dyDescent="0.2"/>
    <row r="64110" hidden="1" x14ac:dyDescent="0.2"/>
    <row r="64111" hidden="1" x14ac:dyDescent="0.2"/>
    <row r="64112" hidden="1" x14ac:dyDescent="0.2"/>
    <row r="64113" hidden="1" x14ac:dyDescent="0.2"/>
    <row r="64114" hidden="1" x14ac:dyDescent="0.2"/>
    <row r="64115" hidden="1" x14ac:dyDescent="0.2"/>
    <row r="64116" hidden="1" x14ac:dyDescent="0.2"/>
    <row r="64117" hidden="1" x14ac:dyDescent="0.2"/>
    <row r="64118" hidden="1" x14ac:dyDescent="0.2"/>
    <row r="64119" hidden="1" x14ac:dyDescent="0.2"/>
    <row r="64120" hidden="1" x14ac:dyDescent="0.2"/>
    <row r="64121" hidden="1" x14ac:dyDescent="0.2"/>
    <row r="64122" hidden="1" x14ac:dyDescent="0.2"/>
    <row r="64123" hidden="1" x14ac:dyDescent="0.2"/>
    <row r="64124" hidden="1" x14ac:dyDescent="0.2"/>
    <row r="64125" hidden="1" x14ac:dyDescent="0.2"/>
    <row r="64126" hidden="1" x14ac:dyDescent="0.2"/>
    <row r="64127" hidden="1" x14ac:dyDescent="0.2"/>
    <row r="64128" hidden="1" x14ac:dyDescent="0.2"/>
    <row r="64129" hidden="1" x14ac:dyDescent="0.2"/>
    <row r="64130" hidden="1" x14ac:dyDescent="0.2"/>
    <row r="64131" hidden="1" x14ac:dyDescent="0.2"/>
    <row r="64132" hidden="1" x14ac:dyDescent="0.2"/>
    <row r="64133" hidden="1" x14ac:dyDescent="0.2"/>
    <row r="64134" hidden="1" x14ac:dyDescent="0.2"/>
    <row r="64135" hidden="1" x14ac:dyDescent="0.2"/>
    <row r="64136" hidden="1" x14ac:dyDescent="0.2"/>
    <row r="64137" hidden="1" x14ac:dyDescent="0.2"/>
    <row r="64138" hidden="1" x14ac:dyDescent="0.2"/>
    <row r="64139" hidden="1" x14ac:dyDescent="0.2"/>
    <row r="64140" hidden="1" x14ac:dyDescent="0.2"/>
    <row r="64141" hidden="1" x14ac:dyDescent="0.2"/>
    <row r="64142" hidden="1" x14ac:dyDescent="0.2"/>
    <row r="64143" hidden="1" x14ac:dyDescent="0.2"/>
    <row r="64144" hidden="1" x14ac:dyDescent="0.2"/>
    <row r="64145" hidden="1" x14ac:dyDescent="0.2"/>
    <row r="64146" hidden="1" x14ac:dyDescent="0.2"/>
    <row r="64147" hidden="1" x14ac:dyDescent="0.2"/>
    <row r="64148" hidden="1" x14ac:dyDescent="0.2"/>
    <row r="64149" hidden="1" x14ac:dyDescent="0.2"/>
    <row r="64150" hidden="1" x14ac:dyDescent="0.2"/>
    <row r="64151" hidden="1" x14ac:dyDescent="0.2"/>
    <row r="64152" hidden="1" x14ac:dyDescent="0.2"/>
    <row r="64153" hidden="1" x14ac:dyDescent="0.2"/>
    <row r="64154" hidden="1" x14ac:dyDescent="0.2"/>
    <row r="64155" hidden="1" x14ac:dyDescent="0.2"/>
    <row r="64156" hidden="1" x14ac:dyDescent="0.2"/>
    <row r="64157" hidden="1" x14ac:dyDescent="0.2"/>
    <row r="64158" hidden="1" x14ac:dyDescent="0.2"/>
    <row r="64159" hidden="1" x14ac:dyDescent="0.2"/>
    <row r="64160" hidden="1" x14ac:dyDescent="0.2"/>
    <row r="64161" hidden="1" x14ac:dyDescent="0.2"/>
    <row r="64162" hidden="1" x14ac:dyDescent="0.2"/>
    <row r="64163" hidden="1" x14ac:dyDescent="0.2"/>
    <row r="64164" hidden="1" x14ac:dyDescent="0.2"/>
    <row r="64165" hidden="1" x14ac:dyDescent="0.2"/>
    <row r="64166" hidden="1" x14ac:dyDescent="0.2"/>
    <row r="64167" hidden="1" x14ac:dyDescent="0.2"/>
    <row r="64168" hidden="1" x14ac:dyDescent="0.2"/>
    <row r="64169" hidden="1" x14ac:dyDescent="0.2"/>
    <row r="64170" hidden="1" x14ac:dyDescent="0.2"/>
    <row r="64171" hidden="1" x14ac:dyDescent="0.2"/>
    <row r="64172" hidden="1" x14ac:dyDescent="0.2"/>
    <row r="64173" hidden="1" x14ac:dyDescent="0.2"/>
    <row r="64174" hidden="1" x14ac:dyDescent="0.2"/>
    <row r="64175" hidden="1" x14ac:dyDescent="0.2"/>
    <row r="64176" hidden="1" x14ac:dyDescent="0.2"/>
    <row r="64177" hidden="1" x14ac:dyDescent="0.2"/>
    <row r="64178" hidden="1" x14ac:dyDescent="0.2"/>
    <row r="64179" hidden="1" x14ac:dyDescent="0.2"/>
    <row r="64180" hidden="1" x14ac:dyDescent="0.2"/>
    <row r="64181" hidden="1" x14ac:dyDescent="0.2"/>
    <row r="64182" hidden="1" x14ac:dyDescent="0.2"/>
    <row r="64183" hidden="1" x14ac:dyDescent="0.2"/>
    <row r="64184" hidden="1" x14ac:dyDescent="0.2"/>
    <row r="64185" hidden="1" x14ac:dyDescent="0.2"/>
    <row r="64186" hidden="1" x14ac:dyDescent="0.2"/>
    <row r="64187" hidden="1" x14ac:dyDescent="0.2"/>
    <row r="64188" hidden="1" x14ac:dyDescent="0.2"/>
    <row r="64189" hidden="1" x14ac:dyDescent="0.2"/>
    <row r="64190" hidden="1" x14ac:dyDescent="0.2"/>
    <row r="64191" hidden="1" x14ac:dyDescent="0.2"/>
    <row r="64192" hidden="1" x14ac:dyDescent="0.2"/>
    <row r="64193" hidden="1" x14ac:dyDescent="0.2"/>
    <row r="64194" hidden="1" x14ac:dyDescent="0.2"/>
    <row r="64195" hidden="1" x14ac:dyDescent="0.2"/>
    <row r="64196" hidden="1" x14ac:dyDescent="0.2"/>
    <row r="64197" hidden="1" x14ac:dyDescent="0.2"/>
    <row r="64198" hidden="1" x14ac:dyDescent="0.2"/>
    <row r="64199" hidden="1" x14ac:dyDescent="0.2"/>
    <row r="64200" hidden="1" x14ac:dyDescent="0.2"/>
    <row r="64201" hidden="1" x14ac:dyDescent="0.2"/>
    <row r="64202" hidden="1" x14ac:dyDescent="0.2"/>
    <row r="64203" hidden="1" x14ac:dyDescent="0.2"/>
    <row r="64204" hidden="1" x14ac:dyDescent="0.2"/>
    <row r="64205" hidden="1" x14ac:dyDescent="0.2"/>
    <row r="64206" hidden="1" x14ac:dyDescent="0.2"/>
    <row r="64207" hidden="1" x14ac:dyDescent="0.2"/>
    <row r="64208" hidden="1" x14ac:dyDescent="0.2"/>
    <row r="64209" hidden="1" x14ac:dyDescent="0.2"/>
    <row r="64210" hidden="1" x14ac:dyDescent="0.2"/>
    <row r="64211" hidden="1" x14ac:dyDescent="0.2"/>
    <row r="64212" hidden="1" x14ac:dyDescent="0.2"/>
    <row r="64213" hidden="1" x14ac:dyDescent="0.2"/>
    <row r="64214" hidden="1" x14ac:dyDescent="0.2"/>
    <row r="64215" hidden="1" x14ac:dyDescent="0.2"/>
    <row r="64216" hidden="1" x14ac:dyDescent="0.2"/>
    <row r="64217" hidden="1" x14ac:dyDescent="0.2"/>
    <row r="64218" hidden="1" x14ac:dyDescent="0.2"/>
    <row r="64219" hidden="1" x14ac:dyDescent="0.2"/>
    <row r="64220" hidden="1" x14ac:dyDescent="0.2"/>
    <row r="64221" hidden="1" x14ac:dyDescent="0.2"/>
    <row r="64222" hidden="1" x14ac:dyDescent="0.2"/>
    <row r="64223" hidden="1" x14ac:dyDescent="0.2"/>
    <row r="64224" hidden="1" x14ac:dyDescent="0.2"/>
    <row r="64225" hidden="1" x14ac:dyDescent="0.2"/>
    <row r="64226" hidden="1" x14ac:dyDescent="0.2"/>
    <row r="64227" hidden="1" x14ac:dyDescent="0.2"/>
    <row r="64228" hidden="1" x14ac:dyDescent="0.2"/>
    <row r="64229" hidden="1" x14ac:dyDescent="0.2"/>
    <row r="64230" hidden="1" x14ac:dyDescent="0.2"/>
    <row r="64231" hidden="1" x14ac:dyDescent="0.2"/>
    <row r="64232" hidden="1" x14ac:dyDescent="0.2"/>
    <row r="64233" hidden="1" x14ac:dyDescent="0.2"/>
    <row r="64234" hidden="1" x14ac:dyDescent="0.2"/>
    <row r="64235" hidden="1" x14ac:dyDescent="0.2"/>
    <row r="64236" hidden="1" x14ac:dyDescent="0.2"/>
    <row r="64237" hidden="1" x14ac:dyDescent="0.2"/>
    <row r="64238" hidden="1" x14ac:dyDescent="0.2"/>
    <row r="64239" hidden="1" x14ac:dyDescent="0.2"/>
    <row r="64240" hidden="1" x14ac:dyDescent="0.2"/>
    <row r="64241" hidden="1" x14ac:dyDescent="0.2"/>
    <row r="64242" hidden="1" x14ac:dyDescent="0.2"/>
    <row r="64243" hidden="1" x14ac:dyDescent="0.2"/>
    <row r="64244" hidden="1" x14ac:dyDescent="0.2"/>
    <row r="64245" hidden="1" x14ac:dyDescent="0.2"/>
    <row r="64246" hidden="1" x14ac:dyDescent="0.2"/>
    <row r="64247" hidden="1" x14ac:dyDescent="0.2"/>
    <row r="64248" hidden="1" x14ac:dyDescent="0.2"/>
    <row r="64249" hidden="1" x14ac:dyDescent="0.2"/>
    <row r="64250" hidden="1" x14ac:dyDescent="0.2"/>
    <row r="64251" hidden="1" x14ac:dyDescent="0.2"/>
    <row r="64252" hidden="1" x14ac:dyDescent="0.2"/>
    <row r="64253" hidden="1" x14ac:dyDescent="0.2"/>
    <row r="64254" hidden="1" x14ac:dyDescent="0.2"/>
    <row r="64255" hidden="1" x14ac:dyDescent="0.2"/>
    <row r="64256" hidden="1" x14ac:dyDescent="0.2"/>
    <row r="64257" hidden="1" x14ac:dyDescent="0.2"/>
    <row r="64258" hidden="1" x14ac:dyDescent="0.2"/>
    <row r="64259" hidden="1" x14ac:dyDescent="0.2"/>
    <row r="64260" hidden="1" x14ac:dyDescent="0.2"/>
    <row r="64261" hidden="1" x14ac:dyDescent="0.2"/>
    <row r="64262" hidden="1" x14ac:dyDescent="0.2"/>
    <row r="64263" hidden="1" x14ac:dyDescent="0.2"/>
    <row r="64264" hidden="1" x14ac:dyDescent="0.2"/>
    <row r="64265" hidden="1" x14ac:dyDescent="0.2"/>
    <row r="64266" hidden="1" x14ac:dyDescent="0.2"/>
    <row r="64267" hidden="1" x14ac:dyDescent="0.2"/>
    <row r="64268" hidden="1" x14ac:dyDescent="0.2"/>
    <row r="64269" hidden="1" x14ac:dyDescent="0.2"/>
    <row r="64270" hidden="1" x14ac:dyDescent="0.2"/>
    <row r="64271" hidden="1" x14ac:dyDescent="0.2"/>
    <row r="64272" hidden="1" x14ac:dyDescent="0.2"/>
    <row r="64273" hidden="1" x14ac:dyDescent="0.2"/>
    <row r="64274" hidden="1" x14ac:dyDescent="0.2"/>
    <row r="64275" hidden="1" x14ac:dyDescent="0.2"/>
    <row r="64276" hidden="1" x14ac:dyDescent="0.2"/>
    <row r="64277" hidden="1" x14ac:dyDescent="0.2"/>
    <row r="64278" hidden="1" x14ac:dyDescent="0.2"/>
    <row r="64279" hidden="1" x14ac:dyDescent="0.2"/>
    <row r="64280" hidden="1" x14ac:dyDescent="0.2"/>
    <row r="64281" hidden="1" x14ac:dyDescent="0.2"/>
    <row r="64282" hidden="1" x14ac:dyDescent="0.2"/>
    <row r="64283" hidden="1" x14ac:dyDescent="0.2"/>
    <row r="64284" hidden="1" x14ac:dyDescent="0.2"/>
    <row r="64285" hidden="1" x14ac:dyDescent="0.2"/>
    <row r="64286" hidden="1" x14ac:dyDescent="0.2"/>
    <row r="64287" hidden="1" x14ac:dyDescent="0.2"/>
    <row r="64288" hidden="1" x14ac:dyDescent="0.2"/>
    <row r="64289" hidden="1" x14ac:dyDescent="0.2"/>
    <row r="64290" hidden="1" x14ac:dyDescent="0.2"/>
    <row r="64291" hidden="1" x14ac:dyDescent="0.2"/>
    <row r="64292" hidden="1" x14ac:dyDescent="0.2"/>
    <row r="64293" hidden="1" x14ac:dyDescent="0.2"/>
    <row r="64294" hidden="1" x14ac:dyDescent="0.2"/>
    <row r="64295" hidden="1" x14ac:dyDescent="0.2"/>
    <row r="64296" hidden="1" x14ac:dyDescent="0.2"/>
    <row r="64297" hidden="1" x14ac:dyDescent="0.2"/>
    <row r="64298" hidden="1" x14ac:dyDescent="0.2"/>
    <row r="64299" hidden="1" x14ac:dyDescent="0.2"/>
    <row r="64300" hidden="1" x14ac:dyDescent="0.2"/>
    <row r="64301" hidden="1" x14ac:dyDescent="0.2"/>
    <row r="64302" hidden="1" x14ac:dyDescent="0.2"/>
    <row r="64303" hidden="1" x14ac:dyDescent="0.2"/>
    <row r="64304" hidden="1" x14ac:dyDescent="0.2"/>
    <row r="64305" hidden="1" x14ac:dyDescent="0.2"/>
    <row r="64306" hidden="1" x14ac:dyDescent="0.2"/>
    <row r="64307" hidden="1" x14ac:dyDescent="0.2"/>
    <row r="64308" hidden="1" x14ac:dyDescent="0.2"/>
    <row r="64309" hidden="1" x14ac:dyDescent="0.2"/>
    <row r="64310" hidden="1" x14ac:dyDescent="0.2"/>
    <row r="64311" hidden="1" x14ac:dyDescent="0.2"/>
    <row r="64312" hidden="1" x14ac:dyDescent="0.2"/>
    <row r="64313" hidden="1" x14ac:dyDescent="0.2"/>
    <row r="64314" hidden="1" x14ac:dyDescent="0.2"/>
    <row r="64315" hidden="1" x14ac:dyDescent="0.2"/>
    <row r="64316" hidden="1" x14ac:dyDescent="0.2"/>
    <row r="64317" hidden="1" x14ac:dyDescent="0.2"/>
    <row r="64318" hidden="1" x14ac:dyDescent="0.2"/>
    <row r="64319" hidden="1" x14ac:dyDescent="0.2"/>
    <row r="64320" hidden="1" x14ac:dyDescent="0.2"/>
    <row r="64321" hidden="1" x14ac:dyDescent="0.2"/>
    <row r="64322" hidden="1" x14ac:dyDescent="0.2"/>
    <row r="64323" hidden="1" x14ac:dyDescent="0.2"/>
    <row r="64324" hidden="1" x14ac:dyDescent="0.2"/>
    <row r="64325" hidden="1" x14ac:dyDescent="0.2"/>
    <row r="64326" hidden="1" x14ac:dyDescent="0.2"/>
    <row r="64327" hidden="1" x14ac:dyDescent="0.2"/>
    <row r="64328" hidden="1" x14ac:dyDescent="0.2"/>
    <row r="64329" hidden="1" x14ac:dyDescent="0.2"/>
    <row r="64330" hidden="1" x14ac:dyDescent="0.2"/>
    <row r="64331" hidden="1" x14ac:dyDescent="0.2"/>
    <row r="64332" hidden="1" x14ac:dyDescent="0.2"/>
    <row r="64333" hidden="1" x14ac:dyDescent="0.2"/>
    <row r="64334" hidden="1" x14ac:dyDescent="0.2"/>
    <row r="64335" hidden="1" x14ac:dyDescent="0.2"/>
    <row r="64336" hidden="1" x14ac:dyDescent="0.2"/>
    <row r="64337" hidden="1" x14ac:dyDescent="0.2"/>
    <row r="64338" hidden="1" x14ac:dyDescent="0.2"/>
    <row r="64339" hidden="1" x14ac:dyDescent="0.2"/>
    <row r="64340" hidden="1" x14ac:dyDescent="0.2"/>
    <row r="64341" hidden="1" x14ac:dyDescent="0.2"/>
    <row r="64342" hidden="1" x14ac:dyDescent="0.2"/>
    <row r="64343" hidden="1" x14ac:dyDescent="0.2"/>
    <row r="64344" hidden="1" x14ac:dyDescent="0.2"/>
    <row r="64345" hidden="1" x14ac:dyDescent="0.2"/>
    <row r="64346" hidden="1" x14ac:dyDescent="0.2"/>
    <row r="64347" hidden="1" x14ac:dyDescent="0.2"/>
    <row r="64348" hidden="1" x14ac:dyDescent="0.2"/>
    <row r="64349" hidden="1" x14ac:dyDescent="0.2"/>
    <row r="64350" hidden="1" x14ac:dyDescent="0.2"/>
    <row r="64351" hidden="1" x14ac:dyDescent="0.2"/>
    <row r="64352" hidden="1" x14ac:dyDescent="0.2"/>
    <row r="64353" hidden="1" x14ac:dyDescent="0.2"/>
    <row r="64354" hidden="1" x14ac:dyDescent="0.2"/>
    <row r="64355" hidden="1" x14ac:dyDescent="0.2"/>
    <row r="64356" hidden="1" x14ac:dyDescent="0.2"/>
    <row r="64357" hidden="1" x14ac:dyDescent="0.2"/>
    <row r="64358" hidden="1" x14ac:dyDescent="0.2"/>
    <row r="64359" hidden="1" x14ac:dyDescent="0.2"/>
    <row r="64360" hidden="1" x14ac:dyDescent="0.2"/>
    <row r="64361" hidden="1" x14ac:dyDescent="0.2"/>
    <row r="64362" hidden="1" x14ac:dyDescent="0.2"/>
    <row r="64363" hidden="1" x14ac:dyDescent="0.2"/>
    <row r="64364" hidden="1" x14ac:dyDescent="0.2"/>
    <row r="64365" hidden="1" x14ac:dyDescent="0.2"/>
    <row r="64366" hidden="1" x14ac:dyDescent="0.2"/>
    <row r="64367" hidden="1" x14ac:dyDescent="0.2"/>
    <row r="64368" hidden="1" x14ac:dyDescent="0.2"/>
    <row r="64369" hidden="1" x14ac:dyDescent="0.2"/>
    <row r="64370" hidden="1" x14ac:dyDescent="0.2"/>
    <row r="64371" hidden="1" x14ac:dyDescent="0.2"/>
    <row r="64372" hidden="1" x14ac:dyDescent="0.2"/>
    <row r="64373" hidden="1" x14ac:dyDescent="0.2"/>
    <row r="64374" hidden="1" x14ac:dyDescent="0.2"/>
    <row r="64375" hidden="1" x14ac:dyDescent="0.2"/>
    <row r="64376" hidden="1" x14ac:dyDescent="0.2"/>
    <row r="64377" hidden="1" x14ac:dyDescent="0.2"/>
    <row r="64378" hidden="1" x14ac:dyDescent="0.2"/>
    <row r="64379" hidden="1" x14ac:dyDescent="0.2"/>
    <row r="64380" hidden="1" x14ac:dyDescent="0.2"/>
    <row r="64381" hidden="1" x14ac:dyDescent="0.2"/>
    <row r="64382" hidden="1" x14ac:dyDescent="0.2"/>
    <row r="64383" hidden="1" x14ac:dyDescent="0.2"/>
    <row r="64384" hidden="1" x14ac:dyDescent="0.2"/>
    <row r="64385" hidden="1" x14ac:dyDescent="0.2"/>
    <row r="64386" hidden="1" x14ac:dyDescent="0.2"/>
    <row r="64387" hidden="1" x14ac:dyDescent="0.2"/>
    <row r="64388" hidden="1" x14ac:dyDescent="0.2"/>
    <row r="64389" hidden="1" x14ac:dyDescent="0.2"/>
    <row r="64390" hidden="1" x14ac:dyDescent="0.2"/>
    <row r="64391" hidden="1" x14ac:dyDescent="0.2"/>
    <row r="64392" hidden="1" x14ac:dyDescent="0.2"/>
    <row r="64393" hidden="1" x14ac:dyDescent="0.2"/>
    <row r="64394" hidden="1" x14ac:dyDescent="0.2"/>
    <row r="64395" hidden="1" x14ac:dyDescent="0.2"/>
    <row r="64396" hidden="1" x14ac:dyDescent="0.2"/>
    <row r="64397" hidden="1" x14ac:dyDescent="0.2"/>
    <row r="64398" hidden="1" x14ac:dyDescent="0.2"/>
    <row r="64399" hidden="1" x14ac:dyDescent="0.2"/>
    <row r="64400" hidden="1" x14ac:dyDescent="0.2"/>
    <row r="64401" hidden="1" x14ac:dyDescent="0.2"/>
    <row r="64402" hidden="1" x14ac:dyDescent="0.2"/>
    <row r="64403" hidden="1" x14ac:dyDescent="0.2"/>
    <row r="64404" hidden="1" x14ac:dyDescent="0.2"/>
    <row r="64405" hidden="1" x14ac:dyDescent="0.2"/>
    <row r="64406" hidden="1" x14ac:dyDescent="0.2"/>
    <row r="64407" hidden="1" x14ac:dyDescent="0.2"/>
    <row r="64408" hidden="1" x14ac:dyDescent="0.2"/>
    <row r="64409" hidden="1" x14ac:dyDescent="0.2"/>
    <row r="64410" hidden="1" x14ac:dyDescent="0.2"/>
    <row r="64411" hidden="1" x14ac:dyDescent="0.2"/>
    <row r="64412" hidden="1" x14ac:dyDescent="0.2"/>
    <row r="64413" hidden="1" x14ac:dyDescent="0.2"/>
    <row r="64414" hidden="1" x14ac:dyDescent="0.2"/>
    <row r="64415" hidden="1" x14ac:dyDescent="0.2"/>
    <row r="64416" hidden="1" x14ac:dyDescent="0.2"/>
    <row r="64417" hidden="1" x14ac:dyDescent="0.2"/>
    <row r="64418" hidden="1" x14ac:dyDescent="0.2"/>
    <row r="64419" hidden="1" x14ac:dyDescent="0.2"/>
    <row r="64420" hidden="1" x14ac:dyDescent="0.2"/>
    <row r="64421" hidden="1" x14ac:dyDescent="0.2"/>
    <row r="64422" hidden="1" x14ac:dyDescent="0.2"/>
    <row r="64423" hidden="1" x14ac:dyDescent="0.2"/>
    <row r="64424" hidden="1" x14ac:dyDescent="0.2"/>
    <row r="64425" hidden="1" x14ac:dyDescent="0.2"/>
    <row r="64426" hidden="1" x14ac:dyDescent="0.2"/>
    <row r="64427" hidden="1" x14ac:dyDescent="0.2"/>
    <row r="64428" hidden="1" x14ac:dyDescent="0.2"/>
    <row r="64429" hidden="1" x14ac:dyDescent="0.2"/>
    <row r="64430" hidden="1" x14ac:dyDescent="0.2"/>
    <row r="64431" hidden="1" x14ac:dyDescent="0.2"/>
    <row r="64432" hidden="1" x14ac:dyDescent="0.2"/>
    <row r="64433" hidden="1" x14ac:dyDescent="0.2"/>
    <row r="64434" hidden="1" x14ac:dyDescent="0.2"/>
    <row r="64435" hidden="1" x14ac:dyDescent="0.2"/>
    <row r="64436" hidden="1" x14ac:dyDescent="0.2"/>
    <row r="64437" hidden="1" x14ac:dyDescent="0.2"/>
    <row r="64438" hidden="1" x14ac:dyDescent="0.2"/>
    <row r="64439" hidden="1" x14ac:dyDescent="0.2"/>
    <row r="64440" hidden="1" x14ac:dyDescent="0.2"/>
    <row r="64441" hidden="1" x14ac:dyDescent="0.2"/>
    <row r="64442" hidden="1" x14ac:dyDescent="0.2"/>
    <row r="64443" hidden="1" x14ac:dyDescent="0.2"/>
    <row r="64444" hidden="1" x14ac:dyDescent="0.2"/>
    <row r="64445" hidden="1" x14ac:dyDescent="0.2"/>
    <row r="64446" hidden="1" x14ac:dyDescent="0.2"/>
    <row r="64447" hidden="1" x14ac:dyDescent="0.2"/>
    <row r="64448" hidden="1" x14ac:dyDescent="0.2"/>
    <row r="64449" hidden="1" x14ac:dyDescent="0.2"/>
    <row r="64450" hidden="1" x14ac:dyDescent="0.2"/>
    <row r="64451" hidden="1" x14ac:dyDescent="0.2"/>
    <row r="64452" hidden="1" x14ac:dyDescent="0.2"/>
    <row r="64453" hidden="1" x14ac:dyDescent="0.2"/>
    <row r="64454" hidden="1" x14ac:dyDescent="0.2"/>
    <row r="64455" hidden="1" x14ac:dyDescent="0.2"/>
    <row r="64456" hidden="1" x14ac:dyDescent="0.2"/>
    <row r="64457" hidden="1" x14ac:dyDescent="0.2"/>
    <row r="64458" hidden="1" x14ac:dyDescent="0.2"/>
    <row r="64459" hidden="1" x14ac:dyDescent="0.2"/>
    <row r="64460" hidden="1" x14ac:dyDescent="0.2"/>
    <row r="64461" hidden="1" x14ac:dyDescent="0.2"/>
    <row r="64462" hidden="1" x14ac:dyDescent="0.2"/>
    <row r="64463" hidden="1" x14ac:dyDescent="0.2"/>
    <row r="64464" hidden="1" x14ac:dyDescent="0.2"/>
    <row r="64465" hidden="1" x14ac:dyDescent="0.2"/>
    <row r="64466" hidden="1" x14ac:dyDescent="0.2"/>
    <row r="64467" hidden="1" x14ac:dyDescent="0.2"/>
    <row r="64468" hidden="1" x14ac:dyDescent="0.2"/>
    <row r="64469" hidden="1" x14ac:dyDescent="0.2"/>
    <row r="64470" hidden="1" x14ac:dyDescent="0.2"/>
    <row r="64471" hidden="1" x14ac:dyDescent="0.2"/>
    <row r="64472" hidden="1" x14ac:dyDescent="0.2"/>
    <row r="64473" hidden="1" x14ac:dyDescent="0.2"/>
    <row r="64474" hidden="1" x14ac:dyDescent="0.2"/>
    <row r="64475" hidden="1" x14ac:dyDescent="0.2"/>
    <row r="64476" hidden="1" x14ac:dyDescent="0.2"/>
    <row r="64477" hidden="1" x14ac:dyDescent="0.2"/>
    <row r="64478" hidden="1" x14ac:dyDescent="0.2"/>
    <row r="64479" hidden="1" x14ac:dyDescent="0.2"/>
    <row r="64480" hidden="1" x14ac:dyDescent="0.2"/>
    <row r="64481" hidden="1" x14ac:dyDescent="0.2"/>
    <row r="64482" hidden="1" x14ac:dyDescent="0.2"/>
    <row r="64483" hidden="1" x14ac:dyDescent="0.2"/>
    <row r="64484" hidden="1" x14ac:dyDescent="0.2"/>
    <row r="64485" hidden="1" x14ac:dyDescent="0.2"/>
    <row r="64486" hidden="1" x14ac:dyDescent="0.2"/>
    <row r="64487" hidden="1" x14ac:dyDescent="0.2"/>
    <row r="64488" hidden="1" x14ac:dyDescent="0.2"/>
    <row r="64489" hidden="1" x14ac:dyDescent="0.2"/>
    <row r="64490" hidden="1" x14ac:dyDescent="0.2"/>
    <row r="64491" hidden="1" x14ac:dyDescent="0.2"/>
    <row r="64492" hidden="1" x14ac:dyDescent="0.2"/>
    <row r="64493" hidden="1" x14ac:dyDescent="0.2"/>
    <row r="64494" hidden="1" x14ac:dyDescent="0.2"/>
    <row r="64495" hidden="1" x14ac:dyDescent="0.2"/>
    <row r="64496" hidden="1" x14ac:dyDescent="0.2"/>
    <row r="64497" hidden="1" x14ac:dyDescent="0.2"/>
    <row r="64498" hidden="1" x14ac:dyDescent="0.2"/>
    <row r="64499" hidden="1" x14ac:dyDescent="0.2"/>
    <row r="64500" hidden="1" x14ac:dyDescent="0.2"/>
    <row r="64501" hidden="1" x14ac:dyDescent="0.2"/>
    <row r="64502" hidden="1" x14ac:dyDescent="0.2"/>
    <row r="64503" hidden="1" x14ac:dyDescent="0.2"/>
    <row r="64504" hidden="1" x14ac:dyDescent="0.2"/>
    <row r="64505" hidden="1" x14ac:dyDescent="0.2"/>
    <row r="64506" hidden="1" x14ac:dyDescent="0.2"/>
    <row r="64507" hidden="1" x14ac:dyDescent="0.2"/>
    <row r="64508" hidden="1" x14ac:dyDescent="0.2"/>
    <row r="64509" hidden="1" x14ac:dyDescent="0.2"/>
    <row r="64510" hidden="1" x14ac:dyDescent="0.2"/>
    <row r="64511" hidden="1" x14ac:dyDescent="0.2"/>
    <row r="64512" hidden="1" x14ac:dyDescent="0.2"/>
    <row r="64513" hidden="1" x14ac:dyDescent="0.2"/>
    <row r="64514" hidden="1" x14ac:dyDescent="0.2"/>
    <row r="64515" hidden="1" x14ac:dyDescent="0.2"/>
    <row r="64516" hidden="1" x14ac:dyDescent="0.2"/>
    <row r="64517" hidden="1" x14ac:dyDescent="0.2"/>
    <row r="64518" hidden="1" x14ac:dyDescent="0.2"/>
    <row r="64519" hidden="1" x14ac:dyDescent="0.2"/>
    <row r="64520" hidden="1" x14ac:dyDescent="0.2"/>
    <row r="64521" hidden="1" x14ac:dyDescent="0.2"/>
    <row r="64522" hidden="1" x14ac:dyDescent="0.2"/>
    <row r="64523" hidden="1" x14ac:dyDescent="0.2"/>
    <row r="64524" hidden="1" x14ac:dyDescent="0.2"/>
    <row r="64525" hidden="1" x14ac:dyDescent="0.2"/>
    <row r="64526" hidden="1" x14ac:dyDescent="0.2"/>
    <row r="64527" hidden="1" x14ac:dyDescent="0.2"/>
    <row r="64528" hidden="1" x14ac:dyDescent="0.2"/>
    <row r="64529" hidden="1" x14ac:dyDescent="0.2"/>
    <row r="64530" hidden="1" x14ac:dyDescent="0.2"/>
    <row r="64531" hidden="1" x14ac:dyDescent="0.2"/>
    <row r="64532" hidden="1" x14ac:dyDescent="0.2"/>
    <row r="64533" hidden="1" x14ac:dyDescent="0.2"/>
    <row r="64534" hidden="1" x14ac:dyDescent="0.2"/>
    <row r="64535" hidden="1" x14ac:dyDescent="0.2"/>
    <row r="64536" hidden="1" x14ac:dyDescent="0.2"/>
    <row r="64537" hidden="1" x14ac:dyDescent="0.2"/>
    <row r="64538" hidden="1" x14ac:dyDescent="0.2"/>
    <row r="64539" hidden="1" x14ac:dyDescent="0.2"/>
    <row r="64540" hidden="1" x14ac:dyDescent="0.2"/>
    <row r="64541" hidden="1" x14ac:dyDescent="0.2"/>
    <row r="64542" hidden="1" x14ac:dyDescent="0.2"/>
    <row r="64543" hidden="1" x14ac:dyDescent="0.2"/>
    <row r="64544" hidden="1" x14ac:dyDescent="0.2"/>
    <row r="64545" hidden="1" x14ac:dyDescent="0.2"/>
    <row r="64546" hidden="1" x14ac:dyDescent="0.2"/>
    <row r="64547" hidden="1" x14ac:dyDescent="0.2"/>
    <row r="64548" hidden="1" x14ac:dyDescent="0.2"/>
    <row r="64549" hidden="1" x14ac:dyDescent="0.2"/>
    <row r="64550" hidden="1" x14ac:dyDescent="0.2"/>
    <row r="64551" hidden="1" x14ac:dyDescent="0.2"/>
    <row r="64552" hidden="1" x14ac:dyDescent="0.2"/>
    <row r="64553" hidden="1" x14ac:dyDescent="0.2"/>
    <row r="64554" hidden="1" x14ac:dyDescent="0.2"/>
    <row r="64555" hidden="1" x14ac:dyDescent="0.2"/>
    <row r="64556" hidden="1" x14ac:dyDescent="0.2"/>
    <row r="64557" hidden="1" x14ac:dyDescent="0.2"/>
    <row r="64558" hidden="1" x14ac:dyDescent="0.2"/>
    <row r="64559" hidden="1" x14ac:dyDescent="0.2"/>
    <row r="64560" hidden="1" x14ac:dyDescent="0.2"/>
    <row r="64561" hidden="1" x14ac:dyDescent="0.2"/>
    <row r="64562" hidden="1" x14ac:dyDescent="0.2"/>
    <row r="64563" hidden="1" x14ac:dyDescent="0.2"/>
    <row r="64564" hidden="1" x14ac:dyDescent="0.2"/>
    <row r="64565" hidden="1" x14ac:dyDescent="0.2"/>
    <row r="64566" hidden="1" x14ac:dyDescent="0.2"/>
    <row r="64567" hidden="1" x14ac:dyDescent="0.2"/>
    <row r="64568" hidden="1" x14ac:dyDescent="0.2"/>
    <row r="64569" hidden="1" x14ac:dyDescent="0.2"/>
    <row r="64570" hidden="1" x14ac:dyDescent="0.2"/>
    <row r="64571" hidden="1" x14ac:dyDescent="0.2"/>
    <row r="64572" hidden="1" x14ac:dyDescent="0.2"/>
    <row r="64573" hidden="1" x14ac:dyDescent="0.2"/>
    <row r="64574" hidden="1" x14ac:dyDescent="0.2"/>
    <row r="64575" hidden="1" x14ac:dyDescent="0.2"/>
    <row r="64576" hidden="1" x14ac:dyDescent="0.2"/>
    <row r="64577" hidden="1" x14ac:dyDescent="0.2"/>
    <row r="64578" hidden="1" x14ac:dyDescent="0.2"/>
    <row r="64579" hidden="1" x14ac:dyDescent="0.2"/>
    <row r="64580" hidden="1" x14ac:dyDescent="0.2"/>
    <row r="64581" hidden="1" x14ac:dyDescent="0.2"/>
    <row r="64582" hidden="1" x14ac:dyDescent="0.2"/>
    <row r="64583" hidden="1" x14ac:dyDescent="0.2"/>
    <row r="64584" hidden="1" x14ac:dyDescent="0.2"/>
    <row r="64585" hidden="1" x14ac:dyDescent="0.2"/>
    <row r="64586" hidden="1" x14ac:dyDescent="0.2"/>
    <row r="64587" hidden="1" x14ac:dyDescent="0.2"/>
    <row r="64588" hidden="1" x14ac:dyDescent="0.2"/>
    <row r="64589" hidden="1" x14ac:dyDescent="0.2"/>
    <row r="64590" hidden="1" x14ac:dyDescent="0.2"/>
    <row r="64591" hidden="1" x14ac:dyDescent="0.2"/>
    <row r="64592" hidden="1" x14ac:dyDescent="0.2"/>
    <row r="64593" hidden="1" x14ac:dyDescent="0.2"/>
    <row r="64594" hidden="1" x14ac:dyDescent="0.2"/>
    <row r="64595" hidden="1" x14ac:dyDescent="0.2"/>
    <row r="64596" hidden="1" x14ac:dyDescent="0.2"/>
    <row r="64597" hidden="1" x14ac:dyDescent="0.2"/>
    <row r="64598" hidden="1" x14ac:dyDescent="0.2"/>
    <row r="64599" hidden="1" x14ac:dyDescent="0.2"/>
    <row r="64600" hidden="1" x14ac:dyDescent="0.2"/>
    <row r="64601" hidden="1" x14ac:dyDescent="0.2"/>
    <row r="64602" hidden="1" x14ac:dyDescent="0.2"/>
    <row r="64603" hidden="1" x14ac:dyDescent="0.2"/>
    <row r="64604" hidden="1" x14ac:dyDescent="0.2"/>
    <row r="64605" hidden="1" x14ac:dyDescent="0.2"/>
    <row r="64606" hidden="1" x14ac:dyDescent="0.2"/>
    <row r="64607" hidden="1" x14ac:dyDescent="0.2"/>
    <row r="64608" hidden="1" x14ac:dyDescent="0.2"/>
    <row r="64609" hidden="1" x14ac:dyDescent="0.2"/>
    <row r="64610" hidden="1" x14ac:dyDescent="0.2"/>
    <row r="64611" hidden="1" x14ac:dyDescent="0.2"/>
    <row r="64612" hidden="1" x14ac:dyDescent="0.2"/>
    <row r="64613" hidden="1" x14ac:dyDescent="0.2"/>
    <row r="64614" hidden="1" x14ac:dyDescent="0.2"/>
    <row r="64615" hidden="1" x14ac:dyDescent="0.2"/>
    <row r="64616" hidden="1" x14ac:dyDescent="0.2"/>
    <row r="64617" hidden="1" x14ac:dyDescent="0.2"/>
    <row r="64618" hidden="1" x14ac:dyDescent="0.2"/>
    <row r="64619" hidden="1" x14ac:dyDescent="0.2"/>
    <row r="64620" hidden="1" x14ac:dyDescent="0.2"/>
    <row r="64621" hidden="1" x14ac:dyDescent="0.2"/>
    <row r="64622" hidden="1" x14ac:dyDescent="0.2"/>
    <row r="64623" hidden="1" x14ac:dyDescent="0.2"/>
    <row r="64624" hidden="1" x14ac:dyDescent="0.2"/>
    <row r="64625" hidden="1" x14ac:dyDescent="0.2"/>
    <row r="64626" hidden="1" x14ac:dyDescent="0.2"/>
    <row r="64627" hidden="1" x14ac:dyDescent="0.2"/>
    <row r="64628" hidden="1" x14ac:dyDescent="0.2"/>
    <row r="64629" hidden="1" x14ac:dyDescent="0.2"/>
    <row r="64630" hidden="1" x14ac:dyDescent="0.2"/>
    <row r="64631" hidden="1" x14ac:dyDescent="0.2"/>
    <row r="64632" hidden="1" x14ac:dyDescent="0.2"/>
    <row r="64633" hidden="1" x14ac:dyDescent="0.2"/>
    <row r="64634" hidden="1" x14ac:dyDescent="0.2"/>
    <row r="64635" hidden="1" x14ac:dyDescent="0.2"/>
    <row r="64636" hidden="1" x14ac:dyDescent="0.2"/>
    <row r="64637" hidden="1" x14ac:dyDescent="0.2"/>
    <row r="64638" hidden="1" x14ac:dyDescent="0.2"/>
    <row r="64639" hidden="1" x14ac:dyDescent="0.2"/>
    <row r="64640" hidden="1" x14ac:dyDescent="0.2"/>
    <row r="64641" hidden="1" x14ac:dyDescent="0.2"/>
    <row r="64642" hidden="1" x14ac:dyDescent="0.2"/>
    <row r="64643" hidden="1" x14ac:dyDescent="0.2"/>
    <row r="64644" hidden="1" x14ac:dyDescent="0.2"/>
    <row r="64645" hidden="1" x14ac:dyDescent="0.2"/>
    <row r="64646" hidden="1" x14ac:dyDescent="0.2"/>
    <row r="64647" hidden="1" x14ac:dyDescent="0.2"/>
    <row r="64648" hidden="1" x14ac:dyDescent="0.2"/>
    <row r="64649" hidden="1" x14ac:dyDescent="0.2"/>
    <row r="64650" hidden="1" x14ac:dyDescent="0.2"/>
    <row r="64651" hidden="1" x14ac:dyDescent="0.2"/>
    <row r="64652" hidden="1" x14ac:dyDescent="0.2"/>
    <row r="64653" hidden="1" x14ac:dyDescent="0.2"/>
    <row r="64654" hidden="1" x14ac:dyDescent="0.2"/>
    <row r="64655" hidden="1" x14ac:dyDescent="0.2"/>
    <row r="64656" hidden="1" x14ac:dyDescent="0.2"/>
    <row r="64657" hidden="1" x14ac:dyDescent="0.2"/>
    <row r="64658" hidden="1" x14ac:dyDescent="0.2"/>
    <row r="64659" hidden="1" x14ac:dyDescent="0.2"/>
    <row r="64660" hidden="1" x14ac:dyDescent="0.2"/>
    <row r="64661" hidden="1" x14ac:dyDescent="0.2"/>
    <row r="64662" hidden="1" x14ac:dyDescent="0.2"/>
    <row r="64663" hidden="1" x14ac:dyDescent="0.2"/>
    <row r="64664" hidden="1" x14ac:dyDescent="0.2"/>
    <row r="64665" hidden="1" x14ac:dyDescent="0.2"/>
    <row r="64666" hidden="1" x14ac:dyDescent="0.2"/>
    <row r="64667" hidden="1" x14ac:dyDescent="0.2"/>
    <row r="64668" hidden="1" x14ac:dyDescent="0.2"/>
    <row r="64669" hidden="1" x14ac:dyDescent="0.2"/>
    <row r="64670" hidden="1" x14ac:dyDescent="0.2"/>
    <row r="64671" hidden="1" x14ac:dyDescent="0.2"/>
    <row r="64672" hidden="1" x14ac:dyDescent="0.2"/>
    <row r="64673" hidden="1" x14ac:dyDescent="0.2"/>
    <row r="64674" hidden="1" x14ac:dyDescent="0.2"/>
    <row r="64675" hidden="1" x14ac:dyDescent="0.2"/>
    <row r="64676" hidden="1" x14ac:dyDescent="0.2"/>
    <row r="64677" hidden="1" x14ac:dyDescent="0.2"/>
    <row r="64678" hidden="1" x14ac:dyDescent="0.2"/>
    <row r="64679" hidden="1" x14ac:dyDescent="0.2"/>
    <row r="64680" hidden="1" x14ac:dyDescent="0.2"/>
    <row r="64681" hidden="1" x14ac:dyDescent="0.2"/>
    <row r="64682" hidden="1" x14ac:dyDescent="0.2"/>
    <row r="64683" hidden="1" x14ac:dyDescent="0.2"/>
    <row r="64684" hidden="1" x14ac:dyDescent="0.2"/>
    <row r="64685" hidden="1" x14ac:dyDescent="0.2"/>
    <row r="64686" hidden="1" x14ac:dyDescent="0.2"/>
    <row r="64687" hidden="1" x14ac:dyDescent="0.2"/>
    <row r="64688" hidden="1" x14ac:dyDescent="0.2"/>
    <row r="64689" hidden="1" x14ac:dyDescent="0.2"/>
    <row r="64690" hidden="1" x14ac:dyDescent="0.2"/>
    <row r="64691" hidden="1" x14ac:dyDescent="0.2"/>
    <row r="64692" hidden="1" x14ac:dyDescent="0.2"/>
    <row r="64693" hidden="1" x14ac:dyDescent="0.2"/>
    <row r="64694" hidden="1" x14ac:dyDescent="0.2"/>
    <row r="64695" hidden="1" x14ac:dyDescent="0.2"/>
    <row r="64696" hidden="1" x14ac:dyDescent="0.2"/>
    <row r="64697" hidden="1" x14ac:dyDescent="0.2"/>
    <row r="64698" hidden="1" x14ac:dyDescent="0.2"/>
    <row r="64699" hidden="1" x14ac:dyDescent="0.2"/>
    <row r="64700" hidden="1" x14ac:dyDescent="0.2"/>
    <row r="64701" hidden="1" x14ac:dyDescent="0.2"/>
    <row r="64702" hidden="1" x14ac:dyDescent="0.2"/>
    <row r="64703" hidden="1" x14ac:dyDescent="0.2"/>
    <row r="64704" hidden="1" x14ac:dyDescent="0.2"/>
    <row r="64705" hidden="1" x14ac:dyDescent="0.2"/>
    <row r="64706" hidden="1" x14ac:dyDescent="0.2"/>
    <row r="64707" hidden="1" x14ac:dyDescent="0.2"/>
    <row r="64708" hidden="1" x14ac:dyDescent="0.2"/>
    <row r="64709" hidden="1" x14ac:dyDescent="0.2"/>
    <row r="64710" hidden="1" x14ac:dyDescent="0.2"/>
    <row r="64711" hidden="1" x14ac:dyDescent="0.2"/>
    <row r="64712" hidden="1" x14ac:dyDescent="0.2"/>
    <row r="64713" hidden="1" x14ac:dyDescent="0.2"/>
    <row r="64714" hidden="1" x14ac:dyDescent="0.2"/>
    <row r="64715" hidden="1" x14ac:dyDescent="0.2"/>
    <row r="64716" hidden="1" x14ac:dyDescent="0.2"/>
    <row r="64717" hidden="1" x14ac:dyDescent="0.2"/>
    <row r="64718" hidden="1" x14ac:dyDescent="0.2"/>
    <row r="64719" hidden="1" x14ac:dyDescent="0.2"/>
    <row r="64720" hidden="1" x14ac:dyDescent="0.2"/>
    <row r="64721" hidden="1" x14ac:dyDescent="0.2"/>
    <row r="64722" hidden="1" x14ac:dyDescent="0.2"/>
    <row r="64723" hidden="1" x14ac:dyDescent="0.2"/>
    <row r="64724" hidden="1" x14ac:dyDescent="0.2"/>
    <row r="64725" hidden="1" x14ac:dyDescent="0.2"/>
    <row r="64726" hidden="1" x14ac:dyDescent="0.2"/>
    <row r="64727" hidden="1" x14ac:dyDescent="0.2"/>
    <row r="64728" hidden="1" x14ac:dyDescent="0.2"/>
    <row r="64729" hidden="1" x14ac:dyDescent="0.2"/>
    <row r="64730" hidden="1" x14ac:dyDescent="0.2"/>
    <row r="64731" hidden="1" x14ac:dyDescent="0.2"/>
    <row r="64732" hidden="1" x14ac:dyDescent="0.2"/>
    <row r="64733" hidden="1" x14ac:dyDescent="0.2"/>
    <row r="64734" hidden="1" x14ac:dyDescent="0.2"/>
    <row r="64735" hidden="1" x14ac:dyDescent="0.2"/>
    <row r="64736" hidden="1" x14ac:dyDescent="0.2"/>
    <row r="64737" hidden="1" x14ac:dyDescent="0.2"/>
    <row r="64738" hidden="1" x14ac:dyDescent="0.2"/>
    <row r="64739" hidden="1" x14ac:dyDescent="0.2"/>
    <row r="64740" hidden="1" x14ac:dyDescent="0.2"/>
    <row r="64741" hidden="1" x14ac:dyDescent="0.2"/>
    <row r="64742" hidden="1" x14ac:dyDescent="0.2"/>
    <row r="64743" hidden="1" x14ac:dyDescent="0.2"/>
    <row r="64744" hidden="1" x14ac:dyDescent="0.2"/>
    <row r="64745" hidden="1" x14ac:dyDescent="0.2"/>
    <row r="64746" hidden="1" x14ac:dyDescent="0.2"/>
    <row r="64747" hidden="1" x14ac:dyDescent="0.2"/>
    <row r="64748" hidden="1" x14ac:dyDescent="0.2"/>
    <row r="64749" hidden="1" x14ac:dyDescent="0.2"/>
    <row r="64750" hidden="1" x14ac:dyDescent="0.2"/>
    <row r="64751" hidden="1" x14ac:dyDescent="0.2"/>
    <row r="64752" hidden="1" x14ac:dyDescent="0.2"/>
    <row r="64753" hidden="1" x14ac:dyDescent="0.2"/>
    <row r="64754" hidden="1" x14ac:dyDescent="0.2"/>
    <row r="64755" hidden="1" x14ac:dyDescent="0.2"/>
    <row r="64756" hidden="1" x14ac:dyDescent="0.2"/>
    <row r="64757" hidden="1" x14ac:dyDescent="0.2"/>
    <row r="64758" hidden="1" x14ac:dyDescent="0.2"/>
    <row r="64759" hidden="1" x14ac:dyDescent="0.2"/>
    <row r="64760" hidden="1" x14ac:dyDescent="0.2"/>
    <row r="64761" hidden="1" x14ac:dyDescent="0.2"/>
    <row r="64762" hidden="1" x14ac:dyDescent="0.2"/>
    <row r="64763" hidden="1" x14ac:dyDescent="0.2"/>
    <row r="64764" hidden="1" x14ac:dyDescent="0.2"/>
    <row r="64765" hidden="1" x14ac:dyDescent="0.2"/>
    <row r="64766" hidden="1" x14ac:dyDescent="0.2"/>
    <row r="64767" hidden="1" x14ac:dyDescent="0.2"/>
    <row r="64768" hidden="1" x14ac:dyDescent="0.2"/>
    <row r="64769" hidden="1" x14ac:dyDescent="0.2"/>
    <row r="64770" hidden="1" x14ac:dyDescent="0.2"/>
    <row r="64771" hidden="1" x14ac:dyDescent="0.2"/>
    <row r="64772" hidden="1" x14ac:dyDescent="0.2"/>
    <row r="64773" hidden="1" x14ac:dyDescent="0.2"/>
    <row r="64774" hidden="1" x14ac:dyDescent="0.2"/>
    <row r="64775" hidden="1" x14ac:dyDescent="0.2"/>
    <row r="64776" hidden="1" x14ac:dyDescent="0.2"/>
    <row r="64777" hidden="1" x14ac:dyDescent="0.2"/>
    <row r="64778" hidden="1" x14ac:dyDescent="0.2"/>
    <row r="64779" hidden="1" x14ac:dyDescent="0.2"/>
    <row r="64780" hidden="1" x14ac:dyDescent="0.2"/>
    <row r="64781" hidden="1" x14ac:dyDescent="0.2"/>
    <row r="64782" hidden="1" x14ac:dyDescent="0.2"/>
    <row r="64783" hidden="1" x14ac:dyDescent="0.2"/>
    <row r="64784" hidden="1" x14ac:dyDescent="0.2"/>
    <row r="64785" hidden="1" x14ac:dyDescent="0.2"/>
    <row r="64786" hidden="1" x14ac:dyDescent="0.2"/>
    <row r="64787" hidden="1" x14ac:dyDescent="0.2"/>
    <row r="64788" hidden="1" x14ac:dyDescent="0.2"/>
    <row r="64789" hidden="1" x14ac:dyDescent="0.2"/>
    <row r="64790" hidden="1" x14ac:dyDescent="0.2"/>
    <row r="64791" hidden="1" x14ac:dyDescent="0.2"/>
    <row r="64792" hidden="1" x14ac:dyDescent="0.2"/>
    <row r="64793" hidden="1" x14ac:dyDescent="0.2"/>
    <row r="64794" hidden="1" x14ac:dyDescent="0.2"/>
    <row r="64795" hidden="1" x14ac:dyDescent="0.2"/>
    <row r="64796" hidden="1" x14ac:dyDescent="0.2"/>
    <row r="64797" hidden="1" x14ac:dyDescent="0.2"/>
    <row r="64798" hidden="1" x14ac:dyDescent="0.2"/>
    <row r="64799" hidden="1" x14ac:dyDescent="0.2"/>
    <row r="64800" hidden="1" x14ac:dyDescent="0.2"/>
    <row r="64801" hidden="1" x14ac:dyDescent="0.2"/>
    <row r="64802" hidden="1" x14ac:dyDescent="0.2"/>
    <row r="64803" hidden="1" x14ac:dyDescent="0.2"/>
    <row r="64804" hidden="1" x14ac:dyDescent="0.2"/>
    <row r="64805" hidden="1" x14ac:dyDescent="0.2"/>
    <row r="64806" hidden="1" x14ac:dyDescent="0.2"/>
    <row r="64807" hidden="1" x14ac:dyDescent="0.2"/>
    <row r="64808" hidden="1" x14ac:dyDescent="0.2"/>
    <row r="64809" hidden="1" x14ac:dyDescent="0.2"/>
    <row r="64810" hidden="1" x14ac:dyDescent="0.2"/>
    <row r="64811" hidden="1" x14ac:dyDescent="0.2"/>
    <row r="64812" hidden="1" x14ac:dyDescent="0.2"/>
    <row r="64813" hidden="1" x14ac:dyDescent="0.2"/>
    <row r="64814" hidden="1" x14ac:dyDescent="0.2"/>
    <row r="64815" hidden="1" x14ac:dyDescent="0.2"/>
    <row r="64816" hidden="1" x14ac:dyDescent="0.2"/>
    <row r="64817" hidden="1" x14ac:dyDescent="0.2"/>
    <row r="64818" hidden="1" x14ac:dyDescent="0.2"/>
    <row r="64819" hidden="1" x14ac:dyDescent="0.2"/>
    <row r="64820" hidden="1" x14ac:dyDescent="0.2"/>
    <row r="64821" hidden="1" x14ac:dyDescent="0.2"/>
    <row r="64822" hidden="1" x14ac:dyDescent="0.2"/>
    <row r="64823" hidden="1" x14ac:dyDescent="0.2"/>
    <row r="64824" hidden="1" x14ac:dyDescent="0.2"/>
    <row r="64825" hidden="1" x14ac:dyDescent="0.2"/>
    <row r="64826" hidden="1" x14ac:dyDescent="0.2"/>
    <row r="64827" hidden="1" x14ac:dyDescent="0.2"/>
    <row r="64828" hidden="1" x14ac:dyDescent="0.2"/>
    <row r="64829" hidden="1" x14ac:dyDescent="0.2"/>
    <row r="64830" hidden="1" x14ac:dyDescent="0.2"/>
    <row r="64831" hidden="1" x14ac:dyDescent="0.2"/>
    <row r="64832" hidden="1" x14ac:dyDescent="0.2"/>
    <row r="64833" hidden="1" x14ac:dyDescent="0.2"/>
    <row r="64834" hidden="1" x14ac:dyDescent="0.2"/>
    <row r="64835" hidden="1" x14ac:dyDescent="0.2"/>
    <row r="64836" hidden="1" x14ac:dyDescent="0.2"/>
    <row r="64837" hidden="1" x14ac:dyDescent="0.2"/>
    <row r="64838" hidden="1" x14ac:dyDescent="0.2"/>
    <row r="64839" hidden="1" x14ac:dyDescent="0.2"/>
    <row r="64840" hidden="1" x14ac:dyDescent="0.2"/>
    <row r="64841" hidden="1" x14ac:dyDescent="0.2"/>
    <row r="64842" hidden="1" x14ac:dyDescent="0.2"/>
    <row r="64843" hidden="1" x14ac:dyDescent="0.2"/>
    <row r="64844" hidden="1" x14ac:dyDescent="0.2"/>
    <row r="64845" hidden="1" x14ac:dyDescent="0.2"/>
    <row r="64846" hidden="1" x14ac:dyDescent="0.2"/>
    <row r="64847" hidden="1" x14ac:dyDescent="0.2"/>
    <row r="64848" hidden="1" x14ac:dyDescent="0.2"/>
    <row r="64849" hidden="1" x14ac:dyDescent="0.2"/>
    <row r="64850" hidden="1" x14ac:dyDescent="0.2"/>
    <row r="64851" hidden="1" x14ac:dyDescent="0.2"/>
    <row r="64852" hidden="1" x14ac:dyDescent="0.2"/>
    <row r="64853" hidden="1" x14ac:dyDescent="0.2"/>
    <row r="64854" hidden="1" x14ac:dyDescent="0.2"/>
    <row r="64855" hidden="1" x14ac:dyDescent="0.2"/>
    <row r="64856" hidden="1" x14ac:dyDescent="0.2"/>
    <row r="64857" hidden="1" x14ac:dyDescent="0.2"/>
    <row r="64858" hidden="1" x14ac:dyDescent="0.2"/>
    <row r="64859" hidden="1" x14ac:dyDescent="0.2"/>
    <row r="64860" hidden="1" x14ac:dyDescent="0.2"/>
    <row r="64861" hidden="1" x14ac:dyDescent="0.2"/>
    <row r="64862" hidden="1" x14ac:dyDescent="0.2"/>
    <row r="64863" hidden="1" x14ac:dyDescent="0.2"/>
    <row r="64864" hidden="1" x14ac:dyDescent="0.2"/>
    <row r="64865" hidden="1" x14ac:dyDescent="0.2"/>
    <row r="64866" hidden="1" x14ac:dyDescent="0.2"/>
    <row r="64867" hidden="1" x14ac:dyDescent="0.2"/>
    <row r="64868" hidden="1" x14ac:dyDescent="0.2"/>
    <row r="64869" hidden="1" x14ac:dyDescent="0.2"/>
    <row r="64870" hidden="1" x14ac:dyDescent="0.2"/>
    <row r="64871" hidden="1" x14ac:dyDescent="0.2"/>
    <row r="64872" hidden="1" x14ac:dyDescent="0.2"/>
    <row r="64873" hidden="1" x14ac:dyDescent="0.2"/>
    <row r="64874" hidden="1" x14ac:dyDescent="0.2"/>
    <row r="64875" hidden="1" x14ac:dyDescent="0.2"/>
    <row r="64876" hidden="1" x14ac:dyDescent="0.2"/>
    <row r="64877" hidden="1" x14ac:dyDescent="0.2"/>
    <row r="64878" hidden="1" x14ac:dyDescent="0.2"/>
    <row r="64879" hidden="1" x14ac:dyDescent="0.2"/>
    <row r="64880" hidden="1" x14ac:dyDescent="0.2"/>
    <row r="64881" hidden="1" x14ac:dyDescent="0.2"/>
    <row r="64882" hidden="1" x14ac:dyDescent="0.2"/>
    <row r="64883" hidden="1" x14ac:dyDescent="0.2"/>
    <row r="64884" hidden="1" x14ac:dyDescent="0.2"/>
    <row r="64885" hidden="1" x14ac:dyDescent="0.2"/>
    <row r="64886" hidden="1" x14ac:dyDescent="0.2"/>
    <row r="64887" hidden="1" x14ac:dyDescent="0.2"/>
    <row r="64888" hidden="1" x14ac:dyDescent="0.2"/>
    <row r="64889" hidden="1" x14ac:dyDescent="0.2"/>
    <row r="64890" hidden="1" x14ac:dyDescent="0.2"/>
    <row r="64891" hidden="1" x14ac:dyDescent="0.2"/>
    <row r="64892" hidden="1" x14ac:dyDescent="0.2"/>
    <row r="64893" hidden="1" x14ac:dyDescent="0.2"/>
    <row r="64894" hidden="1" x14ac:dyDescent="0.2"/>
    <row r="64895" hidden="1" x14ac:dyDescent="0.2"/>
    <row r="64896" hidden="1" x14ac:dyDescent="0.2"/>
    <row r="64897" hidden="1" x14ac:dyDescent="0.2"/>
    <row r="64898" hidden="1" x14ac:dyDescent="0.2"/>
    <row r="64899" hidden="1" x14ac:dyDescent="0.2"/>
    <row r="64900" hidden="1" x14ac:dyDescent="0.2"/>
    <row r="64901" hidden="1" x14ac:dyDescent="0.2"/>
    <row r="64902" hidden="1" x14ac:dyDescent="0.2"/>
    <row r="64903" hidden="1" x14ac:dyDescent="0.2"/>
    <row r="64904" hidden="1" x14ac:dyDescent="0.2"/>
    <row r="64905" hidden="1" x14ac:dyDescent="0.2"/>
    <row r="64906" hidden="1" x14ac:dyDescent="0.2"/>
    <row r="64907" hidden="1" x14ac:dyDescent="0.2"/>
    <row r="64908" hidden="1" x14ac:dyDescent="0.2"/>
    <row r="64909" hidden="1" x14ac:dyDescent="0.2"/>
    <row r="64910" hidden="1" x14ac:dyDescent="0.2"/>
    <row r="64911" hidden="1" x14ac:dyDescent="0.2"/>
    <row r="64912" hidden="1" x14ac:dyDescent="0.2"/>
    <row r="64913" hidden="1" x14ac:dyDescent="0.2"/>
    <row r="64914" hidden="1" x14ac:dyDescent="0.2"/>
    <row r="64915" hidden="1" x14ac:dyDescent="0.2"/>
    <row r="64916" hidden="1" x14ac:dyDescent="0.2"/>
    <row r="64917" hidden="1" x14ac:dyDescent="0.2"/>
    <row r="64918" hidden="1" x14ac:dyDescent="0.2"/>
    <row r="64919" hidden="1" x14ac:dyDescent="0.2"/>
    <row r="64920" hidden="1" x14ac:dyDescent="0.2"/>
    <row r="64921" hidden="1" x14ac:dyDescent="0.2"/>
    <row r="64922" hidden="1" x14ac:dyDescent="0.2"/>
    <row r="64923" hidden="1" x14ac:dyDescent="0.2"/>
    <row r="64924" hidden="1" x14ac:dyDescent="0.2"/>
    <row r="64925" hidden="1" x14ac:dyDescent="0.2"/>
    <row r="64926" hidden="1" x14ac:dyDescent="0.2"/>
    <row r="64927" hidden="1" x14ac:dyDescent="0.2"/>
    <row r="64928" hidden="1" x14ac:dyDescent="0.2"/>
    <row r="64929" hidden="1" x14ac:dyDescent="0.2"/>
    <row r="64930" hidden="1" x14ac:dyDescent="0.2"/>
    <row r="64931" hidden="1" x14ac:dyDescent="0.2"/>
    <row r="64932" hidden="1" x14ac:dyDescent="0.2"/>
    <row r="64933" hidden="1" x14ac:dyDescent="0.2"/>
    <row r="64934" hidden="1" x14ac:dyDescent="0.2"/>
    <row r="64935" hidden="1" x14ac:dyDescent="0.2"/>
    <row r="64936" hidden="1" x14ac:dyDescent="0.2"/>
    <row r="64937" hidden="1" x14ac:dyDescent="0.2"/>
    <row r="64938" hidden="1" x14ac:dyDescent="0.2"/>
    <row r="64939" hidden="1" x14ac:dyDescent="0.2"/>
    <row r="64940" hidden="1" x14ac:dyDescent="0.2"/>
    <row r="64941" hidden="1" x14ac:dyDescent="0.2"/>
    <row r="64942" hidden="1" x14ac:dyDescent="0.2"/>
    <row r="64943" hidden="1" x14ac:dyDescent="0.2"/>
    <row r="64944" hidden="1" x14ac:dyDescent="0.2"/>
    <row r="64945" hidden="1" x14ac:dyDescent="0.2"/>
    <row r="64946" hidden="1" x14ac:dyDescent="0.2"/>
    <row r="64947" hidden="1" x14ac:dyDescent="0.2"/>
    <row r="64948" hidden="1" x14ac:dyDescent="0.2"/>
    <row r="64949" hidden="1" x14ac:dyDescent="0.2"/>
    <row r="64950" hidden="1" x14ac:dyDescent="0.2"/>
    <row r="64951" hidden="1" x14ac:dyDescent="0.2"/>
    <row r="64952" hidden="1" x14ac:dyDescent="0.2"/>
    <row r="64953" hidden="1" x14ac:dyDescent="0.2"/>
    <row r="64954" hidden="1" x14ac:dyDescent="0.2"/>
    <row r="64955" hidden="1" x14ac:dyDescent="0.2"/>
    <row r="64956" hidden="1" x14ac:dyDescent="0.2"/>
    <row r="64957" hidden="1" x14ac:dyDescent="0.2"/>
    <row r="64958" hidden="1" x14ac:dyDescent="0.2"/>
    <row r="64959" hidden="1" x14ac:dyDescent="0.2"/>
    <row r="64960" hidden="1" x14ac:dyDescent="0.2"/>
    <row r="64961" hidden="1" x14ac:dyDescent="0.2"/>
    <row r="64962" hidden="1" x14ac:dyDescent="0.2"/>
    <row r="64963" hidden="1" x14ac:dyDescent="0.2"/>
    <row r="64964" hidden="1" x14ac:dyDescent="0.2"/>
    <row r="64965" hidden="1" x14ac:dyDescent="0.2"/>
    <row r="64966" hidden="1" x14ac:dyDescent="0.2"/>
    <row r="64967" hidden="1" x14ac:dyDescent="0.2"/>
    <row r="64968" hidden="1" x14ac:dyDescent="0.2"/>
    <row r="64969" hidden="1" x14ac:dyDescent="0.2"/>
    <row r="64970" hidden="1" x14ac:dyDescent="0.2"/>
    <row r="64971" hidden="1" x14ac:dyDescent="0.2"/>
    <row r="64972" hidden="1" x14ac:dyDescent="0.2"/>
    <row r="64973" hidden="1" x14ac:dyDescent="0.2"/>
    <row r="64974" hidden="1" x14ac:dyDescent="0.2"/>
    <row r="64975" hidden="1" x14ac:dyDescent="0.2"/>
    <row r="64976" hidden="1" x14ac:dyDescent="0.2"/>
    <row r="64977" hidden="1" x14ac:dyDescent="0.2"/>
    <row r="64978" hidden="1" x14ac:dyDescent="0.2"/>
    <row r="64979" hidden="1" x14ac:dyDescent="0.2"/>
    <row r="64980" hidden="1" x14ac:dyDescent="0.2"/>
    <row r="64981" hidden="1" x14ac:dyDescent="0.2"/>
    <row r="64982" hidden="1" x14ac:dyDescent="0.2"/>
    <row r="64983" hidden="1" x14ac:dyDescent="0.2"/>
    <row r="64984" hidden="1" x14ac:dyDescent="0.2"/>
    <row r="64985" hidden="1" x14ac:dyDescent="0.2"/>
    <row r="64986" hidden="1" x14ac:dyDescent="0.2"/>
    <row r="64987" hidden="1" x14ac:dyDescent="0.2"/>
    <row r="64988" hidden="1" x14ac:dyDescent="0.2"/>
    <row r="64989" hidden="1" x14ac:dyDescent="0.2"/>
    <row r="64990" hidden="1" x14ac:dyDescent="0.2"/>
    <row r="64991" hidden="1" x14ac:dyDescent="0.2"/>
    <row r="64992" hidden="1" x14ac:dyDescent="0.2"/>
    <row r="64993" hidden="1" x14ac:dyDescent="0.2"/>
    <row r="64994" hidden="1" x14ac:dyDescent="0.2"/>
    <row r="64995" hidden="1" x14ac:dyDescent="0.2"/>
    <row r="64996" hidden="1" x14ac:dyDescent="0.2"/>
    <row r="64997" hidden="1" x14ac:dyDescent="0.2"/>
    <row r="64998" hidden="1" x14ac:dyDescent="0.2"/>
    <row r="64999" hidden="1" x14ac:dyDescent="0.2"/>
    <row r="65000" hidden="1" x14ac:dyDescent="0.2"/>
    <row r="65001" hidden="1" x14ac:dyDescent="0.2"/>
    <row r="65002" hidden="1" x14ac:dyDescent="0.2"/>
    <row r="65003" hidden="1" x14ac:dyDescent="0.2"/>
    <row r="65004" hidden="1" x14ac:dyDescent="0.2"/>
    <row r="65005" hidden="1" x14ac:dyDescent="0.2"/>
    <row r="65006" hidden="1" x14ac:dyDescent="0.2"/>
    <row r="65007" hidden="1" x14ac:dyDescent="0.2"/>
    <row r="65008" hidden="1" x14ac:dyDescent="0.2"/>
    <row r="65009" hidden="1" x14ac:dyDescent="0.2"/>
    <row r="65010" hidden="1" x14ac:dyDescent="0.2"/>
    <row r="65011" hidden="1" x14ac:dyDescent="0.2"/>
    <row r="65012" hidden="1" x14ac:dyDescent="0.2"/>
    <row r="65013" hidden="1" x14ac:dyDescent="0.2"/>
    <row r="65014" hidden="1" x14ac:dyDescent="0.2"/>
    <row r="65015" hidden="1" x14ac:dyDescent="0.2"/>
    <row r="65016" hidden="1" x14ac:dyDescent="0.2"/>
    <row r="65017" hidden="1" x14ac:dyDescent="0.2"/>
    <row r="65018" hidden="1" x14ac:dyDescent="0.2"/>
    <row r="65019" hidden="1" x14ac:dyDescent="0.2"/>
    <row r="65020" hidden="1" x14ac:dyDescent="0.2"/>
    <row r="65021" hidden="1" x14ac:dyDescent="0.2"/>
    <row r="65022" hidden="1" x14ac:dyDescent="0.2"/>
    <row r="65023" hidden="1" x14ac:dyDescent="0.2"/>
    <row r="65024" hidden="1" x14ac:dyDescent="0.2"/>
    <row r="65025" hidden="1" x14ac:dyDescent="0.2"/>
    <row r="65026" hidden="1" x14ac:dyDescent="0.2"/>
    <row r="65027" hidden="1" x14ac:dyDescent="0.2"/>
    <row r="65028" hidden="1" x14ac:dyDescent="0.2"/>
    <row r="65029" hidden="1" x14ac:dyDescent="0.2"/>
    <row r="65030" hidden="1" x14ac:dyDescent="0.2"/>
    <row r="65031" hidden="1" x14ac:dyDescent="0.2"/>
    <row r="65032" hidden="1" x14ac:dyDescent="0.2"/>
    <row r="65033" hidden="1" x14ac:dyDescent="0.2"/>
    <row r="65034" hidden="1" x14ac:dyDescent="0.2"/>
    <row r="65035" hidden="1" x14ac:dyDescent="0.2"/>
    <row r="65036" hidden="1" x14ac:dyDescent="0.2"/>
    <row r="65037" hidden="1" x14ac:dyDescent="0.2"/>
    <row r="65038" hidden="1" x14ac:dyDescent="0.2"/>
    <row r="65039" hidden="1" x14ac:dyDescent="0.2"/>
    <row r="65040" hidden="1" x14ac:dyDescent="0.2"/>
    <row r="65041" hidden="1" x14ac:dyDescent="0.2"/>
    <row r="65042" hidden="1" x14ac:dyDescent="0.2"/>
    <row r="65043" hidden="1" x14ac:dyDescent="0.2"/>
    <row r="65044" hidden="1" x14ac:dyDescent="0.2"/>
    <row r="65045" hidden="1" x14ac:dyDescent="0.2"/>
    <row r="65046" hidden="1" x14ac:dyDescent="0.2"/>
    <row r="65047" hidden="1" x14ac:dyDescent="0.2"/>
    <row r="65048" hidden="1" x14ac:dyDescent="0.2"/>
    <row r="65049" hidden="1" x14ac:dyDescent="0.2"/>
    <row r="65050" hidden="1" x14ac:dyDescent="0.2"/>
    <row r="65051" hidden="1" x14ac:dyDescent="0.2"/>
    <row r="65052" hidden="1" x14ac:dyDescent="0.2"/>
    <row r="65053" hidden="1" x14ac:dyDescent="0.2"/>
    <row r="65054" hidden="1" x14ac:dyDescent="0.2"/>
    <row r="65055" hidden="1" x14ac:dyDescent="0.2"/>
    <row r="65056" hidden="1" x14ac:dyDescent="0.2"/>
    <row r="65057" hidden="1" x14ac:dyDescent="0.2"/>
    <row r="65058" hidden="1" x14ac:dyDescent="0.2"/>
    <row r="65059" hidden="1" x14ac:dyDescent="0.2"/>
    <row r="65060" hidden="1" x14ac:dyDescent="0.2"/>
    <row r="65061" hidden="1" x14ac:dyDescent="0.2"/>
    <row r="65062" hidden="1" x14ac:dyDescent="0.2"/>
    <row r="65063" hidden="1" x14ac:dyDescent="0.2"/>
    <row r="65064" hidden="1" x14ac:dyDescent="0.2"/>
    <row r="65065" hidden="1" x14ac:dyDescent="0.2"/>
    <row r="65066" hidden="1" x14ac:dyDescent="0.2"/>
    <row r="65067" hidden="1" x14ac:dyDescent="0.2"/>
    <row r="65068" hidden="1" x14ac:dyDescent="0.2"/>
    <row r="65069" hidden="1" x14ac:dyDescent="0.2"/>
    <row r="65070" hidden="1" x14ac:dyDescent="0.2"/>
    <row r="65071" hidden="1" x14ac:dyDescent="0.2"/>
    <row r="65072" hidden="1" x14ac:dyDescent="0.2"/>
    <row r="65073" hidden="1" x14ac:dyDescent="0.2"/>
    <row r="65074" hidden="1" x14ac:dyDescent="0.2"/>
    <row r="65075" hidden="1" x14ac:dyDescent="0.2"/>
    <row r="65076" hidden="1" x14ac:dyDescent="0.2"/>
    <row r="65077" hidden="1" x14ac:dyDescent="0.2"/>
    <row r="65078" hidden="1" x14ac:dyDescent="0.2"/>
    <row r="65079" hidden="1" x14ac:dyDescent="0.2"/>
    <row r="65080" hidden="1" x14ac:dyDescent="0.2"/>
    <row r="65081" hidden="1" x14ac:dyDescent="0.2"/>
    <row r="65082" hidden="1" x14ac:dyDescent="0.2"/>
    <row r="65083" hidden="1" x14ac:dyDescent="0.2"/>
    <row r="65084" hidden="1" x14ac:dyDescent="0.2"/>
    <row r="65085" hidden="1" x14ac:dyDescent="0.2"/>
    <row r="65086" hidden="1" x14ac:dyDescent="0.2"/>
    <row r="65087" hidden="1" x14ac:dyDescent="0.2"/>
    <row r="65088" hidden="1" x14ac:dyDescent="0.2"/>
    <row r="65089" hidden="1" x14ac:dyDescent="0.2"/>
    <row r="65090" hidden="1" x14ac:dyDescent="0.2"/>
    <row r="65091" hidden="1" x14ac:dyDescent="0.2"/>
    <row r="65092" hidden="1" x14ac:dyDescent="0.2"/>
    <row r="65093" hidden="1" x14ac:dyDescent="0.2"/>
    <row r="65094" hidden="1" x14ac:dyDescent="0.2"/>
    <row r="65095" hidden="1" x14ac:dyDescent="0.2"/>
    <row r="65096" hidden="1" x14ac:dyDescent="0.2"/>
    <row r="65097" hidden="1" x14ac:dyDescent="0.2"/>
    <row r="65098" hidden="1" x14ac:dyDescent="0.2"/>
    <row r="65099" hidden="1" x14ac:dyDescent="0.2"/>
    <row r="65100" hidden="1" x14ac:dyDescent="0.2"/>
    <row r="65101" hidden="1" x14ac:dyDescent="0.2"/>
    <row r="65102" hidden="1" x14ac:dyDescent="0.2"/>
    <row r="65103" hidden="1" x14ac:dyDescent="0.2"/>
    <row r="65104" hidden="1" x14ac:dyDescent="0.2"/>
    <row r="65105" hidden="1" x14ac:dyDescent="0.2"/>
    <row r="65106" hidden="1" x14ac:dyDescent="0.2"/>
    <row r="65107" hidden="1" x14ac:dyDescent="0.2"/>
    <row r="65108" hidden="1" x14ac:dyDescent="0.2"/>
    <row r="65109" hidden="1" x14ac:dyDescent="0.2"/>
    <row r="65110" hidden="1" x14ac:dyDescent="0.2"/>
    <row r="65111" hidden="1" x14ac:dyDescent="0.2"/>
    <row r="65112" hidden="1" x14ac:dyDescent="0.2"/>
    <row r="65113" hidden="1" x14ac:dyDescent="0.2"/>
    <row r="65114" hidden="1" x14ac:dyDescent="0.2"/>
    <row r="65115" hidden="1" x14ac:dyDescent="0.2"/>
    <row r="65116" hidden="1" x14ac:dyDescent="0.2"/>
    <row r="65117" hidden="1" x14ac:dyDescent="0.2"/>
    <row r="65118" hidden="1" x14ac:dyDescent="0.2"/>
    <row r="65119" hidden="1" x14ac:dyDescent="0.2"/>
    <row r="65120" hidden="1" x14ac:dyDescent="0.2"/>
    <row r="65121" hidden="1" x14ac:dyDescent="0.2"/>
    <row r="65122" hidden="1" x14ac:dyDescent="0.2"/>
    <row r="65123" hidden="1" x14ac:dyDescent="0.2"/>
    <row r="65124" hidden="1" x14ac:dyDescent="0.2"/>
    <row r="65125" hidden="1" x14ac:dyDescent="0.2"/>
    <row r="65126" hidden="1" x14ac:dyDescent="0.2"/>
    <row r="65127" hidden="1" x14ac:dyDescent="0.2"/>
    <row r="65128" hidden="1" x14ac:dyDescent="0.2"/>
    <row r="65129" hidden="1" x14ac:dyDescent="0.2"/>
    <row r="65130" hidden="1" x14ac:dyDescent="0.2"/>
    <row r="65131" hidden="1" x14ac:dyDescent="0.2"/>
    <row r="65132" hidden="1" x14ac:dyDescent="0.2"/>
    <row r="65133" hidden="1" x14ac:dyDescent="0.2"/>
    <row r="65134" hidden="1" x14ac:dyDescent="0.2"/>
    <row r="65135" hidden="1" x14ac:dyDescent="0.2"/>
    <row r="65136" hidden="1" x14ac:dyDescent="0.2"/>
    <row r="65137" hidden="1" x14ac:dyDescent="0.2"/>
    <row r="65138" hidden="1" x14ac:dyDescent="0.2"/>
    <row r="65139" hidden="1" x14ac:dyDescent="0.2"/>
    <row r="65140" hidden="1" x14ac:dyDescent="0.2"/>
    <row r="65141" hidden="1" x14ac:dyDescent="0.2"/>
    <row r="65142" hidden="1" x14ac:dyDescent="0.2"/>
    <row r="65143" hidden="1" x14ac:dyDescent="0.2"/>
    <row r="65144" hidden="1" x14ac:dyDescent="0.2"/>
    <row r="65145" hidden="1" x14ac:dyDescent="0.2"/>
    <row r="65146" hidden="1" x14ac:dyDescent="0.2"/>
    <row r="65147" hidden="1" x14ac:dyDescent="0.2"/>
    <row r="65148" hidden="1" x14ac:dyDescent="0.2"/>
    <row r="65149" hidden="1" x14ac:dyDescent="0.2"/>
    <row r="65150" hidden="1" x14ac:dyDescent="0.2"/>
    <row r="65151" hidden="1" x14ac:dyDescent="0.2"/>
    <row r="65152" hidden="1" x14ac:dyDescent="0.2"/>
    <row r="65153" hidden="1" x14ac:dyDescent="0.2"/>
    <row r="65154" hidden="1" x14ac:dyDescent="0.2"/>
    <row r="65155" hidden="1" x14ac:dyDescent="0.2"/>
    <row r="65156" hidden="1" x14ac:dyDescent="0.2"/>
    <row r="65157" hidden="1" x14ac:dyDescent="0.2"/>
    <row r="65158" hidden="1" x14ac:dyDescent="0.2"/>
    <row r="65159" hidden="1" x14ac:dyDescent="0.2"/>
    <row r="65160" hidden="1" x14ac:dyDescent="0.2"/>
    <row r="65161" hidden="1" x14ac:dyDescent="0.2"/>
    <row r="65162" hidden="1" x14ac:dyDescent="0.2"/>
    <row r="65163" hidden="1" x14ac:dyDescent="0.2"/>
    <row r="65164" hidden="1" x14ac:dyDescent="0.2"/>
    <row r="65165" hidden="1" x14ac:dyDescent="0.2"/>
    <row r="65166" hidden="1" x14ac:dyDescent="0.2"/>
    <row r="65167" hidden="1" x14ac:dyDescent="0.2"/>
    <row r="65168" hidden="1" x14ac:dyDescent="0.2"/>
    <row r="65169" hidden="1" x14ac:dyDescent="0.2"/>
    <row r="65170" hidden="1" x14ac:dyDescent="0.2"/>
    <row r="65171" hidden="1" x14ac:dyDescent="0.2"/>
    <row r="65172" hidden="1" x14ac:dyDescent="0.2"/>
    <row r="65173" hidden="1" x14ac:dyDescent="0.2"/>
    <row r="65174" hidden="1" x14ac:dyDescent="0.2"/>
    <row r="65175" hidden="1" x14ac:dyDescent="0.2"/>
    <row r="65176" hidden="1" x14ac:dyDescent="0.2"/>
    <row r="65177" hidden="1" x14ac:dyDescent="0.2"/>
    <row r="65178" hidden="1" x14ac:dyDescent="0.2"/>
    <row r="65179" hidden="1" x14ac:dyDescent="0.2"/>
    <row r="65180" hidden="1" x14ac:dyDescent="0.2"/>
    <row r="65181" hidden="1" x14ac:dyDescent="0.2"/>
    <row r="65182" hidden="1" x14ac:dyDescent="0.2"/>
    <row r="65183" hidden="1" x14ac:dyDescent="0.2"/>
    <row r="65184" hidden="1" x14ac:dyDescent="0.2"/>
    <row r="65185" hidden="1" x14ac:dyDescent="0.2"/>
    <row r="65186" hidden="1" x14ac:dyDescent="0.2"/>
    <row r="65187" hidden="1" x14ac:dyDescent="0.2"/>
    <row r="65188" hidden="1" x14ac:dyDescent="0.2"/>
    <row r="65189" hidden="1" x14ac:dyDescent="0.2"/>
    <row r="65190" hidden="1" x14ac:dyDescent="0.2"/>
    <row r="65191" hidden="1" x14ac:dyDescent="0.2"/>
    <row r="65192" hidden="1" x14ac:dyDescent="0.2"/>
    <row r="65193" hidden="1" x14ac:dyDescent="0.2"/>
    <row r="65194" hidden="1" x14ac:dyDescent="0.2"/>
    <row r="65195" hidden="1" x14ac:dyDescent="0.2"/>
    <row r="65196" hidden="1" x14ac:dyDescent="0.2"/>
    <row r="65197" hidden="1" x14ac:dyDescent="0.2"/>
    <row r="65198" hidden="1" x14ac:dyDescent="0.2"/>
    <row r="65199" hidden="1" x14ac:dyDescent="0.2"/>
    <row r="65200" hidden="1" x14ac:dyDescent="0.2"/>
    <row r="65201" hidden="1" x14ac:dyDescent="0.2"/>
    <row r="65202" hidden="1" x14ac:dyDescent="0.2"/>
    <row r="65203" hidden="1" x14ac:dyDescent="0.2"/>
    <row r="65204" hidden="1" x14ac:dyDescent="0.2"/>
    <row r="65205" hidden="1" x14ac:dyDescent="0.2"/>
    <row r="65206" hidden="1" x14ac:dyDescent="0.2"/>
    <row r="65207" hidden="1" x14ac:dyDescent="0.2"/>
    <row r="65208" hidden="1" x14ac:dyDescent="0.2"/>
    <row r="65209" hidden="1" x14ac:dyDescent="0.2"/>
    <row r="65210" hidden="1" x14ac:dyDescent="0.2"/>
    <row r="65211" hidden="1" x14ac:dyDescent="0.2"/>
    <row r="65212" hidden="1" x14ac:dyDescent="0.2"/>
    <row r="65213" hidden="1" x14ac:dyDescent="0.2"/>
    <row r="65214" hidden="1" x14ac:dyDescent="0.2"/>
    <row r="65215" hidden="1" x14ac:dyDescent="0.2"/>
    <row r="65216" hidden="1" x14ac:dyDescent="0.2"/>
    <row r="65217" hidden="1" x14ac:dyDescent="0.2"/>
    <row r="65218" hidden="1" x14ac:dyDescent="0.2"/>
    <row r="65219" hidden="1" x14ac:dyDescent="0.2"/>
    <row r="65220" hidden="1" x14ac:dyDescent="0.2"/>
    <row r="65221" hidden="1" x14ac:dyDescent="0.2"/>
    <row r="65222" hidden="1" x14ac:dyDescent="0.2"/>
    <row r="65223" hidden="1" x14ac:dyDescent="0.2"/>
    <row r="65224" hidden="1" x14ac:dyDescent="0.2"/>
    <row r="65225" hidden="1" x14ac:dyDescent="0.2"/>
    <row r="65226" hidden="1" x14ac:dyDescent="0.2"/>
    <row r="65227" hidden="1" x14ac:dyDescent="0.2"/>
    <row r="65228" hidden="1" x14ac:dyDescent="0.2"/>
    <row r="65229" hidden="1" x14ac:dyDescent="0.2"/>
    <row r="65230" hidden="1" x14ac:dyDescent="0.2"/>
    <row r="65231" hidden="1" x14ac:dyDescent="0.2"/>
    <row r="65232" hidden="1" x14ac:dyDescent="0.2"/>
    <row r="65233" hidden="1" x14ac:dyDescent="0.2"/>
    <row r="65234" hidden="1" x14ac:dyDescent="0.2"/>
    <row r="65235" hidden="1" x14ac:dyDescent="0.2"/>
    <row r="65236" hidden="1" x14ac:dyDescent="0.2"/>
    <row r="65237" hidden="1" x14ac:dyDescent="0.2"/>
    <row r="65238" hidden="1" x14ac:dyDescent="0.2"/>
    <row r="65239" hidden="1" x14ac:dyDescent="0.2"/>
    <row r="65240" hidden="1" x14ac:dyDescent="0.2"/>
    <row r="65241" hidden="1" x14ac:dyDescent="0.2"/>
    <row r="65242" hidden="1" x14ac:dyDescent="0.2"/>
    <row r="65243" hidden="1" x14ac:dyDescent="0.2"/>
    <row r="65244" hidden="1" x14ac:dyDescent="0.2"/>
    <row r="65245" hidden="1" x14ac:dyDescent="0.2"/>
    <row r="65246" hidden="1" x14ac:dyDescent="0.2"/>
    <row r="65247" hidden="1" x14ac:dyDescent="0.2"/>
    <row r="65248" hidden="1" x14ac:dyDescent="0.2"/>
    <row r="65249" hidden="1" x14ac:dyDescent="0.2"/>
    <row r="65250" hidden="1" x14ac:dyDescent="0.2"/>
    <row r="65251" hidden="1" x14ac:dyDescent="0.2"/>
    <row r="65252" hidden="1" x14ac:dyDescent="0.2"/>
    <row r="65253" hidden="1" x14ac:dyDescent="0.2"/>
    <row r="65254" hidden="1" x14ac:dyDescent="0.2"/>
    <row r="65255" hidden="1" x14ac:dyDescent="0.2"/>
    <row r="65256" hidden="1" x14ac:dyDescent="0.2"/>
    <row r="65257" hidden="1" x14ac:dyDescent="0.2"/>
    <row r="65258" hidden="1" x14ac:dyDescent="0.2"/>
    <row r="65259" hidden="1" x14ac:dyDescent="0.2"/>
    <row r="65260" hidden="1" x14ac:dyDescent="0.2"/>
    <row r="65261" hidden="1" x14ac:dyDescent="0.2"/>
    <row r="65262" hidden="1" x14ac:dyDescent="0.2"/>
    <row r="65263" hidden="1" x14ac:dyDescent="0.2"/>
    <row r="65264" hidden="1" x14ac:dyDescent="0.2"/>
    <row r="65265" hidden="1" x14ac:dyDescent="0.2"/>
    <row r="65266" hidden="1" x14ac:dyDescent="0.2"/>
    <row r="65267" hidden="1" x14ac:dyDescent="0.2"/>
    <row r="65268" hidden="1" x14ac:dyDescent="0.2"/>
    <row r="65269" hidden="1" x14ac:dyDescent="0.2"/>
    <row r="65270" hidden="1" x14ac:dyDescent="0.2"/>
    <row r="65271" hidden="1" x14ac:dyDescent="0.2"/>
    <row r="65272" hidden="1" x14ac:dyDescent="0.2"/>
    <row r="65273" hidden="1" x14ac:dyDescent="0.2"/>
    <row r="65274" hidden="1" x14ac:dyDescent="0.2"/>
    <row r="65275" hidden="1" x14ac:dyDescent="0.2"/>
    <row r="65276" hidden="1" x14ac:dyDescent="0.2"/>
    <row r="65277" hidden="1" x14ac:dyDescent="0.2"/>
    <row r="65278" hidden="1" x14ac:dyDescent="0.2"/>
    <row r="65279" hidden="1" x14ac:dyDescent="0.2"/>
    <row r="65280" hidden="1" x14ac:dyDescent="0.2"/>
    <row r="65281" hidden="1" x14ac:dyDescent="0.2"/>
    <row r="65282" hidden="1" x14ac:dyDescent="0.2"/>
    <row r="65283" hidden="1" x14ac:dyDescent="0.2"/>
    <row r="65284" hidden="1" x14ac:dyDescent="0.2"/>
    <row r="65285" hidden="1" x14ac:dyDescent="0.2"/>
    <row r="65286" hidden="1" x14ac:dyDescent="0.2"/>
    <row r="65287" hidden="1" x14ac:dyDescent="0.2"/>
    <row r="65288" hidden="1" x14ac:dyDescent="0.2"/>
    <row r="65289" hidden="1" x14ac:dyDescent="0.2"/>
    <row r="65290" hidden="1" x14ac:dyDescent="0.2"/>
    <row r="65291" hidden="1" x14ac:dyDescent="0.2"/>
    <row r="65292" hidden="1" x14ac:dyDescent="0.2"/>
    <row r="65293" hidden="1" x14ac:dyDescent="0.2"/>
    <row r="65294" hidden="1" x14ac:dyDescent="0.2"/>
    <row r="65295" hidden="1" x14ac:dyDescent="0.2"/>
    <row r="65296" hidden="1" x14ac:dyDescent="0.2"/>
    <row r="65297" hidden="1" x14ac:dyDescent="0.2"/>
    <row r="65298" hidden="1" x14ac:dyDescent="0.2"/>
    <row r="65299" hidden="1" x14ac:dyDescent="0.2"/>
    <row r="65300" hidden="1" x14ac:dyDescent="0.2"/>
    <row r="65301" hidden="1" x14ac:dyDescent="0.2"/>
    <row r="65302" hidden="1" x14ac:dyDescent="0.2"/>
    <row r="65303" hidden="1" x14ac:dyDescent="0.2"/>
    <row r="65304" hidden="1" x14ac:dyDescent="0.2"/>
    <row r="65305" hidden="1" x14ac:dyDescent="0.2"/>
    <row r="65306" hidden="1" x14ac:dyDescent="0.2"/>
    <row r="65307" hidden="1" x14ac:dyDescent="0.2"/>
    <row r="65308" hidden="1" x14ac:dyDescent="0.2"/>
    <row r="65309" hidden="1" x14ac:dyDescent="0.2"/>
    <row r="65310" hidden="1" x14ac:dyDescent="0.2"/>
    <row r="65311" hidden="1" x14ac:dyDescent="0.2"/>
    <row r="65312" hidden="1" x14ac:dyDescent="0.2"/>
    <row r="65313" hidden="1" x14ac:dyDescent="0.2"/>
    <row r="65314" hidden="1" x14ac:dyDescent="0.2"/>
    <row r="65315" hidden="1" x14ac:dyDescent="0.2"/>
    <row r="65316" hidden="1" x14ac:dyDescent="0.2"/>
    <row r="65317" hidden="1" x14ac:dyDescent="0.2"/>
    <row r="65318" hidden="1" x14ac:dyDescent="0.2"/>
    <row r="65319" hidden="1" x14ac:dyDescent="0.2"/>
    <row r="65320" hidden="1" x14ac:dyDescent="0.2"/>
    <row r="65321" hidden="1" x14ac:dyDescent="0.2"/>
    <row r="65322" hidden="1" x14ac:dyDescent="0.2"/>
    <row r="65323" hidden="1" x14ac:dyDescent="0.2"/>
    <row r="65324" hidden="1" x14ac:dyDescent="0.2"/>
    <row r="65325" hidden="1" x14ac:dyDescent="0.2"/>
    <row r="65326" hidden="1" x14ac:dyDescent="0.2"/>
    <row r="65327" hidden="1" x14ac:dyDescent="0.2"/>
    <row r="65328" hidden="1" x14ac:dyDescent="0.2"/>
    <row r="65329" hidden="1" x14ac:dyDescent="0.2"/>
    <row r="65330" hidden="1" x14ac:dyDescent="0.2"/>
    <row r="65331" hidden="1" x14ac:dyDescent="0.2"/>
    <row r="65332" hidden="1" x14ac:dyDescent="0.2"/>
    <row r="65333" hidden="1" x14ac:dyDescent="0.2"/>
    <row r="65334" hidden="1" x14ac:dyDescent="0.2"/>
    <row r="65335" hidden="1" x14ac:dyDescent="0.2"/>
    <row r="65336" hidden="1" x14ac:dyDescent="0.2"/>
    <row r="65337" hidden="1" x14ac:dyDescent="0.2"/>
    <row r="65338" hidden="1" x14ac:dyDescent="0.2"/>
    <row r="65339" hidden="1" x14ac:dyDescent="0.2"/>
    <row r="65340" hidden="1" x14ac:dyDescent="0.2"/>
    <row r="65341" hidden="1" x14ac:dyDescent="0.2"/>
    <row r="65342" hidden="1" x14ac:dyDescent="0.2"/>
    <row r="65343" hidden="1" x14ac:dyDescent="0.2"/>
    <row r="65344" hidden="1" x14ac:dyDescent="0.2"/>
    <row r="65345" hidden="1" x14ac:dyDescent="0.2"/>
    <row r="65346" hidden="1" x14ac:dyDescent="0.2"/>
    <row r="65347" hidden="1" x14ac:dyDescent="0.2"/>
    <row r="65348" hidden="1" x14ac:dyDescent="0.2"/>
    <row r="65349" hidden="1" x14ac:dyDescent="0.2"/>
    <row r="65350" hidden="1" x14ac:dyDescent="0.2"/>
    <row r="65351" hidden="1" x14ac:dyDescent="0.2"/>
    <row r="65352" hidden="1" x14ac:dyDescent="0.2"/>
    <row r="65353" hidden="1" x14ac:dyDescent="0.2"/>
    <row r="65354" hidden="1" x14ac:dyDescent="0.2"/>
    <row r="65355" hidden="1" x14ac:dyDescent="0.2"/>
    <row r="65356" hidden="1" x14ac:dyDescent="0.2"/>
    <row r="65357" hidden="1" x14ac:dyDescent="0.2"/>
    <row r="65358" hidden="1" x14ac:dyDescent="0.2"/>
    <row r="65359" hidden="1" x14ac:dyDescent="0.2"/>
    <row r="65360" hidden="1" x14ac:dyDescent="0.2"/>
    <row r="65361" hidden="1" x14ac:dyDescent="0.2"/>
    <row r="65362" hidden="1" x14ac:dyDescent="0.2"/>
    <row r="65363" hidden="1" x14ac:dyDescent="0.2"/>
    <row r="65364" hidden="1" x14ac:dyDescent="0.2"/>
    <row r="65365" hidden="1" x14ac:dyDescent="0.2"/>
    <row r="65366" hidden="1" x14ac:dyDescent="0.2"/>
    <row r="65367" hidden="1" x14ac:dyDescent="0.2"/>
    <row r="65368" hidden="1" x14ac:dyDescent="0.2"/>
    <row r="65369" hidden="1" x14ac:dyDescent="0.2"/>
    <row r="65370" hidden="1" x14ac:dyDescent="0.2"/>
    <row r="65371" hidden="1" x14ac:dyDescent="0.2"/>
    <row r="65372" hidden="1" x14ac:dyDescent="0.2"/>
    <row r="65373" hidden="1" x14ac:dyDescent="0.2"/>
    <row r="65374" hidden="1" x14ac:dyDescent="0.2"/>
    <row r="65375" hidden="1" x14ac:dyDescent="0.2"/>
    <row r="65376" hidden="1" x14ac:dyDescent="0.2"/>
    <row r="65377" hidden="1" x14ac:dyDescent="0.2"/>
    <row r="65378" hidden="1" x14ac:dyDescent="0.2"/>
    <row r="65379" hidden="1" x14ac:dyDescent="0.2"/>
    <row r="65380" hidden="1" x14ac:dyDescent="0.2"/>
    <row r="65381" hidden="1" x14ac:dyDescent="0.2"/>
    <row r="65382" hidden="1" x14ac:dyDescent="0.2"/>
    <row r="65383" hidden="1" x14ac:dyDescent="0.2"/>
    <row r="65384" hidden="1" x14ac:dyDescent="0.2"/>
    <row r="65385" hidden="1" x14ac:dyDescent="0.2"/>
    <row r="65386" hidden="1" x14ac:dyDescent="0.2"/>
    <row r="65387" hidden="1" x14ac:dyDescent="0.2"/>
    <row r="65388" hidden="1" x14ac:dyDescent="0.2"/>
    <row r="65389" hidden="1" x14ac:dyDescent="0.2"/>
    <row r="65390" hidden="1" x14ac:dyDescent="0.2"/>
    <row r="65391" hidden="1" x14ac:dyDescent="0.2"/>
    <row r="65392" hidden="1" x14ac:dyDescent="0.2"/>
    <row r="65393" hidden="1" x14ac:dyDescent="0.2"/>
    <row r="65394" hidden="1" x14ac:dyDescent="0.2"/>
    <row r="65395" hidden="1" x14ac:dyDescent="0.2"/>
    <row r="65396" hidden="1" x14ac:dyDescent="0.2"/>
    <row r="65397" hidden="1" x14ac:dyDescent="0.2"/>
    <row r="65398" hidden="1" x14ac:dyDescent="0.2"/>
    <row r="65399" hidden="1" x14ac:dyDescent="0.2"/>
    <row r="65400" hidden="1" x14ac:dyDescent="0.2"/>
    <row r="65401" hidden="1" x14ac:dyDescent="0.2"/>
    <row r="65402" hidden="1" x14ac:dyDescent="0.2"/>
    <row r="65403" hidden="1" x14ac:dyDescent="0.2"/>
    <row r="65404" hidden="1" x14ac:dyDescent="0.2"/>
    <row r="65405" hidden="1" x14ac:dyDescent="0.2"/>
    <row r="65406" hidden="1" x14ac:dyDescent="0.2"/>
    <row r="65407" hidden="1" x14ac:dyDescent="0.2"/>
    <row r="65408" hidden="1" x14ac:dyDescent="0.2"/>
    <row r="65409" hidden="1" x14ac:dyDescent="0.2"/>
    <row r="65410" hidden="1" x14ac:dyDescent="0.2"/>
    <row r="65411" hidden="1" x14ac:dyDescent="0.2"/>
    <row r="65412" hidden="1" x14ac:dyDescent="0.2"/>
    <row r="65413" hidden="1" x14ac:dyDescent="0.2"/>
    <row r="65414" hidden="1" x14ac:dyDescent="0.2"/>
    <row r="65415" hidden="1" x14ac:dyDescent="0.2"/>
    <row r="65416" hidden="1" x14ac:dyDescent="0.2"/>
    <row r="65417" hidden="1" x14ac:dyDescent="0.2"/>
    <row r="65418" hidden="1" x14ac:dyDescent="0.2"/>
    <row r="65419" hidden="1" x14ac:dyDescent="0.2"/>
    <row r="65420" hidden="1" x14ac:dyDescent="0.2"/>
    <row r="65421" hidden="1" x14ac:dyDescent="0.2"/>
    <row r="65422" hidden="1" x14ac:dyDescent="0.2"/>
    <row r="65423" hidden="1" x14ac:dyDescent="0.2"/>
    <row r="65424" hidden="1" x14ac:dyDescent="0.2"/>
    <row r="65425" hidden="1" x14ac:dyDescent="0.2"/>
    <row r="65426" hidden="1" x14ac:dyDescent="0.2"/>
    <row r="65427" hidden="1" x14ac:dyDescent="0.2"/>
    <row r="65428" hidden="1" x14ac:dyDescent="0.2"/>
    <row r="65429" hidden="1" x14ac:dyDescent="0.2"/>
    <row r="65430" hidden="1" x14ac:dyDescent="0.2"/>
    <row r="65431" hidden="1" x14ac:dyDescent="0.2"/>
    <row r="65432" hidden="1" x14ac:dyDescent="0.2"/>
    <row r="65433" hidden="1" x14ac:dyDescent="0.2"/>
    <row r="65434" hidden="1" x14ac:dyDescent="0.2"/>
    <row r="65435" hidden="1" x14ac:dyDescent="0.2"/>
    <row r="65436" hidden="1" x14ac:dyDescent="0.2"/>
    <row r="65437" hidden="1" x14ac:dyDescent="0.2"/>
    <row r="65438" hidden="1" x14ac:dyDescent="0.2"/>
    <row r="65439" hidden="1" x14ac:dyDescent="0.2"/>
    <row r="65440" hidden="1" x14ac:dyDescent="0.2"/>
    <row r="65441" hidden="1" x14ac:dyDescent="0.2"/>
    <row r="65442" hidden="1" x14ac:dyDescent="0.2"/>
    <row r="65443" hidden="1" x14ac:dyDescent="0.2"/>
    <row r="65444" hidden="1" x14ac:dyDescent="0.2"/>
    <row r="65445" hidden="1" x14ac:dyDescent="0.2"/>
    <row r="65446" hidden="1" x14ac:dyDescent="0.2"/>
    <row r="65447" hidden="1" x14ac:dyDescent="0.2"/>
    <row r="65448" hidden="1" x14ac:dyDescent="0.2"/>
    <row r="65449" hidden="1" x14ac:dyDescent="0.2"/>
    <row r="65450" hidden="1" x14ac:dyDescent="0.2"/>
    <row r="65451" hidden="1" x14ac:dyDescent="0.2"/>
    <row r="65452" hidden="1" x14ac:dyDescent="0.2"/>
    <row r="65453" hidden="1" x14ac:dyDescent="0.2"/>
    <row r="65454" hidden="1" x14ac:dyDescent="0.2"/>
    <row r="65455" hidden="1" x14ac:dyDescent="0.2"/>
    <row r="65456" hidden="1" x14ac:dyDescent="0.2"/>
    <row r="65457" hidden="1" x14ac:dyDescent="0.2"/>
    <row r="65458" hidden="1" x14ac:dyDescent="0.2"/>
    <row r="65459" hidden="1" x14ac:dyDescent="0.2"/>
    <row r="65460" hidden="1" x14ac:dyDescent="0.2"/>
    <row r="65461" hidden="1" x14ac:dyDescent="0.2"/>
    <row r="65462" hidden="1" x14ac:dyDescent="0.2"/>
    <row r="65463" hidden="1" x14ac:dyDescent="0.2"/>
    <row r="65464" hidden="1" x14ac:dyDescent="0.2"/>
    <row r="65465" hidden="1" x14ac:dyDescent="0.2"/>
    <row r="65466" hidden="1" x14ac:dyDescent="0.2"/>
    <row r="65467" hidden="1" x14ac:dyDescent="0.2"/>
    <row r="65468" hidden="1" x14ac:dyDescent="0.2"/>
    <row r="65469" hidden="1" x14ac:dyDescent="0.2"/>
    <row r="65470" hidden="1" x14ac:dyDescent="0.2"/>
    <row r="65471" hidden="1" x14ac:dyDescent="0.2"/>
    <row r="65472" hidden="1" x14ac:dyDescent="0.2"/>
    <row r="65473" hidden="1" x14ac:dyDescent="0.2"/>
    <row r="65474" hidden="1" x14ac:dyDescent="0.2"/>
    <row r="65475" hidden="1" x14ac:dyDescent="0.2"/>
    <row r="65476" hidden="1" x14ac:dyDescent="0.2"/>
    <row r="65477" hidden="1" x14ac:dyDescent="0.2"/>
    <row r="65478" hidden="1" x14ac:dyDescent="0.2"/>
    <row r="65479" hidden="1" x14ac:dyDescent="0.2"/>
    <row r="65480" hidden="1" x14ac:dyDescent="0.2"/>
    <row r="65481" hidden="1" x14ac:dyDescent="0.2"/>
    <row r="65482" hidden="1" x14ac:dyDescent="0.2"/>
    <row r="65483" hidden="1" x14ac:dyDescent="0.2"/>
    <row r="65484" hidden="1" x14ac:dyDescent="0.2"/>
    <row r="65485" hidden="1" x14ac:dyDescent="0.2"/>
    <row r="65486" hidden="1" x14ac:dyDescent="0.2"/>
    <row r="65487" hidden="1" x14ac:dyDescent="0.2"/>
    <row r="65488" hidden="1" x14ac:dyDescent="0.2"/>
    <row r="65489" hidden="1" x14ac:dyDescent="0.2"/>
    <row r="65490" hidden="1" x14ac:dyDescent="0.2"/>
    <row r="65491" hidden="1" x14ac:dyDescent="0.2"/>
    <row r="65492" hidden="1" x14ac:dyDescent="0.2"/>
    <row r="65493" hidden="1" x14ac:dyDescent="0.2"/>
    <row r="65494" hidden="1" x14ac:dyDescent="0.2"/>
    <row r="65495" hidden="1" x14ac:dyDescent="0.2"/>
    <row r="65496" hidden="1" x14ac:dyDescent="0.2"/>
    <row r="65497" hidden="1" x14ac:dyDescent="0.2"/>
    <row r="65498" hidden="1" x14ac:dyDescent="0.2"/>
    <row r="65499" hidden="1" x14ac:dyDescent="0.2"/>
    <row r="65500" hidden="1" x14ac:dyDescent="0.2"/>
    <row r="65501" hidden="1" x14ac:dyDescent="0.2"/>
    <row r="65502" hidden="1" x14ac:dyDescent="0.2"/>
    <row r="65503" hidden="1" x14ac:dyDescent="0.2"/>
    <row r="65504" hidden="1" x14ac:dyDescent="0.2"/>
    <row r="65505" hidden="1" x14ac:dyDescent="0.2"/>
    <row r="65506" hidden="1" x14ac:dyDescent="0.2"/>
    <row r="65507" hidden="1" x14ac:dyDescent="0.2"/>
    <row r="65508" hidden="1" x14ac:dyDescent="0.2"/>
    <row r="65509" hidden="1" x14ac:dyDescent="0.2"/>
    <row r="65510" hidden="1" x14ac:dyDescent="0.2"/>
    <row r="65511" hidden="1" x14ac:dyDescent="0.2"/>
    <row r="65512" hidden="1" x14ac:dyDescent="0.2"/>
    <row r="65513" hidden="1" x14ac:dyDescent="0.2"/>
    <row r="65514" hidden="1" x14ac:dyDescent="0.2"/>
    <row r="65515" hidden="1" x14ac:dyDescent="0.2"/>
    <row r="65516" hidden="1" x14ac:dyDescent="0.2"/>
    <row r="65517" hidden="1" x14ac:dyDescent="0.2"/>
    <row r="65518" hidden="1" x14ac:dyDescent="0.2"/>
    <row r="65519" hidden="1" x14ac:dyDescent="0.2"/>
    <row r="65520" hidden="1" x14ac:dyDescent="0.2"/>
    <row r="65521" hidden="1" x14ac:dyDescent="0.2"/>
    <row r="65522" hidden="1" x14ac:dyDescent="0.2"/>
    <row r="65523" hidden="1" x14ac:dyDescent="0.2"/>
    <row r="65524" hidden="1" x14ac:dyDescent="0.2"/>
    <row r="65525" hidden="1" x14ac:dyDescent="0.2"/>
    <row r="65526" hidden="1" x14ac:dyDescent="0.2"/>
    <row r="65527" hidden="1" x14ac:dyDescent="0.2"/>
    <row r="65528" hidden="1" x14ac:dyDescent="0.2"/>
    <row r="65529" hidden="1" x14ac:dyDescent="0.2"/>
    <row r="65530" hidden="1" x14ac:dyDescent="0.2"/>
    <row r="65531" hidden="1" x14ac:dyDescent="0.2"/>
    <row r="65532" hidden="1" x14ac:dyDescent="0.2"/>
    <row r="65533" hidden="1" x14ac:dyDescent="0.2"/>
    <row r="65534" hidden="1" x14ac:dyDescent="0.2"/>
    <row r="65535" x14ac:dyDescent="0.2"/>
    <row r="65536" x14ac:dyDescent="0.2"/>
  </sheetData>
  <sheetProtection password="CECF" sheet="1" formatCells="0" formatColumns="0" formatRows="0" insertColumns="0" insertRows="0"/>
  <customSheetViews>
    <customSheetView guid="{CF822260-65C0-11DB-9743-000854DFF85C}" scale="75" showRuler="0">
      <selection sqref="A1:Y41"/>
      <pageMargins left="0.39370078740157483" right="0.39370078740157483" top="0.19685039370078741" bottom="0.19685039370078741" header="0" footer="0"/>
      <pageSetup scale="43" orientation="landscape" horizontalDpi="300" verticalDpi="300" r:id="rId1"/>
      <headerFooter alignWithMargins="0"/>
    </customSheetView>
    <customSheetView guid="{15A61C62-840D-11DA-A6CD-BDC37E227F7F}" scale="75" showPageBreaks="1" printArea="1" showRuler="0">
      <selection sqref="A1:Y41"/>
      <pageMargins left="0.39370078740157483" right="0.39370078740157483" top="0.19685039370078741" bottom="0.19685039370078741" header="0" footer="0"/>
      <pageSetup scale="43" orientation="landscape" horizontalDpi="300" verticalDpi="300" r:id="rId2"/>
      <headerFooter alignWithMargins="0"/>
    </customSheetView>
    <customSheetView guid="{0083E5B0-44AE-40B5-9617-6484D451C028}" scale="75" showPageBreaks="1" printArea="1" showRuler="0">
      <selection activeCell="B3" sqref="B3"/>
      <pageMargins left="0.39370078740157483" right="0.39370078740157483" top="0.19685039370078741" bottom="0.19685039370078741" header="0" footer="0"/>
      <pageSetup scale="43" orientation="landscape" horizontalDpi="300" verticalDpi="300" r:id="rId3"/>
      <headerFooter alignWithMargins="0"/>
    </customSheetView>
    <customSheetView guid="{781ED8A8-51CE-4197-9E83-B42C8B1C8CEA}" scale="75" showPageBreaks="1" printArea="1" showRuler="0">
      <selection activeCell="E1" sqref="E1"/>
      <pageMargins left="0.39370078740157483" right="0.39370078740157483" top="0.19685039370078741" bottom="0.19685039370078741" header="0" footer="0"/>
      <pageSetup scale="43" orientation="landscape" horizontalDpi="300" verticalDpi="300" r:id="rId4"/>
      <headerFooter alignWithMargins="0"/>
    </customSheetView>
  </customSheetViews>
  <mergeCells count="129">
    <mergeCell ref="A28:C28"/>
    <mergeCell ref="A29:B29"/>
    <mergeCell ref="A34:C34"/>
    <mergeCell ref="A30:B30"/>
    <mergeCell ref="A31:B31"/>
    <mergeCell ref="A32:B32"/>
    <mergeCell ref="A33:B33"/>
    <mergeCell ref="T52:V52"/>
    <mergeCell ref="W52:Y52"/>
    <mergeCell ref="T53:V53"/>
    <mergeCell ref="W53:Y53"/>
    <mergeCell ref="T54:V54"/>
    <mergeCell ref="W54:Y54"/>
    <mergeCell ref="T55:V55"/>
    <mergeCell ref="W55:Y55"/>
    <mergeCell ref="V42:AB42"/>
    <mergeCell ref="N22:Q22"/>
    <mergeCell ref="N25:Q25"/>
    <mergeCell ref="W48:Y48"/>
    <mergeCell ref="T45:V45"/>
    <mergeCell ref="T46:V46"/>
    <mergeCell ref="T47:V47"/>
    <mergeCell ref="T48:V48"/>
    <mergeCell ref="W45:Y45"/>
    <mergeCell ref="W46:Y46"/>
    <mergeCell ref="W47:Y47"/>
    <mergeCell ref="W32:AB32"/>
    <mergeCell ref="V37:AB37"/>
    <mergeCell ref="V38:AB38"/>
    <mergeCell ref="V39:AB39"/>
    <mergeCell ref="V40:AB40"/>
    <mergeCell ref="V34:AB34"/>
    <mergeCell ref="V35:AB35"/>
    <mergeCell ref="N17:Q17"/>
    <mergeCell ref="W18:AB18"/>
    <mergeCell ref="W17:AB17"/>
    <mergeCell ref="W5:AB6"/>
    <mergeCell ref="T5:U5"/>
    <mergeCell ref="N6:Q6"/>
    <mergeCell ref="H5:I5"/>
    <mergeCell ref="N14:Q14"/>
    <mergeCell ref="A21:C21"/>
    <mergeCell ref="W21:AB21"/>
    <mergeCell ref="N18:Q18"/>
    <mergeCell ref="AI5:AJ5"/>
    <mergeCell ref="N12:Q12"/>
    <mergeCell ref="N13:Q13"/>
    <mergeCell ref="W13:AB13"/>
    <mergeCell ref="W9:AB9"/>
    <mergeCell ref="N11:Q11"/>
    <mergeCell ref="N7:Q7"/>
    <mergeCell ref="W8:AB8"/>
    <mergeCell ref="W11:AB11"/>
    <mergeCell ref="W12:AB12"/>
    <mergeCell ref="N5:R5"/>
    <mergeCell ref="A5:C5"/>
    <mergeCell ref="W1:Z1"/>
    <mergeCell ref="S2:AB2"/>
    <mergeCell ref="O2:R2"/>
    <mergeCell ref="D2:N2"/>
    <mergeCell ref="S1:V1"/>
    <mergeCell ref="E1:Q1"/>
    <mergeCell ref="W4:AB4"/>
    <mergeCell ref="B2:C2"/>
    <mergeCell ref="A4:U4"/>
    <mergeCell ref="E5:F5"/>
    <mergeCell ref="W16:AB16"/>
    <mergeCell ref="N8:Q8"/>
    <mergeCell ref="N9:Q9"/>
    <mergeCell ref="W15:AB15"/>
    <mergeCell ref="W14:AB14"/>
    <mergeCell ref="N15:Q15"/>
    <mergeCell ref="N10:Q10"/>
    <mergeCell ref="W10:AB10"/>
    <mergeCell ref="N16:Q16"/>
    <mergeCell ref="A37:C37"/>
    <mergeCell ref="N41:Q41"/>
    <mergeCell ref="T33:AB33"/>
    <mergeCell ref="D37:I37"/>
    <mergeCell ref="V36:AB36"/>
    <mergeCell ref="D41:I41"/>
    <mergeCell ref="D38:I38"/>
    <mergeCell ref="N33:Q33"/>
    <mergeCell ref="N34:Q34"/>
    <mergeCell ref="N35:Q35"/>
    <mergeCell ref="E36:H36"/>
    <mergeCell ref="N37:Q37"/>
    <mergeCell ref="N38:Q38"/>
    <mergeCell ref="N39:Q39"/>
    <mergeCell ref="N40:Q40"/>
    <mergeCell ref="N36:R36"/>
    <mergeCell ref="A35:B35"/>
    <mergeCell ref="A36:B36"/>
    <mergeCell ref="W19:AB19"/>
    <mergeCell ref="W20:AB20"/>
    <mergeCell ref="V41:AB41"/>
    <mergeCell ref="W27:AB27"/>
    <mergeCell ref="W28:AB28"/>
    <mergeCell ref="N32:Q32"/>
    <mergeCell ref="N19:R19"/>
    <mergeCell ref="N31:Q31"/>
    <mergeCell ref="N20:Q20"/>
    <mergeCell ref="N21:Q21"/>
    <mergeCell ref="W30:AB30"/>
    <mergeCell ref="W29:AB29"/>
    <mergeCell ref="W31:AB31"/>
    <mergeCell ref="W22:AB22"/>
    <mergeCell ref="W23:AB23"/>
    <mergeCell ref="W24:AB24"/>
    <mergeCell ref="W25:AB25"/>
    <mergeCell ref="W26:AB26"/>
    <mergeCell ref="N27:Q27"/>
    <mergeCell ref="N24:Q24"/>
    <mergeCell ref="N23:Q23"/>
    <mergeCell ref="N26:Q26"/>
    <mergeCell ref="N28:Q28"/>
    <mergeCell ref="N29:R29"/>
    <mergeCell ref="D40:I40"/>
    <mergeCell ref="N42:Q42"/>
    <mergeCell ref="E29:I29"/>
    <mergeCell ref="E30:H30"/>
    <mergeCell ref="E31:H31"/>
    <mergeCell ref="E32:H32"/>
    <mergeCell ref="E33:H33"/>
    <mergeCell ref="E34:H34"/>
    <mergeCell ref="E35:H35"/>
    <mergeCell ref="D39:I39"/>
    <mergeCell ref="D42:I42"/>
    <mergeCell ref="N30:Q30"/>
  </mergeCells>
  <phoneticPr fontId="0" type="noConversion"/>
  <dataValidations count="9">
    <dataValidation operator="lessThan" allowBlank="1" showInputMessage="1" showErrorMessage="1" errorTitle="PROTEGIDO" error="Celda bloqueada..............._x000a_Presione ESC para continuar" sqref="U21 U27 U18:U19 U16 U24 L7:L18"/>
    <dataValidation type="list" errorStyle="information" allowBlank="1" showInputMessage="1" showErrorMessage="1" errorTitle="NOTA" error="EXISTEN OPCIONES PARA EL VIDRIO" sqref="V37">
      <formula1>$X$53:$X$54</formula1>
    </dataValidation>
    <dataValidation type="whole" allowBlank="1" showInputMessage="1" showErrorMessage="1" error="SOLO PERMITE VALORES NUMERICOS" sqref="A39:A43">
      <formula1>56</formula1>
      <formula2>120</formula2>
    </dataValidation>
    <dataValidation type="custom" allowBlank="1" showInputMessage="1" showErrorMessage="1" errorTitle="ERROR" error="TIPOS DE GABINETES :_x000a_CURVO O TIPO B" promptTitle="NOTA" prompt="TIPO B, CURVO" sqref="D37">
      <formula1>IF(OR(D37="TIPO B",D37="CURVO",D37="CURVOS",),"VERDADERO","FALSO")</formula1>
    </dataValidation>
    <dataValidation allowBlank="1" showInputMessage="1" showErrorMessage="1" promptTitle="NOTA" prompt="A PARED" sqref="B39:B43 B20 B7:B18 B23:B27"/>
    <dataValidation allowBlank="1" showInputMessage="1" showErrorMessage="1" promptTitle="NOTA" prompt="A ESTRUCTURA" sqref="C39:C43 C20 C7:C18 C23:C27 C30:C33 C35:C36"/>
    <dataValidation allowBlank="1" showErrorMessage="1" prompt="_x000a_" sqref="B19"/>
    <dataValidation allowBlank="1" showErrorMessage="1" sqref="C19"/>
    <dataValidation type="list" allowBlank="1" showInputMessage="1" showErrorMessage="1" sqref="D39:I43">
      <formula1>GABINETES</formula1>
    </dataValidation>
  </dataValidations>
  <printOptions horizontalCentered="1" verticalCentered="1"/>
  <pageMargins left="0.15748031496062992" right="0.15748031496062992" top="0.23622047244094491" bottom="0.27559055118110237" header="0" footer="0"/>
  <pageSetup paperSize="9" scale="78" orientation="landscape" r:id="rId5"/>
  <headerFooter alignWithMargins="0">
    <oddFooter>&amp;L&amp;A&amp;C&amp;"Arial,Negrita"FAMOC DEPANEL Confidencial&amp;RPágina &amp;P</oddFooter>
  </headerFooter>
  <cellWatches>
    <cellWatch r="G40"/>
  </cellWatches>
  <drawing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 enableFormatConditionsCalculation="0">
    <tabColor indexed="42"/>
  </sheetPr>
  <dimension ref="A1:T447"/>
  <sheetViews>
    <sheetView showGridLines="0" zoomScale="70" zoomScaleNormal="55" workbookViewId="0">
      <selection activeCell="H12" sqref="H12"/>
    </sheetView>
  </sheetViews>
  <sheetFormatPr baseColWidth="10" defaultColWidth="0" defaultRowHeight="12.75" zeroHeight="1" x14ac:dyDescent="0.2"/>
  <cols>
    <col min="1" max="6" width="10.85546875" customWidth="1"/>
    <col min="7" max="7" width="39.28515625" style="1" customWidth="1"/>
    <col min="8" max="8" width="18.7109375" customWidth="1"/>
    <col min="9" max="9" width="93.7109375" customWidth="1"/>
    <col min="10" max="10" width="118" customWidth="1"/>
    <col min="11" max="11" width="1.7109375" customWidth="1"/>
    <col min="12" max="12" width="9.7109375" hidden="1" customWidth="1"/>
    <col min="13" max="13" width="0.28515625" hidden="1" customWidth="1"/>
    <col min="14" max="16" width="11.42578125" hidden="1" customWidth="1"/>
    <col min="17" max="17" width="40" hidden="1" customWidth="1"/>
    <col min="18" max="18" width="1.7109375" customWidth="1"/>
    <col min="19" max="19" width="11.42578125" hidden="1" customWidth="1"/>
  </cols>
  <sheetData>
    <row r="1" spans="1:20" ht="69" customHeight="1" x14ac:dyDescent="0.2">
      <c r="G1" s="68" t="s">
        <v>1092</v>
      </c>
      <c r="H1" s="554">
        <f>+'5 ALMACEN '!W1</f>
        <v>0</v>
      </c>
      <c r="I1" s="1628" t="s">
        <v>98</v>
      </c>
      <c r="J1" s="1628"/>
    </row>
    <row r="2" spans="1:20" ht="45.75" customHeight="1" x14ac:dyDescent="0.45">
      <c r="D2" s="1619" t="s">
        <v>99</v>
      </c>
      <c r="E2" s="1619"/>
      <c r="F2" s="1629">
        <f>+'5 ALMACEN '!D2</f>
        <v>0</v>
      </c>
      <c r="G2" s="1629"/>
      <c r="H2" s="1629"/>
      <c r="I2" s="1629"/>
      <c r="J2" s="552">
        <f>+'5 ALMACEN '!S2</f>
        <v>0</v>
      </c>
    </row>
    <row r="3" spans="1:20" ht="22.5" customHeight="1" x14ac:dyDescent="0.2"/>
    <row r="4" spans="1:20" s="10" customFormat="1" ht="30" customHeight="1" x14ac:dyDescent="0.35">
      <c r="A4" s="1623" t="s">
        <v>1108</v>
      </c>
      <c r="B4" s="1623"/>
      <c r="C4" s="1623"/>
      <c r="D4" s="1623"/>
      <c r="E4" s="1623"/>
      <c r="F4" s="1623"/>
      <c r="G4" s="1623"/>
      <c r="H4" s="1623"/>
      <c r="I4" s="1623"/>
      <c r="J4" s="67"/>
      <c r="K4" s="5"/>
      <c r="L4" s="1625" t="s">
        <v>6</v>
      </c>
      <c r="M4" s="1625"/>
      <c r="N4" s="1625"/>
      <c r="O4" s="1625"/>
      <c r="P4" s="1625"/>
      <c r="Q4" s="1625"/>
      <c r="S4" s="5"/>
      <c r="T4" s="5"/>
    </row>
    <row r="5" spans="1:20" s="9" customFormat="1" ht="30" customHeight="1" x14ac:dyDescent="0.2">
      <c r="A5" s="1620" t="s">
        <v>1</v>
      </c>
      <c r="B5" s="1621"/>
      <c r="C5" s="1621"/>
      <c r="D5" s="1621"/>
      <c r="E5" s="1621"/>
      <c r="F5" s="1621"/>
      <c r="G5" s="1622"/>
      <c r="H5" s="20" t="s">
        <v>2</v>
      </c>
      <c r="I5" s="1079" t="s">
        <v>94</v>
      </c>
      <c r="J5" s="19" t="s">
        <v>11</v>
      </c>
      <c r="K5" s="4"/>
      <c r="L5" s="1626" t="s">
        <v>7</v>
      </c>
      <c r="M5" s="1627"/>
      <c r="N5" s="1624" t="s">
        <v>4</v>
      </c>
      <c r="O5" s="1624"/>
      <c r="P5" s="1624" t="s">
        <v>5</v>
      </c>
      <c r="Q5" s="1624"/>
      <c r="S5" s="15"/>
      <c r="T5" s="15"/>
    </row>
    <row r="6" spans="1:20" ht="26.45" customHeight="1" x14ac:dyDescent="0.4">
      <c r="A6" s="1616"/>
      <c r="B6" s="1617"/>
      <c r="C6" s="1617"/>
      <c r="D6" s="1617"/>
      <c r="E6" s="1617"/>
      <c r="F6" s="1617"/>
      <c r="G6" s="1618"/>
      <c r="H6" s="765"/>
      <c r="I6" s="1078"/>
      <c r="J6" s="553"/>
      <c r="L6" s="1522"/>
      <c r="M6" s="1522"/>
      <c r="N6" s="1522"/>
      <c r="O6" s="1522"/>
      <c r="P6" s="1522"/>
      <c r="Q6" s="1522"/>
    </row>
    <row r="7" spans="1:20" ht="26.45" customHeight="1" x14ac:dyDescent="0.4">
      <c r="A7" s="1616"/>
      <c r="B7" s="1617"/>
      <c r="C7" s="1617"/>
      <c r="D7" s="1617"/>
      <c r="E7" s="1617"/>
      <c r="F7" s="1617"/>
      <c r="G7" s="1618"/>
      <c r="H7" s="765"/>
      <c r="I7" s="1078"/>
      <c r="J7" s="553"/>
      <c r="L7" s="1522"/>
      <c r="M7" s="1522"/>
      <c r="N7" s="1522"/>
      <c r="O7" s="1522"/>
      <c r="P7" s="1522"/>
      <c r="Q7" s="1522"/>
    </row>
    <row r="8" spans="1:20" ht="26.45" customHeight="1" x14ac:dyDescent="0.4">
      <c r="A8" s="1616"/>
      <c r="B8" s="1617"/>
      <c r="C8" s="1617"/>
      <c r="D8" s="1617"/>
      <c r="E8" s="1617"/>
      <c r="F8" s="1617"/>
      <c r="G8" s="1618"/>
      <c r="H8" s="765"/>
      <c r="I8" s="1078"/>
      <c r="J8" s="553"/>
      <c r="L8" s="1522"/>
      <c r="M8" s="1522"/>
      <c r="N8" s="1522"/>
      <c r="O8" s="1522"/>
      <c r="P8" s="1522"/>
      <c r="Q8" s="1522"/>
    </row>
    <row r="9" spans="1:20" ht="26.45" customHeight="1" x14ac:dyDescent="0.4">
      <c r="A9" s="1616"/>
      <c r="B9" s="1617"/>
      <c r="C9" s="1617"/>
      <c r="D9" s="1617"/>
      <c r="E9" s="1617"/>
      <c r="F9" s="1617"/>
      <c r="G9" s="1618"/>
      <c r="H9" s="765"/>
      <c r="I9" s="1078"/>
      <c r="J9" s="553"/>
      <c r="L9" s="1522"/>
      <c r="M9" s="1522"/>
      <c r="N9" s="1522"/>
      <c r="O9" s="1522"/>
      <c r="P9" s="1522"/>
      <c r="Q9" s="1522"/>
    </row>
    <row r="10" spans="1:20" ht="26.45" customHeight="1" x14ac:dyDescent="0.4">
      <c r="A10" s="1616"/>
      <c r="B10" s="1617"/>
      <c r="C10" s="1617"/>
      <c r="D10" s="1617"/>
      <c r="E10" s="1617"/>
      <c r="F10" s="1617"/>
      <c r="G10" s="1618"/>
      <c r="H10" s="765"/>
      <c r="I10" s="1078"/>
      <c r="J10" s="553"/>
      <c r="L10" s="1522"/>
      <c r="M10" s="1522"/>
      <c r="N10" s="1522"/>
      <c r="O10" s="1522"/>
      <c r="P10" s="1522"/>
      <c r="Q10" s="1522"/>
    </row>
    <row r="11" spans="1:20" ht="26.45" customHeight="1" x14ac:dyDescent="0.4">
      <c r="A11" s="1616"/>
      <c r="B11" s="1617"/>
      <c r="C11" s="1617"/>
      <c r="D11" s="1617"/>
      <c r="E11" s="1617"/>
      <c r="F11" s="1617"/>
      <c r="G11" s="1618"/>
      <c r="H11" s="765"/>
      <c r="I11" s="1078"/>
      <c r="J11" s="553"/>
    </row>
    <row r="12" spans="1:20" ht="26.45" customHeight="1" x14ac:dyDescent="0.4">
      <c r="A12" s="1616"/>
      <c r="B12" s="1617"/>
      <c r="C12" s="1617"/>
      <c r="D12" s="1617"/>
      <c r="E12" s="1617"/>
      <c r="F12" s="1617"/>
      <c r="G12" s="1618"/>
      <c r="H12" s="765"/>
      <c r="I12" s="1078"/>
      <c r="J12" s="553"/>
    </row>
    <row r="13" spans="1:20" ht="26.45" customHeight="1" x14ac:dyDescent="0.4">
      <c r="A13" s="1616"/>
      <c r="B13" s="1617"/>
      <c r="C13" s="1617"/>
      <c r="D13" s="1617"/>
      <c r="E13" s="1617"/>
      <c r="F13" s="1617"/>
      <c r="G13" s="1618"/>
      <c r="H13" s="765"/>
      <c r="I13" s="1078"/>
      <c r="J13" s="553"/>
    </row>
    <row r="14" spans="1:20" ht="26.45" customHeight="1" x14ac:dyDescent="0.4">
      <c r="A14" s="1616"/>
      <c r="B14" s="1617"/>
      <c r="C14" s="1617"/>
      <c r="D14" s="1617"/>
      <c r="E14" s="1617"/>
      <c r="F14" s="1617"/>
      <c r="G14" s="1618"/>
      <c r="H14" s="765"/>
      <c r="I14" s="1078"/>
      <c r="J14" s="553"/>
    </row>
    <row r="15" spans="1:20" ht="26.45" customHeight="1" x14ac:dyDescent="0.4">
      <c r="A15" s="1616"/>
      <c r="B15" s="1617"/>
      <c r="C15" s="1617"/>
      <c r="D15" s="1617"/>
      <c r="E15" s="1617"/>
      <c r="F15" s="1617"/>
      <c r="G15" s="1618"/>
      <c r="H15" s="765"/>
      <c r="I15" s="1078"/>
      <c r="J15" s="553"/>
    </row>
    <row r="16" spans="1:20" ht="26.45" customHeight="1" x14ac:dyDescent="0.4">
      <c r="A16" s="1616"/>
      <c r="B16" s="1617"/>
      <c r="C16" s="1617"/>
      <c r="D16" s="1617"/>
      <c r="E16" s="1617"/>
      <c r="F16" s="1617"/>
      <c r="G16" s="1618"/>
      <c r="H16" s="765"/>
      <c r="I16" s="1078"/>
      <c r="J16" s="553"/>
    </row>
    <row r="17" spans="1:10" ht="26.45" customHeight="1" x14ac:dyDescent="0.4">
      <c r="A17" s="1616"/>
      <c r="B17" s="1617"/>
      <c r="C17" s="1617"/>
      <c r="D17" s="1617"/>
      <c r="E17" s="1617"/>
      <c r="F17" s="1617"/>
      <c r="G17" s="1618"/>
      <c r="H17" s="765"/>
      <c r="I17" s="1078"/>
      <c r="J17" s="553"/>
    </row>
    <row r="18" spans="1:10" ht="26.45" customHeight="1" x14ac:dyDescent="0.4">
      <c r="A18" s="1616"/>
      <c r="B18" s="1617"/>
      <c r="C18" s="1617"/>
      <c r="D18" s="1617"/>
      <c r="E18" s="1617"/>
      <c r="F18" s="1617"/>
      <c r="G18" s="1618"/>
      <c r="H18" s="765"/>
      <c r="I18" s="1078"/>
      <c r="J18" s="553"/>
    </row>
    <row r="19" spans="1:10" ht="26.45" customHeight="1" x14ac:dyDescent="0.4">
      <c r="A19" s="1616"/>
      <c r="B19" s="1617"/>
      <c r="C19" s="1617"/>
      <c r="D19" s="1617"/>
      <c r="E19" s="1617"/>
      <c r="F19" s="1617"/>
      <c r="G19" s="1618"/>
      <c r="H19" s="765"/>
      <c r="I19" s="1078"/>
      <c r="J19" s="553"/>
    </row>
    <row r="20" spans="1:10" ht="26.45" customHeight="1" x14ac:dyDescent="0.4">
      <c r="A20" s="1616"/>
      <c r="B20" s="1617"/>
      <c r="C20" s="1617"/>
      <c r="D20" s="1617"/>
      <c r="E20" s="1617"/>
      <c r="F20" s="1617"/>
      <c r="G20" s="1618"/>
      <c r="H20" s="765"/>
      <c r="I20" s="1078"/>
      <c r="J20" s="553"/>
    </row>
    <row r="21" spans="1:10" ht="26.45" customHeight="1" x14ac:dyDescent="0.4">
      <c r="A21" s="1616"/>
      <c r="B21" s="1617"/>
      <c r="C21" s="1617"/>
      <c r="D21" s="1617"/>
      <c r="E21" s="1617"/>
      <c r="F21" s="1617"/>
      <c r="G21" s="1618"/>
      <c r="H21" s="765"/>
      <c r="I21" s="1078"/>
      <c r="J21" s="553"/>
    </row>
    <row r="22" spans="1:10" ht="26.45" customHeight="1" x14ac:dyDescent="0.4">
      <c r="A22" s="1616"/>
      <c r="B22" s="1617"/>
      <c r="C22" s="1617"/>
      <c r="D22" s="1617"/>
      <c r="E22" s="1617"/>
      <c r="F22" s="1617"/>
      <c r="G22" s="1618"/>
      <c r="H22" s="765"/>
      <c r="I22" s="1078"/>
      <c r="J22" s="553"/>
    </row>
    <row r="23" spans="1:10" ht="26.45" customHeight="1" x14ac:dyDescent="0.4">
      <c r="A23" s="1616"/>
      <c r="B23" s="1617"/>
      <c r="C23" s="1617"/>
      <c r="D23" s="1617"/>
      <c r="E23" s="1617"/>
      <c r="F23" s="1617"/>
      <c r="G23" s="1618"/>
      <c r="H23" s="765"/>
      <c r="I23" s="1078"/>
      <c r="J23" s="553"/>
    </row>
    <row r="24" spans="1:10" ht="26.45" customHeight="1" x14ac:dyDescent="0.4">
      <c r="A24" s="1616"/>
      <c r="B24" s="1617"/>
      <c r="C24" s="1617"/>
      <c r="D24" s="1617"/>
      <c r="E24" s="1617"/>
      <c r="F24" s="1617"/>
      <c r="G24" s="1618"/>
      <c r="H24" s="765"/>
      <c r="I24" s="1078"/>
      <c r="J24" s="553"/>
    </row>
    <row r="25" spans="1:10" ht="26.45" customHeight="1" x14ac:dyDescent="0.4">
      <c r="A25" s="1616"/>
      <c r="B25" s="1617"/>
      <c r="C25" s="1617"/>
      <c r="D25" s="1617"/>
      <c r="E25" s="1617"/>
      <c r="F25" s="1617"/>
      <c r="G25" s="1618"/>
      <c r="H25" s="765"/>
      <c r="I25" s="1078"/>
      <c r="J25" s="553"/>
    </row>
    <row r="26" spans="1:10" ht="26.45" customHeight="1" x14ac:dyDescent="0.4">
      <c r="A26" s="1616"/>
      <c r="B26" s="1617"/>
      <c r="C26" s="1617"/>
      <c r="D26" s="1617"/>
      <c r="E26" s="1617"/>
      <c r="F26" s="1617"/>
      <c r="G26" s="1618"/>
      <c r="H26" s="765"/>
      <c r="I26" s="1078"/>
      <c r="J26" s="553"/>
    </row>
    <row r="27" spans="1:10" ht="26.45" customHeight="1" x14ac:dyDescent="0.4">
      <c r="A27" s="1616"/>
      <c r="B27" s="1617"/>
      <c r="C27" s="1617"/>
      <c r="D27" s="1617"/>
      <c r="E27" s="1617"/>
      <c r="F27" s="1617"/>
      <c r="G27" s="1618"/>
      <c r="H27" s="765"/>
      <c r="I27" s="1078"/>
      <c r="J27" s="553"/>
    </row>
    <row r="28" spans="1:10" ht="26.45" customHeight="1" x14ac:dyDescent="0.4">
      <c r="A28" s="1616"/>
      <c r="B28" s="1617"/>
      <c r="C28" s="1617"/>
      <c r="D28" s="1617"/>
      <c r="E28" s="1617"/>
      <c r="F28" s="1617"/>
      <c r="G28" s="1618"/>
      <c r="H28" s="765"/>
      <c r="I28" s="1078"/>
      <c r="J28" s="553"/>
    </row>
    <row r="29" spans="1:10" ht="26.45" customHeight="1" x14ac:dyDescent="0.4">
      <c r="A29" s="1616"/>
      <c r="B29" s="1617"/>
      <c r="C29" s="1617"/>
      <c r="D29" s="1617"/>
      <c r="E29" s="1617"/>
      <c r="F29" s="1617"/>
      <c r="G29" s="1618"/>
      <c r="H29" s="765"/>
      <c r="I29" s="1078"/>
      <c r="J29" s="553"/>
    </row>
    <row r="30" spans="1:10" ht="26.45" customHeight="1" x14ac:dyDescent="0.4">
      <c r="A30" s="1616"/>
      <c r="B30" s="1617"/>
      <c r="C30" s="1617"/>
      <c r="D30" s="1617"/>
      <c r="E30" s="1617"/>
      <c r="F30" s="1617"/>
      <c r="G30" s="1618"/>
      <c r="H30" s="765"/>
      <c r="I30" s="1078"/>
      <c r="J30" s="553"/>
    </row>
    <row r="31" spans="1:10" ht="26.45" customHeight="1" x14ac:dyDescent="0.4">
      <c r="A31" s="1616"/>
      <c r="B31" s="1617"/>
      <c r="C31" s="1617"/>
      <c r="D31" s="1617"/>
      <c r="E31" s="1617"/>
      <c r="F31" s="1617"/>
      <c r="G31" s="1618"/>
      <c r="H31" s="765"/>
      <c r="I31" s="1078"/>
      <c r="J31" s="553"/>
    </row>
    <row r="32" spans="1:10" ht="26.45" customHeight="1" x14ac:dyDescent="0.4">
      <c r="A32" s="1616"/>
      <c r="B32" s="1617"/>
      <c r="C32" s="1617"/>
      <c r="D32" s="1617"/>
      <c r="E32" s="1617"/>
      <c r="F32" s="1617"/>
      <c r="G32" s="1618"/>
      <c r="H32" s="765"/>
      <c r="I32" s="1078"/>
      <c r="J32" s="553"/>
    </row>
    <row r="33" spans="1:10" ht="26.45" customHeight="1" x14ac:dyDescent="0.4">
      <c r="A33" s="1616"/>
      <c r="B33" s="1617"/>
      <c r="C33" s="1617"/>
      <c r="D33" s="1617"/>
      <c r="E33" s="1617"/>
      <c r="F33" s="1617"/>
      <c r="G33" s="1618"/>
      <c r="H33" s="765"/>
      <c r="I33" s="1078"/>
      <c r="J33" s="553"/>
    </row>
    <row r="34" spans="1:10" ht="26.45" customHeight="1" x14ac:dyDescent="0.4">
      <c r="A34" s="1616"/>
      <c r="B34" s="1617"/>
      <c r="C34" s="1617"/>
      <c r="D34" s="1617"/>
      <c r="E34" s="1617"/>
      <c r="F34" s="1617"/>
      <c r="G34" s="1618"/>
      <c r="H34" s="765"/>
      <c r="I34" s="1078"/>
      <c r="J34" s="553"/>
    </row>
    <row r="35" spans="1:10" ht="26.45" customHeight="1" x14ac:dyDescent="0.4">
      <c r="A35" s="1616"/>
      <c r="B35" s="1617"/>
      <c r="C35" s="1617"/>
      <c r="D35" s="1617"/>
      <c r="E35" s="1617"/>
      <c r="F35" s="1617"/>
      <c r="G35" s="1618"/>
      <c r="H35" s="765"/>
      <c r="I35" s="1078"/>
      <c r="J35" s="553"/>
    </row>
    <row r="36" spans="1:10" ht="26.45" customHeight="1" x14ac:dyDescent="0.4">
      <c r="A36" s="1616"/>
      <c r="B36" s="1617"/>
      <c r="C36" s="1617"/>
      <c r="D36" s="1617"/>
      <c r="E36" s="1617"/>
      <c r="F36" s="1617"/>
      <c r="G36" s="1618"/>
      <c r="H36" s="765"/>
      <c r="I36" s="1078"/>
      <c r="J36" s="553"/>
    </row>
    <row r="37" spans="1:10" ht="26.45" customHeight="1" x14ac:dyDescent="0.4">
      <c r="A37" s="1616"/>
      <c r="B37" s="1617"/>
      <c r="C37" s="1617"/>
      <c r="D37" s="1617"/>
      <c r="E37" s="1617"/>
      <c r="F37" s="1617"/>
      <c r="G37" s="1618"/>
      <c r="H37" s="765"/>
      <c r="I37" s="1078"/>
      <c r="J37" s="553"/>
    </row>
    <row r="38" spans="1:10" ht="26.45" customHeight="1" x14ac:dyDescent="0.4">
      <c r="A38" s="1616"/>
      <c r="B38" s="1617"/>
      <c r="C38" s="1617"/>
      <c r="D38" s="1617"/>
      <c r="E38" s="1617"/>
      <c r="F38" s="1617"/>
      <c r="G38" s="1618"/>
      <c r="H38" s="765"/>
      <c r="I38" s="1078"/>
      <c r="J38" s="553"/>
    </row>
    <row r="39" spans="1:10" ht="26.45" customHeight="1" x14ac:dyDescent="0.4">
      <c r="A39" s="1616"/>
      <c r="B39" s="1617"/>
      <c r="C39" s="1617"/>
      <c r="D39" s="1617"/>
      <c r="E39" s="1617"/>
      <c r="F39" s="1617"/>
      <c r="G39" s="1618"/>
      <c r="H39" s="765"/>
      <c r="I39" s="1078"/>
      <c r="J39" s="553"/>
    </row>
    <row r="40" spans="1:10" ht="26.45" customHeight="1" x14ac:dyDescent="0.4">
      <c r="A40" s="1616"/>
      <c r="B40" s="1617"/>
      <c r="C40" s="1617"/>
      <c r="D40" s="1617"/>
      <c r="E40" s="1617"/>
      <c r="F40" s="1617"/>
      <c r="G40" s="1618"/>
      <c r="H40" s="765"/>
      <c r="I40" s="1078"/>
      <c r="J40" s="553"/>
    </row>
    <row r="41" spans="1:10" ht="26.45" customHeight="1" x14ac:dyDescent="0.4">
      <c r="A41" s="1616"/>
      <c r="B41" s="1617"/>
      <c r="C41" s="1617"/>
      <c r="D41" s="1617"/>
      <c r="E41" s="1617"/>
      <c r="F41" s="1617"/>
      <c r="G41" s="1618"/>
      <c r="H41" s="765"/>
      <c r="I41" s="1078"/>
      <c r="J41" s="553"/>
    </row>
    <row r="42" spans="1:10" ht="26.45" customHeight="1" x14ac:dyDescent="0.4">
      <c r="A42" s="1616"/>
      <c r="B42" s="1617"/>
      <c r="C42" s="1617"/>
      <c r="D42" s="1617"/>
      <c r="E42" s="1617"/>
      <c r="F42" s="1617"/>
      <c r="G42" s="1618"/>
      <c r="H42" s="765"/>
      <c r="I42" s="1078"/>
      <c r="J42" s="553"/>
    </row>
    <row r="43" spans="1:10" ht="26.45" customHeight="1" x14ac:dyDescent="0.4">
      <c r="A43" s="1616"/>
      <c r="B43" s="1617"/>
      <c r="C43" s="1617"/>
      <c r="D43" s="1617"/>
      <c r="E43" s="1617"/>
      <c r="F43" s="1617"/>
      <c r="G43" s="1618"/>
      <c r="H43" s="765"/>
      <c r="I43" s="1078"/>
      <c r="J43" s="553"/>
    </row>
    <row r="44" spans="1:10" ht="26.45" customHeight="1" x14ac:dyDescent="0.4">
      <c r="A44" s="1616"/>
      <c r="B44" s="1617"/>
      <c r="C44" s="1617"/>
      <c r="D44" s="1617"/>
      <c r="E44" s="1617"/>
      <c r="F44" s="1617"/>
      <c r="G44" s="1618"/>
      <c r="H44" s="765"/>
      <c r="I44" s="1078"/>
      <c r="J44" s="553"/>
    </row>
    <row r="45" spans="1:10" ht="26.45" customHeight="1" x14ac:dyDescent="0.4">
      <c r="A45" s="1616"/>
      <c r="B45" s="1617"/>
      <c r="C45" s="1617"/>
      <c r="D45" s="1617"/>
      <c r="E45" s="1617"/>
      <c r="F45" s="1617"/>
      <c r="G45" s="1618"/>
      <c r="H45" s="765"/>
      <c r="I45" s="1078"/>
      <c r="J45" s="553"/>
    </row>
    <row r="46" spans="1:10" x14ac:dyDescent="0.2"/>
    <row r="47" spans="1:10" x14ac:dyDescent="0.2"/>
    <row r="48" spans="1:10" hidden="1" x14ac:dyDescent="0.2"/>
    <row r="49" spans="9:9" hidden="1" x14ac:dyDescent="0.2"/>
    <row r="50" spans="9:9" hidden="1" x14ac:dyDescent="0.2"/>
    <row r="51" spans="9:9" hidden="1" x14ac:dyDescent="0.2"/>
    <row r="52" spans="9:9" hidden="1" x14ac:dyDescent="0.2"/>
    <row r="53" spans="9:9" hidden="1" x14ac:dyDescent="0.2"/>
    <row r="54" spans="9:9" hidden="1" x14ac:dyDescent="0.2"/>
    <row r="55" spans="9:9" hidden="1" x14ac:dyDescent="0.2"/>
    <row r="56" spans="9:9" hidden="1" x14ac:dyDescent="0.2"/>
    <row r="57" spans="9:9" hidden="1" x14ac:dyDescent="0.2"/>
    <row r="58" spans="9:9" hidden="1" x14ac:dyDescent="0.2"/>
    <row r="59" spans="9:9" hidden="1" x14ac:dyDescent="0.2"/>
    <row r="60" spans="9:9" hidden="1" x14ac:dyDescent="0.2"/>
    <row r="61" spans="9:9" hidden="1" x14ac:dyDescent="0.2">
      <c r="I61" s="3"/>
    </row>
    <row r="62" spans="9:9" hidden="1" x14ac:dyDescent="0.2">
      <c r="I62" s="3"/>
    </row>
    <row r="63" spans="9:9" hidden="1" x14ac:dyDescent="0.2"/>
    <row r="64" spans="9:9" hidden="1" x14ac:dyDescent="0.2"/>
    <row r="65" spans="9:9" hidden="1" x14ac:dyDescent="0.2"/>
    <row r="66" spans="9:9" hidden="1" x14ac:dyDescent="0.2"/>
    <row r="67" spans="9:9" hidden="1" x14ac:dyDescent="0.2"/>
    <row r="68" spans="9:9" hidden="1" x14ac:dyDescent="0.2"/>
    <row r="69" spans="9:9" hidden="1" x14ac:dyDescent="0.2"/>
    <row r="70" spans="9:9" hidden="1" x14ac:dyDescent="0.2"/>
    <row r="71" spans="9:9" hidden="1" x14ac:dyDescent="0.2">
      <c r="I71" s="3"/>
    </row>
    <row r="72" spans="9:9" hidden="1" x14ac:dyDescent="0.2">
      <c r="I72" s="3"/>
    </row>
    <row r="73" spans="9:9" hidden="1" x14ac:dyDescent="0.2">
      <c r="I73" s="3"/>
    </row>
    <row r="74" spans="9:9" hidden="1" x14ac:dyDescent="0.2"/>
    <row r="75" spans="9:9" hidden="1" x14ac:dyDescent="0.2"/>
    <row r="76" spans="9:9" hidden="1" x14ac:dyDescent="0.2"/>
    <row r="77" spans="9:9" hidden="1" x14ac:dyDescent="0.2"/>
    <row r="78" spans="9:9" hidden="1" x14ac:dyDescent="0.2"/>
    <row r="79" spans="9:9" hidden="1" x14ac:dyDescent="0.2"/>
    <row r="80" spans="9:9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</sheetData>
  <customSheetViews>
    <customSheetView guid="{CF822260-65C0-11DB-9743-000854DFF85C}" scale="50" showRuler="0" topLeftCell="K25">
      <selection activeCell="N44" sqref="N44"/>
      <pageMargins left="0.39370078740157483" right="0.39370078740157483" top="0.19685039370078741" bottom="0.19685039370078741" header="0" footer="0"/>
      <pageSetup scale="43" orientation="landscape" horizontalDpi="300" verticalDpi="300" r:id="rId1"/>
      <headerFooter alignWithMargins="0"/>
    </customSheetView>
    <customSheetView guid="{15A61C62-840D-11DA-A6CD-BDC37E227F7F}" scale="50" showRuler="0" topLeftCell="K25">
      <selection activeCell="N44" sqref="N44"/>
      <pageMargins left="0.39370078740157483" right="0.39370078740157483" top="0.19685039370078741" bottom="0.19685039370078741" header="0" footer="0"/>
      <pageSetup scale="43" orientation="landscape" horizontalDpi="300" verticalDpi="300" r:id="rId2"/>
      <headerFooter alignWithMargins="0"/>
    </customSheetView>
    <customSheetView guid="{0083E5B0-44AE-40B5-9617-6484D451C028}" scale="50" showPageBreaks="1" showRuler="0" topLeftCell="K25">
      <selection activeCell="M42" sqref="M42"/>
      <pageMargins left="0.39370078740157483" right="0.39370078740157483" top="0.19685039370078741" bottom="0.19685039370078741" header="0" footer="0"/>
      <pageSetup scale="43" orientation="landscape" horizontalDpi="300" verticalDpi="300" r:id="rId3"/>
      <headerFooter alignWithMargins="0"/>
    </customSheetView>
    <customSheetView guid="{781ED8A8-51CE-4197-9E83-B42C8B1C8CEA}" scale="50" showRuler="0" topLeftCell="K25">
      <selection activeCell="S29" sqref="S29"/>
      <pageMargins left="0.39370078740157483" right="0.39370078740157483" top="0.19685039370078741" bottom="0.19685039370078741" header="0" footer="0"/>
      <pageSetup scale="43" orientation="landscape" horizontalDpi="300" verticalDpi="300" r:id="rId4"/>
      <headerFooter alignWithMargins="0"/>
    </customSheetView>
  </customSheetViews>
  <mergeCells count="62">
    <mergeCell ref="A32:G32"/>
    <mergeCell ref="A35:G35"/>
    <mergeCell ref="A33:G33"/>
    <mergeCell ref="A34:G34"/>
    <mergeCell ref="A22:G22"/>
    <mergeCell ref="A31:G31"/>
    <mergeCell ref="A26:G26"/>
    <mergeCell ref="A27:G27"/>
    <mergeCell ref="A28:G28"/>
    <mergeCell ref="A24:G24"/>
    <mergeCell ref="A25:G25"/>
    <mergeCell ref="A29:G29"/>
    <mergeCell ref="A30:G30"/>
    <mergeCell ref="A20:G20"/>
    <mergeCell ref="A21:G21"/>
    <mergeCell ref="A23:G23"/>
    <mergeCell ref="A19:G19"/>
    <mergeCell ref="A17:G17"/>
    <mergeCell ref="A18:G18"/>
    <mergeCell ref="A16:G16"/>
    <mergeCell ref="A9:G9"/>
    <mergeCell ref="A15:G15"/>
    <mergeCell ref="I1:J1"/>
    <mergeCell ref="P9:Q9"/>
    <mergeCell ref="L9:M9"/>
    <mergeCell ref="N9:O9"/>
    <mergeCell ref="N8:O8"/>
    <mergeCell ref="L8:M8"/>
    <mergeCell ref="F2:I2"/>
    <mergeCell ref="A6:G6"/>
    <mergeCell ref="A7:G7"/>
    <mergeCell ref="N6:O6"/>
    <mergeCell ref="L10:Q10"/>
    <mergeCell ref="L7:M7"/>
    <mergeCell ref="A14:G14"/>
    <mergeCell ref="A12:G12"/>
    <mergeCell ref="A13:G13"/>
    <mergeCell ref="A11:G11"/>
    <mergeCell ref="A10:G10"/>
    <mergeCell ref="A8:G8"/>
    <mergeCell ref="D2:E2"/>
    <mergeCell ref="A5:G5"/>
    <mergeCell ref="A4:I4"/>
    <mergeCell ref="P8:Q8"/>
    <mergeCell ref="N5:O5"/>
    <mergeCell ref="L6:M6"/>
    <mergeCell ref="N7:O7"/>
    <mergeCell ref="L4:Q4"/>
    <mergeCell ref="P7:Q7"/>
    <mergeCell ref="L5:M5"/>
    <mergeCell ref="P5:Q5"/>
    <mergeCell ref="P6:Q6"/>
    <mergeCell ref="A45:G45"/>
    <mergeCell ref="A36:G36"/>
    <mergeCell ref="A37:G37"/>
    <mergeCell ref="A38:G38"/>
    <mergeCell ref="A39:G39"/>
    <mergeCell ref="A40:G40"/>
    <mergeCell ref="A41:G41"/>
    <mergeCell ref="A42:G42"/>
    <mergeCell ref="A43:G43"/>
    <mergeCell ref="A44:G44"/>
  </mergeCells>
  <phoneticPr fontId="0" type="noConversion"/>
  <dataValidations count="1">
    <dataValidation type="textLength" operator="equal" allowBlank="1" showInputMessage="1" showErrorMessage="1" errorTitle="ERROR" error="INGRESAR DATOS EN HOJA 5" promptTitle="NOTA" prompt="INTRODUCIR EN HOJA 5" sqref="H1:J1 F2:N2">
      <formula1>0</formula1>
    </dataValidation>
  </dataValidations>
  <printOptions horizontalCentered="1" verticalCentered="1"/>
  <pageMargins left="0.15748031496062992" right="0.19685039370078741" top="0.23622047244094491" bottom="0.27559055118110237" header="0" footer="0"/>
  <pageSetup paperSize="9" scale="39" orientation="landscape" r:id="rId5"/>
  <headerFooter alignWithMargins="0">
    <oddFooter>&amp;L&amp;A&amp;C&amp;"Arial,Negrita"FAMOC DEPANEL Confidencial&amp;RPágina &amp;P</oddFooter>
  </headerFooter>
  <drawing r:id="rId6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AQ327"/>
  <sheetViews>
    <sheetView topLeftCell="A4" zoomScale="70" workbookViewId="0">
      <selection activeCell="I42" sqref="I42"/>
    </sheetView>
  </sheetViews>
  <sheetFormatPr baseColWidth="10" defaultRowHeight="15" x14ac:dyDescent="0.2"/>
  <cols>
    <col min="1" max="1" width="31.140625" style="593" customWidth="1"/>
    <col min="2" max="2" width="11" style="593" customWidth="1"/>
    <col min="3" max="3" width="11.42578125" style="593"/>
    <col min="4" max="4" width="36.42578125" style="593" customWidth="1"/>
    <col min="5" max="5" width="11.140625" style="593" customWidth="1"/>
    <col min="6" max="6" width="11.42578125" style="593"/>
    <col min="7" max="7" width="22" style="593" customWidth="1"/>
    <col min="8" max="8" width="10.5703125" style="593" customWidth="1"/>
    <col min="9" max="9" width="11.42578125" style="593"/>
    <col min="10" max="10" width="23.28515625" style="593" bestFit="1" customWidth="1"/>
    <col min="11" max="11" width="11.85546875" style="593" customWidth="1"/>
    <col min="12" max="12" width="11.42578125" style="593"/>
    <col min="13" max="13" width="28.140625" style="593" customWidth="1"/>
    <col min="14" max="34" width="11.42578125" style="593"/>
    <col min="35" max="35" width="24.42578125" style="593" customWidth="1"/>
    <col min="36" max="16384" width="11.42578125" style="593"/>
  </cols>
  <sheetData>
    <row r="1" spans="1:43" ht="25.5" x14ac:dyDescent="0.35">
      <c r="A1" s="1631" t="s">
        <v>562</v>
      </c>
      <c r="B1" s="1631"/>
      <c r="C1" s="1631"/>
      <c r="D1" s="1631"/>
      <c r="E1" s="1631"/>
      <c r="F1" s="1631"/>
      <c r="G1" s="1631"/>
      <c r="H1" s="1631"/>
      <c r="I1" s="1631"/>
      <c r="J1" s="1631"/>
      <c r="K1" s="1631"/>
      <c r="L1" s="1631"/>
      <c r="M1" s="1631"/>
      <c r="N1" s="1631"/>
      <c r="O1" s="820"/>
      <c r="P1" s="820"/>
      <c r="Q1" s="820"/>
      <c r="R1" s="820"/>
      <c r="S1" s="820"/>
      <c r="T1" s="820"/>
      <c r="U1" s="820"/>
      <c r="V1" s="820"/>
      <c r="W1" s="820"/>
      <c r="X1" s="820"/>
      <c r="Y1" s="820"/>
      <c r="Z1" s="820"/>
      <c r="AA1" s="820"/>
      <c r="AB1" s="820"/>
      <c r="AC1" s="820"/>
      <c r="AD1" s="820"/>
      <c r="AE1" s="820"/>
      <c r="AF1" s="820"/>
      <c r="AH1" s="593" t="s">
        <v>408</v>
      </c>
      <c r="AQ1" s="593" t="s">
        <v>409</v>
      </c>
    </row>
    <row r="2" spans="1:43" x14ac:dyDescent="0.2">
      <c r="A2" s="820"/>
      <c r="B2" s="820"/>
      <c r="C2" s="820"/>
      <c r="D2" s="820"/>
      <c r="E2" s="820"/>
      <c r="F2" s="820"/>
      <c r="G2" s="820"/>
      <c r="H2" s="820"/>
      <c r="I2" s="820"/>
      <c r="J2" s="820"/>
      <c r="K2" s="820"/>
      <c r="L2" s="820"/>
      <c r="M2" s="820"/>
      <c r="N2" s="820"/>
      <c r="O2" s="820"/>
      <c r="P2" s="820"/>
      <c r="Q2" s="820"/>
      <c r="R2" s="820"/>
      <c r="S2" s="820"/>
      <c r="T2" s="820"/>
      <c r="U2" s="820"/>
      <c r="V2" s="820"/>
      <c r="W2" s="820"/>
      <c r="X2" s="820"/>
      <c r="Y2" s="820"/>
      <c r="Z2" s="820"/>
      <c r="AA2" s="820"/>
      <c r="AB2" s="820"/>
      <c r="AC2" s="820"/>
      <c r="AD2" s="820"/>
      <c r="AE2" s="820"/>
      <c r="AF2" s="820"/>
    </row>
    <row r="3" spans="1:43" ht="15.75" x14ac:dyDescent="0.25">
      <c r="A3" s="1632" t="s">
        <v>292</v>
      </c>
      <c r="B3" s="1632"/>
      <c r="C3" s="820"/>
      <c r="D3" s="819"/>
      <c r="E3" s="819"/>
      <c r="F3" s="820"/>
      <c r="G3" s="1632" t="s">
        <v>410</v>
      </c>
      <c r="H3" s="1632"/>
      <c r="I3" s="820"/>
      <c r="J3" s="1632" t="s">
        <v>48</v>
      </c>
      <c r="K3" s="1632"/>
      <c r="L3" s="820"/>
      <c r="M3" s="1630" t="s">
        <v>411</v>
      </c>
      <c r="N3" s="1630"/>
      <c r="O3" s="820"/>
      <c r="P3" s="820"/>
      <c r="Q3" s="820"/>
      <c r="R3" s="820"/>
      <c r="S3" s="820"/>
      <c r="T3" s="820"/>
      <c r="U3" s="820"/>
      <c r="V3" s="820"/>
      <c r="W3" s="820"/>
      <c r="X3" s="820"/>
      <c r="Y3" s="820"/>
      <c r="Z3" s="820"/>
      <c r="AA3" s="820"/>
      <c r="AB3" s="820"/>
      <c r="AC3" s="820"/>
      <c r="AD3" s="820"/>
      <c r="AE3" s="820"/>
      <c r="AF3" s="820"/>
      <c r="AI3" s="594"/>
      <c r="AJ3" s="595">
        <f>+Cant.!N13</f>
        <v>1</v>
      </c>
      <c r="AK3" s="596"/>
      <c r="AL3" s="596"/>
      <c r="AM3" s="596"/>
      <c r="AN3" s="596"/>
      <c r="AO3" s="596"/>
      <c r="AP3" s="596"/>
      <c r="AQ3" s="596"/>
    </row>
    <row r="4" spans="1:43" ht="15.75" x14ac:dyDescent="0.25">
      <c r="A4" s="597" t="s">
        <v>1</v>
      </c>
      <c r="B4" s="597" t="s">
        <v>2</v>
      </c>
      <c r="C4" s="819"/>
      <c r="D4" s="1632" t="s">
        <v>258</v>
      </c>
      <c r="E4" s="1632"/>
      <c r="F4" s="819"/>
      <c r="G4" s="597" t="s">
        <v>1</v>
      </c>
      <c r="H4" s="597" t="s">
        <v>2</v>
      </c>
      <c r="I4" s="819"/>
      <c r="J4" s="597" t="s">
        <v>1</v>
      </c>
      <c r="K4" s="597" t="s">
        <v>2</v>
      </c>
      <c r="L4" s="819"/>
      <c r="M4" s="597" t="s">
        <v>1</v>
      </c>
      <c r="N4" s="597" t="s">
        <v>2</v>
      </c>
      <c r="O4" s="819"/>
      <c r="P4" s="819"/>
      <c r="Q4" s="819"/>
      <c r="R4" s="819"/>
      <c r="S4" s="819"/>
      <c r="T4" s="819"/>
      <c r="U4" s="820"/>
      <c r="V4" s="820"/>
      <c r="W4" s="820"/>
      <c r="X4" s="820"/>
      <c r="Y4" s="820"/>
      <c r="Z4" s="820"/>
      <c r="AA4" s="820"/>
      <c r="AB4" s="820"/>
      <c r="AC4" s="820"/>
      <c r="AD4" s="820"/>
      <c r="AE4" s="820"/>
      <c r="AF4" s="820"/>
      <c r="AI4" s="594"/>
      <c r="AJ4" s="598"/>
      <c r="AK4" s="599"/>
      <c r="AL4" s="599"/>
      <c r="AM4" s="599"/>
      <c r="AN4" s="599"/>
      <c r="AO4" s="599"/>
      <c r="AP4" s="599"/>
      <c r="AQ4" s="599"/>
    </row>
    <row r="5" spans="1:43" x14ac:dyDescent="0.2">
      <c r="A5" s="600" t="s">
        <v>293</v>
      </c>
      <c r="B5" s="601">
        <f>+'5 ALMACEN '!U13</f>
        <v>0</v>
      </c>
      <c r="C5" s="819"/>
      <c r="D5" s="597" t="s">
        <v>1</v>
      </c>
      <c r="E5" s="597" t="s">
        <v>2</v>
      </c>
      <c r="F5" s="819"/>
      <c r="G5" s="600" t="s">
        <v>49</v>
      </c>
      <c r="H5" s="601">
        <f>+'5 ALMACEN '!B17+'5 ALMACEN '!C17</f>
        <v>0</v>
      </c>
      <c r="I5" s="819"/>
      <c r="J5" s="600" t="s">
        <v>412</v>
      </c>
      <c r="K5" s="601">
        <f>+'5 ALMACEN '!U37</f>
        <v>0</v>
      </c>
      <c r="L5" s="819"/>
      <c r="M5" s="602" t="s">
        <v>413</v>
      </c>
      <c r="N5" s="601"/>
      <c r="O5" s="819"/>
      <c r="P5" s="819"/>
      <c r="Q5" s="819"/>
      <c r="R5" s="819"/>
      <c r="S5" s="819"/>
      <c r="T5" s="819"/>
      <c r="U5" s="820"/>
      <c r="V5" s="820"/>
      <c r="W5" s="820"/>
      <c r="X5" s="820"/>
      <c r="Y5" s="820"/>
      <c r="Z5" s="820"/>
      <c r="AA5" s="820"/>
      <c r="AB5" s="820"/>
      <c r="AC5" s="820"/>
      <c r="AD5" s="820"/>
      <c r="AE5" s="820"/>
      <c r="AF5" s="820"/>
      <c r="AI5" s="594" t="s">
        <v>414</v>
      </c>
      <c r="AJ5" s="603">
        <f>IF(AJ3&gt;0,1,0)</f>
        <v>1</v>
      </c>
      <c r="AK5" s="596"/>
      <c r="AL5" s="596"/>
      <c r="AM5" s="596"/>
      <c r="AN5" s="596"/>
      <c r="AO5" s="596"/>
      <c r="AP5" s="596"/>
      <c r="AQ5" s="596"/>
    </row>
    <row r="6" spans="1:43" ht="15.75" x14ac:dyDescent="0.25">
      <c r="A6" s="600" t="s">
        <v>294</v>
      </c>
      <c r="B6" s="601">
        <f>+'5 ALMACEN '!U12</f>
        <v>0</v>
      </c>
      <c r="C6" s="819"/>
      <c r="D6" s="607" t="s">
        <v>324</v>
      </c>
      <c r="E6" s="601">
        <f>+'5 ALMACEN '!F22</f>
        <v>0</v>
      </c>
      <c r="F6" s="819"/>
      <c r="G6" s="600" t="s">
        <v>334</v>
      </c>
      <c r="H6" s="601">
        <f>+'5 ALMACEN '!B18+'5 ALMACEN '!C18</f>
        <v>0</v>
      </c>
      <c r="I6" s="819"/>
      <c r="J6" s="600" t="s">
        <v>415</v>
      </c>
      <c r="K6" s="601"/>
      <c r="L6" s="819"/>
      <c r="M6" s="602" t="s">
        <v>416</v>
      </c>
      <c r="N6" s="601">
        <f>+K5*5</f>
        <v>0</v>
      </c>
      <c r="O6" s="819"/>
      <c r="P6" s="819"/>
      <c r="Q6" s="819"/>
      <c r="R6" s="819"/>
      <c r="S6" s="819"/>
      <c r="T6" s="819"/>
      <c r="U6" s="820"/>
      <c r="V6" s="820"/>
      <c r="W6" s="820"/>
      <c r="X6" s="820"/>
      <c r="Y6" s="820"/>
      <c r="Z6" s="820"/>
      <c r="AA6" s="820"/>
      <c r="AB6" s="820"/>
      <c r="AC6" s="820"/>
      <c r="AD6" s="820"/>
      <c r="AE6" s="820"/>
      <c r="AF6" s="820"/>
      <c r="AI6" s="594"/>
      <c r="AJ6" s="595"/>
      <c r="AK6" s="604"/>
      <c r="AL6" s="604"/>
      <c r="AM6" s="604"/>
      <c r="AN6" s="604"/>
      <c r="AO6" s="604"/>
      <c r="AP6" s="604"/>
      <c r="AQ6" s="604"/>
    </row>
    <row r="7" spans="1:43" ht="15.75" x14ac:dyDescent="0.25">
      <c r="A7" s="600" t="s">
        <v>295</v>
      </c>
      <c r="B7" s="601">
        <f>+'5 ALMACEN '!U14</f>
        <v>0</v>
      </c>
      <c r="C7" s="819"/>
      <c r="D7" s="607" t="s">
        <v>29</v>
      </c>
      <c r="E7" s="601">
        <f>+'5 ALMACEN '!F20</f>
        <v>0</v>
      </c>
      <c r="F7" s="819"/>
      <c r="G7" s="600" t="s">
        <v>335</v>
      </c>
      <c r="H7" s="601">
        <f>+'5 ALMACEN '!B15+'5 ALMACEN '!C15</f>
        <v>0</v>
      </c>
      <c r="I7" s="819"/>
      <c r="J7" s="600" t="s">
        <v>79</v>
      </c>
      <c r="K7" s="601">
        <f>+'5 ALMACEN '!U35</f>
        <v>0</v>
      </c>
      <c r="L7" s="819"/>
      <c r="M7" s="602" t="s">
        <v>417</v>
      </c>
      <c r="N7" s="601">
        <f>+K27+K28+K29+K30</f>
        <v>0</v>
      </c>
      <c r="O7" s="819"/>
      <c r="P7" s="819"/>
      <c r="Q7" s="819"/>
      <c r="R7" s="819"/>
      <c r="S7" s="819"/>
      <c r="T7" s="819"/>
      <c r="U7" s="820"/>
      <c r="V7" s="820"/>
      <c r="W7" s="820"/>
      <c r="X7" s="820"/>
      <c r="Y7" s="820"/>
      <c r="Z7" s="820"/>
      <c r="AA7" s="820"/>
      <c r="AB7" s="820"/>
      <c r="AC7" s="820"/>
      <c r="AD7" s="820"/>
      <c r="AE7" s="820"/>
      <c r="AF7" s="820"/>
      <c r="AI7" s="594"/>
      <c r="AJ7" s="604" t="s">
        <v>418</v>
      </c>
      <c r="AK7" s="604"/>
      <c r="AL7" s="604"/>
      <c r="AM7" s="604"/>
      <c r="AN7" s="604"/>
      <c r="AO7" s="604"/>
      <c r="AP7" s="604"/>
      <c r="AQ7" s="604"/>
    </row>
    <row r="8" spans="1:43" x14ac:dyDescent="0.2">
      <c r="A8" s="605" t="s">
        <v>296</v>
      </c>
      <c r="B8" s="606">
        <f>+'5 ALMACEN '!U15</f>
        <v>0</v>
      </c>
      <c r="C8" s="819"/>
      <c r="D8" s="607" t="s">
        <v>325</v>
      </c>
      <c r="E8" s="601"/>
      <c r="F8" s="819"/>
      <c r="G8" s="607" t="s">
        <v>336</v>
      </c>
      <c r="H8" s="601">
        <f>+'5 ALMACEN '!B16+'5 ALMACEN '!C16</f>
        <v>0</v>
      </c>
      <c r="I8" s="819"/>
      <c r="J8" s="607" t="s">
        <v>355</v>
      </c>
      <c r="K8" s="601"/>
      <c r="L8" s="819"/>
      <c r="M8" s="602" t="s">
        <v>419</v>
      </c>
      <c r="N8" s="601">
        <f>+K28+K29+K30+K27</f>
        <v>0</v>
      </c>
      <c r="O8" s="819"/>
      <c r="P8" s="819"/>
      <c r="Q8" s="819"/>
      <c r="R8" s="819"/>
      <c r="S8" s="819"/>
      <c r="T8" s="819"/>
      <c r="U8" s="820"/>
      <c r="V8" s="820"/>
      <c r="W8" s="820"/>
      <c r="X8" s="820"/>
      <c r="Y8" s="820"/>
      <c r="Z8" s="820"/>
      <c r="AA8" s="820"/>
      <c r="AB8" s="820"/>
      <c r="AC8" s="820"/>
      <c r="AD8" s="820"/>
      <c r="AE8" s="820"/>
      <c r="AF8" s="820"/>
      <c r="AI8" s="608" t="s">
        <v>105</v>
      </c>
      <c r="AJ8" s="609">
        <v>0.28000000000000003</v>
      </c>
      <c r="AK8" s="609">
        <v>0.56000000000000005</v>
      </c>
      <c r="AL8" s="609">
        <v>0.7</v>
      </c>
      <c r="AM8" s="609">
        <v>0.84</v>
      </c>
      <c r="AN8" s="610">
        <v>1.1200000000000001</v>
      </c>
      <c r="AO8" s="609">
        <v>1.4</v>
      </c>
      <c r="AP8" s="609" t="s">
        <v>420</v>
      </c>
      <c r="AQ8" s="84"/>
    </row>
    <row r="9" spans="1:43" x14ac:dyDescent="0.2">
      <c r="A9" s="821"/>
      <c r="B9" s="821"/>
      <c r="C9" s="819"/>
      <c r="D9" s="607" t="s">
        <v>799</v>
      </c>
      <c r="E9" s="601">
        <f>+'5 ALMACEN '!R24</f>
        <v>0</v>
      </c>
      <c r="F9" s="819"/>
      <c r="G9" s="607" t="s">
        <v>337</v>
      </c>
      <c r="H9" s="601">
        <f>+'5 ALMACEN '!B8+'5 ALMACEN '!C8</f>
        <v>0</v>
      </c>
      <c r="I9" s="819"/>
      <c r="J9" s="819"/>
      <c r="K9" s="819"/>
      <c r="L9" s="819"/>
      <c r="M9" s="602" t="s">
        <v>421</v>
      </c>
      <c r="N9" s="601">
        <f>+($K$27+$K$28+$K$29+$K$30)*4</f>
        <v>0</v>
      </c>
      <c r="O9" s="819"/>
      <c r="P9" s="819"/>
      <c r="Q9" s="819"/>
      <c r="R9" s="819"/>
      <c r="S9" s="819"/>
      <c r="T9" s="819"/>
      <c r="U9" s="820"/>
      <c r="V9" s="820"/>
      <c r="W9" s="820"/>
      <c r="X9" s="820"/>
      <c r="Y9" s="820"/>
      <c r="Z9" s="820"/>
      <c r="AA9" s="820"/>
      <c r="AB9" s="820"/>
      <c r="AC9" s="820"/>
      <c r="AD9" s="820"/>
      <c r="AE9" s="820"/>
      <c r="AF9" s="820"/>
      <c r="AI9" s="609" t="s">
        <v>422</v>
      </c>
      <c r="AJ9" s="603">
        <f>SUM(P.T.Nueva!B9)</f>
        <v>0</v>
      </c>
      <c r="AK9" s="603">
        <f>SUM(P.T.Nueva!C9)</f>
        <v>0</v>
      </c>
      <c r="AL9" s="603">
        <f>SUM(P.T.Nueva!D9)</f>
        <v>0</v>
      </c>
      <c r="AM9" s="603">
        <f>SUM(P.T.Nueva!E9)</f>
        <v>0</v>
      </c>
      <c r="AN9" s="603">
        <f>SUM(P.T.Nueva!F9)</f>
        <v>0</v>
      </c>
      <c r="AO9" s="603">
        <f>SUM(P.T.Nueva!G9)</f>
        <v>0</v>
      </c>
      <c r="AP9" s="603">
        <f>SUM(P.T.Nueva!H9)</f>
        <v>0</v>
      </c>
      <c r="AQ9" s="84"/>
    </row>
    <row r="10" spans="1:43" ht="15.75" x14ac:dyDescent="0.25">
      <c r="A10" s="1630" t="s">
        <v>297</v>
      </c>
      <c r="B10" s="1630"/>
      <c r="C10" s="819"/>
      <c r="D10" s="607" t="s">
        <v>326</v>
      </c>
      <c r="E10" s="601"/>
      <c r="F10" s="819"/>
      <c r="G10" s="607" t="s">
        <v>338</v>
      </c>
      <c r="H10" s="601">
        <f>+'5 ALMACEN '!B7+'5 ALMACEN '!C7</f>
        <v>0</v>
      </c>
      <c r="I10" s="819"/>
      <c r="J10" s="1632" t="s">
        <v>32</v>
      </c>
      <c r="K10" s="1632"/>
      <c r="L10" s="819"/>
      <c r="M10" s="602" t="s">
        <v>423</v>
      </c>
      <c r="N10" s="601">
        <f>+($K$27+$K$28+$K$29+$K$30)*4</f>
        <v>0</v>
      </c>
      <c r="O10" s="819"/>
      <c r="P10" s="819"/>
      <c r="Q10" s="819"/>
      <c r="R10" s="819"/>
      <c r="S10" s="819"/>
      <c r="T10" s="819"/>
      <c r="U10" s="820"/>
      <c r="V10" s="820"/>
      <c r="W10" s="820"/>
      <c r="X10" s="820"/>
      <c r="Y10" s="820"/>
      <c r="Z10" s="820"/>
      <c r="AA10" s="820"/>
      <c r="AB10" s="820"/>
      <c r="AC10" s="820"/>
      <c r="AD10" s="820"/>
      <c r="AE10" s="820"/>
      <c r="AF10" s="820"/>
      <c r="AI10" s="609" t="s">
        <v>424</v>
      </c>
      <c r="AJ10" s="603">
        <f>SUM(P.T.Nueva!B10)</f>
        <v>0</v>
      </c>
      <c r="AK10" s="603">
        <f>SUM(P.T.Nueva!C10)</f>
        <v>0</v>
      </c>
      <c r="AL10" s="603">
        <f>SUM(P.T.Nueva!D10)</f>
        <v>0</v>
      </c>
      <c r="AM10" s="603">
        <f>SUM(P.T.Nueva!E10)</f>
        <v>0</v>
      </c>
      <c r="AN10" s="603">
        <f>SUM(P.T.Nueva!F10)</f>
        <v>0</v>
      </c>
      <c r="AO10" s="603">
        <f>SUM(P.T.Nueva!G10)</f>
        <v>0</v>
      </c>
      <c r="AP10" s="603">
        <f>SUM(P.T.Nueva!H10)</f>
        <v>0</v>
      </c>
      <c r="AQ10" s="84"/>
    </row>
    <row r="11" spans="1:43" x14ac:dyDescent="0.2">
      <c r="A11" s="597" t="s">
        <v>1</v>
      </c>
      <c r="B11" s="597" t="s">
        <v>2</v>
      </c>
      <c r="C11" s="819"/>
      <c r="D11" s="607" t="s">
        <v>327</v>
      </c>
      <c r="E11" s="601">
        <f>+'5 ALMACEN '!F24</f>
        <v>0</v>
      </c>
      <c r="F11" s="819"/>
      <c r="G11" s="607" t="s">
        <v>339</v>
      </c>
      <c r="H11" s="601">
        <f>+'5 ALMACEN '!B9+'5 ALMACEN '!C9</f>
        <v>0</v>
      </c>
      <c r="I11" s="819"/>
      <c r="J11" s="597" t="s">
        <v>1</v>
      </c>
      <c r="K11" s="597" t="s">
        <v>2</v>
      </c>
      <c r="L11" s="819"/>
      <c r="M11" s="602" t="s">
        <v>425</v>
      </c>
      <c r="N11" s="601">
        <f>+($K$27+$K$28+$K$29+$K$30)*4</f>
        <v>0</v>
      </c>
      <c r="O11" s="819"/>
      <c r="P11" s="819"/>
      <c r="Q11" s="819"/>
      <c r="R11" s="819"/>
      <c r="S11" s="819"/>
      <c r="T11" s="819"/>
      <c r="U11" s="820"/>
      <c r="V11" s="820"/>
      <c r="W11" s="820"/>
      <c r="X11" s="820"/>
      <c r="Y11" s="820"/>
      <c r="Z11" s="820"/>
      <c r="AA11" s="820"/>
      <c r="AB11" s="820"/>
      <c r="AC11" s="820"/>
      <c r="AD11" s="820"/>
      <c r="AE11" s="820"/>
      <c r="AF11" s="820"/>
      <c r="AI11" s="609" t="s">
        <v>426</v>
      </c>
      <c r="AJ11" s="603">
        <f>SUM(P.T.Nueva!B11)</f>
        <v>0</v>
      </c>
      <c r="AK11" s="603">
        <f>SUM(P.T.Nueva!C11)</f>
        <v>0</v>
      </c>
      <c r="AL11" s="603">
        <f>SUM(P.T.Nueva!D11)</f>
        <v>0</v>
      </c>
      <c r="AM11" s="603">
        <f>SUM(P.T.Nueva!E11)</f>
        <v>0</v>
      </c>
      <c r="AN11" s="603">
        <f>SUM(P.T.Nueva!F11)</f>
        <v>0</v>
      </c>
      <c r="AO11" s="603">
        <f>SUM(P.T.Nueva!G11)</f>
        <v>0</v>
      </c>
      <c r="AP11" s="603">
        <f>SUM(P.T.Nueva!H11)</f>
        <v>0</v>
      </c>
      <c r="AQ11" s="84"/>
    </row>
    <row r="12" spans="1:43" x14ac:dyDescent="0.2">
      <c r="A12" s="607" t="s">
        <v>298</v>
      </c>
      <c r="B12" s="601">
        <f>+(H6*3)+(K23+K24+K25+K26)*3</f>
        <v>0</v>
      </c>
      <c r="C12" s="819"/>
      <c r="D12" s="607" t="s">
        <v>80</v>
      </c>
      <c r="E12" s="601">
        <f>+'5 ALMACEN '!F25</f>
        <v>0</v>
      </c>
      <c r="F12" s="819"/>
      <c r="G12" s="607" t="s">
        <v>340</v>
      </c>
      <c r="H12" s="601">
        <f>+'5 ALMACEN '!B10+'5 ALMACEN '!C10</f>
        <v>0</v>
      </c>
      <c r="I12" s="819"/>
      <c r="J12" s="607" t="s">
        <v>427</v>
      </c>
      <c r="K12" s="601">
        <f>+'5 ALMACEN '!R33</f>
        <v>0</v>
      </c>
      <c r="L12" s="819"/>
      <c r="M12" s="602" t="s">
        <v>428</v>
      </c>
      <c r="N12" s="601">
        <f>+($K$27+$K$28+$K$29+$K$30)*4</f>
        <v>0</v>
      </c>
      <c r="O12" s="819"/>
      <c r="P12" s="819"/>
      <c r="Q12" s="819"/>
      <c r="R12" s="819"/>
      <c r="S12" s="819"/>
      <c r="T12" s="819"/>
      <c r="U12" s="820"/>
      <c r="V12" s="820"/>
      <c r="W12" s="820"/>
      <c r="X12" s="820"/>
      <c r="Y12" s="820"/>
      <c r="Z12" s="820"/>
      <c r="AA12" s="820"/>
      <c r="AB12" s="820"/>
      <c r="AC12" s="820"/>
      <c r="AD12" s="820"/>
      <c r="AE12" s="820"/>
      <c r="AF12" s="820"/>
      <c r="AI12" s="609" t="s">
        <v>429</v>
      </c>
      <c r="AJ12" s="603">
        <f>SUM(P.T.Nueva!B12)</f>
        <v>0</v>
      </c>
      <c r="AK12" s="603">
        <f>SUM(P.T.Nueva!C12)</f>
        <v>0</v>
      </c>
      <c r="AL12" s="603">
        <f>SUM(P.T.Nueva!D12)</f>
        <v>0</v>
      </c>
      <c r="AM12" s="603">
        <f>SUM(P.T.Nueva!E12)</f>
        <v>0</v>
      </c>
      <c r="AN12" s="603">
        <f>SUM(P.T.Nueva!F12)</f>
        <v>0</v>
      </c>
      <c r="AO12" s="603">
        <f>SUM(P.T.Nueva!G12)</f>
        <v>0</v>
      </c>
      <c r="AP12" s="611">
        <v>0</v>
      </c>
      <c r="AQ12" s="84"/>
    </row>
    <row r="13" spans="1:43" x14ac:dyDescent="0.2">
      <c r="A13" s="607" t="s">
        <v>299</v>
      </c>
      <c r="B13" s="601"/>
      <c r="C13" s="819"/>
      <c r="D13" s="607" t="str">
        <f>+'5 ALMACEN '!E16</f>
        <v>FALDA MET. PERFOR. DE 26 X 60</v>
      </c>
      <c r="E13" s="601">
        <f>+'5 ALMACEN '!F16</f>
        <v>0</v>
      </c>
      <c r="F13" s="819"/>
      <c r="G13" s="607" t="s">
        <v>341</v>
      </c>
      <c r="H13" s="601">
        <f>+'5 ALMACEN '!B11+'5 ALMACEN '!C11</f>
        <v>0</v>
      </c>
      <c r="I13" s="819"/>
      <c r="J13" s="607" t="s">
        <v>356</v>
      </c>
      <c r="K13" s="601">
        <f>+'5 ALMACEN '!R32</f>
        <v>0</v>
      </c>
      <c r="L13" s="819"/>
      <c r="M13" s="602" t="s">
        <v>430</v>
      </c>
      <c r="N13" s="601">
        <f>+($K$27+$K$28+$K$29+$K$30)*6</f>
        <v>0</v>
      </c>
      <c r="O13" s="819"/>
      <c r="P13" s="819"/>
      <c r="Q13" s="819"/>
      <c r="R13" s="819"/>
      <c r="S13" s="819"/>
      <c r="T13" s="819"/>
      <c r="U13" s="820"/>
      <c r="V13" s="820"/>
      <c r="W13" s="820"/>
      <c r="X13" s="820"/>
      <c r="Y13" s="820"/>
      <c r="Z13" s="820"/>
      <c r="AA13" s="820"/>
      <c r="AB13" s="820"/>
      <c r="AC13" s="820"/>
      <c r="AD13" s="820"/>
      <c r="AE13" s="820"/>
      <c r="AF13" s="820"/>
      <c r="AI13" s="609" t="s">
        <v>431</v>
      </c>
      <c r="AJ13" s="611">
        <v>0</v>
      </c>
      <c r="AK13" s="611">
        <v>0</v>
      </c>
      <c r="AL13" s="611">
        <v>0</v>
      </c>
      <c r="AM13" s="603">
        <f>SUM(P.T.Nueva!E13)</f>
        <v>0</v>
      </c>
      <c r="AN13" s="611">
        <v>0</v>
      </c>
      <c r="AO13" s="611">
        <v>0</v>
      </c>
      <c r="AP13" s="611">
        <v>0</v>
      </c>
      <c r="AQ13" s="84"/>
    </row>
    <row r="14" spans="1:43" x14ac:dyDescent="0.2">
      <c r="A14" s="607" t="s">
        <v>432</v>
      </c>
      <c r="B14" s="601">
        <f>+(H5+H6+H7+H8+H9+H10+H11+H12+H13+H14+H15)*3+H16*6+(K12+K13+K14+K16+H35+H36)*6+K15*8+(B26+B28+B29+B30+B31+B33+B34+B36+B37+B38+B39+B40+B41)*3+(E9+E19+E20+E21)*8+(E24+E25)*4</f>
        <v>0</v>
      </c>
      <c r="C14" s="819"/>
      <c r="D14" s="607" t="str">
        <f>+'5 ALMACEN '!E17</f>
        <v>FALDA MET. PERFOR. DE 26 X 100</v>
      </c>
      <c r="E14" s="601">
        <f>+'5 ALMACEN '!F17</f>
        <v>0</v>
      </c>
      <c r="F14" s="819"/>
      <c r="G14" s="607" t="s">
        <v>342</v>
      </c>
      <c r="H14" s="601">
        <f>+'5 ALMACEN '!B12+'5 ALMACEN '!C12</f>
        <v>0</v>
      </c>
      <c r="I14" s="819"/>
      <c r="J14" s="607" t="s">
        <v>433</v>
      </c>
      <c r="K14" s="601">
        <f>+'5 ALMACEN '!I27</f>
        <v>0</v>
      </c>
      <c r="L14" s="819"/>
      <c r="M14" s="602" t="s">
        <v>252</v>
      </c>
      <c r="N14" s="601">
        <f>+$K$27+$K$28+$K$29+$K$30</f>
        <v>0</v>
      </c>
      <c r="O14" s="819"/>
      <c r="P14" s="819"/>
      <c r="Q14" s="819"/>
      <c r="R14" s="819"/>
      <c r="S14" s="819"/>
      <c r="T14" s="819"/>
      <c r="U14" s="820"/>
      <c r="V14" s="820"/>
      <c r="W14" s="820"/>
      <c r="X14" s="820"/>
      <c r="Y14" s="820"/>
      <c r="Z14" s="820"/>
      <c r="AA14" s="820"/>
      <c r="AB14" s="820"/>
      <c r="AC14" s="820"/>
      <c r="AD14" s="820"/>
      <c r="AE14" s="820"/>
      <c r="AF14" s="820"/>
      <c r="AI14" s="612"/>
      <c r="AJ14" s="595"/>
      <c r="AK14" s="595"/>
      <c r="AL14" s="595"/>
      <c r="AM14" s="595"/>
      <c r="AN14" s="595"/>
      <c r="AO14" s="595"/>
      <c r="AP14" s="595"/>
      <c r="AQ14" s="84"/>
    </row>
    <row r="15" spans="1:43" x14ac:dyDescent="0.2">
      <c r="A15" s="607" t="s">
        <v>300</v>
      </c>
      <c r="B15" s="601"/>
      <c r="C15" s="819"/>
      <c r="D15" s="607" t="s">
        <v>328</v>
      </c>
      <c r="E15" s="601"/>
      <c r="F15" s="819"/>
      <c r="G15" s="607" t="s">
        <v>343</v>
      </c>
      <c r="H15" s="601">
        <f>+'5 ALMACEN '!B13+'5 ALMACEN '!C13</f>
        <v>0</v>
      </c>
      <c r="I15" s="819"/>
      <c r="J15" s="607" t="s">
        <v>434</v>
      </c>
      <c r="K15" s="601">
        <f>+'5 ALMACEN '!R34</f>
        <v>0</v>
      </c>
      <c r="L15" s="819"/>
      <c r="M15" s="602" t="s">
        <v>435</v>
      </c>
      <c r="N15" s="601"/>
      <c r="O15" s="819"/>
      <c r="P15" s="819"/>
      <c r="Q15" s="819"/>
      <c r="R15" s="819"/>
      <c r="S15" s="819"/>
      <c r="T15" s="819"/>
      <c r="U15" s="820"/>
      <c r="V15" s="820"/>
      <c r="W15" s="820"/>
      <c r="X15" s="820"/>
      <c r="Y15" s="820"/>
      <c r="Z15" s="820"/>
      <c r="AA15" s="820"/>
      <c r="AB15" s="820"/>
      <c r="AC15" s="820"/>
      <c r="AD15" s="820"/>
      <c r="AE15" s="820"/>
      <c r="AF15" s="820"/>
      <c r="AI15" s="613" t="s">
        <v>436</v>
      </c>
      <c r="AJ15" s="595"/>
      <c r="AK15" s="595"/>
      <c r="AL15" s="595"/>
      <c r="AM15" s="595"/>
      <c r="AN15" s="595"/>
      <c r="AO15" s="595"/>
      <c r="AP15" s="595"/>
      <c r="AQ15" s="84"/>
    </row>
    <row r="16" spans="1:43" x14ac:dyDescent="0.2">
      <c r="A16" s="607" t="s">
        <v>92</v>
      </c>
      <c r="B16" s="601">
        <f>+K15*4</f>
        <v>0</v>
      </c>
      <c r="C16" s="819"/>
      <c r="D16" s="607" t="s">
        <v>329</v>
      </c>
      <c r="E16" s="601"/>
      <c r="F16" s="819"/>
      <c r="G16" s="607" t="s">
        <v>344</v>
      </c>
      <c r="H16" s="601">
        <f>+'5 ALMACEN '!C19+'5 ALMACEN '!B19</f>
        <v>0</v>
      </c>
      <c r="I16" s="819"/>
      <c r="J16" s="607" t="s">
        <v>1071</v>
      </c>
      <c r="K16" s="601">
        <f>+'5 ALMACEN '!R35</f>
        <v>0</v>
      </c>
      <c r="L16" s="819"/>
      <c r="M16" s="602" t="s">
        <v>437</v>
      </c>
      <c r="N16" s="601"/>
      <c r="O16" s="819"/>
      <c r="P16" s="819"/>
      <c r="Q16" s="819"/>
      <c r="R16" s="819"/>
      <c r="S16" s="819"/>
      <c r="T16" s="819"/>
      <c r="U16" s="820"/>
      <c r="V16" s="820"/>
      <c r="W16" s="820"/>
      <c r="X16" s="820"/>
      <c r="Y16" s="820"/>
      <c r="Z16" s="820"/>
      <c r="AA16" s="820"/>
      <c r="AB16" s="820"/>
      <c r="AC16" s="820"/>
      <c r="AD16" s="820"/>
      <c r="AE16" s="820"/>
      <c r="AF16" s="820"/>
      <c r="AI16" s="614" t="s">
        <v>438</v>
      </c>
      <c r="AJ16" s="603">
        <f>SUM(P.T.Nueva!B16)</f>
        <v>0</v>
      </c>
      <c r="AK16" s="603">
        <f>SUM(P.T.Nueva!C16)</f>
        <v>0</v>
      </c>
      <c r="AL16" s="603">
        <f>SUM(P.T.Nueva!D16)</f>
        <v>0</v>
      </c>
      <c r="AM16" s="603">
        <f>SUM(P.T.Nueva!E16)</f>
        <v>0</v>
      </c>
      <c r="AN16" s="603">
        <f>SUM(P.T.Nueva!F16)</f>
        <v>0</v>
      </c>
      <c r="AO16" s="603">
        <f>SUM(P.T.Nueva!G16)</f>
        <v>0</v>
      </c>
      <c r="AP16" s="603">
        <f>SUM(P.T.Nueva!H16)</f>
        <v>0</v>
      </c>
      <c r="AQ16" s="84"/>
    </row>
    <row r="17" spans="1:43" ht="15.75" x14ac:dyDescent="0.25">
      <c r="A17" s="607" t="s">
        <v>301</v>
      </c>
      <c r="B17" s="601"/>
      <c r="C17" s="819"/>
      <c r="D17" s="607" t="s">
        <v>330</v>
      </c>
      <c r="E17" s="601">
        <f>+'5 ALMACEN '!F26</f>
        <v>0</v>
      </c>
      <c r="F17" s="819"/>
      <c r="G17" s="819"/>
      <c r="H17" s="819"/>
      <c r="I17" s="819"/>
      <c r="J17" s="1632" t="s">
        <v>373</v>
      </c>
      <c r="K17" s="1632"/>
      <c r="L17" s="819"/>
      <c r="M17" s="602"/>
      <c r="N17" s="601"/>
      <c r="O17" s="819"/>
      <c r="P17" s="819"/>
      <c r="Q17" s="819"/>
      <c r="R17" s="819"/>
      <c r="S17" s="819"/>
      <c r="T17" s="819"/>
      <c r="U17" s="820"/>
      <c r="V17" s="820"/>
      <c r="W17" s="820"/>
      <c r="X17" s="820"/>
      <c r="Y17" s="820"/>
      <c r="Z17" s="820"/>
      <c r="AA17" s="820"/>
      <c r="AB17" s="820"/>
      <c r="AC17" s="820"/>
      <c r="AD17" s="820"/>
      <c r="AE17" s="820"/>
      <c r="AF17" s="820"/>
      <c r="AI17" s="614"/>
      <c r="AJ17" s="603"/>
      <c r="AK17" s="603"/>
      <c r="AL17" s="603"/>
      <c r="AM17" s="603"/>
      <c r="AN17" s="603"/>
      <c r="AO17" s="603"/>
      <c r="AP17" s="603"/>
      <c r="AQ17" s="84"/>
    </row>
    <row r="18" spans="1:43" ht="15.75" x14ac:dyDescent="0.25">
      <c r="A18" s="607" t="s">
        <v>302</v>
      </c>
      <c r="B18" s="601">
        <f>+'5 ALMACEN '!U26</f>
        <v>0</v>
      </c>
      <c r="C18" s="819"/>
      <c r="D18" s="607" t="s">
        <v>797</v>
      </c>
      <c r="E18" s="601">
        <f>+'5 ALMACEN '!AJ15</f>
        <v>0</v>
      </c>
      <c r="F18" s="819"/>
      <c r="G18" s="1632" t="s">
        <v>345</v>
      </c>
      <c r="H18" s="1632"/>
      <c r="I18" s="819"/>
      <c r="J18" s="597" t="s">
        <v>1</v>
      </c>
      <c r="K18" s="597" t="s">
        <v>2</v>
      </c>
      <c r="L18" s="819"/>
      <c r="M18" s="602"/>
      <c r="N18" s="601"/>
      <c r="O18" s="819"/>
      <c r="P18" s="819"/>
      <c r="Q18" s="819"/>
      <c r="R18" s="819"/>
      <c r="S18" s="819"/>
      <c r="T18" s="819"/>
      <c r="U18" s="820"/>
      <c r="V18" s="820"/>
      <c r="W18" s="820"/>
      <c r="X18" s="820"/>
      <c r="Y18" s="820"/>
      <c r="Z18" s="820"/>
      <c r="AA18" s="820"/>
      <c r="AB18" s="820"/>
      <c r="AC18" s="820"/>
      <c r="AD18" s="820"/>
      <c r="AE18" s="820"/>
      <c r="AF18" s="820"/>
      <c r="AI18" s="614" t="s">
        <v>439</v>
      </c>
      <c r="AJ18" s="603">
        <f>SUM(P.T.Nueva!B18)</f>
        <v>0</v>
      </c>
      <c r="AK18" s="603">
        <f>SUM(P.T.Nueva!C18)</f>
        <v>0</v>
      </c>
      <c r="AL18" s="603">
        <f>SUM(P.T.Nueva!D18)</f>
        <v>0</v>
      </c>
      <c r="AM18" s="603">
        <f>SUM(P.T.Nueva!E18)</f>
        <v>0</v>
      </c>
      <c r="AN18" s="603">
        <f>SUM(P.T.Nueva!F18)</f>
        <v>0</v>
      </c>
      <c r="AO18" s="603">
        <f>SUM(P.T.Nueva!G18)</f>
        <v>0</v>
      </c>
      <c r="AP18" s="603">
        <f>SUM(P.T.Nueva!H18)</f>
        <v>0</v>
      </c>
      <c r="AQ18" s="84"/>
    </row>
    <row r="19" spans="1:43" x14ac:dyDescent="0.2">
      <c r="A19" s="607" t="s">
        <v>62</v>
      </c>
      <c r="B19" s="601"/>
      <c r="C19" s="819"/>
      <c r="D19" s="607" t="s">
        <v>331</v>
      </c>
      <c r="E19" s="601">
        <f>+'5 ALMACEN '!R21</f>
        <v>0</v>
      </c>
      <c r="F19" s="819"/>
      <c r="G19" s="597" t="s">
        <v>1</v>
      </c>
      <c r="H19" s="597" t="s">
        <v>2</v>
      </c>
      <c r="I19" s="819"/>
      <c r="J19" s="607" t="s">
        <v>374</v>
      </c>
      <c r="K19" s="601"/>
      <c r="L19" s="819"/>
      <c r="M19" s="819"/>
      <c r="N19" s="819"/>
      <c r="O19" s="819"/>
      <c r="P19" s="819"/>
      <c r="Q19" s="819"/>
      <c r="R19" s="819"/>
      <c r="S19" s="819"/>
      <c r="T19" s="819"/>
      <c r="U19" s="820"/>
      <c r="V19" s="820"/>
      <c r="W19" s="820"/>
      <c r="X19" s="820"/>
      <c r="Y19" s="820"/>
      <c r="Z19" s="820"/>
      <c r="AA19" s="820"/>
      <c r="AB19" s="820"/>
      <c r="AC19" s="820"/>
      <c r="AD19" s="820"/>
      <c r="AE19" s="820"/>
      <c r="AF19" s="820"/>
      <c r="AI19" s="614"/>
      <c r="AJ19" s="603"/>
      <c r="AK19" s="603"/>
      <c r="AL19" s="603"/>
      <c r="AM19" s="603"/>
      <c r="AN19" s="603"/>
      <c r="AO19" s="603"/>
      <c r="AP19" s="603"/>
      <c r="AQ19" s="84"/>
    </row>
    <row r="20" spans="1:43" x14ac:dyDescent="0.2">
      <c r="A20" s="607" t="s">
        <v>440</v>
      </c>
      <c r="B20" s="601"/>
      <c r="C20" s="819"/>
      <c r="D20" s="607" t="s">
        <v>449</v>
      </c>
      <c r="E20" s="601">
        <f>+'5 ALMACEN '!R23</f>
        <v>0</v>
      </c>
      <c r="F20" s="819"/>
      <c r="G20" s="607" t="s">
        <v>22</v>
      </c>
      <c r="H20" s="601">
        <f>+'5 ALMACEN '!B23+'5 ALMACEN '!C23</f>
        <v>0</v>
      </c>
      <c r="I20" s="819"/>
      <c r="J20" s="607" t="s">
        <v>375</v>
      </c>
      <c r="K20" s="601"/>
      <c r="L20" s="819"/>
      <c r="M20" s="819"/>
      <c r="N20" s="819"/>
      <c r="O20" s="819"/>
      <c r="P20" s="819"/>
      <c r="Q20" s="819"/>
      <c r="R20" s="819"/>
      <c r="S20" s="819"/>
      <c r="T20" s="819"/>
      <c r="U20" s="820"/>
      <c r="V20" s="820"/>
      <c r="W20" s="820"/>
      <c r="X20" s="820"/>
      <c r="Y20" s="820"/>
      <c r="Z20" s="820"/>
      <c r="AA20" s="820"/>
      <c r="AB20" s="820"/>
      <c r="AC20" s="820"/>
      <c r="AD20" s="820"/>
      <c r="AE20" s="820"/>
      <c r="AF20" s="820"/>
      <c r="AI20" s="615"/>
      <c r="AJ20" s="615"/>
      <c r="AK20" s="615"/>
      <c r="AL20" s="615"/>
      <c r="AM20" s="615"/>
      <c r="AN20" s="615"/>
      <c r="AO20" s="615"/>
      <c r="AP20" s="615"/>
      <c r="AQ20" s="615"/>
    </row>
    <row r="21" spans="1:43" x14ac:dyDescent="0.2">
      <c r="A21" s="607" t="str">
        <f>IF('5 ALMACEN '!L5=16,"PATIN DE 16 CM DUCTO","PATIN DE 12 CM DUCTO")</f>
        <v>PATIN DE 12 CM DUCTO</v>
      </c>
      <c r="B21" s="601"/>
      <c r="C21" s="819"/>
      <c r="D21" s="607" t="s">
        <v>798</v>
      </c>
      <c r="E21" s="601">
        <f>+'5 ALMACEN '!R22</f>
        <v>0</v>
      </c>
      <c r="F21" s="819"/>
      <c r="G21" s="607" t="s">
        <v>23</v>
      </c>
      <c r="H21" s="601">
        <f>+'5 ALMACEN '!B24+'5 ALMACEN '!C24</f>
        <v>0</v>
      </c>
      <c r="I21" s="819"/>
      <c r="J21" s="607" t="s">
        <v>376</v>
      </c>
      <c r="K21" s="601"/>
      <c r="L21" s="819"/>
      <c r="M21" s="819"/>
      <c r="N21" s="819"/>
      <c r="O21" s="819"/>
      <c r="P21" s="819"/>
      <c r="Q21" s="819"/>
      <c r="R21" s="819"/>
      <c r="S21" s="819"/>
      <c r="T21" s="819"/>
      <c r="U21" s="820"/>
      <c r="V21" s="820"/>
      <c r="W21" s="820"/>
      <c r="X21" s="820"/>
      <c r="Y21" s="820"/>
      <c r="Z21" s="820"/>
      <c r="AA21" s="820"/>
      <c r="AB21" s="820"/>
      <c r="AC21" s="820"/>
      <c r="AD21" s="820"/>
      <c r="AE21" s="820"/>
      <c r="AF21" s="820"/>
      <c r="AI21" s="616"/>
      <c r="AJ21" s="612"/>
      <c r="AK21" s="617"/>
      <c r="AL21" s="617"/>
      <c r="AM21" s="617"/>
      <c r="AN21" s="617"/>
      <c r="AO21" s="617"/>
      <c r="AP21" s="617"/>
      <c r="AQ21" s="617"/>
    </row>
    <row r="22" spans="1:43" ht="15.75" x14ac:dyDescent="0.25">
      <c r="A22" s="607" t="s">
        <v>441</v>
      </c>
      <c r="B22" s="601" t="e">
        <f>(+H5+H7+H8+H9+H10+H11+H12+H13+H14+H15)*2+(H20+H21+H22+H23+#REF!+K19+K20+K21+K22+K23+K24+K25+K26+K27+K28+K29+K30)*4-(B18)</f>
        <v>#REF!</v>
      </c>
      <c r="C22" s="819"/>
      <c r="D22" s="607" t="s">
        <v>332</v>
      </c>
      <c r="E22" s="601">
        <f>+'5 ALMACEN '!F23</f>
        <v>0</v>
      </c>
      <c r="F22" s="819"/>
      <c r="G22" s="607" t="s">
        <v>24</v>
      </c>
      <c r="H22" s="601">
        <f>+'5 ALMACEN '!B25+'5 ALMACEN '!C25</f>
        <v>0</v>
      </c>
      <c r="I22" s="819"/>
      <c r="J22" s="607" t="s">
        <v>377</v>
      </c>
      <c r="K22" s="601"/>
      <c r="L22" s="819"/>
      <c r="M22" s="819"/>
      <c r="N22" s="819"/>
      <c r="O22" s="819"/>
      <c r="P22" s="819"/>
      <c r="Q22" s="819"/>
      <c r="R22" s="819"/>
      <c r="S22" s="819"/>
      <c r="T22" s="819"/>
      <c r="U22" s="820"/>
      <c r="V22" s="820"/>
      <c r="W22" s="820"/>
      <c r="X22" s="820"/>
      <c r="Y22" s="820"/>
      <c r="Z22" s="820"/>
      <c r="AA22" s="820"/>
      <c r="AB22" s="820"/>
      <c r="AC22" s="820"/>
      <c r="AD22" s="820"/>
      <c r="AE22" s="820"/>
      <c r="AF22" s="820"/>
      <c r="AI22" s="618">
        <v>0</v>
      </c>
      <c r="AJ22" s="615"/>
      <c r="AK22" s="615"/>
      <c r="AL22" s="615"/>
      <c r="AM22" s="615"/>
      <c r="AN22" s="615"/>
      <c r="AO22" s="615"/>
      <c r="AP22" s="615"/>
      <c r="AQ22" s="615"/>
    </row>
    <row r="23" spans="1:43" ht="15.75" x14ac:dyDescent="0.25">
      <c r="A23" s="819"/>
      <c r="B23" s="819"/>
      <c r="C23" s="819"/>
      <c r="D23" s="607"/>
      <c r="E23" s="601"/>
      <c r="F23" s="819"/>
      <c r="G23" s="607" t="s">
        <v>25</v>
      </c>
      <c r="H23" s="601">
        <f>+'5 ALMACEN '!B26+'5 ALMACEN '!C26</f>
        <v>0</v>
      </c>
      <c r="I23" s="819"/>
      <c r="J23" s="607" t="s">
        <v>378</v>
      </c>
      <c r="K23" s="601">
        <f>+FORMULAS!A224</f>
        <v>0</v>
      </c>
      <c r="L23" s="819"/>
      <c r="M23" s="819"/>
      <c r="N23" s="819"/>
      <c r="O23" s="819"/>
      <c r="P23" s="819"/>
      <c r="Q23" s="819"/>
      <c r="R23" s="819"/>
      <c r="S23" s="819"/>
      <c r="T23" s="819"/>
      <c r="U23" s="820"/>
      <c r="V23" s="820"/>
      <c r="W23" s="820"/>
      <c r="X23" s="820"/>
      <c r="Y23" s="820"/>
      <c r="Z23" s="820"/>
      <c r="AA23" s="820"/>
      <c r="AB23" s="820"/>
      <c r="AC23" s="820"/>
      <c r="AD23" s="820"/>
      <c r="AE23" s="820"/>
      <c r="AF23" s="820"/>
      <c r="AI23" s="619">
        <v>0</v>
      </c>
      <c r="AJ23" s="619"/>
      <c r="AK23" s="619"/>
      <c r="AL23" s="619"/>
      <c r="AM23" s="619"/>
      <c r="AN23" s="619"/>
      <c r="AO23" s="619"/>
      <c r="AP23" s="619"/>
      <c r="AQ23" s="599"/>
    </row>
    <row r="24" spans="1:43" ht="18" x14ac:dyDescent="0.25">
      <c r="A24" s="1630" t="s">
        <v>442</v>
      </c>
      <c r="B24" s="1630"/>
      <c r="C24" s="819"/>
      <c r="D24" s="607"/>
      <c r="E24" s="601"/>
      <c r="F24" s="819"/>
      <c r="G24" s="607" t="s">
        <v>346</v>
      </c>
      <c r="H24" s="601">
        <f>+'5 ALMACEN '!B34+'5 ALMACEN '!C34</f>
        <v>0</v>
      </c>
      <c r="I24" s="819"/>
      <c r="J24" s="607" t="s">
        <v>384</v>
      </c>
      <c r="K24" s="601">
        <f>+FORMULAS!A225</f>
        <v>0</v>
      </c>
      <c r="L24" s="819"/>
      <c r="M24" s="819"/>
      <c r="N24" s="819"/>
      <c r="O24" s="819"/>
      <c r="P24" s="819"/>
      <c r="Q24" s="819"/>
      <c r="R24" s="819"/>
      <c r="S24" s="819"/>
      <c r="T24" s="819"/>
      <c r="U24" s="820"/>
      <c r="V24" s="820"/>
      <c r="W24" s="820"/>
      <c r="X24" s="820"/>
      <c r="Y24" s="820"/>
      <c r="Z24" s="820"/>
      <c r="AA24" s="820"/>
      <c r="AB24" s="820"/>
      <c r="AC24" s="820"/>
      <c r="AD24" s="820"/>
      <c r="AE24" s="820"/>
      <c r="AF24" s="820"/>
      <c r="AI24" s="620" t="s">
        <v>443</v>
      </c>
      <c r="AJ24" s="621"/>
      <c r="AK24" s="621"/>
      <c r="AL24" s="621"/>
      <c r="AM24" s="621"/>
      <c r="AN24" s="621"/>
      <c r="AO24" s="621"/>
      <c r="AP24" s="621"/>
      <c r="AQ24" s="621"/>
    </row>
    <row r="25" spans="1:43" x14ac:dyDescent="0.2">
      <c r="A25" s="597" t="s">
        <v>1</v>
      </c>
      <c r="B25" s="597" t="s">
        <v>2</v>
      </c>
      <c r="C25" s="819"/>
      <c r="D25" s="607" t="s">
        <v>796</v>
      </c>
      <c r="E25" s="601">
        <f>+'5 ALMACEN '!F21</f>
        <v>0</v>
      </c>
      <c r="F25" s="819"/>
      <c r="G25" s="607" t="s">
        <v>347</v>
      </c>
      <c r="H25" s="601">
        <f>+'5 ALMACEN '!F31+'5 ALMACEN '!I31</f>
        <v>0</v>
      </c>
      <c r="I25" s="819"/>
      <c r="J25" s="607" t="s">
        <v>385</v>
      </c>
      <c r="K25" s="601">
        <f>+FORMULAS!A226</f>
        <v>0</v>
      </c>
      <c r="L25" s="819"/>
      <c r="M25" s="819"/>
      <c r="N25" s="819"/>
      <c r="O25" s="819"/>
      <c r="P25" s="819"/>
      <c r="Q25" s="819"/>
      <c r="R25" s="819"/>
      <c r="S25" s="819"/>
      <c r="T25" s="819"/>
      <c r="U25" s="820"/>
      <c r="V25" s="820"/>
      <c r="W25" s="820"/>
      <c r="X25" s="820"/>
      <c r="Y25" s="820"/>
      <c r="Z25" s="820"/>
      <c r="AA25" s="820"/>
      <c r="AB25" s="820"/>
      <c r="AC25" s="820"/>
      <c r="AD25" s="820"/>
      <c r="AE25" s="820"/>
      <c r="AF25" s="820"/>
      <c r="AI25" s="584" t="s">
        <v>444</v>
      </c>
      <c r="AJ25" s="584"/>
      <c r="AK25" s="584">
        <v>0.3</v>
      </c>
      <c r="AL25" s="584">
        <v>0.6</v>
      </c>
      <c r="AM25" s="584">
        <v>0.7</v>
      </c>
      <c r="AN25" s="584">
        <v>0.85</v>
      </c>
      <c r="AO25" s="584">
        <v>1.1000000000000001</v>
      </c>
      <c r="AP25" s="584">
        <v>1.4</v>
      </c>
      <c r="AQ25" s="584"/>
    </row>
    <row r="26" spans="1:43" x14ac:dyDescent="0.2">
      <c r="A26" s="607" t="s">
        <v>305</v>
      </c>
      <c r="B26" s="601"/>
      <c r="C26" s="819"/>
      <c r="D26" s="819"/>
      <c r="E26" s="819"/>
      <c r="F26" s="819"/>
      <c r="G26" s="607" t="s">
        <v>348</v>
      </c>
      <c r="H26" s="601">
        <f>+'5 ALMACEN '!F29+'5 ALMACEN '!G29</f>
        <v>0</v>
      </c>
      <c r="I26" s="819"/>
      <c r="J26" s="607" t="s">
        <v>386</v>
      </c>
      <c r="K26" s="601">
        <f>+FORMULAS!A227</f>
        <v>0</v>
      </c>
      <c r="L26" s="819"/>
      <c r="M26" s="819"/>
      <c r="N26" s="819"/>
      <c r="O26" s="819"/>
      <c r="P26" s="819"/>
      <c r="Q26" s="819"/>
      <c r="R26" s="819"/>
      <c r="S26" s="819"/>
      <c r="T26" s="819"/>
      <c r="U26" s="820"/>
      <c r="V26" s="820"/>
      <c r="W26" s="820"/>
      <c r="X26" s="820"/>
      <c r="Y26" s="820"/>
      <c r="Z26" s="820"/>
      <c r="AA26" s="820"/>
      <c r="AB26" s="820"/>
      <c r="AC26" s="820"/>
      <c r="AD26" s="820"/>
      <c r="AE26" s="820"/>
      <c r="AF26" s="820"/>
      <c r="AI26" s="584" t="s">
        <v>445</v>
      </c>
      <c r="AJ26" s="584"/>
      <c r="AK26" s="600">
        <v>0.28000000000000003</v>
      </c>
      <c r="AL26" s="600">
        <v>0.56000000000000005</v>
      </c>
      <c r="AM26" s="600">
        <v>0.7</v>
      </c>
      <c r="AN26" s="600">
        <v>0.84</v>
      </c>
      <c r="AO26" s="600">
        <v>1.1200000000000001</v>
      </c>
      <c r="AP26" s="600">
        <v>1.4</v>
      </c>
      <c r="AQ26" s="584"/>
    </row>
    <row r="27" spans="1:43" ht="15.75" x14ac:dyDescent="0.25">
      <c r="A27" s="607" t="s">
        <v>306</v>
      </c>
      <c r="B27" s="601"/>
      <c r="C27" s="819"/>
      <c r="D27" s="1630" t="s">
        <v>392</v>
      </c>
      <c r="E27" s="1630"/>
      <c r="F27" s="819"/>
      <c r="G27" s="607" t="s">
        <v>349</v>
      </c>
      <c r="H27" s="601">
        <f>+'5 ALMACEN '!F33+'5 ALMACEN '!I19</f>
        <v>0</v>
      </c>
      <c r="I27" s="819"/>
      <c r="J27" s="607" t="s">
        <v>387</v>
      </c>
      <c r="K27" s="601">
        <f>+FORMULAS!A219</f>
        <v>0</v>
      </c>
      <c r="L27" s="819"/>
      <c r="M27" s="819"/>
      <c r="N27" s="819"/>
      <c r="O27" s="819"/>
      <c r="P27" s="819"/>
      <c r="Q27" s="819"/>
      <c r="R27" s="819"/>
      <c r="S27" s="819"/>
      <c r="T27" s="819"/>
      <c r="U27" s="820"/>
      <c r="V27" s="820"/>
      <c r="W27" s="820"/>
      <c r="X27" s="820"/>
      <c r="Y27" s="820"/>
      <c r="Z27" s="820"/>
      <c r="AA27" s="820"/>
      <c r="AB27" s="820"/>
      <c r="AC27" s="820"/>
      <c r="AD27" s="820"/>
      <c r="AE27" s="820"/>
      <c r="AF27" s="820"/>
      <c r="AI27" s="622" t="s">
        <v>105</v>
      </c>
      <c r="AJ27" s="622"/>
      <c r="AK27" s="623">
        <f t="shared" ref="AK27:AP27" si="0">+AJ9</f>
        <v>0</v>
      </c>
      <c r="AL27" s="623">
        <f t="shared" si="0"/>
        <v>0</v>
      </c>
      <c r="AM27" s="623">
        <f t="shared" si="0"/>
        <v>0</v>
      </c>
      <c r="AN27" s="623">
        <f t="shared" si="0"/>
        <v>0</v>
      </c>
      <c r="AO27" s="623">
        <f t="shared" si="0"/>
        <v>0</v>
      </c>
      <c r="AP27" s="623">
        <f t="shared" si="0"/>
        <v>0</v>
      </c>
      <c r="AQ27" s="624" t="s">
        <v>446</v>
      </c>
    </row>
    <row r="28" spans="1:43" x14ac:dyDescent="0.2">
      <c r="A28" s="607" t="s">
        <v>307</v>
      </c>
      <c r="B28" s="601"/>
      <c r="C28" s="819"/>
      <c r="D28" s="597" t="s">
        <v>1</v>
      </c>
      <c r="E28" s="597" t="s">
        <v>2</v>
      </c>
      <c r="F28" s="819"/>
      <c r="G28" s="607" t="s">
        <v>350</v>
      </c>
      <c r="H28" s="601">
        <f>+'5 ALMACEN '!B30+'5 ALMACEN '!C30</f>
        <v>0</v>
      </c>
      <c r="I28" s="819"/>
      <c r="J28" s="607" t="s">
        <v>388</v>
      </c>
      <c r="K28" s="601">
        <f>+FORMULAS!A220</f>
        <v>0</v>
      </c>
      <c r="L28" s="819"/>
      <c r="M28" s="819"/>
      <c r="N28" s="819"/>
      <c r="O28" s="819"/>
      <c r="P28" s="819"/>
      <c r="Q28" s="819"/>
      <c r="R28" s="819"/>
      <c r="S28" s="819"/>
      <c r="T28" s="819"/>
      <c r="U28" s="820"/>
      <c r="V28" s="820"/>
      <c r="W28" s="820"/>
      <c r="X28" s="820"/>
      <c r="Y28" s="820"/>
      <c r="Z28" s="820"/>
      <c r="AA28" s="820"/>
      <c r="AB28" s="820"/>
      <c r="AC28" s="820"/>
      <c r="AD28" s="820"/>
      <c r="AE28" s="820"/>
      <c r="AF28" s="820"/>
      <c r="AI28" s="584" t="s">
        <v>447</v>
      </c>
      <c r="AJ28" s="584">
        <v>1</v>
      </c>
      <c r="AK28" s="584">
        <f>0.56*AK27</f>
        <v>0</v>
      </c>
      <c r="AL28" s="584">
        <f>0.71*AL27</f>
        <v>0</v>
      </c>
      <c r="AM28" s="584">
        <f>1.25*AM27</f>
        <v>0</v>
      </c>
      <c r="AN28" s="584">
        <f>1.58*AN27</f>
        <v>0</v>
      </c>
      <c r="AO28" s="584">
        <f>2*AO27</f>
        <v>0</v>
      </c>
      <c r="AP28" s="584">
        <f>2.5*AP27</f>
        <v>0</v>
      </c>
      <c r="AQ28" s="625">
        <f>SUM(AK28:AP28)</f>
        <v>0</v>
      </c>
    </row>
    <row r="29" spans="1:43" x14ac:dyDescent="0.2">
      <c r="A29" s="607" t="s">
        <v>308</v>
      </c>
      <c r="B29" s="601"/>
      <c r="C29" s="819"/>
      <c r="D29" s="602"/>
      <c r="E29" s="601"/>
      <c r="F29" s="819"/>
      <c r="G29" s="607" t="s">
        <v>351</v>
      </c>
      <c r="H29" s="601">
        <f>+'5 ALMACEN '!B31+'5 ALMACEN '!C31</f>
        <v>0</v>
      </c>
      <c r="I29" s="819"/>
      <c r="J29" s="607" t="s">
        <v>389</v>
      </c>
      <c r="K29" s="601">
        <f>+FORMULAS!A221</f>
        <v>0</v>
      </c>
      <c r="L29" s="819"/>
      <c r="M29" s="819"/>
      <c r="N29" s="819"/>
      <c r="O29" s="819"/>
      <c r="P29" s="819"/>
      <c r="Q29" s="819"/>
      <c r="R29" s="819"/>
      <c r="S29" s="819"/>
      <c r="T29" s="819"/>
      <c r="U29" s="820"/>
      <c r="V29" s="820"/>
      <c r="W29" s="820"/>
      <c r="X29" s="820"/>
      <c r="Y29" s="820"/>
      <c r="Z29" s="820"/>
      <c r="AA29" s="820"/>
      <c r="AB29" s="820"/>
      <c r="AC29" s="820"/>
      <c r="AD29" s="820"/>
      <c r="AE29" s="820"/>
      <c r="AF29" s="820"/>
      <c r="AI29" s="584"/>
      <c r="AJ29" s="584"/>
      <c r="AK29" s="626"/>
      <c r="AL29" s="626"/>
      <c r="AM29" s="626"/>
      <c r="AN29" s="626"/>
      <c r="AO29" s="626"/>
      <c r="AP29" s="626"/>
      <c r="AQ29" s="627"/>
    </row>
    <row r="30" spans="1:43" ht="18" x14ac:dyDescent="0.25">
      <c r="A30" s="607" t="s">
        <v>309</v>
      </c>
      <c r="B30" s="601">
        <f>+'5 ALMACEN '!R15</f>
        <v>0</v>
      </c>
      <c r="C30" s="819"/>
      <c r="D30" s="602"/>
      <c r="E30" s="601"/>
      <c r="F30" s="819"/>
      <c r="G30" s="607" t="s">
        <v>352</v>
      </c>
      <c r="H30" s="601">
        <f>+'5 ALMACEN '!B32+'5 ALMACEN '!C32</f>
        <v>0</v>
      </c>
      <c r="I30" s="819"/>
      <c r="J30" s="607" t="s">
        <v>390</v>
      </c>
      <c r="K30" s="601">
        <f>+FORMULAS!A222</f>
        <v>0</v>
      </c>
      <c r="L30" s="819"/>
      <c r="M30" s="819"/>
      <c r="N30" s="819"/>
      <c r="O30" s="819"/>
      <c r="P30" s="819"/>
      <c r="Q30" s="819"/>
      <c r="R30" s="819"/>
      <c r="S30" s="819"/>
      <c r="T30" s="819"/>
      <c r="U30" s="820"/>
      <c r="V30" s="820"/>
      <c r="W30" s="820"/>
      <c r="X30" s="820"/>
      <c r="Y30" s="820"/>
      <c r="Z30" s="820"/>
      <c r="AA30" s="820"/>
      <c r="AB30" s="820"/>
      <c r="AC30" s="820"/>
      <c r="AD30" s="820"/>
      <c r="AE30" s="820"/>
      <c r="AF30" s="820"/>
      <c r="AI30" s="628" t="s">
        <v>448</v>
      </c>
      <c r="AJ30" s="629"/>
      <c r="AK30" s="629"/>
      <c r="AL30" s="629"/>
      <c r="AM30" s="629"/>
      <c r="AN30" s="629"/>
      <c r="AO30" s="629"/>
      <c r="AP30" s="629"/>
      <c r="AQ30" s="629"/>
    </row>
    <row r="31" spans="1:43" x14ac:dyDescent="0.2">
      <c r="A31" s="607" t="s">
        <v>310</v>
      </c>
      <c r="B31" s="601">
        <f>+'5 ALMACEN '!R7</f>
        <v>0</v>
      </c>
      <c r="C31" s="819"/>
      <c r="D31" s="819"/>
      <c r="E31" s="819"/>
      <c r="F31" s="819"/>
      <c r="G31" s="819"/>
      <c r="H31" s="819"/>
      <c r="I31" s="819"/>
      <c r="J31" s="819"/>
      <c r="K31" s="819"/>
      <c r="L31" s="819"/>
      <c r="M31" s="819"/>
      <c r="N31" s="819"/>
      <c r="O31" s="819"/>
      <c r="P31" s="819"/>
      <c r="Q31" s="819"/>
      <c r="R31" s="819"/>
      <c r="S31" s="819"/>
      <c r="T31" s="819"/>
      <c r="U31" s="820"/>
      <c r="V31" s="820"/>
      <c r="W31" s="820"/>
      <c r="X31" s="820"/>
      <c r="Y31" s="820"/>
      <c r="Z31" s="820"/>
      <c r="AA31" s="820"/>
      <c r="AB31" s="820"/>
      <c r="AC31" s="820"/>
      <c r="AD31" s="820"/>
      <c r="AE31" s="820"/>
      <c r="AF31" s="820"/>
      <c r="AI31" s="584" t="s">
        <v>444</v>
      </c>
      <c r="AJ31" s="584"/>
      <c r="AK31" s="584">
        <v>0.3</v>
      </c>
      <c r="AL31" s="584">
        <v>0.6</v>
      </c>
      <c r="AM31" s="584">
        <v>0.7</v>
      </c>
      <c r="AN31" s="584">
        <v>0.85</v>
      </c>
      <c r="AO31" s="584">
        <v>1.1000000000000001</v>
      </c>
      <c r="AP31" s="584">
        <v>1.4</v>
      </c>
      <c r="AQ31" s="584"/>
    </row>
    <row r="32" spans="1:43" ht="15.75" x14ac:dyDescent="0.25">
      <c r="A32" s="607" t="s">
        <v>311</v>
      </c>
      <c r="B32" s="601">
        <f>+'5 ALMACEN '!R9</f>
        <v>0</v>
      </c>
      <c r="C32" s="819"/>
      <c r="D32" s="819"/>
      <c r="E32" s="819"/>
      <c r="F32" s="819"/>
      <c r="G32" s="1630" t="s">
        <v>353</v>
      </c>
      <c r="H32" s="1630"/>
      <c r="I32" s="819"/>
      <c r="J32" s="1632" t="s">
        <v>391</v>
      </c>
      <c r="K32" s="1632"/>
      <c r="L32" s="819"/>
      <c r="M32" s="819"/>
      <c r="N32" s="819"/>
      <c r="O32" s="819"/>
      <c r="P32" s="819"/>
      <c r="Q32" s="819"/>
      <c r="R32" s="819"/>
      <c r="S32" s="819"/>
      <c r="T32" s="819"/>
      <c r="U32" s="820"/>
      <c r="V32" s="820"/>
      <c r="W32" s="820"/>
      <c r="X32" s="820"/>
      <c r="Y32" s="820"/>
      <c r="Z32" s="820"/>
      <c r="AA32" s="820"/>
      <c r="AB32" s="820"/>
      <c r="AC32" s="820"/>
      <c r="AD32" s="820"/>
      <c r="AE32" s="820"/>
      <c r="AF32" s="820"/>
      <c r="AI32" s="584" t="s">
        <v>445</v>
      </c>
      <c r="AJ32" s="584"/>
      <c r="AK32" s="600">
        <v>0.28000000000000003</v>
      </c>
      <c r="AL32" s="600">
        <v>0.56000000000000005</v>
      </c>
      <c r="AM32" s="600">
        <v>0.7</v>
      </c>
      <c r="AN32" s="600">
        <v>0.84</v>
      </c>
      <c r="AO32" s="600">
        <v>1.1200000000000001</v>
      </c>
      <c r="AP32" s="600">
        <v>1.4</v>
      </c>
      <c r="AQ32" s="584"/>
    </row>
    <row r="33" spans="1:43" ht="15.75" x14ac:dyDescent="0.25">
      <c r="A33" s="607" t="s">
        <v>312</v>
      </c>
      <c r="B33" s="601">
        <f>+'5 ALMACEN '!R12</f>
        <v>0</v>
      </c>
      <c r="C33" s="819"/>
      <c r="D33" s="819"/>
      <c r="E33" s="819"/>
      <c r="F33" s="819"/>
      <c r="G33" s="597" t="s">
        <v>1</v>
      </c>
      <c r="H33" s="597" t="s">
        <v>2</v>
      </c>
      <c r="I33" s="819"/>
      <c r="J33" s="597" t="s">
        <v>1</v>
      </c>
      <c r="K33" s="597" t="s">
        <v>2</v>
      </c>
      <c r="L33" s="819"/>
      <c r="M33" s="819"/>
      <c r="N33" s="819"/>
      <c r="O33" s="819"/>
      <c r="P33" s="819"/>
      <c r="Q33" s="819"/>
      <c r="R33" s="819"/>
      <c r="S33" s="819"/>
      <c r="T33" s="819"/>
      <c r="U33" s="820"/>
      <c r="V33" s="820"/>
      <c r="W33" s="820"/>
      <c r="X33" s="820"/>
      <c r="Y33" s="820"/>
      <c r="Z33" s="820"/>
      <c r="AA33" s="820"/>
      <c r="AB33" s="820"/>
      <c r="AC33" s="820"/>
      <c r="AD33" s="820"/>
      <c r="AE33" s="820"/>
      <c r="AF33" s="820"/>
      <c r="AI33" s="622" t="s">
        <v>105</v>
      </c>
      <c r="AJ33" s="622"/>
      <c r="AK33" s="623">
        <f t="shared" ref="AK33:AP33" si="1">+AJ10</f>
        <v>0</v>
      </c>
      <c r="AL33" s="623">
        <f t="shared" si="1"/>
        <v>0</v>
      </c>
      <c r="AM33" s="623">
        <f t="shared" si="1"/>
        <v>0</v>
      </c>
      <c r="AN33" s="623">
        <f t="shared" si="1"/>
        <v>0</v>
      </c>
      <c r="AO33" s="623">
        <f t="shared" si="1"/>
        <v>0</v>
      </c>
      <c r="AP33" s="623">
        <f t="shared" si="1"/>
        <v>0</v>
      </c>
      <c r="AQ33" s="624" t="s">
        <v>446</v>
      </c>
    </row>
    <row r="34" spans="1:43" x14ac:dyDescent="0.2">
      <c r="A34" s="607" t="s">
        <v>313</v>
      </c>
      <c r="B34" s="601">
        <f>+'5 ALMACEN '!R11</f>
        <v>0</v>
      </c>
      <c r="C34" s="819"/>
      <c r="D34" s="819"/>
      <c r="E34" s="819"/>
      <c r="F34" s="819"/>
      <c r="G34" s="607"/>
      <c r="H34" s="601"/>
      <c r="I34" s="819"/>
      <c r="J34" s="630">
        <v>70</v>
      </c>
      <c r="K34" s="601"/>
      <c r="L34" s="819"/>
      <c r="M34" s="819"/>
      <c r="N34" s="819"/>
      <c r="O34" s="819"/>
      <c r="P34" s="819"/>
      <c r="Q34" s="819"/>
      <c r="R34" s="819"/>
      <c r="S34" s="819"/>
      <c r="T34" s="819"/>
      <c r="U34" s="820"/>
      <c r="V34" s="820"/>
      <c r="W34" s="820"/>
      <c r="X34" s="820"/>
      <c r="Y34" s="820"/>
      <c r="Z34" s="820"/>
      <c r="AA34" s="820"/>
      <c r="AB34" s="820"/>
      <c r="AC34" s="820"/>
      <c r="AD34" s="820"/>
      <c r="AE34" s="820"/>
      <c r="AF34" s="820"/>
      <c r="AI34" s="584" t="s">
        <v>450</v>
      </c>
      <c r="AJ34" s="584">
        <v>1</v>
      </c>
      <c r="AK34" s="584"/>
      <c r="AL34" s="584"/>
      <c r="AM34" s="584"/>
      <c r="AN34" s="584"/>
      <c r="AO34" s="584"/>
      <c r="AP34" s="584"/>
      <c r="AQ34" s="625">
        <f>SUM(AK34:AP34)</f>
        <v>0</v>
      </c>
    </row>
    <row r="35" spans="1:43" x14ac:dyDescent="0.2">
      <c r="A35" s="607" t="s">
        <v>314</v>
      </c>
      <c r="B35" s="601"/>
      <c r="C35" s="819"/>
      <c r="D35" s="819"/>
      <c r="E35" s="819"/>
      <c r="F35" s="819"/>
      <c r="G35" s="607" t="str">
        <f>+'5 ALMACEN '!N27</f>
        <v>BIBLIOTECA A75-H130-3E-PMET.</v>
      </c>
      <c r="H35" s="601">
        <f>+'5 ALMACEN '!R27</f>
        <v>0</v>
      </c>
      <c r="I35" s="819"/>
      <c r="J35" s="630">
        <v>84</v>
      </c>
      <c r="K35" s="601"/>
      <c r="L35" s="819"/>
      <c r="M35" s="819"/>
      <c r="N35" s="819"/>
      <c r="O35" s="819"/>
      <c r="P35" s="819"/>
      <c r="Q35" s="819"/>
      <c r="R35" s="819"/>
      <c r="S35" s="819"/>
      <c r="T35" s="819"/>
      <c r="U35" s="820"/>
      <c r="V35" s="820"/>
      <c r="W35" s="820"/>
      <c r="X35" s="820"/>
      <c r="Y35" s="820"/>
      <c r="Z35" s="820"/>
      <c r="AA35" s="820"/>
      <c r="AB35" s="820"/>
      <c r="AC35" s="820"/>
      <c r="AD35" s="820"/>
      <c r="AE35" s="820"/>
      <c r="AF35" s="820"/>
      <c r="AI35" s="584"/>
      <c r="AJ35" s="584"/>
      <c r="AK35" s="626"/>
      <c r="AL35" s="626"/>
      <c r="AM35" s="626"/>
      <c r="AN35" s="626"/>
      <c r="AO35" s="626"/>
      <c r="AP35" s="626"/>
      <c r="AQ35" s="627"/>
    </row>
    <row r="36" spans="1:43" ht="18" x14ac:dyDescent="0.25">
      <c r="A36" s="607" t="s">
        <v>315</v>
      </c>
      <c r="B36" s="601">
        <f>+'5 ALMACEN '!R13</f>
        <v>0</v>
      </c>
      <c r="C36" s="819"/>
      <c r="D36" s="819"/>
      <c r="E36" s="819"/>
      <c r="F36" s="819"/>
      <c r="G36" s="607" t="s">
        <v>354</v>
      </c>
      <c r="H36" s="601">
        <f>+'5 ALMACEN '!R28</f>
        <v>0</v>
      </c>
      <c r="I36" s="819"/>
      <c r="J36" s="630">
        <v>112</v>
      </c>
      <c r="K36" s="601"/>
      <c r="L36" s="819"/>
      <c r="M36" s="819"/>
      <c r="N36" s="819"/>
      <c r="O36" s="819"/>
      <c r="P36" s="819"/>
      <c r="Q36" s="819"/>
      <c r="R36" s="819"/>
      <c r="S36" s="819"/>
      <c r="T36" s="819"/>
      <c r="U36" s="820"/>
      <c r="V36" s="820"/>
      <c r="W36" s="820"/>
      <c r="X36" s="820"/>
      <c r="Y36" s="820"/>
      <c r="Z36" s="820"/>
      <c r="AA36" s="820"/>
      <c r="AB36" s="820"/>
      <c r="AC36" s="820"/>
      <c r="AD36" s="820"/>
      <c r="AE36" s="820"/>
      <c r="AF36" s="820"/>
      <c r="AI36" s="628" t="s">
        <v>451</v>
      </c>
      <c r="AJ36" s="629"/>
      <c r="AK36" s="629"/>
      <c r="AL36" s="629"/>
      <c r="AM36" s="629"/>
      <c r="AN36" s="629"/>
      <c r="AO36" s="629"/>
      <c r="AP36" s="629"/>
      <c r="AQ36" s="629"/>
    </row>
    <row r="37" spans="1:43" x14ac:dyDescent="0.2">
      <c r="A37" s="607" t="s">
        <v>316</v>
      </c>
      <c r="B37" s="601">
        <f>+'5 ALMACEN '!R8</f>
        <v>0</v>
      </c>
      <c r="C37" s="819"/>
      <c r="D37" s="819"/>
      <c r="E37" s="819"/>
      <c r="F37" s="819"/>
      <c r="G37" s="600" t="s">
        <v>60</v>
      </c>
      <c r="H37" s="601">
        <f>+'5 ALMACEN '!AA40+'5 ALMACEN '!AA41+'5 ALMACEN '!AA42</f>
        <v>0</v>
      </c>
      <c r="I37" s="819"/>
      <c r="J37" s="819"/>
      <c r="K37" s="819"/>
      <c r="L37" s="819"/>
      <c r="M37" s="819"/>
      <c r="N37" s="819"/>
      <c r="O37" s="819"/>
      <c r="P37" s="819"/>
      <c r="Q37" s="819"/>
      <c r="R37" s="819"/>
      <c r="S37" s="819"/>
      <c r="T37" s="819"/>
      <c r="U37" s="820"/>
      <c r="V37" s="820"/>
      <c r="W37" s="820"/>
      <c r="X37" s="820"/>
      <c r="Y37" s="820"/>
      <c r="Z37" s="820"/>
      <c r="AA37" s="820"/>
      <c r="AB37" s="820"/>
      <c r="AC37" s="820"/>
      <c r="AD37" s="820"/>
      <c r="AE37" s="820"/>
      <c r="AF37" s="820"/>
      <c r="AI37" s="584" t="s">
        <v>444</v>
      </c>
      <c r="AJ37" s="584"/>
      <c r="AK37" s="584">
        <v>0.3</v>
      </c>
      <c r="AL37" s="584">
        <v>0.6</v>
      </c>
      <c r="AM37" s="584">
        <v>0.7</v>
      </c>
      <c r="AN37" s="584">
        <v>0.85</v>
      </c>
      <c r="AO37" s="584">
        <v>1.1000000000000001</v>
      </c>
      <c r="AP37" s="584">
        <v>1.4</v>
      </c>
      <c r="AQ37" s="584"/>
    </row>
    <row r="38" spans="1:43" x14ac:dyDescent="0.2">
      <c r="A38" s="607" t="s">
        <v>317</v>
      </c>
      <c r="B38" s="601">
        <f>+'5 ALMACEN '!R16</f>
        <v>0</v>
      </c>
      <c r="C38" s="819"/>
      <c r="D38" s="819"/>
      <c r="E38" s="819"/>
      <c r="F38" s="819"/>
      <c r="G38" s="819"/>
      <c r="H38" s="819"/>
      <c r="I38" s="819"/>
      <c r="J38" s="820"/>
      <c r="K38" s="820"/>
      <c r="L38" s="819"/>
      <c r="M38" s="819"/>
      <c r="N38" s="819"/>
      <c r="O38" s="819"/>
      <c r="P38" s="819"/>
      <c r="Q38" s="819"/>
      <c r="R38" s="819"/>
      <c r="S38" s="819"/>
      <c r="T38" s="819"/>
      <c r="U38" s="820"/>
      <c r="V38" s="820"/>
      <c r="W38" s="820"/>
      <c r="X38" s="820"/>
      <c r="Y38" s="820"/>
      <c r="Z38" s="820"/>
      <c r="AA38" s="820"/>
      <c r="AB38" s="820"/>
      <c r="AC38" s="820"/>
      <c r="AD38" s="820"/>
      <c r="AE38" s="820"/>
      <c r="AF38" s="820"/>
      <c r="AI38" s="584" t="s">
        <v>445</v>
      </c>
      <c r="AJ38" s="584"/>
      <c r="AK38" s="600">
        <v>0.28000000000000003</v>
      </c>
      <c r="AL38" s="600">
        <v>0.56000000000000005</v>
      </c>
      <c r="AM38" s="600">
        <v>0.7</v>
      </c>
      <c r="AN38" s="600">
        <v>0.84</v>
      </c>
      <c r="AO38" s="600">
        <v>1.1200000000000001</v>
      </c>
      <c r="AP38" s="600">
        <v>1.4</v>
      </c>
      <c r="AQ38" s="584"/>
    </row>
    <row r="39" spans="1:43" ht="15.75" x14ac:dyDescent="0.25">
      <c r="A39" s="607" t="s">
        <v>318</v>
      </c>
      <c r="B39" s="601">
        <f>+'5 ALMACEN '!R14</f>
        <v>0</v>
      </c>
      <c r="C39" s="819"/>
      <c r="D39" s="819"/>
      <c r="E39" s="819"/>
      <c r="F39" s="819"/>
      <c r="G39" s="819"/>
      <c r="H39" s="819"/>
      <c r="I39" s="819"/>
      <c r="J39" s="820"/>
      <c r="K39" s="820"/>
      <c r="L39" s="819"/>
      <c r="M39" s="819"/>
      <c r="N39" s="819"/>
      <c r="O39" s="819"/>
      <c r="P39" s="819"/>
      <c r="Q39" s="819"/>
      <c r="R39" s="819"/>
      <c r="S39" s="819"/>
      <c r="T39" s="819"/>
      <c r="U39" s="820"/>
      <c r="V39" s="820"/>
      <c r="W39" s="820"/>
      <c r="X39" s="820"/>
      <c r="Y39" s="820"/>
      <c r="Z39" s="820"/>
      <c r="AA39" s="820"/>
      <c r="AB39" s="820"/>
      <c r="AC39" s="820"/>
      <c r="AD39" s="820"/>
      <c r="AE39" s="820"/>
      <c r="AF39" s="820"/>
      <c r="AI39" s="622" t="s">
        <v>105</v>
      </c>
      <c r="AJ39" s="622"/>
      <c r="AK39" s="623">
        <f t="shared" ref="AK39:AP39" si="2">+AJ11</f>
        <v>0</v>
      </c>
      <c r="AL39" s="623">
        <f t="shared" si="2"/>
        <v>0</v>
      </c>
      <c r="AM39" s="623">
        <f t="shared" si="2"/>
        <v>0</v>
      </c>
      <c r="AN39" s="623">
        <f t="shared" si="2"/>
        <v>0</v>
      </c>
      <c r="AO39" s="623">
        <f t="shared" si="2"/>
        <v>0</v>
      </c>
      <c r="AP39" s="623">
        <f t="shared" si="2"/>
        <v>0</v>
      </c>
      <c r="AQ39" s="624" t="s">
        <v>446</v>
      </c>
    </row>
    <row r="40" spans="1:43" x14ac:dyDescent="0.2">
      <c r="A40" s="607" t="s">
        <v>319</v>
      </c>
      <c r="B40" s="601">
        <f>+'5 ALMACEN '!R17</f>
        <v>0</v>
      </c>
      <c r="C40" s="819"/>
      <c r="D40" s="819"/>
      <c r="E40" s="819"/>
      <c r="F40" s="819"/>
      <c r="G40" s="819"/>
      <c r="H40" s="819"/>
      <c r="I40" s="819"/>
      <c r="J40" s="820"/>
      <c r="K40" s="820"/>
      <c r="L40" s="819"/>
      <c r="M40" s="819"/>
      <c r="N40" s="819"/>
      <c r="O40" s="819"/>
      <c r="P40" s="819"/>
      <c r="Q40" s="819"/>
      <c r="R40" s="819"/>
      <c r="S40" s="819"/>
      <c r="T40" s="819"/>
      <c r="U40" s="820"/>
      <c r="V40" s="820"/>
      <c r="W40" s="820"/>
      <c r="X40" s="820"/>
      <c r="Y40" s="820"/>
      <c r="Z40" s="820"/>
      <c r="AA40" s="820"/>
      <c r="AB40" s="820"/>
      <c r="AC40" s="820"/>
      <c r="AD40" s="820"/>
      <c r="AE40" s="820"/>
      <c r="AF40" s="820"/>
      <c r="AI40" s="584" t="s">
        <v>450</v>
      </c>
      <c r="AJ40" s="584">
        <v>1</v>
      </c>
      <c r="AK40" s="584">
        <f>0.08*AK39</f>
        <v>0</v>
      </c>
      <c r="AL40" s="584">
        <f>0.35*AL39</f>
        <v>0</v>
      </c>
      <c r="AM40" s="584">
        <f>0.42*AM39</f>
        <v>0</v>
      </c>
      <c r="AN40" s="584">
        <f>0.66*AN39</f>
        <v>0</v>
      </c>
      <c r="AO40" s="584">
        <f>0.66*AO39</f>
        <v>0</v>
      </c>
      <c r="AP40" s="584">
        <f>0.85*AP39</f>
        <v>0</v>
      </c>
      <c r="AQ40" s="625">
        <f>SUM(AK40:AP40)</f>
        <v>0</v>
      </c>
    </row>
    <row r="41" spans="1:43" x14ac:dyDescent="0.2">
      <c r="A41" s="607" t="s">
        <v>320</v>
      </c>
      <c r="B41" s="601">
        <f>+'5 ALMACEN '!R18</f>
        <v>0</v>
      </c>
      <c r="C41" s="819"/>
      <c r="D41" s="819"/>
      <c r="E41" s="819"/>
      <c r="F41" s="819"/>
      <c r="G41" s="819"/>
      <c r="H41" s="819"/>
      <c r="I41" s="819"/>
      <c r="J41" s="820"/>
      <c r="K41" s="820"/>
      <c r="L41" s="819"/>
      <c r="M41" s="819"/>
      <c r="N41" s="819"/>
      <c r="O41" s="819"/>
      <c r="P41" s="819"/>
      <c r="Q41" s="819"/>
      <c r="R41" s="819"/>
      <c r="S41" s="819"/>
      <c r="T41" s="819"/>
      <c r="U41" s="820"/>
      <c r="V41" s="820"/>
      <c r="W41" s="820"/>
      <c r="X41" s="820"/>
      <c r="Y41" s="820"/>
      <c r="Z41" s="820"/>
      <c r="AA41" s="820"/>
      <c r="AB41" s="820"/>
      <c r="AC41" s="820"/>
      <c r="AD41" s="820"/>
      <c r="AE41" s="820"/>
      <c r="AF41" s="820"/>
      <c r="AI41" s="584"/>
      <c r="AJ41" s="584"/>
      <c r="AK41" s="584"/>
      <c r="AL41" s="584"/>
      <c r="AM41" s="584"/>
      <c r="AN41" s="584"/>
      <c r="AO41" s="584"/>
      <c r="AP41" s="584"/>
      <c r="AQ41" s="627"/>
    </row>
    <row r="42" spans="1:43" ht="18" x14ac:dyDescent="0.25">
      <c r="A42" s="607"/>
      <c r="B42" s="601"/>
      <c r="C42" s="819"/>
      <c r="D42" s="819"/>
      <c r="E42" s="819"/>
      <c r="F42" s="819"/>
      <c r="G42" s="819"/>
      <c r="H42" s="819"/>
      <c r="I42" s="819"/>
      <c r="J42" s="819"/>
      <c r="K42" s="819"/>
      <c r="L42" s="819"/>
      <c r="M42" s="819"/>
      <c r="N42" s="819"/>
      <c r="O42" s="819"/>
      <c r="P42" s="819"/>
      <c r="Q42" s="819"/>
      <c r="R42" s="819"/>
      <c r="S42" s="819"/>
      <c r="T42" s="819"/>
      <c r="U42" s="820"/>
      <c r="V42" s="820"/>
      <c r="W42" s="820"/>
      <c r="X42" s="820"/>
      <c r="Y42" s="820"/>
      <c r="Z42" s="820"/>
      <c r="AA42" s="820"/>
      <c r="AB42" s="820"/>
      <c r="AC42" s="820"/>
      <c r="AD42" s="820"/>
      <c r="AE42" s="820"/>
      <c r="AF42" s="820"/>
      <c r="AG42" s="820"/>
      <c r="AI42" s="628" t="s">
        <v>429</v>
      </c>
      <c r="AJ42" s="629"/>
      <c r="AK42" s="629"/>
      <c r="AL42" s="629"/>
      <c r="AM42" s="629"/>
      <c r="AN42" s="629"/>
      <c r="AO42" s="629"/>
      <c r="AP42" s="629"/>
      <c r="AQ42" s="629"/>
    </row>
    <row r="43" spans="1:43" x14ac:dyDescent="0.2">
      <c r="A43" s="607"/>
      <c r="B43" s="601"/>
      <c r="C43" s="819"/>
      <c r="D43" s="819"/>
      <c r="E43" s="819"/>
      <c r="F43" s="819"/>
      <c r="G43" s="819"/>
      <c r="H43" s="819"/>
      <c r="I43" s="819"/>
      <c r="J43" s="819"/>
      <c r="K43" s="819"/>
      <c r="L43" s="819"/>
      <c r="M43" s="819"/>
      <c r="N43" s="819"/>
      <c r="O43" s="819"/>
      <c r="P43" s="819"/>
      <c r="Q43" s="819"/>
      <c r="R43" s="819"/>
      <c r="S43" s="819"/>
      <c r="T43" s="819"/>
      <c r="U43" s="820"/>
      <c r="V43" s="820"/>
      <c r="W43" s="820"/>
      <c r="X43" s="820"/>
      <c r="Y43" s="820"/>
      <c r="Z43" s="820"/>
      <c r="AA43" s="820"/>
      <c r="AB43" s="820"/>
      <c r="AC43" s="820"/>
      <c r="AD43" s="820"/>
      <c r="AE43" s="820"/>
      <c r="AF43" s="820"/>
      <c r="AG43" s="820"/>
      <c r="AI43" s="584" t="s">
        <v>444</v>
      </c>
      <c r="AJ43" s="584"/>
      <c r="AK43" s="584">
        <v>0.3</v>
      </c>
      <c r="AL43" s="584">
        <v>0.6</v>
      </c>
      <c r="AM43" s="584">
        <v>0.7</v>
      </c>
      <c r="AN43" s="584">
        <v>0.85</v>
      </c>
      <c r="AO43" s="584">
        <v>1.1000000000000001</v>
      </c>
      <c r="AP43" s="584">
        <v>1.4</v>
      </c>
      <c r="AQ43" s="584"/>
    </row>
    <row r="44" spans="1:43" x14ac:dyDescent="0.2">
      <c r="A44" s="607"/>
      <c r="B44" s="601"/>
      <c r="C44" s="819"/>
      <c r="D44" s="819"/>
      <c r="E44" s="819"/>
      <c r="F44" s="819"/>
      <c r="G44" s="819"/>
      <c r="H44" s="819"/>
      <c r="I44" s="819"/>
      <c r="J44" s="819"/>
      <c r="K44" s="819"/>
      <c r="L44" s="819"/>
      <c r="M44" s="819"/>
      <c r="N44" s="819"/>
      <c r="O44" s="819"/>
      <c r="P44" s="819"/>
      <c r="Q44" s="819"/>
      <c r="R44" s="819"/>
      <c r="S44" s="819"/>
      <c r="T44" s="819"/>
      <c r="U44" s="820"/>
      <c r="V44" s="820"/>
      <c r="W44" s="820"/>
      <c r="X44" s="820"/>
      <c r="Y44" s="820"/>
      <c r="Z44" s="820"/>
      <c r="AA44" s="820"/>
      <c r="AB44" s="820"/>
      <c r="AC44" s="820"/>
      <c r="AD44" s="820"/>
      <c r="AE44" s="820"/>
      <c r="AF44" s="820"/>
      <c r="AG44" s="820"/>
      <c r="AI44" s="584" t="s">
        <v>445</v>
      </c>
      <c r="AJ44" s="584"/>
      <c r="AK44" s="600">
        <v>0.28000000000000003</v>
      </c>
      <c r="AL44" s="600">
        <v>0.56000000000000005</v>
      </c>
      <c r="AM44" s="600">
        <v>0.7</v>
      </c>
      <c r="AN44" s="600">
        <v>0.84</v>
      </c>
      <c r="AO44" s="600">
        <v>1.1200000000000001</v>
      </c>
      <c r="AP44" s="600">
        <v>1.4</v>
      </c>
      <c r="AQ44" s="584"/>
    </row>
    <row r="45" spans="1:43" ht="15.75" x14ac:dyDescent="0.25">
      <c r="A45" s="607"/>
      <c r="B45" s="601"/>
      <c r="C45" s="819"/>
      <c r="D45" s="819"/>
      <c r="E45" s="819"/>
      <c r="F45" s="819"/>
      <c r="G45" s="819"/>
      <c r="H45" s="819"/>
      <c r="I45" s="819"/>
      <c r="J45" s="819"/>
      <c r="K45" s="819"/>
      <c r="L45" s="819"/>
      <c r="M45" s="819"/>
      <c r="N45" s="819"/>
      <c r="O45" s="819"/>
      <c r="P45" s="819"/>
      <c r="Q45" s="819"/>
      <c r="R45" s="819"/>
      <c r="S45" s="819"/>
      <c r="T45" s="819"/>
      <c r="U45" s="820"/>
      <c r="V45" s="820"/>
      <c r="W45" s="820"/>
      <c r="X45" s="820"/>
      <c r="Y45" s="820"/>
      <c r="Z45" s="820"/>
      <c r="AA45" s="820"/>
      <c r="AB45" s="820"/>
      <c r="AC45" s="820"/>
      <c r="AD45" s="820"/>
      <c r="AE45" s="820"/>
      <c r="AF45" s="820"/>
      <c r="AG45" s="820"/>
      <c r="AI45" s="622" t="s">
        <v>105</v>
      </c>
      <c r="AJ45" s="622"/>
      <c r="AK45" s="623">
        <f t="shared" ref="AK45:AP45" si="3">+AJ12</f>
        <v>0</v>
      </c>
      <c r="AL45" s="623">
        <f t="shared" si="3"/>
        <v>0</v>
      </c>
      <c r="AM45" s="623">
        <f t="shared" si="3"/>
        <v>0</v>
      </c>
      <c r="AN45" s="623">
        <f t="shared" si="3"/>
        <v>0</v>
      </c>
      <c r="AO45" s="623">
        <f t="shared" si="3"/>
        <v>0</v>
      </c>
      <c r="AP45" s="623">
        <f t="shared" si="3"/>
        <v>0</v>
      </c>
      <c r="AQ45" s="624" t="s">
        <v>446</v>
      </c>
    </row>
    <row r="46" spans="1:43" ht="15.75" x14ac:dyDescent="0.25">
      <c r="A46" s="607"/>
      <c r="B46" s="601"/>
      <c r="C46" s="819"/>
      <c r="D46" s="819"/>
      <c r="E46" s="819"/>
      <c r="F46" s="819"/>
      <c r="G46" s="819"/>
      <c r="H46" s="819"/>
      <c r="I46" s="819"/>
      <c r="J46" s="819"/>
      <c r="K46" s="819"/>
      <c r="L46" s="819"/>
      <c r="M46" s="819"/>
      <c r="N46" s="819"/>
      <c r="O46" s="819"/>
      <c r="P46" s="819"/>
      <c r="Q46" s="819"/>
      <c r="R46" s="819"/>
      <c r="S46" s="819"/>
      <c r="T46" s="819"/>
      <c r="U46" s="820"/>
      <c r="V46" s="820"/>
      <c r="W46" s="820"/>
      <c r="X46" s="820"/>
      <c r="Y46" s="820"/>
      <c r="Z46" s="820"/>
      <c r="AA46" s="820"/>
      <c r="AB46" s="820"/>
      <c r="AC46" s="820"/>
      <c r="AD46" s="820"/>
      <c r="AE46" s="820"/>
      <c r="AF46" s="820"/>
      <c r="AG46" s="820"/>
      <c r="AI46" s="622"/>
      <c r="AJ46" s="622"/>
      <c r="AK46" s="623"/>
      <c r="AL46" s="623"/>
      <c r="AM46" s="623"/>
      <c r="AN46" s="623"/>
      <c r="AO46" s="623"/>
      <c r="AP46" s="623"/>
      <c r="AQ46" s="624"/>
    </row>
    <row r="47" spans="1:43" ht="15.75" x14ac:dyDescent="0.25">
      <c r="A47" s="1630" t="s">
        <v>452</v>
      </c>
      <c r="B47" s="1630"/>
      <c r="C47" s="819"/>
      <c r="D47" s="819"/>
      <c r="E47" s="819"/>
      <c r="F47" s="819"/>
      <c r="G47" s="819"/>
      <c r="H47" s="819"/>
      <c r="I47" s="819"/>
      <c r="J47" s="819"/>
      <c r="K47" s="819"/>
      <c r="L47" s="819"/>
      <c r="M47" s="819"/>
      <c r="N47" s="819"/>
      <c r="O47" s="819"/>
      <c r="P47" s="819"/>
      <c r="Q47" s="819"/>
      <c r="R47" s="819"/>
      <c r="S47" s="819"/>
      <c r="T47" s="819"/>
      <c r="U47" s="820"/>
      <c r="V47" s="820"/>
      <c r="W47" s="820"/>
      <c r="X47" s="820"/>
      <c r="Y47" s="820"/>
      <c r="Z47" s="820"/>
      <c r="AA47" s="820"/>
      <c r="AB47" s="820"/>
      <c r="AC47" s="820"/>
      <c r="AD47" s="820"/>
      <c r="AE47" s="820"/>
      <c r="AF47" s="820"/>
      <c r="AG47" s="820"/>
      <c r="AI47" s="584" t="s">
        <v>450</v>
      </c>
      <c r="AJ47" s="584">
        <v>1</v>
      </c>
      <c r="AK47" s="584">
        <f>0.08*AK45</f>
        <v>0</v>
      </c>
      <c r="AL47" s="584">
        <f>0.35*AL45</f>
        <v>0</v>
      </c>
      <c r="AM47" s="584">
        <f>0.42*AM45</f>
        <v>0</v>
      </c>
      <c r="AN47" s="584">
        <f>0.57*AN45</f>
        <v>0</v>
      </c>
      <c r="AO47" s="584">
        <f>0.75*AO45</f>
        <v>0</v>
      </c>
      <c r="AP47" s="584">
        <f>0.85*AP45</f>
        <v>0</v>
      </c>
      <c r="AQ47" s="625">
        <f>SUM(AK47:AP47)</f>
        <v>0</v>
      </c>
    </row>
    <row r="48" spans="1:43" x14ac:dyDescent="0.2">
      <c r="A48" s="607"/>
      <c r="B48" s="601"/>
      <c r="C48" s="819"/>
      <c r="D48" s="819"/>
      <c r="E48" s="819"/>
      <c r="F48" s="819"/>
      <c r="G48" s="819"/>
      <c r="H48" s="819"/>
      <c r="I48" s="819"/>
      <c r="J48" s="819"/>
      <c r="K48" s="819"/>
      <c r="L48" s="819"/>
      <c r="M48" s="819"/>
      <c r="N48" s="819"/>
      <c r="O48" s="819"/>
      <c r="P48" s="819"/>
      <c r="Q48" s="819"/>
      <c r="R48" s="819"/>
      <c r="S48" s="819"/>
      <c r="T48" s="819"/>
      <c r="U48" s="820"/>
      <c r="V48" s="820"/>
      <c r="W48" s="820"/>
      <c r="X48" s="820"/>
      <c r="Y48" s="820"/>
      <c r="Z48" s="820"/>
      <c r="AA48" s="820"/>
      <c r="AB48" s="820"/>
      <c r="AC48" s="820"/>
      <c r="AD48" s="820"/>
      <c r="AE48" s="820"/>
      <c r="AF48" s="820"/>
      <c r="AG48" s="820"/>
      <c r="AI48" s="631"/>
      <c r="AJ48" s="631"/>
      <c r="AK48" s="631"/>
      <c r="AL48" s="631"/>
      <c r="AM48" s="631"/>
      <c r="AN48" s="631"/>
      <c r="AO48" s="631"/>
      <c r="AP48" s="631"/>
      <c r="AQ48" s="631"/>
    </row>
    <row r="49" spans="1:43" ht="18" x14ac:dyDescent="0.25">
      <c r="A49" s="607" t="s">
        <v>321</v>
      </c>
      <c r="B49" s="601">
        <f>+'5 ALMACEN '!R38</f>
        <v>0</v>
      </c>
      <c r="C49" s="819"/>
      <c r="D49" s="636"/>
      <c r="E49" s="636"/>
      <c r="F49" s="819"/>
      <c r="G49" s="819"/>
      <c r="H49" s="819"/>
      <c r="I49" s="819"/>
      <c r="J49" s="819"/>
      <c r="K49" s="819"/>
      <c r="L49" s="819"/>
      <c r="M49" s="819"/>
      <c r="N49" s="819"/>
      <c r="O49" s="819"/>
      <c r="P49" s="819"/>
      <c r="Q49" s="819"/>
      <c r="R49" s="819"/>
      <c r="S49" s="819"/>
      <c r="T49" s="819"/>
      <c r="U49" s="820"/>
      <c r="V49" s="820"/>
      <c r="W49" s="820"/>
      <c r="X49" s="820"/>
      <c r="Y49" s="820"/>
      <c r="Z49" s="820"/>
      <c r="AA49" s="820"/>
      <c r="AB49" s="820"/>
      <c r="AC49" s="820"/>
      <c r="AD49" s="820"/>
      <c r="AE49" s="820"/>
      <c r="AF49" s="820"/>
      <c r="AG49" s="820"/>
      <c r="AI49" s="584"/>
      <c r="AJ49" s="632"/>
      <c r="AK49" s="632"/>
      <c r="AL49" s="632" t="s">
        <v>436</v>
      </c>
      <c r="AM49" s="632"/>
      <c r="AN49" s="632"/>
      <c r="AO49" s="632"/>
      <c r="AP49" s="632"/>
      <c r="AQ49" s="632"/>
    </row>
    <row r="50" spans="1:43" ht="15.75" x14ac:dyDescent="0.25">
      <c r="A50" s="607" t="s">
        <v>322</v>
      </c>
      <c r="B50" s="601">
        <f>+'5 ALMACEN '!R39</f>
        <v>0</v>
      </c>
      <c r="C50" s="819"/>
      <c r="D50" s="636"/>
      <c r="E50" s="636"/>
      <c r="F50" s="819"/>
      <c r="G50" s="819"/>
      <c r="H50" s="819"/>
      <c r="I50" s="819"/>
      <c r="J50" s="819"/>
      <c r="K50" s="819"/>
      <c r="L50" s="819"/>
      <c r="M50" s="819"/>
      <c r="N50" s="819"/>
      <c r="O50" s="819"/>
      <c r="P50" s="819"/>
      <c r="Q50" s="819"/>
      <c r="R50" s="819"/>
      <c r="S50" s="819"/>
      <c r="T50" s="819"/>
      <c r="U50" s="820"/>
      <c r="V50" s="820"/>
      <c r="W50" s="820"/>
      <c r="X50" s="820"/>
      <c r="Y50" s="820"/>
      <c r="Z50" s="820"/>
      <c r="AA50" s="820"/>
      <c r="AB50" s="820"/>
      <c r="AC50" s="820"/>
      <c r="AD50" s="820"/>
      <c r="AE50" s="820"/>
      <c r="AF50" s="820"/>
      <c r="AG50" s="820"/>
      <c r="AI50" s="622" t="s">
        <v>453</v>
      </c>
      <c r="AJ50" s="584"/>
      <c r="AK50" s="584"/>
      <c r="AL50" s="584"/>
      <c r="AM50" s="584"/>
      <c r="AN50" s="584"/>
      <c r="AO50" s="584"/>
      <c r="AP50" s="584"/>
      <c r="AQ50" s="584"/>
    </row>
    <row r="51" spans="1:43" ht="15.75" x14ac:dyDescent="0.25">
      <c r="A51" s="607" t="s">
        <v>323</v>
      </c>
      <c r="B51" s="601">
        <f>+'5 ALMACEN '!R40</f>
        <v>0</v>
      </c>
      <c r="C51" s="819"/>
      <c r="D51" s="636"/>
      <c r="E51" s="636"/>
      <c r="F51" s="819"/>
      <c r="G51" s="819"/>
      <c r="H51" s="819"/>
      <c r="I51" s="819"/>
      <c r="J51" s="819"/>
      <c r="K51" s="819"/>
      <c r="L51" s="819"/>
      <c r="M51" s="819"/>
      <c r="N51" s="819"/>
      <c r="O51" s="819"/>
      <c r="P51" s="819"/>
      <c r="Q51" s="819"/>
      <c r="R51" s="819"/>
      <c r="S51" s="819"/>
      <c r="T51" s="819"/>
      <c r="U51" s="820"/>
      <c r="V51" s="820"/>
      <c r="W51" s="820"/>
      <c r="X51" s="820"/>
      <c r="Y51" s="820"/>
      <c r="Z51" s="820"/>
      <c r="AA51" s="820"/>
      <c r="AB51" s="820"/>
      <c r="AC51" s="820"/>
      <c r="AD51" s="820"/>
      <c r="AE51" s="820"/>
      <c r="AF51" s="820"/>
      <c r="AG51" s="820"/>
      <c r="AI51" s="622" t="s">
        <v>454</v>
      </c>
      <c r="AJ51" s="622"/>
      <c r="AK51" s="623">
        <f t="shared" ref="AK51:AP51" si="4">+AJ16</f>
        <v>0</v>
      </c>
      <c r="AL51" s="623">
        <f t="shared" si="4"/>
        <v>0</v>
      </c>
      <c r="AM51" s="623">
        <f t="shared" si="4"/>
        <v>0</v>
      </c>
      <c r="AN51" s="623">
        <f t="shared" si="4"/>
        <v>0</v>
      </c>
      <c r="AO51" s="623">
        <f t="shared" si="4"/>
        <v>0</v>
      </c>
      <c r="AP51" s="623">
        <f t="shared" si="4"/>
        <v>0</v>
      </c>
      <c r="AQ51" s="624" t="s">
        <v>446</v>
      </c>
    </row>
    <row r="52" spans="1:43" x14ac:dyDescent="0.2">
      <c r="A52" s="819"/>
      <c r="B52" s="819"/>
      <c r="C52" s="819"/>
      <c r="D52" s="636"/>
      <c r="E52" s="636"/>
      <c r="F52" s="819"/>
      <c r="G52" s="819"/>
      <c r="H52" s="819"/>
      <c r="I52" s="819"/>
      <c r="J52" s="819"/>
      <c r="K52" s="819"/>
      <c r="L52" s="819"/>
      <c r="M52" s="819"/>
      <c r="N52" s="819"/>
      <c r="O52" s="819"/>
      <c r="P52" s="819"/>
      <c r="Q52" s="819"/>
      <c r="R52" s="819"/>
      <c r="S52" s="819"/>
      <c r="T52" s="819"/>
      <c r="U52" s="820"/>
      <c r="V52" s="820"/>
      <c r="W52" s="820"/>
      <c r="X52" s="820"/>
      <c r="Y52" s="820"/>
      <c r="Z52" s="820"/>
      <c r="AA52" s="820"/>
      <c r="AB52" s="820"/>
      <c r="AC52" s="820"/>
      <c r="AD52" s="820"/>
      <c r="AE52" s="820"/>
      <c r="AF52" s="820"/>
      <c r="AG52" s="820"/>
      <c r="AI52" s="584" t="s">
        <v>450</v>
      </c>
      <c r="AJ52" s="584">
        <v>1</v>
      </c>
      <c r="AK52" s="584">
        <f>0.1*AK51</f>
        <v>0</v>
      </c>
      <c r="AL52" s="584">
        <f>1/8*AL51</f>
        <v>0</v>
      </c>
      <c r="AM52" s="584">
        <f>0.39*AM51</f>
        <v>0</v>
      </c>
      <c r="AN52" s="584">
        <f>0.42*AN51</f>
        <v>0</v>
      </c>
      <c r="AO52" s="584">
        <f>0.45*AO51</f>
        <v>0</v>
      </c>
      <c r="AP52" s="584">
        <f>1/2.3*AP51</f>
        <v>0</v>
      </c>
      <c r="AQ52" s="625">
        <f>SUM(AK52:AP52)</f>
        <v>0</v>
      </c>
    </row>
    <row r="53" spans="1:43" x14ac:dyDescent="0.2">
      <c r="A53" s="819"/>
      <c r="B53" s="819"/>
      <c r="C53" s="819"/>
      <c r="D53" s="636"/>
      <c r="E53" s="636"/>
      <c r="F53" s="819"/>
      <c r="G53" s="819"/>
      <c r="H53" s="819"/>
      <c r="I53" s="819"/>
      <c r="J53" s="819"/>
      <c r="K53" s="819"/>
      <c r="L53" s="819"/>
      <c r="M53" s="819"/>
      <c r="N53" s="819"/>
      <c r="O53" s="819"/>
      <c r="P53" s="819"/>
      <c r="Q53" s="819"/>
      <c r="R53" s="819"/>
      <c r="S53" s="819"/>
      <c r="T53" s="819"/>
      <c r="U53" s="820"/>
      <c r="V53" s="820"/>
      <c r="W53" s="820"/>
      <c r="X53" s="820"/>
      <c r="Y53" s="820"/>
      <c r="Z53" s="820"/>
      <c r="AA53" s="820"/>
      <c r="AB53" s="820"/>
      <c r="AC53" s="820"/>
      <c r="AD53" s="820"/>
      <c r="AE53" s="820"/>
      <c r="AF53" s="820"/>
      <c r="AG53" s="820"/>
      <c r="AI53" s="626"/>
      <c r="AJ53" s="626"/>
      <c r="AK53" s="626"/>
      <c r="AL53" s="626"/>
      <c r="AM53" s="626"/>
      <c r="AN53" s="626"/>
      <c r="AO53" s="626"/>
      <c r="AP53" s="626"/>
      <c r="AQ53" s="627"/>
    </row>
    <row r="54" spans="1:43" ht="15.75" x14ac:dyDescent="0.25">
      <c r="A54" s="819"/>
      <c r="B54" s="819"/>
      <c r="C54" s="819"/>
      <c r="D54" s="636"/>
      <c r="E54" s="636"/>
      <c r="F54" s="819"/>
      <c r="G54" s="819"/>
      <c r="H54" s="819"/>
      <c r="I54" s="819"/>
      <c r="J54" s="819"/>
      <c r="K54" s="819"/>
      <c r="L54" s="819"/>
      <c r="M54" s="819"/>
      <c r="N54" s="819"/>
      <c r="O54" s="819"/>
      <c r="P54" s="819"/>
      <c r="Q54" s="819"/>
      <c r="R54" s="819"/>
      <c r="S54" s="819"/>
      <c r="T54" s="819"/>
      <c r="U54" s="820"/>
      <c r="V54" s="820"/>
      <c r="W54" s="820"/>
      <c r="X54" s="820"/>
      <c r="Y54" s="820"/>
      <c r="Z54" s="820"/>
      <c r="AA54" s="820"/>
      <c r="AB54" s="820"/>
      <c r="AC54" s="820"/>
      <c r="AD54" s="820"/>
      <c r="AE54" s="820"/>
      <c r="AF54" s="820"/>
      <c r="AG54" s="820"/>
      <c r="AI54" s="633" t="s">
        <v>455</v>
      </c>
      <c r="AJ54" s="84"/>
      <c r="AK54" s="84"/>
      <c r="AL54" s="84"/>
      <c r="AM54" s="84"/>
      <c r="AN54" s="84"/>
      <c r="AO54" s="84"/>
      <c r="AP54" s="84"/>
      <c r="AQ54" s="84"/>
    </row>
    <row r="55" spans="1:43" ht="15.75" x14ac:dyDescent="0.25">
      <c r="A55" s="819"/>
      <c r="B55" s="819"/>
      <c r="C55" s="819"/>
      <c r="D55" s="636"/>
      <c r="E55" s="636"/>
      <c r="F55" s="819"/>
      <c r="G55" s="819"/>
      <c r="H55" s="819"/>
      <c r="I55" s="819"/>
      <c r="J55" s="819"/>
      <c r="K55" s="819"/>
      <c r="L55" s="819"/>
      <c r="M55" s="819"/>
      <c r="N55" s="819"/>
      <c r="O55" s="819"/>
      <c r="P55" s="819"/>
      <c r="Q55" s="819"/>
      <c r="R55" s="819"/>
      <c r="S55" s="819"/>
      <c r="T55" s="819"/>
      <c r="U55" s="820"/>
      <c r="V55" s="820"/>
      <c r="W55" s="820"/>
      <c r="X55" s="820"/>
      <c r="Y55" s="820"/>
      <c r="Z55" s="820"/>
      <c r="AA55" s="820"/>
      <c r="AB55" s="820"/>
      <c r="AC55" s="820"/>
      <c r="AD55" s="820"/>
      <c r="AE55" s="820"/>
      <c r="AF55" s="820"/>
      <c r="AG55" s="820"/>
      <c r="AI55" s="633" t="s">
        <v>454</v>
      </c>
      <c r="AJ55" s="633"/>
      <c r="AK55" s="634">
        <f t="shared" ref="AK55:AP55" si="5">+AJ18</f>
        <v>0</v>
      </c>
      <c r="AL55" s="634">
        <f t="shared" si="5"/>
        <v>0</v>
      </c>
      <c r="AM55" s="634">
        <f t="shared" si="5"/>
        <v>0</v>
      </c>
      <c r="AN55" s="634">
        <f t="shared" si="5"/>
        <v>0</v>
      </c>
      <c r="AO55" s="634">
        <f t="shared" si="5"/>
        <v>0</v>
      </c>
      <c r="AP55" s="634">
        <f t="shared" si="5"/>
        <v>0</v>
      </c>
      <c r="AQ55" s="635" t="s">
        <v>446</v>
      </c>
    </row>
    <row r="56" spans="1:43" x14ac:dyDescent="0.2">
      <c r="A56" s="819"/>
      <c r="B56" s="819"/>
      <c r="C56" s="819"/>
      <c r="D56" s="636"/>
      <c r="E56" s="636"/>
      <c r="F56" s="819"/>
      <c r="G56" s="819"/>
      <c r="H56" s="819"/>
      <c r="I56" s="819"/>
      <c r="J56" s="819"/>
      <c r="K56" s="819"/>
      <c r="L56" s="819"/>
      <c r="M56" s="819"/>
      <c r="N56" s="819"/>
      <c r="O56" s="819"/>
      <c r="P56" s="819"/>
      <c r="Q56" s="819"/>
      <c r="R56" s="819"/>
      <c r="S56" s="819"/>
      <c r="T56" s="819"/>
      <c r="U56" s="820"/>
      <c r="V56" s="820"/>
      <c r="W56" s="820"/>
      <c r="X56" s="820"/>
      <c r="Y56" s="820"/>
      <c r="Z56" s="820"/>
      <c r="AA56" s="820"/>
      <c r="AB56" s="820"/>
      <c r="AC56" s="820"/>
      <c r="AD56" s="820"/>
      <c r="AE56" s="820"/>
      <c r="AF56" s="820"/>
      <c r="AG56" s="820"/>
      <c r="AI56" s="84" t="s">
        <v>450</v>
      </c>
      <c r="AJ56" s="84">
        <v>1</v>
      </c>
      <c r="AK56" s="84">
        <f>0.25*AK55</f>
        <v>0</v>
      </c>
      <c r="AL56" s="84">
        <f>0.5*AL55</f>
        <v>0</v>
      </c>
      <c r="AM56" s="84">
        <f>0.78*AM55</f>
        <v>0</v>
      </c>
      <c r="AN56" s="84">
        <f>0.84*AN55</f>
        <v>0</v>
      </c>
      <c r="AO56" s="84">
        <f>0.9*AO55</f>
        <v>0</v>
      </c>
      <c r="AP56" s="84">
        <f>1.04*AP55</f>
        <v>0</v>
      </c>
      <c r="AQ56" s="637">
        <f>SUM(AK56:AP56)</f>
        <v>0</v>
      </c>
    </row>
    <row r="57" spans="1:43" x14ac:dyDescent="0.2">
      <c r="A57" s="819"/>
      <c r="B57" s="819"/>
      <c r="C57" s="819"/>
      <c r="D57" s="636"/>
      <c r="E57" s="636"/>
      <c r="F57" s="819"/>
      <c r="G57" s="819"/>
      <c r="H57" s="819"/>
      <c r="I57" s="819"/>
      <c r="J57" s="819"/>
      <c r="K57" s="819"/>
      <c r="L57" s="819"/>
      <c r="M57" s="819"/>
      <c r="N57" s="819"/>
      <c r="O57" s="819"/>
      <c r="P57" s="819"/>
      <c r="Q57" s="819"/>
      <c r="R57" s="819"/>
      <c r="S57" s="819"/>
      <c r="T57" s="819"/>
      <c r="U57" s="820"/>
      <c r="V57" s="820"/>
      <c r="W57" s="820"/>
      <c r="X57" s="820"/>
      <c r="Y57" s="820"/>
      <c r="Z57" s="820"/>
      <c r="AA57" s="820"/>
      <c r="AB57" s="820"/>
      <c r="AC57" s="820"/>
      <c r="AD57" s="820"/>
      <c r="AE57" s="820"/>
      <c r="AF57" s="820"/>
      <c r="AG57" s="820"/>
      <c r="AI57" s="626"/>
      <c r="AJ57" s="626"/>
      <c r="AK57" s="626"/>
      <c r="AL57" s="626"/>
      <c r="AM57" s="626"/>
      <c r="AN57" s="626"/>
      <c r="AO57" s="638"/>
      <c r="AP57" s="626"/>
      <c r="AQ57" s="627"/>
    </row>
    <row r="58" spans="1:43" ht="15.75" x14ac:dyDescent="0.25">
      <c r="A58" s="819"/>
      <c r="B58" s="819"/>
      <c r="C58" s="819"/>
      <c r="D58" s="636"/>
      <c r="E58" s="636"/>
      <c r="F58" s="819"/>
      <c r="G58" s="636"/>
      <c r="H58" s="636"/>
      <c r="I58" s="819"/>
      <c r="J58" s="819"/>
      <c r="K58" s="819"/>
      <c r="L58" s="819"/>
      <c r="M58" s="819"/>
      <c r="N58" s="819"/>
      <c r="O58" s="819"/>
      <c r="P58" s="819"/>
      <c r="Q58" s="819"/>
      <c r="R58" s="819"/>
      <c r="S58" s="819"/>
      <c r="T58" s="819"/>
      <c r="U58" s="820"/>
      <c r="V58" s="820"/>
      <c r="W58" s="820"/>
      <c r="X58" s="820"/>
      <c r="Y58" s="820"/>
      <c r="Z58" s="820"/>
      <c r="AA58" s="820"/>
      <c r="AB58" s="820"/>
      <c r="AC58" s="820"/>
      <c r="AD58" s="820"/>
      <c r="AE58" s="820"/>
      <c r="AF58" s="820"/>
      <c r="AG58" s="820"/>
      <c r="AI58" s="622"/>
      <c r="AJ58" s="639"/>
      <c r="AK58" s="639"/>
      <c r="AL58" s="639"/>
      <c r="AM58" s="627"/>
      <c r="AN58" s="627"/>
      <c r="AO58" s="640"/>
      <c r="AP58" s="627"/>
      <c r="AQ58" s="627"/>
    </row>
    <row r="59" spans="1:43" x14ac:dyDescent="0.2">
      <c r="A59" s="819"/>
      <c r="B59" s="819"/>
      <c r="C59" s="819"/>
      <c r="D59" s="636"/>
      <c r="E59" s="636"/>
      <c r="F59" s="819"/>
      <c r="G59" s="636"/>
      <c r="H59" s="636"/>
      <c r="I59" s="819"/>
      <c r="J59" s="819"/>
      <c r="K59" s="819"/>
      <c r="L59" s="819"/>
      <c r="M59" s="819"/>
      <c r="N59" s="819"/>
      <c r="O59" s="819"/>
      <c r="P59" s="819"/>
      <c r="Q59" s="819"/>
      <c r="R59" s="819"/>
      <c r="S59" s="819"/>
      <c r="T59" s="819"/>
      <c r="U59" s="820"/>
      <c r="V59" s="820"/>
      <c r="W59" s="820"/>
      <c r="X59" s="820"/>
      <c r="Y59" s="820"/>
      <c r="Z59" s="820"/>
      <c r="AA59" s="820"/>
      <c r="AB59" s="820"/>
      <c r="AC59" s="820"/>
      <c r="AD59" s="820"/>
      <c r="AE59" s="820"/>
      <c r="AF59" s="820"/>
      <c r="AG59" s="820"/>
      <c r="AI59" s="584"/>
      <c r="AJ59" s="92"/>
      <c r="AK59" s="584"/>
      <c r="AL59" s="584"/>
      <c r="AM59" s="626"/>
      <c r="AN59" s="626"/>
      <c r="AO59" s="638"/>
      <c r="AP59" s="626"/>
      <c r="AQ59" s="627"/>
    </row>
    <row r="60" spans="1:43" x14ac:dyDescent="0.2">
      <c r="A60" s="819"/>
      <c r="B60" s="819"/>
      <c r="C60" s="819"/>
      <c r="D60" s="636"/>
      <c r="E60" s="636"/>
      <c r="F60" s="636"/>
      <c r="G60" s="636"/>
      <c r="H60" s="636"/>
      <c r="I60" s="636"/>
      <c r="J60" s="636"/>
      <c r="K60" s="636"/>
      <c r="L60" s="636"/>
      <c r="M60" s="636"/>
      <c r="N60" s="636"/>
      <c r="O60" s="636"/>
      <c r="P60" s="636"/>
      <c r="Q60" s="636"/>
      <c r="R60" s="636"/>
      <c r="S60" s="636"/>
      <c r="T60" s="636"/>
      <c r="AI60" s="584"/>
      <c r="AJ60" s="92"/>
      <c r="AK60" s="600"/>
      <c r="AL60" s="584"/>
      <c r="AM60" s="627"/>
      <c r="AN60" s="627"/>
      <c r="AO60" s="640"/>
      <c r="AP60" s="627"/>
      <c r="AQ60" s="627"/>
    </row>
    <row r="61" spans="1:43" ht="15.75" x14ac:dyDescent="0.25">
      <c r="A61" s="819"/>
      <c r="B61" s="819"/>
      <c r="C61" s="819"/>
      <c r="D61" s="636"/>
      <c r="E61" s="636"/>
      <c r="F61" s="636"/>
      <c r="G61" s="636"/>
      <c r="H61" s="636"/>
      <c r="I61" s="636"/>
      <c r="J61" s="636"/>
      <c r="K61" s="636"/>
      <c r="L61" s="636"/>
      <c r="M61" s="636"/>
      <c r="N61" s="636"/>
      <c r="O61" s="636"/>
      <c r="P61" s="636"/>
      <c r="Q61" s="636"/>
      <c r="R61" s="636"/>
      <c r="S61" s="636"/>
      <c r="T61" s="636"/>
      <c r="AI61" s="622"/>
      <c r="AJ61" s="641"/>
      <c r="AK61" s="642"/>
      <c r="AL61" s="643"/>
      <c r="AM61" s="626"/>
      <c r="AN61" s="626"/>
      <c r="AO61" s="638"/>
      <c r="AP61" s="626"/>
      <c r="AQ61" s="627"/>
    </row>
    <row r="62" spans="1:43" x14ac:dyDescent="0.2">
      <c r="A62" s="819"/>
      <c r="B62" s="819"/>
      <c r="C62" s="819"/>
      <c r="D62" s="636"/>
      <c r="E62" s="636"/>
      <c r="F62" s="636"/>
      <c r="G62" s="636"/>
      <c r="H62" s="636"/>
      <c r="I62" s="636"/>
      <c r="J62" s="636"/>
      <c r="K62" s="636"/>
      <c r="L62" s="636"/>
      <c r="M62" s="636"/>
      <c r="N62" s="636"/>
      <c r="O62" s="636"/>
      <c r="P62" s="636"/>
      <c r="Q62" s="636"/>
      <c r="R62" s="636"/>
      <c r="S62" s="636"/>
      <c r="T62" s="636"/>
      <c r="AI62" s="584"/>
      <c r="AJ62" s="92"/>
      <c r="AK62" s="626"/>
      <c r="AL62" s="627"/>
      <c r="AM62" s="626"/>
      <c r="AN62" s="626"/>
      <c r="AO62" s="638"/>
      <c r="AP62" s="626"/>
      <c r="AQ62" s="627"/>
    </row>
    <row r="63" spans="1:43" x14ac:dyDescent="0.2">
      <c r="A63" s="819"/>
      <c r="B63" s="819"/>
      <c r="C63" s="819"/>
      <c r="D63" s="636"/>
      <c r="E63" s="636"/>
      <c r="F63" s="636"/>
      <c r="G63" s="636"/>
      <c r="H63" s="636"/>
      <c r="I63" s="636"/>
      <c r="J63" s="636"/>
      <c r="K63" s="636"/>
      <c r="L63" s="636"/>
      <c r="M63" s="636"/>
      <c r="N63" s="636"/>
      <c r="O63" s="636"/>
      <c r="P63" s="636"/>
      <c r="Q63" s="636"/>
      <c r="R63" s="636"/>
      <c r="S63" s="636"/>
      <c r="T63" s="636"/>
      <c r="AI63" s="626"/>
      <c r="AJ63" s="626"/>
      <c r="AK63" s="626"/>
      <c r="AL63" s="626"/>
      <c r="AM63" s="626"/>
      <c r="AN63" s="626"/>
      <c r="AO63" s="638"/>
      <c r="AP63" s="626"/>
      <c r="AQ63" s="627"/>
    </row>
    <row r="64" spans="1:43" ht="18" x14ac:dyDescent="0.25">
      <c r="A64" s="819"/>
      <c r="B64" s="819"/>
      <c r="C64" s="819"/>
      <c r="D64" s="636"/>
      <c r="E64" s="636"/>
      <c r="F64" s="636"/>
      <c r="G64" s="636"/>
      <c r="H64" s="636"/>
      <c r="I64" s="636"/>
      <c r="J64" s="636"/>
      <c r="K64" s="636"/>
      <c r="L64" s="636"/>
      <c r="M64" s="636"/>
      <c r="N64" s="636"/>
      <c r="O64" s="636"/>
      <c r="P64" s="636"/>
      <c r="Q64" s="636"/>
      <c r="R64" s="636"/>
      <c r="S64" s="636"/>
      <c r="T64" s="636"/>
      <c r="AI64" s="644" t="s">
        <v>456</v>
      </c>
      <c r="AJ64" s="92"/>
      <c r="AK64" s="92" t="s">
        <v>457</v>
      </c>
      <c r="AL64" s="629" t="s">
        <v>458</v>
      </c>
      <c r="AM64" s="92" t="s">
        <v>459</v>
      </c>
      <c r="AN64" s="584"/>
      <c r="AO64" s="638"/>
      <c r="AP64" s="626"/>
      <c r="AQ64" s="627"/>
    </row>
    <row r="65" spans="1:43" x14ac:dyDescent="0.2">
      <c r="A65" s="819"/>
      <c r="B65" s="819"/>
      <c r="C65" s="819"/>
      <c r="D65" s="636"/>
      <c r="E65" s="636"/>
      <c r="F65" s="636"/>
      <c r="G65" s="636"/>
      <c r="H65" s="636"/>
      <c r="I65" s="636"/>
      <c r="J65" s="636"/>
      <c r="K65" s="636"/>
      <c r="L65" s="636"/>
      <c r="M65" s="636"/>
      <c r="N65" s="636"/>
      <c r="O65" s="636"/>
      <c r="P65" s="636"/>
      <c r="Q65" s="636"/>
      <c r="R65" s="636"/>
      <c r="S65" s="636"/>
      <c r="T65" s="636"/>
      <c r="AI65" s="584">
        <v>0</v>
      </c>
      <c r="AJ65" s="92"/>
      <c r="AK65" s="584"/>
      <c r="AL65" s="584"/>
      <c r="AM65" s="645"/>
      <c r="AN65" s="645"/>
      <c r="AO65" s="638"/>
      <c r="AP65" s="626"/>
      <c r="AQ65" s="626"/>
    </row>
    <row r="66" spans="1:43" x14ac:dyDescent="0.2">
      <c r="A66" s="819"/>
      <c r="B66" s="819"/>
      <c r="C66" s="819"/>
      <c r="D66" s="636"/>
      <c r="E66" s="636"/>
      <c r="F66" s="636"/>
      <c r="G66" s="636"/>
      <c r="H66" s="636"/>
      <c r="I66" s="636"/>
      <c r="J66" s="636"/>
      <c r="K66" s="636"/>
      <c r="L66" s="636"/>
      <c r="M66" s="636"/>
      <c r="N66" s="636"/>
      <c r="O66" s="636"/>
      <c r="P66" s="636"/>
      <c r="Q66" s="636"/>
      <c r="R66" s="636"/>
      <c r="S66" s="636"/>
      <c r="T66" s="636"/>
      <c r="AI66" s="584" t="s">
        <v>444</v>
      </c>
      <c r="AJ66" s="92"/>
      <c r="AK66" s="584"/>
      <c r="AL66" s="584"/>
      <c r="AM66" s="584"/>
      <c r="AN66" s="584"/>
      <c r="AO66" s="638"/>
      <c r="AP66" s="626"/>
      <c r="AQ66" s="626"/>
    </row>
    <row r="67" spans="1:43" x14ac:dyDescent="0.2">
      <c r="A67" s="819"/>
      <c r="B67" s="819"/>
      <c r="C67" s="819"/>
      <c r="D67" s="636"/>
      <c r="E67" s="636"/>
      <c r="F67" s="636"/>
      <c r="G67" s="636"/>
      <c r="H67" s="636"/>
      <c r="I67" s="636"/>
      <c r="J67" s="636"/>
      <c r="K67" s="636"/>
      <c r="L67" s="636"/>
      <c r="M67" s="636"/>
      <c r="N67" s="636"/>
      <c r="O67" s="636"/>
      <c r="P67" s="636"/>
      <c r="Q67" s="636"/>
      <c r="R67" s="636"/>
      <c r="S67" s="636"/>
      <c r="T67" s="636"/>
      <c r="AI67" s="584" t="s">
        <v>445</v>
      </c>
      <c r="AJ67" s="92"/>
      <c r="AK67" s="584"/>
      <c r="AL67" s="584"/>
      <c r="AM67" s="600"/>
      <c r="AN67" s="584"/>
    </row>
    <row r="68" spans="1:43" ht="15.75" x14ac:dyDescent="0.25">
      <c r="A68" s="819"/>
      <c r="B68" s="819"/>
      <c r="C68" s="819"/>
      <c r="D68" s="636"/>
      <c r="E68" s="636"/>
      <c r="F68" s="636"/>
      <c r="G68" s="636"/>
      <c r="H68" s="636"/>
      <c r="I68" s="636"/>
      <c r="J68" s="636"/>
      <c r="K68" s="636"/>
      <c r="L68" s="636"/>
      <c r="M68" s="636"/>
      <c r="N68" s="636"/>
      <c r="O68" s="636"/>
      <c r="P68" s="636"/>
      <c r="Q68" s="636"/>
      <c r="R68" s="636"/>
      <c r="S68" s="636"/>
      <c r="T68" s="636"/>
      <c r="AI68" s="622" t="s">
        <v>105</v>
      </c>
      <c r="AJ68" s="641"/>
      <c r="AK68" s="623">
        <f>+AP9</f>
        <v>0</v>
      </c>
      <c r="AL68" s="623">
        <f>+AP10</f>
        <v>0</v>
      </c>
      <c r="AM68" s="623">
        <f>+AP11</f>
        <v>0</v>
      </c>
      <c r="AN68" s="624" t="s">
        <v>446</v>
      </c>
    </row>
    <row r="69" spans="1:43" x14ac:dyDescent="0.2">
      <c r="A69" s="819"/>
      <c r="B69" s="819"/>
      <c r="C69" s="819"/>
      <c r="D69" s="636"/>
      <c r="E69" s="636"/>
      <c r="F69" s="636"/>
      <c r="G69" s="636"/>
      <c r="H69" s="636"/>
      <c r="I69" s="636"/>
      <c r="J69" s="636"/>
      <c r="K69" s="636"/>
      <c r="L69" s="636"/>
      <c r="M69" s="636"/>
      <c r="N69" s="636"/>
      <c r="O69" s="636"/>
      <c r="P69" s="636"/>
      <c r="Q69" s="636"/>
      <c r="R69" s="636"/>
      <c r="S69" s="636"/>
      <c r="T69" s="636"/>
      <c r="AI69" s="584" t="s">
        <v>460</v>
      </c>
      <c r="AJ69" s="92">
        <v>1</v>
      </c>
      <c r="AK69" s="584">
        <f>2*AK68</f>
        <v>0</v>
      </c>
      <c r="AL69" s="646">
        <f>1/6*AL68</f>
        <v>0</v>
      </c>
      <c r="AM69" s="584">
        <f>1*AM68</f>
        <v>0</v>
      </c>
      <c r="AN69" s="625">
        <f>SUM(AK69:AM69)</f>
        <v>0</v>
      </c>
    </row>
    <row r="70" spans="1:43" x14ac:dyDescent="0.2">
      <c r="A70" s="819"/>
      <c r="B70" s="819"/>
      <c r="C70" s="819"/>
      <c r="D70" s="636"/>
      <c r="E70" s="636"/>
      <c r="F70" s="636"/>
      <c r="G70" s="636"/>
      <c r="H70" s="636"/>
      <c r="I70" s="636"/>
      <c r="J70" s="636"/>
      <c r="K70" s="636"/>
      <c r="L70" s="636"/>
      <c r="M70" s="636"/>
      <c r="N70" s="636"/>
      <c r="O70" s="636"/>
      <c r="P70" s="636"/>
      <c r="Q70" s="636"/>
      <c r="R70" s="636"/>
      <c r="S70" s="636"/>
      <c r="T70" s="636"/>
      <c r="AI70" s="647"/>
      <c r="AJ70" s="647"/>
      <c r="AK70" s="647"/>
      <c r="AL70" s="647"/>
      <c r="AM70" s="647"/>
      <c r="AN70" s="647"/>
      <c r="AO70" s="648"/>
      <c r="AP70" s="647"/>
      <c r="AQ70" s="647"/>
    </row>
    <row r="71" spans="1:43" ht="15.75" x14ac:dyDescent="0.25">
      <c r="A71" s="819"/>
      <c r="B71" s="819"/>
      <c r="C71" s="819"/>
      <c r="F71" s="636"/>
      <c r="G71" s="636"/>
      <c r="H71" s="636"/>
      <c r="I71" s="636"/>
      <c r="J71" s="636"/>
      <c r="K71" s="636"/>
      <c r="L71" s="636"/>
      <c r="M71" s="636"/>
      <c r="N71" s="636"/>
      <c r="O71" s="636"/>
      <c r="P71" s="636"/>
      <c r="Q71" s="636"/>
      <c r="R71" s="636"/>
      <c r="S71" s="636"/>
      <c r="T71" s="636"/>
      <c r="AI71" s="622" t="s">
        <v>461</v>
      </c>
      <c r="AJ71" s="92"/>
      <c r="AK71" s="584"/>
      <c r="AL71" s="584"/>
      <c r="AM71" s="584"/>
      <c r="AN71" s="584"/>
      <c r="AO71" s="647"/>
      <c r="AP71" s="647"/>
      <c r="AQ71" s="647"/>
    </row>
    <row r="72" spans="1:43" ht="15.75" x14ac:dyDescent="0.25">
      <c r="A72" s="819"/>
      <c r="B72" s="819"/>
      <c r="C72" s="819"/>
      <c r="F72" s="636"/>
      <c r="G72" s="636"/>
      <c r="H72" s="636"/>
      <c r="I72" s="636"/>
      <c r="J72" s="636"/>
      <c r="K72" s="636"/>
      <c r="L72" s="636"/>
      <c r="M72" s="636"/>
      <c r="N72" s="636"/>
      <c r="O72" s="636"/>
      <c r="P72" s="636"/>
      <c r="Q72" s="636"/>
      <c r="R72" s="636"/>
      <c r="S72" s="636"/>
      <c r="T72" s="636"/>
      <c r="AI72" s="622" t="s">
        <v>454</v>
      </c>
      <c r="AJ72" s="641"/>
      <c r="AK72" s="623"/>
      <c r="AL72" s="623">
        <f>+AP16</f>
        <v>0</v>
      </c>
      <c r="AM72" s="623"/>
      <c r="AN72" s="624" t="s">
        <v>446</v>
      </c>
      <c r="AO72" s="626"/>
      <c r="AP72" s="626"/>
      <c r="AQ72" s="627"/>
    </row>
    <row r="73" spans="1:43" x14ac:dyDescent="0.2">
      <c r="A73" s="819"/>
      <c r="B73" s="819"/>
      <c r="C73" s="819"/>
      <c r="F73" s="636"/>
      <c r="G73" s="636"/>
      <c r="H73" s="636"/>
      <c r="I73" s="636"/>
      <c r="J73" s="636"/>
      <c r="K73" s="636"/>
      <c r="L73" s="636"/>
      <c r="M73" s="636"/>
      <c r="N73" s="636"/>
      <c r="O73" s="636"/>
      <c r="P73" s="636"/>
      <c r="Q73" s="636"/>
      <c r="R73" s="636"/>
      <c r="S73" s="636"/>
      <c r="T73" s="636"/>
      <c r="AI73" s="584" t="s">
        <v>460</v>
      </c>
      <c r="AJ73" s="92">
        <v>0.5</v>
      </c>
      <c r="AK73" s="584">
        <f>+$B193*AK72</f>
        <v>0</v>
      </c>
      <c r="AL73" s="584">
        <f>0.45*AL72</f>
        <v>0</v>
      </c>
      <c r="AM73" s="584">
        <f>+$B193*AM72</f>
        <v>0</v>
      </c>
      <c r="AN73" s="625">
        <f>SUM(AK73:AM73)</f>
        <v>0</v>
      </c>
      <c r="AO73" s="649"/>
      <c r="AP73" s="649"/>
      <c r="AQ73" s="627"/>
    </row>
    <row r="74" spans="1:43" x14ac:dyDescent="0.2">
      <c r="A74" s="819"/>
      <c r="B74" s="819"/>
      <c r="C74" s="819"/>
      <c r="F74" s="636"/>
      <c r="G74" s="636"/>
      <c r="H74" s="636"/>
      <c r="I74" s="636"/>
      <c r="J74" s="636"/>
      <c r="K74" s="636"/>
      <c r="L74" s="636"/>
      <c r="M74" s="636"/>
      <c r="N74" s="636"/>
      <c r="O74" s="636"/>
      <c r="P74" s="636"/>
      <c r="Q74" s="636"/>
      <c r="R74" s="636"/>
      <c r="S74" s="636"/>
      <c r="T74" s="636"/>
      <c r="AI74" s="626"/>
      <c r="AJ74" s="626"/>
      <c r="AK74" s="626"/>
      <c r="AL74" s="626"/>
      <c r="AM74" s="626"/>
      <c r="AN74" s="626"/>
      <c r="AO74" s="626"/>
      <c r="AP74" s="626"/>
      <c r="AQ74" s="627"/>
    </row>
    <row r="75" spans="1:43" ht="15.75" x14ac:dyDescent="0.25">
      <c r="A75" s="819"/>
      <c r="B75" s="819"/>
      <c r="C75" s="819"/>
      <c r="F75" s="636"/>
      <c r="G75" s="636"/>
      <c r="H75" s="636"/>
      <c r="I75" s="636"/>
      <c r="J75" s="636"/>
      <c r="K75" s="636"/>
      <c r="L75" s="636"/>
      <c r="M75" s="636"/>
      <c r="N75" s="636"/>
      <c r="O75" s="636"/>
      <c r="P75" s="636"/>
      <c r="Q75" s="636"/>
      <c r="R75" s="636"/>
      <c r="S75" s="636"/>
      <c r="T75" s="636"/>
      <c r="AI75" s="622" t="s">
        <v>455</v>
      </c>
      <c r="AJ75" s="92"/>
      <c r="AK75" s="584"/>
      <c r="AL75" s="584"/>
      <c r="AM75" s="584"/>
      <c r="AN75" s="584"/>
      <c r="AO75" s="626"/>
      <c r="AP75" s="626"/>
      <c r="AQ75" s="627"/>
    </row>
    <row r="76" spans="1:43" ht="15.75" x14ac:dyDescent="0.25">
      <c r="A76" s="819"/>
      <c r="B76" s="819"/>
      <c r="C76" s="819"/>
      <c r="F76" s="636"/>
      <c r="G76" s="636"/>
      <c r="H76" s="636"/>
      <c r="I76" s="636"/>
      <c r="J76" s="636"/>
      <c r="K76" s="636"/>
      <c r="L76" s="636"/>
      <c r="M76" s="636"/>
      <c r="N76" s="636"/>
      <c r="O76" s="636"/>
      <c r="P76" s="636"/>
      <c r="Q76" s="636"/>
      <c r="R76" s="636"/>
      <c r="S76" s="636"/>
      <c r="T76" s="636"/>
      <c r="AI76" s="622" t="s">
        <v>454</v>
      </c>
      <c r="AJ76" s="641"/>
      <c r="AK76" s="623"/>
      <c r="AL76" s="623">
        <f>+AP18</f>
        <v>0</v>
      </c>
      <c r="AM76" s="623"/>
      <c r="AN76" s="624" t="s">
        <v>446</v>
      </c>
      <c r="AO76" s="626"/>
      <c r="AP76" s="626"/>
      <c r="AQ76" s="627"/>
    </row>
    <row r="77" spans="1:43" x14ac:dyDescent="0.2">
      <c r="A77" s="819"/>
      <c r="B77" s="819"/>
      <c r="C77" s="819"/>
      <c r="F77" s="636"/>
      <c r="G77" s="636"/>
      <c r="H77" s="636"/>
      <c r="I77" s="636"/>
      <c r="J77" s="636"/>
      <c r="K77" s="636"/>
      <c r="L77" s="636"/>
      <c r="M77" s="636"/>
      <c r="N77" s="636"/>
      <c r="O77" s="636"/>
      <c r="P77" s="636"/>
      <c r="Q77" s="636"/>
      <c r="R77" s="636"/>
      <c r="S77" s="636"/>
      <c r="T77" s="636"/>
      <c r="AI77" s="584" t="s">
        <v>460</v>
      </c>
      <c r="AJ77" s="92">
        <v>1</v>
      </c>
      <c r="AK77" s="584">
        <f>+$B211*AK76</f>
        <v>0</v>
      </c>
      <c r="AL77" s="584">
        <f>0.9*AL76</f>
        <v>0</v>
      </c>
      <c r="AM77" s="584">
        <f>+$B211*AM76</f>
        <v>0</v>
      </c>
      <c r="AN77" s="625">
        <f>SUM(AK77:AM77)</f>
        <v>0</v>
      </c>
      <c r="AO77" s="626"/>
      <c r="AP77" s="626"/>
      <c r="AQ77" s="627"/>
    </row>
    <row r="78" spans="1:43" x14ac:dyDescent="0.2">
      <c r="A78" s="819"/>
      <c r="B78" s="819"/>
      <c r="C78" s="819"/>
      <c r="F78" s="636"/>
      <c r="G78" s="636"/>
      <c r="H78" s="636"/>
      <c r="I78" s="636"/>
      <c r="J78" s="636"/>
      <c r="K78" s="636"/>
      <c r="L78" s="636"/>
      <c r="M78" s="636"/>
      <c r="N78" s="636"/>
      <c r="O78" s="636"/>
      <c r="P78" s="636"/>
      <c r="Q78" s="636"/>
      <c r="R78" s="636"/>
      <c r="S78" s="636"/>
      <c r="T78" s="636"/>
      <c r="AI78" s="626"/>
      <c r="AJ78" s="626"/>
      <c r="AK78" s="626"/>
      <c r="AL78" s="626"/>
      <c r="AM78" s="626"/>
      <c r="AN78" s="626"/>
      <c r="AO78" s="626"/>
      <c r="AP78" s="626"/>
      <c r="AQ78" s="627"/>
    </row>
    <row r="79" spans="1:43" ht="15.75" x14ac:dyDescent="0.25">
      <c r="A79" s="819"/>
      <c r="B79" s="819"/>
      <c r="C79" s="819"/>
      <c r="F79" s="636"/>
      <c r="G79" s="636"/>
      <c r="H79" s="636"/>
      <c r="I79" s="636"/>
      <c r="J79" s="636"/>
      <c r="K79" s="636"/>
      <c r="L79" s="636"/>
      <c r="M79" s="636"/>
      <c r="N79" s="636"/>
      <c r="O79" s="636"/>
      <c r="P79" s="636"/>
      <c r="Q79" s="636"/>
      <c r="R79" s="636"/>
      <c r="S79" s="636"/>
      <c r="T79" s="636"/>
      <c r="AI79" s="650" t="s">
        <v>447</v>
      </c>
      <c r="AJ79" s="650"/>
      <c r="AK79" s="651">
        <f>+AQ28+AQ34+AQ40+AQ47+AQ52+AQ56+AK80</f>
        <v>0</v>
      </c>
      <c r="AL79" s="652" t="s">
        <v>115</v>
      </c>
      <c r="AM79" s="626"/>
      <c r="AN79" s="626"/>
      <c r="AO79" s="626"/>
      <c r="AP79" s="626"/>
      <c r="AQ79" s="627"/>
    </row>
    <row r="80" spans="1:43" ht="15.75" x14ac:dyDescent="0.25">
      <c r="A80" s="819"/>
      <c r="B80" s="819"/>
      <c r="C80" s="819"/>
      <c r="F80" s="636"/>
      <c r="I80" s="636"/>
      <c r="J80" s="636"/>
      <c r="K80" s="636"/>
      <c r="L80" s="636"/>
      <c r="M80" s="636"/>
      <c r="N80" s="636"/>
      <c r="O80" s="636"/>
      <c r="P80" s="636"/>
      <c r="Q80" s="636"/>
      <c r="R80" s="636"/>
      <c r="S80" s="636"/>
      <c r="T80" s="636"/>
      <c r="AI80" s="650" t="s">
        <v>460</v>
      </c>
      <c r="AJ80" s="653"/>
      <c r="AK80" s="651">
        <f>+AN69+AN73+AN77</f>
        <v>0</v>
      </c>
      <c r="AL80" s="652" t="s">
        <v>115</v>
      </c>
      <c r="AM80" s="626"/>
      <c r="AN80" s="626"/>
      <c r="AO80" s="626"/>
      <c r="AP80" s="626"/>
      <c r="AQ80" s="627"/>
    </row>
    <row r="81" spans="1:43" x14ac:dyDescent="0.2">
      <c r="A81" s="636"/>
      <c r="B81" s="636"/>
      <c r="C81" s="636"/>
      <c r="F81" s="636"/>
      <c r="I81" s="636"/>
      <c r="J81" s="636"/>
      <c r="K81" s="636"/>
      <c r="L81" s="636"/>
      <c r="M81" s="636"/>
      <c r="N81" s="636"/>
      <c r="O81" s="636"/>
      <c r="P81" s="636"/>
      <c r="Q81" s="636"/>
      <c r="R81" s="636"/>
      <c r="S81" s="636"/>
      <c r="T81" s="636"/>
      <c r="AI81" s="626"/>
      <c r="AJ81" s="626"/>
      <c r="AK81" s="627"/>
      <c r="AL81" s="627"/>
      <c r="AM81" s="627"/>
      <c r="AN81" s="627"/>
      <c r="AO81" s="627"/>
      <c r="AP81" s="627"/>
      <c r="AQ81" s="627"/>
    </row>
    <row r="82" spans="1:43" x14ac:dyDescent="0.2">
      <c r="AI82" s="626"/>
      <c r="AJ82" s="626"/>
      <c r="AK82" s="626"/>
      <c r="AL82" s="626"/>
      <c r="AM82" s="626"/>
      <c r="AN82" s="626"/>
      <c r="AO82" s="626"/>
      <c r="AP82" s="626"/>
      <c r="AQ82" s="627"/>
    </row>
    <row r="83" spans="1:43" x14ac:dyDescent="0.2">
      <c r="AI83" s="626"/>
      <c r="AJ83" s="626"/>
      <c r="AK83" s="627"/>
      <c r="AL83" s="627"/>
      <c r="AM83" s="627"/>
      <c r="AN83" s="627"/>
      <c r="AO83" s="627"/>
      <c r="AP83" s="627"/>
      <c r="AQ83" s="627"/>
    </row>
    <row r="84" spans="1:43" x14ac:dyDescent="0.2">
      <c r="AI84" s="626"/>
      <c r="AJ84" s="626"/>
      <c r="AK84" s="626"/>
      <c r="AL84" s="626"/>
      <c r="AM84" s="626"/>
      <c r="AN84" s="626"/>
      <c r="AO84" s="626"/>
      <c r="AP84" s="626"/>
      <c r="AQ84" s="627"/>
    </row>
    <row r="85" spans="1:43" x14ac:dyDescent="0.2">
      <c r="AI85" s="626"/>
      <c r="AJ85" s="626"/>
      <c r="AK85" s="626"/>
      <c r="AL85" s="626"/>
      <c r="AM85" s="626"/>
      <c r="AN85" s="626"/>
      <c r="AO85" s="626"/>
      <c r="AP85" s="626"/>
      <c r="AQ85" s="627"/>
    </row>
    <row r="86" spans="1:43" x14ac:dyDescent="0.2">
      <c r="AI86" s="626"/>
      <c r="AJ86" s="626"/>
      <c r="AK86" s="626"/>
      <c r="AL86" s="626"/>
      <c r="AM86" s="626"/>
      <c r="AN86" s="626"/>
      <c r="AO86" s="626"/>
      <c r="AP86" s="626"/>
      <c r="AQ86" s="627"/>
    </row>
    <row r="87" spans="1:43" x14ac:dyDescent="0.2">
      <c r="AI87" s="626"/>
      <c r="AJ87" s="626"/>
      <c r="AK87" s="626"/>
      <c r="AL87" s="626"/>
      <c r="AM87" s="626"/>
      <c r="AN87" s="626"/>
      <c r="AO87" s="626"/>
      <c r="AP87" s="626"/>
      <c r="AQ87" s="627"/>
    </row>
    <row r="88" spans="1:43" x14ac:dyDescent="0.2">
      <c r="AI88" s="626"/>
      <c r="AJ88" s="626"/>
      <c r="AK88" s="626"/>
      <c r="AL88" s="626"/>
      <c r="AM88" s="626"/>
      <c r="AN88" s="626"/>
      <c r="AO88" s="626"/>
      <c r="AP88" s="626"/>
      <c r="AQ88" s="626"/>
    </row>
    <row r="89" spans="1:43" x14ac:dyDescent="0.2">
      <c r="AI89" s="626"/>
      <c r="AJ89" s="626"/>
      <c r="AK89" s="626"/>
      <c r="AL89" s="626"/>
      <c r="AM89" s="626"/>
      <c r="AN89" s="626"/>
      <c r="AO89" s="626"/>
      <c r="AP89" s="626"/>
      <c r="AQ89" s="626"/>
    </row>
    <row r="90" spans="1:43" x14ac:dyDescent="0.2">
      <c r="AI90" s="626"/>
      <c r="AJ90" s="626"/>
      <c r="AK90" s="626"/>
      <c r="AL90" s="626"/>
      <c r="AM90" s="626"/>
      <c r="AN90" s="626"/>
      <c r="AO90" s="626"/>
      <c r="AP90" s="626"/>
      <c r="AQ90" s="626"/>
    </row>
    <row r="91" spans="1:43" x14ac:dyDescent="0.2">
      <c r="AI91" s="647"/>
      <c r="AJ91" s="647"/>
      <c r="AK91" s="647"/>
      <c r="AL91" s="647"/>
      <c r="AM91" s="647"/>
      <c r="AN91" s="647"/>
      <c r="AO91" s="647"/>
      <c r="AP91" s="647"/>
      <c r="AQ91" s="647"/>
    </row>
    <row r="92" spans="1:43" x14ac:dyDescent="0.2">
      <c r="AI92" s="647"/>
      <c r="AJ92" s="647"/>
      <c r="AK92" s="647"/>
      <c r="AL92" s="647"/>
      <c r="AM92" s="647"/>
      <c r="AN92" s="647"/>
      <c r="AO92" s="647"/>
      <c r="AP92" s="647"/>
      <c r="AQ92" s="647"/>
    </row>
    <row r="93" spans="1:43" x14ac:dyDescent="0.2">
      <c r="AI93" s="647"/>
      <c r="AJ93" s="647"/>
      <c r="AK93" s="647"/>
      <c r="AL93" s="647"/>
      <c r="AM93" s="647"/>
      <c r="AN93" s="647"/>
      <c r="AO93" s="647"/>
      <c r="AP93" s="647"/>
      <c r="AQ93" s="647"/>
    </row>
    <row r="94" spans="1:43" x14ac:dyDescent="0.2">
      <c r="AI94" s="647"/>
      <c r="AJ94" s="647"/>
      <c r="AK94" s="647"/>
      <c r="AL94" s="647"/>
      <c r="AM94" s="647"/>
      <c r="AN94" s="647"/>
      <c r="AO94" s="647"/>
      <c r="AP94" s="647"/>
      <c r="AQ94" s="647"/>
    </row>
    <row r="95" spans="1:43" x14ac:dyDescent="0.2">
      <c r="AI95" s="647"/>
      <c r="AJ95" s="647"/>
      <c r="AK95" s="647"/>
      <c r="AL95" s="647"/>
      <c r="AM95" s="647"/>
      <c r="AN95" s="647"/>
      <c r="AO95" s="647"/>
      <c r="AP95" s="647"/>
      <c r="AQ95" s="647"/>
    </row>
    <row r="96" spans="1:43" x14ac:dyDescent="0.2">
      <c r="AI96" s="626"/>
      <c r="AJ96" s="626"/>
      <c r="AK96" s="626"/>
      <c r="AL96" s="626"/>
      <c r="AM96" s="626"/>
      <c r="AN96" s="626"/>
      <c r="AO96" s="626"/>
      <c r="AP96" s="626"/>
      <c r="AQ96" s="627"/>
    </row>
    <row r="97" spans="35:43" x14ac:dyDescent="0.2">
      <c r="AI97" s="626"/>
      <c r="AJ97" s="626"/>
      <c r="AK97" s="649"/>
      <c r="AL97" s="649"/>
      <c r="AM97" s="649"/>
      <c r="AN97" s="649"/>
      <c r="AO97" s="649"/>
      <c r="AP97" s="649"/>
      <c r="AQ97" s="627"/>
    </row>
    <row r="98" spans="35:43" x14ac:dyDescent="0.2">
      <c r="AI98" s="626"/>
      <c r="AJ98" s="626"/>
      <c r="AK98" s="626"/>
      <c r="AL98" s="626"/>
      <c r="AM98" s="626"/>
      <c r="AN98" s="626"/>
      <c r="AO98" s="626"/>
      <c r="AP98" s="626"/>
      <c r="AQ98" s="627"/>
    </row>
    <row r="99" spans="35:43" x14ac:dyDescent="0.2">
      <c r="AI99" s="626"/>
      <c r="AJ99" s="626"/>
      <c r="AK99" s="626"/>
      <c r="AL99" s="626"/>
      <c r="AM99" s="626"/>
      <c r="AN99" s="626"/>
      <c r="AO99" s="626"/>
      <c r="AP99" s="626"/>
      <c r="AQ99" s="627"/>
    </row>
    <row r="100" spans="35:43" x14ac:dyDescent="0.2">
      <c r="AI100" s="626"/>
      <c r="AJ100" s="626"/>
      <c r="AK100" s="626"/>
      <c r="AL100" s="626"/>
      <c r="AM100" s="626"/>
      <c r="AN100" s="626"/>
      <c r="AO100" s="626"/>
      <c r="AP100" s="626"/>
      <c r="AQ100" s="627"/>
    </row>
    <row r="101" spans="35:43" x14ac:dyDescent="0.2">
      <c r="AI101" s="626"/>
      <c r="AJ101" s="626"/>
      <c r="AK101" s="626"/>
      <c r="AL101" s="626"/>
      <c r="AM101" s="626"/>
      <c r="AN101" s="626"/>
      <c r="AO101" s="626"/>
      <c r="AP101" s="626"/>
      <c r="AQ101" s="627"/>
    </row>
    <row r="102" spans="35:43" x14ac:dyDescent="0.2">
      <c r="AI102" s="626"/>
      <c r="AJ102" s="626"/>
      <c r="AK102" s="626"/>
      <c r="AL102" s="626"/>
      <c r="AM102" s="626"/>
      <c r="AN102" s="626"/>
      <c r="AO102" s="626"/>
      <c r="AP102" s="626"/>
      <c r="AQ102" s="627"/>
    </row>
    <row r="103" spans="35:43" x14ac:dyDescent="0.2">
      <c r="AI103" s="626"/>
      <c r="AJ103" s="626"/>
      <c r="AK103" s="626"/>
      <c r="AL103" s="626"/>
      <c r="AM103" s="626"/>
      <c r="AN103" s="626"/>
      <c r="AO103" s="626"/>
      <c r="AP103" s="626"/>
      <c r="AQ103" s="627"/>
    </row>
    <row r="104" spans="35:43" x14ac:dyDescent="0.2">
      <c r="AI104" s="626"/>
      <c r="AJ104" s="626"/>
      <c r="AK104" s="626"/>
      <c r="AL104" s="626"/>
      <c r="AM104" s="626"/>
      <c r="AN104" s="626"/>
      <c r="AO104" s="626"/>
      <c r="AP104" s="626"/>
      <c r="AQ104" s="627"/>
    </row>
    <row r="105" spans="35:43" x14ac:dyDescent="0.2">
      <c r="AI105" s="626"/>
      <c r="AJ105" s="626"/>
      <c r="AK105" s="627"/>
      <c r="AL105" s="627"/>
      <c r="AM105" s="627"/>
      <c r="AN105" s="627"/>
      <c r="AO105" s="627"/>
      <c r="AP105" s="627"/>
      <c r="AQ105" s="627"/>
    </row>
    <row r="106" spans="35:43" x14ac:dyDescent="0.2">
      <c r="AI106" s="626"/>
      <c r="AJ106" s="626"/>
      <c r="AK106" s="626"/>
      <c r="AL106" s="626"/>
      <c r="AM106" s="626"/>
      <c r="AN106" s="626"/>
      <c r="AO106" s="626"/>
      <c r="AP106" s="626"/>
      <c r="AQ106" s="627"/>
    </row>
    <row r="107" spans="35:43" x14ac:dyDescent="0.2">
      <c r="AI107" s="626"/>
      <c r="AJ107" s="626"/>
      <c r="AK107" s="626"/>
      <c r="AL107" s="626"/>
      <c r="AM107" s="626"/>
      <c r="AN107" s="626"/>
      <c r="AO107" s="626"/>
      <c r="AP107" s="626"/>
      <c r="AQ107" s="627"/>
    </row>
    <row r="108" spans="35:43" x14ac:dyDescent="0.2">
      <c r="AI108" s="626"/>
      <c r="AJ108" s="626"/>
      <c r="AK108" s="626"/>
      <c r="AL108" s="626"/>
      <c r="AM108" s="626"/>
      <c r="AN108" s="626"/>
      <c r="AO108" s="626"/>
      <c r="AP108" s="626"/>
      <c r="AQ108" s="627"/>
    </row>
    <row r="109" spans="35:43" x14ac:dyDescent="0.2">
      <c r="AI109" s="626"/>
      <c r="AJ109" s="626"/>
      <c r="AK109" s="626"/>
      <c r="AL109" s="626"/>
      <c r="AM109" s="626"/>
      <c r="AN109" s="626"/>
      <c r="AO109" s="626"/>
      <c r="AP109" s="626"/>
      <c r="AQ109" s="627"/>
    </row>
    <row r="110" spans="35:43" x14ac:dyDescent="0.2">
      <c r="AI110" s="626"/>
      <c r="AJ110" s="626"/>
      <c r="AK110" s="627"/>
      <c r="AL110" s="627"/>
      <c r="AM110" s="627"/>
      <c r="AN110" s="627"/>
      <c r="AO110" s="627"/>
      <c r="AP110" s="627"/>
      <c r="AQ110" s="627"/>
    </row>
    <row r="111" spans="35:43" x14ac:dyDescent="0.2">
      <c r="AI111" s="626"/>
      <c r="AJ111" s="626"/>
      <c r="AK111" s="626"/>
      <c r="AL111" s="626"/>
      <c r="AM111" s="626"/>
      <c r="AN111" s="626"/>
      <c r="AO111" s="626"/>
      <c r="AP111" s="626"/>
      <c r="AQ111" s="627"/>
    </row>
    <row r="112" spans="35:43" x14ac:dyDescent="0.2">
      <c r="AI112" s="626"/>
      <c r="AJ112" s="626"/>
      <c r="AK112" s="626"/>
      <c r="AL112" s="626"/>
      <c r="AM112" s="626"/>
      <c r="AN112" s="626"/>
      <c r="AO112" s="626"/>
      <c r="AP112" s="626"/>
      <c r="AQ112" s="627"/>
    </row>
    <row r="113" spans="35:43" x14ac:dyDescent="0.2">
      <c r="AI113" s="626"/>
      <c r="AJ113" s="626"/>
      <c r="AK113" s="626"/>
      <c r="AL113" s="626"/>
      <c r="AM113" s="626"/>
      <c r="AN113" s="626"/>
      <c r="AO113" s="626"/>
      <c r="AP113" s="626"/>
      <c r="AQ113" s="627"/>
    </row>
    <row r="114" spans="35:43" x14ac:dyDescent="0.2">
      <c r="AI114" s="626"/>
      <c r="AJ114" s="626"/>
      <c r="AK114" s="626"/>
      <c r="AL114" s="626"/>
      <c r="AM114" s="626"/>
      <c r="AN114" s="626"/>
      <c r="AO114" s="626"/>
      <c r="AP114" s="626"/>
      <c r="AQ114" s="627"/>
    </row>
    <row r="115" spans="35:43" x14ac:dyDescent="0.2">
      <c r="AI115" s="626"/>
      <c r="AJ115" s="626"/>
      <c r="AK115" s="626"/>
      <c r="AL115" s="626"/>
      <c r="AM115" s="626"/>
      <c r="AN115" s="626"/>
      <c r="AO115" s="626"/>
      <c r="AP115" s="626"/>
      <c r="AQ115" s="627"/>
    </row>
    <row r="116" spans="35:43" x14ac:dyDescent="0.2">
      <c r="AI116" s="626"/>
      <c r="AJ116" s="626"/>
      <c r="AK116" s="626"/>
      <c r="AL116" s="626"/>
      <c r="AM116" s="626"/>
      <c r="AN116" s="626"/>
      <c r="AO116" s="626"/>
      <c r="AP116" s="626"/>
      <c r="AQ116" s="627"/>
    </row>
    <row r="117" spans="35:43" x14ac:dyDescent="0.2">
      <c r="AI117" s="647"/>
      <c r="AJ117" s="647"/>
      <c r="AK117" s="647"/>
      <c r="AL117" s="647"/>
      <c r="AM117" s="647"/>
      <c r="AN117" s="647"/>
      <c r="AO117" s="647"/>
      <c r="AP117" s="647"/>
      <c r="AQ117" s="647"/>
    </row>
    <row r="118" spans="35:43" x14ac:dyDescent="0.2">
      <c r="AI118" s="647"/>
      <c r="AJ118" s="647"/>
      <c r="AK118" s="647"/>
      <c r="AL118" s="647"/>
      <c r="AM118" s="647"/>
      <c r="AN118" s="647"/>
      <c r="AO118" s="647"/>
      <c r="AP118" s="647"/>
      <c r="AQ118" s="647"/>
    </row>
    <row r="119" spans="35:43" x14ac:dyDescent="0.2">
      <c r="AI119" s="647"/>
      <c r="AJ119" s="647"/>
      <c r="AK119" s="647"/>
      <c r="AL119" s="647"/>
      <c r="AM119" s="647"/>
      <c r="AN119" s="647"/>
      <c r="AO119" s="647"/>
      <c r="AP119" s="647"/>
      <c r="AQ119" s="647"/>
    </row>
    <row r="120" spans="35:43" x14ac:dyDescent="0.2">
      <c r="AI120" s="647"/>
      <c r="AJ120" s="647"/>
      <c r="AK120" s="647"/>
      <c r="AL120" s="647"/>
      <c r="AM120" s="647"/>
      <c r="AN120" s="647"/>
      <c r="AO120" s="647"/>
      <c r="AP120" s="647"/>
      <c r="AQ120" s="647"/>
    </row>
    <row r="121" spans="35:43" x14ac:dyDescent="0.2">
      <c r="AI121" s="626"/>
      <c r="AJ121" s="626"/>
      <c r="AK121" s="626"/>
      <c r="AL121" s="626"/>
      <c r="AM121" s="626"/>
      <c r="AN121" s="626"/>
      <c r="AO121" s="626"/>
      <c r="AP121" s="626"/>
      <c r="AQ121" s="627"/>
    </row>
    <row r="122" spans="35:43" x14ac:dyDescent="0.2">
      <c r="AI122" s="626"/>
      <c r="AJ122" s="626"/>
      <c r="AK122" s="626"/>
      <c r="AL122" s="626"/>
      <c r="AM122" s="626"/>
      <c r="AN122" s="626"/>
      <c r="AO122" s="626"/>
      <c r="AP122" s="626"/>
      <c r="AQ122" s="627"/>
    </row>
    <row r="123" spans="35:43" x14ac:dyDescent="0.2">
      <c r="AI123" s="626"/>
      <c r="AJ123" s="626"/>
      <c r="AK123" s="626"/>
      <c r="AL123" s="626"/>
      <c r="AM123" s="626"/>
      <c r="AN123" s="626"/>
      <c r="AO123" s="626"/>
      <c r="AP123" s="626"/>
      <c r="AQ123" s="627"/>
    </row>
    <row r="124" spans="35:43" x14ac:dyDescent="0.2">
      <c r="AI124" s="626"/>
      <c r="AJ124" s="626"/>
      <c r="AK124" s="626"/>
      <c r="AL124" s="626"/>
      <c r="AM124" s="626"/>
      <c r="AN124" s="626"/>
      <c r="AO124" s="626"/>
      <c r="AP124" s="626"/>
      <c r="AQ124" s="626"/>
    </row>
    <row r="125" spans="35:43" ht="15.75" x14ac:dyDescent="0.25">
      <c r="AI125" s="654"/>
      <c r="AJ125" s="654"/>
      <c r="AK125" s="642"/>
      <c r="AL125" s="642"/>
      <c r="AM125" s="642"/>
      <c r="AN125" s="642"/>
      <c r="AO125" s="642"/>
      <c r="AP125" s="642"/>
      <c r="AQ125" s="643"/>
    </row>
    <row r="126" spans="35:43" x14ac:dyDescent="0.2">
      <c r="AI126" s="626"/>
      <c r="AJ126" s="626"/>
      <c r="AK126" s="627"/>
      <c r="AL126" s="627"/>
      <c r="AM126" s="627"/>
      <c r="AN126" s="627"/>
      <c r="AO126" s="627"/>
      <c r="AP126" s="627"/>
      <c r="AQ126" s="627"/>
    </row>
    <row r="127" spans="35:43" x14ac:dyDescent="0.2">
      <c r="AI127" s="626"/>
      <c r="AJ127" s="626"/>
      <c r="AK127" s="626"/>
      <c r="AL127" s="626"/>
      <c r="AM127" s="626"/>
      <c r="AN127" s="626"/>
      <c r="AO127" s="626"/>
      <c r="AP127" s="626"/>
      <c r="AQ127" s="627"/>
    </row>
    <row r="128" spans="35:43" x14ac:dyDescent="0.2">
      <c r="AI128" s="626"/>
      <c r="AJ128" s="626"/>
      <c r="AK128" s="626"/>
      <c r="AL128" s="626"/>
      <c r="AM128" s="626"/>
      <c r="AN128" s="626"/>
      <c r="AO128" s="626"/>
      <c r="AP128" s="626"/>
      <c r="AQ128" s="627"/>
    </row>
    <row r="129" spans="35:43" x14ac:dyDescent="0.2">
      <c r="AI129" s="626"/>
      <c r="AJ129" s="626"/>
      <c r="AK129" s="626"/>
      <c r="AL129" s="626"/>
      <c r="AM129" s="626"/>
      <c r="AN129" s="626"/>
      <c r="AO129" s="626"/>
      <c r="AP129" s="626"/>
      <c r="AQ129" s="627"/>
    </row>
    <row r="130" spans="35:43" x14ac:dyDescent="0.2">
      <c r="AI130" s="626"/>
      <c r="AJ130" s="626"/>
      <c r="AK130" s="626"/>
      <c r="AL130" s="626"/>
      <c r="AM130" s="626"/>
      <c r="AN130" s="626"/>
      <c r="AO130" s="626"/>
      <c r="AP130" s="626"/>
      <c r="AQ130" s="627"/>
    </row>
    <row r="131" spans="35:43" x14ac:dyDescent="0.2">
      <c r="AI131" s="626"/>
      <c r="AJ131" s="626"/>
      <c r="AK131" s="626"/>
      <c r="AL131" s="626"/>
      <c r="AM131" s="626"/>
      <c r="AN131" s="626"/>
      <c r="AO131" s="626"/>
      <c r="AP131" s="626"/>
      <c r="AQ131" s="627"/>
    </row>
    <row r="132" spans="35:43" x14ac:dyDescent="0.2">
      <c r="AI132" s="626"/>
      <c r="AJ132" s="626"/>
      <c r="AK132" s="626"/>
      <c r="AL132" s="626"/>
      <c r="AM132" s="626"/>
      <c r="AN132" s="626"/>
      <c r="AO132" s="626"/>
      <c r="AP132" s="626"/>
      <c r="AQ132" s="626"/>
    </row>
    <row r="135" spans="35:43" x14ac:dyDescent="0.2">
      <c r="AJ135" s="647"/>
      <c r="AK135" s="647"/>
      <c r="AL135" s="647"/>
      <c r="AM135" s="647"/>
      <c r="AN135" s="647"/>
      <c r="AO135" s="647"/>
      <c r="AP135" s="647"/>
      <c r="AQ135" s="647"/>
    </row>
    <row r="136" spans="35:43" x14ac:dyDescent="0.2">
      <c r="AI136" s="84"/>
      <c r="AJ136" s="626"/>
      <c r="AK136" s="626"/>
      <c r="AL136" s="626"/>
      <c r="AM136" s="626"/>
      <c r="AN136" s="626"/>
      <c r="AO136" s="626"/>
      <c r="AP136" s="626"/>
      <c r="AQ136" s="627"/>
    </row>
    <row r="137" spans="35:43" x14ac:dyDescent="0.2">
      <c r="AI137" s="84"/>
      <c r="AJ137" s="626"/>
      <c r="AK137" s="626"/>
      <c r="AL137" s="626"/>
      <c r="AM137" s="626"/>
      <c r="AN137" s="626"/>
      <c r="AO137" s="626"/>
      <c r="AP137" s="626"/>
      <c r="AQ137" s="627"/>
    </row>
    <row r="138" spans="35:43" x14ac:dyDescent="0.2">
      <c r="AI138" s="84"/>
      <c r="AJ138" s="626"/>
      <c r="AK138" s="626"/>
      <c r="AL138" s="626"/>
      <c r="AM138" s="626"/>
      <c r="AN138" s="626"/>
      <c r="AO138" s="626"/>
      <c r="AP138" s="626"/>
      <c r="AQ138" s="627"/>
    </row>
    <row r="139" spans="35:43" x14ac:dyDescent="0.2">
      <c r="AI139" s="84"/>
      <c r="AJ139" s="626"/>
      <c r="AK139" s="626"/>
      <c r="AL139" s="626"/>
      <c r="AM139" s="626"/>
      <c r="AN139" s="626"/>
      <c r="AO139" s="626"/>
      <c r="AP139" s="626"/>
      <c r="AQ139" s="626"/>
    </row>
    <row r="140" spans="35:43" ht="15.75" x14ac:dyDescent="0.25">
      <c r="AI140" s="633"/>
      <c r="AJ140" s="654"/>
      <c r="AK140" s="642"/>
      <c r="AL140" s="642"/>
      <c r="AM140" s="642"/>
      <c r="AN140" s="642"/>
      <c r="AO140" s="642"/>
      <c r="AP140" s="642"/>
      <c r="AQ140" s="643"/>
    </row>
    <row r="141" spans="35:43" x14ac:dyDescent="0.2">
      <c r="AI141" s="84"/>
      <c r="AJ141" s="626"/>
      <c r="AK141" s="627"/>
      <c r="AL141" s="627"/>
      <c r="AM141" s="627"/>
      <c r="AN141" s="627"/>
      <c r="AO141" s="627"/>
      <c r="AP141" s="627"/>
      <c r="AQ141" s="627"/>
    </row>
    <row r="142" spans="35:43" x14ac:dyDescent="0.2">
      <c r="AI142" s="84"/>
      <c r="AJ142" s="626"/>
      <c r="AK142" s="626"/>
      <c r="AL142" s="626"/>
      <c r="AM142" s="626"/>
      <c r="AN142" s="626"/>
      <c r="AO142" s="626"/>
      <c r="AP142" s="626"/>
      <c r="AQ142" s="627"/>
    </row>
    <row r="143" spans="35:43" x14ac:dyDescent="0.2">
      <c r="AI143" s="84"/>
      <c r="AJ143" s="626"/>
      <c r="AK143" s="626"/>
      <c r="AL143" s="626"/>
      <c r="AM143" s="626"/>
      <c r="AN143" s="626"/>
      <c r="AO143" s="626"/>
      <c r="AP143" s="626"/>
      <c r="AQ143" s="627"/>
    </row>
    <row r="144" spans="35:43" x14ac:dyDescent="0.2">
      <c r="AI144" s="84"/>
      <c r="AJ144" s="626"/>
      <c r="AK144" s="626"/>
      <c r="AL144" s="626"/>
      <c r="AM144" s="626"/>
      <c r="AN144" s="626"/>
      <c r="AO144" s="626"/>
      <c r="AP144" s="626"/>
      <c r="AQ144" s="627"/>
    </row>
    <row r="145" spans="35:43" x14ac:dyDescent="0.2">
      <c r="AI145" s="84"/>
      <c r="AJ145" s="626"/>
      <c r="AK145" s="626"/>
      <c r="AL145" s="626"/>
      <c r="AM145" s="626"/>
      <c r="AN145" s="626"/>
      <c r="AO145" s="626"/>
      <c r="AP145" s="626"/>
      <c r="AQ145" s="627"/>
    </row>
    <row r="146" spans="35:43" x14ac:dyDescent="0.2">
      <c r="AI146" s="84"/>
      <c r="AJ146" s="626"/>
      <c r="AK146" s="626"/>
      <c r="AL146" s="626"/>
      <c r="AM146" s="626"/>
      <c r="AN146" s="626"/>
      <c r="AO146" s="626"/>
      <c r="AP146" s="626"/>
      <c r="AQ146" s="627"/>
    </row>
    <row r="147" spans="35:43" x14ac:dyDescent="0.2">
      <c r="AI147" s="84"/>
      <c r="AJ147" s="626"/>
      <c r="AK147" s="626"/>
      <c r="AL147" s="626"/>
      <c r="AM147" s="626"/>
      <c r="AN147" s="626"/>
      <c r="AO147" s="626"/>
      <c r="AP147" s="626"/>
      <c r="AQ147" s="626"/>
    </row>
    <row r="148" spans="35:43" x14ac:dyDescent="0.2">
      <c r="AI148" s="84"/>
      <c r="AJ148" s="626"/>
      <c r="AK148" s="626"/>
      <c r="AL148" s="626"/>
      <c r="AM148" s="626"/>
      <c r="AN148" s="626"/>
      <c r="AO148" s="626"/>
      <c r="AP148" s="626"/>
      <c r="AQ148" s="626"/>
    </row>
    <row r="149" spans="35:43" x14ac:dyDescent="0.2">
      <c r="AJ149" s="647"/>
      <c r="AK149" s="647"/>
      <c r="AL149" s="647"/>
      <c r="AM149" s="655"/>
      <c r="AN149" s="655"/>
      <c r="AO149" s="655"/>
      <c r="AP149" s="655"/>
      <c r="AQ149" s="655"/>
    </row>
    <row r="150" spans="35:43" x14ac:dyDescent="0.2">
      <c r="AJ150" s="647"/>
      <c r="AK150" s="647"/>
      <c r="AL150" s="647"/>
      <c r="AM150" s="626"/>
      <c r="AN150" s="626"/>
      <c r="AO150" s="626"/>
      <c r="AP150" s="626"/>
      <c r="AQ150" s="655"/>
    </row>
    <row r="151" spans="35:43" x14ac:dyDescent="0.2">
      <c r="AJ151" s="647"/>
      <c r="AK151" s="647"/>
      <c r="AL151" s="647"/>
      <c r="AM151" s="626"/>
      <c r="AN151" s="626"/>
      <c r="AO151" s="626"/>
      <c r="AP151" s="626"/>
      <c r="AQ151" s="655"/>
    </row>
    <row r="152" spans="35:43" x14ac:dyDescent="0.2">
      <c r="AJ152" s="647"/>
      <c r="AK152" s="647"/>
      <c r="AL152" s="647"/>
      <c r="AM152" s="626"/>
      <c r="AN152" s="626"/>
      <c r="AO152" s="626"/>
      <c r="AP152" s="626"/>
      <c r="AQ152" s="655"/>
    </row>
    <row r="153" spans="35:43" x14ac:dyDescent="0.2">
      <c r="AJ153" s="647"/>
      <c r="AK153" s="647"/>
      <c r="AL153" s="647"/>
      <c r="AM153" s="626"/>
      <c r="AN153" s="626"/>
      <c r="AO153" s="626"/>
      <c r="AP153" s="626"/>
      <c r="AQ153" s="655"/>
    </row>
    <row r="154" spans="35:43" x14ac:dyDescent="0.2">
      <c r="AI154" s="84"/>
      <c r="AJ154" s="656"/>
      <c r="AK154" s="626"/>
      <c r="AL154" s="627"/>
      <c r="AM154" s="626"/>
      <c r="AN154" s="626"/>
      <c r="AO154" s="626"/>
      <c r="AP154" s="626"/>
      <c r="AQ154" s="655"/>
    </row>
    <row r="155" spans="35:43" x14ac:dyDescent="0.2">
      <c r="AI155" s="84"/>
      <c r="AJ155" s="656"/>
      <c r="AK155" s="649"/>
      <c r="AL155" s="627"/>
      <c r="AM155" s="626"/>
      <c r="AN155" s="626"/>
      <c r="AO155" s="626"/>
      <c r="AP155" s="626"/>
      <c r="AQ155" s="655"/>
    </row>
    <row r="156" spans="35:43" x14ac:dyDescent="0.2">
      <c r="AI156" s="84"/>
      <c r="AJ156" s="656"/>
      <c r="AK156" s="626"/>
      <c r="AL156" s="627"/>
      <c r="AM156" s="626"/>
      <c r="AN156" s="626"/>
      <c r="AO156" s="626"/>
      <c r="AP156" s="626"/>
      <c r="AQ156" s="655"/>
    </row>
    <row r="157" spans="35:43" x14ac:dyDescent="0.2">
      <c r="AI157" s="84"/>
      <c r="AJ157" s="656"/>
      <c r="AK157" s="626"/>
      <c r="AL157" s="627"/>
      <c r="AM157" s="626"/>
      <c r="AN157" s="626"/>
      <c r="AO157" s="626"/>
      <c r="AP157" s="626"/>
      <c r="AQ157" s="655"/>
    </row>
    <row r="158" spans="35:43" x14ac:dyDescent="0.2">
      <c r="AI158" s="84"/>
      <c r="AJ158" s="656"/>
      <c r="AK158" s="626"/>
      <c r="AL158" s="627"/>
      <c r="AM158" s="626"/>
      <c r="AN158" s="626"/>
      <c r="AO158" s="626"/>
      <c r="AP158" s="626"/>
      <c r="AQ158" s="655"/>
    </row>
    <row r="159" spans="35:43" x14ac:dyDescent="0.2">
      <c r="AI159" s="84"/>
      <c r="AJ159" s="656"/>
      <c r="AK159" s="626"/>
      <c r="AL159" s="627"/>
      <c r="AM159" s="626"/>
      <c r="AN159" s="626"/>
      <c r="AO159" s="626"/>
      <c r="AP159" s="626"/>
      <c r="AQ159" s="655"/>
    </row>
    <row r="160" spans="35:43" x14ac:dyDescent="0.2">
      <c r="AI160" s="657"/>
      <c r="AJ160" s="656"/>
      <c r="AK160" s="626"/>
      <c r="AL160" s="627"/>
      <c r="AM160" s="626"/>
      <c r="AN160" s="626"/>
      <c r="AO160" s="626"/>
      <c r="AP160" s="626"/>
      <c r="AQ160" s="655"/>
    </row>
    <row r="161" spans="35:43" x14ac:dyDescent="0.2">
      <c r="AI161" s="84"/>
      <c r="AJ161" s="656"/>
      <c r="AK161" s="626"/>
      <c r="AL161" s="627"/>
      <c r="AM161" s="626"/>
      <c r="AN161" s="626"/>
      <c r="AO161" s="626"/>
      <c r="AP161" s="626"/>
      <c r="AQ161" s="655"/>
    </row>
    <row r="162" spans="35:43" x14ac:dyDescent="0.2">
      <c r="AI162" s="84"/>
      <c r="AJ162" s="656"/>
      <c r="AK162" s="626"/>
      <c r="AL162" s="627"/>
      <c r="AM162" s="626"/>
      <c r="AN162" s="626"/>
      <c r="AO162" s="626"/>
      <c r="AP162" s="626"/>
      <c r="AQ162" s="655"/>
    </row>
    <row r="163" spans="35:43" x14ac:dyDescent="0.2">
      <c r="AI163" s="657"/>
      <c r="AJ163" s="656"/>
      <c r="AK163" s="626"/>
      <c r="AL163" s="627"/>
      <c r="AM163" s="626"/>
      <c r="AN163" s="626"/>
      <c r="AO163" s="626"/>
      <c r="AP163" s="626"/>
      <c r="AQ163" s="655"/>
    </row>
    <row r="164" spans="35:43" x14ac:dyDescent="0.2">
      <c r="AI164" s="84"/>
      <c r="AJ164" s="656"/>
      <c r="AK164" s="626"/>
      <c r="AL164" s="627"/>
      <c r="AM164" s="626"/>
      <c r="AN164" s="626"/>
      <c r="AO164" s="626"/>
      <c r="AP164" s="626"/>
      <c r="AQ164" s="655"/>
    </row>
    <row r="165" spans="35:43" x14ac:dyDescent="0.2">
      <c r="AI165" s="84"/>
      <c r="AJ165" s="656"/>
      <c r="AK165" s="626"/>
      <c r="AL165" s="627"/>
      <c r="AM165" s="626"/>
      <c r="AN165" s="626"/>
      <c r="AO165" s="626"/>
      <c r="AP165" s="626"/>
      <c r="AQ165" s="655"/>
    </row>
    <row r="166" spans="35:43" x14ac:dyDescent="0.2">
      <c r="AI166" s="84"/>
      <c r="AJ166" s="656"/>
      <c r="AK166" s="626"/>
      <c r="AL166" s="626"/>
      <c r="AM166" s="626"/>
      <c r="AN166" s="626"/>
      <c r="AO166" s="626"/>
      <c r="AP166" s="626"/>
      <c r="AQ166" s="655"/>
    </row>
    <row r="167" spans="35:43" x14ac:dyDescent="0.2">
      <c r="AI167" s="84"/>
      <c r="AJ167" s="656"/>
      <c r="AK167" s="626"/>
      <c r="AL167" s="626"/>
      <c r="AM167" s="626"/>
      <c r="AN167" s="626"/>
      <c r="AO167" s="626"/>
      <c r="AP167" s="626"/>
      <c r="AQ167" s="655"/>
    </row>
    <row r="168" spans="35:43" x14ac:dyDescent="0.2">
      <c r="AI168" s="657"/>
      <c r="AJ168" s="656"/>
      <c r="AK168" s="626"/>
      <c r="AL168" s="626"/>
      <c r="AM168" s="626"/>
      <c r="AN168" s="626"/>
      <c r="AO168" s="626"/>
      <c r="AP168" s="626"/>
      <c r="AQ168" s="658"/>
    </row>
    <row r="169" spans="35:43" x14ac:dyDescent="0.2">
      <c r="AJ169" s="647"/>
      <c r="AK169" s="647"/>
      <c r="AL169" s="647"/>
      <c r="AM169" s="647"/>
      <c r="AN169" s="647"/>
      <c r="AO169" s="626"/>
      <c r="AP169" s="626"/>
      <c r="AQ169" s="659"/>
    </row>
    <row r="170" spans="35:43" x14ac:dyDescent="0.2">
      <c r="AJ170" s="647"/>
      <c r="AK170" s="647"/>
      <c r="AL170" s="647"/>
      <c r="AM170" s="647"/>
      <c r="AN170" s="647"/>
      <c r="AO170" s="626"/>
      <c r="AP170" s="626"/>
      <c r="AQ170" s="655"/>
    </row>
    <row r="171" spans="35:43" x14ac:dyDescent="0.2">
      <c r="AJ171" s="647"/>
      <c r="AK171" s="647"/>
      <c r="AL171" s="647"/>
      <c r="AM171" s="647"/>
      <c r="AN171" s="647"/>
      <c r="AO171" s="626"/>
      <c r="AP171" s="626"/>
      <c r="AQ171" s="655"/>
    </row>
    <row r="172" spans="35:43" ht="15.75" x14ac:dyDescent="0.25">
      <c r="AJ172" s="647"/>
      <c r="AK172" s="647"/>
      <c r="AL172" s="647"/>
      <c r="AM172" s="647"/>
      <c r="AN172" s="647"/>
      <c r="AO172" s="626"/>
      <c r="AP172" s="626"/>
      <c r="AQ172" s="660"/>
    </row>
    <row r="173" spans="35:43" x14ac:dyDescent="0.2">
      <c r="AJ173" s="647"/>
      <c r="AK173" s="647"/>
      <c r="AL173" s="647"/>
      <c r="AM173" s="647"/>
      <c r="AN173" s="647"/>
      <c r="AO173" s="626"/>
      <c r="AP173" s="626"/>
      <c r="AQ173" s="661"/>
    </row>
    <row r="174" spans="35:43" x14ac:dyDescent="0.2">
      <c r="AJ174" s="647"/>
      <c r="AK174" s="647"/>
      <c r="AL174" s="647"/>
      <c r="AM174" s="647"/>
      <c r="AN174" s="647"/>
      <c r="AO174" s="626"/>
      <c r="AP174" s="626"/>
      <c r="AQ174" s="661"/>
    </row>
    <row r="175" spans="35:43" x14ac:dyDescent="0.2">
      <c r="AI175" s="84"/>
      <c r="AJ175" s="656"/>
      <c r="AK175" s="626"/>
      <c r="AL175" s="626"/>
      <c r="AM175" s="626"/>
      <c r="AN175" s="627"/>
      <c r="AO175" s="626"/>
      <c r="AP175" s="626"/>
      <c r="AQ175" s="661"/>
    </row>
    <row r="176" spans="35:43" x14ac:dyDescent="0.2">
      <c r="AI176" s="84"/>
      <c r="AJ176" s="656"/>
      <c r="AK176" s="626"/>
      <c r="AL176" s="627"/>
      <c r="AM176" s="627"/>
      <c r="AN176" s="627"/>
      <c r="AO176" s="626"/>
      <c r="AP176" s="626"/>
      <c r="AQ176" s="661"/>
    </row>
    <row r="177" spans="35:43" x14ac:dyDescent="0.2">
      <c r="AI177" s="84"/>
      <c r="AJ177" s="656"/>
      <c r="AK177" s="626"/>
      <c r="AL177" s="626"/>
      <c r="AM177" s="626"/>
      <c r="AN177" s="627"/>
      <c r="AO177" s="626"/>
      <c r="AP177" s="626"/>
      <c r="AQ177" s="661"/>
    </row>
    <row r="178" spans="35:43" x14ac:dyDescent="0.2">
      <c r="AI178" s="84"/>
      <c r="AJ178" s="656"/>
      <c r="AK178" s="626"/>
      <c r="AL178" s="626"/>
      <c r="AM178" s="626"/>
      <c r="AN178" s="627"/>
      <c r="AO178" s="626"/>
      <c r="AP178" s="626"/>
      <c r="AQ178" s="661"/>
    </row>
    <row r="179" spans="35:43" x14ac:dyDescent="0.2">
      <c r="AI179" s="84"/>
      <c r="AJ179" s="656"/>
      <c r="AK179" s="626"/>
      <c r="AL179" s="626"/>
      <c r="AM179" s="626"/>
      <c r="AN179" s="627"/>
      <c r="AO179" s="626"/>
      <c r="AP179" s="626"/>
      <c r="AQ179" s="661"/>
    </row>
    <row r="180" spans="35:43" x14ac:dyDescent="0.2">
      <c r="AI180" s="84"/>
      <c r="AJ180" s="656"/>
      <c r="AK180" s="626"/>
      <c r="AL180" s="626"/>
      <c r="AM180" s="626"/>
      <c r="AN180" s="627"/>
      <c r="AO180" s="626"/>
      <c r="AP180" s="626"/>
      <c r="AQ180" s="661"/>
    </row>
    <row r="181" spans="35:43" x14ac:dyDescent="0.2">
      <c r="AI181" s="84"/>
      <c r="AJ181" s="656"/>
      <c r="AK181" s="626"/>
      <c r="AL181" s="626"/>
      <c r="AM181" s="626"/>
      <c r="AN181" s="627"/>
      <c r="AO181" s="626"/>
      <c r="AP181" s="626"/>
      <c r="AQ181" s="661"/>
    </row>
    <row r="182" spans="35:43" x14ac:dyDescent="0.2">
      <c r="AI182" s="84"/>
      <c r="AJ182" s="656"/>
      <c r="AK182" s="626"/>
      <c r="AL182" s="626"/>
      <c r="AM182" s="626"/>
      <c r="AN182" s="627"/>
      <c r="AO182" s="626"/>
      <c r="AP182" s="626"/>
      <c r="AQ182" s="661"/>
    </row>
    <row r="183" spans="35:43" x14ac:dyDescent="0.2">
      <c r="AI183" s="84"/>
      <c r="AJ183" s="656"/>
      <c r="AK183" s="626"/>
      <c r="AL183" s="626"/>
      <c r="AM183" s="626"/>
      <c r="AN183" s="627"/>
      <c r="AO183" s="626"/>
      <c r="AP183" s="626"/>
      <c r="AQ183" s="661"/>
    </row>
    <row r="184" spans="35:43" x14ac:dyDescent="0.2">
      <c r="AI184" s="84"/>
      <c r="AJ184" s="656"/>
      <c r="AK184" s="626"/>
      <c r="AL184" s="626"/>
      <c r="AM184" s="626"/>
      <c r="AN184" s="627"/>
      <c r="AO184" s="626"/>
      <c r="AP184" s="626"/>
      <c r="AQ184" s="661"/>
    </row>
    <row r="185" spans="35:43" x14ac:dyDescent="0.2">
      <c r="AI185" s="84"/>
      <c r="AJ185" s="656"/>
      <c r="AK185" s="626"/>
      <c r="AL185" s="626"/>
      <c r="AM185" s="626"/>
      <c r="AN185" s="627"/>
      <c r="AO185" s="626"/>
      <c r="AP185" s="626"/>
      <c r="AQ185" s="661"/>
    </row>
    <row r="186" spans="35:43" x14ac:dyDescent="0.2">
      <c r="AI186" s="84"/>
      <c r="AJ186" s="656"/>
      <c r="AK186" s="626"/>
      <c r="AL186" s="626"/>
      <c r="AM186" s="626"/>
      <c r="AN186" s="627"/>
      <c r="AO186" s="626"/>
      <c r="AP186" s="626"/>
      <c r="AQ186" s="661"/>
    </row>
    <row r="187" spans="35:43" x14ac:dyDescent="0.2">
      <c r="AI187" s="84"/>
      <c r="AJ187" s="656"/>
      <c r="AK187" s="626"/>
      <c r="AL187" s="626"/>
      <c r="AM187" s="626"/>
      <c r="AN187" s="627"/>
      <c r="AO187" s="626"/>
      <c r="AP187" s="626"/>
      <c r="AQ187" s="661"/>
    </row>
    <row r="188" spans="35:43" x14ac:dyDescent="0.2">
      <c r="AI188" s="84"/>
      <c r="AJ188" s="656"/>
      <c r="AK188" s="626"/>
      <c r="AL188" s="626"/>
      <c r="AM188" s="626"/>
      <c r="AN188" s="627"/>
      <c r="AO188" s="626"/>
      <c r="AP188" s="626"/>
      <c r="AQ188" s="661"/>
    </row>
    <row r="189" spans="35:43" x14ac:dyDescent="0.2">
      <c r="AI189" s="84"/>
      <c r="AJ189" s="656"/>
      <c r="AK189" s="626"/>
      <c r="AL189" s="626"/>
      <c r="AM189" s="626"/>
      <c r="AN189" s="662"/>
      <c r="AO189" s="626"/>
      <c r="AP189" s="626"/>
      <c r="AQ189" s="661"/>
    </row>
    <row r="190" spans="35:43" x14ac:dyDescent="0.2">
      <c r="AI190" s="84"/>
      <c r="AJ190" s="656"/>
      <c r="AK190" s="626"/>
      <c r="AL190" s="626"/>
      <c r="AM190" s="626"/>
      <c r="AN190" s="662"/>
      <c r="AO190" s="626"/>
      <c r="AP190" s="626"/>
      <c r="AQ190" s="661"/>
    </row>
    <row r="191" spans="35:43" x14ac:dyDescent="0.2">
      <c r="AJ191" s="647"/>
      <c r="AK191" s="647"/>
      <c r="AL191" s="647"/>
      <c r="AM191" s="647"/>
      <c r="AN191" s="647"/>
      <c r="AO191" s="626"/>
      <c r="AP191" s="626"/>
      <c r="AQ191" s="661"/>
    </row>
    <row r="192" spans="35:43" x14ac:dyDescent="0.2">
      <c r="AJ192" s="647"/>
      <c r="AK192" s="647"/>
      <c r="AL192" s="647"/>
      <c r="AM192" s="647"/>
      <c r="AN192" s="647"/>
      <c r="AO192" s="655"/>
      <c r="AP192" s="655"/>
      <c r="AQ192" s="663"/>
    </row>
    <row r="193" spans="35:43" x14ac:dyDescent="0.2">
      <c r="AJ193" s="647"/>
      <c r="AK193" s="647"/>
      <c r="AL193" s="647"/>
      <c r="AM193" s="647"/>
      <c r="AN193" s="647"/>
      <c r="AO193" s="655"/>
      <c r="AP193" s="655"/>
      <c r="AQ193" s="663"/>
    </row>
    <row r="194" spans="35:43" x14ac:dyDescent="0.2">
      <c r="AI194" s="84"/>
      <c r="AJ194" s="656"/>
      <c r="AK194" s="626"/>
      <c r="AL194" s="626"/>
      <c r="AM194" s="626"/>
      <c r="AN194" s="627"/>
      <c r="AO194" s="655"/>
      <c r="AP194" s="655"/>
      <c r="AQ194" s="661"/>
    </row>
    <row r="195" spans="35:43" x14ac:dyDescent="0.2">
      <c r="AI195" s="84"/>
      <c r="AJ195" s="656"/>
      <c r="AK195" s="626"/>
      <c r="AL195" s="626"/>
      <c r="AM195" s="626"/>
      <c r="AN195" s="627"/>
      <c r="AO195" s="655"/>
      <c r="AP195" s="655"/>
      <c r="AQ195" s="661"/>
    </row>
    <row r="196" spans="35:43" ht="15.75" x14ac:dyDescent="0.25">
      <c r="AI196" s="84"/>
      <c r="AJ196" s="656"/>
      <c r="AK196" s="626"/>
      <c r="AL196" s="626"/>
      <c r="AM196" s="626"/>
      <c r="AN196" s="627"/>
      <c r="AO196" s="660"/>
      <c r="AP196" s="655"/>
      <c r="AQ196" s="661"/>
    </row>
    <row r="197" spans="35:43" x14ac:dyDescent="0.2">
      <c r="AI197" s="84"/>
      <c r="AJ197" s="656"/>
      <c r="AK197" s="626"/>
      <c r="AL197" s="626"/>
      <c r="AM197" s="626"/>
      <c r="AN197" s="627"/>
      <c r="AO197" s="661"/>
      <c r="AP197" s="655"/>
      <c r="AQ197" s="661"/>
    </row>
    <row r="198" spans="35:43" ht="15.75" x14ac:dyDescent="0.25">
      <c r="AI198" s="84"/>
      <c r="AJ198" s="656"/>
      <c r="AK198" s="626"/>
      <c r="AL198" s="626"/>
      <c r="AM198" s="626"/>
      <c r="AN198" s="627"/>
      <c r="AO198" s="660"/>
      <c r="AP198" s="655"/>
      <c r="AQ198" s="661"/>
    </row>
    <row r="199" spans="35:43" ht="15.75" x14ac:dyDescent="0.25">
      <c r="AI199" s="84"/>
      <c r="AJ199" s="656"/>
      <c r="AK199" s="626"/>
      <c r="AL199" s="626"/>
      <c r="AM199" s="626"/>
      <c r="AN199" s="664"/>
      <c r="AO199" s="660"/>
      <c r="AP199" s="655"/>
      <c r="AQ199" s="661"/>
    </row>
    <row r="200" spans="35:43" ht="15.75" x14ac:dyDescent="0.25">
      <c r="AI200" s="84"/>
      <c r="AJ200" s="656"/>
      <c r="AK200" s="626"/>
      <c r="AL200" s="626"/>
      <c r="AM200" s="626"/>
      <c r="AN200" s="664"/>
      <c r="AO200" s="660"/>
      <c r="AP200" s="655"/>
      <c r="AQ200" s="661"/>
    </row>
    <row r="201" spans="35:43" ht="15.75" x14ac:dyDescent="0.25">
      <c r="AI201" s="84"/>
      <c r="AJ201" s="656"/>
      <c r="AK201" s="626"/>
      <c r="AL201" s="626"/>
      <c r="AM201" s="626"/>
      <c r="AN201" s="664"/>
      <c r="AO201" s="660"/>
      <c r="AP201" s="655"/>
      <c r="AQ201" s="661"/>
    </row>
    <row r="202" spans="35:43" ht="15.75" x14ac:dyDescent="0.25">
      <c r="AI202" s="633"/>
      <c r="AJ202" s="665"/>
      <c r="AK202" s="642"/>
      <c r="AL202" s="642"/>
      <c r="AM202" s="642"/>
      <c r="AN202" s="643"/>
      <c r="AO202" s="655"/>
      <c r="AP202" s="655"/>
      <c r="AQ202" s="661"/>
    </row>
    <row r="203" spans="35:43" ht="15.75" x14ac:dyDescent="0.25">
      <c r="AI203" s="84"/>
      <c r="AJ203" s="656"/>
      <c r="AK203" s="626"/>
      <c r="AL203" s="626"/>
      <c r="AM203" s="626"/>
      <c r="AN203" s="627"/>
      <c r="AO203" s="660"/>
      <c r="AP203" s="655"/>
      <c r="AQ203" s="661"/>
    </row>
    <row r="204" spans="35:43" x14ac:dyDescent="0.2">
      <c r="AI204" s="84"/>
      <c r="AJ204" s="656"/>
      <c r="AK204" s="626"/>
      <c r="AL204" s="626"/>
      <c r="AM204" s="626"/>
      <c r="AN204" s="627"/>
      <c r="AO204" s="661"/>
      <c r="AP204" s="655"/>
      <c r="AQ204" s="661"/>
    </row>
    <row r="205" spans="35:43" x14ac:dyDescent="0.2">
      <c r="AI205" s="84"/>
      <c r="AJ205" s="656"/>
      <c r="AK205" s="626"/>
      <c r="AL205" s="626"/>
      <c r="AM205" s="626"/>
      <c r="AN205" s="627"/>
      <c r="AO205" s="661"/>
      <c r="AP205" s="655"/>
      <c r="AQ205" s="661"/>
    </row>
    <row r="206" spans="35:43" x14ac:dyDescent="0.2">
      <c r="AI206" s="84"/>
      <c r="AJ206" s="656"/>
      <c r="AK206" s="626"/>
      <c r="AL206" s="626"/>
      <c r="AM206" s="626"/>
      <c r="AN206" s="627"/>
      <c r="AO206" s="655"/>
      <c r="AP206" s="655"/>
      <c r="AQ206" s="661"/>
    </row>
    <row r="207" spans="35:43" ht="15.75" x14ac:dyDescent="0.25">
      <c r="AI207" s="84"/>
      <c r="AJ207" s="656"/>
      <c r="AK207" s="626"/>
      <c r="AL207" s="626"/>
      <c r="AM207" s="626"/>
      <c r="AN207" s="664"/>
      <c r="AO207" s="660"/>
      <c r="AP207" s="655"/>
      <c r="AQ207" s="661"/>
    </row>
    <row r="208" spans="35:43" x14ac:dyDescent="0.2">
      <c r="AI208" s="84"/>
      <c r="AJ208" s="656"/>
      <c r="AK208" s="626"/>
      <c r="AL208" s="626"/>
      <c r="AM208" s="626"/>
      <c r="AN208" s="626"/>
      <c r="AO208" s="661"/>
      <c r="AP208" s="655"/>
      <c r="AQ208" s="661"/>
    </row>
    <row r="209" spans="35:43" x14ac:dyDescent="0.2">
      <c r="AJ209" s="647"/>
      <c r="AK209" s="647"/>
      <c r="AL209" s="647"/>
      <c r="AM209" s="647"/>
      <c r="AN209" s="647"/>
      <c r="AO209" s="661"/>
      <c r="AP209" s="655"/>
      <c r="AQ209" s="661"/>
    </row>
    <row r="210" spans="35:43" x14ac:dyDescent="0.2">
      <c r="AJ210" s="647"/>
      <c r="AK210" s="647"/>
      <c r="AL210" s="647"/>
      <c r="AM210" s="647"/>
      <c r="AN210" s="647"/>
      <c r="AO210" s="655"/>
      <c r="AP210" s="655"/>
      <c r="AQ210" s="661"/>
    </row>
    <row r="211" spans="35:43" ht="15.75" x14ac:dyDescent="0.25">
      <c r="AJ211" s="647"/>
      <c r="AK211" s="647"/>
      <c r="AL211" s="647"/>
      <c r="AM211" s="647"/>
      <c r="AN211" s="647"/>
      <c r="AO211" s="660"/>
      <c r="AP211" s="655"/>
      <c r="AQ211" s="661"/>
    </row>
    <row r="212" spans="35:43" x14ac:dyDescent="0.2">
      <c r="AI212" s="84"/>
      <c r="AJ212" s="656"/>
      <c r="AK212" s="626"/>
      <c r="AL212" s="626"/>
      <c r="AM212" s="626"/>
      <c r="AN212" s="627"/>
      <c r="AO212" s="661"/>
      <c r="AP212" s="655"/>
      <c r="AQ212" s="661"/>
    </row>
    <row r="213" spans="35:43" x14ac:dyDescent="0.2">
      <c r="AI213" s="84"/>
      <c r="AJ213" s="656"/>
      <c r="AK213" s="626"/>
      <c r="AL213" s="626"/>
      <c r="AM213" s="626"/>
      <c r="AN213" s="627"/>
      <c r="AO213" s="661"/>
      <c r="AP213" s="655"/>
      <c r="AQ213" s="661"/>
    </row>
    <row r="214" spans="35:43" x14ac:dyDescent="0.2">
      <c r="AI214" s="84"/>
      <c r="AJ214" s="656"/>
      <c r="AK214" s="626"/>
      <c r="AL214" s="626"/>
      <c r="AM214" s="626"/>
      <c r="AN214" s="627"/>
      <c r="AO214" s="661"/>
      <c r="AP214" s="655"/>
      <c r="AQ214" s="661"/>
    </row>
    <row r="215" spans="35:43" x14ac:dyDescent="0.2">
      <c r="AI215" s="84"/>
      <c r="AJ215" s="656"/>
      <c r="AK215" s="626"/>
      <c r="AL215" s="626"/>
      <c r="AM215" s="626"/>
      <c r="AN215" s="627"/>
      <c r="AO215" s="661"/>
      <c r="AP215" s="655"/>
      <c r="AQ215" s="661"/>
    </row>
    <row r="216" spans="35:43" x14ac:dyDescent="0.2">
      <c r="AI216" s="84"/>
      <c r="AJ216" s="656"/>
      <c r="AK216" s="626"/>
      <c r="AL216" s="626"/>
      <c r="AM216" s="626"/>
      <c r="AN216" s="627"/>
      <c r="AO216" s="655"/>
      <c r="AP216" s="655"/>
      <c r="AQ216" s="661"/>
    </row>
    <row r="217" spans="35:43" x14ac:dyDescent="0.2">
      <c r="AI217" s="84"/>
      <c r="AJ217" s="656"/>
      <c r="AK217" s="626"/>
      <c r="AL217" s="626"/>
      <c r="AM217" s="626"/>
      <c r="AN217" s="626"/>
      <c r="AO217" s="655"/>
      <c r="AP217" s="655"/>
      <c r="AQ217" s="661"/>
    </row>
    <row r="218" spans="35:43" ht="15.75" x14ac:dyDescent="0.25">
      <c r="AI218" s="633"/>
      <c r="AJ218" s="665"/>
      <c r="AK218" s="642"/>
      <c r="AL218" s="642"/>
      <c r="AM218" s="642"/>
      <c r="AN218" s="643"/>
      <c r="AO218" s="655"/>
      <c r="AP218" s="655"/>
      <c r="AQ218" s="661"/>
    </row>
    <row r="219" spans="35:43" x14ac:dyDescent="0.2">
      <c r="AI219" s="84"/>
      <c r="AJ219" s="656"/>
      <c r="AK219" s="626"/>
      <c r="AL219" s="626"/>
      <c r="AM219" s="626"/>
      <c r="AN219" s="627"/>
      <c r="AO219" s="655"/>
      <c r="AP219" s="655"/>
      <c r="AQ219" s="661"/>
    </row>
    <row r="220" spans="35:43" x14ac:dyDescent="0.2">
      <c r="AI220" s="84"/>
      <c r="AJ220" s="656"/>
      <c r="AK220" s="626"/>
      <c r="AL220" s="626"/>
      <c r="AM220" s="626"/>
      <c r="AN220" s="627"/>
      <c r="AO220" s="655"/>
      <c r="AP220" s="655"/>
      <c r="AQ220" s="661"/>
    </row>
    <row r="221" spans="35:43" x14ac:dyDescent="0.2">
      <c r="AI221" s="84"/>
      <c r="AJ221" s="656"/>
      <c r="AK221" s="626"/>
      <c r="AL221" s="626"/>
      <c r="AM221" s="626"/>
      <c r="AN221" s="627"/>
      <c r="AO221" s="655"/>
      <c r="AP221" s="655"/>
      <c r="AQ221" s="661"/>
    </row>
    <row r="222" spans="35:43" x14ac:dyDescent="0.2">
      <c r="AI222" s="84"/>
      <c r="AJ222" s="656"/>
      <c r="AK222" s="626"/>
      <c r="AL222" s="626"/>
      <c r="AM222" s="626"/>
      <c r="AN222" s="627"/>
      <c r="AO222" s="655"/>
      <c r="AP222" s="655"/>
      <c r="AQ222" s="661"/>
    </row>
    <row r="223" spans="35:43" x14ac:dyDescent="0.2">
      <c r="AI223" s="84"/>
      <c r="AJ223" s="656"/>
      <c r="AK223" s="626"/>
      <c r="AL223" s="626"/>
      <c r="AM223" s="626"/>
      <c r="AN223" s="627"/>
      <c r="AO223" s="655"/>
      <c r="AP223" s="655"/>
      <c r="AQ223" s="661"/>
    </row>
    <row r="224" spans="35:43" x14ac:dyDescent="0.2">
      <c r="AI224" s="84"/>
      <c r="AJ224" s="656"/>
      <c r="AK224" s="626"/>
      <c r="AL224" s="626"/>
      <c r="AM224" s="626"/>
      <c r="AN224" s="626"/>
      <c r="AO224" s="655"/>
      <c r="AP224" s="655"/>
      <c r="AQ224" s="661"/>
    </row>
    <row r="225" spans="35:43" x14ac:dyDescent="0.2">
      <c r="AI225" s="84"/>
      <c r="AJ225" s="626"/>
      <c r="AK225" s="626"/>
      <c r="AL225" s="626"/>
      <c r="AM225" s="626"/>
      <c r="AN225" s="626"/>
      <c r="AO225" s="626"/>
      <c r="AP225" s="626"/>
      <c r="AQ225" s="626"/>
    </row>
    <row r="226" spans="35:43" x14ac:dyDescent="0.2">
      <c r="AI226" s="84"/>
      <c r="AJ226" s="626"/>
      <c r="AK226" s="626"/>
      <c r="AL226" s="626"/>
      <c r="AM226" s="626"/>
      <c r="AN226" s="626"/>
      <c r="AO226" s="626"/>
      <c r="AP226" s="626"/>
      <c r="AQ226" s="626"/>
    </row>
    <row r="227" spans="35:43" x14ac:dyDescent="0.2">
      <c r="AI227" s="84"/>
      <c r="AJ227" s="626"/>
      <c r="AK227" s="626"/>
      <c r="AL227" s="626"/>
      <c r="AM227" s="626"/>
      <c r="AN227" s="626"/>
      <c r="AO227" s="626"/>
      <c r="AP227" s="626"/>
      <c r="AQ227" s="626"/>
    </row>
    <row r="228" spans="35:43" x14ac:dyDescent="0.2">
      <c r="AI228" s="84"/>
      <c r="AJ228" s="626"/>
      <c r="AK228" s="626"/>
      <c r="AL228" s="626"/>
      <c r="AM228" s="626"/>
      <c r="AN228" s="626"/>
      <c r="AO228" s="626"/>
      <c r="AP228" s="626"/>
      <c r="AQ228" s="626"/>
    </row>
    <row r="229" spans="35:43" x14ac:dyDescent="0.2">
      <c r="AI229" s="84"/>
      <c r="AJ229" s="626"/>
      <c r="AK229" s="626"/>
      <c r="AL229" s="626"/>
      <c r="AM229" s="626"/>
      <c r="AN229" s="626"/>
      <c r="AO229" s="626"/>
      <c r="AP229" s="626"/>
      <c r="AQ229" s="626"/>
    </row>
    <row r="230" spans="35:43" x14ac:dyDescent="0.2">
      <c r="AI230" s="84"/>
      <c r="AJ230" s="626"/>
      <c r="AK230" s="626"/>
      <c r="AL230" s="626"/>
      <c r="AM230" s="626"/>
      <c r="AN230" s="626"/>
      <c r="AO230" s="626"/>
      <c r="AP230" s="626"/>
      <c r="AQ230" s="626"/>
    </row>
    <row r="231" spans="35:43" x14ac:dyDescent="0.2">
      <c r="AI231" s="84"/>
      <c r="AJ231" s="626"/>
      <c r="AK231" s="626"/>
      <c r="AL231" s="626"/>
      <c r="AM231" s="626"/>
      <c r="AN231" s="626"/>
      <c r="AO231" s="626"/>
      <c r="AP231" s="626"/>
      <c r="AQ231" s="626"/>
    </row>
    <row r="232" spans="35:43" x14ac:dyDescent="0.2">
      <c r="AI232" s="84"/>
      <c r="AJ232" s="626"/>
      <c r="AK232" s="626"/>
      <c r="AL232" s="626"/>
      <c r="AM232" s="626"/>
      <c r="AN232" s="626"/>
      <c r="AO232" s="626"/>
      <c r="AP232" s="626"/>
      <c r="AQ232" s="626"/>
    </row>
    <row r="233" spans="35:43" x14ac:dyDescent="0.2">
      <c r="AI233" s="84"/>
      <c r="AJ233" s="626"/>
      <c r="AK233" s="626"/>
      <c r="AL233" s="626"/>
      <c r="AM233" s="626"/>
      <c r="AN233" s="626"/>
      <c r="AO233" s="626"/>
      <c r="AP233" s="626"/>
      <c r="AQ233" s="626"/>
    </row>
    <row r="234" spans="35:43" x14ac:dyDescent="0.2">
      <c r="AI234" s="84"/>
      <c r="AJ234" s="626"/>
      <c r="AK234" s="626"/>
      <c r="AL234" s="626"/>
      <c r="AM234" s="626"/>
      <c r="AN234" s="626"/>
      <c r="AO234" s="626"/>
      <c r="AP234" s="626"/>
      <c r="AQ234" s="626"/>
    </row>
    <row r="235" spans="35:43" x14ac:dyDescent="0.2">
      <c r="AI235" s="84"/>
      <c r="AJ235" s="626"/>
      <c r="AK235" s="626"/>
      <c r="AL235" s="626"/>
      <c r="AM235" s="626"/>
      <c r="AN235" s="626"/>
      <c r="AO235" s="626"/>
      <c r="AP235" s="626"/>
      <c r="AQ235" s="626"/>
    </row>
    <row r="236" spans="35:43" x14ac:dyDescent="0.2">
      <c r="AI236" s="84"/>
      <c r="AJ236" s="626"/>
      <c r="AK236" s="626"/>
      <c r="AL236" s="626"/>
      <c r="AM236" s="626"/>
      <c r="AN236" s="626"/>
      <c r="AO236" s="626"/>
      <c r="AP236" s="626"/>
      <c r="AQ236" s="626"/>
    </row>
    <row r="237" spans="35:43" x14ac:dyDescent="0.2">
      <c r="AI237" s="84"/>
      <c r="AJ237" s="626"/>
      <c r="AK237" s="626"/>
      <c r="AL237" s="626"/>
      <c r="AM237" s="626"/>
      <c r="AN237" s="626"/>
      <c r="AO237" s="626"/>
      <c r="AP237" s="626"/>
      <c r="AQ237" s="626"/>
    </row>
    <row r="238" spans="35:43" x14ac:dyDescent="0.2">
      <c r="AI238" s="84"/>
      <c r="AJ238" s="626"/>
      <c r="AK238" s="626"/>
      <c r="AL238" s="626"/>
      <c r="AM238" s="626"/>
      <c r="AN238" s="626"/>
      <c r="AO238" s="626"/>
      <c r="AP238" s="626"/>
      <c r="AQ238" s="626"/>
    </row>
    <row r="239" spans="35:43" x14ac:dyDescent="0.2">
      <c r="AI239" s="84"/>
      <c r="AJ239" s="626"/>
      <c r="AK239" s="626"/>
      <c r="AL239" s="626"/>
      <c r="AM239" s="626"/>
      <c r="AN239" s="626"/>
      <c r="AO239" s="626"/>
      <c r="AP239" s="626"/>
      <c r="AQ239" s="626"/>
    </row>
    <row r="240" spans="35:43" x14ac:dyDescent="0.2">
      <c r="AI240" s="657"/>
      <c r="AJ240" s="626"/>
      <c r="AK240" s="626"/>
      <c r="AL240" s="626"/>
      <c r="AM240" s="626"/>
      <c r="AN240" s="626"/>
      <c r="AO240" s="626"/>
      <c r="AP240" s="626"/>
      <c r="AQ240" s="626"/>
    </row>
    <row r="241" spans="35:43" x14ac:dyDescent="0.2">
      <c r="AI241" s="84"/>
      <c r="AJ241" s="626"/>
      <c r="AK241" s="626"/>
      <c r="AL241" s="626"/>
      <c r="AM241" s="626"/>
      <c r="AN241" s="626"/>
      <c r="AO241" s="626"/>
      <c r="AP241" s="626"/>
      <c r="AQ241" s="626"/>
    </row>
    <row r="242" spans="35:43" x14ac:dyDescent="0.2">
      <c r="AI242" s="84"/>
      <c r="AJ242" s="626"/>
      <c r="AK242" s="626"/>
      <c r="AL242" s="626"/>
      <c r="AM242" s="626"/>
      <c r="AN242" s="626"/>
      <c r="AO242" s="626"/>
      <c r="AP242" s="626"/>
      <c r="AQ242" s="626"/>
    </row>
    <row r="243" spans="35:43" x14ac:dyDescent="0.2">
      <c r="AI243" s="84"/>
      <c r="AJ243" s="626"/>
      <c r="AK243" s="626"/>
      <c r="AL243" s="626"/>
      <c r="AM243" s="626"/>
      <c r="AN243" s="626"/>
      <c r="AO243" s="626"/>
      <c r="AP243" s="626"/>
      <c r="AQ243" s="626"/>
    </row>
    <row r="244" spans="35:43" x14ac:dyDescent="0.2">
      <c r="AI244" s="84"/>
      <c r="AJ244" s="626"/>
      <c r="AK244" s="626"/>
      <c r="AL244" s="626"/>
      <c r="AM244" s="626"/>
      <c r="AN244" s="626"/>
      <c r="AO244" s="626"/>
      <c r="AP244" s="626"/>
      <c r="AQ244" s="626"/>
    </row>
    <row r="245" spans="35:43" x14ac:dyDescent="0.2">
      <c r="AI245" s="84"/>
      <c r="AJ245" s="626"/>
      <c r="AK245" s="626"/>
      <c r="AL245" s="626"/>
      <c r="AM245" s="626"/>
      <c r="AN245" s="626"/>
      <c r="AO245" s="626"/>
      <c r="AP245" s="626"/>
      <c r="AQ245" s="626"/>
    </row>
    <row r="246" spans="35:43" x14ac:dyDescent="0.2">
      <c r="AI246" s="84"/>
      <c r="AJ246" s="626"/>
      <c r="AK246" s="626"/>
      <c r="AL246" s="626"/>
      <c r="AM246" s="626"/>
      <c r="AN246" s="626"/>
      <c r="AO246" s="626"/>
      <c r="AP246" s="626"/>
      <c r="AQ246" s="626"/>
    </row>
    <row r="247" spans="35:43" x14ac:dyDescent="0.2">
      <c r="AI247" s="84"/>
      <c r="AJ247" s="626"/>
      <c r="AK247" s="626"/>
      <c r="AL247" s="626"/>
      <c r="AM247" s="626"/>
      <c r="AN247" s="626"/>
      <c r="AO247" s="626"/>
      <c r="AP247" s="626"/>
      <c r="AQ247" s="626"/>
    </row>
    <row r="248" spans="35:43" x14ac:dyDescent="0.2">
      <c r="AI248" s="84"/>
      <c r="AJ248" s="626"/>
      <c r="AK248" s="626"/>
      <c r="AL248" s="626"/>
      <c r="AM248" s="626"/>
      <c r="AN248" s="626"/>
      <c r="AO248" s="626"/>
      <c r="AP248" s="626"/>
      <c r="AQ248" s="626"/>
    </row>
    <row r="249" spans="35:43" x14ac:dyDescent="0.2">
      <c r="AI249" s="84"/>
      <c r="AJ249" s="626"/>
      <c r="AK249" s="626"/>
      <c r="AL249" s="626"/>
      <c r="AM249" s="626"/>
      <c r="AN249" s="626"/>
      <c r="AO249" s="626"/>
      <c r="AP249" s="626"/>
      <c r="AQ249" s="626"/>
    </row>
    <row r="250" spans="35:43" x14ac:dyDescent="0.2">
      <c r="AI250" s="84"/>
      <c r="AJ250" s="626"/>
      <c r="AK250" s="626"/>
      <c r="AL250" s="626"/>
      <c r="AM250" s="626"/>
      <c r="AN250" s="626"/>
      <c r="AO250" s="626"/>
      <c r="AP250" s="626"/>
      <c r="AQ250" s="626"/>
    </row>
    <row r="251" spans="35:43" x14ac:dyDescent="0.2">
      <c r="AI251" s="84"/>
      <c r="AJ251" s="626"/>
      <c r="AK251" s="626"/>
      <c r="AL251" s="626"/>
      <c r="AM251" s="626"/>
      <c r="AN251" s="626"/>
      <c r="AO251" s="626"/>
      <c r="AP251" s="626"/>
      <c r="AQ251" s="626"/>
    </row>
    <row r="252" spans="35:43" x14ac:dyDescent="0.2">
      <c r="AI252" s="84"/>
      <c r="AJ252" s="626"/>
      <c r="AK252" s="626"/>
      <c r="AL252" s="626"/>
      <c r="AM252" s="626"/>
      <c r="AN252" s="626"/>
      <c r="AO252" s="626"/>
      <c r="AP252" s="626"/>
      <c r="AQ252" s="626"/>
    </row>
    <row r="253" spans="35:43" x14ac:dyDescent="0.2">
      <c r="AI253" s="666"/>
      <c r="AJ253" s="667"/>
      <c r="AK253" s="668"/>
      <c r="AL253" s="669"/>
      <c r="AM253" s="626"/>
      <c r="AN253" s="626"/>
      <c r="AO253" s="626"/>
      <c r="AP253" s="626"/>
      <c r="AQ253" s="626"/>
    </row>
    <row r="254" spans="35:43" x14ac:dyDescent="0.2">
      <c r="AI254" s="666"/>
      <c r="AJ254" s="667"/>
      <c r="AK254" s="668"/>
      <c r="AL254" s="669"/>
      <c r="AM254" s="626"/>
      <c r="AN254" s="626"/>
      <c r="AO254" s="626"/>
      <c r="AP254" s="626"/>
      <c r="AQ254" s="626"/>
    </row>
    <row r="255" spans="35:43" x14ac:dyDescent="0.2">
      <c r="AI255" s="666"/>
      <c r="AJ255" s="667"/>
      <c r="AK255" s="668"/>
      <c r="AL255" s="669"/>
      <c r="AM255" s="626"/>
      <c r="AN255" s="626"/>
      <c r="AO255" s="626"/>
      <c r="AP255" s="626"/>
      <c r="AQ255" s="626"/>
    </row>
    <row r="256" spans="35:43" x14ac:dyDescent="0.2">
      <c r="AI256" s="666"/>
      <c r="AJ256" s="667"/>
      <c r="AK256" s="668"/>
      <c r="AL256" s="669"/>
      <c r="AM256" s="626"/>
      <c r="AN256" s="626"/>
      <c r="AO256" s="626"/>
      <c r="AP256" s="626"/>
      <c r="AQ256" s="626"/>
    </row>
    <row r="257" spans="35:43" x14ac:dyDescent="0.2">
      <c r="AJ257" s="647"/>
      <c r="AK257" s="647"/>
      <c r="AL257" s="647"/>
      <c r="AM257" s="626"/>
      <c r="AN257" s="626"/>
      <c r="AO257" s="626"/>
      <c r="AP257" s="626"/>
      <c r="AQ257" s="626"/>
    </row>
    <row r="258" spans="35:43" x14ac:dyDescent="0.2">
      <c r="AI258" s="666"/>
      <c r="AJ258" s="667"/>
      <c r="AK258" s="668"/>
      <c r="AL258" s="669"/>
      <c r="AM258" s="626"/>
      <c r="AN258" s="626"/>
      <c r="AO258" s="626"/>
      <c r="AP258" s="626"/>
      <c r="AQ258" s="626"/>
    </row>
    <row r="259" spans="35:43" x14ac:dyDescent="0.2">
      <c r="AI259" s="666"/>
      <c r="AJ259" s="667"/>
      <c r="AK259" s="668"/>
      <c r="AL259" s="669"/>
      <c r="AM259" s="626"/>
      <c r="AN259" s="626"/>
      <c r="AO259" s="626"/>
      <c r="AP259" s="626"/>
      <c r="AQ259" s="626"/>
    </row>
    <row r="260" spans="35:43" x14ac:dyDescent="0.2">
      <c r="AI260" s="666"/>
      <c r="AJ260" s="667"/>
      <c r="AK260" s="668"/>
      <c r="AL260" s="669"/>
      <c r="AM260" s="626"/>
      <c r="AN260" s="626"/>
      <c r="AO260" s="626"/>
      <c r="AP260" s="626"/>
      <c r="AQ260" s="626"/>
    </row>
    <row r="261" spans="35:43" x14ac:dyDescent="0.2">
      <c r="AI261" s="666"/>
      <c r="AJ261" s="667"/>
      <c r="AK261" s="668"/>
      <c r="AL261" s="669"/>
      <c r="AM261" s="626"/>
      <c r="AN261" s="626"/>
      <c r="AO261" s="626"/>
      <c r="AP261" s="626"/>
      <c r="AQ261" s="626"/>
    </row>
    <row r="262" spans="35:43" x14ac:dyDescent="0.2">
      <c r="AI262" s="666"/>
      <c r="AJ262" s="667"/>
      <c r="AK262" s="668"/>
      <c r="AL262" s="669"/>
      <c r="AM262" s="626"/>
      <c r="AN262" s="626"/>
      <c r="AO262" s="626"/>
      <c r="AP262" s="626"/>
      <c r="AQ262" s="626"/>
    </row>
    <row r="263" spans="35:43" x14ac:dyDescent="0.2">
      <c r="AI263" s="666"/>
      <c r="AJ263" s="667"/>
      <c r="AK263" s="668"/>
      <c r="AL263" s="669"/>
      <c r="AM263" s="626"/>
      <c r="AN263" s="626"/>
      <c r="AO263" s="626"/>
      <c r="AP263" s="626"/>
      <c r="AQ263" s="626"/>
    </row>
    <row r="264" spans="35:43" x14ac:dyDescent="0.2">
      <c r="AI264" s="666"/>
      <c r="AJ264" s="626"/>
      <c r="AK264" s="668"/>
      <c r="AL264" s="669"/>
      <c r="AM264" s="626"/>
      <c r="AN264" s="626"/>
      <c r="AO264" s="626"/>
      <c r="AP264" s="626"/>
      <c r="AQ264" s="626"/>
    </row>
    <row r="265" spans="35:43" x14ac:dyDescent="0.2">
      <c r="AI265" s="666"/>
      <c r="AJ265" s="626"/>
      <c r="AK265" s="668"/>
      <c r="AL265" s="669"/>
      <c r="AM265" s="626"/>
      <c r="AN265" s="626"/>
      <c r="AO265" s="626"/>
      <c r="AP265" s="626"/>
      <c r="AQ265" s="626"/>
    </row>
    <row r="266" spans="35:43" x14ac:dyDescent="0.2">
      <c r="AI266" s="666"/>
      <c r="AJ266" s="626"/>
      <c r="AK266" s="668"/>
      <c r="AL266" s="669"/>
      <c r="AM266" s="626"/>
      <c r="AN266" s="626"/>
      <c r="AO266" s="626"/>
      <c r="AP266" s="626"/>
      <c r="AQ266" s="626"/>
    </row>
    <row r="267" spans="35:43" x14ac:dyDescent="0.2">
      <c r="AI267" s="666"/>
      <c r="AJ267" s="626"/>
      <c r="AK267" s="668"/>
      <c r="AL267" s="669"/>
      <c r="AM267" s="626"/>
      <c r="AN267" s="626"/>
      <c r="AO267" s="626"/>
      <c r="AP267" s="626"/>
      <c r="AQ267" s="626"/>
    </row>
    <row r="268" spans="35:43" x14ac:dyDescent="0.2">
      <c r="AI268" s="666"/>
      <c r="AJ268" s="626"/>
      <c r="AK268" s="668"/>
      <c r="AL268" s="669"/>
      <c r="AM268" s="626"/>
      <c r="AN268" s="626"/>
      <c r="AO268" s="626"/>
      <c r="AP268" s="626"/>
      <c r="AQ268" s="626"/>
    </row>
    <row r="269" spans="35:43" x14ac:dyDescent="0.2">
      <c r="AI269" s="666"/>
      <c r="AJ269" s="626"/>
      <c r="AK269" s="668"/>
      <c r="AL269" s="669"/>
      <c r="AM269" s="626"/>
      <c r="AN269" s="626"/>
      <c r="AO269" s="626"/>
      <c r="AP269" s="626"/>
      <c r="AQ269" s="626"/>
    </row>
    <row r="270" spans="35:43" x14ac:dyDescent="0.2">
      <c r="AJ270" s="647"/>
      <c r="AK270" s="647"/>
      <c r="AL270" s="647"/>
      <c r="AM270" s="626"/>
      <c r="AN270" s="626"/>
      <c r="AO270" s="626"/>
      <c r="AP270" s="626"/>
      <c r="AQ270" s="626"/>
    </row>
    <row r="271" spans="35:43" x14ac:dyDescent="0.2">
      <c r="AI271" s="666"/>
      <c r="AJ271" s="626"/>
      <c r="AK271" s="668"/>
      <c r="AL271" s="669"/>
      <c r="AM271" s="626"/>
      <c r="AN271" s="626"/>
      <c r="AO271" s="626"/>
      <c r="AP271" s="626"/>
      <c r="AQ271" s="626"/>
    </row>
    <row r="272" spans="35:43" x14ac:dyDescent="0.2">
      <c r="AI272" s="666"/>
      <c r="AJ272" s="626"/>
      <c r="AK272" s="668"/>
      <c r="AL272" s="669"/>
      <c r="AM272" s="626"/>
      <c r="AN272" s="626"/>
      <c r="AO272" s="626"/>
      <c r="AP272" s="626"/>
      <c r="AQ272" s="626"/>
    </row>
    <row r="273" spans="35:43" x14ac:dyDescent="0.2">
      <c r="AI273" s="666"/>
      <c r="AJ273" s="626"/>
      <c r="AK273" s="668"/>
      <c r="AL273" s="669"/>
      <c r="AM273" s="626"/>
      <c r="AN273" s="626"/>
      <c r="AO273" s="626"/>
      <c r="AP273" s="626"/>
      <c r="AQ273" s="626"/>
    </row>
    <row r="274" spans="35:43" x14ac:dyDescent="0.2">
      <c r="AI274" s="666"/>
      <c r="AJ274" s="626"/>
      <c r="AK274" s="668"/>
      <c r="AL274" s="669"/>
      <c r="AM274" s="626"/>
      <c r="AN274" s="626"/>
      <c r="AO274" s="626"/>
      <c r="AP274" s="626"/>
      <c r="AQ274" s="626"/>
    </row>
    <row r="275" spans="35:43" x14ac:dyDescent="0.2">
      <c r="AI275" s="666"/>
      <c r="AJ275" s="626"/>
      <c r="AK275" s="668"/>
      <c r="AL275" s="669"/>
      <c r="AM275" s="626"/>
      <c r="AN275" s="626"/>
      <c r="AO275" s="626"/>
      <c r="AP275" s="626"/>
      <c r="AQ275" s="626"/>
    </row>
    <row r="276" spans="35:43" x14ac:dyDescent="0.2">
      <c r="AI276" s="666"/>
      <c r="AJ276" s="626"/>
      <c r="AK276" s="668"/>
      <c r="AL276" s="669"/>
      <c r="AM276" s="626"/>
      <c r="AN276" s="626"/>
      <c r="AO276" s="626"/>
      <c r="AP276" s="626"/>
      <c r="AQ276" s="626"/>
    </row>
    <row r="277" spans="35:43" x14ac:dyDescent="0.2">
      <c r="AI277" s="666"/>
      <c r="AJ277" s="626"/>
      <c r="AK277" s="668"/>
      <c r="AL277" s="669"/>
      <c r="AM277" s="626"/>
      <c r="AN277" s="626"/>
      <c r="AO277" s="626"/>
      <c r="AP277" s="626"/>
      <c r="AQ277" s="626"/>
    </row>
    <row r="278" spans="35:43" x14ac:dyDescent="0.2">
      <c r="AI278" s="666"/>
      <c r="AJ278" s="626"/>
      <c r="AK278" s="668"/>
      <c r="AL278" s="669"/>
      <c r="AM278" s="626"/>
      <c r="AN278" s="626"/>
      <c r="AO278" s="626"/>
      <c r="AP278" s="626"/>
      <c r="AQ278" s="626"/>
    </row>
    <row r="279" spans="35:43" x14ac:dyDescent="0.2">
      <c r="AI279" s="666"/>
      <c r="AJ279" s="626"/>
      <c r="AK279" s="668"/>
      <c r="AL279" s="669"/>
      <c r="AM279" s="626"/>
      <c r="AN279" s="626"/>
      <c r="AO279" s="626"/>
      <c r="AP279" s="626"/>
      <c r="AQ279" s="626"/>
    </row>
    <row r="280" spans="35:43" x14ac:dyDescent="0.2">
      <c r="AI280" s="666"/>
      <c r="AJ280" s="626"/>
      <c r="AK280" s="668"/>
      <c r="AL280" s="669"/>
      <c r="AM280" s="626"/>
      <c r="AN280" s="626"/>
      <c r="AO280" s="626"/>
      <c r="AP280" s="626"/>
      <c r="AQ280" s="626"/>
    </row>
    <row r="281" spans="35:43" x14ac:dyDescent="0.2">
      <c r="AI281" s="666"/>
      <c r="AJ281" s="626"/>
      <c r="AK281" s="668"/>
      <c r="AL281" s="669"/>
      <c r="AM281" s="626"/>
      <c r="AN281" s="626"/>
      <c r="AO281" s="626"/>
      <c r="AP281" s="626"/>
      <c r="AQ281" s="626"/>
    </row>
    <row r="282" spans="35:43" x14ac:dyDescent="0.2">
      <c r="AI282" s="666"/>
      <c r="AJ282" s="626"/>
      <c r="AK282" s="668"/>
      <c r="AL282" s="669"/>
      <c r="AM282" s="626"/>
      <c r="AN282" s="626"/>
      <c r="AO282" s="626"/>
      <c r="AP282" s="626"/>
      <c r="AQ282" s="626"/>
    </row>
    <row r="283" spans="35:43" x14ac:dyDescent="0.2">
      <c r="AI283" s="666"/>
      <c r="AJ283" s="626"/>
      <c r="AK283" s="668"/>
      <c r="AL283" s="669"/>
      <c r="AM283" s="626"/>
      <c r="AN283" s="626"/>
      <c r="AO283" s="626"/>
      <c r="AP283" s="626"/>
      <c r="AQ283" s="626"/>
    </row>
    <row r="284" spans="35:43" x14ac:dyDescent="0.2">
      <c r="AI284" s="666"/>
      <c r="AJ284" s="626"/>
      <c r="AK284" s="668"/>
      <c r="AL284" s="669"/>
      <c r="AM284" s="626"/>
      <c r="AN284" s="626"/>
      <c r="AO284" s="626"/>
      <c r="AP284" s="626"/>
      <c r="AQ284" s="626"/>
    </row>
    <row r="285" spans="35:43" x14ac:dyDescent="0.2">
      <c r="AI285" s="666"/>
      <c r="AJ285" s="626"/>
      <c r="AK285" s="668"/>
      <c r="AL285" s="669"/>
      <c r="AM285" s="626"/>
      <c r="AN285" s="626"/>
      <c r="AO285" s="626"/>
      <c r="AP285" s="626"/>
      <c r="AQ285" s="626"/>
    </row>
    <row r="286" spans="35:43" x14ac:dyDescent="0.2">
      <c r="AI286" s="666"/>
      <c r="AJ286" s="626"/>
      <c r="AK286" s="668"/>
      <c r="AL286" s="669"/>
      <c r="AM286" s="626"/>
      <c r="AN286" s="626"/>
      <c r="AO286" s="626"/>
      <c r="AP286" s="626"/>
      <c r="AQ286" s="626"/>
    </row>
    <row r="287" spans="35:43" x14ac:dyDescent="0.2">
      <c r="AI287" s="666"/>
      <c r="AJ287" s="626"/>
      <c r="AK287" s="668"/>
      <c r="AL287" s="669"/>
      <c r="AM287" s="626"/>
      <c r="AN287" s="626"/>
      <c r="AO287" s="626"/>
      <c r="AP287" s="626"/>
      <c r="AQ287" s="626"/>
    </row>
    <row r="288" spans="35:43" x14ac:dyDescent="0.2">
      <c r="AI288" s="666"/>
      <c r="AJ288" s="626"/>
      <c r="AK288" s="668"/>
      <c r="AL288" s="669"/>
      <c r="AM288" s="626"/>
      <c r="AN288" s="626"/>
      <c r="AO288" s="626"/>
      <c r="AP288" s="626"/>
      <c r="AQ288" s="626"/>
    </row>
    <row r="289" spans="35:43" x14ac:dyDescent="0.2">
      <c r="AI289" s="666"/>
      <c r="AJ289" s="667"/>
      <c r="AK289" s="668"/>
      <c r="AL289" s="669"/>
      <c r="AM289" s="626"/>
      <c r="AN289" s="626"/>
      <c r="AO289" s="626"/>
      <c r="AP289" s="626"/>
      <c r="AQ289" s="626"/>
    </row>
    <row r="290" spans="35:43" x14ac:dyDescent="0.2">
      <c r="AI290" s="666"/>
      <c r="AJ290" s="667"/>
      <c r="AK290" s="668"/>
      <c r="AL290" s="669"/>
      <c r="AM290" s="626"/>
      <c r="AN290" s="626"/>
      <c r="AO290" s="626"/>
      <c r="AP290" s="626"/>
      <c r="AQ290" s="626"/>
    </row>
    <row r="291" spans="35:43" x14ac:dyDescent="0.2">
      <c r="AI291" s="666"/>
      <c r="AJ291" s="667"/>
      <c r="AK291" s="668"/>
      <c r="AL291" s="669"/>
      <c r="AM291" s="626"/>
      <c r="AN291" s="626"/>
      <c r="AO291" s="626"/>
      <c r="AP291" s="626"/>
      <c r="AQ291" s="626"/>
    </row>
    <row r="292" spans="35:43" x14ac:dyDescent="0.2">
      <c r="AI292" s="666"/>
      <c r="AJ292" s="667"/>
      <c r="AK292" s="668"/>
      <c r="AL292" s="669"/>
      <c r="AM292" s="626"/>
      <c r="AN292" s="626"/>
      <c r="AO292" s="626"/>
      <c r="AP292" s="626"/>
      <c r="AQ292" s="626"/>
    </row>
    <row r="293" spans="35:43" x14ac:dyDescent="0.2">
      <c r="AI293" s="666"/>
      <c r="AJ293" s="667"/>
      <c r="AK293" s="668"/>
      <c r="AL293" s="669"/>
      <c r="AM293" s="626"/>
      <c r="AN293" s="626"/>
      <c r="AO293" s="626"/>
      <c r="AP293" s="626"/>
      <c r="AQ293" s="626"/>
    </row>
    <row r="294" spans="35:43" x14ac:dyDescent="0.2">
      <c r="AI294" s="666"/>
      <c r="AJ294" s="667"/>
      <c r="AK294" s="668"/>
      <c r="AL294" s="669"/>
      <c r="AM294" s="626"/>
      <c r="AN294" s="626"/>
      <c r="AO294" s="626"/>
      <c r="AP294" s="626"/>
      <c r="AQ294" s="626"/>
    </row>
    <row r="295" spans="35:43" x14ac:dyDescent="0.2">
      <c r="AI295" s="666"/>
      <c r="AJ295" s="667"/>
      <c r="AK295" s="668"/>
      <c r="AL295" s="669"/>
      <c r="AM295" s="626"/>
      <c r="AN295" s="626"/>
      <c r="AO295" s="626"/>
      <c r="AP295" s="626"/>
      <c r="AQ295" s="626"/>
    </row>
    <row r="296" spans="35:43" x14ac:dyDescent="0.2">
      <c r="AI296" s="666"/>
      <c r="AJ296" s="667"/>
      <c r="AK296" s="668"/>
      <c r="AL296" s="669"/>
      <c r="AM296" s="626"/>
      <c r="AN296" s="626"/>
      <c r="AO296" s="626"/>
      <c r="AP296" s="626"/>
      <c r="AQ296" s="626"/>
    </row>
    <row r="297" spans="35:43" x14ac:dyDescent="0.2">
      <c r="AI297" s="666"/>
      <c r="AJ297" s="667"/>
      <c r="AK297" s="668"/>
      <c r="AL297" s="669"/>
      <c r="AM297" s="626"/>
      <c r="AN297" s="626"/>
      <c r="AO297" s="626"/>
      <c r="AP297" s="626"/>
      <c r="AQ297" s="626"/>
    </row>
    <row r="298" spans="35:43" x14ac:dyDescent="0.2">
      <c r="AI298" s="666"/>
      <c r="AJ298" s="667"/>
      <c r="AK298" s="668"/>
      <c r="AL298" s="669"/>
      <c r="AM298" s="626"/>
      <c r="AN298" s="626"/>
      <c r="AO298" s="626"/>
      <c r="AP298" s="626"/>
      <c r="AQ298" s="626"/>
    </row>
    <row r="299" spans="35:43" x14ac:dyDescent="0.2">
      <c r="AI299" s="666"/>
      <c r="AJ299" s="667"/>
      <c r="AK299" s="668"/>
      <c r="AL299" s="669"/>
      <c r="AM299" s="626"/>
      <c r="AN299" s="626"/>
      <c r="AO299" s="626"/>
      <c r="AP299" s="626"/>
      <c r="AQ299" s="626"/>
    </row>
    <row r="300" spans="35:43" x14ac:dyDescent="0.2">
      <c r="AI300" s="666"/>
      <c r="AJ300" s="667"/>
      <c r="AK300" s="668"/>
      <c r="AL300" s="669"/>
      <c r="AM300" s="626"/>
      <c r="AN300" s="626"/>
      <c r="AO300" s="626"/>
      <c r="AP300" s="626"/>
      <c r="AQ300" s="626"/>
    </row>
    <row r="301" spans="35:43" x14ac:dyDescent="0.2">
      <c r="AI301" s="666"/>
      <c r="AJ301" s="667"/>
      <c r="AK301" s="668"/>
      <c r="AL301" s="669"/>
      <c r="AM301" s="626"/>
      <c r="AN301" s="626"/>
      <c r="AO301" s="626"/>
      <c r="AP301" s="626"/>
      <c r="AQ301" s="626"/>
    </row>
    <row r="302" spans="35:43" x14ac:dyDescent="0.2">
      <c r="AI302" s="666"/>
      <c r="AJ302" s="667"/>
      <c r="AK302" s="668"/>
      <c r="AL302" s="669"/>
      <c r="AM302" s="626"/>
      <c r="AN302" s="626"/>
      <c r="AO302" s="626"/>
      <c r="AP302" s="626"/>
      <c r="AQ302" s="626"/>
    </row>
    <row r="303" spans="35:43" x14ac:dyDescent="0.2">
      <c r="AI303" s="666"/>
      <c r="AJ303" s="667"/>
      <c r="AK303" s="668"/>
      <c r="AL303" s="669"/>
      <c r="AM303" s="626"/>
      <c r="AN303" s="626"/>
      <c r="AO303" s="626"/>
      <c r="AP303" s="626"/>
      <c r="AQ303" s="626"/>
    </row>
    <row r="304" spans="35:43" x14ac:dyDescent="0.2">
      <c r="AI304" s="666"/>
      <c r="AJ304" s="667"/>
      <c r="AK304" s="668"/>
      <c r="AL304" s="669"/>
      <c r="AM304" s="626"/>
      <c r="AN304" s="626"/>
      <c r="AO304" s="626"/>
      <c r="AP304" s="626"/>
      <c r="AQ304" s="626"/>
    </row>
    <row r="305" spans="35:43" x14ac:dyDescent="0.2">
      <c r="AI305" s="666"/>
      <c r="AJ305" s="667"/>
      <c r="AK305" s="668"/>
      <c r="AL305" s="669"/>
      <c r="AM305" s="626"/>
      <c r="AN305" s="626"/>
      <c r="AO305" s="626"/>
      <c r="AP305" s="626"/>
      <c r="AQ305" s="626"/>
    </row>
    <row r="306" spans="35:43" x14ac:dyDescent="0.2">
      <c r="AI306" s="666"/>
      <c r="AJ306" s="667"/>
      <c r="AK306" s="668"/>
      <c r="AL306" s="669"/>
      <c r="AM306" s="626"/>
      <c r="AN306" s="626"/>
      <c r="AO306" s="626"/>
      <c r="AP306" s="626"/>
      <c r="AQ306" s="626"/>
    </row>
    <row r="307" spans="35:43" x14ac:dyDescent="0.2">
      <c r="AI307" s="666"/>
      <c r="AJ307" s="667"/>
      <c r="AK307" s="668"/>
      <c r="AL307" s="669"/>
      <c r="AM307" s="626"/>
      <c r="AN307" s="626"/>
      <c r="AO307" s="626"/>
      <c r="AP307" s="626"/>
      <c r="AQ307" s="626"/>
    </row>
    <row r="308" spans="35:43" x14ac:dyDescent="0.2">
      <c r="AI308" s="666"/>
      <c r="AJ308" s="667"/>
      <c r="AK308" s="668"/>
      <c r="AL308" s="669"/>
      <c r="AM308" s="626"/>
      <c r="AN308" s="626"/>
      <c r="AO308" s="626"/>
      <c r="AP308" s="626"/>
      <c r="AQ308" s="626"/>
    </row>
    <row r="309" spans="35:43" x14ac:dyDescent="0.2">
      <c r="AI309" s="666"/>
      <c r="AJ309" s="667"/>
      <c r="AK309" s="668"/>
      <c r="AL309" s="669"/>
      <c r="AM309" s="626"/>
      <c r="AN309" s="626"/>
      <c r="AO309" s="626"/>
      <c r="AP309" s="626"/>
      <c r="AQ309" s="626"/>
    </row>
    <row r="310" spans="35:43" x14ac:dyDescent="0.2">
      <c r="AI310" s="666"/>
      <c r="AJ310" s="667"/>
      <c r="AK310" s="668"/>
      <c r="AL310" s="669"/>
      <c r="AM310" s="626"/>
      <c r="AN310" s="626"/>
      <c r="AO310" s="626"/>
      <c r="AP310" s="626"/>
      <c r="AQ310" s="626"/>
    </row>
    <row r="311" spans="35:43" x14ac:dyDescent="0.2">
      <c r="AI311" s="666"/>
      <c r="AJ311" s="667"/>
      <c r="AK311" s="668"/>
      <c r="AL311" s="669"/>
      <c r="AM311" s="626"/>
      <c r="AN311" s="626"/>
      <c r="AO311" s="626"/>
      <c r="AP311" s="626"/>
      <c r="AQ311" s="626"/>
    </row>
    <row r="312" spans="35:43" x14ac:dyDescent="0.2">
      <c r="AI312" s="666"/>
      <c r="AJ312" s="667"/>
      <c r="AK312" s="668"/>
      <c r="AL312" s="669"/>
      <c r="AM312" s="626"/>
      <c r="AN312" s="626"/>
      <c r="AO312" s="626"/>
      <c r="AP312" s="626"/>
      <c r="AQ312" s="626"/>
    </row>
    <row r="313" spans="35:43" x14ac:dyDescent="0.2">
      <c r="AI313" s="666"/>
      <c r="AJ313" s="667"/>
      <c r="AK313" s="668"/>
      <c r="AL313" s="669"/>
      <c r="AM313" s="626"/>
      <c r="AN313" s="626"/>
      <c r="AO313" s="626"/>
      <c r="AP313" s="626"/>
      <c r="AQ313" s="626"/>
    </row>
    <row r="314" spans="35:43" x14ac:dyDescent="0.2">
      <c r="AI314" s="666"/>
      <c r="AJ314" s="667"/>
      <c r="AK314" s="668"/>
      <c r="AL314" s="669"/>
      <c r="AM314" s="626"/>
      <c r="AN314" s="626"/>
      <c r="AO314" s="626"/>
      <c r="AP314" s="626"/>
      <c r="AQ314" s="626"/>
    </row>
    <row r="315" spans="35:43" x14ac:dyDescent="0.2">
      <c r="AI315" s="666"/>
      <c r="AJ315" s="667"/>
      <c r="AK315" s="668"/>
      <c r="AL315" s="669"/>
      <c r="AM315" s="626"/>
      <c r="AN315" s="626"/>
      <c r="AO315" s="626"/>
      <c r="AP315" s="626"/>
      <c r="AQ315" s="626"/>
    </row>
    <row r="316" spans="35:43" x14ac:dyDescent="0.2">
      <c r="AI316" s="666"/>
      <c r="AJ316" s="667"/>
      <c r="AK316" s="668"/>
      <c r="AL316" s="669"/>
      <c r="AM316" s="626"/>
      <c r="AN316" s="626"/>
      <c r="AO316" s="626"/>
      <c r="AP316" s="626"/>
      <c r="AQ316" s="626"/>
    </row>
    <row r="317" spans="35:43" x14ac:dyDescent="0.2">
      <c r="AI317" s="666"/>
      <c r="AJ317" s="667"/>
      <c r="AK317" s="668"/>
      <c r="AL317" s="669"/>
      <c r="AM317" s="626"/>
      <c r="AN317" s="626"/>
      <c r="AO317" s="626"/>
      <c r="AP317" s="626"/>
      <c r="AQ317" s="626"/>
    </row>
    <row r="318" spans="35:43" x14ac:dyDescent="0.2">
      <c r="AI318" s="666"/>
      <c r="AJ318" s="667"/>
      <c r="AK318" s="668"/>
      <c r="AL318" s="669"/>
      <c r="AM318" s="626"/>
      <c r="AN318" s="626"/>
      <c r="AO318" s="626"/>
      <c r="AP318" s="626"/>
      <c r="AQ318" s="626"/>
    </row>
    <row r="319" spans="35:43" x14ac:dyDescent="0.2">
      <c r="AI319" s="666"/>
      <c r="AJ319" s="626"/>
      <c r="AK319" s="668"/>
      <c r="AL319" s="669"/>
      <c r="AM319" s="626"/>
      <c r="AN319" s="626"/>
      <c r="AO319" s="626"/>
      <c r="AP319" s="626"/>
      <c r="AQ319" s="626"/>
    </row>
    <row r="320" spans="35:43" x14ac:dyDescent="0.2">
      <c r="AI320" s="666"/>
      <c r="AJ320" s="667"/>
      <c r="AK320" s="668"/>
      <c r="AL320" s="669"/>
      <c r="AM320" s="626"/>
      <c r="AN320" s="626"/>
      <c r="AO320" s="626"/>
      <c r="AP320" s="626"/>
      <c r="AQ320" s="626"/>
    </row>
    <row r="321" spans="35:43" x14ac:dyDescent="0.2">
      <c r="AI321" s="666"/>
      <c r="AJ321" s="667"/>
      <c r="AK321" s="668"/>
      <c r="AL321" s="669"/>
      <c r="AM321" s="626"/>
      <c r="AN321" s="626"/>
      <c r="AO321" s="626"/>
      <c r="AP321" s="626"/>
      <c r="AQ321" s="626"/>
    </row>
    <row r="322" spans="35:43" x14ac:dyDescent="0.2">
      <c r="AI322" s="666"/>
      <c r="AJ322" s="667"/>
      <c r="AK322" s="668"/>
      <c r="AL322" s="669"/>
      <c r="AM322" s="626"/>
      <c r="AN322" s="626"/>
      <c r="AO322" s="626"/>
      <c r="AP322" s="626"/>
      <c r="AQ322" s="626"/>
    </row>
    <row r="323" spans="35:43" x14ac:dyDescent="0.2">
      <c r="AI323" s="666"/>
      <c r="AJ323" s="667"/>
      <c r="AK323" s="668"/>
      <c r="AL323" s="669"/>
      <c r="AM323" s="626"/>
      <c r="AN323" s="626"/>
      <c r="AO323" s="626"/>
      <c r="AP323" s="626"/>
      <c r="AQ323" s="626"/>
    </row>
    <row r="324" spans="35:43" x14ac:dyDescent="0.2">
      <c r="AI324" s="666"/>
      <c r="AJ324" s="667"/>
      <c r="AK324" s="668"/>
      <c r="AL324" s="669"/>
      <c r="AM324" s="626"/>
      <c r="AN324" s="626"/>
      <c r="AO324" s="626"/>
      <c r="AP324" s="626"/>
      <c r="AQ324" s="626"/>
    </row>
    <row r="325" spans="35:43" x14ac:dyDescent="0.2">
      <c r="AI325" s="666"/>
      <c r="AJ325" s="667"/>
      <c r="AK325" s="668"/>
      <c r="AL325" s="669"/>
      <c r="AM325" s="626"/>
      <c r="AN325" s="626"/>
      <c r="AO325" s="626"/>
      <c r="AP325" s="626"/>
      <c r="AQ325" s="626"/>
    </row>
    <row r="326" spans="35:43" x14ac:dyDescent="0.2">
      <c r="AI326" s="666"/>
      <c r="AJ326" s="626"/>
      <c r="AK326" s="668"/>
      <c r="AL326" s="669"/>
      <c r="AM326" s="626"/>
      <c r="AN326" s="626"/>
      <c r="AO326" s="626"/>
      <c r="AP326" s="626"/>
      <c r="AQ326" s="626"/>
    </row>
    <row r="327" spans="35:43" x14ac:dyDescent="0.2">
      <c r="AJ327" s="647"/>
      <c r="AK327" s="647"/>
      <c r="AL327" s="647"/>
      <c r="AM327" s="647"/>
      <c r="AN327" s="647"/>
      <c r="AO327" s="647"/>
      <c r="AP327" s="647"/>
      <c r="AQ327" s="647"/>
    </row>
  </sheetData>
  <sheetProtection password="AD51" sheet="1"/>
  <mergeCells count="15">
    <mergeCell ref="J32:K32"/>
    <mergeCell ref="G3:H3"/>
    <mergeCell ref="G18:H18"/>
    <mergeCell ref="A47:B47"/>
    <mergeCell ref="D27:E27"/>
    <mergeCell ref="G32:H32"/>
    <mergeCell ref="A3:B3"/>
    <mergeCell ref="A10:B10"/>
    <mergeCell ref="A24:B24"/>
    <mergeCell ref="D4:E4"/>
    <mergeCell ref="M3:N3"/>
    <mergeCell ref="A1:N1"/>
    <mergeCell ref="J3:K3"/>
    <mergeCell ref="J10:K10"/>
    <mergeCell ref="J17:K17"/>
  </mergeCells>
  <phoneticPr fontId="25" type="noConversion"/>
  <pageMargins left="0.75" right="0.75" top="1" bottom="1" header="0" footer="0"/>
  <pageSetup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BZ58"/>
  <sheetViews>
    <sheetView zoomScale="85" zoomScaleNormal="100" workbookViewId="0">
      <selection activeCell="D58" sqref="D58"/>
    </sheetView>
  </sheetViews>
  <sheetFormatPr baseColWidth="10" defaultRowHeight="12.75" x14ac:dyDescent="0.2"/>
  <cols>
    <col min="1" max="1" width="14" style="225" customWidth="1"/>
    <col min="2" max="2" width="11.42578125" style="225"/>
    <col min="3" max="3" width="6.140625" style="225" customWidth="1"/>
    <col min="4" max="4" width="8.42578125" style="225" customWidth="1"/>
    <col min="5" max="5" width="6.42578125" style="225" customWidth="1"/>
    <col min="6" max="6" width="13.85546875" style="225" customWidth="1"/>
    <col min="7" max="7" width="5.42578125" style="225" customWidth="1"/>
    <col min="8" max="8" width="9.42578125" style="225" customWidth="1"/>
    <col min="9" max="9" width="5.42578125" style="225" customWidth="1"/>
    <col min="10" max="10" width="9.42578125" style="225" customWidth="1"/>
    <col min="11" max="11" width="6" style="225" customWidth="1"/>
    <col min="12" max="12" width="9.7109375" style="225" customWidth="1"/>
    <col min="13" max="13" width="9.85546875" style="225" customWidth="1"/>
    <col min="14" max="14" width="5.7109375" style="225" customWidth="1"/>
    <col min="15" max="15" width="9.42578125" style="225" customWidth="1"/>
    <col min="16" max="16" width="5.85546875" style="225" customWidth="1"/>
    <col min="17" max="17" width="7.7109375" style="225" customWidth="1"/>
    <col min="18" max="18" width="5.7109375" style="225" customWidth="1"/>
    <col min="19" max="19" width="8.5703125" style="225" customWidth="1"/>
    <col min="20" max="20" width="6.28515625" style="225" customWidth="1"/>
    <col min="21" max="21" width="8.28515625" style="225" customWidth="1"/>
    <col min="22" max="22" width="6.28515625" style="225" customWidth="1"/>
    <col min="23" max="24" width="9" style="225" customWidth="1"/>
    <col min="25" max="25" width="9.85546875" style="457" customWidth="1"/>
    <col min="26" max="26" width="9.28515625" style="225" customWidth="1"/>
    <col min="27" max="28" width="11.42578125" style="83"/>
    <col min="29" max="29" width="11.42578125" style="225"/>
    <col min="30" max="78" width="2.42578125" style="225" customWidth="1"/>
    <col min="79" max="16384" width="11.42578125" style="225"/>
  </cols>
  <sheetData>
    <row r="1" spans="2:12" ht="13.5" thickBot="1" x14ac:dyDescent="0.25"/>
    <row r="2" spans="2:12" x14ac:dyDescent="0.2">
      <c r="B2" s="431" t="s">
        <v>478</v>
      </c>
      <c r="C2" s="432"/>
      <c r="D2" s="433"/>
      <c r="E2" s="433"/>
      <c r="F2" s="433"/>
      <c r="G2" s="433"/>
      <c r="H2" s="433"/>
      <c r="I2" s="433"/>
      <c r="J2" s="434"/>
    </row>
    <row r="3" spans="2:12" ht="17.100000000000001" customHeight="1" x14ac:dyDescent="0.25">
      <c r="B3" s="435" t="s">
        <v>5</v>
      </c>
      <c r="C3" s="436">
        <v>1</v>
      </c>
      <c r="D3" s="1633">
        <f>+Cant.!Z15</f>
        <v>0</v>
      </c>
      <c r="E3" s="1633"/>
      <c r="F3" s="1633"/>
      <c r="G3" s="1633"/>
      <c r="H3" s="1633"/>
      <c r="I3" s="437"/>
      <c r="J3" s="438">
        <f>+D58</f>
        <v>0</v>
      </c>
    </row>
    <row r="4" spans="2:12" ht="17.100000000000001" customHeight="1" x14ac:dyDescent="0.25">
      <c r="B4" s="439" t="s">
        <v>5</v>
      </c>
      <c r="C4" s="440">
        <v>2</v>
      </c>
      <c r="D4" s="1633">
        <f>+Cant.!Z16</f>
        <v>0</v>
      </c>
      <c r="E4" s="1633"/>
      <c r="F4" s="1633"/>
      <c r="G4" s="1633"/>
      <c r="H4" s="1633"/>
      <c r="I4" s="441"/>
      <c r="J4" s="442">
        <f>+F58</f>
        <v>0</v>
      </c>
    </row>
    <row r="5" spans="2:12" ht="17.100000000000001" customHeight="1" x14ac:dyDescent="0.25">
      <c r="B5" s="435" t="s">
        <v>5</v>
      </c>
      <c r="C5" s="436">
        <v>3</v>
      </c>
      <c r="D5" s="1633">
        <f>+Cant.!Z17</f>
        <v>0</v>
      </c>
      <c r="E5" s="1633"/>
      <c r="F5" s="1633"/>
      <c r="G5" s="1633"/>
      <c r="H5" s="1633"/>
      <c r="I5" s="437"/>
      <c r="J5" s="438">
        <f>+H58</f>
        <v>0</v>
      </c>
    </row>
    <row r="6" spans="2:12" ht="17.100000000000001" customHeight="1" x14ac:dyDescent="0.25">
      <c r="B6" s="439" t="s">
        <v>5</v>
      </c>
      <c r="C6" s="440">
        <v>4</v>
      </c>
      <c r="D6" s="1633">
        <f>+Cant.!Z18</f>
        <v>0</v>
      </c>
      <c r="E6" s="1633"/>
      <c r="F6" s="1633"/>
      <c r="G6" s="1633"/>
      <c r="H6" s="1633"/>
      <c r="I6" s="441"/>
      <c r="J6" s="442">
        <f>+J58</f>
        <v>0</v>
      </c>
      <c r="L6" s="443"/>
    </row>
    <row r="7" spans="2:12" ht="17.100000000000001" customHeight="1" x14ac:dyDescent="0.25">
      <c r="B7" s="435" t="s">
        <v>5</v>
      </c>
      <c r="C7" s="436">
        <v>5</v>
      </c>
      <c r="D7" s="1633">
        <f>+Cant.!Z19</f>
        <v>0</v>
      </c>
      <c r="E7" s="1633"/>
      <c r="F7" s="1633"/>
      <c r="G7" s="1633"/>
      <c r="H7" s="1633"/>
      <c r="I7" s="437"/>
      <c r="J7" s="438">
        <f>+L58</f>
        <v>0</v>
      </c>
    </row>
    <row r="8" spans="2:12" ht="17.100000000000001" customHeight="1" x14ac:dyDescent="0.25">
      <c r="B8" s="444" t="s">
        <v>491</v>
      </c>
      <c r="C8" s="445"/>
      <c r="D8" s="441"/>
      <c r="E8" s="441"/>
      <c r="F8" s="441"/>
      <c r="G8" s="441"/>
      <c r="H8" s="441"/>
      <c r="I8" s="441"/>
      <c r="J8" s="446"/>
    </row>
    <row r="9" spans="2:12" ht="17.100000000000001" customHeight="1" x14ac:dyDescent="0.25">
      <c r="B9" s="435" t="s">
        <v>5</v>
      </c>
      <c r="C9" s="436">
        <v>6</v>
      </c>
      <c r="D9" s="1637">
        <f>+Cant.!Z22</f>
        <v>0</v>
      </c>
      <c r="E9" s="1637"/>
      <c r="F9" s="1637"/>
      <c r="G9" s="1637"/>
      <c r="H9" s="1637"/>
      <c r="I9" s="437"/>
      <c r="J9" s="438">
        <f>+O58</f>
        <v>0</v>
      </c>
    </row>
    <row r="10" spans="2:12" ht="17.100000000000001" customHeight="1" x14ac:dyDescent="0.25">
      <c r="B10" s="439" t="s">
        <v>5</v>
      </c>
      <c r="C10" s="440">
        <v>7</v>
      </c>
      <c r="D10" s="1637">
        <f>+Cant.!Z23</f>
        <v>0</v>
      </c>
      <c r="E10" s="1637"/>
      <c r="F10" s="1637"/>
      <c r="G10" s="1637"/>
      <c r="H10" s="1637"/>
      <c r="I10" s="441"/>
      <c r="J10" s="442">
        <f>+Q58</f>
        <v>0</v>
      </c>
    </row>
    <row r="11" spans="2:12" ht="17.100000000000001" customHeight="1" x14ac:dyDescent="0.25">
      <c r="B11" s="435" t="s">
        <v>5</v>
      </c>
      <c r="C11" s="436">
        <v>8</v>
      </c>
      <c r="D11" s="1637">
        <f>+Cant.!Z24</f>
        <v>0</v>
      </c>
      <c r="E11" s="1637"/>
      <c r="F11" s="1637"/>
      <c r="G11" s="1637"/>
      <c r="H11" s="1637"/>
      <c r="I11" s="437"/>
      <c r="J11" s="438">
        <f>+S58</f>
        <v>0</v>
      </c>
    </row>
    <row r="12" spans="2:12" ht="17.100000000000001" customHeight="1" x14ac:dyDescent="0.25">
      <c r="B12" s="439" t="s">
        <v>5</v>
      </c>
      <c r="C12" s="440">
        <v>9</v>
      </c>
      <c r="D12" s="1637">
        <f>+Cant.!Z25</f>
        <v>0</v>
      </c>
      <c r="E12" s="1637"/>
      <c r="F12" s="1637"/>
      <c r="G12" s="1637"/>
      <c r="H12" s="1637"/>
      <c r="I12" s="441"/>
      <c r="J12" s="442">
        <f>+U58</f>
        <v>0</v>
      </c>
    </row>
    <row r="13" spans="2:12" ht="17.100000000000001" customHeight="1" x14ac:dyDescent="0.25">
      <c r="B13" s="435" t="s">
        <v>5</v>
      </c>
      <c r="C13" s="436">
        <v>10</v>
      </c>
      <c r="D13" s="1637">
        <f>+Cant.!Z26</f>
        <v>0</v>
      </c>
      <c r="E13" s="1637"/>
      <c r="F13" s="1637"/>
      <c r="G13" s="1637"/>
      <c r="H13" s="1637"/>
      <c r="I13" s="437"/>
      <c r="J13" s="438">
        <f>+W58</f>
        <v>0</v>
      </c>
    </row>
    <row r="14" spans="2:12" ht="17.100000000000001" customHeight="1" x14ac:dyDescent="0.25">
      <c r="B14" s="447"/>
      <c r="C14" s="448"/>
      <c r="D14" s="445" t="s">
        <v>733</v>
      </c>
      <c r="E14" s="445"/>
      <c r="F14" s="445"/>
      <c r="G14" s="445"/>
      <c r="H14" s="445"/>
      <c r="I14" s="441"/>
      <c r="J14" s="442">
        <f>+Z58</f>
        <v>0</v>
      </c>
    </row>
    <row r="15" spans="2:12" ht="17.100000000000001" customHeight="1" x14ac:dyDescent="0.25">
      <c r="B15" s="449"/>
      <c r="C15" s="450"/>
      <c r="D15" s="451" t="s">
        <v>734</v>
      </c>
      <c r="E15" s="451" t="s">
        <v>735</v>
      </c>
      <c r="F15" s="451"/>
      <c r="G15" s="451"/>
      <c r="H15" s="451"/>
      <c r="I15" s="437"/>
      <c r="J15" s="438">
        <f>+D58+F58+H58+J58+L58+O58+Q58+S58+U58+W58</f>
        <v>0</v>
      </c>
    </row>
    <row r="16" spans="2:12" ht="17.100000000000001" customHeight="1" x14ac:dyDescent="0.25">
      <c r="B16" s="447"/>
      <c r="C16" s="448"/>
      <c r="D16" s="445" t="s">
        <v>736</v>
      </c>
      <c r="E16" s="445"/>
      <c r="F16" s="445"/>
      <c r="G16" s="445"/>
      <c r="H16" s="445"/>
      <c r="I16" s="441"/>
      <c r="J16" s="442">
        <f>+AB58</f>
        <v>0</v>
      </c>
    </row>
    <row r="17" spans="1:78" ht="17.100000000000001" customHeight="1" thickBot="1" x14ac:dyDescent="0.3">
      <c r="B17" s="452"/>
      <c r="C17" s="453"/>
      <c r="D17" s="454" t="s">
        <v>737</v>
      </c>
      <c r="E17" s="454"/>
      <c r="F17" s="454"/>
      <c r="G17" s="454"/>
      <c r="H17" s="454"/>
      <c r="I17" s="455"/>
      <c r="J17" s="456">
        <f>+X58</f>
        <v>0</v>
      </c>
    </row>
    <row r="18" spans="1:78" ht="18.75" thickBot="1" x14ac:dyDescent="0.3">
      <c r="B18" s="228"/>
      <c r="C18" s="228"/>
    </row>
    <row r="19" spans="1:78" ht="17.25" customHeight="1" thickBot="1" x14ac:dyDescent="0.3">
      <c r="B19" s="1634" t="s">
        <v>738</v>
      </c>
      <c r="C19" s="1635"/>
      <c r="D19" s="1635"/>
      <c r="E19" s="1635"/>
      <c r="F19" s="1635"/>
      <c r="G19" s="1635"/>
      <c r="H19" s="1635"/>
      <c r="I19" s="1635"/>
      <c r="J19" s="1635"/>
      <c r="K19" s="1635"/>
      <c r="L19" s="1636"/>
      <c r="M19" s="1634" t="s">
        <v>739</v>
      </c>
      <c r="N19" s="1635"/>
      <c r="O19" s="1635"/>
      <c r="P19" s="1635"/>
      <c r="Q19" s="1635"/>
      <c r="R19" s="1635"/>
      <c r="S19" s="1635"/>
      <c r="T19" s="1635"/>
      <c r="U19" s="1635"/>
      <c r="V19" s="1635"/>
      <c r="W19" s="1636"/>
      <c r="X19" s="228"/>
    </row>
    <row r="20" spans="1:78" x14ac:dyDescent="0.2">
      <c r="B20" s="458" t="s">
        <v>114</v>
      </c>
      <c r="C20" s="1639" t="s">
        <v>740</v>
      </c>
      <c r="D20" s="1640"/>
      <c r="E20" s="1639" t="s">
        <v>741</v>
      </c>
      <c r="F20" s="1641"/>
      <c r="G20" s="1640" t="s">
        <v>742</v>
      </c>
      <c r="H20" s="1640"/>
      <c r="I20" s="1639" t="s">
        <v>743</v>
      </c>
      <c r="J20" s="1641"/>
      <c r="K20" s="1639" t="s">
        <v>744</v>
      </c>
      <c r="L20" s="1641"/>
      <c r="M20" s="458" t="s">
        <v>745</v>
      </c>
      <c r="N20" s="1639" t="s">
        <v>746</v>
      </c>
      <c r="O20" s="1640"/>
      <c r="P20" s="1639" t="s">
        <v>747</v>
      </c>
      <c r="Q20" s="1641"/>
      <c r="R20" s="1640" t="s">
        <v>748</v>
      </c>
      <c r="S20" s="1640"/>
      <c r="T20" s="1639" t="s">
        <v>749</v>
      </c>
      <c r="U20" s="1641"/>
      <c r="V20" s="1639" t="s">
        <v>750</v>
      </c>
      <c r="W20" s="1641"/>
      <c r="X20" s="459" t="s">
        <v>751</v>
      </c>
      <c r="Y20" s="1642" t="s">
        <v>752</v>
      </c>
      <c r="Z20" s="1643"/>
      <c r="AA20" s="1644" t="s">
        <v>753</v>
      </c>
      <c r="AB20" s="1645"/>
    </row>
    <row r="21" spans="1:78" s="460" customFormat="1" ht="11.25" x14ac:dyDescent="0.2">
      <c r="B21" s="461" t="s">
        <v>754</v>
      </c>
      <c r="C21" s="462" t="s">
        <v>26</v>
      </c>
      <c r="D21" s="463"/>
      <c r="E21" s="462" t="s">
        <v>26</v>
      </c>
      <c r="F21" s="464"/>
      <c r="G21" s="465" t="s">
        <v>26</v>
      </c>
      <c r="H21" s="463"/>
      <c r="I21" s="462" t="s">
        <v>26</v>
      </c>
      <c r="J21" s="464"/>
      <c r="K21" s="462" t="s">
        <v>26</v>
      </c>
      <c r="L21" s="464"/>
      <c r="M21" s="461" t="s">
        <v>754</v>
      </c>
      <c r="N21" s="462" t="s">
        <v>26</v>
      </c>
      <c r="O21" s="463"/>
      <c r="P21" s="462" t="s">
        <v>26</v>
      </c>
      <c r="Q21" s="464"/>
      <c r="R21" s="465" t="s">
        <v>26</v>
      </c>
      <c r="S21" s="463"/>
      <c r="T21" s="462" t="s">
        <v>26</v>
      </c>
      <c r="U21" s="464"/>
      <c r="V21" s="462" t="s">
        <v>26</v>
      </c>
      <c r="W21" s="464"/>
      <c r="X21" s="465" t="s">
        <v>393</v>
      </c>
      <c r="Y21" s="466" t="s">
        <v>754</v>
      </c>
      <c r="Z21" s="467"/>
      <c r="AA21" s="468" t="s">
        <v>754</v>
      </c>
      <c r="AB21" s="469"/>
    </row>
    <row r="22" spans="1:78" x14ac:dyDescent="0.2">
      <c r="A22" s="225" t="s">
        <v>508</v>
      </c>
      <c r="B22" s="470">
        <v>6.25E-2</v>
      </c>
      <c r="C22" s="471">
        <f>+Cant.!Y32</f>
        <v>0</v>
      </c>
      <c r="D22" s="472">
        <f>+C22*B22</f>
        <v>0</v>
      </c>
      <c r="E22" s="471">
        <f>+Cant.!Z32</f>
        <v>0</v>
      </c>
      <c r="F22" s="473">
        <f>+E22*B22</f>
        <v>0</v>
      </c>
      <c r="G22" s="474">
        <f>+Cant.!AA32</f>
        <v>0</v>
      </c>
      <c r="H22" s="472">
        <f>+G22*B22</f>
        <v>0</v>
      </c>
      <c r="I22" s="471">
        <f>+Cant.!AB32</f>
        <v>0</v>
      </c>
      <c r="J22" s="473">
        <f>+I22*B22</f>
        <v>0</v>
      </c>
      <c r="K22" s="471">
        <f>+Cant.!AC32</f>
        <v>0</v>
      </c>
      <c r="L22" s="473">
        <f>+K22*B22</f>
        <v>0</v>
      </c>
      <c r="M22" s="470">
        <f>1/16</f>
        <v>6.25E-2</v>
      </c>
      <c r="N22" s="471">
        <f>+Cant.!AF32</f>
        <v>0</v>
      </c>
      <c r="O22" s="472">
        <f>+N22*M22</f>
        <v>0</v>
      </c>
      <c r="P22" s="471">
        <f>+Cant.!AG32</f>
        <v>0</v>
      </c>
      <c r="Q22" s="473">
        <f>+P22*M22</f>
        <v>0</v>
      </c>
      <c r="R22" s="474">
        <f>+Cant.!AH32</f>
        <v>0</v>
      </c>
      <c r="S22" s="472">
        <f>+R22*M22</f>
        <v>0</v>
      </c>
      <c r="T22" s="471">
        <f>+Cant.!AI32</f>
        <v>0</v>
      </c>
      <c r="U22" s="473">
        <f>+T22*M22</f>
        <v>0</v>
      </c>
      <c r="V22" s="471">
        <f>+'5 ALMACEN '!F26</f>
        <v>0</v>
      </c>
      <c r="W22" s="473">
        <f>+V22*M22</f>
        <v>0</v>
      </c>
      <c r="X22" s="474">
        <f>+C22+E22+G22+I22+K22+N22+P22+R22+T22</f>
        <v>0</v>
      </c>
      <c r="Y22" s="475">
        <f>1/20</f>
        <v>0.05</v>
      </c>
      <c r="Z22" s="476">
        <f t="shared" ref="Z22:Z57" si="0">+Y22*X22</f>
        <v>0</v>
      </c>
      <c r="AA22" s="477">
        <v>1.76</v>
      </c>
      <c r="AB22" s="478">
        <f>+AA22*X22</f>
        <v>0</v>
      </c>
    </row>
    <row r="23" spans="1:78" x14ac:dyDescent="0.2">
      <c r="A23" s="225" t="s">
        <v>510</v>
      </c>
      <c r="B23" s="470">
        <v>7.1428571428571425E-2</v>
      </c>
      <c r="C23" s="471">
        <f>+Cant.!Y33</f>
        <v>0</v>
      </c>
      <c r="D23" s="472">
        <f t="shared" ref="D23:D48" si="1">+C23*B23</f>
        <v>0</v>
      </c>
      <c r="E23" s="471">
        <f>+Cant.!Z33</f>
        <v>0</v>
      </c>
      <c r="F23" s="473">
        <f t="shared" ref="F23:F56" si="2">+E23*B23</f>
        <v>0</v>
      </c>
      <c r="G23" s="474">
        <f>+Cant.!AA33</f>
        <v>0</v>
      </c>
      <c r="H23" s="472">
        <f t="shared" ref="H23:H53" si="3">+G23*B23</f>
        <v>0</v>
      </c>
      <c r="I23" s="471">
        <f>+Cant.!AB33</f>
        <v>0</v>
      </c>
      <c r="J23" s="473">
        <f t="shared" ref="J23:J48" si="4">+I23*B23</f>
        <v>0</v>
      </c>
      <c r="K23" s="471">
        <f>+Cant.!AC33</f>
        <v>0</v>
      </c>
      <c r="L23" s="473">
        <f t="shared" ref="L23:L56" si="5">+K23*B23</f>
        <v>0</v>
      </c>
      <c r="M23" s="470">
        <f>1/12</f>
        <v>8.3333333333333329E-2</v>
      </c>
      <c r="N23" s="471">
        <f>+Cant.!AF33</f>
        <v>0</v>
      </c>
      <c r="O23" s="472">
        <f t="shared" ref="O23:O57" si="6">+N23*M23</f>
        <v>0</v>
      </c>
      <c r="P23" s="471">
        <f>+Cant.!AG33</f>
        <v>0</v>
      </c>
      <c r="Q23" s="473">
        <f t="shared" ref="Q23:Q57" si="7">+P23*M23</f>
        <v>0</v>
      </c>
      <c r="R23" s="474">
        <f>+Cant.!AH33</f>
        <v>0</v>
      </c>
      <c r="S23" s="472">
        <f t="shared" ref="S23:S57" si="8">+R23*M23</f>
        <v>0</v>
      </c>
      <c r="T23" s="471">
        <f>+Cant.!AI33</f>
        <v>0</v>
      </c>
      <c r="U23" s="473">
        <f t="shared" ref="U23:U57" si="9">+T23*M23</f>
        <v>0</v>
      </c>
      <c r="V23" s="471">
        <f>+Cant.!AJ33</f>
        <v>0</v>
      </c>
      <c r="W23" s="473">
        <f t="shared" ref="W23:W57" si="10">+V23*M23</f>
        <v>0</v>
      </c>
      <c r="X23" s="474">
        <f t="shared" ref="X23:X57" si="11">+C23+E23+G23+I23+K23+N23+P23+R23+T23+V23</f>
        <v>0</v>
      </c>
      <c r="Y23" s="479">
        <f>1/16</f>
        <v>6.25E-2</v>
      </c>
      <c r="Z23" s="476">
        <f t="shared" si="0"/>
        <v>0</v>
      </c>
      <c r="AA23" s="477">
        <v>2.0299999999999998</v>
      </c>
      <c r="AB23" s="478">
        <f t="shared" ref="AB23:AB57" si="12">+AA23*X23</f>
        <v>0</v>
      </c>
    </row>
    <row r="24" spans="1:78" x14ac:dyDescent="0.2">
      <c r="A24" s="225" t="s">
        <v>512</v>
      </c>
      <c r="B24" s="470">
        <v>0.1</v>
      </c>
      <c r="C24" s="471">
        <f>+Cant.!Y34</f>
        <v>0</v>
      </c>
      <c r="D24" s="472">
        <f t="shared" si="1"/>
        <v>0</v>
      </c>
      <c r="E24" s="471">
        <f>+Cant.!Z34</f>
        <v>0</v>
      </c>
      <c r="F24" s="473">
        <f t="shared" si="2"/>
        <v>0</v>
      </c>
      <c r="G24" s="474">
        <f>+Cant.!AA34</f>
        <v>0</v>
      </c>
      <c r="H24" s="472">
        <f t="shared" si="3"/>
        <v>0</v>
      </c>
      <c r="I24" s="471">
        <f>+Cant.!AB34</f>
        <v>0</v>
      </c>
      <c r="J24" s="473">
        <f t="shared" si="4"/>
        <v>0</v>
      </c>
      <c r="K24" s="471">
        <f>+Cant.!AC34</f>
        <v>0</v>
      </c>
      <c r="L24" s="473">
        <f t="shared" si="5"/>
        <v>0</v>
      </c>
      <c r="M24" s="470">
        <f>1/8</f>
        <v>0.125</v>
      </c>
      <c r="N24" s="471">
        <f>+Cant.!AF34</f>
        <v>0</v>
      </c>
      <c r="O24" s="472">
        <f t="shared" si="6"/>
        <v>0</v>
      </c>
      <c r="P24" s="471">
        <f>+Cant.!AG34</f>
        <v>0</v>
      </c>
      <c r="Q24" s="473">
        <f t="shared" si="7"/>
        <v>0</v>
      </c>
      <c r="R24" s="474">
        <f>+Cant.!AH34</f>
        <v>0</v>
      </c>
      <c r="S24" s="472">
        <f t="shared" si="8"/>
        <v>0</v>
      </c>
      <c r="T24" s="471">
        <f>+Cant.!AI34</f>
        <v>0</v>
      </c>
      <c r="U24" s="473">
        <f t="shared" si="9"/>
        <v>0</v>
      </c>
      <c r="V24" s="471">
        <f>+Cant.!AJ34</f>
        <v>0</v>
      </c>
      <c r="W24" s="473">
        <f t="shared" si="10"/>
        <v>0</v>
      </c>
      <c r="X24" s="474">
        <f t="shared" si="11"/>
        <v>0</v>
      </c>
      <c r="Y24" s="479">
        <f>1/14</f>
        <v>7.1428571428571425E-2</v>
      </c>
      <c r="Z24" s="476">
        <f t="shared" si="0"/>
        <v>0</v>
      </c>
      <c r="AA24" s="477">
        <v>2.31</v>
      </c>
      <c r="AB24" s="478">
        <f t="shared" si="12"/>
        <v>0</v>
      </c>
      <c r="AX24" s="1638">
        <f>75/5</f>
        <v>15</v>
      </c>
      <c r="AY24" s="1638"/>
    </row>
    <row r="25" spans="1:78" x14ac:dyDescent="0.2">
      <c r="A25" s="225" t="s">
        <v>515</v>
      </c>
      <c r="B25" s="470">
        <v>0.125</v>
      </c>
      <c r="C25" s="471">
        <f>+Cant.!Y35</f>
        <v>0</v>
      </c>
      <c r="D25" s="472">
        <f t="shared" si="1"/>
        <v>0</v>
      </c>
      <c r="E25" s="471">
        <f>+Cant.!Z35</f>
        <v>0</v>
      </c>
      <c r="F25" s="473">
        <f t="shared" si="2"/>
        <v>0</v>
      </c>
      <c r="G25" s="474">
        <f>+Cant.!AA35</f>
        <v>0</v>
      </c>
      <c r="H25" s="472">
        <f t="shared" si="3"/>
        <v>0</v>
      </c>
      <c r="I25" s="471">
        <f>+Cant.!AB35</f>
        <v>0</v>
      </c>
      <c r="J25" s="473">
        <f t="shared" si="4"/>
        <v>0</v>
      </c>
      <c r="K25" s="471">
        <f>+Cant.!AC35</f>
        <v>0</v>
      </c>
      <c r="L25" s="473">
        <f t="shared" si="5"/>
        <v>0</v>
      </c>
      <c r="M25" s="470">
        <f>1/8</f>
        <v>0.125</v>
      </c>
      <c r="N25" s="471">
        <f>+Cant.!AF35</f>
        <v>0</v>
      </c>
      <c r="O25" s="472">
        <f t="shared" si="6"/>
        <v>0</v>
      </c>
      <c r="P25" s="471">
        <f>+Cant.!AG35</f>
        <v>0</v>
      </c>
      <c r="Q25" s="473">
        <f t="shared" si="7"/>
        <v>0</v>
      </c>
      <c r="R25" s="474">
        <f>+Cant.!AH35</f>
        <v>0</v>
      </c>
      <c r="S25" s="472">
        <f t="shared" si="8"/>
        <v>0</v>
      </c>
      <c r="T25" s="471">
        <f>+Cant.!AI35</f>
        <v>0</v>
      </c>
      <c r="U25" s="473">
        <f t="shared" si="9"/>
        <v>0</v>
      </c>
      <c r="V25" s="471">
        <f>+Cant.!AJ35</f>
        <v>0</v>
      </c>
      <c r="W25" s="473">
        <f t="shared" si="10"/>
        <v>0</v>
      </c>
      <c r="X25" s="474">
        <f t="shared" si="11"/>
        <v>0</v>
      </c>
      <c r="Y25" s="479">
        <f>1/10</f>
        <v>0.1</v>
      </c>
      <c r="Z25" s="476">
        <f t="shared" si="0"/>
        <v>0</v>
      </c>
      <c r="AA25" s="477">
        <v>2.87</v>
      </c>
      <c r="AB25" s="478">
        <f t="shared" si="12"/>
        <v>0</v>
      </c>
    </row>
    <row r="26" spans="1:78" x14ac:dyDescent="0.2">
      <c r="A26" s="225" t="s">
        <v>516</v>
      </c>
      <c r="B26" s="270">
        <f>1/8</f>
        <v>0.125</v>
      </c>
      <c r="C26" s="471">
        <f>+Cant.!Y36</f>
        <v>0</v>
      </c>
      <c r="D26" s="472">
        <f t="shared" si="1"/>
        <v>0</v>
      </c>
      <c r="E26" s="471">
        <f>+Cant.!Z36</f>
        <v>0</v>
      </c>
      <c r="F26" s="473">
        <f t="shared" si="2"/>
        <v>0</v>
      </c>
      <c r="G26" s="474">
        <f>+Cant.!AA37</f>
        <v>0</v>
      </c>
      <c r="H26" s="472">
        <f t="shared" si="3"/>
        <v>0</v>
      </c>
      <c r="I26" s="471">
        <f>+Cant.!AB37</f>
        <v>0</v>
      </c>
      <c r="J26" s="473">
        <f t="shared" si="4"/>
        <v>0</v>
      </c>
      <c r="K26" s="471">
        <f>+Cant.!AC37</f>
        <v>0</v>
      </c>
      <c r="L26" s="473">
        <f t="shared" si="5"/>
        <v>0</v>
      </c>
      <c r="M26" s="270">
        <f>1/4</f>
        <v>0.25</v>
      </c>
      <c r="N26" s="471">
        <f>+Cant.!AF36</f>
        <v>0</v>
      </c>
      <c r="O26" s="472">
        <f t="shared" si="6"/>
        <v>0</v>
      </c>
      <c r="P26" s="471">
        <f>+Cant.!AG36</f>
        <v>0</v>
      </c>
      <c r="Q26" s="473">
        <f t="shared" si="7"/>
        <v>0</v>
      </c>
      <c r="R26" s="474">
        <f>+Cant.!AH37</f>
        <v>0</v>
      </c>
      <c r="S26" s="472">
        <f t="shared" si="8"/>
        <v>0</v>
      </c>
      <c r="T26" s="471">
        <f>+Cant.!AI37</f>
        <v>0</v>
      </c>
      <c r="U26" s="473">
        <f t="shared" si="9"/>
        <v>0</v>
      </c>
      <c r="V26" s="471">
        <f>+Cant.!AJ37</f>
        <v>0</v>
      </c>
      <c r="W26" s="473">
        <f t="shared" si="10"/>
        <v>0</v>
      </c>
      <c r="X26" s="474">
        <f t="shared" si="11"/>
        <v>0</v>
      </c>
      <c r="Y26" s="479">
        <f>1/8</f>
        <v>0.125</v>
      </c>
      <c r="Z26" s="476">
        <f t="shared" si="0"/>
        <v>0</v>
      </c>
      <c r="AA26" s="477">
        <v>3.43</v>
      </c>
      <c r="AB26" s="478">
        <f t="shared" si="12"/>
        <v>0</v>
      </c>
    </row>
    <row r="27" spans="1:78" x14ac:dyDescent="0.2">
      <c r="A27" s="225" t="s">
        <v>517</v>
      </c>
      <c r="B27" s="470">
        <f>1/10</f>
        <v>0.1</v>
      </c>
      <c r="C27" s="471">
        <f>+Cant.!Y37</f>
        <v>0</v>
      </c>
      <c r="D27" s="472">
        <f t="shared" si="1"/>
        <v>0</v>
      </c>
      <c r="E27" s="471">
        <f>+Cant.!Z37</f>
        <v>0</v>
      </c>
      <c r="F27" s="473">
        <f t="shared" si="2"/>
        <v>0</v>
      </c>
      <c r="G27" s="474">
        <f>+Cant.!AA38</f>
        <v>0</v>
      </c>
      <c r="H27" s="472">
        <f t="shared" si="3"/>
        <v>0</v>
      </c>
      <c r="I27" s="471">
        <f>+Cant.!AB38</f>
        <v>0</v>
      </c>
      <c r="J27" s="473">
        <f t="shared" si="4"/>
        <v>0</v>
      </c>
      <c r="K27" s="471">
        <f>+Cant.!AC38</f>
        <v>0</v>
      </c>
      <c r="L27" s="473">
        <f t="shared" si="5"/>
        <v>0</v>
      </c>
      <c r="M27" s="470">
        <f>1/8</f>
        <v>0.125</v>
      </c>
      <c r="N27" s="471">
        <f>+Cant.!AF37</f>
        <v>0</v>
      </c>
      <c r="O27" s="472">
        <f t="shared" si="6"/>
        <v>0</v>
      </c>
      <c r="P27" s="471">
        <f>+Cant.!AG37</f>
        <v>0</v>
      </c>
      <c r="Q27" s="473">
        <f t="shared" si="7"/>
        <v>0</v>
      </c>
      <c r="R27" s="474">
        <f>+Cant.!AH38</f>
        <v>0</v>
      </c>
      <c r="S27" s="472">
        <f t="shared" si="8"/>
        <v>0</v>
      </c>
      <c r="T27" s="471">
        <f>+Cant.!AI38</f>
        <v>0</v>
      </c>
      <c r="U27" s="473">
        <f t="shared" si="9"/>
        <v>0</v>
      </c>
      <c r="V27" s="471">
        <f>+Cant.!AJ38</f>
        <v>0</v>
      </c>
      <c r="W27" s="473">
        <f t="shared" si="10"/>
        <v>0</v>
      </c>
      <c r="X27" s="474">
        <f t="shared" si="11"/>
        <v>0</v>
      </c>
      <c r="Y27" s="479">
        <f>1/16</f>
        <v>6.25E-2</v>
      </c>
      <c r="Z27" s="476">
        <f t="shared" si="0"/>
        <v>0</v>
      </c>
      <c r="AA27" s="477">
        <v>2.0499999999999998</v>
      </c>
      <c r="AB27" s="478">
        <f t="shared" si="12"/>
        <v>0</v>
      </c>
      <c r="AE27" s="1638" t="s">
        <v>1068</v>
      </c>
      <c r="AF27" s="1638"/>
      <c r="AG27" s="1638"/>
      <c r="AH27" s="1638"/>
      <c r="AI27" s="1638"/>
      <c r="AJ27" s="1638"/>
      <c r="AK27" s="1638"/>
      <c r="AL27" s="1638"/>
      <c r="AM27" s="1638"/>
      <c r="AN27" s="1638"/>
      <c r="AO27" s="1638"/>
      <c r="AP27" s="1638"/>
      <c r="AQ27" s="1638"/>
      <c r="AR27" s="1638"/>
      <c r="AS27" s="1638"/>
      <c r="AT27" s="1638"/>
      <c r="AU27" s="1638"/>
      <c r="AV27" s="1638"/>
      <c r="AW27" s="1638"/>
      <c r="AX27" s="1638"/>
      <c r="AY27" s="1638"/>
      <c r="AZ27" s="1638"/>
      <c r="BA27" s="1638"/>
      <c r="BB27" s="1638"/>
      <c r="BC27" s="1638"/>
      <c r="BD27" s="1638"/>
      <c r="BE27" s="1638"/>
      <c r="BF27" s="1638"/>
      <c r="BG27" s="1638"/>
      <c r="BH27" s="1638"/>
      <c r="BI27" s="1638"/>
      <c r="BJ27" s="1638"/>
      <c r="BK27" s="1638"/>
      <c r="BL27" s="1638"/>
      <c r="BM27" s="1638"/>
      <c r="BN27" s="1638"/>
      <c r="BO27" s="1638"/>
      <c r="BP27" s="1638"/>
      <c r="BQ27" s="1638"/>
      <c r="BR27" s="1638"/>
      <c r="BS27" s="1638"/>
      <c r="BT27" s="1638"/>
      <c r="BU27" s="1638"/>
      <c r="BV27" s="1638"/>
      <c r="BW27" s="1638"/>
      <c r="BX27" s="1638"/>
      <c r="BY27" s="1638"/>
      <c r="BZ27" s="1638"/>
    </row>
    <row r="28" spans="1:78" x14ac:dyDescent="0.2">
      <c r="A28" s="225" t="s">
        <v>518</v>
      </c>
      <c r="B28" s="470">
        <v>0.125</v>
      </c>
      <c r="C28" s="471">
        <f>+Cant.!Y38</f>
        <v>0</v>
      </c>
      <c r="D28" s="472">
        <f t="shared" si="1"/>
        <v>0</v>
      </c>
      <c r="E28" s="471">
        <f>+Cant.!Z38</f>
        <v>0</v>
      </c>
      <c r="F28" s="473">
        <f t="shared" si="2"/>
        <v>0</v>
      </c>
      <c r="G28" s="474">
        <f>+Cant.!AA39</f>
        <v>0</v>
      </c>
      <c r="H28" s="472">
        <f t="shared" si="3"/>
        <v>0</v>
      </c>
      <c r="I28" s="471">
        <f>+Cant.!AB39</f>
        <v>0</v>
      </c>
      <c r="J28" s="473">
        <f t="shared" si="4"/>
        <v>0</v>
      </c>
      <c r="K28" s="471">
        <f>+Cant.!AC39</f>
        <v>0</v>
      </c>
      <c r="L28" s="473">
        <f t="shared" si="5"/>
        <v>0</v>
      </c>
      <c r="M28" s="470">
        <f>1/6</f>
        <v>0.16666666666666666</v>
      </c>
      <c r="N28" s="471">
        <f>+Cant.!AF38</f>
        <v>0</v>
      </c>
      <c r="O28" s="472">
        <f t="shared" si="6"/>
        <v>0</v>
      </c>
      <c r="P28" s="471">
        <f>+Cant.!AG38</f>
        <v>0</v>
      </c>
      <c r="Q28" s="473">
        <f t="shared" si="7"/>
        <v>0</v>
      </c>
      <c r="R28" s="474">
        <f>+Cant.!AH39</f>
        <v>0</v>
      </c>
      <c r="S28" s="472">
        <f t="shared" si="8"/>
        <v>0</v>
      </c>
      <c r="T28" s="471">
        <f>+Cant.!AI39</f>
        <v>0</v>
      </c>
      <c r="U28" s="473">
        <f t="shared" si="9"/>
        <v>0</v>
      </c>
      <c r="V28" s="471">
        <f>+Cant.!AJ39</f>
        <v>0</v>
      </c>
      <c r="W28" s="473">
        <f t="shared" si="10"/>
        <v>0</v>
      </c>
      <c r="X28" s="474">
        <f t="shared" si="11"/>
        <v>0</v>
      </c>
      <c r="Y28" s="479">
        <f>1/12</f>
        <v>8.3333333333333329E-2</v>
      </c>
      <c r="Z28" s="476">
        <f t="shared" si="0"/>
        <v>0</v>
      </c>
      <c r="AA28" s="477">
        <v>2.33</v>
      </c>
      <c r="AB28" s="478">
        <f t="shared" si="12"/>
        <v>0</v>
      </c>
    </row>
    <row r="29" spans="1:78" ht="13.5" thickBot="1" x14ac:dyDescent="0.25">
      <c r="A29" s="225" t="s">
        <v>519</v>
      </c>
      <c r="B29" s="470">
        <f>1/5</f>
        <v>0.2</v>
      </c>
      <c r="C29" s="471">
        <f>+Cant.!Y39</f>
        <v>0</v>
      </c>
      <c r="D29" s="472">
        <f t="shared" si="1"/>
        <v>0</v>
      </c>
      <c r="E29" s="471">
        <f>+Cant.!Z39</f>
        <v>0</v>
      </c>
      <c r="F29" s="473">
        <f t="shared" si="2"/>
        <v>0</v>
      </c>
      <c r="G29" s="474">
        <f>+Cant.!AA40</f>
        <v>0</v>
      </c>
      <c r="H29" s="472">
        <f t="shared" si="3"/>
        <v>0</v>
      </c>
      <c r="I29" s="471">
        <f>+Cant.!AB40</f>
        <v>0</v>
      </c>
      <c r="J29" s="473">
        <f t="shared" si="4"/>
        <v>0</v>
      </c>
      <c r="K29" s="471">
        <f>+Cant.!AC40</f>
        <v>0</v>
      </c>
      <c r="L29" s="473">
        <f t="shared" si="5"/>
        <v>0</v>
      </c>
      <c r="M29" s="470">
        <f>1/4</f>
        <v>0.25</v>
      </c>
      <c r="N29" s="471">
        <f>+Cant.!AF39</f>
        <v>0</v>
      </c>
      <c r="O29" s="472">
        <f t="shared" si="6"/>
        <v>0</v>
      </c>
      <c r="P29" s="471">
        <f>+Cant.!AG39</f>
        <v>0</v>
      </c>
      <c r="Q29" s="473">
        <f t="shared" si="7"/>
        <v>0</v>
      </c>
      <c r="R29" s="474">
        <f>+Cant.!AH40</f>
        <v>0</v>
      </c>
      <c r="S29" s="472">
        <f t="shared" si="8"/>
        <v>0</v>
      </c>
      <c r="T29" s="471">
        <f>+Cant.!AI40</f>
        <v>0</v>
      </c>
      <c r="U29" s="473">
        <f t="shared" si="9"/>
        <v>0</v>
      </c>
      <c r="V29" s="471">
        <f>+Cant.!AJ40</f>
        <v>0</v>
      </c>
      <c r="W29" s="473">
        <f t="shared" si="10"/>
        <v>0</v>
      </c>
      <c r="X29" s="474">
        <f t="shared" si="11"/>
        <v>0</v>
      </c>
      <c r="Y29" s="479">
        <f>1/10</f>
        <v>0.1</v>
      </c>
      <c r="Z29" s="476">
        <f t="shared" si="0"/>
        <v>0</v>
      </c>
      <c r="AA29" s="477">
        <v>2.61</v>
      </c>
      <c r="AB29" s="478">
        <f t="shared" si="12"/>
        <v>0</v>
      </c>
    </row>
    <row r="30" spans="1:78" x14ac:dyDescent="0.2">
      <c r="A30" s="225" t="s">
        <v>521</v>
      </c>
      <c r="B30" s="470">
        <f>1/5</f>
        <v>0.2</v>
      </c>
      <c r="C30" s="471">
        <f>+Cant.!Y40</f>
        <v>0</v>
      </c>
      <c r="D30" s="472">
        <f t="shared" si="1"/>
        <v>0</v>
      </c>
      <c r="E30" s="471">
        <f>+Cant.!Z40</f>
        <v>0</v>
      </c>
      <c r="F30" s="473">
        <f t="shared" si="2"/>
        <v>0</v>
      </c>
      <c r="G30" s="474">
        <f>+Cant.!AA41</f>
        <v>0</v>
      </c>
      <c r="H30" s="472">
        <f t="shared" si="3"/>
        <v>0</v>
      </c>
      <c r="I30" s="471">
        <f>+Cant.!AB41</f>
        <v>0</v>
      </c>
      <c r="J30" s="473">
        <f t="shared" si="4"/>
        <v>0</v>
      </c>
      <c r="K30" s="471">
        <f>+Cant.!AC41</f>
        <v>0</v>
      </c>
      <c r="L30" s="473">
        <f t="shared" si="5"/>
        <v>0</v>
      </c>
      <c r="M30" s="470">
        <f>1/4</f>
        <v>0.25</v>
      </c>
      <c r="N30" s="471">
        <f>+Cant.!AF40</f>
        <v>0</v>
      </c>
      <c r="O30" s="472">
        <f t="shared" si="6"/>
        <v>0</v>
      </c>
      <c r="P30" s="471">
        <f>+Cant.!AG40</f>
        <v>0</v>
      </c>
      <c r="Q30" s="473">
        <f t="shared" si="7"/>
        <v>0</v>
      </c>
      <c r="R30" s="474">
        <f>+Cant.!AH41</f>
        <v>0</v>
      </c>
      <c r="S30" s="472">
        <f t="shared" si="8"/>
        <v>0</v>
      </c>
      <c r="T30" s="471">
        <f>+Cant.!AI41</f>
        <v>0</v>
      </c>
      <c r="U30" s="473">
        <f t="shared" si="9"/>
        <v>0</v>
      </c>
      <c r="V30" s="471">
        <f>+Cant.!AJ41</f>
        <v>0</v>
      </c>
      <c r="W30" s="473">
        <f t="shared" si="10"/>
        <v>0</v>
      </c>
      <c r="X30" s="474">
        <f t="shared" si="11"/>
        <v>0</v>
      </c>
      <c r="Y30" s="479">
        <f>1/8</f>
        <v>0.125</v>
      </c>
      <c r="Z30" s="476">
        <f t="shared" si="0"/>
        <v>0</v>
      </c>
      <c r="AA30" s="477">
        <v>3.17</v>
      </c>
      <c r="AB30" s="478">
        <f t="shared" si="12"/>
        <v>0</v>
      </c>
      <c r="AE30" s="756"/>
      <c r="AF30" s="757"/>
      <c r="AG30" s="757"/>
      <c r="AH30" s="757"/>
      <c r="AI30" s="757"/>
      <c r="AJ30" s="757"/>
      <c r="AK30" s="757"/>
      <c r="AL30" s="757"/>
      <c r="AM30" s="757"/>
      <c r="AN30" s="757"/>
      <c r="AO30" s="757"/>
      <c r="AP30" s="757"/>
      <c r="AQ30" s="757"/>
      <c r="AR30" s="757"/>
      <c r="AS30" s="757"/>
      <c r="AT30" s="757"/>
      <c r="AU30" s="757"/>
      <c r="AV30" s="757"/>
      <c r="AW30" s="757"/>
      <c r="AX30" s="757"/>
      <c r="AY30" s="757"/>
      <c r="AZ30" s="757"/>
      <c r="BA30" s="757"/>
      <c r="BB30" s="757"/>
      <c r="BC30" s="757"/>
      <c r="BD30" s="757"/>
      <c r="BE30" s="757"/>
      <c r="BF30" s="757"/>
      <c r="BG30" s="757"/>
      <c r="BH30" s="757"/>
      <c r="BI30" s="757"/>
      <c r="BJ30" s="757"/>
      <c r="BK30" s="757"/>
      <c r="BL30" s="757"/>
      <c r="BM30" s="757"/>
      <c r="BN30" s="757"/>
      <c r="BO30" s="757"/>
      <c r="BP30" s="757"/>
      <c r="BQ30" s="757"/>
      <c r="BR30" s="757"/>
      <c r="BS30" s="757"/>
      <c r="BT30" s="757"/>
      <c r="BU30" s="757"/>
      <c r="BV30" s="757"/>
      <c r="BW30" s="757"/>
      <c r="BX30" s="757"/>
      <c r="BY30" s="757"/>
      <c r="BZ30" s="758"/>
    </row>
    <row r="31" spans="1:78" x14ac:dyDescent="0.2">
      <c r="A31" s="225" t="s">
        <v>523</v>
      </c>
      <c r="B31" s="470">
        <f>1/5</f>
        <v>0.2</v>
      </c>
      <c r="C31" s="471">
        <f>+Cant.!Y41</f>
        <v>0</v>
      </c>
      <c r="D31" s="472">
        <f t="shared" si="1"/>
        <v>0</v>
      </c>
      <c r="E31" s="471">
        <f>+Cant.!Z41</f>
        <v>0</v>
      </c>
      <c r="F31" s="473">
        <f t="shared" si="2"/>
        <v>0</v>
      </c>
      <c r="G31" s="474">
        <f>+Cant.!AA42</f>
        <v>0</v>
      </c>
      <c r="H31" s="472">
        <f t="shared" si="3"/>
        <v>0</v>
      </c>
      <c r="I31" s="471">
        <f>+Cant.!AB42</f>
        <v>0</v>
      </c>
      <c r="J31" s="473">
        <f t="shared" si="4"/>
        <v>0</v>
      </c>
      <c r="K31" s="471">
        <f>+Cant.!AC42</f>
        <v>0</v>
      </c>
      <c r="L31" s="473">
        <f t="shared" si="5"/>
        <v>0</v>
      </c>
      <c r="M31" s="470">
        <f>1/4</f>
        <v>0.25</v>
      </c>
      <c r="N31" s="471">
        <f>+Cant.!AF41</f>
        <v>0</v>
      </c>
      <c r="O31" s="472">
        <f t="shared" si="6"/>
        <v>0</v>
      </c>
      <c r="P31" s="471">
        <f>+Cant.!AG41</f>
        <v>0</v>
      </c>
      <c r="Q31" s="473">
        <f t="shared" si="7"/>
        <v>0</v>
      </c>
      <c r="R31" s="474">
        <f>+Cant.!AH42</f>
        <v>0</v>
      </c>
      <c r="S31" s="472">
        <f t="shared" si="8"/>
        <v>0</v>
      </c>
      <c r="T31" s="471">
        <f>+Cant.!AI42</f>
        <v>0</v>
      </c>
      <c r="U31" s="473">
        <f t="shared" si="9"/>
        <v>0</v>
      </c>
      <c r="V31" s="471">
        <f>+Cant.!AJ42</f>
        <v>0</v>
      </c>
      <c r="W31" s="473">
        <f t="shared" si="10"/>
        <v>0</v>
      </c>
      <c r="X31" s="474">
        <f t="shared" si="11"/>
        <v>0</v>
      </c>
      <c r="Y31" s="479">
        <f>1/8</f>
        <v>0.125</v>
      </c>
      <c r="Z31" s="476">
        <f t="shared" si="0"/>
        <v>0</v>
      </c>
      <c r="AA31" s="477">
        <v>3.32</v>
      </c>
      <c r="AB31" s="478">
        <f t="shared" si="12"/>
        <v>0</v>
      </c>
      <c r="AE31" s="759"/>
      <c r="AF31" s="237"/>
      <c r="AG31" s="237"/>
      <c r="AH31" s="237"/>
      <c r="AI31" s="237"/>
      <c r="AJ31" s="237"/>
      <c r="AK31" s="237"/>
      <c r="AL31" s="237"/>
      <c r="AM31" s="237"/>
      <c r="AN31" s="237"/>
      <c r="AO31" s="237"/>
      <c r="AP31" s="237"/>
      <c r="AQ31" s="237"/>
      <c r="AR31" s="237"/>
      <c r="AS31" s="237"/>
      <c r="AT31" s="237"/>
      <c r="AU31" s="237"/>
      <c r="AV31" s="237"/>
      <c r="AW31" s="237"/>
      <c r="AX31" s="237"/>
      <c r="AY31" s="237"/>
      <c r="AZ31" s="237"/>
      <c r="BA31" s="237"/>
      <c r="BB31" s="237"/>
      <c r="BC31" s="237"/>
      <c r="BD31" s="237"/>
      <c r="BE31" s="237"/>
      <c r="BF31" s="237"/>
      <c r="BG31" s="237"/>
      <c r="BH31" s="237"/>
      <c r="BI31" s="237"/>
      <c r="BJ31" s="237"/>
      <c r="BK31" s="237"/>
      <c r="BL31" s="237"/>
      <c r="BM31" s="237"/>
      <c r="BN31" s="237"/>
      <c r="BO31" s="237"/>
      <c r="BP31" s="237"/>
      <c r="BQ31" s="237"/>
      <c r="BR31" s="237"/>
      <c r="BS31" s="237"/>
      <c r="BT31" s="237"/>
      <c r="BU31" s="237"/>
      <c r="BV31" s="237"/>
      <c r="BW31" s="237"/>
      <c r="BX31" s="237"/>
      <c r="BY31" s="237"/>
      <c r="BZ31" s="760"/>
    </row>
    <row r="32" spans="1:78" x14ac:dyDescent="0.2">
      <c r="A32" s="225" t="s">
        <v>991</v>
      </c>
      <c r="B32" s="470">
        <v>0.125</v>
      </c>
      <c r="C32" s="471">
        <f>+Cant.!Y42</f>
        <v>0</v>
      </c>
      <c r="D32" s="472">
        <f t="shared" si="1"/>
        <v>0</v>
      </c>
      <c r="E32" s="471">
        <f>+Cant.!Z42</f>
        <v>0</v>
      </c>
      <c r="F32" s="473">
        <f t="shared" si="2"/>
        <v>0</v>
      </c>
      <c r="G32" s="474">
        <f>+Cant.!AA43</f>
        <v>0</v>
      </c>
      <c r="H32" s="472">
        <f t="shared" si="3"/>
        <v>0</v>
      </c>
      <c r="I32" s="471">
        <f>+Cant.!AB43</f>
        <v>0</v>
      </c>
      <c r="J32" s="473">
        <f t="shared" si="4"/>
        <v>0</v>
      </c>
      <c r="K32" s="471">
        <f>+Cant.!AC43</f>
        <v>0</v>
      </c>
      <c r="L32" s="473">
        <f t="shared" si="5"/>
        <v>0</v>
      </c>
      <c r="M32" s="470">
        <f>1/8</f>
        <v>0.125</v>
      </c>
      <c r="N32" s="471">
        <f>+Cant.!AF42</f>
        <v>0</v>
      </c>
      <c r="O32" s="472">
        <f t="shared" si="6"/>
        <v>0</v>
      </c>
      <c r="P32" s="471">
        <f>+Cant.!AG42</f>
        <v>0</v>
      </c>
      <c r="Q32" s="473">
        <f t="shared" si="7"/>
        <v>0</v>
      </c>
      <c r="R32" s="474">
        <f>+Cant.!AH43</f>
        <v>0</v>
      </c>
      <c r="S32" s="472">
        <f t="shared" si="8"/>
        <v>0</v>
      </c>
      <c r="T32" s="471">
        <f>+Cant.!AI43</f>
        <v>0</v>
      </c>
      <c r="U32" s="473">
        <f t="shared" si="9"/>
        <v>0</v>
      </c>
      <c r="V32" s="471">
        <f>+Cant.!AJ43</f>
        <v>0</v>
      </c>
      <c r="W32" s="473">
        <f t="shared" si="10"/>
        <v>0</v>
      </c>
      <c r="X32" s="474">
        <f t="shared" si="11"/>
        <v>0</v>
      </c>
      <c r="Y32" s="479">
        <f>1/12</f>
        <v>8.3333333333333329E-2</v>
      </c>
      <c r="Z32" s="476">
        <f t="shared" si="0"/>
        <v>0</v>
      </c>
      <c r="AA32" s="477">
        <v>2.2999999999999998</v>
      </c>
      <c r="AB32" s="478">
        <f t="shared" si="12"/>
        <v>0</v>
      </c>
      <c r="AE32" s="759"/>
      <c r="AF32" s="237"/>
      <c r="AG32" s="237"/>
      <c r="AH32" s="237"/>
      <c r="AI32" s="237"/>
      <c r="AJ32" s="237"/>
      <c r="AK32" s="237"/>
      <c r="AL32" s="237"/>
      <c r="AM32" s="237"/>
      <c r="AN32" s="237"/>
      <c r="AO32" s="237"/>
      <c r="AP32" s="237"/>
      <c r="AQ32" s="237"/>
      <c r="AR32" s="237"/>
      <c r="AS32" s="237"/>
      <c r="AT32" s="237"/>
      <c r="AU32" s="237"/>
      <c r="AV32" s="237"/>
      <c r="AW32" s="237"/>
      <c r="AX32" s="237"/>
      <c r="AY32" s="237"/>
      <c r="AZ32" s="237"/>
      <c r="BA32" s="237"/>
      <c r="BB32" s="237"/>
      <c r="BC32" s="237"/>
      <c r="BD32" s="237"/>
      <c r="BE32" s="237"/>
      <c r="BF32" s="237"/>
      <c r="BG32" s="237"/>
      <c r="BH32" s="237"/>
      <c r="BI32" s="237"/>
      <c r="BJ32" s="237"/>
      <c r="BK32" s="237"/>
      <c r="BL32" s="237"/>
      <c r="BM32" s="237"/>
      <c r="BN32" s="237"/>
      <c r="BO32" s="237"/>
      <c r="BP32" s="237"/>
      <c r="BQ32" s="237"/>
      <c r="BR32" s="237"/>
      <c r="BS32" s="237"/>
      <c r="BT32" s="237"/>
      <c r="BU32" s="237"/>
      <c r="BV32" s="237"/>
      <c r="BW32" s="237"/>
      <c r="BX32" s="237"/>
      <c r="BY32" s="237"/>
      <c r="BZ32" s="760"/>
    </row>
    <row r="33" spans="1:78" x14ac:dyDescent="0.2">
      <c r="A33" s="225" t="s">
        <v>528</v>
      </c>
      <c r="B33" s="470">
        <v>0.16666666666666666</v>
      </c>
      <c r="C33" s="471">
        <f>+Cant.!Y43</f>
        <v>0</v>
      </c>
      <c r="D33" s="472">
        <f t="shared" si="1"/>
        <v>0</v>
      </c>
      <c r="E33" s="471">
        <f>+Cant.!Z43</f>
        <v>0</v>
      </c>
      <c r="F33" s="473">
        <f t="shared" si="2"/>
        <v>0</v>
      </c>
      <c r="G33" s="474">
        <f>+Cant.!AA45</f>
        <v>0</v>
      </c>
      <c r="H33" s="472">
        <f t="shared" si="3"/>
        <v>0</v>
      </c>
      <c r="I33" s="471">
        <f>+Cant.!AB45</f>
        <v>0</v>
      </c>
      <c r="J33" s="473">
        <f t="shared" si="4"/>
        <v>0</v>
      </c>
      <c r="K33" s="471">
        <f>+Cant.!AC45</f>
        <v>0</v>
      </c>
      <c r="L33" s="473">
        <f t="shared" si="5"/>
        <v>0</v>
      </c>
      <c r="M33" s="470">
        <f>1/6</f>
        <v>0.16666666666666666</v>
      </c>
      <c r="N33" s="471">
        <f>+Cant.!AF43</f>
        <v>0</v>
      </c>
      <c r="O33" s="472">
        <f t="shared" si="6"/>
        <v>0</v>
      </c>
      <c r="P33" s="471">
        <f>+Cant.!AG43</f>
        <v>0</v>
      </c>
      <c r="Q33" s="473">
        <f t="shared" si="7"/>
        <v>0</v>
      </c>
      <c r="R33" s="474">
        <f>+Cant.!AH45</f>
        <v>0</v>
      </c>
      <c r="S33" s="472">
        <f t="shared" si="8"/>
        <v>0</v>
      </c>
      <c r="T33" s="471">
        <f>+Cant.!AI45</f>
        <v>0</v>
      </c>
      <c r="U33" s="473">
        <f t="shared" si="9"/>
        <v>0</v>
      </c>
      <c r="V33" s="471">
        <f>+Cant.!AJ45</f>
        <v>0</v>
      </c>
      <c r="W33" s="473">
        <f t="shared" si="10"/>
        <v>0</v>
      </c>
      <c r="X33" s="474">
        <f t="shared" si="11"/>
        <v>0</v>
      </c>
      <c r="Y33" s="479">
        <f>1/9</f>
        <v>0.1111111111111111</v>
      </c>
      <c r="Z33" s="476">
        <f t="shared" si="0"/>
        <v>0</v>
      </c>
      <c r="AA33" s="477">
        <v>2.58</v>
      </c>
      <c r="AB33" s="478">
        <f t="shared" si="12"/>
        <v>0</v>
      </c>
      <c r="AE33" s="759"/>
      <c r="AF33" s="237"/>
      <c r="AG33" s="237"/>
      <c r="AH33" s="237"/>
      <c r="AI33" s="237"/>
      <c r="AJ33" s="237"/>
      <c r="AK33" s="237"/>
      <c r="AL33" s="237"/>
      <c r="AM33" s="237"/>
      <c r="AN33" s="237"/>
      <c r="AO33" s="237"/>
      <c r="AP33" s="237"/>
      <c r="AQ33" s="237"/>
      <c r="AR33" s="237"/>
      <c r="AS33" s="237"/>
      <c r="AT33" s="237"/>
      <c r="AU33" s="237"/>
      <c r="AV33" s="237"/>
      <c r="AW33" s="237"/>
      <c r="AX33" s="237"/>
      <c r="AY33" s="237"/>
      <c r="AZ33" s="237"/>
      <c r="BA33" s="237"/>
      <c r="BB33" s="237"/>
      <c r="BC33" s="237"/>
      <c r="BD33" s="237"/>
      <c r="BE33" s="237"/>
      <c r="BF33" s="237"/>
      <c r="BG33" s="237"/>
      <c r="BH33" s="237"/>
      <c r="BI33" s="237"/>
      <c r="BJ33" s="237"/>
      <c r="BK33" s="237"/>
      <c r="BL33" s="237"/>
      <c r="BM33" s="237"/>
      <c r="BN33" s="237"/>
      <c r="BO33" s="237"/>
      <c r="BP33" s="237"/>
      <c r="BQ33" s="237"/>
      <c r="BR33" s="237"/>
      <c r="BS33" s="237"/>
      <c r="BT33" s="237"/>
      <c r="BU33" s="237"/>
      <c r="BV33" s="237"/>
      <c r="BW33" s="237"/>
      <c r="BX33" s="237"/>
      <c r="BY33" s="237"/>
      <c r="BZ33" s="760"/>
    </row>
    <row r="34" spans="1:78" x14ac:dyDescent="0.2">
      <c r="A34" s="225" t="s">
        <v>530</v>
      </c>
      <c r="B34" s="270">
        <v>0.2</v>
      </c>
      <c r="C34" s="471">
        <f>+Cant.!Y44</f>
        <v>0</v>
      </c>
      <c r="D34" s="472">
        <f t="shared" si="1"/>
        <v>0</v>
      </c>
      <c r="E34" s="471">
        <f>+Cant.!Z44</f>
        <v>0</v>
      </c>
      <c r="F34" s="473">
        <f t="shared" si="2"/>
        <v>0</v>
      </c>
      <c r="G34" s="474">
        <f>+Cant.!AA46</f>
        <v>0</v>
      </c>
      <c r="H34" s="472">
        <f t="shared" si="3"/>
        <v>0</v>
      </c>
      <c r="I34" s="471">
        <f>+Cant.!AB46</f>
        <v>0</v>
      </c>
      <c r="J34" s="473">
        <f t="shared" si="4"/>
        <v>0</v>
      </c>
      <c r="K34" s="471">
        <f>+Cant.!AC46</f>
        <v>0</v>
      </c>
      <c r="L34" s="473">
        <f t="shared" si="5"/>
        <v>0</v>
      </c>
      <c r="M34" s="270">
        <f>1/4</f>
        <v>0.25</v>
      </c>
      <c r="N34" s="471">
        <f>+Cant.!AF44</f>
        <v>0</v>
      </c>
      <c r="O34" s="472">
        <f t="shared" si="6"/>
        <v>0</v>
      </c>
      <c r="P34" s="471">
        <f>+Cant.!AG44</f>
        <v>0</v>
      </c>
      <c r="Q34" s="473">
        <f t="shared" si="7"/>
        <v>0</v>
      </c>
      <c r="R34" s="474">
        <f>+Cant.!AH46</f>
        <v>0</v>
      </c>
      <c r="S34" s="472">
        <f t="shared" si="8"/>
        <v>0</v>
      </c>
      <c r="T34" s="471">
        <f>+Cant.!AI46</f>
        <v>0</v>
      </c>
      <c r="U34" s="473">
        <f t="shared" si="9"/>
        <v>0</v>
      </c>
      <c r="V34" s="471">
        <f>+Cant.!AJ46</f>
        <v>0</v>
      </c>
      <c r="W34" s="473">
        <f t="shared" si="10"/>
        <v>0</v>
      </c>
      <c r="X34" s="474">
        <f t="shared" si="11"/>
        <v>0</v>
      </c>
      <c r="Y34" s="479">
        <f>1/8</f>
        <v>0.125</v>
      </c>
      <c r="Z34" s="476">
        <f t="shared" si="0"/>
        <v>0</v>
      </c>
      <c r="AA34" s="477">
        <v>2.86</v>
      </c>
      <c r="AB34" s="478">
        <f t="shared" si="12"/>
        <v>0</v>
      </c>
      <c r="AE34" s="759"/>
      <c r="AF34" s="237"/>
      <c r="AG34" s="237"/>
      <c r="AH34" s="237"/>
      <c r="AI34" s="237"/>
      <c r="AJ34" s="237"/>
      <c r="AK34" s="237"/>
      <c r="AL34" s="237"/>
      <c r="AM34" s="237"/>
      <c r="AN34" s="237"/>
      <c r="AO34" s="237"/>
      <c r="AP34" s="237"/>
      <c r="AQ34" s="237"/>
      <c r="AR34" s="237"/>
      <c r="AS34" s="237"/>
      <c r="AT34" s="237"/>
      <c r="AU34" s="237"/>
      <c r="AV34" s="237"/>
      <c r="AW34" s="237"/>
      <c r="AX34" s="237"/>
      <c r="AY34" s="237"/>
      <c r="AZ34" s="237"/>
      <c r="BA34" s="237"/>
      <c r="BB34" s="237"/>
      <c r="BC34" s="237"/>
      <c r="BD34" s="237"/>
      <c r="BE34" s="237"/>
      <c r="BF34" s="237"/>
      <c r="BG34" s="237"/>
      <c r="BH34" s="237"/>
      <c r="BI34" s="237"/>
      <c r="BJ34" s="237"/>
      <c r="BK34" s="237"/>
      <c r="BL34" s="237"/>
      <c r="BM34" s="237"/>
      <c r="BN34" s="237"/>
      <c r="BO34" s="237"/>
      <c r="BP34" s="237"/>
      <c r="BQ34" s="237"/>
      <c r="BR34" s="237"/>
      <c r="BS34" s="237"/>
      <c r="BT34" s="237"/>
      <c r="BU34" s="237"/>
      <c r="BV34" s="237"/>
      <c r="BW34" s="237"/>
      <c r="BX34" s="237"/>
      <c r="BY34" s="237"/>
      <c r="BZ34" s="760"/>
    </row>
    <row r="35" spans="1:78" x14ac:dyDescent="0.2">
      <c r="A35" s="225" t="s">
        <v>531</v>
      </c>
      <c r="B35" s="270">
        <f>1/4</f>
        <v>0.25</v>
      </c>
      <c r="C35" s="471">
        <f>+Cant.!Y45</f>
        <v>0</v>
      </c>
      <c r="D35" s="472">
        <f t="shared" si="1"/>
        <v>0</v>
      </c>
      <c r="E35" s="471">
        <f>+Cant.!Z45</f>
        <v>0</v>
      </c>
      <c r="F35" s="473">
        <f t="shared" si="2"/>
        <v>0</v>
      </c>
      <c r="G35" s="474">
        <f>+Cant.!AA47</f>
        <v>0</v>
      </c>
      <c r="H35" s="472">
        <f t="shared" si="3"/>
        <v>0</v>
      </c>
      <c r="I35" s="471">
        <f>+Cant.!AB47</f>
        <v>0</v>
      </c>
      <c r="J35" s="473">
        <f t="shared" si="4"/>
        <v>0</v>
      </c>
      <c r="K35" s="471">
        <f>+Cant.!AC47</f>
        <v>0</v>
      </c>
      <c r="L35" s="473">
        <f t="shared" si="5"/>
        <v>0</v>
      </c>
      <c r="M35" s="270">
        <f>1/4</f>
        <v>0.25</v>
      </c>
      <c r="N35" s="471">
        <f>+Cant.!AF45</f>
        <v>0</v>
      </c>
      <c r="O35" s="472">
        <f t="shared" si="6"/>
        <v>0</v>
      </c>
      <c r="P35" s="471">
        <f>+Cant.!AG45</f>
        <v>0</v>
      </c>
      <c r="Q35" s="473">
        <f t="shared" si="7"/>
        <v>0</v>
      </c>
      <c r="R35" s="474">
        <f>+Cant.!AH47</f>
        <v>0</v>
      </c>
      <c r="S35" s="472">
        <f t="shared" si="8"/>
        <v>0</v>
      </c>
      <c r="T35" s="471">
        <f>+Cant.!AI47</f>
        <v>0</v>
      </c>
      <c r="U35" s="473">
        <f t="shared" si="9"/>
        <v>0</v>
      </c>
      <c r="V35" s="471">
        <f>+Cant.!AJ47</f>
        <v>0</v>
      </c>
      <c r="W35" s="473">
        <f t="shared" si="10"/>
        <v>0</v>
      </c>
      <c r="X35" s="474">
        <f t="shared" si="11"/>
        <v>0</v>
      </c>
      <c r="Y35" s="475">
        <f>1/6</f>
        <v>0.16666666666666666</v>
      </c>
      <c r="Z35" s="476">
        <f t="shared" si="0"/>
        <v>0</v>
      </c>
      <c r="AA35" s="477">
        <v>3.42</v>
      </c>
      <c r="AB35" s="478">
        <f t="shared" si="12"/>
        <v>0</v>
      </c>
      <c r="AE35" s="759"/>
      <c r="AF35" s="237"/>
      <c r="AG35" s="237"/>
      <c r="AH35" s="237"/>
      <c r="AI35" s="237"/>
      <c r="AJ35" s="237"/>
      <c r="AK35" s="237"/>
      <c r="AL35" s="237"/>
      <c r="AM35" s="237"/>
      <c r="AN35" s="237"/>
      <c r="AO35" s="237"/>
      <c r="AP35" s="237"/>
      <c r="AQ35" s="237"/>
      <c r="AR35" s="237"/>
      <c r="AS35" s="237"/>
      <c r="AT35" s="237"/>
      <c r="AU35" s="237"/>
      <c r="AV35" s="237"/>
      <c r="AW35" s="237"/>
      <c r="AX35" s="237"/>
      <c r="AY35" s="237"/>
      <c r="AZ35" s="237"/>
      <c r="BA35" s="237"/>
      <c r="BB35" s="237"/>
      <c r="BC35" s="237"/>
      <c r="BD35" s="237"/>
      <c r="BE35" s="237"/>
      <c r="BF35" s="237"/>
      <c r="BG35" s="237"/>
      <c r="BH35" s="237"/>
      <c r="BI35" s="237"/>
      <c r="BJ35" s="237"/>
      <c r="BK35" s="237"/>
      <c r="BL35" s="237"/>
      <c r="BM35" s="237"/>
      <c r="BN35" s="237"/>
      <c r="BO35" s="237"/>
      <c r="BP35" s="237"/>
      <c r="BQ35" s="237"/>
      <c r="BR35" s="237"/>
      <c r="BS35" s="237"/>
      <c r="BT35" s="237"/>
      <c r="BU35" s="237"/>
      <c r="BV35" s="237"/>
      <c r="BW35" s="237"/>
      <c r="BX35" s="237"/>
      <c r="BY35" s="237"/>
      <c r="BZ35" s="760"/>
    </row>
    <row r="36" spans="1:78" x14ac:dyDescent="0.2">
      <c r="A36" s="225" t="s">
        <v>533</v>
      </c>
      <c r="B36" s="270">
        <f>1/4</f>
        <v>0.25</v>
      </c>
      <c r="C36" s="471">
        <f>+Cant.!Y46</f>
        <v>0</v>
      </c>
      <c r="D36" s="472">
        <f t="shared" si="1"/>
        <v>0</v>
      </c>
      <c r="E36" s="471">
        <f>+Cant.!Z46</f>
        <v>0</v>
      </c>
      <c r="F36" s="473">
        <f t="shared" si="2"/>
        <v>0</v>
      </c>
      <c r="G36" s="474">
        <f>+Cant.!AA48</f>
        <v>0</v>
      </c>
      <c r="H36" s="472">
        <f t="shared" si="3"/>
        <v>0</v>
      </c>
      <c r="I36" s="471">
        <f>+Cant.!AB48</f>
        <v>0</v>
      </c>
      <c r="J36" s="473">
        <f t="shared" si="4"/>
        <v>0</v>
      </c>
      <c r="K36" s="471">
        <f>+Cant.!AC48</f>
        <v>0</v>
      </c>
      <c r="L36" s="473">
        <f t="shared" si="5"/>
        <v>0</v>
      </c>
      <c r="M36" s="270">
        <f>1/4</f>
        <v>0.25</v>
      </c>
      <c r="N36" s="471">
        <f>+Cant.!AF46</f>
        <v>0</v>
      </c>
      <c r="O36" s="472">
        <f t="shared" si="6"/>
        <v>0</v>
      </c>
      <c r="P36" s="471">
        <f>+Cant.!AG46</f>
        <v>0</v>
      </c>
      <c r="Q36" s="473">
        <f t="shared" si="7"/>
        <v>0</v>
      </c>
      <c r="R36" s="474">
        <f>+Cant.!AH48</f>
        <v>0</v>
      </c>
      <c r="S36" s="472">
        <f t="shared" si="8"/>
        <v>0</v>
      </c>
      <c r="T36" s="471">
        <f>+Cant.!AI48</f>
        <v>0</v>
      </c>
      <c r="U36" s="473">
        <f t="shared" si="9"/>
        <v>0</v>
      </c>
      <c r="V36" s="471">
        <f>+Cant.!AJ48</f>
        <v>0</v>
      </c>
      <c r="W36" s="473">
        <f t="shared" si="10"/>
        <v>0</v>
      </c>
      <c r="X36" s="474">
        <f t="shared" si="11"/>
        <v>0</v>
      </c>
      <c r="Y36" s="475">
        <f>1/6</f>
        <v>0.16666666666666666</v>
      </c>
      <c r="Z36" s="476">
        <f t="shared" si="0"/>
        <v>0</v>
      </c>
      <c r="AA36" s="477">
        <v>3.58</v>
      </c>
      <c r="AB36" s="478">
        <f t="shared" si="12"/>
        <v>0</v>
      </c>
      <c r="AE36" s="759"/>
      <c r="AF36" s="237"/>
      <c r="AG36" s="237"/>
      <c r="AH36" s="237"/>
      <c r="AI36" s="237"/>
      <c r="AJ36" s="237"/>
      <c r="AK36" s="237"/>
      <c r="AL36" s="237"/>
      <c r="AM36" s="237"/>
      <c r="AN36" s="237"/>
      <c r="AO36" s="237"/>
      <c r="AP36" s="237"/>
      <c r="AQ36" s="237"/>
      <c r="AR36" s="237"/>
      <c r="AS36" s="237"/>
      <c r="AT36" s="237"/>
      <c r="AU36" s="237"/>
      <c r="AV36" s="237"/>
      <c r="AW36" s="237"/>
      <c r="AX36" s="237"/>
      <c r="AY36" s="237"/>
      <c r="AZ36" s="237"/>
      <c r="BA36" s="237"/>
      <c r="BB36" s="237"/>
      <c r="BC36" s="237"/>
      <c r="BD36" s="237"/>
      <c r="BE36" s="237"/>
      <c r="BF36" s="237"/>
      <c r="BG36" s="237"/>
      <c r="BH36" s="237"/>
      <c r="BI36" s="237"/>
      <c r="BJ36" s="237"/>
      <c r="BK36" s="237"/>
      <c r="BL36" s="237"/>
      <c r="BM36" s="237"/>
      <c r="BN36" s="237"/>
      <c r="BO36" s="237"/>
      <c r="BP36" s="237"/>
      <c r="BQ36" s="237"/>
      <c r="BR36" s="237"/>
      <c r="BS36" s="237"/>
      <c r="BT36" s="237"/>
      <c r="BU36" s="237"/>
      <c r="BV36" s="237"/>
      <c r="BW36" s="237"/>
      <c r="BX36" s="237"/>
      <c r="BY36" s="237"/>
      <c r="BZ36" s="760"/>
    </row>
    <row r="37" spans="1:78" x14ac:dyDescent="0.2">
      <c r="A37" s="225" t="s">
        <v>535</v>
      </c>
      <c r="B37" s="470">
        <f t="shared" ref="B37:B43" si="13">1/2</f>
        <v>0.5</v>
      </c>
      <c r="C37" s="471">
        <f>+Cant.!Y47</f>
        <v>0</v>
      </c>
      <c r="D37" s="472">
        <f t="shared" si="1"/>
        <v>0</v>
      </c>
      <c r="E37" s="471">
        <f>+Cant.!Z47</f>
        <v>0</v>
      </c>
      <c r="F37" s="473">
        <f t="shared" si="2"/>
        <v>0</v>
      </c>
      <c r="G37" s="474">
        <f>+Cant.!AA49</f>
        <v>0</v>
      </c>
      <c r="H37" s="472">
        <f t="shared" si="3"/>
        <v>0</v>
      </c>
      <c r="I37" s="471">
        <f>+Cant.!AB49</f>
        <v>0</v>
      </c>
      <c r="J37" s="473">
        <f t="shared" si="4"/>
        <v>0</v>
      </c>
      <c r="K37" s="471">
        <f>+Cant.!AC49</f>
        <v>0</v>
      </c>
      <c r="L37" s="473">
        <f t="shared" si="5"/>
        <v>0</v>
      </c>
      <c r="M37" s="470">
        <f t="shared" ref="M37:M43" si="14">1/2</f>
        <v>0.5</v>
      </c>
      <c r="N37" s="471">
        <f>+Cant.!AF47</f>
        <v>0</v>
      </c>
      <c r="O37" s="472">
        <f t="shared" si="6"/>
        <v>0</v>
      </c>
      <c r="P37" s="471">
        <f>+Cant.!AG47</f>
        <v>0</v>
      </c>
      <c r="Q37" s="473">
        <f t="shared" si="7"/>
        <v>0</v>
      </c>
      <c r="R37" s="474">
        <f>+Cant.!AH49</f>
        <v>0</v>
      </c>
      <c r="S37" s="472">
        <f t="shared" si="8"/>
        <v>0</v>
      </c>
      <c r="T37" s="471">
        <f>+Cant.!AI49</f>
        <v>0</v>
      </c>
      <c r="U37" s="473">
        <f t="shared" si="9"/>
        <v>0</v>
      </c>
      <c r="V37" s="471">
        <f>+Cant.!AJ49</f>
        <v>0</v>
      </c>
      <c r="W37" s="473">
        <f t="shared" si="10"/>
        <v>0</v>
      </c>
      <c r="X37" s="474">
        <f t="shared" si="11"/>
        <v>0</v>
      </c>
      <c r="Y37" s="475">
        <f t="shared" ref="Y37:Y43" si="15">1/4</f>
        <v>0.25</v>
      </c>
      <c r="Z37" s="476">
        <f t="shared" si="0"/>
        <v>0</v>
      </c>
      <c r="AA37" s="477">
        <v>3.7</v>
      </c>
      <c r="AB37" s="478">
        <f t="shared" si="12"/>
        <v>0</v>
      </c>
      <c r="AE37" s="759"/>
      <c r="AF37" s="237"/>
      <c r="AG37" s="237"/>
      <c r="AH37" s="237"/>
      <c r="AI37" s="237"/>
      <c r="AJ37" s="237"/>
      <c r="AK37" s="237"/>
      <c r="AL37" s="237"/>
      <c r="AM37" s="237"/>
      <c r="AN37" s="237"/>
      <c r="AO37" s="237"/>
      <c r="AP37" s="237"/>
      <c r="AQ37" s="237"/>
      <c r="AR37" s="237"/>
      <c r="AS37" s="237"/>
      <c r="AT37" s="237"/>
      <c r="AU37" s="237"/>
      <c r="AV37" s="237"/>
      <c r="AW37" s="237"/>
      <c r="AX37" s="237"/>
      <c r="AY37" s="237"/>
      <c r="AZ37" s="237"/>
      <c r="BA37" s="237"/>
      <c r="BB37" s="237"/>
      <c r="BC37" s="237"/>
      <c r="BD37" s="237"/>
      <c r="BE37" s="237"/>
      <c r="BF37" s="237"/>
      <c r="BG37" s="237"/>
      <c r="BH37" s="237"/>
      <c r="BI37" s="237"/>
      <c r="BJ37" s="237"/>
      <c r="BK37" s="237"/>
      <c r="BL37" s="237"/>
      <c r="BM37" s="237"/>
      <c r="BN37" s="237"/>
      <c r="BO37" s="237"/>
      <c r="BP37" s="237"/>
      <c r="BQ37" s="237"/>
      <c r="BR37" s="237"/>
      <c r="BS37" s="237"/>
      <c r="BT37" s="237"/>
      <c r="BU37" s="237"/>
      <c r="BV37" s="237"/>
      <c r="BW37" s="237"/>
      <c r="BX37" s="237"/>
      <c r="BY37" s="237"/>
      <c r="BZ37" s="760"/>
    </row>
    <row r="38" spans="1:78" x14ac:dyDescent="0.2">
      <c r="A38" s="225" t="s">
        <v>537</v>
      </c>
      <c r="B38" s="470">
        <f t="shared" si="13"/>
        <v>0.5</v>
      </c>
      <c r="C38" s="471">
        <f>+Cant.!Y48</f>
        <v>0</v>
      </c>
      <c r="D38" s="472">
        <f t="shared" si="1"/>
        <v>0</v>
      </c>
      <c r="E38" s="471">
        <f>+Cant.!Z48</f>
        <v>0</v>
      </c>
      <c r="F38" s="473">
        <f t="shared" si="2"/>
        <v>0</v>
      </c>
      <c r="G38" s="474">
        <f>+Cant.!AA50</f>
        <v>0</v>
      </c>
      <c r="H38" s="472">
        <f t="shared" si="3"/>
        <v>0</v>
      </c>
      <c r="I38" s="471">
        <f>+Cant.!AB50</f>
        <v>0</v>
      </c>
      <c r="J38" s="473">
        <f t="shared" si="4"/>
        <v>0</v>
      </c>
      <c r="K38" s="471">
        <f>+Cant.!AC50</f>
        <v>0</v>
      </c>
      <c r="L38" s="473">
        <f t="shared" si="5"/>
        <v>0</v>
      </c>
      <c r="M38" s="470">
        <f t="shared" si="14"/>
        <v>0.5</v>
      </c>
      <c r="N38" s="471">
        <f>+Cant.!AF48</f>
        <v>0</v>
      </c>
      <c r="O38" s="472">
        <f t="shared" si="6"/>
        <v>0</v>
      </c>
      <c r="P38" s="471">
        <f>+Cant.!AG48</f>
        <v>0</v>
      </c>
      <c r="Q38" s="473">
        <f t="shared" si="7"/>
        <v>0</v>
      </c>
      <c r="R38" s="474">
        <f>+Cant.!AH50</f>
        <v>0</v>
      </c>
      <c r="S38" s="472">
        <f t="shared" si="8"/>
        <v>0</v>
      </c>
      <c r="T38" s="471">
        <f>+Cant.!AI50</f>
        <v>0</v>
      </c>
      <c r="U38" s="473">
        <f t="shared" si="9"/>
        <v>0</v>
      </c>
      <c r="V38" s="471">
        <f>+Cant.!AJ50</f>
        <v>0</v>
      </c>
      <c r="W38" s="473">
        <f t="shared" si="10"/>
        <v>0</v>
      </c>
      <c r="X38" s="474">
        <f t="shared" si="11"/>
        <v>0</v>
      </c>
      <c r="Y38" s="475">
        <f t="shared" si="15"/>
        <v>0.25</v>
      </c>
      <c r="Z38" s="476">
        <f t="shared" si="0"/>
        <v>0</v>
      </c>
      <c r="AA38" s="477">
        <v>3.85</v>
      </c>
      <c r="AB38" s="478">
        <f t="shared" si="12"/>
        <v>0</v>
      </c>
      <c r="AE38" s="759"/>
      <c r="AF38" s="237"/>
      <c r="AG38" s="237"/>
      <c r="AH38" s="237"/>
      <c r="AI38" s="237"/>
      <c r="AJ38" s="237"/>
      <c r="AK38" s="237"/>
      <c r="AL38" s="237"/>
      <c r="AM38" s="237"/>
      <c r="AN38" s="237"/>
      <c r="AO38" s="237"/>
      <c r="AP38" s="237"/>
      <c r="AQ38" s="237"/>
      <c r="AR38" s="237"/>
      <c r="AS38" s="237"/>
      <c r="AT38" s="237"/>
      <c r="AU38" s="237"/>
      <c r="AV38" s="237"/>
      <c r="AW38" s="237"/>
      <c r="AX38" s="237"/>
      <c r="AY38" s="237"/>
      <c r="AZ38" s="237"/>
      <c r="BA38" s="237"/>
      <c r="BB38" s="237"/>
      <c r="BC38" s="237"/>
      <c r="BD38" s="237"/>
      <c r="BE38" s="237"/>
      <c r="BF38" s="237"/>
      <c r="BG38" s="237"/>
      <c r="BH38" s="237"/>
      <c r="BI38" s="237"/>
      <c r="BJ38" s="237"/>
      <c r="BK38" s="237"/>
      <c r="BL38" s="237"/>
      <c r="BM38" s="237"/>
      <c r="BN38" s="237"/>
      <c r="BO38" s="237"/>
      <c r="BP38" s="237"/>
      <c r="BQ38" s="237"/>
      <c r="BR38" s="237"/>
      <c r="BS38" s="237"/>
      <c r="BT38" s="237"/>
      <c r="BU38" s="237"/>
      <c r="BV38" s="237"/>
      <c r="BW38" s="237"/>
      <c r="BX38" s="237"/>
      <c r="BY38" s="237"/>
      <c r="BZ38" s="760"/>
    </row>
    <row r="39" spans="1:78" x14ac:dyDescent="0.2">
      <c r="A39" s="225" t="s">
        <v>539</v>
      </c>
      <c r="B39" s="470">
        <f t="shared" si="13"/>
        <v>0.5</v>
      </c>
      <c r="C39" s="471">
        <f>+Cant.!Y49</f>
        <v>0</v>
      </c>
      <c r="D39" s="472">
        <f t="shared" si="1"/>
        <v>0</v>
      </c>
      <c r="E39" s="471">
        <f>+Cant.!Z49</f>
        <v>0</v>
      </c>
      <c r="F39" s="473">
        <f t="shared" si="2"/>
        <v>0</v>
      </c>
      <c r="G39" s="474">
        <f>+Cant.!AA51</f>
        <v>0</v>
      </c>
      <c r="H39" s="472">
        <f t="shared" si="3"/>
        <v>0</v>
      </c>
      <c r="I39" s="471">
        <f>+Cant.!AB51</f>
        <v>0</v>
      </c>
      <c r="J39" s="473">
        <f t="shared" si="4"/>
        <v>0</v>
      </c>
      <c r="K39" s="471">
        <f>+Cant.!AC51</f>
        <v>0</v>
      </c>
      <c r="L39" s="473">
        <f t="shared" si="5"/>
        <v>0</v>
      </c>
      <c r="M39" s="470">
        <f t="shared" si="14"/>
        <v>0.5</v>
      </c>
      <c r="N39" s="471">
        <f>+Cant.!AF49</f>
        <v>0</v>
      </c>
      <c r="O39" s="472">
        <f t="shared" si="6"/>
        <v>0</v>
      </c>
      <c r="P39" s="471">
        <f>+Cant.!AG49</f>
        <v>0</v>
      </c>
      <c r="Q39" s="473">
        <f t="shared" si="7"/>
        <v>0</v>
      </c>
      <c r="R39" s="474">
        <f>+Cant.!AH51</f>
        <v>0</v>
      </c>
      <c r="S39" s="472">
        <f t="shared" si="8"/>
        <v>0</v>
      </c>
      <c r="T39" s="471">
        <f>+Cant.!AI51</f>
        <v>0</v>
      </c>
      <c r="U39" s="473">
        <f t="shared" si="9"/>
        <v>0</v>
      </c>
      <c r="V39" s="471">
        <f>+Cant.!AJ51</f>
        <v>0</v>
      </c>
      <c r="W39" s="473">
        <f t="shared" si="10"/>
        <v>0</v>
      </c>
      <c r="X39" s="474">
        <f t="shared" si="11"/>
        <v>0</v>
      </c>
      <c r="Y39" s="475">
        <f t="shared" si="15"/>
        <v>0.25</v>
      </c>
      <c r="Z39" s="476">
        <f t="shared" si="0"/>
        <v>0</v>
      </c>
      <c r="AA39" s="477">
        <v>3.98</v>
      </c>
      <c r="AB39" s="478">
        <f t="shared" si="12"/>
        <v>0</v>
      </c>
      <c r="AE39" s="759"/>
      <c r="AF39" s="237"/>
      <c r="AG39" s="237"/>
      <c r="AH39" s="237"/>
      <c r="AI39" s="237"/>
      <c r="AJ39" s="237"/>
      <c r="AK39" s="237"/>
      <c r="AL39" s="237"/>
      <c r="AM39" s="237"/>
      <c r="AN39" s="237"/>
      <c r="AO39" s="237"/>
      <c r="AP39" s="237"/>
      <c r="AQ39" s="237"/>
      <c r="AR39" s="237"/>
      <c r="AS39" s="237"/>
      <c r="AT39" s="237"/>
      <c r="AU39" s="237"/>
      <c r="AV39" s="237"/>
      <c r="AW39" s="237"/>
      <c r="AX39" s="237"/>
      <c r="AY39" s="237"/>
      <c r="AZ39" s="237"/>
      <c r="BA39" s="237"/>
      <c r="BB39" s="237"/>
      <c r="BC39" s="237"/>
      <c r="BD39" s="237"/>
      <c r="BE39" s="237"/>
      <c r="BF39" s="237"/>
      <c r="BG39" s="237"/>
      <c r="BH39" s="237"/>
      <c r="BI39" s="237"/>
      <c r="BJ39" s="237"/>
      <c r="BK39" s="237"/>
      <c r="BL39" s="237"/>
      <c r="BM39" s="237"/>
      <c r="BN39" s="237"/>
      <c r="BO39" s="237"/>
      <c r="BP39" s="237"/>
      <c r="BQ39" s="237"/>
      <c r="BR39" s="237"/>
      <c r="BS39" s="237"/>
      <c r="BT39" s="237"/>
      <c r="BU39" s="237"/>
      <c r="BV39" s="237"/>
      <c r="BW39" s="237"/>
      <c r="BX39" s="237"/>
      <c r="BY39" s="237"/>
      <c r="BZ39" s="760"/>
    </row>
    <row r="40" spans="1:78" x14ac:dyDescent="0.2">
      <c r="A40" s="225" t="s">
        <v>540</v>
      </c>
      <c r="B40" s="470">
        <v>0.5</v>
      </c>
      <c r="C40" s="471">
        <f>+Cant.!Y50</f>
        <v>0</v>
      </c>
      <c r="D40" s="472">
        <f t="shared" si="1"/>
        <v>0</v>
      </c>
      <c r="E40" s="471">
        <f>+Cant.!Z50</f>
        <v>0</v>
      </c>
      <c r="F40" s="473">
        <f t="shared" si="2"/>
        <v>0</v>
      </c>
      <c r="G40" s="474">
        <f>+Cant.!AA52</f>
        <v>0</v>
      </c>
      <c r="H40" s="472">
        <f t="shared" si="3"/>
        <v>0</v>
      </c>
      <c r="I40" s="471">
        <f>+Cant.!AB52</f>
        <v>0</v>
      </c>
      <c r="J40" s="473">
        <f t="shared" si="4"/>
        <v>0</v>
      </c>
      <c r="K40" s="471">
        <f>+Cant.!AC52</f>
        <v>0</v>
      </c>
      <c r="L40" s="473">
        <f t="shared" si="5"/>
        <v>0</v>
      </c>
      <c r="M40" s="470">
        <f t="shared" si="14"/>
        <v>0.5</v>
      </c>
      <c r="N40" s="471">
        <f>+Cant.!AF50</f>
        <v>0</v>
      </c>
      <c r="O40" s="472">
        <f t="shared" si="6"/>
        <v>0</v>
      </c>
      <c r="P40" s="471">
        <f>+Cant.!AG50</f>
        <v>0</v>
      </c>
      <c r="Q40" s="473">
        <f t="shared" si="7"/>
        <v>0</v>
      </c>
      <c r="R40" s="474">
        <f>+Cant.!AH52</f>
        <v>0</v>
      </c>
      <c r="S40" s="472">
        <f t="shared" si="8"/>
        <v>0</v>
      </c>
      <c r="T40" s="471">
        <f>+Cant.!AI52</f>
        <v>0</v>
      </c>
      <c r="U40" s="473">
        <f t="shared" si="9"/>
        <v>0</v>
      </c>
      <c r="V40" s="471">
        <f>+Cant.!AJ52</f>
        <v>0</v>
      </c>
      <c r="W40" s="473">
        <f t="shared" si="10"/>
        <v>0</v>
      </c>
      <c r="X40" s="474">
        <f t="shared" si="11"/>
        <v>0</v>
      </c>
      <c r="Y40" s="475">
        <f t="shared" si="15"/>
        <v>0.25</v>
      </c>
      <c r="Z40" s="476">
        <f t="shared" si="0"/>
        <v>0</v>
      </c>
      <c r="AA40" s="477">
        <v>4.13</v>
      </c>
      <c r="AB40" s="478">
        <f t="shared" si="12"/>
        <v>0</v>
      </c>
      <c r="AE40" s="759"/>
      <c r="AF40" s="237"/>
      <c r="AG40" s="237"/>
      <c r="AH40" s="237"/>
      <c r="AI40" s="237"/>
      <c r="AJ40" s="237"/>
      <c r="AK40" s="237"/>
      <c r="AL40" s="237"/>
      <c r="AM40" s="237"/>
      <c r="AN40" s="237"/>
      <c r="AO40" s="237"/>
      <c r="AP40" s="237"/>
      <c r="AQ40" s="237"/>
      <c r="AR40" s="237"/>
      <c r="AS40" s="237"/>
      <c r="AT40" s="237"/>
      <c r="AU40" s="237"/>
      <c r="AV40" s="237"/>
      <c r="AW40" s="237"/>
      <c r="AX40" s="237"/>
      <c r="AY40" s="237"/>
      <c r="AZ40" s="237"/>
      <c r="BA40" s="237"/>
      <c r="BB40" s="237"/>
      <c r="BC40" s="237"/>
      <c r="BD40" s="237"/>
      <c r="BE40" s="237"/>
      <c r="BF40" s="237"/>
      <c r="BG40" s="237"/>
      <c r="BH40" s="237"/>
      <c r="BI40" s="237"/>
      <c r="BJ40" s="237"/>
      <c r="BK40" s="237"/>
      <c r="BL40" s="237"/>
      <c r="BM40" s="237"/>
      <c r="BN40" s="237"/>
      <c r="BO40" s="237"/>
      <c r="BP40" s="237"/>
      <c r="BQ40" s="237"/>
      <c r="BR40" s="237"/>
      <c r="BS40" s="237"/>
      <c r="BT40" s="237"/>
      <c r="BU40" s="237"/>
      <c r="BV40" s="237"/>
      <c r="BW40" s="237"/>
      <c r="BX40" s="237"/>
      <c r="BY40" s="237"/>
      <c r="BZ40" s="760"/>
    </row>
    <row r="41" spans="1:78" x14ac:dyDescent="0.2">
      <c r="A41" s="225" t="s">
        <v>541</v>
      </c>
      <c r="B41" s="470">
        <f t="shared" si="13"/>
        <v>0.5</v>
      </c>
      <c r="C41" s="471">
        <f>+Cant.!Y51</f>
        <v>0</v>
      </c>
      <c r="D41" s="472">
        <f t="shared" si="1"/>
        <v>0</v>
      </c>
      <c r="E41" s="471">
        <f>+Cant.!Z51</f>
        <v>0</v>
      </c>
      <c r="F41" s="473">
        <f t="shared" si="2"/>
        <v>0</v>
      </c>
      <c r="G41" s="474">
        <f>+Cant.!AA53</f>
        <v>0</v>
      </c>
      <c r="H41" s="472">
        <f t="shared" si="3"/>
        <v>0</v>
      </c>
      <c r="I41" s="471">
        <f>+Cant.!AB53</f>
        <v>0</v>
      </c>
      <c r="J41" s="473">
        <f t="shared" si="4"/>
        <v>0</v>
      </c>
      <c r="K41" s="471">
        <f>+Cant.!AC53</f>
        <v>0</v>
      </c>
      <c r="L41" s="473">
        <f t="shared" si="5"/>
        <v>0</v>
      </c>
      <c r="M41" s="470">
        <f t="shared" si="14"/>
        <v>0.5</v>
      </c>
      <c r="N41" s="471">
        <f>+Cant.!AF51</f>
        <v>0</v>
      </c>
      <c r="O41" s="472">
        <f t="shared" si="6"/>
        <v>0</v>
      </c>
      <c r="P41" s="471">
        <f>+Cant.!AG51</f>
        <v>0</v>
      </c>
      <c r="Q41" s="473">
        <f t="shared" si="7"/>
        <v>0</v>
      </c>
      <c r="R41" s="474">
        <f>+Cant.!AH53</f>
        <v>0</v>
      </c>
      <c r="S41" s="472">
        <f t="shared" si="8"/>
        <v>0</v>
      </c>
      <c r="T41" s="471">
        <f>+Cant.!AI53</f>
        <v>0</v>
      </c>
      <c r="U41" s="473">
        <f t="shared" si="9"/>
        <v>0</v>
      </c>
      <c r="V41" s="471">
        <f>+Cant.!AJ53</f>
        <v>0</v>
      </c>
      <c r="W41" s="473">
        <f t="shared" si="10"/>
        <v>0</v>
      </c>
      <c r="X41" s="474">
        <f t="shared" si="11"/>
        <v>0</v>
      </c>
      <c r="Y41" s="479">
        <f t="shared" si="15"/>
        <v>0.25</v>
      </c>
      <c r="Z41" s="476">
        <f t="shared" si="0"/>
        <v>0</v>
      </c>
      <c r="AA41" s="477">
        <v>4.26</v>
      </c>
      <c r="AB41" s="478">
        <f t="shared" si="12"/>
        <v>0</v>
      </c>
      <c r="AE41" s="759"/>
      <c r="AF41" s="237"/>
      <c r="AG41" s="237"/>
      <c r="AH41" s="237"/>
      <c r="AI41" s="237"/>
      <c r="AJ41" s="237"/>
      <c r="AK41" s="237"/>
      <c r="AL41" s="237"/>
      <c r="AM41" s="237"/>
      <c r="AN41" s="237"/>
      <c r="AO41" s="237"/>
      <c r="AP41" s="237"/>
      <c r="AQ41" s="237"/>
      <c r="AR41" s="237"/>
      <c r="AS41" s="237"/>
      <c r="AT41" s="237"/>
      <c r="AU41" s="237"/>
      <c r="AV41" s="237"/>
      <c r="AW41" s="237"/>
      <c r="AX41" s="237"/>
      <c r="AY41" s="237"/>
      <c r="AZ41" s="237"/>
      <c r="BA41" s="237"/>
      <c r="BB41" s="237"/>
      <c r="BC41" s="237"/>
      <c r="BD41" s="237"/>
      <c r="BE41" s="237"/>
      <c r="BF41" s="237"/>
      <c r="BG41" s="237"/>
      <c r="BH41" s="237"/>
      <c r="BI41" s="237"/>
      <c r="BJ41" s="237"/>
      <c r="BK41" s="237"/>
      <c r="BL41" s="237"/>
      <c r="BM41" s="237"/>
      <c r="BN41" s="237"/>
      <c r="BO41" s="237"/>
      <c r="BP41" s="237"/>
      <c r="BQ41" s="237"/>
      <c r="BR41" s="237"/>
      <c r="BS41" s="237"/>
      <c r="BT41" s="237"/>
      <c r="BU41" s="237"/>
      <c r="BV41" s="237"/>
      <c r="BW41" s="237"/>
      <c r="BX41" s="237"/>
      <c r="BY41" s="237"/>
      <c r="BZ41" s="760"/>
    </row>
    <row r="42" spans="1:78" x14ac:dyDescent="0.2">
      <c r="A42" s="225" t="s">
        <v>542</v>
      </c>
      <c r="B42" s="470">
        <f t="shared" si="13"/>
        <v>0.5</v>
      </c>
      <c r="C42" s="471">
        <f>+Cant.!Y52</f>
        <v>0</v>
      </c>
      <c r="D42" s="472">
        <f t="shared" si="1"/>
        <v>0</v>
      </c>
      <c r="E42" s="471">
        <f>+Cant.!Z52</f>
        <v>0</v>
      </c>
      <c r="F42" s="473">
        <f t="shared" si="2"/>
        <v>0</v>
      </c>
      <c r="G42" s="474">
        <f>+Cant.!AA54</f>
        <v>0</v>
      </c>
      <c r="H42" s="472">
        <f t="shared" si="3"/>
        <v>0</v>
      </c>
      <c r="I42" s="471">
        <f>+Cant.!AB54</f>
        <v>0</v>
      </c>
      <c r="J42" s="473">
        <f t="shared" si="4"/>
        <v>0</v>
      </c>
      <c r="K42" s="471">
        <f>+Cant.!AC54</f>
        <v>0</v>
      </c>
      <c r="L42" s="473">
        <f t="shared" si="5"/>
        <v>0</v>
      </c>
      <c r="M42" s="470">
        <f t="shared" si="14"/>
        <v>0.5</v>
      </c>
      <c r="N42" s="471">
        <f>+Cant.!AF52</f>
        <v>0</v>
      </c>
      <c r="O42" s="472">
        <f t="shared" si="6"/>
        <v>0</v>
      </c>
      <c r="P42" s="471">
        <f>+Cant.!AG52</f>
        <v>0</v>
      </c>
      <c r="Q42" s="473">
        <f t="shared" si="7"/>
        <v>0</v>
      </c>
      <c r="R42" s="474">
        <f>+Cant.!AH54</f>
        <v>0</v>
      </c>
      <c r="S42" s="472">
        <f t="shared" si="8"/>
        <v>0</v>
      </c>
      <c r="T42" s="471">
        <f>+Cant.!AI54</f>
        <v>0</v>
      </c>
      <c r="U42" s="473">
        <f t="shared" si="9"/>
        <v>0</v>
      </c>
      <c r="V42" s="471">
        <f>+Cant.!AJ54</f>
        <v>0</v>
      </c>
      <c r="W42" s="473">
        <f t="shared" si="10"/>
        <v>0</v>
      </c>
      <c r="X42" s="474">
        <f t="shared" si="11"/>
        <v>0</v>
      </c>
      <c r="Y42" s="479">
        <f t="shared" si="15"/>
        <v>0.25</v>
      </c>
      <c r="Z42" s="476">
        <f t="shared" si="0"/>
        <v>0</v>
      </c>
      <c r="AA42" s="477">
        <v>4.41</v>
      </c>
      <c r="AB42" s="478">
        <f t="shared" si="12"/>
        <v>0</v>
      </c>
      <c r="AE42" s="759"/>
      <c r="AF42" s="237"/>
      <c r="AG42" s="237"/>
      <c r="AH42" s="237"/>
      <c r="AI42" s="237"/>
      <c r="AJ42" s="237"/>
      <c r="AK42" s="237"/>
      <c r="AL42" s="237"/>
      <c r="AM42" s="237"/>
      <c r="AN42" s="237"/>
      <c r="AO42" s="237"/>
      <c r="AP42" s="237"/>
      <c r="AQ42" s="237"/>
      <c r="AR42" s="237"/>
      <c r="AS42" s="237"/>
      <c r="AT42" s="237"/>
      <c r="AU42" s="237"/>
      <c r="AV42" s="237"/>
      <c r="AW42" s="237"/>
      <c r="AX42" s="237"/>
      <c r="AY42" s="237"/>
      <c r="AZ42" s="237"/>
      <c r="BA42" s="237"/>
      <c r="BB42" s="237"/>
      <c r="BC42" s="237"/>
      <c r="BD42" s="237"/>
      <c r="BE42" s="237"/>
      <c r="BF42" s="237"/>
      <c r="BG42" s="237"/>
      <c r="BH42" s="237"/>
      <c r="BI42" s="237"/>
      <c r="BJ42" s="237"/>
      <c r="BK42" s="237"/>
      <c r="BL42" s="237"/>
      <c r="BM42" s="237"/>
      <c r="BN42" s="237"/>
      <c r="BO42" s="237"/>
      <c r="BP42" s="237"/>
      <c r="BQ42" s="237"/>
      <c r="BR42" s="237"/>
      <c r="BS42" s="237"/>
      <c r="BT42" s="237"/>
      <c r="BU42" s="237"/>
      <c r="BV42" s="237"/>
      <c r="BW42" s="237"/>
      <c r="BX42" s="237"/>
      <c r="BY42" s="237"/>
      <c r="BZ42" s="760"/>
    </row>
    <row r="43" spans="1:78" x14ac:dyDescent="0.2">
      <c r="A43" s="225" t="s">
        <v>543</v>
      </c>
      <c r="B43" s="470">
        <f t="shared" si="13"/>
        <v>0.5</v>
      </c>
      <c r="C43" s="471">
        <f>+Cant.!Y53</f>
        <v>0</v>
      </c>
      <c r="D43" s="472">
        <f t="shared" si="1"/>
        <v>0</v>
      </c>
      <c r="E43" s="471">
        <f>+Cant.!Z53</f>
        <v>0</v>
      </c>
      <c r="F43" s="473">
        <f t="shared" si="2"/>
        <v>0</v>
      </c>
      <c r="G43" s="474">
        <f>+Cant.!AA55</f>
        <v>0</v>
      </c>
      <c r="H43" s="472">
        <f t="shared" si="3"/>
        <v>0</v>
      </c>
      <c r="I43" s="471">
        <f>+Cant.!AB55</f>
        <v>0</v>
      </c>
      <c r="J43" s="473">
        <f t="shared" si="4"/>
        <v>0</v>
      </c>
      <c r="K43" s="471">
        <f>+Cant.!AC55</f>
        <v>0</v>
      </c>
      <c r="L43" s="473">
        <f t="shared" si="5"/>
        <v>0</v>
      </c>
      <c r="M43" s="470">
        <f t="shared" si="14"/>
        <v>0.5</v>
      </c>
      <c r="N43" s="471">
        <f>+Cant.!AF53</f>
        <v>0</v>
      </c>
      <c r="O43" s="472">
        <f t="shared" si="6"/>
        <v>0</v>
      </c>
      <c r="P43" s="471">
        <f>+Cant.!AG53</f>
        <v>0</v>
      </c>
      <c r="Q43" s="473">
        <f t="shared" si="7"/>
        <v>0</v>
      </c>
      <c r="R43" s="474">
        <f>+Cant.!AH55</f>
        <v>0</v>
      </c>
      <c r="S43" s="472">
        <f t="shared" si="8"/>
        <v>0</v>
      </c>
      <c r="T43" s="471">
        <f>+Cant.!AI55</f>
        <v>0</v>
      </c>
      <c r="U43" s="473">
        <f t="shared" si="9"/>
        <v>0</v>
      </c>
      <c r="V43" s="471">
        <f>+Cant.!AJ55</f>
        <v>0</v>
      </c>
      <c r="W43" s="473">
        <f t="shared" si="10"/>
        <v>0</v>
      </c>
      <c r="X43" s="474">
        <f t="shared" si="11"/>
        <v>0</v>
      </c>
      <c r="Y43" s="479">
        <f t="shared" si="15"/>
        <v>0.25</v>
      </c>
      <c r="Z43" s="476">
        <f t="shared" si="0"/>
        <v>0</v>
      </c>
      <c r="AA43" s="477">
        <v>4.75</v>
      </c>
      <c r="AB43" s="478">
        <f t="shared" si="12"/>
        <v>0</v>
      </c>
      <c r="AE43" s="759"/>
      <c r="AF43" s="237"/>
      <c r="AG43" s="237"/>
      <c r="AH43" s="237"/>
      <c r="AI43" s="237"/>
      <c r="AJ43" s="237"/>
      <c r="AK43" s="237"/>
      <c r="AL43" s="237"/>
      <c r="AM43" s="237"/>
      <c r="AN43" s="237"/>
      <c r="AO43" s="237"/>
      <c r="AP43" s="237"/>
      <c r="AQ43" s="237"/>
      <c r="AR43" s="237"/>
      <c r="AS43" s="237"/>
      <c r="AT43" s="237"/>
      <c r="AU43" s="237"/>
      <c r="AV43" s="237"/>
      <c r="AW43" s="237"/>
      <c r="AX43" s="237"/>
      <c r="AY43" s="237"/>
      <c r="AZ43" s="237"/>
      <c r="BA43" s="237"/>
      <c r="BB43" s="237"/>
      <c r="BC43" s="237"/>
      <c r="BD43" s="237"/>
      <c r="BE43" s="237"/>
      <c r="BF43" s="237"/>
      <c r="BG43" s="237"/>
      <c r="BH43" s="237"/>
      <c r="BI43" s="237"/>
      <c r="BJ43" s="237"/>
      <c r="BK43" s="237"/>
      <c r="BL43" s="237"/>
      <c r="BM43" s="237"/>
      <c r="BN43" s="237"/>
      <c r="BO43" s="237"/>
      <c r="BP43" s="237"/>
      <c r="BQ43" s="237"/>
      <c r="BR43" s="237"/>
      <c r="BS43" s="237"/>
      <c r="BT43" s="237"/>
      <c r="BU43" s="237"/>
      <c r="BV43" s="237"/>
      <c r="BW43" s="237"/>
      <c r="BX43" s="237"/>
      <c r="BY43" s="237"/>
      <c r="BZ43" s="760"/>
    </row>
    <row r="44" spans="1:78" x14ac:dyDescent="0.2">
      <c r="A44" s="225" t="s">
        <v>544</v>
      </c>
      <c r="B44" s="470">
        <f>1/3</f>
        <v>0.33333333333333331</v>
      </c>
      <c r="C44" s="471">
        <f>+Cant.!Y54</f>
        <v>0</v>
      </c>
      <c r="D44" s="472">
        <f t="shared" si="1"/>
        <v>0</v>
      </c>
      <c r="E44" s="471">
        <f>+Cant.!Z54</f>
        <v>0</v>
      </c>
      <c r="F44" s="473">
        <f t="shared" si="2"/>
        <v>0</v>
      </c>
      <c r="G44" s="474">
        <f>+Cant.!AA56</f>
        <v>0</v>
      </c>
      <c r="H44" s="472">
        <f t="shared" si="3"/>
        <v>0</v>
      </c>
      <c r="I44" s="471">
        <f>+Cant.!AB56</f>
        <v>0</v>
      </c>
      <c r="J44" s="473">
        <f t="shared" si="4"/>
        <v>0</v>
      </c>
      <c r="K44" s="471">
        <f>+Cant.!AC56</f>
        <v>0</v>
      </c>
      <c r="L44" s="473">
        <f t="shared" si="5"/>
        <v>0</v>
      </c>
      <c r="M44" s="470">
        <f>1/3</f>
        <v>0.33333333333333331</v>
      </c>
      <c r="N44" s="471">
        <f>+Cant.!AF54</f>
        <v>0</v>
      </c>
      <c r="O44" s="472">
        <f t="shared" si="6"/>
        <v>0</v>
      </c>
      <c r="P44" s="471">
        <f>+Cant.!AG54</f>
        <v>0</v>
      </c>
      <c r="Q44" s="473">
        <f t="shared" si="7"/>
        <v>0</v>
      </c>
      <c r="R44" s="474">
        <f>+Cant.!AH56</f>
        <v>0</v>
      </c>
      <c r="S44" s="472">
        <f t="shared" si="8"/>
        <v>0</v>
      </c>
      <c r="T44" s="471">
        <f>+Cant.!AI56</f>
        <v>0</v>
      </c>
      <c r="U44" s="473">
        <f t="shared" si="9"/>
        <v>0</v>
      </c>
      <c r="V44" s="471">
        <f>+Cant.!AJ56</f>
        <v>0</v>
      </c>
      <c r="W44" s="473">
        <f t="shared" si="10"/>
        <v>0</v>
      </c>
      <c r="X44" s="474">
        <f t="shared" si="11"/>
        <v>0</v>
      </c>
      <c r="Y44" s="479">
        <f>1/6</f>
        <v>0.16666666666666666</v>
      </c>
      <c r="Z44" s="476">
        <f t="shared" si="0"/>
        <v>0</v>
      </c>
      <c r="AA44" s="477">
        <v>2.86</v>
      </c>
      <c r="AB44" s="478">
        <f t="shared" si="12"/>
        <v>0</v>
      </c>
      <c r="AE44" s="759"/>
      <c r="AF44" s="237"/>
      <c r="AG44" s="237"/>
      <c r="AH44" s="237"/>
      <c r="AI44" s="237"/>
      <c r="AJ44" s="237"/>
      <c r="AK44" s="237"/>
      <c r="AL44" s="237"/>
      <c r="AM44" s="237"/>
      <c r="AN44" s="237"/>
      <c r="AO44" s="237"/>
      <c r="AP44" s="237"/>
      <c r="AQ44" s="237"/>
      <c r="AR44" s="237"/>
      <c r="AS44" s="237"/>
      <c r="AT44" s="237"/>
      <c r="AU44" s="237"/>
      <c r="AV44" s="237"/>
      <c r="AW44" s="237"/>
      <c r="AX44" s="237"/>
      <c r="AY44" s="237"/>
      <c r="AZ44" s="237"/>
      <c r="BA44" s="237"/>
      <c r="BB44" s="237"/>
      <c r="BC44" s="237"/>
      <c r="BD44" s="237"/>
      <c r="BE44" s="237"/>
      <c r="BF44" s="237"/>
      <c r="BG44" s="237"/>
      <c r="BH44" s="237"/>
      <c r="BI44" s="237"/>
      <c r="BJ44" s="237"/>
      <c r="BK44" s="237"/>
      <c r="BL44" s="237"/>
      <c r="BM44" s="237"/>
      <c r="BN44" s="237"/>
      <c r="BO44" s="237"/>
      <c r="BP44" s="237"/>
      <c r="BQ44" s="237"/>
      <c r="BR44" s="237"/>
      <c r="BS44" s="237"/>
      <c r="BT44" s="237"/>
      <c r="BU44" s="237"/>
      <c r="BV44" s="237"/>
      <c r="BW44" s="237"/>
      <c r="BX44" s="237"/>
      <c r="BY44" s="237"/>
      <c r="BZ44" s="760"/>
    </row>
    <row r="45" spans="1:78" x14ac:dyDescent="0.2">
      <c r="A45" s="225" t="s">
        <v>546</v>
      </c>
      <c r="B45" s="470">
        <f>1/3</f>
        <v>0.33333333333333331</v>
      </c>
      <c r="C45" s="471">
        <f>+Cant.!Y55</f>
        <v>0</v>
      </c>
      <c r="D45" s="472">
        <f t="shared" si="1"/>
        <v>0</v>
      </c>
      <c r="E45" s="471">
        <f>+Cant.!Z55</f>
        <v>0</v>
      </c>
      <c r="F45" s="473">
        <f t="shared" si="2"/>
        <v>0</v>
      </c>
      <c r="G45" s="474">
        <f>+Cant.!AA57</f>
        <v>0</v>
      </c>
      <c r="H45" s="472">
        <f t="shared" si="3"/>
        <v>0</v>
      </c>
      <c r="I45" s="471">
        <f>+Cant.!AB57</f>
        <v>0</v>
      </c>
      <c r="J45" s="473">
        <f t="shared" si="4"/>
        <v>0</v>
      </c>
      <c r="K45" s="471">
        <f>+Cant.!AC57</f>
        <v>0</v>
      </c>
      <c r="L45" s="473">
        <f t="shared" si="5"/>
        <v>0</v>
      </c>
      <c r="M45" s="470">
        <f>1/2</f>
        <v>0.5</v>
      </c>
      <c r="N45" s="471">
        <f>+Cant.!AF55</f>
        <v>0</v>
      </c>
      <c r="O45" s="472">
        <f t="shared" si="6"/>
        <v>0</v>
      </c>
      <c r="P45" s="471">
        <f>+Cant.!AG55</f>
        <v>0</v>
      </c>
      <c r="Q45" s="473">
        <f t="shared" si="7"/>
        <v>0</v>
      </c>
      <c r="R45" s="474">
        <f>+Cant.!AH57</f>
        <v>0</v>
      </c>
      <c r="S45" s="472">
        <f t="shared" si="8"/>
        <v>0</v>
      </c>
      <c r="T45" s="471">
        <f>+Cant.!AI57</f>
        <v>0</v>
      </c>
      <c r="U45" s="473">
        <f t="shared" si="9"/>
        <v>0</v>
      </c>
      <c r="V45" s="471">
        <f>+Cant.!AJ57</f>
        <v>0</v>
      </c>
      <c r="W45" s="473">
        <f t="shared" si="10"/>
        <v>0</v>
      </c>
      <c r="X45" s="474">
        <f t="shared" si="11"/>
        <v>0</v>
      </c>
      <c r="Y45" s="475">
        <f>1/6</f>
        <v>0.16666666666666666</v>
      </c>
      <c r="Z45" s="476">
        <f t="shared" si="0"/>
        <v>0</v>
      </c>
      <c r="AA45" s="477">
        <v>3.14</v>
      </c>
      <c r="AB45" s="478">
        <f t="shared" si="12"/>
        <v>0</v>
      </c>
      <c r="AE45" s="759"/>
      <c r="AF45" s="237"/>
      <c r="AG45" s="237"/>
      <c r="AH45" s="237"/>
      <c r="AI45" s="237"/>
      <c r="AJ45" s="237"/>
      <c r="AK45" s="237"/>
      <c r="AL45" s="237"/>
      <c r="AM45" s="237"/>
      <c r="AN45" s="237"/>
      <c r="AO45" s="237"/>
      <c r="AP45" s="237"/>
      <c r="AQ45" s="237"/>
      <c r="AR45" s="237"/>
      <c r="AS45" s="237"/>
      <c r="AT45" s="237"/>
      <c r="AU45" s="237"/>
      <c r="AV45" s="237"/>
      <c r="AW45" s="237"/>
      <c r="AX45" s="237"/>
      <c r="AY45" s="237"/>
      <c r="AZ45" s="237"/>
      <c r="BA45" s="237"/>
      <c r="BB45" s="237"/>
      <c r="BC45" s="237"/>
      <c r="BD45" s="237"/>
      <c r="BE45" s="237"/>
      <c r="BF45" s="237"/>
      <c r="BG45" s="237"/>
      <c r="BH45" s="237"/>
      <c r="BI45" s="237"/>
      <c r="BJ45" s="237"/>
      <c r="BK45" s="237"/>
      <c r="BL45" s="237"/>
      <c r="BM45" s="237"/>
      <c r="BN45" s="237"/>
      <c r="BO45" s="237"/>
      <c r="BP45" s="237"/>
      <c r="BQ45" s="237"/>
      <c r="BR45" s="237"/>
      <c r="BS45" s="237"/>
      <c r="BT45" s="237"/>
      <c r="BU45" s="237"/>
      <c r="BV45" s="237"/>
      <c r="BW45" s="237"/>
      <c r="BX45" s="237"/>
      <c r="BY45" s="237"/>
      <c r="BZ45" s="760"/>
    </row>
    <row r="46" spans="1:78" x14ac:dyDescent="0.2">
      <c r="A46" s="225" t="s">
        <v>548</v>
      </c>
      <c r="B46" s="470">
        <f>1/3</f>
        <v>0.33333333333333331</v>
      </c>
      <c r="C46" s="471">
        <f>+Cant.!Y56</f>
        <v>0</v>
      </c>
      <c r="D46" s="472">
        <f t="shared" si="1"/>
        <v>0</v>
      </c>
      <c r="E46" s="471">
        <f>+Cant.!Z56</f>
        <v>0</v>
      </c>
      <c r="F46" s="473">
        <f t="shared" si="2"/>
        <v>0</v>
      </c>
      <c r="G46" s="474">
        <f>+Cant.!AA58</f>
        <v>0</v>
      </c>
      <c r="H46" s="472">
        <f t="shared" si="3"/>
        <v>0</v>
      </c>
      <c r="I46" s="471">
        <f>+Cant.!AB58</f>
        <v>0</v>
      </c>
      <c r="J46" s="473">
        <f t="shared" si="4"/>
        <v>0</v>
      </c>
      <c r="K46" s="471">
        <f>+Cant.!AC58</f>
        <v>0</v>
      </c>
      <c r="L46" s="473">
        <f t="shared" si="5"/>
        <v>0</v>
      </c>
      <c r="M46" s="470">
        <f>1/2</f>
        <v>0.5</v>
      </c>
      <c r="N46" s="471">
        <f>+Cant.!AF56</f>
        <v>0</v>
      </c>
      <c r="O46" s="472">
        <f t="shared" si="6"/>
        <v>0</v>
      </c>
      <c r="P46" s="471">
        <f>+Cant.!AG56</f>
        <v>0</v>
      </c>
      <c r="Q46" s="473">
        <f t="shared" si="7"/>
        <v>0</v>
      </c>
      <c r="R46" s="474">
        <f>+Cant.!AH58</f>
        <v>0</v>
      </c>
      <c r="S46" s="472">
        <f t="shared" si="8"/>
        <v>0</v>
      </c>
      <c r="T46" s="471">
        <f>+Cant.!AI58</f>
        <v>0</v>
      </c>
      <c r="U46" s="473">
        <f t="shared" si="9"/>
        <v>0</v>
      </c>
      <c r="V46" s="471">
        <f>+Cant.!AJ58</f>
        <v>0</v>
      </c>
      <c r="W46" s="473">
        <f t="shared" si="10"/>
        <v>0</v>
      </c>
      <c r="X46" s="474">
        <f t="shared" si="11"/>
        <v>0</v>
      </c>
      <c r="Y46" s="475">
        <f>1/4</f>
        <v>0.25</v>
      </c>
      <c r="Z46" s="476">
        <f t="shared" si="0"/>
        <v>0</v>
      </c>
      <c r="AA46" s="479">
        <v>3.7</v>
      </c>
      <c r="AB46" s="478">
        <f t="shared" si="12"/>
        <v>0</v>
      </c>
      <c r="AE46" s="759"/>
      <c r="AF46" s="237"/>
      <c r="AG46" s="237"/>
      <c r="AH46" s="237"/>
      <c r="AI46" s="237"/>
      <c r="AJ46" s="237"/>
      <c r="AK46" s="237"/>
      <c r="AL46" s="237"/>
      <c r="AM46" s="237"/>
      <c r="AN46" s="237"/>
      <c r="AO46" s="237"/>
      <c r="AP46" s="237"/>
      <c r="AQ46" s="237"/>
      <c r="AR46" s="237"/>
      <c r="AS46" s="237"/>
      <c r="AT46" s="237"/>
      <c r="AU46" s="237"/>
      <c r="AV46" s="237"/>
      <c r="AW46" s="237"/>
      <c r="AX46" s="237"/>
      <c r="AY46" s="237"/>
      <c r="AZ46" s="237"/>
      <c r="BA46" s="237"/>
      <c r="BB46" s="237"/>
      <c r="BC46" s="237"/>
      <c r="BD46" s="237"/>
      <c r="BE46" s="237"/>
      <c r="BF46" s="237"/>
      <c r="BG46" s="237"/>
      <c r="BH46" s="237"/>
      <c r="BI46" s="237"/>
      <c r="BJ46" s="237"/>
      <c r="BK46" s="237"/>
      <c r="BL46" s="237"/>
      <c r="BM46" s="237"/>
      <c r="BN46" s="237"/>
      <c r="BO46" s="237"/>
      <c r="BP46" s="237"/>
      <c r="BQ46" s="237"/>
      <c r="BR46" s="237"/>
      <c r="BS46" s="237"/>
      <c r="BT46" s="237"/>
      <c r="BU46" s="237"/>
      <c r="BV46" s="237"/>
      <c r="BW46" s="237"/>
      <c r="BX46" s="237"/>
      <c r="BY46" s="237"/>
      <c r="BZ46" s="760"/>
    </row>
    <row r="47" spans="1:78" x14ac:dyDescent="0.2">
      <c r="A47" s="225" t="s">
        <v>549</v>
      </c>
      <c r="B47" s="470">
        <v>0.9</v>
      </c>
      <c r="C47" s="471">
        <f>+Cant.!Y57</f>
        <v>0</v>
      </c>
      <c r="D47" s="472">
        <f t="shared" si="1"/>
        <v>0</v>
      </c>
      <c r="E47" s="471">
        <f>+Cant.!Z57</f>
        <v>0</v>
      </c>
      <c r="F47" s="473">
        <f t="shared" si="2"/>
        <v>0</v>
      </c>
      <c r="G47" s="474">
        <f>+Cant.!AA59</f>
        <v>0</v>
      </c>
      <c r="H47" s="472">
        <f t="shared" si="3"/>
        <v>0</v>
      </c>
      <c r="I47" s="471">
        <f>+Cant.!AB59</f>
        <v>0</v>
      </c>
      <c r="J47" s="473">
        <f t="shared" si="4"/>
        <v>0</v>
      </c>
      <c r="K47" s="471">
        <f>+Cant.!AC59</f>
        <v>0</v>
      </c>
      <c r="L47" s="473">
        <f t="shared" si="5"/>
        <v>0</v>
      </c>
      <c r="M47" s="470">
        <v>0.9</v>
      </c>
      <c r="N47" s="471">
        <f>+Cant.!AF57</f>
        <v>0</v>
      </c>
      <c r="O47" s="472">
        <f t="shared" si="6"/>
        <v>0</v>
      </c>
      <c r="P47" s="471">
        <f>+Cant.!AG57</f>
        <v>0</v>
      </c>
      <c r="Q47" s="473">
        <f t="shared" si="7"/>
        <v>0</v>
      </c>
      <c r="R47" s="474">
        <f>+Cant.!AH59</f>
        <v>0</v>
      </c>
      <c r="S47" s="472">
        <f t="shared" si="8"/>
        <v>0</v>
      </c>
      <c r="T47" s="471">
        <f>+Cant.!AI59</f>
        <v>0</v>
      </c>
      <c r="U47" s="473">
        <f t="shared" si="9"/>
        <v>0</v>
      </c>
      <c r="V47" s="471">
        <f>+Cant.!AJ59</f>
        <v>0</v>
      </c>
      <c r="W47" s="473">
        <f t="shared" si="10"/>
        <v>0</v>
      </c>
      <c r="X47" s="474">
        <f t="shared" si="11"/>
        <v>0</v>
      </c>
      <c r="Y47" s="479">
        <f>1/3</f>
        <v>0.33333333333333331</v>
      </c>
      <c r="Z47" s="476">
        <f t="shared" si="0"/>
        <v>0</v>
      </c>
      <c r="AA47" s="477">
        <v>4.25</v>
      </c>
      <c r="AB47" s="478">
        <f t="shared" si="12"/>
        <v>0</v>
      </c>
      <c r="AE47" s="759"/>
      <c r="AF47" s="237"/>
      <c r="AG47" s="237"/>
      <c r="AH47" s="237"/>
      <c r="AI47" s="237"/>
      <c r="AJ47" s="237"/>
      <c r="AK47" s="237"/>
      <c r="AL47" s="237"/>
      <c r="AM47" s="237"/>
      <c r="AN47" s="237"/>
      <c r="AO47" s="237"/>
      <c r="AP47" s="237"/>
      <c r="AQ47" s="237"/>
      <c r="AR47" s="237"/>
      <c r="AS47" s="237"/>
      <c r="AT47" s="237"/>
      <c r="AU47" s="237"/>
      <c r="AV47" s="237"/>
      <c r="AW47" s="237"/>
      <c r="AX47" s="237"/>
      <c r="AY47" s="237"/>
      <c r="AZ47" s="237"/>
      <c r="BA47" s="237"/>
      <c r="BB47" s="237"/>
      <c r="BC47" s="237"/>
      <c r="BD47" s="237"/>
      <c r="BE47" s="237"/>
      <c r="BF47" s="237"/>
      <c r="BG47" s="237"/>
      <c r="BH47" s="237"/>
      <c r="BI47" s="237"/>
      <c r="BJ47" s="237"/>
      <c r="BK47" s="237"/>
      <c r="BL47" s="237"/>
      <c r="BM47" s="237"/>
      <c r="BN47" s="237"/>
      <c r="BO47" s="237"/>
      <c r="BP47" s="237"/>
      <c r="BQ47" s="237"/>
      <c r="BR47" s="237"/>
      <c r="BS47" s="237"/>
      <c r="BT47" s="237"/>
      <c r="BU47" s="237"/>
      <c r="BV47" s="237"/>
      <c r="BW47" s="237"/>
      <c r="BX47" s="237"/>
      <c r="BY47" s="237"/>
      <c r="BZ47" s="760"/>
    </row>
    <row r="48" spans="1:78" x14ac:dyDescent="0.2">
      <c r="A48" s="225" t="s">
        <v>550</v>
      </c>
      <c r="B48" s="470">
        <v>0.85</v>
      </c>
      <c r="C48" s="471">
        <f>+Cant.!Y58</f>
        <v>0</v>
      </c>
      <c r="D48" s="472">
        <f t="shared" si="1"/>
        <v>0</v>
      </c>
      <c r="E48" s="471">
        <f>+Cant.!Z58</f>
        <v>0</v>
      </c>
      <c r="F48" s="473">
        <f t="shared" si="2"/>
        <v>0</v>
      </c>
      <c r="G48" s="474">
        <f>+Cant.!AA60</f>
        <v>0</v>
      </c>
      <c r="H48" s="472">
        <f t="shared" si="3"/>
        <v>0</v>
      </c>
      <c r="I48" s="471">
        <f>+Cant.!AB60</f>
        <v>0</v>
      </c>
      <c r="J48" s="473">
        <f t="shared" si="4"/>
        <v>0</v>
      </c>
      <c r="K48" s="471">
        <f>+Cant.!AC60</f>
        <v>0</v>
      </c>
      <c r="L48" s="473">
        <f t="shared" si="5"/>
        <v>0</v>
      </c>
      <c r="M48" s="470">
        <v>0.9</v>
      </c>
      <c r="N48" s="471">
        <f>+Cant.!AF58</f>
        <v>0</v>
      </c>
      <c r="O48" s="472">
        <f t="shared" si="6"/>
        <v>0</v>
      </c>
      <c r="P48" s="471">
        <f>+Cant.!AG58</f>
        <v>0</v>
      </c>
      <c r="Q48" s="473">
        <f t="shared" si="7"/>
        <v>0</v>
      </c>
      <c r="R48" s="474">
        <f>+Cant.!AH60</f>
        <v>0</v>
      </c>
      <c r="S48" s="472">
        <f t="shared" si="8"/>
        <v>0</v>
      </c>
      <c r="T48" s="471">
        <f>+Cant.!AI60</f>
        <v>0</v>
      </c>
      <c r="U48" s="473">
        <f t="shared" si="9"/>
        <v>0</v>
      </c>
      <c r="V48" s="471">
        <f>+Cant.!AJ60</f>
        <v>0</v>
      </c>
      <c r="W48" s="473">
        <f t="shared" si="10"/>
        <v>0</v>
      </c>
      <c r="X48" s="474">
        <f t="shared" si="11"/>
        <v>0</v>
      </c>
      <c r="Y48" s="479">
        <f>1/3</f>
        <v>0.33333333333333331</v>
      </c>
      <c r="Z48" s="476">
        <f t="shared" si="0"/>
        <v>0</v>
      </c>
      <c r="AA48" s="477">
        <v>4.41</v>
      </c>
      <c r="AB48" s="478">
        <f t="shared" si="12"/>
        <v>0</v>
      </c>
      <c r="AE48" s="759"/>
      <c r="AF48" s="237"/>
      <c r="AG48" s="237"/>
      <c r="AH48" s="237"/>
      <c r="AI48" s="237"/>
      <c r="AJ48" s="237"/>
      <c r="AK48" s="237"/>
      <c r="AL48" s="237"/>
      <c r="AM48" s="237"/>
      <c r="AN48" s="237"/>
      <c r="AO48" s="237"/>
      <c r="AP48" s="237"/>
      <c r="AQ48" s="237"/>
      <c r="AR48" s="237"/>
      <c r="AS48" s="237"/>
      <c r="AT48" s="237"/>
      <c r="AU48" s="237"/>
      <c r="AV48" s="237"/>
      <c r="AW48" s="237"/>
      <c r="AX48" s="237"/>
      <c r="AY48" s="237"/>
      <c r="AZ48" s="237"/>
      <c r="BA48" s="237"/>
      <c r="BB48" s="237"/>
      <c r="BC48" s="237"/>
      <c r="BD48" s="237"/>
      <c r="BE48" s="237"/>
      <c r="BF48" s="237"/>
      <c r="BG48" s="237"/>
      <c r="BH48" s="237"/>
      <c r="BI48" s="237"/>
      <c r="BJ48" s="237"/>
      <c r="BK48" s="237"/>
      <c r="BL48" s="237"/>
      <c r="BM48" s="237"/>
      <c r="BN48" s="237"/>
      <c r="BO48" s="237"/>
      <c r="BP48" s="237"/>
      <c r="BQ48" s="237"/>
      <c r="BR48" s="237"/>
      <c r="BS48" s="237"/>
      <c r="BT48" s="237"/>
      <c r="BU48" s="237"/>
      <c r="BV48" s="237"/>
      <c r="BW48" s="237"/>
      <c r="BX48" s="237"/>
      <c r="BY48" s="237"/>
      <c r="BZ48" s="760"/>
    </row>
    <row r="49" spans="1:78" x14ac:dyDescent="0.2">
      <c r="A49" s="225" t="s">
        <v>551</v>
      </c>
      <c r="B49" s="470">
        <v>0.9</v>
      </c>
      <c r="C49" s="471">
        <f>+Cant.!Y59</f>
        <v>0</v>
      </c>
      <c r="D49" s="472">
        <f t="shared" ref="D49:D56" si="16">+C49*B49</f>
        <v>0</v>
      </c>
      <c r="E49" s="471">
        <f>+Cant.!Z59</f>
        <v>0</v>
      </c>
      <c r="F49" s="473">
        <f t="shared" si="2"/>
        <v>0</v>
      </c>
      <c r="G49" s="474">
        <f>+Cant.!AA61</f>
        <v>0</v>
      </c>
      <c r="H49" s="472">
        <f t="shared" si="3"/>
        <v>0</v>
      </c>
      <c r="I49" s="471">
        <f>+Cant.!AB61</f>
        <v>0</v>
      </c>
      <c r="J49" s="473">
        <f t="shared" ref="J49:J56" si="17">+I49*B49</f>
        <v>0</v>
      </c>
      <c r="K49" s="471">
        <f>+Cant.!AC61</f>
        <v>0</v>
      </c>
      <c r="L49" s="473">
        <f t="shared" si="5"/>
        <v>0</v>
      </c>
      <c r="M49" s="470">
        <v>0.9</v>
      </c>
      <c r="N49" s="471">
        <f>+Cant.!AF59</f>
        <v>0</v>
      </c>
      <c r="O49" s="472">
        <f t="shared" si="6"/>
        <v>0</v>
      </c>
      <c r="P49" s="471">
        <f>+Cant.!AG59</f>
        <v>0</v>
      </c>
      <c r="Q49" s="473">
        <f t="shared" si="7"/>
        <v>0</v>
      </c>
      <c r="R49" s="474">
        <f>+Cant.!AH61</f>
        <v>0</v>
      </c>
      <c r="S49" s="472">
        <f t="shared" si="8"/>
        <v>0</v>
      </c>
      <c r="T49" s="471">
        <f>+Cant.!AI61</f>
        <v>0</v>
      </c>
      <c r="U49" s="473">
        <f t="shared" si="9"/>
        <v>0</v>
      </c>
      <c r="V49" s="471">
        <f>+Cant.!AJ61</f>
        <v>0</v>
      </c>
      <c r="W49" s="473">
        <f t="shared" si="10"/>
        <v>0</v>
      </c>
      <c r="X49" s="474">
        <f t="shared" si="11"/>
        <v>0</v>
      </c>
      <c r="Y49" s="479">
        <f>1/3</f>
        <v>0.33333333333333331</v>
      </c>
      <c r="Z49" s="476">
        <f t="shared" si="0"/>
        <v>0</v>
      </c>
      <c r="AA49" s="477">
        <v>4.6900000000000004</v>
      </c>
      <c r="AB49" s="478">
        <f t="shared" si="12"/>
        <v>0</v>
      </c>
      <c r="AE49" s="759"/>
      <c r="AF49" s="237"/>
      <c r="AG49" s="237"/>
      <c r="AH49" s="237"/>
      <c r="AI49" s="237"/>
      <c r="AJ49" s="237"/>
      <c r="AK49" s="237"/>
      <c r="AL49" s="237"/>
      <c r="AM49" s="237"/>
      <c r="AN49" s="237"/>
      <c r="AO49" s="237"/>
      <c r="AP49" s="237"/>
      <c r="AQ49" s="237"/>
      <c r="AR49" s="237"/>
      <c r="AS49" s="237"/>
      <c r="AT49" s="237"/>
      <c r="AU49" s="237"/>
      <c r="AV49" s="237"/>
      <c r="AW49" s="237"/>
      <c r="AX49" s="237"/>
      <c r="AY49" s="237"/>
      <c r="AZ49" s="237"/>
      <c r="BA49" s="237"/>
      <c r="BB49" s="237"/>
      <c r="BC49" s="237"/>
      <c r="BD49" s="237"/>
      <c r="BE49" s="237"/>
      <c r="BF49" s="237"/>
      <c r="BG49" s="237"/>
      <c r="BH49" s="237"/>
      <c r="BI49" s="237"/>
      <c r="BJ49" s="237"/>
      <c r="BK49" s="237"/>
      <c r="BL49" s="237"/>
      <c r="BM49" s="237"/>
      <c r="BN49" s="237"/>
      <c r="BO49" s="237"/>
      <c r="BP49" s="237"/>
      <c r="BQ49" s="237"/>
      <c r="BR49" s="237"/>
      <c r="BS49" s="237"/>
      <c r="BT49" s="237"/>
      <c r="BU49" s="237"/>
      <c r="BV49" s="237"/>
      <c r="BW49" s="237"/>
      <c r="BX49" s="237"/>
      <c r="BY49" s="237"/>
      <c r="BZ49" s="760"/>
    </row>
    <row r="50" spans="1:78" x14ac:dyDescent="0.2">
      <c r="A50" s="225" t="s">
        <v>552</v>
      </c>
      <c r="B50" s="470">
        <v>1</v>
      </c>
      <c r="C50" s="471">
        <f>+Cant.!Y60</f>
        <v>0</v>
      </c>
      <c r="D50" s="472">
        <f t="shared" si="16"/>
        <v>0</v>
      </c>
      <c r="E50" s="471">
        <f>+Cant.!Z60</f>
        <v>0</v>
      </c>
      <c r="F50" s="473">
        <f t="shared" si="2"/>
        <v>0</v>
      </c>
      <c r="G50" s="474">
        <f>+Cant.!AA62</f>
        <v>0</v>
      </c>
      <c r="H50" s="472">
        <f t="shared" si="3"/>
        <v>0</v>
      </c>
      <c r="I50" s="471">
        <f>+Cant.!AB62</f>
        <v>0</v>
      </c>
      <c r="J50" s="473">
        <f t="shared" si="17"/>
        <v>0</v>
      </c>
      <c r="K50" s="471">
        <f>+Cant.!AC62</f>
        <v>0</v>
      </c>
      <c r="L50" s="473">
        <f t="shared" si="5"/>
        <v>0</v>
      </c>
      <c r="M50" s="470">
        <v>0.9</v>
      </c>
      <c r="N50" s="471">
        <f>+Cant.!AF60</f>
        <v>0</v>
      </c>
      <c r="O50" s="472">
        <f t="shared" si="6"/>
        <v>0</v>
      </c>
      <c r="P50" s="471">
        <f>+Cant.!AG60</f>
        <v>0</v>
      </c>
      <c r="Q50" s="473">
        <f t="shared" si="7"/>
        <v>0</v>
      </c>
      <c r="R50" s="474">
        <f>+Cant.!AH62</f>
        <v>0</v>
      </c>
      <c r="S50" s="472">
        <f t="shared" si="8"/>
        <v>0</v>
      </c>
      <c r="T50" s="471">
        <f>+Cant.!AI62</f>
        <v>0</v>
      </c>
      <c r="U50" s="473">
        <f t="shared" si="9"/>
        <v>0</v>
      </c>
      <c r="V50" s="471">
        <f>+Cant.!AJ62</f>
        <v>0</v>
      </c>
      <c r="W50" s="473">
        <f t="shared" si="10"/>
        <v>0</v>
      </c>
      <c r="X50" s="474">
        <f t="shared" si="11"/>
        <v>0</v>
      </c>
      <c r="Y50" s="479">
        <f>1/3</f>
        <v>0.33333333333333331</v>
      </c>
      <c r="Z50" s="476">
        <f t="shared" si="0"/>
        <v>0</v>
      </c>
      <c r="AA50" s="477">
        <v>5.03</v>
      </c>
      <c r="AB50" s="478">
        <f t="shared" si="12"/>
        <v>0</v>
      </c>
      <c r="AE50" s="759"/>
      <c r="AF50" s="237"/>
      <c r="AG50" s="237"/>
      <c r="AH50" s="237"/>
      <c r="AI50" s="237"/>
      <c r="AJ50" s="237"/>
      <c r="AK50" s="237"/>
      <c r="AL50" s="237"/>
      <c r="AM50" s="237"/>
      <c r="AN50" s="237"/>
      <c r="AO50" s="237"/>
      <c r="AP50" s="237"/>
      <c r="AQ50" s="237"/>
      <c r="AR50" s="237"/>
      <c r="AS50" s="237"/>
      <c r="AT50" s="237"/>
      <c r="AU50" s="237"/>
      <c r="AV50" s="237"/>
      <c r="AW50" s="237"/>
      <c r="AX50" s="237"/>
      <c r="AY50" s="237"/>
      <c r="AZ50" s="237"/>
      <c r="BA50" s="237"/>
      <c r="BB50" s="237"/>
      <c r="BC50" s="237"/>
      <c r="BD50" s="237"/>
      <c r="BE50" s="237"/>
      <c r="BF50" s="237"/>
      <c r="BG50" s="237"/>
      <c r="BH50" s="237"/>
      <c r="BI50" s="237"/>
      <c r="BJ50" s="237"/>
      <c r="BK50" s="237"/>
      <c r="BL50" s="237"/>
      <c r="BM50" s="237"/>
      <c r="BN50" s="237"/>
      <c r="BO50" s="237"/>
      <c r="BP50" s="237"/>
      <c r="BQ50" s="237"/>
      <c r="BR50" s="237"/>
      <c r="BS50" s="237"/>
      <c r="BT50" s="237"/>
      <c r="BU50" s="237"/>
      <c r="BV50" s="237"/>
      <c r="BW50" s="237"/>
      <c r="BX50" s="237"/>
      <c r="BY50" s="237"/>
      <c r="BZ50" s="760"/>
    </row>
    <row r="51" spans="1:78" x14ac:dyDescent="0.2">
      <c r="A51" s="225" t="s">
        <v>553</v>
      </c>
      <c r="B51" s="470">
        <v>0.5</v>
      </c>
      <c r="C51" s="471">
        <f>+Cant.!Y61</f>
        <v>0</v>
      </c>
      <c r="D51" s="472">
        <f t="shared" si="16"/>
        <v>0</v>
      </c>
      <c r="E51" s="471">
        <f>+Cant.!Z61</f>
        <v>0</v>
      </c>
      <c r="F51" s="473">
        <f t="shared" si="2"/>
        <v>0</v>
      </c>
      <c r="G51" s="474">
        <f>+Cant.!AA63</f>
        <v>0</v>
      </c>
      <c r="H51" s="472">
        <f t="shared" si="3"/>
        <v>0</v>
      </c>
      <c r="I51" s="471">
        <f>+Cant.!AB63</f>
        <v>0</v>
      </c>
      <c r="J51" s="473">
        <f t="shared" si="17"/>
        <v>0</v>
      </c>
      <c r="K51" s="471">
        <f>+Cant.!AC63</f>
        <v>0</v>
      </c>
      <c r="L51" s="473">
        <f t="shared" si="5"/>
        <v>0</v>
      </c>
      <c r="M51" s="470">
        <v>0.5</v>
      </c>
      <c r="N51" s="471">
        <f>+Cant.!AF61</f>
        <v>0</v>
      </c>
      <c r="O51" s="472">
        <f t="shared" si="6"/>
        <v>0</v>
      </c>
      <c r="P51" s="471">
        <f>+Cant.!AG61</f>
        <v>0</v>
      </c>
      <c r="Q51" s="473">
        <f t="shared" si="7"/>
        <v>0</v>
      </c>
      <c r="R51" s="474">
        <f>+Cant.!AH63</f>
        <v>0</v>
      </c>
      <c r="S51" s="472">
        <f t="shared" si="8"/>
        <v>0</v>
      </c>
      <c r="T51" s="471">
        <f>+Cant.!AI63</f>
        <v>0</v>
      </c>
      <c r="U51" s="473">
        <f t="shared" si="9"/>
        <v>0</v>
      </c>
      <c r="V51" s="471">
        <f>+Cant.!AJ63</f>
        <v>0</v>
      </c>
      <c r="W51" s="473">
        <f t="shared" si="10"/>
        <v>0</v>
      </c>
      <c r="X51" s="474">
        <f t="shared" si="11"/>
        <v>0</v>
      </c>
      <c r="Y51" s="479">
        <v>0.33333333333333331</v>
      </c>
      <c r="Z51" s="476">
        <f t="shared" si="0"/>
        <v>0</v>
      </c>
      <c r="AA51" s="477">
        <v>4.53</v>
      </c>
      <c r="AB51" s="478">
        <f t="shared" si="12"/>
        <v>0</v>
      </c>
      <c r="AE51" s="759"/>
      <c r="AF51" s="237"/>
      <c r="AG51" s="237"/>
      <c r="AH51" s="237"/>
      <c r="AI51" s="237"/>
      <c r="AJ51" s="237"/>
      <c r="AK51" s="237"/>
      <c r="AL51" s="237"/>
      <c r="AM51" s="237"/>
      <c r="AN51" s="237"/>
      <c r="AO51" s="237"/>
      <c r="AP51" s="237"/>
      <c r="AQ51" s="237"/>
      <c r="AR51" s="237"/>
      <c r="AS51" s="237"/>
      <c r="AT51" s="237"/>
      <c r="AU51" s="237"/>
      <c r="AV51" s="237"/>
      <c r="AW51" s="237"/>
      <c r="AX51" s="237"/>
      <c r="AY51" s="237"/>
      <c r="AZ51" s="237"/>
      <c r="BA51" s="237"/>
      <c r="BB51" s="237"/>
      <c r="BC51" s="237"/>
      <c r="BD51" s="237"/>
      <c r="BE51" s="237"/>
      <c r="BF51" s="237"/>
      <c r="BG51" s="237"/>
      <c r="BH51" s="237"/>
      <c r="BI51" s="237"/>
      <c r="BJ51" s="237"/>
      <c r="BK51" s="237"/>
      <c r="BL51" s="237"/>
      <c r="BM51" s="237"/>
      <c r="BN51" s="237"/>
      <c r="BO51" s="237"/>
      <c r="BP51" s="237"/>
      <c r="BQ51" s="237"/>
      <c r="BR51" s="237"/>
      <c r="BS51" s="237"/>
      <c r="BT51" s="237"/>
      <c r="BU51" s="237"/>
      <c r="BV51" s="237"/>
      <c r="BW51" s="237"/>
      <c r="BX51" s="237"/>
      <c r="BY51" s="237"/>
      <c r="BZ51" s="760"/>
    </row>
    <row r="52" spans="1:78" ht="13.5" thickBot="1" x14ac:dyDescent="0.25">
      <c r="A52" s="225" t="s">
        <v>554</v>
      </c>
      <c r="B52" s="470">
        <v>0.5</v>
      </c>
      <c r="C52" s="471">
        <f>+Cant.!Y62</f>
        <v>0</v>
      </c>
      <c r="D52" s="472">
        <f t="shared" si="16"/>
        <v>0</v>
      </c>
      <c r="E52" s="471">
        <f>+Cant.!Z62</f>
        <v>0</v>
      </c>
      <c r="F52" s="473">
        <f t="shared" si="2"/>
        <v>0</v>
      </c>
      <c r="G52" s="474">
        <f>+Cant.!AA64</f>
        <v>0</v>
      </c>
      <c r="H52" s="472">
        <f t="shared" si="3"/>
        <v>0</v>
      </c>
      <c r="I52" s="471">
        <f>+Cant.!AB64</f>
        <v>0</v>
      </c>
      <c r="J52" s="473">
        <f t="shared" si="17"/>
        <v>0</v>
      </c>
      <c r="K52" s="471">
        <f>+Cant.!AC64</f>
        <v>0</v>
      </c>
      <c r="L52" s="473">
        <f t="shared" si="5"/>
        <v>0</v>
      </c>
      <c r="M52" s="470">
        <v>0.5</v>
      </c>
      <c r="N52" s="471">
        <f>+Cant.!AF62</f>
        <v>0</v>
      </c>
      <c r="O52" s="472">
        <f t="shared" si="6"/>
        <v>0</v>
      </c>
      <c r="P52" s="471">
        <f>+Cant.!AG62</f>
        <v>0</v>
      </c>
      <c r="Q52" s="473">
        <f t="shared" si="7"/>
        <v>0</v>
      </c>
      <c r="R52" s="474">
        <f>+Cant.!AH64</f>
        <v>0</v>
      </c>
      <c r="S52" s="472">
        <f t="shared" si="8"/>
        <v>0</v>
      </c>
      <c r="T52" s="471">
        <f>+Cant.!AI64</f>
        <v>0</v>
      </c>
      <c r="U52" s="473">
        <f t="shared" si="9"/>
        <v>0</v>
      </c>
      <c r="V52" s="471">
        <f>+Cant.!AJ64</f>
        <v>0</v>
      </c>
      <c r="W52" s="473">
        <f t="shared" si="10"/>
        <v>0</v>
      </c>
      <c r="X52" s="474">
        <f t="shared" si="11"/>
        <v>0</v>
      </c>
      <c r="Y52" s="479">
        <v>0.33333333333333331</v>
      </c>
      <c r="Z52" s="476">
        <f t="shared" si="0"/>
        <v>0</v>
      </c>
      <c r="AA52" s="477">
        <v>4.53</v>
      </c>
      <c r="AB52" s="478">
        <f t="shared" si="12"/>
        <v>0</v>
      </c>
      <c r="AE52" s="761"/>
      <c r="AF52" s="762"/>
      <c r="AG52" s="762"/>
      <c r="AH52" s="762"/>
      <c r="AI52" s="762"/>
      <c r="AJ52" s="762"/>
      <c r="AK52" s="762"/>
      <c r="AL52" s="762"/>
      <c r="AM52" s="762"/>
      <c r="AN52" s="762"/>
      <c r="AO52" s="762"/>
      <c r="AP52" s="762"/>
      <c r="AQ52" s="762"/>
      <c r="AR52" s="762"/>
      <c r="AS52" s="762"/>
      <c r="AT52" s="762"/>
      <c r="AU52" s="762"/>
      <c r="AV52" s="762"/>
      <c r="AW52" s="762"/>
      <c r="AX52" s="762"/>
      <c r="AY52" s="762"/>
      <c r="AZ52" s="762"/>
      <c r="BA52" s="762"/>
      <c r="BB52" s="762"/>
      <c r="BC52" s="762"/>
      <c r="BD52" s="762"/>
      <c r="BE52" s="762"/>
      <c r="BF52" s="762"/>
      <c r="BG52" s="762"/>
      <c r="BH52" s="762"/>
      <c r="BI52" s="762"/>
      <c r="BJ52" s="762"/>
      <c r="BK52" s="762"/>
      <c r="BL52" s="762"/>
      <c r="BM52" s="762"/>
      <c r="BN52" s="762"/>
      <c r="BO52" s="762"/>
      <c r="BP52" s="762"/>
      <c r="BQ52" s="762"/>
      <c r="BR52" s="762"/>
      <c r="BS52" s="762"/>
      <c r="BT52" s="762"/>
      <c r="BU52" s="762"/>
      <c r="BV52" s="762"/>
      <c r="BW52" s="762"/>
      <c r="BX52" s="762"/>
      <c r="BY52" s="762"/>
      <c r="BZ52" s="763"/>
    </row>
    <row r="53" spans="1:78" x14ac:dyDescent="0.2">
      <c r="A53" s="225" t="s">
        <v>555</v>
      </c>
      <c r="B53" s="470">
        <v>0.5</v>
      </c>
      <c r="C53" s="471">
        <f>+Cant.!Y63</f>
        <v>0</v>
      </c>
      <c r="D53" s="472">
        <f t="shared" si="16"/>
        <v>0</v>
      </c>
      <c r="E53" s="471">
        <f>+Cant.!Z63</f>
        <v>0</v>
      </c>
      <c r="F53" s="473">
        <f t="shared" si="2"/>
        <v>0</v>
      </c>
      <c r="G53" s="474">
        <f>+Cant.!AA65</f>
        <v>0</v>
      </c>
      <c r="H53" s="472">
        <f t="shared" si="3"/>
        <v>0</v>
      </c>
      <c r="I53" s="471">
        <f>+Cant.!AB65</f>
        <v>0</v>
      </c>
      <c r="J53" s="473">
        <f t="shared" si="17"/>
        <v>0</v>
      </c>
      <c r="K53" s="471">
        <f>+Cant.!AC65</f>
        <v>0</v>
      </c>
      <c r="L53" s="473">
        <f t="shared" si="5"/>
        <v>0</v>
      </c>
      <c r="M53" s="470">
        <f>1/2</f>
        <v>0.5</v>
      </c>
      <c r="N53" s="471">
        <f>+Cant.!AF63</f>
        <v>0</v>
      </c>
      <c r="O53" s="472">
        <f t="shared" si="6"/>
        <v>0</v>
      </c>
      <c r="P53" s="471">
        <f>+Cant.!AG63</f>
        <v>0</v>
      </c>
      <c r="Q53" s="473">
        <f t="shared" si="7"/>
        <v>0</v>
      </c>
      <c r="R53" s="474">
        <f>+Cant.!AH65</f>
        <v>0</v>
      </c>
      <c r="S53" s="472">
        <f t="shared" si="8"/>
        <v>0</v>
      </c>
      <c r="T53" s="471">
        <f>+Cant.!AI65</f>
        <v>0</v>
      </c>
      <c r="U53" s="473">
        <f t="shared" si="9"/>
        <v>0</v>
      </c>
      <c r="V53" s="471">
        <f>+Cant.!AJ65</f>
        <v>0</v>
      </c>
      <c r="W53" s="473">
        <f t="shared" si="10"/>
        <v>0</v>
      </c>
      <c r="X53" s="474">
        <f t="shared" si="11"/>
        <v>0</v>
      </c>
      <c r="Y53" s="479">
        <v>0.25</v>
      </c>
      <c r="Z53" s="476">
        <f t="shared" si="0"/>
        <v>0</v>
      </c>
      <c r="AA53" s="477">
        <v>3.42</v>
      </c>
      <c r="AB53" s="478">
        <f t="shared" si="12"/>
        <v>0</v>
      </c>
    </row>
    <row r="54" spans="1:78" x14ac:dyDescent="0.2">
      <c r="A54" s="225" t="s">
        <v>556</v>
      </c>
      <c r="B54" s="470">
        <v>0.5</v>
      </c>
      <c r="C54" s="471">
        <f>+Cant.!Y64</f>
        <v>0</v>
      </c>
      <c r="D54" s="472">
        <f t="shared" si="16"/>
        <v>0</v>
      </c>
      <c r="E54" s="471">
        <f>+Cant.!Z64</f>
        <v>0</v>
      </c>
      <c r="F54" s="473">
        <f t="shared" si="2"/>
        <v>0</v>
      </c>
      <c r="G54" s="474">
        <f>+Cant.!AA66</f>
        <v>0</v>
      </c>
      <c r="H54" s="472">
        <f>+G54*B54</f>
        <v>0</v>
      </c>
      <c r="I54" s="471">
        <f>+Cant.!AB66</f>
        <v>0</v>
      </c>
      <c r="J54" s="473">
        <f t="shared" si="17"/>
        <v>0</v>
      </c>
      <c r="K54" s="471">
        <f>+Cant.!AC66</f>
        <v>0</v>
      </c>
      <c r="L54" s="473">
        <f t="shared" si="5"/>
        <v>0</v>
      </c>
      <c r="M54" s="470">
        <v>0.5</v>
      </c>
      <c r="N54" s="471">
        <f>+Cant.!AF64</f>
        <v>0</v>
      </c>
      <c r="O54" s="472">
        <f t="shared" si="6"/>
        <v>0</v>
      </c>
      <c r="P54" s="471">
        <f>+Cant.!AG64</f>
        <v>0</v>
      </c>
      <c r="Q54" s="473">
        <f t="shared" si="7"/>
        <v>0</v>
      </c>
      <c r="R54" s="474">
        <f>+Cant.!AH66</f>
        <v>0</v>
      </c>
      <c r="S54" s="472">
        <f t="shared" si="8"/>
        <v>0</v>
      </c>
      <c r="T54" s="471">
        <f>+Cant.!AI66</f>
        <v>0</v>
      </c>
      <c r="U54" s="473">
        <f t="shared" si="9"/>
        <v>0</v>
      </c>
      <c r="V54" s="471">
        <f>+Cant.!AJ66</f>
        <v>0</v>
      </c>
      <c r="W54" s="473">
        <f t="shared" si="10"/>
        <v>0</v>
      </c>
      <c r="X54" s="474">
        <f t="shared" si="11"/>
        <v>0</v>
      </c>
      <c r="Y54" s="479">
        <v>0.25</v>
      </c>
      <c r="Z54" s="476">
        <f t="shared" si="0"/>
        <v>0</v>
      </c>
      <c r="AA54" s="479">
        <v>2.9</v>
      </c>
      <c r="AB54" s="478">
        <f t="shared" si="12"/>
        <v>0</v>
      </c>
    </row>
    <row r="55" spans="1:78" x14ac:dyDescent="0.2">
      <c r="A55" s="225" t="s">
        <v>557</v>
      </c>
      <c r="B55" s="470">
        <v>0.5</v>
      </c>
      <c r="C55" s="471">
        <f>+Cant.!Y65</f>
        <v>0</v>
      </c>
      <c r="D55" s="472">
        <f t="shared" si="16"/>
        <v>0</v>
      </c>
      <c r="E55" s="471">
        <f>+Cant.!Z65</f>
        <v>0</v>
      </c>
      <c r="F55" s="473">
        <f t="shared" si="2"/>
        <v>0</v>
      </c>
      <c r="G55" s="474">
        <f>+Cant.!AA67</f>
        <v>0</v>
      </c>
      <c r="H55" s="472">
        <f>+G55*B55</f>
        <v>0</v>
      </c>
      <c r="I55" s="471">
        <f>+Cant.!AB67</f>
        <v>0</v>
      </c>
      <c r="J55" s="473">
        <f t="shared" si="17"/>
        <v>0</v>
      </c>
      <c r="K55" s="471">
        <f>+Cant.!AC67</f>
        <v>0</v>
      </c>
      <c r="L55" s="473">
        <f t="shared" si="5"/>
        <v>0</v>
      </c>
      <c r="M55" s="470">
        <v>0.5</v>
      </c>
      <c r="N55" s="471">
        <f>+Cant.!AF65</f>
        <v>0</v>
      </c>
      <c r="O55" s="472">
        <f t="shared" si="6"/>
        <v>0</v>
      </c>
      <c r="P55" s="471">
        <f>+Cant.!AG65</f>
        <v>0</v>
      </c>
      <c r="Q55" s="473">
        <f t="shared" si="7"/>
        <v>0</v>
      </c>
      <c r="R55" s="474">
        <f>+Cant.!AH67</f>
        <v>0</v>
      </c>
      <c r="S55" s="472">
        <f t="shared" si="8"/>
        <v>0</v>
      </c>
      <c r="T55" s="471">
        <f>+Cant.!AI67</f>
        <v>0</v>
      </c>
      <c r="U55" s="473">
        <f t="shared" si="9"/>
        <v>0</v>
      </c>
      <c r="V55" s="471">
        <f>+Cant.!AJ67</f>
        <v>0</v>
      </c>
      <c r="W55" s="473">
        <f t="shared" si="10"/>
        <v>0</v>
      </c>
      <c r="X55" s="474">
        <f t="shared" si="11"/>
        <v>0</v>
      </c>
      <c r="Y55" s="479">
        <v>0.5</v>
      </c>
      <c r="Z55" s="476">
        <f t="shared" si="0"/>
        <v>0</v>
      </c>
      <c r="AA55" s="479">
        <v>3.8</v>
      </c>
      <c r="AB55" s="478">
        <f t="shared" si="12"/>
        <v>0</v>
      </c>
    </row>
    <row r="56" spans="1:78" x14ac:dyDescent="0.2">
      <c r="A56" s="225" t="s">
        <v>558</v>
      </c>
      <c r="B56" s="470">
        <v>0.33</v>
      </c>
      <c r="C56" s="471">
        <f>+Cant.!Y66</f>
        <v>0</v>
      </c>
      <c r="D56" s="472">
        <f t="shared" si="16"/>
        <v>0</v>
      </c>
      <c r="E56" s="471">
        <f>+Cant.!Z66</f>
        <v>0</v>
      </c>
      <c r="F56" s="473">
        <f t="shared" si="2"/>
        <v>0</v>
      </c>
      <c r="G56" s="474">
        <f>+Cant.!AA68</f>
        <v>0</v>
      </c>
      <c r="H56" s="472">
        <f>+G56*B56</f>
        <v>0</v>
      </c>
      <c r="I56" s="471">
        <f>+Cant.!AB68</f>
        <v>0</v>
      </c>
      <c r="J56" s="473">
        <f t="shared" si="17"/>
        <v>0</v>
      </c>
      <c r="K56" s="471">
        <f>+Cant.!AC68</f>
        <v>0</v>
      </c>
      <c r="L56" s="473">
        <f t="shared" si="5"/>
        <v>0</v>
      </c>
      <c r="M56" s="470">
        <v>0.33</v>
      </c>
      <c r="N56" s="471">
        <f>+Cant.!AF66</f>
        <v>0</v>
      </c>
      <c r="O56" s="472">
        <f t="shared" si="6"/>
        <v>0</v>
      </c>
      <c r="P56" s="471">
        <f>+Cant.!AG66</f>
        <v>0</v>
      </c>
      <c r="Q56" s="473">
        <f t="shared" si="7"/>
        <v>0</v>
      </c>
      <c r="R56" s="474">
        <f>+Cant.!AH68</f>
        <v>0</v>
      </c>
      <c r="S56" s="472">
        <f t="shared" si="8"/>
        <v>0</v>
      </c>
      <c r="T56" s="471">
        <f>+Cant.!AI68</f>
        <v>0</v>
      </c>
      <c r="U56" s="473">
        <f t="shared" si="9"/>
        <v>0</v>
      </c>
      <c r="V56" s="471">
        <f>+Cant.!AJ68</f>
        <v>0</v>
      </c>
      <c r="W56" s="473">
        <f t="shared" si="10"/>
        <v>0</v>
      </c>
      <c r="X56" s="474">
        <f t="shared" si="11"/>
        <v>0</v>
      </c>
      <c r="Y56" s="479">
        <f>1/6</f>
        <v>0.16666666666666666</v>
      </c>
      <c r="Z56" s="476">
        <f t="shared" si="0"/>
        <v>0</v>
      </c>
      <c r="AA56" s="479">
        <v>3</v>
      </c>
      <c r="AB56" s="478">
        <f t="shared" si="12"/>
        <v>0</v>
      </c>
    </row>
    <row r="57" spans="1:78" ht="13.5" thickBot="1" x14ac:dyDescent="0.25">
      <c r="A57" s="225" t="s">
        <v>559</v>
      </c>
      <c r="B57" s="470">
        <v>1</v>
      </c>
      <c r="C57" s="471">
        <f>+Cant.!Y67</f>
        <v>0</v>
      </c>
      <c r="D57" s="480">
        <f>+C57*B57</f>
        <v>0</v>
      </c>
      <c r="E57" s="471">
        <f>+Cant.!Z67</f>
        <v>0</v>
      </c>
      <c r="F57" s="481">
        <f>+E57*B57</f>
        <v>0</v>
      </c>
      <c r="G57" s="474">
        <f>+Cant.!AA71</f>
        <v>0</v>
      </c>
      <c r="H57" s="480">
        <f>+G57*B57</f>
        <v>0</v>
      </c>
      <c r="I57" s="471">
        <f>+Cant.!AB71</f>
        <v>0</v>
      </c>
      <c r="J57" s="481">
        <f>+I57*B57</f>
        <v>0</v>
      </c>
      <c r="K57" s="471">
        <f>+Cant.!AC71</f>
        <v>0</v>
      </c>
      <c r="L57" s="481">
        <f>+K57*B57</f>
        <v>0</v>
      </c>
      <c r="M57" s="482">
        <v>1</v>
      </c>
      <c r="N57" s="471">
        <f>+Cant.!AF67</f>
        <v>0</v>
      </c>
      <c r="O57" s="480">
        <f t="shared" si="6"/>
        <v>0</v>
      </c>
      <c r="P57" s="471">
        <f>+Cant.!AG67</f>
        <v>0</v>
      </c>
      <c r="Q57" s="481">
        <f t="shared" si="7"/>
        <v>0</v>
      </c>
      <c r="R57" s="474">
        <f>+Cant.!AH71</f>
        <v>0</v>
      </c>
      <c r="S57" s="481">
        <f t="shared" si="8"/>
        <v>0</v>
      </c>
      <c r="T57" s="471">
        <f>+Cant.!AI71</f>
        <v>0</v>
      </c>
      <c r="U57" s="481">
        <f t="shared" si="9"/>
        <v>0</v>
      </c>
      <c r="V57" s="471">
        <f>+Cant.!AJ71</f>
        <v>0</v>
      </c>
      <c r="W57" s="481">
        <f t="shared" si="10"/>
        <v>0</v>
      </c>
      <c r="X57" s="474">
        <f t="shared" si="11"/>
        <v>0</v>
      </c>
      <c r="Y57" s="482">
        <v>0.5</v>
      </c>
      <c r="Z57" s="483">
        <f t="shared" si="0"/>
        <v>0</v>
      </c>
      <c r="AA57" s="484">
        <v>6.5</v>
      </c>
      <c r="AB57" s="485">
        <f t="shared" si="12"/>
        <v>0</v>
      </c>
    </row>
    <row r="58" spans="1:78" ht="21" customHeight="1" thickBot="1" x14ac:dyDescent="0.3">
      <c r="D58" s="753">
        <f>SUM(D22:D57)*1</f>
        <v>0</v>
      </c>
      <c r="E58" s="754"/>
      <c r="F58" s="753">
        <f>SUM(F22:F57)*1</f>
        <v>0</v>
      </c>
      <c r="G58" s="754"/>
      <c r="H58" s="753">
        <f>SUM(H22:H57)*1</f>
        <v>0</v>
      </c>
      <c r="I58" s="754"/>
      <c r="J58" s="753">
        <f>SUM(J22:J57)*1</f>
        <v>0</v>
      </c>
      <c r="K58" s="754"/>
      <c r="L58" s="753">
        <f>SUM(L22:L57)*1</f>
        <v>0</v>
      </c>
      <c r="M58" s="754"/>
      <c r="N58" s="753"/>
      <c r="O58" s="753">
        <f>SUM(O22:O57)*1</f>
        <v>0</v>
      </c>
      <c r="P58" s="754"/>
      <c r="Q58" s="753">
        <f>SUM(Q22:Q57)*1</f>
        <v>0</v>
      </c>
      <c r="R58" s="754"/>
      <c r="S58" s="753">
        <f>SUM(S22:S57)*1</f>
        <v>0</v>
      </c>
      <c r="T58" s="754"/>
      <c r="U58" s="753">
        <f>SUM(U22:U57)*1</f>
        <v>0</v>
      </c>
      <c r="V58" s="754"/>
      <c r="W58" s="753">
        <f>SUM(W22:W57)*1</f>
        <v>0</v>
      </c>
      <c r="X58" s="753">
        <f>SUM(X22:X57)*1</f>
        <v>0</v>
      </c>
      <c r="Y58" s="754"/>
      <c r="Z58" s="753">
        <f>SUM(Z22:Z57)*1</f>
        <v>0</v>
      </c>
      <c r="AA58" s="378"/>
      <c r="AB58" s="753">
        <f>SUM(AB22:AB57)*1</f>
        <v>0</v>
      </c>
    </row>
  </sheetData>
  <sheetProtection password="AD51" sheet="1" objects="1" scenarios="1"/>
  <mergeCells count="26">
    <mergeCell ref="AX24:AY24"/>
    <mergeCell ref="AE27:BZ27"/>
    <mergeCell ref="C20:D20"/>
    <mergeCell ref="E20:F20"/>
    <mergeCell ref="G20:H20"/>
    <mergeCell ref="I20:J20"/>
    <mergeCell ref="K20:L20"/>
    <mergeCell ref="N20:O20"/>
    <mergeCell ref="T20:U20"/>
    <mergeCell ref="V20:W20"/>
    <mergeCell ref="Y20:Z20"/>
    <mergeCell ref="AA20:AB20"/>
    <mergeCell ref="P20:Q20"/>
    <mergeCell ref="R20:S20"/>
    <mergeCell ref="D3:H3"/>
    <mergeCell ref="D4:H4"/>
    <mergeCell ref="D5:H5"/>
    <mergeCell ref="D6:H6"/>
    <mergeCell ref="M19:W19"/>
    <mergeCell ref="D7:H7"/>
    <mergeCell ref="D9:H9"/>
    <mergeCell ref="D10:H10"/>
    <mergeCell ref="D11:H11"/>
    <mergeCell ref="D12:H12"/>
    <mergeCell ref="D13:H13"/>
    <mergeCell ref="B19:L19"/>
  </mergeCells>
  <phoneticPr fontId="25" type="noConversion"/>
  <pageMargins left="0.75" right="0.75" top="1" bottom="1" header="0" footer="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L524"/>
  <sheetViews>
    <sheetView showGridLines="0" zoomScaleNormal="160" workbookViewId="0">
      <selection activeCell="H302" sqref="H302"/>
    </sheetView>
  </sheetViews>
  <sheetFormatPr baseColWidth="10" defaultColWidth="0" defaultRowHeight="12.75" zeroHeight="1" x14ac:dyDescent="0.2"/>
  <cols>
    <col min="1" max="1" width="24.7109375" style="84" customWidth="1"/>
    <col min="2" max="2" width="24.7109375" style="85" customWidth="1"/>
    <col min="3" max="3" width="18.7109375" style="85" customWidth="1"/>
    <col min="4" max="4" width="7.7109375" style="86" customWidth="1"/>
    <col min="5" max="5" width="5.7109375" style="85" customWidth="1"/>
    <col min="6" max="9" width="4.28515625" style="104" customWidth="1"/>
    <col min="10" max="10" width="15" style="85" hidden="1"/>
    <col min="11" max="11" width="14.140625" style="85" hidden="1"/>
    <col min="12" max="12" width="5" style="87" customWidth="1"/>
    <col min="13" max="13" width="0.5703125" customWidth="1"/>
  </cols>
  <sheetData>
    <row r="1" spans="1:12" ht="31.5" customHeight="1" x14ac:dyDescent="0.2">
      <c r="L1" s="87">
        <v>1</v>
      </c>
    </row>
    <row r="2" spans="1:12" ht="12.75" customHeight="1" x14ac:dyDescent="0.2">
      <c r="L2" s="87">
        <v>1</v>
      </c>
    </row>
    <row r="3" spans="1:12" ht="15.75" x14ac:dyDescent="0.25">
      <c r="C3" s="1672" t="s">
        <v>1044</v>
      </c>
      <c r="D3" s="1672"/>
      <c r="E3" s="1672"/>
      <c r="L3" s="87">
        <v>1</v>
      </c>
    </row>
    <row r="4" spans="1:12" ht="49.5" customHeight="1" x14ac:dyDescent="0.5">
      <c r="A4" s="1673">
        <f>+'5 ALMACEN '!D2</f>
        <v>0</v>
      </c>
      <c r="B4" s="1673"/>
      <c r="C4" s="1673"/>
      <c r="D4" s="1673"/>
      <c r="E4" s="1676">
        <f>+'5 ALMACEN '!W1</f>
        <v>0</v>
      </c>
      <c r="F4" s="1676"/>
      <c r="G4" s="1676"/>
      <c r="H4" s="1676"/>
      <c r="I4" s="1676"/>
      <c r="J4" s="671"/>
      <c r="K4" s="671"/>
      <c r="L4" s="87">
        <v>1</v>
      </c>
    </row>
    <row r="5" spans="1:12" ht="3.75" customHeight="1" x14ac:dyDescent="0.2">
      <c r="L5" s="87">
        <v>1</v>
      </c>
    </row>
    <row r="6" spans="1:12" ht="15" x14ac:dyDescent="0.25">
      <c r="A6" s="587" t="s">
        <v>107</v>
      </c>
      <c r="B6" s="1647">
        <f>+'5 ALMACEN '!S2</f>
        <v>0</v>
      </c>
      <c r="C6" s="1647"/>
      <c r="D6" s="1647"/>
      <c r="E6" s="1647"/>
      <c r="F6" s="1647"/>
      <c r="G6" s="1647"/>
      <c r="H6" s="1647"/>
      <c r="I6" s="1647"/>
      <c r="J6" s="572"/>
      <c r="K6" s="572"/>
      <c r="L6" s="87">
        <v>1</v>
      </c>
    </row>
    <row r="7" spans="1:12" ht="3.75" customHeight="1" x14ac:dyDescent="0.25">
      <c r="A7" s="587"/>
      <c r="B7" s="1652"/>
      <c r="C7" s="1652"/>
      <c r="D7" s="572"/>
      <c r="E7" s="710"/>
      <c r="F7" s="1669">
        <f ca="1">NOW()</f>
        <v>43392.497064930554</v>
      </c>
      <c r="G7" s="1669"/>
      <c r="H7" s="1669"/>
      <c r="I7" s="1669"/>
      <c r="J7" s="551"/>
      <c r="K7" s="551"/>
      <c r="L7" s="87">
        <v>1</v>
      </c>
    </row>
    <row r="8" spans="1:12" ht="15" x14ac:dyDescent="0.25">
      <c r="A8" s="587" t="s">
        <v>1031</v>
      </c>
      <c r="B8" s="1653"/>
      <c r="C8" s="1653"/>
      <c r="D8" s="1674" t="s">
        <v>1030</v>
      </c>
      <c r="E8" s="1674"/>
      <c r="F8" s="1670"/>
      <c r="G8" s="1670"/>
      <c r="H8" s="1670"/>
      <c r="I8" s="1670"/>
      <c r="J8" s="672"/>
      <c r="K8" s="672"/>
      <c r="L8" s="87">
        <v>1</v>
      </c>
    </row>
    <row r="9" spans="1:12" ht="3.75" customHeight="1" x14ac:dyDescent="0.25">
      <c r="A9" s="587"/>
      <c r="B9" s="1652"/>
      <c r="C9" s="1652"/>
      <c r="D9" s="572"/>
      <c r="E9" s="710"/>
      <c r="F9" s="1646">
        <f>+'5 ALMACEN '!W5</f>
        <v>0</v>
      </c>
      <c r="G9" s="1646"/>
      <c r="H9" s="1646"/>
      <c r="I9" s="1646"/>
      <c r="J9" s="551"/>
      <c r="K9" s="551"/>
      <c r="L9" s="87">
        <v>1</v>
      </c>
    </row>
    <row r="10" spans="1:12" ht="15" x14ac:dyDescent="0.25">
      <c r="A10" s="585" t="s">
        <v>1032</v>
      </c>
      <c r="B10" s="1653"/>
      <c r="C10" s="1653"/>
      <c r="D10" s="1674" t="s">
        <v>1033</v>
      </c>
      <c r="E10" s="1674"/>
      <c r="F10" s="1647"/>
      <c r="G10" s="1647"/>
      <c r="H10" s="1647"/>
      <c r="I10" s="1647"/>
      <c r="J10" s="586"/>
      <c r="K10" s="586"/>
      <c r="L10" s="87">
        <v>1</v>
      </c>
    </row>
    <row r="11" spans="1:12" ht="3.75" customHeight="1" x14ac:dyDescent="0.2">
      <c r="A11" s="575"/>
      <c r="B11" s="1654"/>
      <c r="C11" s="1654"/>
      <c r="D11" s="588"/>
      <c r="E11" s="577"/>
      <c r="L11" s="87">
        <v>1</v>
      </c>
    </row>
    <row r="12" spans="1:12" ht="15" customHeight="1" x14ac:dyDescent="0.2">
      <c r="A12" s="784" t="s">
        <v>235</v>
      </c>
      <c r="B12" s="1655"/>
      <c r="C12" s="1655"/>
      <c r="D12" s="1675"/>
      <c r="E12" s="1675"/>
      <c r="F12" s="1675"/>
      <c r="G12" s="1675"/>
      <c r="H12" s="1675"/>
      <c r="I12" s="1675"/>
      <c r="L12" s="87">
        <v>1</v>
      </c>
    </row>
    <row r="13" spans="1:12" ht="3.75" customHeight="1" x14ac:dyDescent="0.2">
      <c r="A13" s="575"/>
      <c r="B13" s="577"/>
      <c r="C13" s="577"/>
      <c r="D13" s="588"/>
      <c r="E13" s="577"/>
      <c r="L13" s="87">
        <v>1</v>
      </c>
    </row>
    <row r="14" spans="1:12" ht="21" thickBot="1" x14ac:dyDescent="0.35">
      <c r="A14" s="1671" t="s">
        <v>803</v>
      </c>
      <c r="B14" s="1671"/>
      <c r="C14" s="1671"/>
      <c r="D14" s="1671"/>
      <c r="E14" s="1671"/>
      <c r="F14" s="1671"/>
      <c r="G14" s="1671"/>
      <c r="H14" s="1671"/>
      <c r="I14" s="1671"/>
      <c r="J14" s="573"/>
      <c r="K14" s="573"/>
      <c r="L14" s="87">
        <v>1</v>
      </c>
    </row>
    <row r="15" spans="1:12" ht="13.5" thickBot="1" x14ac:dyDescent="0.25">
      <c r="A15" s="1678" t="s">
        <v>1</v>
      </c>
      <c r="B15" s="1679"/>
      <c r="C15" s="1215" t="s">
        <v>108</v>
      </c>
      <c r="D15" s="1216" t="s">
        <v>45</v>
      </c>
      <c r="E15" s="1215" t="s">
        <v>109</v>
      </c>
      <c r="F15" s="1215" t="s">
        <v>984</v>
      </c>
      <c r="G15" s="1215" t="s">
        <v>985</v>
      </c>
      <c r="H15" s="1215" t="s">
        <v>1028</v>
      </c>
      <c r="I15" s="1215" t="s">
        <v>1029</v>
      </c>
      <c r="J15" s="88" t="s">
        <v>1046</v>
      </c>
      <c r="K15" s="88" t="s">
        <v>1045</v>
      </c>
      <c r="L15" s="87">
        <v>1</v>
      </c>
    </row>
    <row r="16" spans="1:12" ht="13.5" customHeight="1" x14ac:dyDescent="0.2">
      <c r="A16" s="1668" t="s">
        <v>14</v>
      </c>
      <c r="B16" s="1668"/>
      <c r="C16" s="1668"/>
      <c r="D16" s="1009">
        <f>SUM(D17:D46)</f>
        <v>0</v>
      </c>
      <c r="E16" s="589"/>
      <c r="F16" s="680"/>
      <c r="G16" s="680"/>
      <c r="H16" s="680"/>
      <c r="I16" s="680"/>
      <c r="J16" s="575"/>
      <c r="K16" s="575"/>
      <c r="L16" s="87">
        <f>IF(D16&gt;0,1,0)</f>
        <v>0</v>
      </c>
    </row>
    <row r="17" spans="1:12" ht="12.75" customHeight="1" x14ac:dyDescent="0.2">
      <c r="A17" s="1656" t="s">
        <v>819</v>
      </c>
      <c r="B17" s="1658"/>
      <c r="C17" s="92"/>
      <c r="D17" s="646">
        <f>SUM(FORMULAS!AP89:BA89,FORMULAS!AP143:BA143)</f>
        <v>0</v>
      </c>
      <c r="E17" s="93" t="s">
        <v>1026</v>
      </c>
      <c r="F17" s="670"/>
      <c r="G17" s="670"/>
      <c r="H17" s="670"/>
      <c r="I17" s="670"/>
      <c r="J17" s="721"/>
      <c r="K17" s="721">
        <f>+J17*D17</f>
        <v>0</v>
      </c>
      <c r="L17" s="89">
        <f>IF(D17&gt;0,1,0)</f>
        <v>0</v>
      </c>
    </row>
    <row r="18" spans="1:12" ht="12.75" customHeight="1" x14ac:dyDescent="0.2">
      <c r="A18" s="1656" t="s">
        <v>447</v>
      </c>
      <c r="B18" s="1658"/>
      <c r="C18" s="93"/>
      <c r="D18" s="755">
        <f>(Cant.!BS16+Cant.!BT16+Cant.!BU16+Cant.!BV16+Cant.!BW16+Cant.!BX16)</f>
        <v>0</v>
      </c>
      <c r="E18" s="93" t="s">
        <v>1025</v>
      </c>
      <c r="F18" s="670"/>
      <c r="G18" s="670"/>
      <c r="H18" s="670"/>
      <c r="I18" s="670"/>
      <c r="J18" s="721"/>
      <c r="K18" s="721">
        <f>+J18*D18</f>
        <v>0</v>
      </c>
      <c r="L18" s="89">
        <f>IF(D18&gt;0,1,0)</f>
        <v>0</v>
      </c>
    </row>
    <row r="19" spans="1:12" ht="12.75" customHeight="1" x14ac:dyDescent="0.2">
      <c r="A19" s="1656" t="b">
        <f>IF('2 MEDIA ALTURA'!$C$47&gt;0,CONCATENATE('2 MEDIA ALTURA'!$C$47,"  ","DE","  ",19.5,"  ","X","  ",28-2.5))</f>
        <v>0</v>
      </c>
      <c r="B19" s="1658"/>
      <c r="C19" s="92"/>
      <c r="D19" s="542">
        <f>+FORMULAS!N108+FORMULAS!N161</f>
        <v>0</v>
      </c>
      <c r="E19" s="93" t="s">
        <v>998</v>
      </c>
      <c r="F19" s="670"/>
      <c r="G19" s="670"/>
      <c r="H19" s="670"/>
      <c r="I19" s="670"/>
      <c r="J19" s="721"/>
      <c r="K19" s="721">
        <f t="shared" ref="K19:K44" si="0">+J19*D19</f>
        <v>0</v>
      </c>
      <c r="L19" s="89">
        <f>IF(D19&gt;0,1,0)</f>
        <v>0</v>
      </c>
    </row>
    <row r="20" spans="1:12" ht="12.75" customHeight="1" x14ac:dyDescent="0.2">
      <c r="A20" s="1656" t="b">
        <f>IF('2 MEDIA ALTURA'!$C$47&gt;0,CONCATENATE('2 MEDIA ALTURA'!$C$47,"  ","DE","  ",19.5,"  ","X","  ",30-2.5))</f>
        <v>0</v>
      </c>
      <c r="B20" s="1658"/>
      <c r="C20" s="92"/>
      <c r="D20" s="542">
        <f>+FORMULAS!AA108+FORMULAS!AA161</f>
        <v>0</v>
      </c>
      <c r="E20" s="93" t="s">
        <v>998</v>
      </c>
      <c r="F20" s="670"/>
      <c r="G20" s="670"/>
      <c r="H20" s="670"/>
      <c r="I20" s="670"/>
      <c r="J20" s="721"/>
      <c r="K20" s="721">
        <f t="shared" si="0"/>
        <v>0</v>
      </c>
      <c r="L20" s="89">
        <f t="shared" ref="L20:L42" si="1">IF(D20&gt;0,1,0)</f>
        <v>0</v>
      </c>
    </row>
    <row r="21" spans="1:12" ht="12.75" customHeight="1" x14ac:dyDescent="0.2">
      <c r="A21" s="1656" t="b">
        <f>IF('2 MEDIA ALTURA'!$C$47&gt;0,CONCATENATE('2 MEDIA ALTURA'!$C$47,"  ","DE","  ",19.5,"  ","X","  ",56-2.5))</f>
        <v>0</v>
      </c>
      <c r="B21" s="1658"/>
      <c r="C21" s="92"/>
      <c r="D21" s="542">
        <f>+FORMULAS!AN108+FORMULAS!AN161</f>
        <v>0</v>
      </c>
      <c r="E21" s="93" t="s">
        <v>998</v>
      </c>
      <c r="F21" s="670"/>
      <c r="G21" s="670"/>
      <c r="H21" s="670"/>
      <c r="I21" s="670"/>
      <c r="J21" s="721"/>
      <c r="K21" s="721">
        <f t="shared" si="0"/>
        <v>0</v>
      </c>
      <c r="L21" s="89">
        <f t="shared" si="1"/>
        <v>0</v>
      </c>
    </row>
    <row r="22" spans="1:12" ht="12.75" customHeight="1" x14ac:dyDescent="0.2">
      <c r="A22" s="1656" t="b">
        <f>IF('2 MEDIA ALTURA'!$C$47&gt;0,CONCATENATE('2 MEDIA ALTURA'!$C$47,"  ","DE","  ",19.5,"  ","X","  ",60-2.5))</f>
        <v>0</v>
      </c>
      <c r="B22" s="1658"/>
      <c r="C22" s="92"/>
      <c r="D22" s="542">
        <f>+FORMULAS!BA108+FORMULAS!BA161</f>
        <v>0</v>
      </c>
      <c r="E22" s="93" t="s">
        <v>998</v>
      </c>
      <c r="F22" s="670"/>
      <c r="G22" s="670"/>
      <c r="H22" s="670"/>
      <c r="I22" s="670"/>
      <c r="J22" s="721"/>
      <c r="K22" s="721">
        <f t="shared" si="0"/>
        <v>0</v>
      </c>
      <c r="L22" s="89">
        <f t="shared" si="1"/>
        <v>0</v>
      </c>
    </row>
    <row r="23" spans="1:12" ht="12.75" customHeight="1" x14ac:dyDescent="0.2">
      <c r="A23" s="1656" t="b">
        <f>IF('2 MEDIA ALTURA'!$C$47&gt;0,CONCATENATE('2 MEDIA ALTURA'!$C$47,"  ","DE","  ",19.5,"  ","X","  ",70-2.5))</f>
        <v>0</v>
      </c>
      <c r="B23" s="1658"/>
      <c r="C23" s="92"/>
      <c r="D23" s="542">
        <f>+FORMULAS!BN108+FORMULAS!BN161</f>
        <v>0</v>
      </c>
      <c r="E23" s="93" t="s">
        <v>998</v>
      </c>
      <c r="F23" s="670"/>
      <c r="G23" s="670"/>
      <c r="H23" s="670"/>
      <c r="I23" s="670"/>
      <c r="J23" s="721"/>
      <c r="K23" s="721">
        <f t="shared" si="0"/>
        <v>0</v>
      </c>
      <c r="L23" s="89">
        <f t="shared" si="1"/>
        <v>0</v>
      </c>
    </row>
    <row r="24" spans="1:12" ht="12.75" customHeight="1" x14ac:dyDescent="0.2">
      <c r="A24" s="1656" t="b">
        <f>IF('2 MEDIA ALTURA'!$C$47&gt;0,CONCATENATE('2 MEDIA ALTURA'!$C$47,"  ","DE","  ",19.5,"  ","X","  ",75-2.5))</f>
        <v>0</v>
      </c>
      <c r="B24" s="1658"/>
      <c r="C24" s="92"/>
      <c r="D24" s="542">
        <f>+FORMULAS!CA108+FORMULAS!CA161</f>
        <v>0</v>
      </c>
      <c r="E24" s="93" t="s">
        <v>998</v>
      </c>
      <c r="F24" s="670"/>
      <c r="G24" s="670"/>
      <c r="H24" s="670"/>
      <c r="I24" s="670"/>
      <c r="J24" s="721"/>
      <c r="K24" s="721">
        <f t="shared" si="0"/>
        <v>0</v>
      </c>
      <c r="L24" s="89">
        <f t="shared" si="1"/>
        <v>0</v>
      </c>
    </row>
    <row r="25" spans="1:12" ht="12.75" customHeight="1" x14ac:dyDescent="0.2">
      <c r="A25" s="1656" t="b">
        <f>IF('2 MEDIA ALTURA'!$C$47&gt;0,CONCATENATE('2 MEDIA ALTURA'!$C$47,"  ","DE","  ",19.5,"  ","X","  ",84-2.5))</f>
        <v>0</v>
      </c>
      <c r="B25" s="1658"/>
      <c r="C25" s="92"/>
      <c r="D25" s="542">
        <f>+FORMULAS!CN108+FORMULAS!CN161</f>
        <v>0</v>
      </c>
      <c r="E25" s="93" t="s">
        <v>998</v>
      </c>
      <c r="F25" s="670"/>
      <c r="G25" s="670"/>
      <c r="H25" s="670"/>
      <c r="I25" s="670"/>
      <c r="J25" s="721"/>
      <c r="K25" s="721">
        <f t="shared" si="0"/>
        <v>0</v>
      </c>
      <c r="L25" s="89">
        <f t="shared" si="1"/>
        <v>0</v>
      </c>
    </row>
    <row r="26" spans="1:12" ht="12.75" customHeight="1" x14ac:dyDescent="0.2">
      <c r="A26" s="1656" t="b">
        <f>IF('2 MEDIA ALTURA'!$C$47&gt;0,CONCATENATE('2 MEDIA ALTURA'!$C$47,"  ","DE","  ",19.5,"  ","X","  ",90-2.5))</f>
        <v>0</v>
      </c>
      <c r="B26" s="1658"/>
      <c r="C26" s="92"/>
      <c r="D26" s="542">
        <f>+FORMULAS!DA108+FORMULAS!DA161</f>
        <v>0</v>
      </c>
      <c r="E26" s="93" t="s">
        <v>998</v>
      </c>
      <c r="F26" s="670"/>
      <c r="G26" s="670"/>
      <c r="H26" s="670"/>
      <c r="I26" s="670"/>
      <c r="J26" s="721"/>
      <c r="K26" s="721">
        <f t="shared" si="0"/>
        <v>0</v>
      </c>
      <c r="L26" s="89">
        <f t="shared" si="1"/>
        <v>0</v>
      </c>
    </row>
    <row r="27" spans="1:12" ht="12.75" customHeight="1" x14ac:dyDescent="0.2">
      <c r="A27" s="1656" t="b">
        <f>IF('2 MEDIA ALTURA'!$C$47&gt;0,CONCATENATE('2 MEDIA ALTURA'!$C$47,"  ","DE","  ",19.5,"  ","X","  ",112-2.5))</f>
        <v>0</v>
      </c>
      <c r="B27" s="1658"/>
      <c r="C27" s="92"/>
      <c r="D27" s="542">
        <f>+FORMULAS!DN108+FORMULAS!DN161</f>
        <v>0</v>
      </c>
      <c r="E27" s="93" t="s">
        <v>998</v>
      </c>
      <c r="F27" s="670"/>
      <c r="G27" s="670"/>
      <c r="H27" s="670"/>
      <c r="I27" s="670"/>
      <c r="J27" s="721"/>
      <c r="K27" s="721">
        <f t="shared" si="0"/>
        <v>0</v>
      </c>
      <c r="L27" s="89">
        <f t="shared" si="1"/>
        <v>0</v>
      </c>
    </row>
    <row r="28" spans="1:12" ht="12.75" customHeight="1" x14ac:dyDescent="0.2">
      <c r="A28" s="1656" t="b">
        <f>IF('2 MEDIA ALTURA'!$C$47&gt;0,CONCATENATE('2 MEDIA ALTURA'!$C$47,"  ","DE","  ",19.5,"  ","X","  ",120-2.5))</f>
        <v>0</v>
      </c>
      <c r="B28" s="1658"/>
      <c r="C28" s="92"/>
      <c r="D28" s="542">
        <f>+FORMULAS!DN109+FORMULAS!DN162</f>
        <v>0</v>
      </c>
      <c r="E28" s="93" t="s">
        <v>998</v>
      </c>
      <c r="F28" s="670"/>
      <c r="G28" s="670"/>
      <c r="H28" s="670"/>
      <c r="I28" s="670"/>
      <c r="J28" s="721"/>
      <c r="K28" s="721">
        <f t="shared" si="0"/>
        <v>0</v>
      </c>
      <c r="L28" s="89">
        <f t="shared" si="1"/>
        <v>0</v>
      </c>
    </row>
    <row r="29" spans="1:12" ht="12.75" customHeight="1" x14ac:dyDescent="0.2">
      <c r="A29" s="1656" t="b">
        <f>IF('2 MEDIA ALTURA'!$C$47&gt;0,CONCATENATE('2 MEDIA ALTURA'!$C$47,"  ","DE","  ",19.5,"  ","X","  ",140-2.5))</f>
        <v>0</v>
      </c>
      <c r="B29" s="1658"/>
      <c r="C29" s="92"/>
      <c r="D29" s="542">
        <f>+FORMULAS!EN108+FORMULAS!EN161</f>
        <v>0</v>
      </c>
      <c r="E29" s="93" t="s">
        <v>998</v>
      </c>
      <c r="F29" s="670"/>
      <c r="G29" s="670"/>
      <c r="H29" s="670"/>
      <c r="I29" s="670"/>
      <c r="J29" s="721"/>
      <c r="K29" s="721">
        <f t="shared" si="0"/>
        <v>0</v>
      </c>
      <c r="L29" s="89">
        <f t="shared" si="1"/>
        <v>0</v>
      </c>
    </row>
    <row r="30" spans="1:12" ht="12.75" customHeight="1" x14ac:dyDescent="0.2">
      <c r="A30" s="1656" t="b">
        <f>IF('2 MEDIA ALTURA'!$C$47&gt;0,CONCATENATE('2 MEDIA ALTURA'!$C$47,"  ","DE","  ",19.5,"  ","X","  ",150-2.5))</f>
        <v>0</v>
      </c>
      <c r="B30" s="1658"/>
      <c r="C30" s="92"/>
      <c r="D30" s="542">
        <f>+FORMULAS!FA108+FORMULAS!FA161</f>
        <v>0</v>
      </c>
      <c r="E30" s="93" t="s">
        <v>998</v>
      </c>
      <c r="F30" s="670"/>
      <c r="G30" s="670"/>
      <c r="H30" s="670"/>
      <c r="I30" s="670"/>
      <c r="J30" s="721"/>
      <c r="K30" s="721">
        <f t="shared" si="0"/>
        <v>0</v>
      </c>
      <c r="L30" s="89">
        <f t="shared" si="1"/>
        <v>0</v>
      </c>
    </row>
    <row r="31" spans="1:12" ht="12.75" customHeight="1" x14ac:dyDescent="0.2">
      <c r="A31" s="1656" t="b">
        <f>IF('2 MEDIA ALTURA'!$C$47&gt;0,CONCATENATE('2 MEDIA ALTURA'!$C$47,"  ","DE","  ",39.5,"  ","X","  ",28-2.5))</f>
        <v>0</v>
      </c>
      <c r="B31" s="1658"/>
      <c r="C31" s="92"/>
      <c r="D31" s="542">
        <f>+FORMULAS!N97+FORMULAS!N150</f>
        <v>0</v>
      </c>
      <c r="E31" s="93" t="s">
        <v>998</v>
      </c>
      <c r="F31" s="670"/>
      <c r="G31" s="670"/>
      <c r="H31" s="670"/>
      <c r="I31" s="670"/>
      <c r="J31" s="721"/>
      <c r="K31" s="721">
        <f t="shared" si="0"/>
        <v>0</v>
      </c>
      <c r="L31" s="89">
        <f t="shared" si="1"/>
        <v>0</v>
      </c>
    </row>
    <row r="32" spans="1:12" ht="12.75" customHeight="1" x14ac:dyDescent="0.2">
      <c r="A32" s="1656" t="b">
        <f>IF('2 MEDIA ALTURA'!$C$47&gt;0,CONCATENATE('2 MEDIA ALTURA'!$C$47,"  ","DE","  ",39.5,"  ","X","  ",30-2.5))</f>
        <v>0</v>
      </c>
      <c r="B32" s="1658"/>
      <c r="C32" s="92"/>
      <c r="D32" s="542">
        <f>+FORMULAS!AA97+FORMULAS!AA150</f>
        <v>0</v>
      </c>
      <c r="E32" s="93" t="s">
        <v>998</v>
      </c>
      <c r="F32" s="670"/>
      <c r="G32" s="670"/>
      <c r="H32" s="670"/>
      <c r="I32" s="670"/>
      <c r="J32" s="721"/>
      <c r="K32" s="721">
        <f t="shared" si="0"/>
        <v>0</v>
      </c>
      <c r="L32" s="89">
        <f t="shared" si="1"/>
        <v>0</v>
      </c>
    </row>
    <row r="33" spans="1:12" ht="12.75" customHeight="1" x14ac:dyDescent="0.2">
      <c r="A33" s="1656" t="b">
        <f>IF('2 MEDIA ALTURA'!$C$47&gt;0,CONCATENATE('2 MEDIA ALTURA'!$C$47,"  ","DE","  ",39.5,"  ","X","  ",56-2.5))</f>
        <v>0</v>
      </c>
      <c r="B33" s="1658"/>
      <c r="C33" s="92"/>
      <c r="D33" s="542">
        <f>+FORMULAS!AN97+FORMULAS!AN150</f>
        <v>0</v>
      </c>
      <c r="E33" s="93" t="s">
        <v>998</v>
      </c>
      <c r="F33" s="670"/>
      <c r="G33" s="670"/>
      <c r="H33" s="670"/>
      <c r="I33" s="670"/>
      <c r="J33" s="721"/>
      <c r="K33" s="721">
        <f t="shared" si="0"/>
        <v>0</v>
      </c>
      <c r="L33" s="89">
        <f t="shared" si="1"/>
        <v>0</v>
      </c>
    </row>
    <row r="34" spans="1:12" ht="12.75" customHeight="1" x14ac:dyDescent="0.2">
      <c r="A34" s="1656" t="b">
        <f>IF('2 MEDIA ALTURA'!$C$47&gt;0,CONCATENATE('2 MEDIA ALTURA'!$C$47,"  ","DE","  ",39.5,"  ","X","  ",60-2.5))</f>
        <v>0</v>
      </c>
      <c r="B34" s="1658"/>
      <c r="C34" s="92"/>
      <c r="D34" s="542">
        <f>+FORMULAS!BA97+FORMULAS!BA150</f>
        <v>0</v>
      </c>
      <c r="E34" s="93" t="s">
        <v>998</v>
      </c>
      <c r="F34" s="670"/>
      <c r="G34" s="670"/>
      <c r="H34" s="670"/>
      <c r="I34" s="670"/>
      <c r="J34" s="721"/>
      <c r="K34" s="721">
        <f t="shared" si="0"/>
        <v>0</v>
      </c>
      <c r="L34" s="89">
        <f t="shared" si="1"/>
        <v>0</v>
      </c>
    </row>
    <row r="35" spans="1:12" ht="12.75" customHeight="1" x14ac:dyDescent="0.2">
      <c r="A35" s="1656" t="b">
        <f>IF('2 MEDIA ALTURA'!$C$47&gt;0,CONCATENATE('2 MEDIA ALTURA'!$C$47,"  ","DE","  ",39.5,"  ","X","  ",70-2.5))</f>
        <v>0</v>
      </c>
      <c r="B35" s="1658"/>
      <c r="C35" s="92"/>
      <c r="D35" s="542">
        <f>+FORMULAS!BN97+FORMULAS!BN150</f>
        <v>0</v>
      </c>
      <c r="E35" s="93" t="s">
        <v>998</v>
      </c>
      <c r="F35" s="670"/>
      <c r="G35" s="670"/>
      <c r="H35" s="670"/>
      <c r="I35" s="670"/>
      <c r="J35" s="721"/>
      <c r="K35" s="721">
        <f t="shared" si="0"/>
        <v>0</v>
      </c>
      <c r="L35" s="89">
        <f t="shared" si="1"/>
        <v>0</v>
      </c>
    </row>
    <row r="36" spans="1:12" ht="12.75" customHeight="1" x14ac:dyDescent="0.2">
      <c r="A36" s="1656" t="b">
        <f>IF('2 MEDIA ALTURA'!$C$47&gt;0,CONCATENATE('2 MEDIA ALTURA'!$C$47,"  ","DE","  ",39.5,"  ","X","  ",75-2.5))</f>
        <v>0</v>
      </c>
      <c r="B36" s="1658"/>
      <c r="C36" s="92"/>
      <c r="D36" s="542">
        <f>+FORMULAS!CA97+FORMULAS!CA150</f>
        <v>0</v>
      </c>
      <c r="E36" s="93" t="s">
        <v>998</v>
      </c>
      <c r="F36" s="670"/>
      <c r="G36" s="670"/>
      <c r="H36" s="670"/>
      <c r="I36" s="670"/>
      <c r="J36" s="721"/>
      <c r="K36" s="721">
        <f t="shared" si="0"/>
        <v>0</v>
      </c>
      <c r="L36" s="89">
        <f t="shared" si="1"/>
        <v>0</v>
      </c>
    </row>
    <row r="37" spans="1:12" ht="12.75" customHeight="1" x14ac:dyDescent="0.2">
      <c r="A37" s="1656" t="b">
        <f>IF('2 MEDIA ALTURA'!$C$47&gt;0,CONCATENATE('2 MEDIA ALTURA'!$C$47,"  ","DE","  ",39.5,"  ","X","  ",84-2.5))</f>
        <v>0</v>
      </c>
      <c r="B37" s="1658"/>
      <c r="C37" s="92"/>
      <c r="D37" s="542">
        <f>+FORMULAS!CN97+FORMULAS!CN150</f>
        <v>0</v>
      </c>
      <c r="E37" s="93" t="s">
        <v>998</v>
      </c>
      <c r="F37" s="670"/>
      <c r="G37" s="670"/>
      <c r="H37" s="670"/>
      <c r="I37" s="670"/>
      <c r="J37" s="721"/>
      <c r="K37" s="721">
        <f t="shared" si="0"/>
        <v>0</v>
      </c>
      <c r="L37" s="89">
        <f t="shared" si="1"/>
        <v>0</v>
      </c>
    </row>
    <row r="38" spans="1:12" ht="12.75" customHeight="1" x14ac:dyDescent="0.2">
      <c r="A38" s="1656" t="b">
        <f>IF('2 MEDIA ALTURA'!$C$47&gt;0,CONCATENATE('2 MEDIA ALTURA'!$C$47,"  ","DE","  ",39.5,"  ","X","  ",90-2.5))</f>
        <v>0</v>
      </c>
      <c r="B38" s="1658"/>
      <c r="C38" s="92"/>
      <c r="D38" s="542">
        <f>+FORMULAS!DA97+FORMULAS!DA150</f>
        <v>0</v>
      </c>
      <c r="E38" s="93" t="s">
        <v>998</v>
      </c>
      <c r="F38" s="670"/>
      <c r="G38" s="670"/>
      <c r="H38" s="670"/>
      <c r="I38" s="670"/>
      <c r="J38" s="721"/>
      <c r="K38" s="721">
        <f t="shared" si="0"/>
        <v>0</v>
      </c>
      <c r="L38" s="89">
        <f t="shared" si="1"/>
        <v>0</v>
      </c>
    </row>
    <row r="39" spans="1:12" ht="12.75" customHeight="1" x14ac:dyDescent="0.2">
      <c r="A39" s="1656" t="b">
        <f>IF('2 MEDIA ALTURA'!$C$47&gt;0,CONCATENATE('2 MEDIA ALTURA'!$C$47,"  ","DE","  ",39.5,"  ","X","  ",112-2.5))</f>
        <v>0</v>
      </c>
      <c r="B39" s="1658"/>
      <c r="C39" s="92"/>
      <c r="D39" s="542">
        <f>+FORMULAS!DN97+FORMULAS!DN150</f>
        <v>0</v>
      </c>
      <c r="E39" s="93" t="s">
        <v>998</v>
      </c>
      <c r="F39" s="670"/>
      <c r="G39" s="670"/>
      <c r="H39" s="670"/>
      <c r="I39" s="670"/>
      <c r="J39" s="721"/>
      <c r="K39" s="721">
        <f t="shared" si="0"/>
        <v>0</v>
      </c>
      <c r="L39" s="89">
        <f t="shared" si="1"/>
        <v>0</v>
      </c>
    </row>
    <row r="40" spans="1:12" ht="12.75" customHeight="1" x14ac:dyDescent="0.2">
      <c r="A40" s="1656" t="b">
        <f>IF('2 MEDIA ALTURA'!$C$47&gt;0,CONCATENATE('2 MEDIA ALTURA'!$C$47,"  ","DE","  ",39.5,"  ","X","  ",120-2.5))</f>
        <v>0</v>
      </c>
      <c r="B40" s="1658"/>
      <c r="C40" s="92"/>
      <c r="D40" s="542">
        <f>+FORMULAS!EA97+FORMULAS!EA150</f>
        <v>0</v>
      </c>
      <c r="E40" s="93" t="s">
        <v>998</v>
      </c>
      <c r="F40" s="670"/>
      <c r="G40" s="670"/>
      <c r="H40" s="670"/>
      <c r="I40" s="670"/>
      <c r="J40" s="721"/>
      <c r="K40" s="721">
        <f t="shared" si="0"/>
        <v>0</v>
      </c>
      <c r="L40" s="89">
        <f t="shared" si="1"/>
        <v>0</v>
      </c>
    </row>
    <row r="41" spans="1:12" ht="12.75" customHeight="1" x14ac:dyDescent="0.2">
      <c r="A41" s="1656" t="b">
        <f>IF('2 MEDIA ALTURA'!$C$47&gt;0,CONCATENATE('2 MEDIA ALTURA'!$C$47,"  ","DE","  ",39.5,"  ","X","  ",140-2.5))</f>
        <v>0</v>
      </c>
      <c r="B41" s="1658"/>
      <c r="C41" s="92"/>
      <c r="D41" s="542">
        <f>+FORMULAS!EN97+FORMULAS!EN150</f>
        <v>0</v>
      </c>
      <c r="E41" s="93" t="s">
        <v>998</v>
      </c>
      <c r="F41" s="670"/>
      <c r="G41" s="670"/>
      <c r="H41" s="670"/>
      <c r="I41" s="670"/>
      <c r="J41" s="721"/>
      <c r="K41" s="721">
        <f t="shared" si="0"/>
        <v>0</v>
      </c>
      <c r="L41" s="89">
        <f t="shared" si="1"/>
        <v>0</v>
      </c>
    </row>
    <row r="42" spans="1:12" ht="12.75" customHeight="1" x14ac:dyDescent="0.2">
      <c r="A42" s="1656" t="b">
        <f>IF('2 MEDIA ALTURA'!$C$47&gt;0,CONCATENATE('2 MEDIA ALTURA'!$C$47,"  ","DE","  ",39.5,"  ","X","  ",150-2.5))</f>
        <v>0</v>
      </c>
      <c r="B42" s="1658"/>
      <c r="C42" s="92"/>
      <c r="D42" s="542">
        <f>+FORMULAS!FA97+FORMULAS!FA150</f>
        <v>0</v>
      </c>
      <c r="E42" s="93" t="s">
        <v>998</v>
      </c>
      <c r="F42" s="670"/>
      <c r="G42" s="670"/>
      <c r="H42" s="670"/>
      <c r="I42" s="670"/>
      <c r="J42" s="721"/>
      <c r="K42" s="721">
        <f t="shared" si="0"/>
        <v>0</v>
      </c>
      <c r="L42" s="89">
        <f t="shared" si="1"/>
        <v>0</v>
      </c>
    </row>
    <row r="43" spans="1:12" ht="12.75" customHeight="1" x14ac:dyDescent="0.2">
      <c r="A43" s="1656" t="s">
        <v>820</v>
      </c>
      <c r="B43" s="1658"/>
      <c r="C43" s="92"/>
      <c r="D43" s="542">
        <f>+'M . A .'!C345</f>
        <v>0</v>
      </c>
      <c r="E43" s="93" t="s">
        <v>998</v>
      </c>
      <c r="F43" s="670"/>
      <c r="G43" s="670"/>
      <c r="H43" s="670"/>
      <c r="I43" s="670"/>
      <c r="J43" s="721"/>
      <c r="K43" s="721">
        <f t="shared" si="0"/>
        <v>0</v>
      </c>
      <c r="L43" s="89">
        <f t="shared" ref="L43:L49" si="2">IF(D43&gt;0,1,0)</f>
        <v>0</v>
      </c>
    </row>
    <row r="44" spans="1:12" ht="12.75" customHeight="1" x14ac:dyDescent="0.2">
      <c r="A44" s="1656" t="s">
        <v>821</v>
      </c>
      <c r="B44" s="1658"/>
      <c r="C44" s="92"/>
      <c r="D44" s="542">
        <f>+'M . A .'!C346</f>
        <v>0</v>
      </c>
      <c r="E44" s="93" t="s">
        <v>998</v>
      </c>
      <c r="F44" s="670"/>
      <c r="G44" s="670"/>
      <c r="H44" s="670"/>
      <c r="I44" s="670"/>
      <c r="J44" s="721"/>
      <c r="K44" s="721">
        <f t="shared" si="0"/>
        <v>0</v>
      </c>
      <c r="L44" s="89">
        <f t="shared" si="2"/>
        <v>0</v>
      </c>
    </row>
    <row r="45" spans="1:12" ht="12.75" customHeight="1" x14ac:dyDescent="0.2">
      <c r="A45" s="1656" t="s">
        <v>822</v>
      </c>
      <c r="B45" s="1658"/>
      <c r="C45" s="92"/>
      <c r="D45" s="646">
        <f>+FORMULAS!BO75</f>
        <v>0</v>
      </c>
      <c r="E45" s="93" t="s">
        <v>1026</v>
      </c>
      <c r="F45" s="670"/>
      <c r="G45" s="670"/>
      <c r="H45" s="670"/>
      <c r="I45" s="670"/>
      <c r="J45" s="721"/>
      <c r="K45" s="721">
        <f>+J45*D45</f>
        <v>0</v>
      </c>
      <c r="L45" s="89">
        <f>IF(D45&gt;0,1,0)</f>
        <v>0</v>
      </c>
    </row>
    <row r="46" spans="1:12" ht="12.75" customHeight="1" x14ac:dyDescent="0.2">
      <c r="A46" s="1656" t="str">
        <f>+'M . A .'!A364</f>
        <v>Tornillo 8 X 1/2 Pan Pav Ran</v>
      </c>
      <c r="B46" s="1658"/>
      <c r="C46" s="93"/>
      <c r="D46" s="542">
        <f>+'M . A .'!C364</f>
        <v>0</v>
      </c>
      <c r="E46" s="93" t="s">
        <v>998</v>
      </c>
      <c r="F46" s="670"/>
      <c r="G46" s="670"/>
      <c r="H46" s="670"/>
      <c r="I46" s="670"/>
      <c r="J46" s="721"/>
      <c r="K46" s="721">
        <f>+J46*D46</f>
        <v>0</v>
      </c>
      <c r="L46" s="89">
        <f t="shared" si="2"/>
        <v>0</v>
      </c>
    </row>
    <row r="47" spans="1:12" ht="12.75" customHeight="1" x14ac:dyDescent="0.2">
      <c r="A47" s="1648" t="s">
        <v>0</v>
      </c>
      <c r="B47" s="1648"/>
      <c r="C47" s="1648"/>
      <c r="D47" s="1006">
        <f>SUM(D48:D88)</f>
        <v>0</v>
      </c>
      <c r="E47" s="95"/>
      <c r="F47" s="680"/>
      <c r="G47" s="680"/>
      <c r="H47" s="680"/>
      <c r="I47" s="680"/>
      <c r="J47" s="723"/>
      <c r="K47" s="723"/>
      <c r="L47" s="89">
        <f t="shared" si="2"/>
        <v>0</v>
      </c>
    </row>
    <row r="48" spans="1:12" ht="12.75" customHeight="1" x14ac:dyDescent="0.2">
      <c r="A48" s="1656" t="str">
        <f>CONCATENATE('1 PISO TECHO'!C33," ",122," ","X"," ",244)</f>
        <v xml:space="preserve"> 122 X 244</v>
      </c>
      <c r="B48" s="1658"/>
      <c r="C48" s="711"/>
      <c r="D48" s="728">
        <f>CEILING(+('1 PISO TECHO'!AB14+'1 PISO TECHO'!AZ14),1)</f>
        <v>0</v>
      </c>
      <c r="E48" s="91" t="s">
        <v>1025</v>
      </c>
      <c r="F48" s="727"/>
      <c r="G48" s="727"/>
      <c r="H48" s="727"/>
      <c r="I48" s="727"/>
      <c r="J48" s="721"/>
      <c r="K48" s="721">
        <f t="shared" ref="K48:K53" si="3">+J48*D48</f>
        <v>0</v>
      </c>
      <c r="L48" s="89">
        <f t="shared" si="2"/>
        <v>0</v>
      </c>
    </row>
    <row r="49" spans="1:12" ht="12.75" customHeight="1" x14ac:dyDescent="0.2">
      <c r="A49" s="1656" t="s">
        <v>828</v>
      </c>
      <c r="B49" s="1658"/>
      <c r="C49" s="92"/>
      <c r="D49" s="542">
        <f>+P.T.Nueva!C656</f>
        <v>0</v>
      </c>
      <c r="E49" s="93" t="s">
        <v>1025</v>
      </c>
      <c r="F49" s="670"/>
      <c r="G49" s="670"/>
      <c r="H49" s="670"/>
      <c r="I49" s="670"/>
      <c r="J49" s="721"/>
      <c r="K49" s="721">
        <f t="shared" si="3"/>
        <v>0</v>
      </c>
      <c r="L49" s="89">
        <f t="shared" si="2"/>
        <v>0</v>
      </c>
    </row>
    <row r="50" spans="1:12" ht="12.75" customHeight="1" x14ac:dyDescent="0.2">
      <c r="A50" s="1656" t="s">
        <v>829</v>
      </c>
      <c r="B50" s="1658"/>
      <c r="C50" s="92"/>
      <c r="D50" s="542">
        <f>+P.T.Nueva!C661</f>
        <v>0</v>
      </c>
      <c r="E50" s="93" t="s">
        <v>998</v>
      </c>
      <c r="F50" s="670"/>
      <c r="G50" s="670"/>
      <c r="H50" s="670"/>
      <c r="I50" s="670"/>
      <c r="J50" s="721"/>
      <c r="K50" s="721">
        <f t="shared" si="3"/>
        <v>0</v>
      </c>
      <c r="L50" s="89">
        <f>IF(D50&gt;0,1,0)</f>
        <v>0</v>
      </c>
    </row>
    <row r="51" spans="1:12" ht="12.75" customHeight="1" x14ac:dyDescent="0.2">
      <c r="A51" s="1656" t="s">
        <v>830</v>
      </c>
      <c r="B51" s="1658"/>
      <c r="C51" s="92"/>
      <c r="D51" s="542">
        <f>+P.T.Nueva!C663</f>
        <v>0</v>
      </c>
      <c r="E51" s="93" t="s">
        <v>1026</v>
      </c>
      <c r="F51" s="670"/>
      <c r="G51" s="670"/>
      <c r="H51" s="670"/>
      <c r="I51" s="670"/>
      <c r="J51" s="721"/>
      <c r="K51" s="721">
        <f t="shared" si="3"/>
        <v>0</v>
      </c>
      <c r="L51" s="89">
        <f>IF(D51&gt;0,1,0)</f>
        <v>0</v>
      </c>
    </row>
    <row r="52" spans="1:12" ht="12.75" customHeight="1" x14ac:dyDescent="0.2">
      <c r="A52" s="1656" t="s">
        <v>831</v>
      </c>
      <c r="B52" s="1658"/>
      <c r="C52" s="92"/>
      <c r="D52" s="542">
        <f>+P.T.Nueva!C664</f>
        <v>0</v>
      </c>
      <c r="E52" s="93" t="s">
        <v>1026</v>
      </c>
      <c r="F52" s="670"/>
      <c r="G52" s="670"/>
      <c r="H52" s="670"/>
      <c r="I52" s="670"/>
      <c r="J52" s="721"/>
      <c r="K52" s="721">
        <f t="shared" si="3"/>
        <v>0</v>
      </c>
      <c r="L52" s="89">
        <f>IF(D52&gt;0,1,0)</f>
        <v>0</v>
      </c>
    </row>
    <row r="53" spans="1:12" ht="12.75" customHeight="1" x14ac:dyDescent="0.2">
      <c r="A53" s="1656" t="s">
        <v>1106</v>
      </c>
      <c r="B53" s="1658"/>
      <c r="C53" s="93"/>
      <c r="D53" s="646">
        <f>(P.T.Nueva!C674)+SUM(FORMULAS!BC146:DA146,FORMULAS!BC92:DA92)</f>
        <v>0</v>
      </c>
      <c r="E53" s="93" t="s">
        <v>1026</v>
      </c>
      <c r="F53" s="670"/>
      <c r="G53" s="670"/>
      <c r="H53" s="670"/>
      <c r="I53" s="670"/>
      <c r="J53" s="721"/>
      <c r="K53" s="721">
        <f t="shared" si="3"/>
        <v>0</v>
      </c>
      <c r="L53" s="89">
        <f>IF(D53&gt;0,1,0)</f>
        <v>0</v>
      </c>
    </row>
    <row r="54" spans="1:12" ht="12.75" customHeight="1" x14ac:dyDescent="0.2">
      <c r="A54" s="1656" t="str">
        <f>+P.T.Nueva!A679</f>
        <v>Levas</v>
      </c>
      <c r="B54" s="1658"/>
      <c r="C54" s="92"/>
      <c r="D54" s="542">
        <f>+P.T.Nueva!C679</f>
        <v>0</v>
      </c>
      <c r="E54" s="93" t="str">
        <f>+P.T.Nueva!D679</f>
        <v>Uni</v>
      </c>
      <c r="F54" s="673"/>
      <c r="G54" s="673"/>
      <c r="H54" s="673"/>
      <c r="I54" s="673"/>
      <c r="J54" s="722"/>
      <c r="K54" s="722"/>
      <c r="L54" s="89"/>
    </row>
    <row r="55" spans="1:12" ht="12.75" customHeight="1" x14ac:dyDescent="0.2">
      <c r="A55" s="1656" t="s">
        <v>447</v>
      </c>
      <c r="B55" s="1658"/>
      <c r="C55" s="92"/>
      <c r="D55" s="646">
        <f>+(Almacen!AK79)</f>
        <v>0</v>
      </c>
      <c r="E55" s="93" t="s">
        <v>1025</v>
      </c>
      <c r="F55" s="670"/>
      <c r="G55" s="670"/>
      <c r="H55" s="670"/>
      <c r="I55" s="670"/>
      <c r="J55" s="721"/>
      <c r="K55" s="721">
        <f t="shared" ref="K55:K80" si="4">+J55*D55</f>
        <v>0</v>
      </c>
      <c r="L55" s="89">
        <f>IF(D55&gt;0,1,0)</f>
        <v>0</v>
      </c>
    </row>
    <row r="56" spans="1:12" ht="12.75" customHeight="1" x14ac:dyDescent="0.2">
      <c r="A56" s="1656" t="s">
        <v>112</v>
      </c>
      <c r="B56" s="1658"/>
      <c r="C56" s="92"/>
      <c r="D56" s="646">
        <f>+D55/1.5</f>
        <v>0</v>
      </c>
      <c r="E56" s="582" t="s">
        <v>998</v>
      </c>
      <c r="F56" s="670"/>
      <c r="G56" s="670"/>
      <c r="H56" s="670"/>
      <c r="I56" s="670"/>
      <c r="J56" s="721"/>
      <c r="K56" s="721">
        <f t="shared" si="4"/>
        <v>0</v>
      </c>
      <c r="L56" s="89">
        <f>IF(D56&gt;0,1,0)</f>
        <v>0</v>
      </c>
    </row>
    <row r="57" spans="1:12" ht="12.75" customHeight="1" x14ac:dyDescent="0.2">
      <c r="A57" s="1656" t="b">
        <f>IF('1 PISO TECHO'!$B$34&gt;0,CONCATENATE('1 PISO TECHO'!$C$34,"  ","DE","  ",76.5,"  ","X","  ",28-2.5))</f>
        <v>0</v>
      </c>
      <c r="B57" s="1658"/>
      <c r="C57" s="92"/>
      <c r="D57" s="545">
        <f>+FORMULAS!U16+'1 P-T +'!AM17</f>
        <v>0</v>
      </c>
      <c r="E57" s="582" t="s">
        <v>998</v>
      </c>
      <c r="F57" s="670"/>
      <c r="G57" s="670"/>
      <c r="H57" s="670"/>
      <c r="I57" s="670"/>
      <c r="J57" s="721"/>
      <c r="K57" s="721">
        <f t="shared" si="4"/>
        <v>0</v>
      </c>
      <c r="L57" s="89">
        <f t="shared" ref="L57:L80" si="5">IF(D57&gt;0,1,0)</f>
        <v>0</v>
      </c>
    </row>
    <row r="58" spans="1:12" ht="12.75" customHeight="1" x14ac:dyDescent="0.2">
      <c r="A58" s="1656" t="b">
        <f>IF('1 PISO TECHO'!$B$34&gt;0,CONCATENATE('1 PISO TECHO'!$C$34,"  ","DE","  ",76.5,"  ","X","  ",30-2.5))</f>
        <v>0</v>
      </c>
      <c r="B58" s="1658"/>
      <c r="C58" s="92"/>
      <c r="D58" s="542">
        <f>+FORMULAS!U17</f>
        <v>0</v>
      </c>
      <c r="E58" s="582" t="s">
        <v>998</v>
      </c>
      <c r="F58" s="670"/>
      <c r="G58" s="670"/>
      <c r="H58" s="670"/>
      <c r="I58" s="670"/>
      <c r="J58" s="721"/>
      <c r="K58" s="721">
        <f t="shared" si="4"/>
        <v>0</v>
      </c>
      <c r="L58" s="89">
        <f t="shared" si="5"/>
        <v>0</v>
      </c>
    </row>
    <row r="59" spans="1:12" ht="12.75" customHeight="1" x14ac:dyDescent="0.2">
      <c r="A59" s="1656" t="b">
        <f>IF('1 PISO TECHO'!$B$34&gt;0,CONCATENATE('1 PISO TECHO'!$C$34,"  ","DE","  ",76.5,"  ","X","  ",56-2.5))</f>
        <v>0</v>
      </c>
      <c r="B59" s="1658"/>
      <c r="C59" s="92"/>
      <c r="D59" s="542">
        <f>+FORMULAS!U18</f>
        <v>0</v>
      </c>
      <c r="E59" s="582" t="s">
        <v>998</v>
      </c>
      <c r="F59" s="670"/>
      <c r="G59" s="670"/>
      <c r="H59" s="670"/>
      <c r="I59" s="670"/>
      <c r="J59" s="721"/>
      <c r="K59" s="721">
        <f t="shared" si="4"/>
        <v>0</v>
      </c>
      <c r="L59" s="89">
        <f t="shared" si="5"/>
        <v>0</v>
      </c>
    </row>
    <row r="60" spans="1:12" ht="12.75" customHeight="1" x14ac:dyDescent="0.2">
      <c r="A60" s="1656" t="b">
        <f>IF('1 PISO TECHO'!$B$34&gt;0,CONCATENATE('1 PISO TECHO'!$C$34,"  ","DE","  ",76.5,"  ","X","  ",60-2.5))</f>
        <v>0</v>
      </c>
      <c r="B60" s="1658"/>
      <c r="C60" s="92"/>
      <c r="D60" s="542">
        <f>+FORMULAS!U19</f>
        <v>0</v>
      </c>
      <c r="E60" s="582" t="s">
        <v>998</v>
      </c>
      <c r="F60" s="670"/>
      <c r="G60" s="670"/>
      <c r="H60" s="670"/>
      <c r="I60" s="670"/>
      <c r="J60" s="721"/>
      <c r="K60" s="721">
        <f t="shared" si="4"/>
        <v>0</v>
      </c>
      <c r="L60" s="89">
        <f t="shared" si="5"/>
        <v>0</v>
      </c>
    </row>
    <row r="61" spans="1:12" ht="12.75" customHeight="1" x14ac:dyDescent="0.2">
      <c r="A61" s="1656" t="b">
        <f>IF('1 PISO TECHO'!$B$34&gt;0,CONCATENATE('1 PISO TECHO'!$C$34,"  ","DE","  ",76.5,"  ","X","  ",70-2.5))</f>
        <v>0</v>
      </c>
      <c r="B61" s="1658"/>
      <c r="C61" s="92"/>
      <c r="D61" s="542">
        <f>+FORMULAS!U20</f>
        <v>0</v>
      </c>
      <c r="E61" s="582" t="s">
        <v>998</v>
      </c>
      <c r="F61" s="670"/>
      <c r="G61" s="670"/>
      <c r="H61" s="670"/>
      <c r="I61" s="670"/>
      <c r="J61" s="721"/>
      <c r="K61" s="721">
        <f t="shared" si="4"/>
        <v>0</v>
      </c>
      <c r="L61" s="89">
        <f t="shared" si="5"/>
        <v>0</v>
      </c>
    </row>
    <row r="62" spans="1:12" ht="12.75" customHeight="1" x14ac:dyDescent="0.2">
      <c r="A62" s="1656" t="b">
        <f>IF('1 PISO TECHO'!$B$34&gt;0,CONCATENATE('1 PISO TECHO'!$C$34,"  ","DE","  ",76.5,"  ","X","  ",75-2.5))</f>
        <v>0</v>
      </c>
      <c r="B62" s="1658"/>
      <c r="C62" s="92"/>
      <c r="D62" s="542">
        <f>+FORMULAS!U21</f>
        <v>0</v>
      </c>
      <c r="E62" s="582" t="s">
        <v>998</v>
      </c>
      <c r="F62" s="670"/>
      <c r="G62" s="670"/>
      <c r="H62" s="670"/>
      <c r="I62" s="670"/>
      <c r="J62" s="721"/>
      <c r="K62" s="721">
        <f t="shared" si="4"/>
        <v>0</v>
      </c>
      <c r="L62" s="89">
        <f t="shared" si="5"/>
        <v>0</v>
      </c>
    </row>
    <row r="63" spans="1:12" ht="12.75" customHeight="1" x14ac:dyDescent="0.2">
      <c r="A63" s="1656" t="b">
        <f>IF('1 PISO TECHO'!$B$34&gt;0,CONCATENATE('1 PISO TECHO'!$C$34,"  ","DE","  ",76.5,"  ","X","  ",84-2.5))</f>
        <v>0</v>
      </c>
      <c r="B63" s="1658"/>
      <c r="C63" s="92"/>
      <c r="D63" s="542">
        <f>+FORMULAS!U22+'1 P-T +'!AM18</f>
        <v>0</v>
      </c>
      <c r="E63" s="582" t="s">
        <v>998</v>
      </c>
      <c r="F63" s="670"/>
      <c r="G63" s="670"/>
      <c r="H63" s="670"/>
      <c r="I63" s="670"/>
      <c r="J63" s="721"/>
      <c r="K63" s="721">
        <f t="shared" si="4"/>
        <v>0</v>
      </c>
      <c r="L63" s="89">
        <f t="shared" si="5"/>
        <v>0</v>
      </c>
    </row>
    <row r="64" spans="1:12" ht="12.75" customHeight="1" x14ac:dyDescent="0.2">
      <c r="A64" s="1656" t="b">
        <f>IF('1 PISO TECHO'!$B$34&gt;0,CONCATENATE('1 PISO TECHO'!$C$34,"  ","DE","  ",76.5,"  ","X","  ",90-2.5))</f>
        <v>0</v>
      </c>
      <c r="B64" s="1658"/>
      <c r="C64" s="92"/>
      <c r="D64" s="542">
        <f>+FORMULAS!U23</f>
        <v>0</v>
      </c>
      <c r="E64" s="582" t="s">
        <v>998</v>
      </c>
      <c r="F64" s="670"/>
      <c r="G64" s="670"/>
      <c r="H64" s="670"/>
      <c r="I64" s="670"/>
      <c r="J64" s="721"/>
      <c r="K64" s="721">
        <f t="shared" si="4"/>
        <v>0</v>
      </c>
      <c r="L64" s="89">
        <f t="shared" si="5"/>
        <v>0</v>
      </c>
    </row>
    <row r="65" spans="1:12" ht="12.75" customHeight="1" x14ac:dyDescent="0.2">
      <c r="A65" s="1656" t="b">
        <f>IF('1 PISO TECHO'!$B$34&gt;0,CONCATENATE('1 PISO TECHO'!$C$34,"  ","DE","  ",76.5,"  ","X","  ",112-2.5))</f>
        <v>0</v>
      </c>
      <c r="B65" s="1658"/>
      <c r="C65" s="92"/>
      <c r="D65" s="542">
        <f>+FORMULAS!U24</f>
        <v>0</v>
      </c>
      <c r="E65" s="582" t="s">
        <v>998</v>
      </c>
      <c r="F65" s="670"/>
      <c r="G65" s="670"/>
      <c r="H65" s="670"/>
      <c r="I65" s="670"/>
      <c r="J65" s="721"/>
      <c r="K65" s="721">
        <f t="shared" si="4"/>
        <v>0</v>
      </c>
      <c r="L65" s="89">
        <f t="shared" si="5"/>
        <v>0</v>
      </c>
    </row>
    <row r="66" spans="1:12" ht="12.75" customHeight="1" x14ac:dyDescent="0.2">
      <c r="A66" s="1656" t="b">
        <f>IF('1 PISO TECHO'!$B$34&gt;0,CONCATENATE('1 PISO TECHO'!$C$34,"  ","DE","  ",76.5,"  ","X","  ",120-2.5))</f>
        <v>0</v>
      </c>
      <c r="B66" s="1658"/>
      <c r="C66" s="92"/>
      <c r="D66" s="542">
        <f>+FORMULAS!U25</f>
        <v>0</v>
      </c>
      <c r="E66" s="582" t="s">
        <v>998</v>
      </c>
      <c r="F66" s="670"/>
      <c r="G66" s="670"/>
      <c r="H66" s="670"/>
      <c r="I66" s="670"/>
      <c r="J66" s="721"/>
      <c r="K66" s="721">
        <f t="shared" si="4"/>
        <v>0</v>
      </c>
      <c r="L66" s="89">
        <f t="shared" si="5"/>
        <v>0</v>
      </c>
    </row>
    <row r="67" spans="1:12" ht="12.75" customHeight="1" x14ac:dyDescent="0.2">
      <c r="A67" s="1656" t="b">
        <f>IF('1 PISO TECHO'!$B$34&gt;0,CONCATENATE('1 PISO TECHO'!$C$34,"  ","DE","  ",76.5,"  ","X","  ",140-2.5))</f>
        <v>0</v>
      </c>
      <c r="B67" s="1658"/>
      <c r="C67" s="92"/>
      <c r="D67" s="542">
        <f>+FORMULAS!U26+'1 P-T +'!AM19</f>
        <v>0</v>
      </c>
      <c r="E67" s="582" t="s">
        <v>998</v>
      </c>
      <c r="F67" s="670"/>
      <c r="G67" s="670"/>
      <c r="H67" s="670"/>
      <c r="I67" s="670"/>
      <c r="J67" s="721"/>
      <c r="K67" s="721">
        <f t="shared" si="4"/>
        <v>0</v>
      </c>
      <c r="L67" s="89">
        <f t="shared" si="5"/>
        <v>0</v>
      </c>
    </row>
    <row r="68" spans="1:12" ht="12.75" customHeight="1" x14ac:dyDescent="0.2">
      <c r="A68" s="1656" t="b">
        <f>IF('1 PISO TECHO'!$B$34&gt;0,CONCATENATE('1 PISO TECHO'!$C$34,"  ","DE","  ",76.5,"  ","X","  ",150-2.5))</f>
        <v>0</v>
      </c>
      <c r="B68" s="1658"/>
      <c r="C68" s="92"/>
      <c r="D68" s="542">
        <f>+FORMULAS!U27+'1 P-T +'!AM20</f>
        <v>0</v>
      </c>
      <c r="E68" s="582" t="s">
        <v>998</v>
      </c>
      <c r="F68" s="670"/>
      <c r="G68" s="670"/>
      <c r="H68" s="670"/>
      <c r="I68" s="670"/>
      <c r="J68" s="721"/>
      <c r="K68" s="721">
        <f t="shared" si="4"/>
        <v>0</v>
      </c>
      <c r="L68" s="89">
        <f t="shared" si="5"/>
        <v>0</v>
      </c>
    </row>
    <row r="69" spans="1:12" ht="12.75" customHeight="1" x14ac:dyDescent="0.2">
      <c r="A69" s="1656" t="b">
        <f>IF('1 PISO TECHO'!$B$34&gt;0,CONCATENATE('1 PISO TECHO'!$C$34,"  ","DE","  ",+'1 PISO TECHO'!$C$20-202,"  ","X","  ",28-2.5))</f>
        <v>0</v>
      </c>
      <c r="B69" s="1658"/>
      <c r="C69" s="92"/>
      <c r="D69" s="542">
        <f>+FORMULAS!AH16+'1 P-T +'!BK17</f>
        <v>0</v>
      </c>
      <c r="E69" s="582" t="s">
        <v>998</v>
      </c>
      <c r="F69" s="670"/>
      <c r="G69" s="670"/>
      <c r="H69" s="670"/>
      <c r="I69" s="670"/>
      <c r="J69" s="721"/>
      <c r="K69" s="721">
        <f t="shared" si="4"/>
        <v>0</v>
      </c>
      <c r="L69" s="89">
        <f t="shared" si="5"/>
        <v>0</v>
      </c>
    </row>
    <row r="70" spans="1:12" ht="12.75" customHeight="1" x14ac:dyDescent="0.2">
      <c r="A70" s="1656" t="b">
        <f>IF('1 PISO TECHO'!$B$34&gt;0,CONCATENATE('1 PISO TECHO'!$C$34,"  ","DE","  ",+'1 PISO TECHO'!$C$20-202,"  ","X","  ",30-2.5))</f>
        <v>0</v>
      </c>
      <c r="B70" s="1658"/>
      <c r="C70" s="92"/>
      <c r="D70" s="542">
        <f>+FORMULAS!AH17</f>
        <v>0</v>
      </c>
      <c r="E70" s="582" t="s">
        <v>998</v>
      </c>
      <c r="F70" s="670"/>
      <c r="G70" s="670"/>
      <c r="H70" s="670"/>
      <c r="I70" s="670"/>
      <c r="J70" s="721"/>
      <c r="K70" s="721">
        <f t="shared" si="4"/>
        <v>0</v>
      </c>
      <c r="L70" s="89">
        <f t="shared" si="5"/>
        <v>0</v>
      </c>
    </row>
    <row r="71" spans="1:12" ht="12.75" customHeight="1" x14ac:dyDescent="0.2">
      <c r="A71" s="1656" t="b">
        <f>IF('1 PISO TECHO'!$B$34&gt;0,CONCATENATE('1 PISO TECHO'!$C$34,"  ","DE","  ",+'1 PISO TECHO'!$C$20-202,"  ","X","  ",56-2.5))</f>
        <v>0</v>
      </c>
      <c r="B71" s="1658"/>
      <c r="C71" s="92"/>
      <c r="D71" s="542">
        <f>+FORMULAS!AH18</f>
        <v>0</v>
      </c>
      <c r="E71" s="582" t="s">
        <v>998</v>
      </c>
      <c r="F71" s="670"/>
      <c r="G71" s="670"/>
      <c r="H71" s="670"/>
      <c r="I71" s="670"/>
      <c r="J71" s="721"/>
      <c r="K71" s="721">
        <f t="shared" si="4"/>
        <v>0</v>
      </c>
      <c r="L71" s="89">
        <f t="shared" si="5"/>
        <v>0</v>
      </c>
    </row>
    <row r="72" spans="1:12" ht="12.75" customHeight="1" x14ac:dyDescent="0.2">
      <c r="A72" s="1656" t="b">
        <f>IF('1 PISO TECHO'!$B$34&gt;0,CONCATENATE('1 PISO TECHO'!$C$34,"  ","DE","  ",+'1 PISO TECHO'!$C$20-202,"  ","X","  ",60-2.5))</f>
        <v>0</v>
      </c>
      <c r="B72" s="1658"/>
      <c r="C72" s="92"/>
      <c r="D72" s="542">
        <f>+FORMULAS!AH19</f>
        <v>0</v>
      </c>
      <c r="E72" s="582" t="s">
        <v>998</v>
      </c>
      <c r="F72" s="670"/>
      <c r="G72" s="670"/>
      <c r="H72" s="670"/>
      <c r="I72" s="670"/>
      <c r="J72" s="721"/>
      <c r="K72" s="721">
        <f t="shared" si="4"/>
        <v>0</v>
      </c>
      <c r="L72" s="89">
        <f t="shared" si="5"/>
        <v>0</v>
      </c>
    </row>
    <row r="73" spans="1:12" ht="12.75" customHeight="1" x14ac:dyDescent="0.2">
      <c r="A73" s="1656" t="b">
        <f>IF('1 PISO TECHO'!$B$34&gt;0,CONCATENATE('1 PISO TECHO'!$C$34,"  ","DE","  ",+'1 PISO TECHO'!$C$20-202,"  ","X","  ",70-2.5))</f>
        <v>0</v>
      </c>
      <c r="B73" s="1658"/>
      <c r="C73" s="92"/>
      <c r="D73" s="542">
        <f>+FORMULAS!AH20</f>
        <v>0</v>
      </c>
      <c r="E73" s="582" t="s">
        <v>998</v>
      </c>
      <c r="F73" s="670"/>
      <c r="G73" s="670"/>
      <c r="H73" s="670"/>
      <c r="I73" s="670"/>
      <c r="J73" s="721"/>
      <c r="K73" s="721">
        <f t="shared" si="4"/>
        <v>0</v>
      </c>
      <c r="L73" s="89">
        <f t="shared" si="5"/>
        <v>0</v>
      </c>
    </row>
    <row r="74" spans="1:12" ht="12.75" customHeight="1" x14ac:dyDescent="0.2">
      <c r="A74" s="1656" t="b">
        <f>IF('1 PISO TECHO'!$B$34&gt;0,CONCATENATE('1 PISO TECHO'!$C$34,"  ","DE","  ",+'1 PISO TECHO'!$C$20-202,"  ","X","  ",75-2.5))</f>
        <v>0</v>
      </c>
      <c r="B74" s="1658"/>
      <c r="C74" s="92"/>
      <c r="D74" s="542">
        <f>+FORMULAS!AH21</f>
        <v>0</v>
      </c>
      <c r="E74" s="582" t="s">
        <v>998</v>
      </c>
      <c r="F74" s="670"/>
      <c r="G74" s="670"/>
      <c r="H74" s="670"/>
      <c r="I74" s="670"/>
      <c r="J74" s="721"/>
      <c r="K74" s="721">
        <f t="shared" si="4"/>
        <v>0</v>
      </c>
      <c r="L74" s="89">
        <f t="shared" si="5"/>
        <v>0</v>
      </c>
    </row>
    <row r="75" spans="1:12" ht="12.75" customHeight="1" x14ac:dyDescent="0.2">
      <c r="A75" s="1656" t="b">
        <f>IF('1 PISO TECHO'!$B$34&gt;0,CONCATENATE('1 PISO TECHO'!$C$34,"  ","DE","  ",+'1 PISO TECHO'!$C$20-202,"  ","X","  ",84-2.5))</f>
        <v>0</v>
      </c>
      <c r="B75" s="1658"/>
      <c r="C75" s="92"/>
      <c r="D75" s="542">
        <f>+FORMULAS!AH22+'1 P-T +'!BK18</f>
        <v>0</v>
      </c>
      <c r="E75" s="582" t="s">
        <v>998</v>
      </c>
      <c r="F75" s="670"/>
      <c r="G75" s="670"/>
      <c r="H75" s="670"/>
      <c r="I75" s="670"/>
      <c r="J75" s="721"/>
      <c r="K75" s="721">
        <f t="shared" si="4"/>
        <v>0</v>
      </c>
      <c r="L75" s="89">
        <f t="shared" si="5"/>
        <v>0</v>
      </c>
    </row>
    <row r="76" spans="1:12" ht="12.75" customHeight="1" x14ac:dyDescent="0.2">
      <c r="A76" s="1656" t="b">
        <f>IF('1 PISO TECHO'!$B$34&gt;0,CONCATENATE('1 PISO TECHO'!$C$34,"  ","DE","  ",+'1 PISO TECHO'!$C$20-202,"  ","X","  ",90-2.5))</f>
        <v>0</v>
      </c>
      <c r="B76" s="1658"/>
      <c r="C76" s="92"/>
      <c r="D76" s="542">
        <f>+FORMULAS!AH23</f>
        <v>0</v>
      </c>
      <c r="E76" s="582" t="s">
        <v>998</v>
      </c>
      <c r="F76" s="670"/>
      <c r="G76" s="670"/>
      <c r="H76" s="670"/>
      <c r="I76" s="670"/>
      <c r="J76" s="721"/>
      <c r="K76" s="721">
        <f t="shared" si="4"/>
        <v>0</v>
      </c>
      <c r="L76" s="89">
        <f t="shared" si="5"/>
        <v>0</v>
      </c>
    </row>
    <row r="77" spans="1:12" ht="12.75" customHeight="1" x14ac:dyDescent="0.2">
      <c r="A77" s="1656" t="b">
        <f>IF('1 PISO TECHO'!$B$34&gt;0,CONCATENATE('1 PISO TECHO'!$C$34,"  ","DE","  ",+'1 PISO TECHO'!$C$20-202,"  ","X","  ",112-2.5))</f>
        <v>0</v>
      </c>
      <c r="B77" s="1658"/>
      <c r="C77" s="92"/>
      <c r="D77" s="542">
        <f>+FORMULAS!AH24</f>
        <v>0</v>
      </c>
      <c r="E77" s="582" t="s">
        <v>998</v>
      </c>
      <c r="F77" s="670"/>
      <c r="G77" s="670"/>
      <c r="H77" s="670"/>
      <c r="I77" s="670"/>
      <c r="J77" s="721"/>
      <c r="K77" s="721">
        <f t="shared" si="4"/>
        <v>0</v>
      </c>
      <c r="L77" s="89">
        <f t="shared" si="5"/>
        <v>0</v>
      </c>
    </row>
    <row r="78" spans="1:12" ht="12.75" customHeight="1" x14ac:dyDescent="0.2">
      <c r="A78" s="1656" t="b">
        <f>IF('1 PISO TECHO'!$B$34&gt;0,CONCATENATE('1 PISO TECHO'!$C$34,"  ","DE","  ",+'1 PISO TECHO'!$C$20-202,"  ","X","  ",120-2.5))</f>
        <v>0</v>
      </c>
      <c r="B78" s="1658"/>
      <c r="C78" s="92"/>
      <c r="D78" s="542">
        <f>+FORMULAS!AH25</f>
        <v>0</v>
      </c>
      <c r="E78" s="582" t="s">
        <v>998</v>
      </c>
      <c r="F78" s="670"/>
      <c r="G78" s="670"/>
      <c r="H78" s="670"/>
      <c r="I78" s="670"/>
      <c r="J78" s="721"/>
      <c r="K78" s="721">
        <f t="shared" si="4"/>
        <v>0</v>
      </c>
      <c r="L78" s="89">
        <f t="shared" si="5"/>
        <v>0</v>
      </c>
    </row>
    <row r="79" spans="1:12" ht="12.75" customHeight="1" x14ac:dyDescent="0.2">
      <c r="A79" s="1656" t="b">
        <f>IF('1 PISO TECHO'!$B$34&gt;0,CONCATENATE('1 PISO TECHO'!$C$34,"  ","DE","  ",+'1 PISO TECHO'!$C$20-202,"  ","X","  ",140-2.5))</f>
        <v>0</v>
      </c>
      <c r="B79" s="1658"/>
      <c r="C79" s="92"/>
      <c r="D79" s="542">
        <f>+FORMULAS!AH26+'1 P-T +'!BK19</f>
        <v>0</v>
      </c>
      <c r="E79" s="582" t="s">
        <v>998</v>
      </c>
      <c r="F79" s="670"/>
      <c r="G79" s="670"/>
      <c r="H79" s="670"/>
      <c r="I79" s="670"/>
      <c r="J79" s="721"/>
      <c r="K79" s="721">
        <f t="shared" si="4"/>
        <v>0</v>
      </c>
      <c r="L79" s="89">
        <f t="shared" si="5"/>
        <v>0</v>
      </c>
    </row>
    <row r="80" spans="1:12" ht="12.75" customHeight="1" x14ac:dyDescent="0.2">
      <c r="A80" s="1656" t="b">
        <f>IF('1 PISO TECHO'!$B$34&gt;0,CONCATENATE('1 PISO TECHO'!$C$34,"  ","DE","  ",+'1 PISO TECHO'!$C$20-202,"  ","X","  ",150-2.5))</f>
        <v>0</v>
      </c>
      <c r="B80" s="1658"/>
      <c r="C80" s="92"/>
      <c r="D80" s="542">
        <f>+FORMULAS!AH27+'1 P-T +'!BK20</f>
        <v>0</v>
      </c>
      <c r="E80" s="582" t="s">
        <v>998</v>
      </c>
      <c r="F80" s="670"/>
      <c r="G80" s="670"/>
      <c r="H80" s="670"/>
      <c r="I80" s="670"/>
      <c r="J80" s="721"/>
      <c r="K80" s="721">
        <f t="shared" si="4"/>
        <v>0</v>
      </c>
      <c r="L80" s="89">
        <f t="shared" si="5"/>
        <v>0</v>
      </c>
    </row>
    <row r="81" spans="1:12" ht="12.75" customHeight="1" x14ac:dyDescent="0.2">
      <c r="A81" s="1656" t="s">
        <v>820</v>
      </c>
      <c r="B81" s="1658"/>
      <c r="C81" s="92"/>
      <c r="D81" s="542">
        <f>+P.T.Nueva!C719</f>
        <v>0</v>
      </c>
      <c r="E81" s="93" t="s">
        <v>998</v>
      </c>
      <c r="F81" s="670"/>
      <c r="G81" s="670"/>
      <c r="H81" s="670"/>
      <c r="I81" s="670"/>
      <c r="J81" s="721"/>
      <c r="K81" s="721">
        <f t="shared" ref="K81:K87" si="6">+J81*D81</f>
        <v>0</v>
      </c>
      <c r="L81" s="89">
        <f t="shared" ref="L81:L87" si="7">IF(D81&gt;0,1,0)</f>
        <v>0</v>
      </c>
    </row>
    <row r="82" spans="1:12" ht="12.75" customHeight="1" x14ac:dyDescent="0.2">
      <c r="A82" s="1656" t="s">
        <v>832</v>
      </c>
      <c r="B82" s="1658"/>
      <c r="C82" s="92"/>
      <c r="D82" s="542">
        <f>+P.T.Nueva!C720</f>
        <v>0</v>
      </c>
      <c r="E82" s="93" t="s">
        <v>998</v>
      </c>
      <c r="F82" s="670"/>
      <c r="G82" s="670"/>
      <c r="H82" s="670"/>
      <c r="I82" s="670"/>
      <c r="J82" s="721"/>
      <c r="K82" s="721">
        <f t="shared" si="6"/>
        <v>0</v>
      </c>
      <c r="L82" s="89">
        <f t="shared" si="7"/>
        <v>0</v>
      </c>
    </row>
    <row r="83" spans="1:12" ht="12.75" customHeight="1" x14ac:dyDescent="0.2">
      <c r="A83" s="1656" t="s">
        <v>833</v>
      </c>
      <c r="B83" s="1658"/>
      <c r="C83" s="92"/>
      <c r="D83" s="542">
        <f>+P.T.Nueva!C721</f>
        <v>0</v>
      </c>
      <c r="E83" s="93" t="s">
        <v>998</v>
      </c>
      <c r="F83" s="670"/>
      <c r="G83" s="670"/>
      <c r="H83" s="670"/>
      <c r="I83" s="670"/>
      <c r="J83" s="721"/>
      <c r="K83" s="721">
        <f t="shared" si="6"/>
        <v>0</v>
      </c>
      <c r="L83" s="89">
        <f t="shared" si="7"/>
        <v>0</v>
      </c>
    </row>
    <row r="84" spans="1:12" ht="12.75" customHeight="1" x14ac:dyDescent="0.2">
      <c r="A84" s="1656" t="s">
        <v>834</v>
      </c>
      <c r="B84" s="1658"/>
      <c r="C84" s="92"/>
      <c r="D84" s="542">
        <f>CEILING(+(P.T.Nueva!C722+SUM(FORMULAS!BC91:DA91,FORMULAS!BC145:DA145)),1)</f>
        <v>0</v>
      </c>
      <c r="E84" s="93" t="s">
        <v>998</v>
      </c>
      <c r="F84" s="670"/>
      <c r="G84" s="670"/>
      <c r="H84" s="670"/>
      <c r="I84" s="670"/>
      <c r="J84" s="721"/>
      <c r="K84" s="721">
        <f t="shared" si="6"/>
        <v>0</v>
      </c>
      <c r="L84" s="89">
        <f t="shared" si="7"/>
        <v>0</v>
      </c>
    </row>
    <row r="85" spans="1:12" ht="12.75" customHeight="1" x14ac:dyDescent="0.2">
      <c r="A85" s="1656" t="str">
        <f>+P.T.Nueva!A730</f>
        <v>Remache 4 X 4</v>
      </c>
      <c r="B85" s="1658"/>
      <c r="C85" s="93"/>
      <c r="D85" s="542">
        <f>+P.T.Nueva!C730</f>
        <v>0</v>
      </c>
      <c r="E85" s="93" t="s">
        <v>998</v>
      </c>
      <c r="F85" s="670"/>
      <c r="G85" s="670"/>
      <c r="H85" s="670"/>
      <c r="I85" s="670"/>
      <c r="J85" s="721"/>
      <c r="K85" s="721">
        <f t="shared" si="6"/>
        <v>0</v>
      </c>
      <c r="L85" s="89">
        <f t="shared" si="7"/>
        <v>0</v>
      </c>
    </row>
    <row r="86" spans="1:12" ht="12.75" customHeight="1" x14ac:dyDescent="0.2">
      <c r="A86" s="1656" t="s">
        <v>1109</v>
      </c>
      <c r="B86" s="1658"/>
      <c r="C86" s="92"/>
      <c r="D86" s="542">
        <f>(+P.T.Nueva!C731)+SUM((D57:D80,D19:D42))*4</f>
        <v>0</v>
      </c>
      <c r="E86" s="93" t="s">
        <v>998</v>
      </c>
      <c r="F86" s="670"/>
      <c r="G86" s="670"/>
      <c r="H86" s="670"/>
      <c r="I86" s="670"/>
      <c r="J86" s="721"/>
      <c r="K86" s="721">
        <f t="shared" si="6"/>
        <v>0</v>
      </c>
      <c r="L86" s="89">
        <f t="shared" si="7"/>
        <v>0</v>
      </c>
    </row>
    <row r="87" spans="1:12" ht="12.75" customHeight="1" x14ac:dyDescent="0.2">
      <c r="A87" s="1656" t="str">
        <f>+P.T.Nueva!A732</f>
        <v>Remate superior R-60</v>
      </c>
      <c r="B87" s="1658"/>
      <c r="C87" s="92"/>
      <c r="D87" s="542">
        <f>+P.T.Nueva!C732</f>
        <v>0</v>
      </c>
      <c r="E87" s="93" t="s">
        <v>998</v>
      </c>
      <c r="F87" s="670"/>
      <c r="G87" s="670"/>
      <c r="H87" s="670"/>
      <c r="I87" s="670"/>
      <c r="J87" s="721"/>
      <c r="K87" s="721">
        <f t="shared" si="6"/>
        <v>0</v>
      </c>
      <c r="L87" s="89">
        <f t="shared" si="7"/>
        <v>0</v>
      </c>
    </row>
    <row r="88" spans="1:12" ht="12.75" customHeight="1" x14ac:dyDescent="0.2">
      <c r="A88" s="1656" t="str">
        <f>+P.T.Nueva!A780</f>
        <v>Wasa 5/16</v>
      </c>
      <c r="B88" s="1658"/>
      <c r="C88" s="92"/>
      <c r="D88" s="542">
        <f>+P.T.Nueva!C780</f>
        <v>0</v>
      </c>
      <c r="E88" s="93" t="str">
        <f>+P.T.Nueva!D780</f>
        <v>Uni</v>
      </c>
      <c r="F88" s="673"/>
      <c r="G88" s="673"/>
      <c r="H88" s="673"/>
      <c r="I88" s="673"/>
      <c r="J88" s="722"/>
      <c r="K88" s="722"/>
      <c r="L88" s="89"/>
    </row>
    <row r="89" spans="1:12" ht="12.75" customHeight="1" x14ac:dyDescent="0.2">
      <c r="A89" s="1649" t="s">
        <v>1202</v>
      </c>
      <c r="B89" s="1649"/>
      <c r="C89" s="1649"/>
      <c r="D89" s="1007">
        <f>SUM(D90:D111)</f>
        <v>0</v>
      </c>
      <c r="E89" s="575"/>
      <c r="F89" s="680"/>
      <c r="G89" s="680"/>
      <c r="H89" s="680"/>
      <c r="I89" s="680"/>
      <c r="J89" s="723"/>
      <c r="K89" s="723"/>
      <c r="L89" s="89">
        <f t="shared" ref="L89:L111" si="8">IF(D89&gt;0,1,0)</f>
        <v>0</v>
      </c>
    </row>
    <row r="90" spans="1:12" x14ac:dyDescent="0.2">
      <c r="A90" s="1656" t="str">
        <f>CONCATENATE("FORMICA"," ",+Superf.!D3)</f>
        <v>FORMICA 0</v>
      </c>
      <c r="B90" s="1658"/>
      <c r="C90" s="92" t="s">
        <v>1216</v>
      </c>
      <c r="D90" s="679">
        <f>Superf.!J3+IF('5 ALMACEN '!$D$39=PRODUCCION!A90,'5 ALMACEN '!$B$39+'5 ALMACEN '!$C$39,0)*0.08+IF('5 ALMACEN '!$D$40=PRODUCCION!A90,'5 ALMACEN '!$B$40+'5 ALMACEN '!$C$40,0)*0.11+IF('5 ALMACEN '!$D$41=PRODUCCION!A90,'5 ALMACEN '!$B$41+'5 ALMACEN '!$C$41,0)*0.16+IF('5 ALMACEN '!$D$42=PRODUCCION!A90,'5 ALMACEN '!$B$42+'5 ALMACEN '!$C$42,0)*0.16</f>
        <v>0</v>
      </c>
      <c r="E90" s="93" t="s">
        <v>1025</v>
      </c>
      <c r="F90" s="670"/>
      <c r="G90" s="670"/>
      <c r="H90" s="670"/>
      <c r="I90" s="670"/>
      <c r="J90" s="721"/>
      <c r="K90" s="721">
        <f t="shared" ref="K90:K104" si="9">+J90*D90</f>
        <v>0</v>
      </c>
      <c r="L90" s="89">
        <f t="shared" si="8"/>
        <v>0</v>
      </c>
    </row>
    <row r="91" spans="1:12" x14ac:dyDescent="0.2">
      <c r="A91" s="1656" t="str">
        <f>CONCATENATE("FORMICA"," ",+Superf.!D4)</f>
        <v>FORMICA 0</v>
      </c>
      <c r="B91" s="1658"/>
      <c r="C91" s="92" t="s">
        <v>1216</v>
      </c>
      <c r="D91" s="646">
        <f>+Superf.!J4+IF('5 ALMACEN '!$D$39=PRODUCCION!A91,'5 ALMACEN '!$B$39+'5 ALMACEN '!$C$39,0)*0.08+IF('5 ALMACEN '!$D$40=PRODUCCION!A91,'5 ALMACEN '!$B$40+'5 ALMACEN '!$C$40,0)*0.11+IF('5 ALMACEN '!$D$41=PRODUCCION!A91,'5 ALMACEN '!$B$41+'5 ALMACEN '!$C$41,0)*0.16+IF('5 ALMACEN '!$D$42=PRODUCCION!A91,'5 ALMACEN '!$B$42+'5 ALMACEN '!$C$42,0)*0.16</f>
        <v>0</v>
      </c>
      <c r="E91" s="93" t="s">
        <v>1025</v>
      </c>
      <c r="F91" s="670"/>
      <c r="G91" s="670"/>
      <c r="H91" s="670"/>
      <c r="I91" s="670"/>
      <c r="J91" s="721"/>
      <c r="K91" s="721">
        <f t="shared" si="9"/>
        <v>0</v>
      </c>
      <c r="L91" s="89">
        <f t="shared" si="8"/>
        <v>0</v>
      </c>
    </row>
    <row r="92" spans="1:12" ht="12.75" customHeight="1" x14ac:dyDescent="0.2">
      <c r="A92" s="1656">
        <f>+Superf.!D5</f>
        <v>0</v>
      </c>
      <c r="B92" s="1657"/>
      <c r="C92" s="92"/>
      <c r="D92" s="646">
        <f>+Superf.!J5</f>
        <v>0</v>
      </c>
      <c r="E92" s="93" t="s">
        <v>1025</v>
      </c>
      <c r="F92" s="670"/>
      <c r="G92" s="670"/>
      <c r="H92" s="670"/>
      <c r="I92" s="670"/>
      <c r="J92" s="721"/>
      <c r="K92" s="721">
        <f t="shared" si="9"/>
        <v>0</v>
      </c>
      <c r="L92" s="89">
        <f t="shared" si="8"/>
        <v>0</v>
      </c>
    </row>
    <row r="93" spans="1:12" ht="12.75" customHeight="1" x14ac:dyDescent="0.2">
      <c r="A93" s="1656">
        <f>+Superf.!D6</f>
        <v>0</v>
      </c>
      <c r="B93" s="1657"/>
      <c r="C93" s="92"/>
      <c r="D93" s="646">
        <f>+Superf.!J6</f>
        <v>0</v>
      </c>
      <c r="E93" s="93" t="s">
        <v>1025</v>
      </c>
      <c r="F93" s="670"/>
      <c r="G93" s="670"/>
      <c r="H93" s="670"/>
      <c r="I93" s="670"/>
      <c r="J93" s="721"/>
      <c r="K93" s="721">
        <f t="shared" si="9"/>
        <v>0</v>
      </c>
      <c r="L93" s="89">
        <f t="shared" si="8"/>
        <v>0</v>
      </c>
    </row>
    <row r="94" spans="1:12" ht="12.75" customHeight="1" x14ac:dyDescent="0.2">
      <c r="A94" s="1656">
        <f>+Superf.!D7</f>
        <v>0</v>
      </c>
      <c r="B94" s="1657"/>
      <c r="C94" s="92"/>
      <c r="D94" s="646">
        <f>+Superf.!J7</f>
        <v>0</v>
      </c>
      <c r="E94" s="93" t="s">
        <v>1025</v>
      </c>
      <c r="F94" s="670"/>
      <c r="G94" s="670"/>
      <c r="H94" s="670"/>
      <c r="I94" s="670"/>
      <c r="J94" s="721"/>
      <c r="K94" s="721">
        <f t="shared" si="9"/>
        <v>0</v>
      </c>
      <c r="L94" s="89">
        <f t="shared" si="8"/>
        <v>0</v>
      </c>
    </row>
    <row r="95" spans="1:12" ht="12.75" customHeight="1" x14ac:dyDescent="0.2">
      <c r="A95" s="1656" t="str">
        <f>CONCATENATE("FORMICA"," ",+Superf.!D9)</f>
        <v>FORMICA 0</v>
      </c>
      <c r="B95" s="1657"/>
      <c r="C95" s="92" t="s">
        <v>1216</v>
      </c>
      <c r="D95" s="767">
        <f>+Superf.!J9+IF('5 ALMACEN '!$D$39=PRODUCCION!A95,'5 ALMACEN '!$B$39+'5 ALMACEN '!$C$39,0)*0.08+IF('5 ALMACEN '!$D$40=PRODUCCION!A95,'5 ALMACEN '!$B$40+'5 ALMACEN '!$C$40,0)*0.11+IF('5 ALMACEN '!$D$41=PRODUCCION!A95,'5 ALMACEN '!$B$41+'5 ALMACEN '!$C$41,0)*0.16+IF('5 ALMACEN '!$D$42=PRODUCCION!A95,'5 ALMACEN '!$B$42+'5 ALMACEN '!$C$42,0)*0.16</f>
        <v>0</v>
      </c>
      <c r="E95" s="93" t="s">
        <v>1025</v>
      </c>
      <c r="F95" s="670"/>
      <c r="G95" s="670"/>
      <c r="H95" s="670"/>
      <c r="I95" s="670"/>
      <c r="J95" s="721"/>
      <c r="K95" s="721">
        <f t="shared" si="9"/>
        <v>0</v>
      </c>
      <c r="L95" s="89">
        <f t="shared" si="8"/>
        <v>0</v>
      </c>
    </row>
    <row r="96" spans="1:12" x14ac:dyDescent="0.2">
      <c r="A96" s="1656" t="str">
        <f>CONCATENATE("FORMICA"," ",+Superf.!D10)</f>
        <v>FORMICA 0</v>
      </c>
      <c r="B96" s="1657"/>
      <c r="C96" s="92" t="s">
        <v>1216</v>
      </c>
      <c r="D96" s="646">
        <f>+Superf.!J10+IF('5 ALMACEN '!$D$39=PRODUCCION!A96,'5 ALMACEN '!$B$39+'5 ALMACEN '!$C$39,0)*0.08+IF('5 ALMACEN '!$D$40=PRODUCCION!A96,'5 ALMACEN '!$B$40+'5 ALMACEN '!$C$40,0)*0.11+IF('5 ALMACEN '!$D$41=PRODUCCION!A96,'5 ALMACEN '!$B$41+'5 ALMACEN '!$C$41,0)*0.16+IF('5 ALMACEN '!$D$42=PRODUCCION!A96,'5 ALMACEN '!$B$42+'5 ALMACEN '!$C$42,0)*0.16</f>
        <v>0</v>
      </c>
      <c r="E96" s="93" t="s">
        <v>1025</v>
      </c>
      <c r="F96" s="670"/>
      <c r="G96" s="670"/>
      <c r="H96" s="670"/>
      <c r="I96" s="670"/>
      <c r="J96" s="721"/>
      <c r="K96" s="721">
        <f t="shared" si="9"/>
        <v>0</v>
      </c>
      <c r="L96" s="89">
        <f t="shared" si="8"/>
        <v>0</v>
      </c>
    </row>
    <row r="97" spans="1:12" ht="12.75" customHeight="1" x14ac:dyDescent="0.2">
      <c r="A97" s="1656">
        <f>+Superf.!D11</f>
        <v>0</v>
      </c>
      <c r="B97" s="1657"/>
      <c r="C97" s="92"/>
      <c r="D97" s="646">
        <f>+Superf.!J11</f>
        <v>0</v>
      </c>
      <c r="E97" s="93" t="s">
        <v>1025</v>
      </c>
      <c r="F97" s="670"/>
      <c r="G97" s="670"/>
      <c r="H97" s="670"/>
      <c r="I97" s="670"/>
      <c r="J97" s="721"/>
      <c r="K97" s="721">
        <f t="shared" si="9"/>
        <v>0</v>
      </c>
      <c r="L97" s="89">
        <f t="shared" si="8"/>
        <v>0</v>
      </c>
    </row>
    <row r="98" spans="1:12" ht="12.75" customHeight="1" x14ac:dyDescent="0.2">
      <c r="A98" s="1656">
        <f>+Superf.!D12</f>
        <v>0</v>
      </c>
      <c r="B98" s="1657"/>
      <c r="C98" s="92"/>
      <c r="D98" s="646">
        <f>+Superf.!J12</f>
        <v>0</v>
      </c>
      <c r="E98" s="93" t="s">
        <v>1025</v>
      </c>
      <c r="F98" s="670"/>
      <c r="G98" s="670"/>
      <c r="H98" s="670"/>
      <c r="I98" s="670"/>
      <c r="J98" s="721"/>
      <c r="K98" s="721">
        <f t="shared" si="9"/>
        <v>0</v>
      </c>
      <c r="L98" s="89">
        <f t="shared" si="8"/>
        <v>0</v>
      </c>
    </row>
    <row r="99" spans="1:12" ht="12.75" customHeight="1" x14ac:dyDescent="0.2">
      <c r="A99" s="1656">
        <f>+Superf.!D13</f>
        <v>0</v>
      </c>
      <c r="B99" s="1657"/>
      <c r="C99" s="92"/>
      <c r="D99" s="646">
        <f>+Superf.!J13</f>
        <v>0</v>
      </c>
      <c r="E99" s="93" t="s">
        <v>1025</v>
      </c>
      <c r="F99" s="670"/>
      <c r="G99" s="670"/>
      <c r="H99" s="670"/>
      <c r="I99" s="670"/>
      <c r="J99" s="721"/>
      <c r="K99" s="721">
        <f t="shared" si="9"/>
        <v>0</v>
      </c>
      <c r="L99" s="89">
        <f t="shared" si="8"/>
        <v>0</v>
      </c>
    </row>
    <row r="100" spans="1:12" ht="12.75" customHeight="1" x14ac:dyDescent="0.2">
      <c r="A100" s="1656" t="s">
        <v>116</v>
      </c>
      <c r="B100" s="1658"/>
      <c r="C100" s="92"/>
      <c r="D100" s="767">
        <f>IF(OR(A90="MELAMINA GRIS GRANITO",A90="MELAMINA GRIS GRANITO",),0,+D90+D91+D92+D93+D94+D95+D96+D97+D98+D99)</f>
        <v>0</v>
      </c>
      <c r="E100" s="93" t="s">
        <v>1025</v>
      </c>
      <c r="F100" s="670"/>
      <c r="G100" s="670"/>
      <c r="H100" s="670"/>
      <c r="I100" s="670"/>
      <c r="J100" s="721"/>
      <c r="K100" s="721">
        <f t="shared" si="9"/>
        <v>0</v>
      </c>
      <c r="L100" s="89">
        <f t="shared" si="8"/>
        <v>0</v>
      </c>
    </row>
    <row r="101" spans="1:12" x14ac:dyDescent="0.2">
      <c r="A101" s="1656" t="s">
        <v>1200</v>
      </c>
      <c r="B101" s="1658"/>
      <c r="C101" s="92"/>
      <c r="D101" s="679">
        <f>+'5 ALMACEN '!F26/35</f>
        <v>0</v>
      </c>
      <c r="E101" s="93" t="s">
        <v>1025</v>
      </c>
      <c r="F101" s="670"/>
      <c r="G101" s="670"/>
      <c r="H101" s="670"/>
      <c r="I101" s="670"/>
      <c r="J101" s="721"/>
      <c r="K101" s="721">
        <f>+J101*D101</f>
        <v>0</v>
      </c>
      <c r="L101" s="89">
        <f t="shared" si="8"/>
        <v>0</v>
      </c>
    </row>
    <row r="102" spans="1:12" x14ac:dyDescent="0.2">
      <c r="A102" s="1656" t="s">
        <v>981</v>
      </c>
      <c r="B102" s="1658"/>
      <c r="C102" s="92"/>
      <c r="D102" s="679">
        <f>IF(OR(A90="MELAMINA GRIS GRANITO",A90="MELAMINA GRISGRANITO",),0,+Superf.!J14)</f>
        <v>0</v>
      </c>
      <c r="E102" s="93" t="s">
        <v>1025</v>
      </c>
      <c r="F102" s="670"/>
      <c r="G102" s="670"/>
      <c r="H102" s="670"/>
      <c r="I102" s="670"/>
      <c r="J102" s="721"/>
      <c r="K102" s="721">
        <f t="shared" si="9"/>
        <v>0</v>
      </c>
      <c r="L102" s="89">
        <f t="shared" si="8"/>
        <v>0</v>
      </c>
    </row>
    <row r="103" spans="1:12" x14ac:dyDescent="0.2">
      <c r="A103" s="1656" t="str">
        <f>CONCATENATE('4 SUP +'!AD15," ",'4 SUP +'!AI15)</f>
        <v>PVC 0</v>
      </c>
      <c r="B103" s="1658"/>
      <c r="C103" s="92" t="str">
        <f>IF($C$90="25 MM","PVC T 28","PVC T 34")</f>
        <v>PVC T 34</v>
      </c>
      <c r="D103" s="679">
        <f>+FORMULAS!EK338+FORMULAS!EK248</f>
        <v>0</v>
      </c>
      <c r="E103" s="93" t="s">
        <v>1026</v>
      </c>
      <c r="F103" s="670"/>
      <c r="G103" s="670"/>
      <c r="H103" s="670"/>
      <c r="I103" s="670"/>
      <c r="J103" s="721"/>
      <c r="K103" s="721">
        <f>+J103*D103</f>
        <v>0</v>
      </c>
      <c r="L103" s="89">
        <f t="shared" si="8"/>
        <v>0</v>
      </c>
    </row>
    <row r="104" spans="1:12" x14ac:dyDescent="0.2">
      <c r="A104" s="1656" t="str">
        <f>CONCATENATE('4 SUP +'!AD16," ",'4 SUP +'!AI16)</f>
        <v>PVC 0</v>
      </c>
      <c r="B104" s="1658"/>
      <c r="C104" s="92" t="str">
        <f>IF($C$90="25 MM","PVC T 28","PVC T 34")</f>
        <v>PVC T 34</v>
      </c>
      <c r="D104" s="679">
        <f>+FORMULAS!EM248+FORMULAS!EM338</f>
        <v>0</v>
      </c>
      <c r="E104" s="93" t="s">
        <v>1026</v>
      </c>
      <c r="F104" s="670"/>
      <c r="G104" s="670"/>
      <c r="H104" s="670"/>
      <c r="I104" s="670"/>
      <c r="J104" s="721"/>
      <c r="K104" s="721">
        <f t="shared" si="9"/>
        <v>0</v>
      </c>
      <c r="L104" s="89">
        <f t="shared" si="8"/>
        <v>0</v>
      </c>
    </row>
    <row r="105" spans="1:12" x14ac:dyDescent="0.2">
      <c r="A105" s="1656" t="str">
        <f>CONCATENATE('4 SUP +'!AD17," ",'4 SUP +'!AI17)</f>
        <v>CANTO  PLANO 0</v>
      </c>
      <c r="B105" s="1658"/>
      <c r="C105" s="92"/>
      <c r="D105" s="679">
        <f>+FORMULAS!EO338+FORMULAS!EO248</f>
        <v>0</v>
      </c>
      <c r="E105" s="93" t="s">
        <v>1026</v>
      </c>
      <c r="F105" s="670"/>
      <c r="G105" s="670"/>
      <c r="H105" s="670"/>
      <c r="I105" s="670"/>
      <c r="J105" s="721"/>
      <c r="K105" s="721">
        <f>+J105*D105</f>
        <v>0</v>
      </c>
      <c r="L105" s="89">
        <f t="shared" si="8"/>
        <v>0</v>
      </c>
    </row>
    <row r="106" spans="1:12" x14ac:dyDescent="0.2">
      <c r="A106" s="1656" t="str">
        <f>CONCATENATE('4 SUP +'!AD18," ",'4 SUP +'!AI18)</f>
        <v>CANTO  PLANO 0</v>
      </c>
      <c r="B106" s="1658"/>
      <c r="C106" s="92"/>
      <c r="D106" s="679">
        <f>+FORMULAS!EQ248+FORMULAS!EQ338</f>
        <v>0</v>
      </c>
      <c r="E106" s="93" t="s">
        <v>1026</v>
      </c>
      <c r="F106" s="670"/>
      <c r="G106" s="670"/>
      <c r="H106" s="670"/>
      <c r="I106" s="670"/>
      <c r="J106" s="721"/>
      <c r="K106" s="721">
        <f>+J106*D106</f>
        <v>0</v>
      </c>
      <c r="L106" s="89">
        <f t="shared" si="8"/>
        <v>0</v>
      </c>
    </row>
    <row r="107" spans="1:12" x14ac:dyDescent="0.2">
      <c r="A107" s="1666" t="s">
        <v>369</v>
      </c>
      <c r="B107" s="1667"/>
      <c r="C107" s="92"/>
      <c r="D107" s="646">
        <f>+('5 ALMACEN '!I19*0.33)+('5 ALMACEN '!I20*0.4)+('5 ALMACEN '!I21*0.26)+('5 ALMACEN '!I22*0.4)+(0.06*'5 ALMACEN '!I25)</f>
        <v>0</v>
      </c>
      <c r="E107" s="939" t="s">
        <v>1025</v>
      </c>
      <c r="F107" s="670"/>
      <c r="G107" s="670"/>
      <c r="H107" s="670"/>
      <c r="I107" s="670"/>
      <c r="K107" s="722"/>
      <c r="L107" s="89">
        <f t="shared" si="8"/>
        <v>0</v>
      </c>
    </row>
    <row r="108" spans="1:12" x14ac:dyDescent="0.2">
      <c r="A108" s="1666" t="s">
        <v>370</v>
      </c>
      <c r="B108" s="1667"/>
      <c r="C108" s="92"/>
      <c r="D108" s="646">
        <f>0.33*'5 ALMACEN '!I25</f>
        <v>0</v>
      </c>
      <c r="E108" s="939" t="s">
        <v>1025</v>
      </c>
      <c r="F108" s="670"/>
      <c r="G108" s="670"/>
      <c r="H108" s="670"/>
      <c r="I108" s="670"/>
      <c r="K108" s="722"/>
      <c r="L108" s="89">
        <f t="shared" si="8"/>
        <v>0</v>
      </c>
    </row>
    <row r="109" spans="1:12" x14ac:dyDescent="0.2">
      <c r="A109" s="1666" t="s">
        <v>993</v>
      </c>
      <c r="B109" s="1667"/>
      <c r="C109" s="92"/>
      <c r="D109" s="542">
        <f>SUM('5 ALMACEN '!I19:I22)*16</f>
        <v>0</v>
      </c>
      <c r="E109" s="939" t="s">
        <v>998</v>
      </c>
      <c r="F109" s="670"/>
      <c r="G109" s="670"/>
      <c r="H109" s="670"/>
      <c r="I109" s="670"/>
      <c r="K109" s="722"/>
      <c r="L109" s="89">
        <f t="shared" si="8"/>
        <v>0</v>
      </c>
    </row>
    <row r="110" spans="1:12" x14ac:dyDescent="0.2">
      <c r="A110" s="1666" t="s">
        <v>1120</v>
      </c>
      <c r="B110" s="1667"/>
      <c r="C110" s="92"/>
      <c r="D110" s="646">
        <f>+(0.041*'5 ALMACEN '!I13)+(0.077*'5 ALMACEN '!I14)</f>
        <v>0</v>
      </c>
      <c r="E110" s="939" t="s">
        <v>1025</v>
      </c>
      <c r="F110" s="670"/>
      <c r="G110" s="670"/>
      <c r="H110" s="670"/>
      <c r="I110" s="670"/>
      <c r="K110" s="722"/>
      <c r="L110" s="89">
        <f t="shared" si="8"/>
        <v>0</v>
      </c>
    </row>
    <row r="111" spans="1:12" x14ac:dyDescent="0.2">
      <c r="A111" s="1666" t="s">
        <v>371</v>
      </c>
      <c r="B111" s="1667"/>
      <c r="C111" s="92"/>
      <c r="D111" s="646">
        <f>0.13*'5 ALMACEN '!I25</f>
        <v>0</v>
      </c>
      <c r="E111" s="939" t="s">
        <v>1025</v>
      </c>
      <c r="F111" s="670"/>
      <c r="G111" s="670"/>
      <c r="H111" s="670"/>
      <c r="I111" s="670"/>
      <c r="K111" s="722"/>
      <c r="L111" s="89">
        <f t="shared" si="8"/>
        <v>0</v>
      </c>
    </row>
    <row r="112" spans="1:12" x14ac:dyDescent="0.2">
      <c r="A112" s="1649" t="s">
        <v>1209</v>
      </c>
      <c r="B112" s="1649"/>
      <c r="C112" s="1649"/>
      <c r="D112" s="1007">
        <f>SUM(D117:D123)</f>
        <v>0</v>
      </c>
      <c r="E112" s="575"/>
      <c r="F112" s="680"/>
      <c r="G112" s="680"/>
      <c r="H112" s="680"/>
      <c r="I112" s="680"/>
      <c r="J112" s="723"/>
      <c r="K112" s="723"/>
      <c r="L112" s="89">
        <f t="shared" ref="L112:L121" si="10">IF(D112&gt;0,1,0)</f>
        <v>0</v>
      </c>
    </row>
    <row r="113" spans="1:12" x14ac:dyDescent="0.2">
      <c r="A113" s="1650" t="str">
        <f>+'5 ALMACEN '!T39</f>
        <v>CAJONERA 2AE-F38-FOR-NIV.</v>
      </c>
      <c r="B113" s="1651"/>
      <c r="C113" s="92" t="s">
        <v>1213</v>
      </c>
      <c r="D113" s="542">
        <f>+'5 ALMACEN '!U39</f>
        <v>0</v>
      </c>
      <c r="E113" s="939" t="s">
        <v>998</v>
      </c>
      <c r="F113" s="670"/>
      <c r="G113" s="670"/>
      <c r="H113" s="670"/>
      <c r="I113" s="670"/>
      <c r="K113" s="722"/>
      <c r="L113" s="89">
        <f>IF(D113&gt;0,1,0)</f>
        <v>0</v>
      </c>
    </row>
    <row r="114" spans="1:12" x14ac:dyDescent="0.2">
      <c r="A114" s="1650" t="str">
        <f>+'5 ALMACEN '!T40</f>
        <v>CAJONERA 2MS-1AE-F38-FOR.NIV.</v>
      </c>
      <c r="B114" s="1651"/>
      <c r="C114" s="92" t="s">
        <v>1213</v>
      </c>
      <c r="D114" s="542">
        <f>+'5 ALMACEN '!U40</f>
        <v>0</v>
      </c>
      <c r="E114" s="939" t="s">
        <v>998</v>
      </c>
      <c r="F114" s="670"/>
      <c r="G114" s="670"/>
      <c r="H114" s="670"/>
      <c r="I114" s="670"/>
      <c r="K114" s="722"/>
      <c r="L114" s="89">
        <f>IF(D114&gt;0,1,0)</f>
        <v>0</v>
      </c>
    </row>
    <row r="115" spans="1:12" x14ac:dyDescent="0.2">
      <c r="A115" s="1650" t="str">
        <f>+'5 ALMACEN '!T41</f>
        <v>ARCHIVADOR 2AE-F90-FOR-NIV.</v>
      </c>
      <c r="B115" s="1651"/>
      <c r="C115" s="92" t="s">
        <v>1213</v>
      </c>
      <c r="D115" s="542">
        <f>+'5 ALMACEN '!U41</f>
        <v>0</v>
      </c>
      <c r="E115" s="939" t="s">
        <v>998</v>
      </c>
      <c r="F115" s="670"/>
      <c r="G115" s="670"/>
      <c r="H115" s="670"/>
      <c r="I115" s="670"/>
      <c r="K115" s="722"/>
      <c r="L115" s="89">
        <f>IF(D115&gt;0,1,0)</f>
        <v>0</v>
      </c>
    </row>
    <row r="116" spans="1:12" x14ac:dyDescent="0.2">
      <c r="A116" s="1650" t="str">
        <f>+'5 ALMACEN '!T42</f>
        <v>BIBLIOTECA A90-H70-1E-PFOR.</v>
      </c>
      <c r="B116" s="1651"/>
      <c r="C116" s="92" t="s">
        <v>1214</v>
      </c>
      <c r="D116" s="542">
        <f>+'5 ALMACEN '!U42</f>
        <v>0</v>
      </c>
      <c r="E116" s="939" t="s">
        <v>998</v>
      </c>
      <c r="F116" s="670"/>
      <c r="G116" s="670"/>
      <c r="H116" s="670"/>
      <c r="I116" s="670"/>
      <c r="K116" s="722"/>
      <c r="L116" s="89">
        <f>IF(D116&gt;0,1,0)</f>
        <v>0</v>
      </c>
    </row>
    <row r="117" spans="1:12" x14ac:dyDescent="0.2">
      <c r="A117" s="1650" t="str">
        <f>+'5 ALMACEN '!Z45</f>
        <v xml:space="preserve">FORMICA </v>
      </c>
      <c r="B117" s="1651"/>
      <c r="C117" s="92" t="s">
        <v>1216</v>
      </c>
      <c r="D117" s="646">
        <f>SUMIF('5 ALMACEN '!Z45:Z48,PRODUCCION!$A$117,'5 ALMACEN '!$W45:$Y48)</f>
        <v>0</v>
      </c>
      <c r="E117" s="939" t="s">
        <v>1025</v>
      </c>
      <c r="F117" s="670"/>
      <c r="G117" s="670"/>
      <c r="H117" s="670"/>
      <c r="I117" s="670"/>
      <c r="K117" s="722"/>
      <c r="L117" s="89">
        <f t="shared" si="10"/>
        <v>0</v>
      </c>
    </row>
    <row r="118" spans="1:12" x14ac:dyDescent="0.2">
      <c r="A118" s="1650" t="str">
        <f>+'5 ALMACEN '!Z46</f>
        <v xml:space="preserve">FORMICA </v>
      </c>
      <c r="B118" s="1651"/>
      <c r="C118" s="92" t="s">
        <v>1216</v>
      </c>
      <c r="D118" s="646">
        <f>IF($A$118=$A$117,0,SUMIF('5 ALMACEN '!Z45:Z48,PRODUCCION!$A$118,'5 ALMACEN '!$W45:$Y48))</f>
        <v>0</v>
      </c>
      <c r="E118" s="939" t="s">
        <v>1025</v>
      </c>
      <c r="F118" s="670"/>
      <c r="G118" s="670"/>
      <c r="H118" s="670"/>
      <c r="I118" s="670"/>
      <c r="K118" s="722"/>
      <c r="L118" s="89">
        <f>IF(D118&gt;0,1,0)</f>
        <v>0</v>
      </c>
    </row>
    <row r="119" spans="1:12" x14ac:dyDescent="0.2">
      <c r="A119" s="1650" t="str">
        <f>+'5 ALMACEN '!Z47</f>
        <v xml:space="preserve">FORMICA </v>
      </c>
      <c r="B119" s="1651"/>
      <c r="C119" s="92" t="s">
        <v>1216</v>
      </c>
      <c r="D119" s="646">
        <f>IF(OR($A$119=$A$118,$A$119=$A$117,),0,SUMIF('5 ALMACEN '!Z45:Z48,PRODUCCION!$A$119,'5 ALMACEN '!$W45:$Y48))</f>
        <v>0</v>
      </c>
      <c r="E119" s="939" t="s">
        <v>1025</v>
      </c>
      <c r="F119" s="670"/>
      <c r="G119" s="670"/>
      <c r="H119" s="670"/>
      <c r="I119" s="670"/>
      <c r="K119" s="722"/>
      <c r="L119" s="89">
        <f t="shared" si="10"/>
        <v>0</v>
      </c>
    </row>
    <row r="120" spans="1:12" x14ac:dyDescent="0.2">
      <c r="A120" s="1650" t="str">
        <f>+'5 ALMACEN '!Z48</f>
        <v xml:space="preserve">FORMICA </v>
      </c>
      <c r="B120" s="1651"/>
      <c r="C120" s="92" t="s">
        <v>1216</v>
      </c>
      <c r="D120" s="646">
        <f>IF(OR($A$120=$A$119,$A$120=$A$118,$A$120=$A$117,),0,SUMIF('5 ALMACEN '!Z45:Z48,PRODUCCION!$A$120,'5 ALMACEN '!$W45:$Y48))</f>
        <v>0</v>
      </c>
      <c r="E120" s="939" t="s">
        <v>1025</v>
      </c>
      <c r="F120" s="670"/>
      <c r="G120" s="670"/>
      <c r="H120" s="670"/>
      <c r="I120" s="670"/>
      <c r="K120" s="722"/>
      <c r="L120" s="89">
        <f t="shared" si="10"/>
        <v>0</v>
      </c>
    </row>
    <row r="121" spans="1:12" x14ac:dyDescent="0.2">
      <c r="A121" s="1666" t="s">
        <v>116</v>
      </c>
      <c r="B121" s="1667"/>
      <c r="C121" s="92"/>
      <c r="D121" s="646">
        <f>SUM(D117:D120)</f>
        <v>0</v>
      </c>
      <c r="E121" s="939" t="s">
        <v>1025</v>
      </c>
      <c r="F121" s="670"/>
      <c r="G121" s="670"/>
      <c r="H121" s="670"/>
      <c r="I121" s="670"/>
      <c r="K121" s="722"/>
      <c r="L121" s="89">
        <f t="shared" si="10"/>
        <v>0</v>
      </c>
    </row>
    <row r="122" spans="1:12" x14ac:dyDescent="0.2">
      <c r="A122" s="1656" t="s">
        <v>1199</v>
      </c>
      <c r="B122" s="1658"/>
      <c r="C122" s="92"/>
      <c r="D122" s="679">
        <f>+('5 ALMACEN '!U40*0.08)+('5 ALMACEN '!U39*0.08)+('5 ALMACEN '!U41*0.16)</f>
        <v>0</v>
      </c>
      <c r="E122" s="93" t="s">
        <v>1025</v>
      </c>
      <c r="F122" s="670"/>
      <c r="G122" s="670"/>
      <c r="H122" s="670"/>
      <c r="I122" s="670"/>
      <c r="J122" s="721"/>
      <c r="K122" s="721">
        <f t="shared" ref="K122:K131" si="11">+J122*D122</f>
        <v>0</v>
      </c>
      <c r="L122" s="89">
        <f t="shared" ref="L122:L136" si="12">IF(D122&gt;0,1,0)</f>
        <v>0</v>
      </c>
    </row>
    <row r="123" spans="1:12" x14ac:dyDescent="0.2">
      <c r="A123" s="1656" t="s">
        <v>1201</v>
      </c>
      <c r="B123" s="1658"/>
      <c r="C123" s="92"/>
      <c r="D123" s="679">
        <f>+'5 ALMACEN '!U42*0.16</f>
        <v>0</v>
      </c>
      <c r="E123" s="93" t="s">
        <v>1025</v>
      </c>
      <c r="F123" s="670"/>
      <c r="G123" s="670"/>
      <c r="H123" s="670"/>
      <c r="I123" s="670"/>
      <c r="J123" s="721"/>
      <c r="K123" s="721">
        <f t="shared" si="11"/>
        <v>0</v>
      </c>
      <c r="L123" s="89">
        <f t="shared" si="12"/>
        <v>0</v>
      </c>
    </row>
    <row r="124" spans="1:12" x14ac:dyDescent="0.2">
      <c r="A124" s="1656" t="str">
        <f>CONCATENATE("FLEJE"," ","SIMILAR A LA"," ",A117)</f>
        <v xml:space="preserve">FLEJE SIMILAR A LA FORMICA </v>
      </c>
      <c r="B124" s="1658"/>
      <c r="C124" s="92"/>
      <c r="D124" s="646">
        <f>SUMIF('5 ALMACEN '!Z45:Z48,PRODUCCION!$A$117,'5 ALMACEN '!$W52:$Y55)*0</f>
        <v>0</v>
      </c>
      <c r="E124" s="93" t="s">
        <v>1026</v>
      </c>
      <c r="F124" s="670"/>
      <c r="G124" s="670"/>
      <c r="H124" s="670"/>
      <c r="I124" s="670"/>
      <c r="J124" s="721"/>
      <c r="K124" s="721">
        <f t="shared" si="11"/>
        <v>0</v>
      </c>
      <c r="L124" s="89">
        <f t="shared" ref="L124:L131" si="13">IF(D124&gt;0,1,0)</f>
        <v>0</v>
      </c>
    </row>
    <row r="125" spans="1:12" x14ac:dyDescent="0.2">
      <c r="A125" s="1656" t="str">
        <f>CONCATENATE("FLEJE"," ","SIMILAR A LA"," ",A118)</f>
        <v xml:space="preserve">FLEJE SIMILAR A LA FORMICA </v>
      </c>
      <c r="B125" s="1658"/>
      <c r="C125" s="92"/>
      <c r="D125" s="646">
        <f>IF($A$118=$A$117,0,SUMIF('5 ALMACEN '!Z45:Z48,PRODUCCION!$A$118,'5 ALMACEN '!$W52:$Y55))*0</f>
        <v>0</v>
      </c>
      <c r="E125" s="93" t="s">
        <v>1026</v>
      </c>
      <c r="F125" s="670"/>
      <c r="G125" s="670"/>
      <c r="H125" s="670"/>
      <c r="I125" s="670"/>
      <c r="J125" s="721"/>
      <c r="K125" s="721">
        <f t="shared" si="11"/>
        <v>0</v>
      </c>
      <c r="L125" s="89">
        <f t="shared" si="13"/>
        <v>0</v>
      </c>
    </row>
    <row r="126" spans="1:12" x14ac:dyDescent="0.2">
      <c r="A126" s="1656" t="str">
        <f>CONCATENATE("FLEJE"," ","SIMILAR A LA"," ",A119)</f>
        <v xml:space="preserve">FLEJE SIMILAR A LA FORMICA </v>
      </c>
      <c r="B126" s="1658"/>
      <c r="C126" s="92"/>
      <c r="D126" s="646">
        <f>IF(OR($A$119=$A$118,$A$119=$A$117,),0,SUMIF('5 ALMACEN '!Z45:Z48,PRODUCCION!$A$119,'5 ALMACEN '!$W52:$Y55))*0</f>
        <v>0</v>
      </c>
      <c r="E126" s="93" t="s">
        <v>1026</v>
      </c>
      <c r="F126" s="670"/>
      <c r="G126" s="670"/>
      <c r="H126" s="670"/>
      <c r="I126" s="670"/>
      <c r="J126" s="721"/>
      <c r="K126" s="721">
        <f t="shared" si="11"/>
        <v>0</v>
      </c>
      <c r="L126" s="89">
        <f t="shared" si="13"/>
        <v>0</v>
      </c>
    </row>
    <row r="127" spans="1:12" x14ac:dyDescent="0.2">
      <c r="A127" s="1656" t="str">
        <f>CONCATENATE("FLEJE"," ","SIMILAR A LA"," ",A120)</f>
        <v xml:space="preserve">FLEJE SIMILAR A LA FORMICA </v>
      </c>
      <c r="B127" s="1658"/>
      <c r="C127" s="92"/>
      <c r="D127" s="646">
        <f>IF(OR($A$120=$A$119,$A$120=$A$118,$A$120=$A$117,),0,SUMIF('5 ALMACEN '!Z45:Z48,PRODUCCION!$A$120,'5 ALMACEN '!$W52:$Y55))*0</f>
        <v>0</v>
      </c>
      <c r="E127" s="93" t="s">
        <v>1026</v>
      </c>
      <c r="F127" s="670"/>
      <c r="G127" s="670"/>
      <c r="H127" s="670"/>
      <c r="I127" s="670"/>
      <c r="J127" s="721"/>
      <c r="K127" s="721">
        <f t="shared" si="11"/>
        <v>0</v>
      </c>
      <c r="L127" s="89">
        <f t="shared" si="13"/>
        <v>0</v>
      </c>
    </row>
    <row r="128" spans="1:12" x14ac:dyDescent="0.2">
      <c r="A128" s="1656" t="s">
        <v>1212</v>
      </c>
      <c r="B128" s="1658"/>
      <c r="C128" s="92"/>
      <c r="D128" s="569">
        <f>4*D116</f>
        <v>0</v>
      </c>
      <c r="E128" s="93" t="s">
        <v>998</v>
      </c>
      <c r="F128" s="670"/>
      <c r="G128" s="670"/>
      <c r="H128" s="670"/>
      <c r="I128" s="670"/>
      <c r="J128" s="721"/>
      <c r="K128" s="721">
        <f>+J128*D128</f>
        <v>0</v>
      </c>
      <c r="L128" s="89">
        <f>IF(D128&gt;0,1,0)</f>
        <v>0</v>
      </c>
    </row>
    <row r="129" spans="1:12" x14ac:dyDescent="0.2">
      <c r="A129" s="1656" t="s">
        <v>1207</v>
      </c>
      <c r="B129" s="1658"/>
      <c r="C129" s="92"/>
      <c r="D129" s="569">
        <f>+('5 ALMACEN '!U39*2)+('5 ALMACEN '!U40*3)+('5 ALMACEN '!U41*2)+('5 ALMACEN '!U42*2)</f>
        <v>0</v>
      </c>
      <c r="E129" s="93" t="s">
        <v>998</v>
      </c>
      <c r="F129" s="670"/>
      <c r="G129" s="670"/>
      <c r="H129" s="670"/>
      <c r="I129" s="670"/>
      <c r="J129" s="721"/>
      <c r="K129" s="721">
        <f t="shared" si="11"/>
        <v>0</v>
      </c>
      <c r="L129" s="89">
        <f t="shared" si="13"/>
        <v>0</v>
      </c>
    </row>
    <row r="130" spans="1:12" x14ac:dyDescent="0.2">
      <c r="A130" s="1656" t="s">
        <v>1215</v>
      </c>
      <c r="B130" s="1658"/>
      <c r="C130" s="92"/>
      <c r="D130" s="569">
        <f>2*D129</f>
        <v>0</v>
      </c>
      <c r="E130" s="93" t="s">
        <v>998</v>
      </c>
      <c r="F130" s="670"/>
      <c r="G130" s="670"/>
      <c r="H130" s="670"/>
      <c r="I130" s="670"/>
      <c r="J130" s="721"/>
      <c r="K130" s="721">
        <f t="shared" si="11"/>
        <v>0</v>
      </c>
      <c r="L130" s="89">
        <f t="shared" si="13"/>
        <v>0</v>
      </c>
    </row>
    <row r="131" spans="1:12" x14ac:dyDescent="0.2">
      <c r="A131" s="1656" t="s">
        <v>1208</v>
      </c>
      <c r="B131" s="1658"/>
      <c r="C131" s="92"/>
      <c r="D131" s="569">
        <f>+('5 ALMACEN '!U39*15)+('5 ALMACEN '!U40*23)+('5 ALMACEN '!U41*15)+('5 ALMACEN '!U42*30)</f>
        <v>0</v>
      </c>
      <c r="E131" s="93" t="s">
        <v>998</v>
      </c>
      <c r="F131" s="670"/>
      <c r="G131" s="670"/>
      <c r="H131" s="670"/>
      <c r="I131" s="670"/>
      <c r="J131" s="721"/>
      <c r="K131" s="721">
        <f t="shared" si="11"/>
        <v>0</v>
      </c>
      <c r="L131" s="89">
        <f t="shared" si="13"/>
        <v>0</v>
      </c>
    </row>
    <row r="132" spans="1:12" x14ac:dyDescent="0.2">
      <c r="A132" s="1668" t="s">
        <v>119</v>
      </c>
      <c r="B132" s="1668"/>
      <c r="C132" s="1668"/>
      <c r="D132" s="1008">
        <f>SUM(D133:D140)</f>
        <v>0</v>
      </c>
      <c r="E132" s="535"/>
      <c r="F132" s="680"/>
      <c r="G132" s="680"/>
      <c r="H132" s="680"/>
      <c r="I132" s="680"/>
      <c r="J132" s="723"/>
      <c r="K132" s="723"/>
      <c r="L132" s="89">
        <f t="shared" si="12"/>
        <v>0</v>
      </c>
    </row>
    <row r="133" spans="1:12" ht="12.75" customHeight="1" x14ac:dyDescent="0.2">
      <c r="A133" s="1666" t="s">
        <v>372</v>
      </c>
      <c r="B133" s="1667"/>
      <c r="C133" s="92"/>
      <c r="D133" s="646">
        <f>0.5*'5 ALMACEN '!I25</f>
        <v>0</v>
      </c>
      <c r="E133" s="939" t="s">
        <v>994</v>
      </c>
      <c r="F133" s="670"/>
      <c r="G133" s="670"/>
      <c r="H133" s="670"/>
      <c r="I133" s="670"/>
      <c r="K133" s="722"/>
      <c r="L133" s="89">
        <f t="shared" si="12"/>
        <v>0</v>
      </c>
    </row>
    <row r="134" spans="1:12" x14ac:dyDescent="0.2">
      <c r="A134" s="1656">
        <f>+Paños!B381</f>
        <v>0</v>
      </c>
      <c r="B134" s="1658"/>
      <c r="C134" s="534"/>
      <c r="D134" s="755">
        <f>(Paños!C381)</f>
        <v>0</v>
      </c>
      <c r="E134" s="1217" t="s">
        <v>994</v>
      </c>
      <c r="F134" s="670"/>
      <c r="G134" s="670"/>
      <c r="H134" s="670"/>
      <c r="I134" s="670"/>
      <c r="J134" s="721"/>
      <c r="K134" s="721">
        <f t="shared" ref="K134:K140" si="14">+J134*D134</f>
        <v>0</v>
      </c>
      <c r="L134" s="89">
        <f t="shared" si="12"/>
        <v>0</v>
      </c>
    </row>
    <row r="135" spans="1:12" ht="12.75" customHeight="1" x14ac:dyDescent="0.2">
      <c r="A135" s="1656">
        <f>+Paños!B382</f>
        <v>0</v>
      </c>
      <c r="B135" s="1658"/>
      <c r="C135" s="92"/>
      <c r="D135" s="646">
        <f>+(Paños!C382)</f>
        <v>0</v>
      </c>
      <c r="E135" s="1217" t="str">
        <f>+Paños!D382</f>
        <v>MT - LIN.</v>
      </c>
      <c r="F135" s="670"/>
      <c r="G135" s="670"/>
      <c r="H135" s="670"/>
      <c r="I135" s="670"/>
      <c r="J135" s="721"/>
      <c r="K135" s="721">
        <f t="shared" si="14"/>
        <v>0</v>
      </c>
      <c r="L135" s="89">
        <f t="shared" si="12"/>
        <v>0</v>
      </c>
    </row>
    <row r="136" spans="1:12" ht="12.75" customHeight="1" x14ac:dyDescent="0.2">
      <c r="A136" s="1656">
        <f>+Paños!B383</f>
        <v>0</v>
      </c>
      <c r="B136" s="1658"/>
      <c r="C136" s="92"/>
      <c r="D136" s="646">
        <f>+(Paños!C383)</f>
        <v>0</v>
      </c>
      <c r="E136" s="1217" t="str">
        <f>+Paños!D383</f>
        <v>MT - LIN.</v>
      </c>
      <c r="F136" s="670"/>
      <c r="G136" s="670"/>
      <c r="H136" s="670"/>
      <c r="I136" s="670"/>
      <c r="J136" s="721"/>
      <c r="K136" s="721">
        <f t="shared" si="14"/>
        <v>0</v>
      </c>
      <c r="L136" s="89">
        <f t="shared" si="12"/>
        <v>0</v>
      </c>
    </row>
    <row r="137" spans="1:12" ht="12.75" customHeight="1" x14ac:dyDescent="0.2">
      <c r="A137" s="1656">
        <f>+Paños!B384</f>
        <v>0</v>
      </c>
      <c r="B137" s="1658"/>
      <c r="C137" s="92"/>
      <c r="D137" s="646">
        <f>+Paños!C384</f>
        <v>0</v>
      </c>
      <c r="E137" s="1217" t="str">
        <f>+Paños!D384</f>
        <v>MTS - LIN.</v>
      </c>
      <c r="F137" s="670"/>
      <c r="G137" s="670"/>
      <c r="H137" s="670"/>
      <c r="I137" s="670"/>
      <c r="J137" s="721"/>
      <c r="K137" s="721">
        <f t="shared" si="14"/>
        <v>0</v>
      </c>
      <c r="L137" s="89">
        <f t="shared" ref="L137:L146" si="15">IF(D137&gt;0,1,0)</f>
        <v>0</v>
      </c>
    </row>
    <row r="138" spans="1:12" ht="12.75" customHeight="1" x14ac:dyDescent="0.2">
      <c r="A138" s="1656">
        <f>+Paños!B385</f>
        <v>0</v>
      </c>
      <c r="B138" s="1658"/>
      <c r="C138" s="92"/>
      <c r="D138" s="646">
        <f>+Paños!C385</f>
        <v>0</v>
      </c>
      <c r="E138" s="1217" t="str">
        <f>+Paños!D385</f>
        <v>MTS - LIN.</v>
      </c>
      <c r="F138" s="670"/>
      <c r="G138" s="670"/>
      <c r="H138" s="670"/>
      <c r="I138" s="670"/>
      <c r="J138" s="721"/>
      <c r="K138" s="721">
        <f t="shared" si="14"/>
        <v>0</v>
      </c>
      <c r="L138" s="89">
        <f t="shared" si="15"/>
        <v>0</v>
      </c>
    </row>
    <row r="139" spans="1:12" ht="12.75" customHeight="1" x14ac:dyDescent="0.2">
      <c r="A139" s="1656">
        <f>+Paños!B386</f>
        <v>0</v>
      </c>
      <c r="B139" s="1658"/>
      <c r="C139" s="92"/>
      <c r="D139" s="646">
        <f>+Paños!C386</f>
        <v>0</v>
      </c>
      <c r="E139" s="1217" t="str">
        <f>+Paños!D386</f>
        <v>MTS - LIN.</v>
      </c>
      <c r="F139" s="670"/>
      <c r="G139" s="670"/>
      <c r="H139" s="670"/>
      <c r="I139" s="670"/>
      <c r="J139" s="721"/>
      <c r="K139" s="721">
        <f t="shared" si="14"/>
        <v>0</v>
      </c>
      <c r="L139" s="89">
        <f t="shared" si="15"/>
        <v>0</v>
      </c>
    </row>
    <row r="140" spans="1:12" ht="12.75" customHeight="1" x14ac:dyDescent="0.2">
      <c r="A140" s="1656">
        <f>+Paños!B387</f>
        <v>0</v>
      </c>
      <c r="B140" s="1658"/>
      <c r="C140" s="533"/>
      <c r="D140" s="646">
        <f>+Paños!C387</f>
        <v>0</v>
      </c>
      <c r="E140" s="1217" t="str">
        <f>+Paños!D387</f>
        <v>MTS - LIN.</v>
      </c>
      <c r="F140" s="670"/>
      <c r="G140" s="670"/>
      <c r="H140" s="670"/>
      <c r="I140" s="670"/>
      <c r="J140" s="721"/>
      <c r="K140" s="721">
        <f t="shared" si="14"/>
        <v>0</v>
      </c>
      <c r="L140" s="89">
        <f t="shared" si="15"/>
        <v>0</v>
      </c>
    </row>
    <row r="141" spans="1:12" ht="12.75" customHeight="1" x14ac:dyDescent="0.2">
      <c r="A141" s="1668" t="s">
        <v>1147</v>
      </c>
      <c r="B141" s="1668"/>
      <c r="C141" s="1668"/>
      <c r="D141" s="1007">
        <f>SUM(D142:D226)</f>
        <v>0</v>
      </c>
      <c r="E141" s="537"/>
      <c r="F141" s="707"/>
      <c r="G141" s="707"/>
      <c r="H141" s="707"/>
      <c r="I141" s="707"/>
      <c r="J141" s="724"/>
      <c r="K141" s="724"/>
      <c r="L141" s="89">
        <f t="shared" si="15"/>
        <v>0</v>
      </c>
    </row>
    <row r="142" spans="1:12" ht="12.75" customHeight="1" x14ac:dyDescent="0.2">
      <c r="A142" s="1656" t="s">
        <v>122</v>
      </c>
      <c r="B142" s="1658"/>
      <c r="C142" s="584"/>
      <c r="D142" s="542">
        <f>+PORTA!C904</f>
        <v>0</v>
      </c>
      <c r="E142" s="93" t="s">
        <v>998</v>
      </c>
      <c r="F142" s="670"/>
      <c r="G142" s="670"/>
      <c r="H142" s="670"/>
      <c r="I142" s="670"/>
      <c r="J142" s="721"/>
      <c r="K142" s="721">
        <f t="shared" ref="K142:K173" si="16">+J142*D142</f>
        <v>0</v>
      </c>
      <c r="L142" s="89">
        <f t="shared" si="15"/>
        <v>0</v>
      </c>
    </row>
    <row r="143" spans="1:12" ht="12.75" customHeight="1" x14ac:dyDescent="0.2">
      <c r="A143" s="1656" t="s">
        <v>123</v>
      </c>
      <c r="B143" s="1658"/>
      <c r="C143" s="96"/>
      <c r="D143" s="542">
        <f>+PORTA!C905</f>
        <v>0</v>
      </c>
      <c r="E143" s="93" t="s">
        <v>998</v>
      </c>
      <c r="F143" s="670"/>
      <c r="G143" s="670"/>
      <c r="H143" s="670"/>
      <c r="I143" s="670"/>
      <c r="J143" s="721"/>
      <c r="K143" s="721">
        <f t="shared" si="16"/>
        <v>0</v>
      </c>
      <c r="L143" s="89">
        <f t="shared" si="15"/>
        <v>0</v>
      </c>
    </row>
    <row r="144" spans="1:12" ht="12.75" customHeight="1" x14ac:dyDescent="0.2">
      <c r="A144" s="1656" t="s">
        <v>124</v>
      </c>
      <c r="B144" s="1658"/>
      <c r="C144" s="96"/>
      <c r="D144" s="542">
        <f>+PORTA!C906</f>
        <v>0</v>
      </c>
      <c r="E144" s="93" t="s">
        <v>998</v>
      </c>
      <c r="F144" s="670"/>
      <c r="G144" s="670"/>
      <c r="H144" s="670"/>
      <c r="I144" s="670"/>
      <c r="J144" s="721"/>
      <c r="K144" s="721">
        <f t="shared" si="16"/>
        <v>0</v>
      </c>
      <c r="L144" s="89">
        <f t="shared" si="15"/>
        <v>0</v>
      </c>
    </row>
    <row r="145" spans="1:12" ht="12.75" customHeight="1" x14ac:dyDescent="0.2">
      <c r="A145" s="1656" t="s">
        <v>125</v>
      </c>
      <c r="B145" s="1658"/>
      <c r="C145" s="96"/>
      <c r="D145" s="542">
        <f>+PORTA!C907</f>
        <v>0</v>
      </c>
      <c r="E145" s="93" t="s">
        <v>998</v>
      </c>
      <c r="F145" s="670"/>
      <c r="G145" s="670"/>
      <c r="H145" s="670"/>
      <c r="I145" s="670"/>
      <c r="J145" s="721"/>
      <c r="K145" s="721">
        <f t="shared" si="16"/>
        <v>0</v>
      </c>
      <c r="L145" s="89">
        <f t="shared" si="15"/>
        <v>0</v>
      </c>
    </row>
    <row r="146" spans="1:12" ht="12.75" customHeight="1" x14ac:dyDescent="0.2">
      <c r="A146" s="1656" t="s">
        <v>126</v>
      </c>
      <c r="B146" s="1658"/>
      <c r="C146" s="96"/>
      <c r="D146" s="542">
        <f>+PORTA!C908</f>
        <v>0</v>
      </c>
      <c r="E146" s="93" t="s">
        <v>998</v>
      </c>
      <c r="F146" s="670"/>
      <c r="G146" s="670"/>
      <c r="H146" s="670"/>
      <c r="I146" s="670"/>
      <c r="J146" s="721"/>
      <c r="K146" s="721">
        <f t="shared" si="16"/>
        <v>0</v>
      </c>
      <c r="L146" s="89">
        <f t="shared" si="15"/>
        <v>0</v>
      </c>
    </row>
    <row r="147" spans="1:12" ht="12.75" customHeight="1" x14ac:dyDescent="0.2">
      <c r="A147" s="1656" t="s">
        <v>127</v>
      </c>
      <c r="B147" s="1658"/>
      <c r="C147" s="96"/>
      <c r="D147" s="542">
        <f>+PORTA!C909</f>
        <v>0</v>
      </c>
      <c r="E147" s="93" t="s">
        <v>998</v>
      </c>
      <c r="F147" s="670"/>
      <c r="G147" s="670"/>
      <c r="H147" s="670"/>
      <c r="I147" s="670"/>
      <c r="J147" s="721"/>
      <c r="K147" s="721">
        <f t="shared" si="16"/>
        <v>0</v>
      </c>
      <c r="L147" s="89">
        <f t="shared" ref="L147:L177" si="17">IF(D147&gt;0,1,0)</f>
        <v>0</v>
      </c>
    </row>
    <row r="148" spans="1:12" ht="12.75" customHeight="1" x14ac:dyDescent="0.2">
      <c r="A148" s="1656" t="s">
        <v>128</v>
      </c>
      <c r="B148" s="1658"/>
      <c r="C148" s="96"/>
      <c r="D148" s="542">
        <f>+PORTA!C910</f>
        <v>0</v>
      </c>
      <c r="E148" s="93" t="s">
        <v>998</v>
      </c>
      <c r="F148" s="670"/>
      <c r="G148" s="670"/>
      <c r="H148" s="670"/>
      <c r="I148" s="670"/>
      <c r="J148" s="721"/>
      <c r="K148" s="721">
        <f t="shared" si="16"/>
        <v>0</v>
      </c>
      <c r="L148" s="89">
        <f t="shared" si="17"/>
        <v>0</v>
      </c>
    </row>
    <row r="149" spans="1:12" ht="12.75" customHeight="1" x14ac:dyDescent="0.2">
      <c r="A149" s="1656" t="s">
        <v>129</v>
      </c>
      <c r="B149" s="1658"/>
      <c r="C149" s="96"/>
      <c r="D149" s="542">
        <f>+PORTA!C911</f>
        <v>0</v>
      </c>
      <c r="E149" s="93" t="s">
        <v>998</v>
      </c>
      <c r="F149" s="670"/>
      <c r="G149" s="670"/>
      <c r="H149" s="670"/>
      <c r="I149" s="670"/>
      <c r="J149" s="721"/>
      <c r="K149" s="721">
        <f t="shared" si="16"/>
        <v>0</v>
      </c>
      <c r="L149" s="89">
        <f t="shared" si="17"/>
        <v>0</v>
      </c>
    </row>
    <row r="150" spans="1:12" ht="12.75" customHeight="1" x14ac:dyDescent="0.2">
      <c r="A150" s="1656" t="s">
        <v>130</v>
      </c>
      <c r="B150" s="1658"/>
      <c r="C150" s="96"/>
      <c r="D150" s="542">
        <f>+PORTA!C912</f>
        <v>0</v>
      </c>
      <c r="E150" s="93" t="s">
        <v>998</v>
      </c>
      <c r="F150" s="670"/>
      <c r="G150" s="670"/>
      <c r="H150" s="670"/>
      <c r="I150" s="670"/>
      <c r="J150" s="721"/>
      <c r="K150" s="721">
        <f t="shared" si="16"/>
        <v>0</v>
      </c>
      <c r="L150" s="89">
        <f t="shared" si="17"/>
        <v>0</v>
      </c>
    </row>
    <row r="151" spans="1:12" ht="12.75" customHeight="1" x14ac:dyDescent="0.2">
      <c r="A151" s="1656" t="s">
        <v>131</v>
      </c>
      <c r="B151" s="1658"/>
      <c r="C151" s="96"/>
      <c r="D151" s="542">
        <f>+PORTA!C913</f>
        <v>0</v>
      </c>
      <c r="E151" s="93" t="s">
        <v>998</v>
      </c>
      <c r="F151" s="670"/>
      <c r="G151" s="670"/>
      <c r="H151" s="670"/>
      <c r="I151" s="670"/>
      <c r="J151" s="721"/>
      <c r="K151" s="721">
        <f t="shared" si="16"/>
        <v>0</v>
      </c>
      <c r="L151" s="89">
        <f t="shared" si="17"/>
        <v>0</v>
      </c>
    </row>
    <row r="152" spans="1:12" ht="12.75" customHeight="1" x14ac:dyDescent="0.2">
      <c r="A152" s="1656" t="s">
        <v>134</v>
      </c>
      <c r="B152" s="1658"/>
      <c r="C152" s="96"/>
      <c r="D152" s="542">
        <f>+PORTA!C914</f>
        <v>0</v>
      </c>
      <c r="E152" s="93" t="s">
        <v>998</v>
      </c>
      <c r="F152" s="670"/>
      <c r="G152" s="670"/>
      <c r="H152" s="670"/>
      <c r="I152" s="670"/>
      <c r="J152" s="721"/>
      <c r="K152" s="721">
        <f t="shared" si="16"/>
        <v>0</v>
      </c>
      <c r="L152" s="89">
        <f t="shared" si="17"/>
        <v>0</v>
      </c>
    </row>
    <row r="153" spans="1:12" ht="12.75" customHeight="1" x14ac:dyDescent="0.2">
      <c r="A153" s="1656" t="s">
        <v>135</v>
      </c>
      <c r="B153" s="1658"/>
      <c r="C153" s="96"/>
      <c r="D153" s="542">
        <f>+PORTA!C915</f>
        <v>0</v>
      </c>
      <c r="E153" s="93" t="s">
        <v>998</v>
      </c>
      <c r="F153" s="670"/>
      <c r="G153" s="670"/>
      <c r="H153" s="670"/>
      <c r="I153" s="670"/>
      <c r="J153" s="721"/>
      <c r="K153" s="721">
        <f t="shared" si="16"/>
        <v>0</v>
      </c>
      <c r="L153" s="89">
        <f t="shared" si="17"/>
        <v>0</v>
      </c>
    </row>
    <row r="154" spans="1:12" ht="12.75" customHeight="1" x14ac:dyDescent="0.2">
      <c r="A154" s="1656" t="s">
        <v>136</v>
      </c>
      <c r="B154" s="1658"/>
      <c r="C154" s="96"/>
      <c r="D154" s="542">
        <f>+PORTA!C916</f>
        <v>0</v>
      </c>
      <c r="E154" s="93" t="s">
        <v>998</v>
      </c>
      <c r="F154" s="670"/>
      <c r="G154" s="670"/>
      <c r="H154" s="670"/>
      <c r="I154" s="670"/>
      <c r="J154" s="721"/>
      <c r="K154" s="721">
        <f t="shared" si="16"/>
        <v>0</v>
      </c>
      <c r="L154" s="89">
        <f t="shared" si="17"/>
        <v>0</v>
      </c>
    </row>
    <row r="155" spans="1:12" ht="12.75" customHeight="1" x14ac:dyDescent="0.2">
      <c r="A155" s="1656" t="s">
        <v>137</v>
      </c>
      <c r="B155" s="1658"/>
      <c r="C155" s="96"/>
      <c r="D155" s="542">
        <f>+PORTA!C917</f>
        <v>0</v>
      </c>
      <c r="E155" s="93" t="s">
        <v>998</v>
      </c>
      <c r="F155" s="670"/>
      <c r="G155" s="670"/>
      <c r="H155" s="670"/>
      <c r="I155" s="670"/>
      <c r="J155" s="721"/>
      <c r="K155" s="721">
        <f t="shared" si="16"/>
        <v>0</v>
      </c>
      <c r="L155" s="89">
        <f t="shared" si="17"/>
        <v>0</v>
      </c>
    </row>
    <row r="156" spans="1:12" ht="12.75" customHeight="1" x14ac:dyDescent="0.2">
      <c r="A156" s="1656" t="s">
        <v>138</v>
      </c>
      <c r="B156" s="1658"/>
      <c r="C156" s="96"/>
      <c r="D156" s="542">
        <f>+PORTA!C918</f>
        <v>0</v>
      </c>
      <c r="E156" s="93" t="s">
        <v>998</v>
      </c>
      <c r="F156" s="670"/>
      <c r="G156" s="670"/>
      <c r="H156" s="670"/>
      <c r="I156" s="670"/>
      <c r="J156" s="721"/>
      <c r="K156" s="721">
        <f t="shared" si="16"/>
        <v>0</v>
      </c>
      <c r="L156" s="89">
        <f t="shared" si="17"/>
        <v>0</v>
      </c>
    </row>
    <row r="157" spans="1:12" ht="12.75" customHeight="1" x14ac:dyDescent="0.2">
      <c r="A157" s="1656" t="s">
        <v>139</v>
      </c>
      <c r="B157" s="1658"/>
      <c r="C157" s="96"/>
      <c r="D157" s="542">
        <f>+PORTA!C919</f>
        <v>0</v>
      </c>
      <c r="E157" s="93" t="s">
        <v>998</v>
      </c>
      <c r="F157" s="670"/>
      <c r="G157" s="670"/>
      <c r="H157" s="670"/>
      <c r="I157" s="670"/>
      <c r="J157" s="721"/>
      <c r="K157" s="721">
        <f t="shared" si="16"/>
        <v>0</v>
      </c>
      <c r="L157" s="89">
        <f t="shared" si="17"/>
        <v>0</v>
      </c>
    </row>
    <row r="158" spans="1:12" ht="12.75" customHeight="1" x14ac:dyDescent="0.2">
      <c r="A158" s="1656" t="s">
        <v>140</v>
      </c>
      <c r="B158" s="1658"/>
      <c r="C158" s="96"/>
      <c r="D158" s="542">
        <f>+PORTA!C920</f>
        <v>0</v>
      </c>
      <c r="E158" s="93" t="s">
        <v>998</v>
      </c>
      <c r="F158" s="670"/>
      <c r="G158" s="670"/>
      <c r="H158" s="670"/>
      <c r="I158" s="670"/>
      <c r="J158" s="721"/>
      <c r="K158" s="721">
        <f t="shared" si="16"/>
        <v>0</v>
      </c>
      <c r="L158" s="89">
        <f t="shared" si="17"/>
        <v>0</v>
      </c>
    </row>
    <row r="159" spans="1:12" ht="12.75" customHeight="1" x14ac:dyDescent="0.2">
      <c r="A159" s="1656" t="s">
        <v>141</v>
      </c>
      <c r="B159" s="1658"/>
      <c r="C159" s="96"/>
      <c r="D159" s="542">
        <f>+PORTA!C921</f>
        <v>0</v>
      </c>
      <c r="E159" s="93" t="s">
        <v>998</v>
      </c>
      <c r="F159" s="670"/>
      <c r="G159" s="670"/>
      <c r="H159" s="670"/>
      <c r="I159" s="670"/>
      <c r="J159" s="721"/>
      <c r="K159" s="721">
        <f t="shared" si="16"/>
        <v>0</v>
      </c>
      <c r="L159" s="89">
        <f t="shared" si="17"/>
        <v>0</v>
      </c>
    </row>
    <row r="160" spans="1:12" ht="12.75" customHeight="1" x14ac:dyDescent="0.2">
      <c r="A160" s="1656" t="s">
        <v>142</v>
      </c>
      <c r="B160" s="1658"/>
      <c r="C160" s="96"/>
      <c r="D160" s="542">
        <f>+PORTA!C922</f>
        <v>0</v>
      </c>
      <c r="E160" s="93" t="s">
        <v>998</v>
      </c>
      <c r="F160" s="670"/>
      <c r="G160" s="670"/>
      <c r="H160" s="670"/>
      <c r="I160" s="670"/>
      <c r="J160" s="721"/>
      <c r="K160" s="721">
        <f t="shared" si="16"/>
        <v>0</v>
      </c>
      <c r="L160" s="89">
        <f t="shared" si="17"/>
        <v>0</v>
      </c>
    </row>
    <row r="161" spans="1:12" ht="12.75" customHeight="1" x14ac:dyDescent="0.2">
      <c r="A161" s="1656" t="s">
        <v>143</v>
      </c>
      <c r="B161" s="1658"/>
      <c r="C161" s="96"/>
      <c r="D161" s="542">
        <f>+PORTA!C923</f>
        <v>0</v>
      </c>
      <c r="E161" s="93" t="s">
        <v>998</v>
      </c>
      <c r="F161" s="670"/>
      <c r="G161" s="670"/>
      <c r="H161" s="670"/>
      <c r="I161" s="670"/>
      <c r="J161" s="721"/>
      <c r="K161" s="721">
        <f t="shared" si="16"/>
        <v>0</v>
      </c>
      <c r="L161" s="89">
        <f t="shared" si="17"/>
        <v>0</v>
      </c>
    </row>
    <row r="162" spans="1:12" ht="12.75" customHeight="1" x14ac:dyDescent="0.2">
      <c r="A162" s="1656" t="s">
        <v>144</v>
      </c>
      <c r="B162" s="1658"/>
      <c r="C162" s="96"/>
      <c r="D162" s="542">
        <f>+PORTA!C924</f>
        <v>0</v>
      </c>
      <c r="E162" s="93" t="s">
        <v>998</v>
      </c>
      <c r="F162" s="670"/>
      <c r="G162" s="670"/>
      <c r="H162" s="670"/>
      <c r="I162" s="670"/>
      <c r="J162" s="721"/>
      <c r="K162" s="721">
        <f t="shared" si="16"/>
        <v>0</v>
      </c>
      <c r="L162" s="89">
        <f t="shared" si="17"/>
        <v>0</v>
      </c>
    </row>
    <row r="163" spans="1:12" ht="12.75" customHeight="1" x14ac:dyDescent="0.2">
      <c r="A163" s="1656" t="s">
        <v>145</v>
      </c>
      <c r="B163" s="1658"/>
      <c r="C163" s="96"/>
      <c r="D163" s="542">
        <f>+PORTA!C925</f>
        <v>0</v>
      </c>
      <c r="E163" s="93" t="s">
        <v>998</v>
      </c>
      <c r="F163" s="670"/>
      <c r="G163" s="670"/>
      <c r="H163" s="670"/>
      <c r="I163" s="670"/>
      <c r="J163" s="721"/>
      <c r="K163" s="721">
        <f t="shared" si="16"/>
        <v>0</v>
      </c>
      <c r="L163" s="89">
        <f t="shared" si="17"/>
        <v>0</v>
      </c>
    </row>
    <row r="164" spans="1:12" ht="12.75" customHeight="1" x14ac:dyDescent="0.2">
      <c r="A164" s="1656" t="s">
        <v>146</v>
      </c>
      <c r="B164" s="1658"/>
      <c r="C164" s="96"/>
      <c r="D164" s="542">
        <f>+PORTA!C926</f>
        <v>0</v>
      </c>
      <c r="E164" s="93" t="s">
        <v>998</v>
      </c>
      <c r="F164" s="670"/>
      <c r="G164" s="670"/>
      <c r="H164" s="670"/>
      <c r="I164" s="670"/>
      <c r="J164" s="721"/>
      <c r="K164" s="721">
        <f t="shared" si="16"/>
        <v>0</v>
      </c>
      <c r="L164" s="89">
        <f t="shared" si="17"/>
        <v>0</v>
      </c>
    </row>
    <row r="165" spans="1:12" ht="12.75" customHeight="1" x14ac:dyDescent="0.2">
      <c r="A165" s="1656" t="s">
        <v>148</v>
      </c>
      <c r="B165" s="1658"/>
      <c r="C165" s="96"/>
      <c r="D165" s="542">
        <f>+PORTA!C928</f>
        <v>0</v>
      </c>
      <c r="E165" s="93" t="s">
        <v>998</v>
      </c>
      <c r="F165" s="670"/>
      <c r="G165" s="670"/>
      <c r="H165" s="670"/>
      <c r="I165" s="670"/>
      <c r="J165" s="721"/>
      <c r="K165" s="721">
        <f t="shared" si="16"/>
        <v>0</v>
      </c>
      <c r="L165" s="89">
        <f t="shared" si="17"/>
        <v>0</v>
      </c>
    </row>
    <row r="166" spans="1:12" ht="12.75" customHeight="1" x14ac:dyDescent="0.2">
      <c r="A166" s="1656" t="s">
        <v>149</v>
      </c>
      <c r="B166" s="1658"/>
      <c r="C166" s="96"/>
      <c r="D166" s="542">
        <f>+PORTA!C929</f>
        <v>0</v>
      </c>
      <c r="E166" s="93" t="s">
        <v>998</v>
      </c>
      <c r="F166" s="670"/>
      <c r="G166" s="670"/>
      <c r="H166" s="670"/>
      <c r="I166" s="670"/>
      <c r="J166" s="721"/>
      <c r="K166" s="721">
        <f t="shared" si="16"/>
        <v>0</v>
      </c>
      <c r="L166" s="89">
        <f t="shared" si="17"/>
        <v>0</v>
      </c>
    </row>
    <row r="167" spans="1:12" ht="12.75" customHeight="1" x14ac:dyDescent="0.2">
      <c r="A167" s="1656" t="s">
        <v>150</v>
      </c>
      <c r="B167" s="1658"/>
      <c r="C167" s="96"/>
      <c r="D167" s="542">
        <f>+PORTA!C930</f>
        <v>0</v>
      </c>
      <c r="E167" s="93" t="s">
        <v>998</v>
      </c>
      <c r="F167" s="670"/>
      <c r="G167" s="670"/>
      <c r="H167" s="670"/>
      <c r="I167" s="670"/>
      <c r="J167" s="721"/>
      <c r="K167" s="721">
        <f t="shared" si="16"/>
        <v>0</v>
      </c>
      <c r="L167" s="89">
        <f t="shared" si="17"/>
        <v>0</v>
      </c>
    </row>
    <row r="168" spans="1:12" ht="12.75" customHeight="1" x14ac:dyDescent="0.2">
      <c r="A168" s="1656" t="s">
        <v>151</v>
      </c>
      <c r="B168" s="1658"/>
      <c r="C168" s="96"/>
      <c r="D168" s="542">
        <f>+PORTA!C931</f>
        <v>0</v>
      </c>
      <c r="E168" s="93" t="s">
        <v>998</v>
      </c>
      <c r="F168" s="670"/>
      <c r="G168" s="670"/>
      <c r="H168" s="670"/>
      <c r="I168" s="670"/>
      <c r="J168" s="721"/>
      <c r="K168" s="721">
        <f t="shared" si="16"/>
        <v>0</v>
      </c>
      <c r="L168" s="89">
        <f t="shared" si="17"/>
        <v>0</v>
      </c>
    </row>
    <row r="169" spans="1:12" ht="12.75" customHeight="1" x14ac:dyDescent="0.2">
      <c r="A169" s="1656" t="s">
        <v>152</v>
      </c>
      <c r="B169" s="1658"/>
      <c r="C169" s="96"/>
      <c r="D169" s="542">
        <f>+PORTA!C932</f>
        <v>0</v>
      </c>
      <c r="E169" s="93" t="s">
        <v>998</v>
      </c>
      <c r="F169" s="670"/>
      <c r="G169" s="670"/>
      <c r="H169" s="670"/>
      <c r="I169" s="670"/>
      <c r="J169" s="721"/>
      <c r="K169" s="721">
        <f t="shared" si="16"/>
        <v>0</v>
      </c>
      <c r="L169" s="89">
        <f t="shared" si="17"/>
        <v>0</v>
      </c>
    </row>
    <row r="170" spans="1:12" ht="12.75" customHeight="1" x14ac:dyDescent="0.2">
      <c r="A170" s="1656" t="s">
        <v>153</v>
      </c>
      <c r="B170" s="1658"/>
      <c r="C170" s="96"/>
      <c r="D170" s="542">
        <f>+PORTA!C933</f>
        <v>0</v>
      </c>
      <c r="E170" s="93" t="s">
        <v>1034</v>
      </c>
      <c r="F170" s="670"/>
      <c r="G170" s="670"/>
      <c r="H170" s="670"/>
      <c r="I170" s="670"/>
      <c r="J170" s="721"/>
      <c r="K170" s="721">
        <f t="shared" si="16"/>
        <v>0</v>
      </c>
      <c r="L170" s="89">
        <f t="shared" si="17"/>
        <v>0</v>
      </c>
    </row>
    <row r="171" spans="1:12" ht="12.75" customHeight="1" x14ac:dyDescent="0.2">
      <c r="A171" s="1656" t="s">
        <v>155</v>
      </c>
      <c r="B171" s="1658"/>
      <c r="C171" s="96"/>
      <c r="D171" s="542">
        <f>+PORTA!C934</f>
        <v>0</v>
      </c>
      <c r="E171" s="93" t="s">
        <v>1034</v>
      </c>
      <c r="F171" s="670"/>
      <c r="G171" s="670"/>
      <c r="H171" s="670"/>
      <c r="I171" s="670"/>
      <c r="J171" s="721"/>
      <c r="K171" s="721">
        <f t="shared" si="16"/>
        <v>0</v>
      </c>
      <c r="L171" s="89">
        <f t="shared" si="17"/>
        <v>0</v>
      </c>
    </row>
    <row r="172" spans="1:12" ht="12.75" customHeight="1" x14ac:dyDescent="0.2">
      <c r="A172" s="1656" t="s">
        <v>156</v>
      </c>
      <c r="B172" s="1658"/>
      <c r="C172" s="96"/>
      <c r="D172" s="542">
        <f>+PORTA!C935</f>
        <v>0</v>
      </c>
      <c r="E172" s="93" t="s">
        <v>1035</v>
      </c>
      <c r="F172" s="670"/>
      <c r="G172" s="670"/>
      <c r="H172" s="670"/>
      <c r="I172" s="670"/>
      <c r="J172" s="721"/>
      <c r="K172" s="721">
        <f t="shared" si="16"/>
        <v>0</v>
      </c>
      <c r="L172" s="89">
        <f t="shared" si="17"/>
        <v>0</v>
      </c>
    </row>
    <row r="173" spans="1:12" ht="12.75" customHeight="1" x14ac:dyDescent="0.2">
      <c r="A173" s="1656" t="s">
        <v>157</v>
      </c>
      <c r="B173" s="1658"/>
      <c r="C173" s="96"/>
      <c r="D173" s="542">
        <f>+PORTA!C936</f>
        <v>0</v>
      </c>
      <c r="E173" s="93" t="s">
        <v>998</v>
      </c>
      <c r="F173" s="670"/>
      <c r="G173" s="670"/>
      <c r="H173" s="670"/>
      <c r="I173" s="670"/>
      <c r="J173" s="721"/>
      <c r="K173" s="721">
        <f t="shared" si="16"/>
        <v>0</v>
      </c>
      <c r="L173" s="89">
        <f t="shared" si="17"/>
        <v>0</v>
      </c>
    </row>
    <row r="174" spans="1:12" ht="12.75" customHeight="1" x14ac:dyDescent="0.2">
      <c r="A174" s="1656" t="s">
        <v>158</v>
      </c>
      <c r="B174" s="1658"/>
      <c r="C174" s="96"/>
      <c r="D174" s="542">
        <f>+PORTA!C937</f>
        <v>0</v>
      </c>
      <c r="E174" s="93" t="s">
        <v>998</v>
      </c>
      <c r="F174" s="670"/>
      <c r="G174" s="670"/>
      <c r="H174" s="670"/>
      <c r="I174" s="670"/>
      <c r="J174" s="721"/>
      <c r="K174" s="721">
        <f t="shared" ref="K174:K191" si="18">+J174*D174</f>
        <v>0</v>
      </c>
      <c r="L174" s="89">
        <f t="shared" si="17"/>
        <v>0</v>
      </c>
    </row>
    <row r="175" spans="1:12" ht="12.75" customHeight="1" x14ac:dyDescent="0.2">
      <c r="A175" s="1656" t="s">
        <v>159</v>
      </c>
      <c r="B175" s="1658"/>
      <c r="C175" s="96"/>
      <c r="D175" s="542">
        <f>+PORTA!C938</f>
        <v>0</v>
      </c>
      <c r="E175" s="93" t="s">
        <v>998</v>
      </c>
      <c r="F175" s="670"/>
      <c r="G175" s="670"/>
      <c r="H175" s="670"/>
      <c r="I175" s="670"/>
      <c r="J175" s="721"/>
      <c r="K175" s="721">
        <f t="shared" si="18"/>
        <v>0</v>
      </c>
      <c r="L175" s="89">
        <f t="shared" si="17"/>
        <v>0</v>
      </c>
    </row>
    <row r="176" spans="1:12" ht="12.75" customHeight="1" x14ac:dyDescent="0.2">
      <c r="A176" s="1656" t="s">
        <v>160</v>
      </c>
      <c r="B176" s="1658"/>
      <c r="C176" s="96"/>
      <c r="D176" s="542">
        <f>+PORTA!C939</f>
        <v>0</v>
      </c>
      <c r="E176" s="93" t="s">
        <v>998</v>
      </c>
      <c r="F176" s="670"/>
      <c r="G176" s="670"/>
      <c r="H176" s="670"/>
      <c r="I176" s="670"/>
      <c r="J176" s="721"/>
      <c r="K176" s="721">
        <f t="shared" si="18"/>
        <v>0</v>
      </c>
      <c r="L176" s="89">
        <f t="shared" si="17"/>
        <v>0</v>
      </c>
    </row>
    <row r="177" spans="1:12" ht="12.75" customHeight="1" x14ac:dyDescent="0.2">
      <c r="A177" s="1656" t="s">
        <v>161</v>
      </c>
      <c r="B177" s="1658"/>
      <c r="C177" s="96"/>
      <c r="D177" s="542">
        <f>+PORTA!C940</f>
        <v>0</v>
      </c>
      <c r="E177" s="93" t="s">
        <v>998</v>
      </c>
      <c r="F177" s="670"/>
      <c r="G177" s="670"/>
      <c r="H177" s="670"/>
      <c r="I177" s="670"/>
      <c r="J177" s="721"/>
      <c r="K177" s="721">
        <f t="shared" si="18"/>
        <v>0</v>
      </c>
      <c r="L177" s="89">
        <f t="shared" si="17"/>
        <v>0</v>
      </c>
    </row>
    <row r="178" spans="1:12" ht="12.75" customHeight="1" x14ac:dyDescent="0.2">
      <c r="A178" s="1656" t="s">
        <v>162</v>
      </c>
      <c r="B178" s="1658"/>
      <c r="C178" s="96"/>
      <c r="D178" s="542">
        <f>+PORTA!C941</f>
        <v>0</v>
      </c>
      <c r="E178" s="93" t="s">
        <v>998</v>
      </c>
      <c r="F178" s="670"/>
      <c r="G178" s="670"/>
      <c r="H178" s="670"/>
      <c r="I178" s="670"/>
      <c r="J178" s="721"/>
      <c r="K178" s="721">
        <f t="shared" si="18"/>
        <v>0</v>
      </c>
      <c r="L178" s="89">
        <f t="shared" ref="L178:L191" si="19">IF(D178&gt;0,1,0)</f>
        <v>0</v>
      </c>
    </row>
    <row r="179" spans="1:12" ht="12.75" customHeight="1" x14ac:dyDescent="0.2">
      <c r="A179" s="1656" t="s">
        <v>163</v>
      </c>
      <c r="B179" s="1658"/>
      <c r="C179" s="96"/>
      <c r="D179" s="542">
        <f>+PORTA!C942</f>
        <v>0</v>
      </c>
      <c r="E179" s="93" t="s">
        <v>998</v>
      </c>
      <c r="F179" s="670"/>
      <c r="G179" s="670"/>
      <c r="H179" s="670"/>
      <c r="I179" s="670"/>
      <c r="J179" s="721"/>
      <c r="K179" s="721">
        <f t="shared" si="18"/>
        <v>0</v>
      </c>
      <c r="L179" s="89">
        <f t="shared" si="19"/>
        <v>0</v>
      </c>
    </row>
    <row r="180" spans="1:12" ht="12.75" customHeight="1" x14ac:dyDescent="0.2">
      <c r="A180" s="1656" t="s">
        <v>164</v>
      </c>
      <c r="B180" s="1658"/>
      <c r="C180" s="96"/>
      <c r="D180" s="542">
        <f>+PORTA!C943</f>
        <v>0</v>
      </c>
      <c r="E180" s="93" t="s">
        <v>998</v>
      </c>
      <c r="F180" s="670"/>
      <c r="G180" s="670"/>
      <c r="H180" s="670"/>
      <c r="I180" s="670"/>
      <c r="J180" s="721"/>
      <c r="K180" s="721">
        <f t="shared" si="18"/>
        <v>0</v>
      </c>
      <c r="L180" s="89">
        <f t="shared" si="19"/>
        <v>0</v>
      </c>
    </row>
    <row r="181" spans="1:12" ht="12.75" customHeight="1" x14ac:dyDescent="0.2">
      <c r="A181" s="1656" t="s">
        <v>165</v>
      </c>
      <c r="B181" s="1658"/>
      <c r="C181" s="96"/>
      <c r="D181" s="542">
        <f>+PORTA!C944</f>
        <v>0</v>
      </c>
      <c r="E181" s="93" t="s">
        <v>1035</v>
      </c>
      <c r="F181" s="670"/>
      <c r="G181" s="670"/>
      <c r="H181" s="670"/>
      <c r="I181" s="670"/>
      <c r="J181" s="721"/>
      <c r="K181" s="721">
        <f t="shared" si="18"/>
        <v>0</v>
      </c>
      <c r="L181" s="89">
        <f t="shared" si="19"/>
        <v>0</v>
      </c>
    </row>
    <row r="182" spans="1:12" ht="12.75" customHeight="1" x14ac:dyDescent="0.2">
      <c r="A182" s="1656" t="s">
        <v>166</v>
      </c>
      <c r="B182" s="1658"/>
      <c r="C182" s="96"/>
      <c r="D182" s="542">
        <f>+PORTA!C945</f>
        <v>0</v>
      </c>
      <c r="E182" s="93" t="s">
        <v>998</v>
      </c>
      <c r="F182" s="670"/>
      <c r="G182" s="670"/>
      <c r="H182" s="670"/>
      <c r="I182" s="670"/>
      <c r="J182" s="721"/>
      <c r="K182" s="721">
        <f t="shared" si="18"/>
        <v>0</v>
      </c>
      <c r="L182" s="89">
        <f t="shared" si="19"/>
        <v>0</v>
      </c>
    </row>
    <row r="183" spans="1:12" ht="12.75" customHeight="1" x14ac:dyDescent="0.2">
      <c r="A183" s="1656" t="s">
        <v>167</v>
      </c>
      <c r="B183" s="1658"/>
      <c r="C183" s="96"/>
      <c r="D183" s="542">
        <f>+PORTA!C946</f>
        <v>0</v>
      </c>
      <c r="E183" s="93" t="s">
        <v>998</v>
      </c>
      <c r="F183" s="670"/>
      <c r="G183" s="670"/>
      <c r="H183" s="670"/>
      <c r="I183" s="670"/>
      <c r="J183" s="721"/>
      <c r="K183" s="721">
        <f t="shared" si="18"/>
        <v>0</v>
      </c>
      <c r="L183" s="89">
        <f t="shared" si="19"/>
        <v>0</v>
      </c>
    </row>
    <row r="184" spans="1:12" ht="12.75" customHeight="1" x14ac:dyDescent="0.2">
      <c r="A184" s="1656" t="s">
        <v>168</v>
      </c>
      <c r="B184" s="1658"/>
      <c r="C184" s="96"/>
      <c r="D184" s="542">
        <f>+PORTA!C947</f>
        <v>0</v>
      </c>
      <c r="E184" s="93" t="s">
        <v>998</v>
      </c>
      <c r="F184" s="670"/>
      <c r="G184" s="670"/>
      <c r="H184" s="670"/>
      <c r="I184" s="670"/>
      <c r="J184" s="721"/>
      <c r="K184" s="721">
        <f t="shared" si="18"/>
        <v>0</v>
      </c>
      <c r="L184" s="89">
        <f t="shared" si="19"/>
        <v>0</v>
      </c>
    </row>
    <row r="185" spans="1:12" ht="12.75" customHeight="1" x14ac:dyDescent="0.2">
      <c r="A185" s="1656" t="s">
        <v>169</v>
      </c>
      <c r="B185" s="1658"/>
      <c r="C185" s="96"/>
      <c r="D185" s="542">
        <f>+PORTA!C948</f>
        <v>0</v>
      </c>
      <c r="E185" s="93" t="s">
        <v>998</v>
      </c>
      <c r="F185" s="670"/>
      <c r="G185" s="670"/>
      <c r="H185" s="670"/>
      <c r="I185" s="670"/>
      <c r="J185" s="721"/>
      <c r="K185" s="721">
        <f t="shared" si="18"/>
        <v>0</v>
      </c>
      <c r="L185" s="89">
        <f t="shared" si="19"/>
        <v>0</v>
      </c>
    </row>
    <row r="186" spans="1:12" ht="12.75" customHeight="1" x14ac:dyDescent="0.2">
      <c r="A186" s="1656" t="s">
        <v>170</v>
      </c>
      <c r="B186" s="1658"/>
      <c r="C186" s="96"/>
      <c r="D186" s="542">
        <f>+PORTA!C949</f>
        <v>0</v>
      </c>
      <c r="E186" s="93" t="s">
        <v>1034</v>
      </c>
      <c r="F186" s="670"/>
      <c r="G186" s="670"/>
      <c r="H186" s="670"/>
      <c r="I186" s="670"/>
      <c r="J186" s="721"/>
      <c r="K186" s="721">
        <f t="shared" si="18"/>
        <v>0</v>
      </c>
      <c r="L186" s="89">
        <f t="shared" si="19"/>
        <v>0</v>
      </c>
    </row>
    <row r="187" spans="1:12" ht="12.75" customHeight="1" x14ac:dyDescent="0.2">
      <c r="A187" s="1656" t="s">
        <v>171</v>
      </c>
      <c r="B187" s="1657"/>
      <c r="C187" s="96"/>
      <c r="D187" s="542">
        <f>+PORTA!C950</f>
        <v>0</v>
      </c>
      <c r="E187" s="93" t="s">
        <v>998</v>
      </c>
      <c r="F187" s="670"/>
      <c r="G187" s="670"/>
      <c r="H187" s="670"/>
      <c r="I187" s="670"/>
      <c r="J187" s="721"/>
      <c r="K187" s="721">
        <f t="shared" si="18"/>
        <v>0</v>
      </c>
      <c r="L187" s="89">
        <f t="shared" si="19"/>
        <v>0</v>
      </c>
    </row>
    <row r="188" spans="1:12" ht="12.75" customHeight="1" x14ac:dyDescent="0.2">
      <c r="A188" s="1656" t="s">
        <v>172</v>
      </c>
      <c r="B188" s="1657"/>
      <c r="C188" s="96"/>
      <c r="D188" s="542">
        <f>+PORTA!C951</f>
        <v>0</v>
      </c>
      <c r="E188" s="93" t="s">
        <v>998</v>
      </c>
      <c r="F188" s="670"/>
      <c r="G188" s="670"/>
      <c r="H188" s="670"/>
      <c r="I188" s="670"/>
      <c r="J188" s="721"/>
      <c r="K188" s="721">
        <f t="shared" si="18"/>
        <v>0</v>
      </c>
      <c r="L188" s="89">
        <f t="shared" si="19"/>
        <v>0</v>
      </c>
    </row>
    <row r="189" spans="1:12" ht="12.75" customHeight="1" x14ac:dyDescent="0.2">
      <c r="A189" s="1656" t="s">
        <v>173</v>
      </c>
      <c r="B189" s="1657"/>
      <c r="C189" s="96"/>
      <c r="D189" s="542">
        <f>+PORTA!C952</f>
        <v>0</v>
      </c>
      <c r="E189" s="93" t="s">
        <v>998</v>
      </c>
      <c r="F189" s="670"/>
      <c r="G189" s="670"/>
      <c r="H189" s="670"/>
      <c r="I189" s="670"/>
      <c r="J189" s="721"/>
      <c r="K189" s="721">
        <f t="shared" si="18"/>
        <v>0</v>
      </c>
      <c r="L189" s="89">
        <f t="shared" si="19"/>
        <v>0</v>
      </c>
    </row>
    <row r="190" spans="1:12" ht="12.75" customHeight="1" x14ac:dyDescent="0.2">
      <c r="A190" s="1656" t="s">
        <v>174</v>
      </c>
      <c r="B190" s="1658"/>
      <c r="C190" s="96"/>
      <c r="D190" s="542">
        <f>+PORTA!C953</f>
        <v>0</v>
      </c>
      <c r="E190" s="93" t="s">
        <v>1035</v>
      </c>
      <c r="F190" s="670"/>
      <c r="G190" s="670"/>
      <c r="H190" s="670"/>
      <c r="I190" s="670"/>
      <c r="J190" s="721"/>
      <c r="K190" s="721">
        <f t="shared" si="18"/>
        <v>0</v>
      </c>
      <c r="L190" s="89">
        <f t="shared" si="19"/>
        <v>0</v>
      </c>
    </row>
    <row r="191" spans="1:12" ht="12.75" customHeight="1" x14ac:dyDescent="0.2">
      <c r="A191" s="1656" t="s">
        <v>175</v>
      </c>
      <c r="B191" s="1658"/>
      <c r="C191" s="96"/>
      <c r="D191" s="542">
        <f>+PORTA!C954</f>
        <v>0</v>
      </c>
      <c r="E191" s="93" t="s">
        <v>998</v>
      </c>
      <c r="F191" s="670"/>
      <c r="G191" s="670"/>
      <c r="H191" s="670"/>
      <c r="I191" s="670"/>
      <c r="J191" s="721"/>
      <c r="K191" s="721">
        <f t="shared" si="18"/>
        <v>0</v>
      </c>
      <c r="L191" s="89">
        <f t="shared" si="19"/>
        <v>0</v>
      </c>
    </row>
    <row r="192" spans="1:12" ht="12.75" customHeight="1" x14ac:dyDescent="0.2">
      <c r="A192" s="1656" t="s">
        <v>194</v>
      </c>
      <c r="B192" s="1658"/>
      <c r="C192" s="96"/>
      <c r="D192" s="542">
        <f>+PORTA!C973</f>
        <v>0</v>
      </c>
      <c r="E192" s="93" t="s">
        <v>998</v>
      </c>
      <c r="F192" s="670"/>
      <c r="G192" s="670"/>
      <c r="H192" s="670"/>
      <c r="I192" s="670"/>
      <c r="J192" s="721"/>
      <c r="K192" s="721">
        <f t="shared" ref="K192:K219" si="20">+J192*D192</f>
        <v>0</v>
      </c>
      <c r="L192" s="89">
        <f t="shared" ref="L192:L223" si="21">IF(D192&gt;0,1,0)</f>
        <v>0</v>
      </c>
    </row>
    <row r="193" spans="1:12" ht="12.75" customHeight="1" x14ac:dyDescent="0.2">
      <c r="A193" s="1656" t="s">
        <v>195</v>
      </c>
      <c r="B193" s="1658"/>
      <c r="C193" s="96"/>
      <c r="D193" s="542">
        <f>+PORTA!C974</f>
        <v>0</v>
      </c>
      <c r="E193" s="93" t="s">
        <v>998</v>
      </c>
      <c r="F193" s="670"/>
      <c r="G193" s="670"/>
      <c r="H193" s="670"/>
      <c r="I193" s="670"/>
      <c r="J193" s="721"/>
      <c r="K193" s="721">
        <f t="shared" si="20"/>
        <v>0</v>
      </c>
      <c r="L193" s="89">
        <f t="shared" si="21"/>
        <v>0</v>
      </c>
    </row>
    <row r="194" spans="1:12" ht="12.75" customHeight="1" x14ac:dyDescent="0.2">
      <c r="A194" s="1656" t="s">
        <v>196</v>
      </c>
      <c r="B194" s="1658"/>
      <c r="C194" s="96"/>
      <c r="D194" s="542">
        <f>+PORTA!C975</f>
        <v>0</v>
      </c>
      <c r="E194" s="93" t="s">
        <v>998</v>
      </c>
      <c r="F194" s="670"/>
      <c r="G194" s="670"/>
      <c r="H194" s="670"/>
      <c r="I194" s="670"/>
      <c r="J194" s="721"/>
      <c r="K194" s="721">
        <f t="shared" si="20"/>
        <v>0</v>
      </c>
      <c r="L194" s="89">
        <f t="shared" si="21"/>
        <v>0</v>
      </c>
    </row>
    <row r="195" spans="1:12" ht="12.75" customHeight="1" x14ac:dyDescent="0.2">
      <c r="A195" s="1656" t="s">
        <v>197</v>
      </c>
      <c r="B195" s="1658"/>
      <c r="C195" s="96"/>
      <c r="D195" s="542">
        <f>+PORTA!C976</f>
        <v>0</v>
      </c>
      <c r="E195" s="93" t="s">
        <v>998</v>
      </c>
      <c r="F195" s="670"/>
      <c r="G195" s="670"/>
      <c r="H195" s="670"/>
      <c r="I195" s="670"/>
      <c r="J195" s="721"/>
      <c r="K195" s="721">
        <f t="shared" si="20"/>
        <v>0</v>
      </c>
      <c r="L195" s="89">
        <f t="shared" si="21"/>
        <v>0</v>
      </c>
    </row>
    <row r="196" spans="1:12" ht="12.75" customHeight="1" x14ac:dyDescent="0.2">
      <c r="A196" s="1656" t="s">
        <v>198</v>
      </c>
      <c r="B196" s="1658"/>
      <c r="C196" s="96"/>
      <c r="D196" s="542">
        <f>+PORTA!C977</f>
        <v>0</v>
      </c>
      <c r="E196" s="92" t="s">
        <v>1034</v>
      </c>
      <c r="F196" s="670"/>
      <c r="G196" s="670"/>
      <c r="H196" s="670"/>
      <c r="I196" s="670"/>
      <c r="J196" s="721"/>
      <c r="K196" s="721">
        <f t="shared" si="20"/>
        <v>0</v>
      </c>
      <c r="L196" s="89">
        <f t="shared" si="21"/>
        <v>0</v>
      </c>
    </row>
    <row r="197" spans="1:12" ht="12.75" customHeight="1" x14ac:dyDescent="0.2">
      <c r="A197" s="1656" t="s">
        <v>199</v>
      </c>
      <c r="B197" s="1658"/>
      <c r="C197" s="96"/>
      <c r="D197" s="542">
        <f>+PORTA!C978</f>
        <v>0</v>
      </c>
      <c r="E197" s="92" t="s">
        <v>1034</v>
      </c>
      <c r="F197" s="670"/>
      <c r="G197" s="670"/>
      <c r="H197" s="670"/>
      <c r="I197" s="670"/>
      <c r="J197" s="721"/>
      <c r="K197" s="721">
        <f t="shared" si="20"/>
        <v>0</v>
      </c>
      <c r="L197" s="89">
        <f t="shared" si="21"/>
        <v>0</v>
      </c>
    </row>
    <row r="198" spans="1:12" ht="12.75" customHeight="1" x14ac:dyDescent="0.2">
      <c r="A198" s="1656" t="s">
        <v>200</v>
      </c>
      <c r="B198" s="1658"/>
      <c r="C198" s="96"/>
      <c r="D198" s="542">
        <f>+PORTA!C979</f>
        <v>0</v>
      </c>
      <c r="E198" s="92" t="s">
        <v>1034</v>
      </c>
      <c r="F198" s="670"/>
      <c r="G198" s="670"/>
      <c r="H198" s="670"/>
      <c r="I198" s="670"/>
      <c r="J198" s="721"/>
      <c r="K198" s="721">
        <f t="shared" si="20"/>
        <v>0</v>
      </c>
      <c r="L198" s="89">
        <f t="shared" si="21"/>
        <v>0</v>
      </c>
    </row>
    <row r="199" spans="1:12" ht="12.75" customHeight="1" x14ac:dyDescent="0.2">
      <c r="A199" s="1656" t="s">
        <v>28</v>
      </c>
      <c r="B199" s="1658"/>
      <c r="C199" s="96"/>
      <c r="D199" s="542">
        <f>+PORTA!C980</f>
        <v>0</v>
      </c>
      <c r="E199" s="92" t="s">
        <v>1034</v>
      </c>
      <c r="F199" s="670"/>
      <c r="G199" s="670"/>
      <c r="H199" s="670"/>
      <c r="I199" s="670"/>
      <c r="J199" s="721"/>
      <c r="K199" s="721">
        <f t="shared" si="20"/>
        <v>0</v>
      </c>
      <c r="L199" s="89">
        <f t="shared" si="21"/>
        <v>0</v>
      </c>
    </row>
    <row r="200" spans="1:12" ht="12.75" customHeight="1" x14ac:dyDescent="0.2">
      <c r="A200" s="1656" t="s">
        <v>201</v>
      </c>
      <c r="B200" s="1658"/>
      <c r="C200" s="96"/>
      <c r="D200" s="542">
        <f>+PORTA!C981</f>
        <v>0</v>
      </c>
      <c r="E200" s="92" t="s">
        <v>1034</v>
      </c>
      <c r="F200" s="670"/>
      <c r="G200" s="670"/>
      <c r="H200" s="670"/>
      <c r="I200" s="670"/>
      <c r="J200" s="721"/>
      <c r="K200" s="721">
        <f t="shared" si="20"/>
        <v>0</v>
      </c>
      <c r="L200" s="89">
        <f t="shared" si="21"/>
        <v>0</v>
      </c>
    </row>
    <row r="201" spans="1:12" ht="12.75" customHeight="1" x14ac:dyDescent="0.2">
      <c r="A201" s="1656" t="s">
        <v>202</v>
      </c>
      <c r="B201" s="1658"/>
      <c r="C201" s="96"/>
      <c r="D201" s="542">
        <f>+PORTA!C982</f>
        <v>0</v>
      </c>
      <c r="E201" s="93" t="s">
        <v>998</v>
      </c>
      <c r="F201" s="670"/>
      <c r="G201" s="670"/>
      <c r="H201" s="670"/>
      <c r="I201" s="670"/>
      <c r="J201" s="721"/>
      <c r="K201" s="721">
        <f t="shared" si="20"/>
        <v>0</v>
      </c>
      <c r="L201" s="89">
        <f t="shared" si="21"/>
        <v>0</v>
      </c>
    </row>
    <row r="202" spans="1:12" ht="12.75" customHeight="1" x14ac:dyDescent="0.2">
      <c r="A202" s="1656" t="s">
        <v>203</v>
      </c>
      <c r="B202" s="1658"/>
      <c r="C202" s="96"/>
      <c r="D202" s="542">
        <f>+PORTA!C983</f>
        <v>0</v>
      </c>
      <c r="E202" s="92" t="s">
        <v>1035</v>
      </c>
      <c r="F202" s="670"/>
      <c r="G202" s="670"/>
      <c r="H202" s="670"/>
      <c r="I202" s="670"/>
      <c r="J202" s="721"/>
      <c r="K202" s="721">
        <f t="shared" si="20"/>
        <v>0</v>
      </c>
      <c r="L202" s="89">
        <f t="shared" si="21"/>
        <v>0</v>
      </c>
    </row>
    <row r="203" spans="1:12" ht="12.75" customHeight="1" x14ac:dyDescent="0.2">
      <c r="A203" s="1656" t="s">
        <v>204</v>
      </c>
      <c r="B203" s="1658"/>
      <c r="C203" s="96"/>
      <c r="D203" s="542">
        <f>+PORTA!C984</f>
        <v>0</v>
      </c>
      <c r="E203" s="92" t="s">
        <v>998</v>
      </c>
      <c r="F203" s="670"/>
      <c r="G203" s="670"/>
      <c r="H203" s="670"/>
      <c r="I203" s="670"/>
      <c r="J203" s="721"/>
      <c r="K203" s="721">
        <f t="shared" si="20"/>
        <v>0</v>
      </c>
      <c r="L203" s="89">
        <f t="shared" si="21"/>
        <v>0</v>
      </c>
    </row>
    <row r="204" spans="1:12" ht="12.75" customHeight="1" x14ac:dyDescent="0.2">
      <c r="A204" s="1656" t="s">
        <v>205</v>
      </c>
      <c r="B204" s="1658"/>
      <c r="C204" s="96"/>
      <c r="D204" s="542">
        <f>+PORTA!C985</f>
        <v>0</v>
      </c>
      <c r="E204" s="92" t="s">
        <v>998</v>
      </c>
      <c r="F204" s="670"/>
      <c r="G204" s="670"/>
      <c r="H204" s="670"/>
      <c r="I204" s="670"/>
      <c r="J204" s="721"/>
      <c r="K204" s="721">
        <f t="shared" si="20"/>
        <v>0</v>
      </c>
      <c r="L204" s="89">
        <f t="shared" si="21"/>
        <v>0</v>
      </c>
    </row>
    <row r="205" spans="1:12" ht="12.75" customHeight="1" x14ac:dyDescent="0.2">
      <c r="A205" s="1656" t="s">
        <v>206</v>
      </c>
      <c r="B205" s="1658"/>
      <c r="C205" s="96"/>
      <c r="D205" s="542">
        <f>+PORTA!C986</f>
        <v>0</v>
      </c>
      <c r="E205" s="92" t="s">
        <v>998</v>
      </c>
      <c r="F205" s="670"/>
      <c r="G205" s="670"/>
      <c r="H205" s="670"/>
      <c r="I205" s="670"/>
      <c r="J205" s="721"/>
      <c r="K205" s="721">
        <f t="shared" si="20"/>
        <v>0</v>
      </c>
      <c r="L205" s="89">
        <f t="shared" si="21"/>
        <v>0</v>
      </c>
    </row>
    <row r="206" spans="1:12" ht="12.75" customHeight="1" x14ac:dyDescent="0.2">
      <c r="A206" s="1656" t="s">
        <v>207</v>
      </c>
      <c r="B206" s="1658"/>
      <c r="C206" s="96"/>
      <c r="D206" s="542">
        <f>+PORTA!C987</f>
        <v>0</v>
      </c>
      <c r="E206" s="92" t="s">
        <v>998</v>
      </c>
      <c r="F206" s="670"/>
      <c r="G206" s="670"/>
      <c r="H206" s="670"/>
      <c r="I206" s="670"/>
      <c r="J206" s="721"/>
      <c r="K206" s="721">
        <f t="shared" si="20"/>
        <v>0</v>
      </c>
      <c r="L206" s="89">
        <f t="shared" si="21"/>
        <v>0</v>
      </c>
    </row>
    <row r="207" spans="1:12" ht="12.75" customHeight="1" x14ac:dyDescent="0.2">
      <c r="A207" s="1656" t="s">
        <v>208</v>
      </c>
      <c r="B207" s="1658"/>
      <c r="C207" s="96"/>
      <c r="D207" s="542">
        <f>+PORTA!C988</f>
        <v>0</v>
      </c>
      <c r="E207" s="92" t="s">
        <v>998</v>
      </c>
      <c r="F207" s="670"/>
      <c r="G207" s="670"/>
      <c r="H207" s="670"/>
      <c r="I207" s="670"/>
      <c r="J207" s="721"/>
      <c r="K207" s="721">
        <f t="shared" si="20"/>
        <v>0</v>
      </c>
      <c r="L207" s="89">
        <f t="shared" si="21"/>
        <v>0</v>
      </c>
    </row>
    <row r="208" spans="1:12" ht="12.75" customHeight="1" x14ac:dyDescent="0.2">
      <c r="A208" s="1656" t="s">
        <v>209</v>
      </c>
      <c r="B208" s="1658"/>
      <c r="C208" s="96"/>
      <c r="D208" s="542">
        <f>+PORTA!C989</f>
        <v>0</v>
      </c>
      <c r="E208" s="92" t="s">
        <v>998</v>
      </c>
      <c r="F208" s="670"/>
      <c r="G208" s="670"/>
      <c r="H208" s="670"/>
      <c r="I208" s="670"/>
      <c r="J208" s="721"/>
      <c r="K208" s="721">
        <f t="shared" si="20"/>
        <v>0</v>
      </c>
      <c r="L208" s="89">
        <f t="shared" si="21"/>
        <v>0</v>
      </c>
    </row>
    <row r="209" spans="1:12" ht="12.75" customHeight="1" x14ac:dyDescent="0.2">
      <c r="A209" s="1656" t="s">
        <v>210</v>
      </c>
      <c r="B209" s="1658"/>
      <c r="C209" s="96"/>
      <c r="D209" s="542">
        <f>+PORTA!C990</f>
        <v>0</v>
      </c>
      <c r="E209" s="92" t="s">
        <v>998</v>
      </c>
      <c r="F209" s="670"/>
      <c r="G209" s="670"/>
      <c r="H209" s="670"/>
      <c r="I209" s="670"/>
      <c r="J209" s="721"/>
      <c r="K209" s="721">
        <f t="shared" si="20"/>
        <v>0</v>
      </c>
      <c r="L209" s="89">
        <f t="shared" si="21"/>
        <v>0</v>
      </c>
    </row>
    <row r="210" spans="1:12" ht="12.75" customHeight="1" x14ac:dyDescent="0.2">
      <c r="A210" s="1656" t="s">
        <v>211</v>
      </c>
      <c r="B210" s="1658"/>
      <c r="C210" s="96"/>
      <c r="D210" s="542">
        <f>+PORTA!C991</f>
        <v>0</v>
      </c>
      <c r="E210" s="92" t="s">
        <v>998</v>
      </c>
      <c r="F210" s="670"/>
      <c r="G210" s="670"/>
      <c r="H210" s="670"/>
      <c r="I210" s="670"/>
      <c r="J210" s="721"/>
      <c r="K210" s="721">
        <f t="shared" si="20"/>
        <v>0</v>
      </c>
      <c r="L210" s="89">
        <f t="shared" si="21"/>
        <v>0</v>
      </c>
    </row>
    <row r="211" spans="1:12" ht="12.75" customHeight="1" x14ac:dyDescent="0.2">
      <c r="A211" s="1656" t="s">
        <v>212</v>
      </c>
      <c r="B211" s="1658"/>
      <c r="C211" s="96"/>
      <c r="D211" s="542">
        <f>+PORTA!C992</f>
        <v>0</v>
      </c>
      <c r="E211" s="92" t="s">
        <v>998</v>
      </c>
      <c r="F211" s="670"/>
      <c r="G211" s="670"/>
      <c r="H211" s="670"/>
      <c r="I211" s="670"/>
      <c r="J211" s="721"/>
      <c r="K211" s="721">
        <f t="shared" si="20"/>
        <v>0</v>
      </c>
      <c r="L211" s="89">
        <f t="shared" si="21"/>
        <v>0</v>
      </c>
    </row>
    <row r="212" spans="1:12" ht="12.75" customHeight="1" x14ac:dyDescent="0.2">
      <c r="A212" s="1656" t="s">
        <v>213</v>
      </c>
      <c r="B212" s="1658"/>
      <c r="C212" s="96"/>
      <c r="D212" s="542">
        <f>+PORTA!C993</f>
        <v>0</v>
      </c>
      <c r="E212" s="92" t="s">
        <v>998</v>
      </c>
      <c r="F212" s="670"/>
      <c r="G212" s="670"/>
      <c r="H212" s="670"/>
      <c r="I212" s="670"/>
      <c r="J212" s="721"/>
      <c r="K212" s="721">
        <f t="shared" si="20"/>
        <v>0</v>
      </c>
      <c r="L212" s="89">
        <f t="shared" si="21"/>
        <v>0</v>
      </c>
    </row>
    <row r="213" spans="1:12" ht="12.75" customHeight="1" x14ac:dyDescent="0.2">
      <c r="A213" s="1656" t="s">
        <v>214</v>
      </c>
      <c r="B213" s="1658"/>
      <c r="C213" s="96"/>
      <c r="D213" s="542">
        <f>+PORTA!C994</f>
        <v>0</v>
      </c>
      <c r="E213" s="92" t="s">
        <v>998</v>
      </c>
      <c r="F213" s="670"/>
      <c r="G213" s="670"/>
      <c r="H213" s="670"/>
      <c r="I213" s="670"/>
      <c r="J213" s="721"/>
      <c r="K213" s="721">
        <f t="shared" si="20"/>
        <v>0</v>
      </c>
      <c r="L213" s="89">
        <f t="shared" si="21"/>
        <v>0</v>
      </c>
    </row>
    <row r="214" spans="1:12" ht="12.75" customHeight="1" x14ac:dyDescent="0.2">
      <c r="A214" s="1656" t="s">
        <v>215</v>
      </c>
      <c r="B214" s="1658"/>
      <c r="C214" s="96"/>
      <c r="D214" s="542">
        <f>+PORTA!C995</f>
        <v>0</v>
      </c>
      <c r="E214" s="92" t="s">
        <v>998</v>
      </c>
      <c r="F214" s="670"/>
      <c r="G214" s="670"/>
      <c r="H214" s="670"/>
      <c r="I214" s="670"/>
      <c r="J214" s="721"/>
      <c r="K214" s="721">
        <f t="shared" si="20"/>
        <v>0</v>
      </c>
      <c r="L214" s="89">
        <f t="shared" si="21"/>
        <v>0</v>
      </c>
    </row>
    <row r="215" spans="1:12" ht="12.75" customHeight="1" x14ac:dyDescent="0.2">
      <c r="A215" s="1656" t="s">
        <v>216</v>
      </c>
      <c r="B215" s="1658"/>
      <c r="C215" s="96"/>
      <c r="D215" s="542">
        <f>+PORTA!C996</f>
        <v>0</v>
      </c>
      <c r="E215" s="92" t="s">
        <v>998</v>
      </c>
      <c r="F215" s="670"/>
      <c r="G215" s="670"/>
      <c r="H215" s="670"/>
      <c r="I215" s="670"/>
      <c r="J215" s="721"/>
      <c r="K215" s="721">
        <f t="shared" si="20"/>
        <v>0</v>
      </c>
      <c r="L215" s="89">
        <f t="shared" si="21"/>
        <v>0</v>
      </c>
    </row>
    <row r="216" spans="1:12" ht="12.75" customHeight="1" x14ac:dyDescent="0.2">
      <c r="A216" s="1656" t="s">
        <v>217</v>
      </c>
      <c r="B216" s="1658"/>
      <c r="C216" s="96"/>
      <c r="D216" s="542">
        <f>+PORTA!C997</f>
        <v>0</v>
      </c>
      <c r="E216" s="92" t="s">
        <v>998</v>
      </c>
      <c r="F216" s="670"/>
      <c r="G216" s="670"/>
      <c r="H216" s="670"/>
      <c r="I216" s="670"/>
      <c r="J216" s="721"/>
      <c r="K216" s="721">
        <f t="shared" si="20"/>
        <v>0</v>
      </c>
      <c r="L216" s="89">
        <f t="shared" si="21"/>
        <v>0</v>
      </c>
    </row>
    <row r="217" spans="1:12" ht="12.75" customHeight="1" x14ac:dyDescent="0.2">
      <c r="A217" s="1656" t="s">
        <v>218</v>
      </c>
      <c r="B217" s="1658"/>
      <c r="C217" s="96"/>
      <c r="D217" s="542">
        <f>+PORTA!C998</f>
        <v>0</v>
      </c>
      <c r="E217" s="92" t="s">
        <v>998</v>
      </c>
      <c r="F217" s="670"/>
      <c r="G217" s="670"/>
      <c r="H217" s="670"/>
      <c r="I217" s="670"/>
      <c r="J217" s="721"/>
      <c r="K217" s="721">
        <f t="shared" si="20"/>
        <v>0</v>
      </c>
      <c r="L217" s="89">
        <f t="shared" si="21"/>
        <v>0</v>
      </c>
    </row>
    <row r="218" spans="1:12" ht="12.75" customHeight="1" x14ac:dyDescent="0.2">
      <c r="A218" s="1656" t="s">
        <v>219</v>
      </c>
      <c r="B218" s="1658"/>
      <c r="C218" s="96"/>
      <c r="D218" s="542">
        <f>+PORTA!C999</f>
        <v>0</v>
      </c>
      <c r="E218" s="92" t="s">
        <v>998</v>
      </c>
      <c r="F218" s="670"/>
      <c r="G218" s="670"/>
      <c r="H218" s="670"/>
      <c r="I218" s="670"/>
      <c r="J218" s="721"/>
      <c r="K218" s="721">
        <f t="shared" si="20"/>
        <v>0</v>
      </c>
      <c r="L218" s="89">
        <f t="shared" si="21"/>
        <v>0</v>
      </c>
    </row>
    <row r="219" spans="1:12" ht="12.75" customHeight="1" x14ac:dyDescent="0.2">
      <c r="A219" s="1656" t="s">
        <v>220</v>
      </c>
      <c r="B219" s="1658"/>
      <c r="C219" s="96"/>
      <c r="D219" s="542">
        <f>+PORTA!C1000</f>
        <v>0</v>
      </c>
      <c r="E219" s="92" t="s">
        <v>998</v>
      </c>
      <c r="F219" s="670"/>
      <c r="G219" s="670"/>
      <c r="H219" s="670"/>
      <c r="I219" s="670"/>
      <c r="J219" s="721"/>
      <c r="K219" s="721">
        <f t="shared" si="20"/>
        <v>0</v>
      </c>
      <c r="L219" s="89">
        <f t="shared" si="21"/>
        <v>0</v>
      </c>
    </row>
    <row r="220" spans="1:12" ht="12.75" customHeight="1" x14ac:dyDescent="0.2">
      <c r="A220" s="1656" t="s">
        <v>221</v>
      </c>
      <c r="B220" s="1658"/>
      <c r="C220" s="96"/>
      <c r="D220" s="542">
        <f>+PORTA!C1001</f>
        <v>0</v>
      </c>
      <c r="E220" s="92" t="s">
        <v>998</v>
      </c>
      <c r="F220" s="670"/>
      <c r="G220" s="670"/>
      <c r="H220" s="670"/>
      <c r="I220" s="670"/>
      <c r="J220" s="721"/>
      <c r="K220" s="721">
        <f t="shared" ref="K220:K226" si="22">+J220*D220</f>
        <v>0</v>
      </c>
      <c r="L220" s="89">
        <f t="shared" si="21"/>
        <v>0</v>
      </c>
    </row>
    <row r="221" spans="1:12" ht="12.75" customHeight="1" x14ac:dyDescent="0.2">
      <c r="A221" s="1656" t="s">
        <v>222</v>
      </c>
      <c r="B221" s="1658"/>
      <c r="C221" s="96"/>
      <c r="D221" s="542">
        <f>+PORTA!C1002</f>
        <v>0</v>
      </c>
      <c r="E221" s="92" t="s">
        <v>1034</v>
      </c>
      <c r="F221" s="670"/>
      <c r="G221" s="670"/>
      <c r="H221" s="670"/>
      <c r="I221" s="670"/>
      <c r="J221" s="721"/>
      <c r="K221" s="721">
        <f t="shared" si="22"/>
        <v>0</v>
      </c>
      <c r="L221" s="89">
        <f t="shared" si="21"/>
        <v>0</v>
      </c>
    </row>
    <row r="222" spans="1:12" ht="12.75" customHeight="1" x14ac:dyDescent="0.2">
      <c r="A222" s="1656" t="s">
        <v>223</v>
      </c>
      <c r="B222" s="1658"/>
      <c r="C222" s="96"/>
      <c r="D222" s="542">
        <f>+PORTA!C1003</f>
        <v>0</v>
      </c>
      <c r="E222" s="92" t="s">
        <v>1034</v>
      </c>
      <c r="F222" s="670"/>
      <c r="G222" s="670"/>
      <c r="H222" s="670"/>
      <c r="I222" s="670"/>
      <c r="J222" s="721"/>
      <c r="K222" s="721">
        <f t="shared" si="22"/>
        <v>0</v>
      </c>
      <c r="L222" s="89">
        <f t="shared" si="21"/>
        <v>0</v>
      </c>
    </row>
    <row r="223" spans="1:12" ht="12.75" customHeight="1" x14ac:dyDescent="0.2">
      <c r="A223" s="1656" t="s">
        <v>224</v>
      </c>
      <c r="B223" s="1658"/>
      <c r="C223" s="96"/>
      <c r="D223" s="542">
        <f>+PORTA!C1004</f>
        <v>0</v>
      </c>
      <c r="E223" s="92" t="s">
        <v>1034</v>
      </c>
      <c r="F223" s="670"/>
      <c r="G223" s="670"/>
      <c r="H223" s="670"/>
      <c r="I223" s="670"/>
      <c r="J223" s="721"/>
      <c r="K223" s="721">
        <f t="shared" si="22"/>
        <v>0</v>
      </c>
      <c r="L223" s="89">
        <f t="shared" si="21"/>
        <v>0</v>
      </c>
    </row>
    <row r="224" spans="1:12" ht="12.75" customHeight="1" x14ac:dyDescent="0.2">
      <c r="A224" s="1656" t="s">
        <v>225</v>
      </c>
      <c r="B224" s="1658"/>
      <c r="C224" s="96"/>
      <c r="D224" s="542">
        <f>+PORTA!C1005</f>
        <v>0</v>
      </c>
      <c r="E224" s="92" t="s">
        <v>1034</v>
      </c>
      <c r="F224" s="670"/>
      <c r="G224" s="670"/>
      <c r="H224" s="670"/>
      <c r="I224" s="670"/>
      <c r="J224" s="721"/>
      <c r="K224" s="721">
        <f t="shared" si="22"/>
        <v>0</v>
      </c>
      <c r="L224" s="89">
        <f>IF(D224&gt;0,1,0)</f>
        <v>0</v>
      </c>
    </row>
    <row r="225" spans="1:12" ht="12.75" customHeight="1" x14ac:dyDescent="0.2">
      <c r="A225" s="1656" t="s">
        <v>237</v>
      </c>
      <c r="B225" s="1658"/>
      <c r="C225" s="96"/>
      <c r="D225" s="542">
        <f>+PORTA!C1006</f>
        <v>0</v>
      </c>
      <c r="E225" s="92" t="s">
        <v>1034</v>
      </c>
      <c r="F225" s="670"/>
      <c r="G225" s="670"/>
      <c r="H225" s="670"/>
      <c r="I225" s="670"/>
      <c r="J225" s="721"/>
      <c r="K225" s="721">
        <f t="shared" si="22"/>
        <v>0</v>
      </c>
      <c r="L225" s="89">
        <f>IF(D225&gt;0,1,0)</f>
        <v>0</v>
      </c>
    </row>
    <row r="226" spans="1:12" ht="12.75" customHeight="1" x14ac:dyDescent="0.2">
      <c r="A226" s="1656" t="s">
        <v>238</v>
      </c>
      <c r="B226" s="1658"/>
      <c r="C226" s="98"/>
      <c r="D226" s="543">
        <f>+PORTA!C1007</f>
        <v>0</v>
      </c>
      <c r="E226" s="92" t="s">
        <v>1034</v>
      </c>
      <c r="F226" s="670"/>
      <c r="G226" s="670"/>
      <c r="H226" s="670"/>
      <c r="I226" s="670"/>
      <c r="J226" s="721"/>
      <c r="K226" s="721">
        <f t="shared" si="22"/>
        <v>0</v>
      </c>
      <c r="L226" s="89">
        <f>IF(D226&gt;0,1,0)</f>
        <v>0</v>
      </c>
    </row>
    <row r="227" spans="1:12" ht="12.75" customHeight="1" x14ac:dyDescent="0.2">
      <c r="A227" s="1648" t="s">
        <v>3</v>
      </c>
      <c r="B227" s="1648"/>
      <c r="C227" s="1648"/>
      <c r="D227" s="1006">
        <f>+PORTA!C768</f>
        <v>0</v>
      </c>
      <c r="E227" s="95"/>
      <c r="F227" s="680"/>
      <c r="G227" s="680"/>
      <c r="H227" s="680"/>
      <c r="I227" s="680"/>
      <c r="J227" s="723"/>
      <c r="K227" s="723"/>
      <c r="L227" s="89">
        <f>IF(D227&gt;0,1,0)</f>
        <v>0</v>
      </c>
    </row>
    <row r="228" spans="1:12" ht="12.75" customHeight="1" x14ac:dyDescent="0.2">
      <c r="A228" s="1656" t="s">
        <v>175</v>
      </c>
      <c r="B228" s="1658"/>
      <c r="C228" s="96"/>
      <c r="D228" s="542">
        <f>+PORTA!C787</f>
        <v>0</v>
      </c>
      <c r="E228" s="92" t="s">
        <v>118</v>
      </c>
      <c r="F228" s="670"/>
      <c r="G228" s="670"/>
      <c r="H228" s="670"/>
      <c r="I228" s="670"/>
      <c r="J228" s="721"/>
      <c r="K228" s="721">
        <f t="shared" ref="K228:K239" si="23">+J228*D228</f>
        <v>0</v>
      </c>
      <c r="L228" s="89">
        <f>IF(D228&gt;0,1,0)</f>
        <v>0</v>
      </c>
    </row>
    <row r="229" spans="1:12" ht="12.75" customHeight="1" x14ac:dyDescent="0.2">
      <c r="A229" s="1656" t="s">
        <v>239</v>
      </c>
      <c r="B229" s="1658"/>
      <c r="C229" s="96"/>
      <c r="D229" s="542">
        <f>+PORTA!C788</f>
        <v>0</v>
      </c>
      <c r="E229" s="92" t="s">
        <v>115</v>
      </c>
      <c r="F229" s="670"/>
      <c r="G229" s="670"/>
      <c r="H229" s="670"/>
      <c r="I229" s="670"/>
      <c r="J229" s="721"/>
      <c r="K229" s="721">
        <f t="shared" si="23"/>
        <v>0</v>
      </c>
      <c r="L229" s="89">
        <v>0</v>
      </c>
    </row>
    <row r="230" spans="1:12" ht="12.75" customHeight="1" x14ac:dyDescent="0.2">
      <c r="A230" s="1656" t="s">
        <v>240</v>
      </c>
      <c r="B230" s="1658"/>
      <c r="C230" s="96"/>
      <c r="D230" s="542">
        <f>+PORTA!C789</f>
        <v>0</v>
      </c>
      <c r="E230" s="92" t="s">
        <v>118</v>
      </c>
      <c r="F230" s="670"/>
      <c r="G230" s="670"/>
      <c r="H230" s="670"/>
      <c r="I230" s="670"/>
      <c r="J230" s="721"/>
      <c r="K230" s="721">
        <f t="shared" si="23"/>
        <v>0</v>
      </c>
      <c r="L230" s="89">
        <f>IF(D230&gt;0,1,0)</f>
        <v>0</v>
      </c>
    </row>
    <row r="231" spans="1:12" ht="12.75" customHeight="1" x14ac:dyDescent="0.2">
      <c r="A231" s="1656" t="s">
        <v>241</v>
      </c>
      <c r="B231" s="1658"/>
      <c r="C231" s="96"/>
      <c r="D231" s="542">
        <f>+PORTA!C790</f>
        <v>0</v>
      </c>
      <c r="E231" s="92" t="s">
        <v>117</v>
      </c>
      <c r="F231" s="670"/>
      <c r="G231" s="670"/>
      <c r="H231" s="670"/>
      <c r="I231" s="670"/>
      <c r="J231" s="721"/>
      <c r="K231" s="721">
        <f t="shared" si="23"/>
        <v>0</v>
      </c>
      <c r="L231" s="89">
        <f>IF(D231&gt;0,1,0)</f>
        <v>0</v>
      </c>
    </row>
    <row r="232" spans="1:12" ht="12.75" customHeight="1" x14ac:dyDescent="0.2">
      <c r="A232" s="1656" t="s">
        <v>242</v>
      </c>
      <c r="B232" s="1658"/>
      <c r="C232" s="96"/>
      <c r="D232" s="542">
        <f>+PORTA!C791</f>
        <v>0</v>
      </c>
      <c r="E232" s="92" t="s">
        <v>115</v>
      </c>
      <c r="F232" s="670"/>
      <c r="G232" s="670"/>
      <c r="H232" s="670"/>
      <c r="I232" s="670"/>
      <c r="J232" s="721"/>
      <c r="K232" s="721">
        <f t="shared" si="23"/>
        <v>0</v>
      </c>
      <c r="L232" s="89">
        <v>0</v>
      </c>
    </row>
    <row r="233" spans="1:12" ht="12.75" customHeight="1" x14ac:dyDescent="0.2">
      <c r="A233" s="1656" t="s">
        <v>243</v>
      </c>
      <c r="B233" s="1658"/>
      <c r="C233" s="96"/>
      <c r="D233" s="542">
        <f>+PORTA!C792</f>
        <v>0</v>
      </c>
      <c r="E233" s="92" t="s">
        <v>118</v>
      </c>
      <c r="F233" s="670"/>
      <c r="G233" s="670"/>
      <c r="H233" s="670"/>
      <c r="I233" s="670"/>
      <c r="J233" s="721"/>
      <c r="K233" s="721">
        <f t="shared" si="23"/>
        <v>0</v>
      </c>
      <c r="L233" s="89">
        <f>IF(D233&gt;0,1,0)</f>
        <v>0</v>
      </c>
    </row>
    <row r="234" spans="1:12" ht="12.75" customHeight="1" x14ac:dyDescent="0.2">
      <c r="A234" s="1656" t="s">
        <v>244</v>
      </c>
      <c r="B234" s="1658"/>
      <c r="C234" s="96"/>
      <c r="D234" s="542">
        <f>+PORTA!C793</f>
        <v>0</v>
      </c>
      <c r="E234" s="92" t="s">
        <v>118</v>
      </c>
      <c r="F234" s="670"/>
      <c r="G234" s="670"/>
      <c r="H234" s="670"/>
      <c r="I234" s="670"/>
      <c r="J234" s="721"/>
      <c r="K234" s="721">
        <f t="shared" si="23"/>
        <v>0</v>
      </c>
      <c r="L234" s="89">
        <f>IF(D234&gt;0,1,0)</f>
        <v>0</v>
      </c>
    </row>
    <row r="235" spans="1:12" ht="12.75" customHeight="1" x14ac:dyDescent="0.2">
      <c r="A235" s="1656" t="s">
        <v>245</v>
      </c>
      <c r="B235" s="1658"/>
      <c r="C235" s="96"/>
      <c r="D235" s="542">
        <f>+PORTA!C794</f>
        <v>0</v>
      </c>
      <c r="E235" s="92" t="s">
        <v>115</v>
      </c>
      <c r="F235" s="670"/>
      <c r="G235" s="670"/>
      <c r="H235" s="670"/>
      <c r="I235" s="670"/>
      <c r="J235" s="721"/>
      <c r="K235" s="721">
        <f t="shared" si="23"/>
        <v>0</v>
      </c>
      <c r="L235" s="89">
        <v>0</v>
      </c>
    </row>
    <row r="236" spans="1:12" ht="12.75" customHeight="1" x14ac:dyDescent="0.2">
      <c r="A236" s="1656" t="s">
        <v>208</v>
      </c>
      <c r="B236" s="1658"/>
      <c r="C236" s="96"/>
      <c r="D236" s="542">
        <f>+PORTA!C795</f>
        <v>0</v>
      </c>
      <c r="E236" s="92" t="s">
        <v>118</v>
      </c>
      <c r="F236" s="670"/>
      <c r="G236" s="670"/>
      <c r="H236" s="670"/>
      <c r="I236" s="670"/>
      <c r="J236" s="721"/>
      <c r="K236" s="721">
        <f t="shared" si="23"/>
        <v>0</v>
      </c>
      <c r="L236" s="89">
        <f>IF(D236&gt;0,1,0)</f>
        <v>0</v>
      </c>
    </row>
    <row r="237" spans="1:12" ht="12.75" customHeight="1" x14ac:dyDescent="0.2">
      <c r="A237" s="1656" t="s">
        <v>246</v>
      </c>
      <c r="B237" s="1658"/>
      <c r="C237" s="96"/>
      <c r="D237" s="542">
        <f>+PORTA!C796</f>
        <v>0</v>
      </c>
      <c r="E237" s="92" t="s">
        <v>117</v>
      </c>
      <c r="F237" s="670"/>
      <c r="G237" s="670"/>
      <c r="H237" s="670"/>
      <c r="I237" s="670"/>
      <c r="J237" s="721"/>
      <c r="K237" s="721">
        <f t="shared" si="23"/>
        <v>0</v>
      </c>
      <c r="L237" s="89">
        <v>0</v>
      </c>
    </row>
    <row r="238" spans="1:12" ht="12.75" customHeight="1" x14ac:dyDescent="0.2">
      <c r="A238" s="1656" t="s">
        <v>247</v>
      </c>
      <c r="B238" s="1658"/>
      <c r="C238" s="96"/>
      <c r="D238" s="542">
        <f>+PORTA!C797</f>
        <v>0</v>
      </c>
      <c r="E238" s="92" t="s">
        <v>115</v>
      </c>
      <c r="F238" s="670"/>
      <c r="G238" s="670"/>
      <c r="H238" s="670"/>
      <c r="I238" s="670"/>
      <c r="J238" s="721"/>
      <c r="K238" s="721">
        <f t="shared" si="23"/>
        <v>0</v>
      </c>
      <c r="L238" s="89">
        <v>0</v>
      </c>
    </row>
    <row r="239" spans="1:12" ht="12.75" customHeight="1" x14ac:dyDescent="0.2">
      <c r="A239" s="1656" t="s">
        <v>248</v>
      </c>
      <c r="B239" s="1658"/>
      <c r="C239" s="98"/>
      <c r="D239" s="543">
        <f>+PORTA!C798</f>
        <v>0</v>
      </c>
      <c r="E239" s="533" t="s">
        <v>118</v>
      </c>
      <c r="F239" s="670"/>
      <c r="G239" s="670"/>
      <c r="H239" s="670"/>
      <c r="I239" s="670"/>
      <c r="J239" s="721"/>
      <c r="K239" s="721">
        <f t="shared" si="23"/>
        <v>0</v>
      </c>
      <c r="L239" s="89">
        <f>IF(D239&gt;0,1,0)</f>
        <v>0</v>
      </c>
    </row>
    <row r="240" spans="1:12" ht="12.75" customHeight="1" x14ac:dyDescent="0.2">
      <c r="A240" s="1648" t="s">
        <v>249</v>
      </c>
      <c r="B240" s="1648"/>
      <c r="C240" s="1648"/>
      <c r="D240" s="1006">
        <f>+PORTA!C799</f>
        <v>0</v>
      </c>
      <c r="E240" s="95"/>
      <c r="F240" s="680"/>
      <c r="G240" s="680"/>
      <c r="H240" s="680"/>
      <c r="I240" s="680"/>
      <c r="J240" s="723"/>
      <c r="K240" s="723"/>
      <c r="L240" s="89">
        <f>IF(D240&gt;0,1,0)</f>
        <v>0</v>
      </c>
    </row>
    <row r="241" spans="1:12" ht="12.75" customHeight="1" x14ac:dyDescent="0.2">
      <c r="A241" s="1656" t="s">
        <v>252</v>
      </c>
      <c r="B241" s="1658"/>
      <c r="C241" s="584"/>
      <c r="D241" s="548">
        <f>+PORTA!C806</f>
        <v>0</v>
      </c>
      <c r="E241" s="92" t="s">
        <v>117</v>
      </c>
      <c r="F241" s="670"/>
      <c r="G241" s="670"/>
      <c r="H241" s="670"/>
      <c r="I241" s="670"/>
      <c r="J241" s="721"/>
      <c r="K241" s="721">
        <f t="shared" ref="K241:K253" si="24">+J241*D241</f>
        <v>0</v>
      </c>
      <c r="L241" s="89">
        <f t="shared" ref="L241:L254" si="25">IF(D241&gt;0,1,0)</f>
        <v>0</v>
      </c>
    </row>
    <row r="242" spans="1:12" ht="12.75" customHeight="1" x14ac:dyDescent="0.2">
      <c r="A242" s="1656" t="s">
        <v>212</v>
      </c>
      <c r="B242" s="1658"/>
      <c r="C242" s="584"/>
      <c r="D242" s="548">
        <f>+PORTA!C807</f>
        <v>0</v>
      </c>
      <c r="E242" s="92" t="s">
        <v>118</v>
      </c>
      <c r="F242" s="670"/>
      <c r="G242" s="670"/>
      <c r="H242" s="670"/>
      <c r="I242" s="670"/>
      <c r="J242" s="721"/>
      <c r="K242" s="721">
        <f t="shared" si="24"/>
        <v>0</v>
      </c>
      <c r="L242" s="89">
        <f t="shared" si="25"/>
        <v>0</v>
      </c>
    </row>
    <row r="243" spans="1:12" ht="12.75" customHeight="1" x14ac:dyDescent="0.2">
      <c r="A243" s="1656" t="s">
        <v>211</v>
      </c>
      <c r="B243" s="1658"/>
      <c r="C243" s="584"/>
      <c r="D243" s="548">
        <f>+PORTA!C808</f>
        <v>0</v>
      </c>
      <c r="E243" s="92" t="s">
        <v>118</v>
      </c>
      <c r="F243" s="670"/>
      <c r="G243" s="670"/>
      <c r="H243" s="670"/>
      <c r="I243" s="670"/>
      <c r="J243" s="721"/>
      <c r="K243" s="721">
        <f t="shared" si="24"/>
        <v>0</v>
      </c>
      <c r="L243" s="89">
        <f t="shared" si="25"/>
        <v>0</v>
      </c>
    </row>
    <row r="244" spans="1:12" ht="12.75" customHeight="1" x14ac:dyDescent="0.2">
      <c r="A244" s="1656" t="s">
        <v>221</v>
      </c>
      <c r="B244" s="1658"/>
      <c r="C244" s="584"/>
      <c r="D244" s="548">
        <f>+PORTA!C809</f>
        <v>0</v>
      </c>
      <c r="E244" s="92" t="s">
        <v>118</v>
      </c>
      <c r="F244" s="670"/>
      <c r="G244" s="670"/>
      <c r="H244" s="670"/>
      <c r="I244" s="670"/>
      <c r="J244" s="721"/>
      <c r="K244" s="721">
        <f t="shared" si="24"/>
        <v>0</v>
      </c>
      <c r="L244" s="89">
        <f t="shared" si="25"/>
        <v>0</v>
      </c>
    </row>
    <row r="245" spans="1:12" ht="12.75" customHeight="1" x14ac:dyDescent="0.2">
      <c r="A245" s="1656" t="s">
        <v>253</v>
      </c>
      <c r="B245" s="1658"/>
      <c r="C245" s="584"/>
      <c r="D245" s="548">
        <f>(PORTA!C810)*1.1</f>
        <v>0</v>
      </c>
      <c r="E245" s="92" t="s">
        <v>115</v>
      </c>
      <c r="F245" s="670"/>
      <c r="G245" s="670"/>
      <c r="H245" s="670"/>
      <c r="I245" s="670"/>
      <c r="J245" s="721"/>
      <c r="K245" s="721">
        <f t="shared" si="24"/>
        <v>0</v>
      </c>
      <c r="L245" s="89">
        <f t="shared" si="25"/>
        <v>0</v>
      </c>
    </row>
    <row r="246" spans="1:12" ht="12.75" customHeight="1" x14ac:dyDescent="0.2">
      <c r="A246" s="1656" t="s">
        <v>208</v>
      </c>
      <c r="B246" s="1658"/>
      <c r="C246" s="584"/>
      <c r="D246" s="548">
        <f>+PORTA!C811</f>
        <v>0</v>
      </c>
      <c r="E246" s="92" t="s">
        <v>118</v>
      </c>
      <c r="F246" s="670"/>
      <c r="G246" s="670"/>
      <c r="H246" s="670"/>
      <c r="I246" s="670"/>
      <c r="J246" s="721"/>
      <c r="K246" s="721">
        <f t="shared" si="24"/>
        <v>0</v>
      </c>
      <c r="L246" s="89">
        <f t="shared" si="25"/>
        <v>0</v>
      </c>
    </row>
    <row r="247" spans="1:12" ht="12.75" customHeight="1" x14ac:dyDescent="0.2">
      <c r="A247" s="1656" t="s">
        <v>254</v>
      </c>
      <c r="B247" s="1658"/>
      <c r="C247" s="584"/>
      <c r="D247" s="548">
        <f>+PORTA!C812</f>
        <v>0</v>
      </c>
      <c r="E247" s="92" t="s">
        <v>118</v>
      </c>
      <c r="F247" s="670"/>
      <c r="G247" s="670"/>
      <c r="H247" s="670"/>
      <c r="I247" s="670"/>
      <c r="J247" s="721"/>
      <c r="K247" s="721">
        <f t="shared" si="24"/>
        <v>0</v>
      </c>
      <c r="L247" s="89">
        <f t="shared" si="25"/>
        <v>0</v>
      </c>
    </row>
    <row r="248" spans="1:12" ht="12.75" customHeight="1" x14ac:dyDescent="0.2">
      <c r="A248" s="1656" t="s">
        <v>255</v>
      </c>
      <c r="B248" s="1658"/>
      <c r="C248" s="584"/>
      <c r="D248" s="548">
        <f>+PORTA!C813</f>
        <v>0</v>
      </c>
      <c r="E248" s="92" t="s">
        <v>154</v>
      </c>
      <c r="F248" s="670"/>
      <c r="G248" s="670"/>
      <c r="H248" s="670"/>
      <c r="I248" s="670"/>
      <c r="J248" s="721"/>
      <c r="K248" s="721">
        <f t="shared" si="24"/>
        <v>0</v>
      </c>
      <c r="L248" s="89">
        <f t="shared" si="25"/>
        <v>0</v>
      </c>
    </row>
    <row r="249" spans="1:12" ht="12.75" customHeight="1" x14ac:dyDescent="0.2">
      <c r="A249" s="1656" t="s">
        <v>207</v>
      </c>
      <c r="B249" s="1658"/>
      <c r="C249" s="584"/>
      <c r="D249" s="548">
        <f>+PORTA!C814</f>
        <v>0</v>
      </c>
      <c r="E249" s="92" t="s">
        <v>118</v>
      </c>
      <c r="F249" s="670"/>
      <c r="G249" s="670"/>
      <c r="H249" s="670"/>
      <c r="I249" s="670"/>
      <c r="J249" s="721"/>
      <c r="K249" s="721">
        <f t="shared" si="24"/>
        <v>0</v>
      </c>
      <c r="L249" s="89">
        <f t="shared" si="25"/>
        <v>0</v>
      </c>
    </row>
    <row r="250" spans="1:12" ht="12.75" customHeight="1" x14ac:dyDescent="0.2">
      <c r="A250" s="1656" t="s">
        <v>217</v>
      </c>
      <c r="B250" s="1658"/>
      <c r="C250" s="584"/>
      <c r="D250" s="548">
        <f>+PORTA!C815</f>
        <v>0</v>
      </c>
      <c r="E250" s="92" t="s">
        <v>118</v>
      </c>
      <c r="F250" s="670"/>
      <c r="G250" s="670"/>
      <c r="H250" s="670"/>
      <c r="I250" s="670"/>
      <c r="J250" s="721"/>
      <c r="K250" s="721">
        <f t="shared" si="24"/>
        <v>0</v>
      </c>
      <c r="L250" s="89">
        <f t="shared" si="25"/>
        <v>0</v>
      </c>
    </row>
    <row r="251" spans="1:12" ht="12.75" customHeight="1" x14ac:dyDescent="0.2">
      <c r="A251" s="1656" t="s">
        <v>218</v>
      </c>
      <c r="B251" s="1658"/>
      <c r="C251" s="584"/>
      <c r="D251" s="548">
        <f>+PORTA!C816</f>
        <v>0</v>
      </c>
      <c r="E251" s="92" t="s">
        <v>118</v>
      </c>
      <c r="F251" s="670"/>
      <c r="G251" s="670"/>
      <c r="H251" s="670"/>
      <c r="I251" s="670"/>
      <c r="J251" s="721"/>
      <c r="K251" s="721">
        <f t="shared" si="24"/>
        <v>0</v>
      </c>
      <c r="L251" s="89">
        <f t="shared" si="25"/>
        <v>0</v>
      </c>
    </row>
    <row r="252" spans="1:12" ht="12.75" customHeight="1" x14ac:dyDescent="0.2">
      <c r="A252" s="1656" t="s">
        <v>256</v>
      </c>
      <c r="B252" s="1658"/>
      <c r="C252" s="584"/>
      <c r="D252" s="548">
        <f>+PORTA!C817</f>
        <v>0</v>
      </c>
      <c r="E252" s="92" t="s">
        <v>118</v>
      </c>
      <c r="F252" s="670"/>
      <c r="G252" s="670"/>
      <c r="H252" s="670"/>
      <c r="I252" s="670"/>
      <c r="J252" s="721"/>
      <c r="K252" s="721">
        <f t="shared" si="24"/>
        <v>0</v>
      </c>
      <c r="L252" s="89">
        <f t="shared" si="25"/>
        <v>0</v>
      </c>
    </row>
    <row r="253" spans="1:12" ht="12.75" customHeight="1" x14ac:dyDescent="0.2">
      <c r="A253" s="1656" t="s">
        <v>257</v>
      </c>
      <c r="B253" s="1658"/>
      <c r="C253" s="584"/>
      <c r="D253" s="546">
        <f>+PORTA!C818</f>
        <v>0</v>
      </c>
      <c r="E253" s="533" t="s">
        <v>118</v>
      </c>
      <c r="F253" s="670"/>
      <c r="G253" s="670"/>
      <c r="H253" s="670"/>
      <c r="I253" s="670"/>
      <c r="J253" s="721"/>
      <c r="K253" s="721">
        <f t="shared" si="24"/>
        <v>0</v>
      </c>
      <c r="L253" s="89">
        <f t="shared" si="25"/>
        <v>0</v>
      </c>
    </row>
    <row r="254" spans="1:12" ht="12.75" customHeight="1" x14ac:dyDescent="0.2">
      <c r="A254" s="1648" t="s">
        <v>258</v>
      </c>
      <c r="B254" s="1648"/>
      <c r="C254" s="1648"/>
      <c r="D254" s="1006"/>
      <c r="E254" s="95"/>
      <c r="F254" s="680"/>
      <c r="G254" s="680"/>
      <c r="H254" s="680"/>
      <c r="I254" s="680"/>
      <c r="J254" s="723"/>
      <c r="K254" s="723"/>
      <c r="L254" s="89">
        <f t="shared" si="25"/>
        <v>0</v>
      </c>
    </row>
    <row r="255" spans="1:12" ht="12.75" customHeight="1" x14ac:dyDescent="0.2">
      <c r="A255" s="1656" t="s">
        <v>272</v>
      </c>
      <c r="B255" s="1658"/>
      <c r="C255" s="584"/>
      <c r="D255" s="548">
        <f>+PORTA!C859</f>
        <v>0</v>
      </c>
      <c r="E255" s="92" t="s">
        <v>117</v>
      </c>
      <c r="F255" s="670"/>
      <c r="G255" s="670"/>
      <c r="H255" s="670"/>
      <c r="I255" s="670"/>
      <c r="J255" s="721"/>
      <c r="K255" s="721">
        <f t="shared" ref="K255:K265" si="26">+J255*D255</f>
        <v>0</v>
      </c>
      <c r="L255" s="89">
        <f t="shared" ref="L255:L266" si="27">IF(D255&gt;0,1,0)</f>
        <v>0</v>
      </c>
    </row>
    <row r="256" spans="1:12" ht="12.75" customHeight="1" x14ac:dyDescent="0.2">
      <c r="A256" s="1656" t="s">
        <v>273</v>
      </c>
      <c r="B256" s="1658"/>
      <c r="C256" s="584"/>
      <c r="D256" s="548">
        <f>(PORTA!C860)*1.1</f>
        <v>0</v>
      </c>
      <c r="E256" s="92" t="s">
        <v>115</v>
      </c>
      <c r="F256" s="670"/>
      <c r="G256" s="670"/>
      <c r="H256" s="670"/>
      <c r="I256" s="670"/>
      <c r="J256" s="721"/>
      <c r="K256" s="721">
        <f t="shared" si="26"/>
        <v>0</v>
      </c>
      <c r="L256" s="89">
        <f t="shared" si="27"/>
        <v>0</v>
      </c>
    </row>
    <row r="257" spans="1:12" ht="12.75" customHeight="1" x14ac:dyDescent="0.2">
      <c r="A257" s="1656" t="s">
        <v>247</v>
      </c>
      <c r="B257" s="1658"/>
      <c r="C257" s="584"/>
      <c r="D257" s="766">
        <f>(PORTA!C861)*1.1</f>
        <v>0</v>
      </c>
      <c r="E257" s="92" t="s">
        <v>115</v>
      </c>
      <c r="F257" s="670"/>
      <c r="G257" s="670"/>
      <c r="H257" s="670"/>
      <c r="I257" s="670"/>
      <c r="J257" s="721"/>
      <c r="K257" s="721">
        <f t="shared" si="26"/>
        <v>0</v>
      </c>
      <c r="L257" s="89">
        <f t="shared" si="27"/>
        <v>0</v>
      </c>
    </row>
    <row r="258" spans="1:12" ht="12.75" customHeight="1" x14ac:dyDescent="0.2">
      <c r="A258" s="1656" t="s">
        <v>274</v>
      </c>
      <c r="B258" s="1658"/>
      <c r="C258" s="584"/>
      <c r="D258" s="548">
        <f>+PORTA!C862</f>
        <v>0</v>
      </c>
      <c r="E258" s="92" t="s">
        <v>118</v>
      </c>
      <c r="F258" s="670"/>
      <c r="G258" s="670"/>
      <c r="H258" s="670"/>
      <c r="I258" s="670"/>
      <c r="J258" s="721"/>
      <c r="K258" s="721">
        <f t="shared" si="26"/>
        <v>0</v>
      </c>
      <c r="L258" s="89">
        <f t="shared" si="27"/>
        <v>0</v>
      </c>
    </row>
    <row r="259" spans="1:12" ht="12.75" customHeight="1" x14ac:dyDescent="0.2">
      <c r="A259" s="1656" t="s">
        <v>275</v>
      </c>
      <c r="B259" s="1658"/>
      <c r="C259" s="584"/>
      <c r="D259" s="548">
        <f>+PORTA!C863</f>
        <v>0</v>
      </c>
      <c r="E259" s="92" t="s">
        <v>118</v>
      </c>
      <c r="F259" s="670"/>
      <c r="G259" s="670"/>
      <c r="H259" s="670"/>
      <c r="I259" s="670"/>
      <c r="J259" s="721"/>
      <c r="K259" s="721">
        <f t="shared" si="26"/>
        <v>0</v>
      </c>
      <c r="L259" s="89">
        <f t="shared" si="27"/>
        <v>0</v>
      </c>
    </row>
    <row r="260" spans="1:12" ht="12.75" customHeight="1" x14ac:dyDescent="0.2">
      <c r="A260" s="1656" t="s">
        <v>265</v>
      </c>
      <c r="B260" s="1658"/>
      <c r="C260" s="584"/>
      <c r="D260" s="548">
        <f>+PORTA!C864</f>
        <v>0</v>
      </c>
      <c r="E260" s="92" t="s">
        <v>118</v>
      </c>
      <c r="F260" s="670"/>
      <c r="G260" s="670"/>
      <c r="H260" s="670"/>
      <c r="I260" s="670"/>
      <c r="J260" s="721"/>
      <c r="K260" s="721">
        <f t="shared" si="26"/>
        <v>0</v>
      </c>
      <c r="L260" s="89">
        <f t="shared" si="27"/>
        <v>0</v>
      </c>
    </row>
    <row r="261" spans="1:12" ht="12.75" customHeight="1" x14ac:dyDescent="0.2">
      <c r="A261" s="1656" t="s">
        <v>248</v>
      </c>
      <c r="B261" s="1658"/>
      <c r="C261" s="584"/>
      <c r="D261" s="548">
        <f>+PORTA!C865</f>
        <v>0</v>
      </c>
      <c r="E261" s="92" t="s">
        <v>118</v>
      </c>
      <c r="F261" s="670"/>
      <c r="G261" s="670"/>
      <c r="H261" s="670"/>
      <c r="I261" s="670"/>
      <c r="J261" s="721"/>
      <c r="K261" s="721">
        <f t="shared" si="26"/>
        <v>0</v>
      </c>
      <c r="L261" s="89">
        <f t="shared" si="27"/>
        <v>0</v>
      </c>
    </row>
    <row r="262" spans="1:12" ht="12.75" customHeight="1" x14ac:dyDescent="0.2">
      <c r="A262" s="1656" t="s">
        <v>219</v>
      </c>
      <c r="B262" s="1658"/>
      <c r="C262" s="584"/>
      <c r="D262" s="548">
        <f>+PORTA!C866</f>
        <v>0</v>
      </c>
      <c r="E262" s="92" t="s">
        <v>118</v>
      </c>
      <c r="F262" s="670"/>
      <c r="G262" s="670"/>
      <c r="H262" s="670"/>
      <c r="I262" s="670"/>
      <c r="J262" s="721"/>
      <c r="K262" s="721">
        <f t="shared" si="26"/>
        <v>0</v>
      </c>
      <c r="L262" s="89">
        <f t="shared" si="27"/>
        <v>0</v>
      </c>
    </row>
    <row r="263" spans="1:12" ht="12.75" customHeight="1" x14ac:dyDescent="0.2">
      <c r="A263" s="1656" t="s">
        <v>276</v>
      </c>
      <c r="B263" s="1658"/>
      <c r="C263" s="584"/>
      <c r="D263" s="548">
        <f>+PORTA!C867</f>
        <v>0</v>
      </c>
      <c r="E263" s="92" t="s">
        <v>118</v>
      </c>
      <c r="F263" s="670"/>
      <c r="G263" s="670"/>
      <c r="H263" s="670"/>
      <c r="I263" s="670"/>
      <c r="J263" s="721"/>
      <c r="K263" s="721">
        <f t="shared" si="26"/>
        <v>0</v>
      </c>
      <c r="L263" s="89">
        <f t="shared" si="27"/>
        <v>0</v>
      </c>
    </row>
    <row r="264" spans="1:12" ht="12.75" customHeight="1" x14ac:dyDescent="0.2">
      <c r="A264" s="1656" t="s">
        <v>277</v>
      </c>
      <c r="B264" s="1658"/>
      <c r="C264" s="584"/>
      <c r="D264" s="548">
        <f>+PORTA!C868</f>
        <v>0</v>
      </c>
      <c r="E264" s="92" t="s">
        <v>118</v>
      </c>
      <c r="F264" s="670"/>
      <c r="G264" s="670"/>
      <c r="H264" s="670"/>
      <c r="I264" s="670"/>
      <c r="J264" s="721"/>
      <c r="K264" s="721">
        <f t="shared" si="26"/>
        <v>0</v>
      </c>
      <c r="L264" s="89">
        <f t="shared" si="27"/>
        <v>0</v>
      </c>
    </row>
    <row r="265" spans="1:12" ht="12.75" customHeight="1" x14ac:dyDescent="0.2">
      <c r="A265" s="1656" t="s">
        <v>278</v>
      </c>
      <c r="B265" s="1658"/>
      <c r="C265" s="584"/>
      <c r="D265" s="546">
        <f>+PORTA!C869</f>
        <v>0</v>
      </c>
      <c r="E265" s="533" t="s">
        <v>118</v>
      </c>
      <c r="F265" s="670"/>
      <c r="G265" s="670"/>
      <c r="H265" s="670"/>
      <c r="I265" s="670"/>
      <c r="J265" s="721"/>
      <c r="K265" s="721">
        <f t="shared" si="26"/>
        <v>0</v>
      </c>
      <c r="L265" s="89">
        <f t="shared" si="27"/>
        <v>0</v>
      </c>
    </row>
    <row r="266" spans="1:12" ht="12.75" customHeight="1" x14ac:dyDescent="0.2">
      <c r="A266" s="1648" t="s">
        <v>279</v>
      </c>
      <c r="B266" s="1648"/>
      <c r="C266" s="1648"/>
      <c r="D266" s="1006">
        <f>+PORTA!C870</f>
        <v>0</v>
      </c>
      <c r="E266" s="95"/>
      <c r="F266" s="680"/>
      <c r="G266" s="680"/>
      <c r="H266" s="680"/>
      <c r="I266" s="680"/>
      <c r="J266" s="723"/>
      <c r="K266" s="723"/>
      <c r="L266" s="89">
        <f t="shared" si="27"/>
        <v>0</v>
      </c>
    </row>
    <row r="267" spans="1:12" ht="12.75" customHeight="1" x14ac:dyDescent="0.2">
      <c r="A267" s="100" t="s">
        <v>281</v>
      </c>
      <c r="B267" s="95"/>
      <c r="C267" s="584"/>
      <c r="D267" s="548">
        <f>(+PORTA!C880)*1.1</f>
        <v>0</v>
      </c>
      <c r="E267" s="92" t="s">
        <v>117</v>
      </c>
      <c r="F267" s="670"/>
      <c r="G267" s="670"/>
      <c r="H267" s="670"/>
      <c r="I267" s="670"/>
      <c r="J267" s="721"/>
      <c r="K267" s="721">
        <f t="shared" ref="K267:K277" si="28">+J267*D267</f>
        <v>0</v>
      </c>
      <c r="L267" s="89">
        <f t="shared" ref="L267:L277" si="29">IF(D267&gt;0,1,0)</f>
        <v>0</v>
      </c>
    </row>
    <row r="268" spans="1:12" ht="12.75" customHeight="1" x14ac:dyDescent="0.2">
      <c r="A268" s="100" t="s">
        <v>283</v>
      </c>
      <c r="B268" s="95"/>
      <c r="C268" s="584"/>
      <c r="D268" s="766">
        <f>(+PORTA!C882)*1.1</f>
        <v>0</v>
      </c>
      <c r="E268" s="92" t="s">
        <v>1026</v>
      </c>
      <c r="F268" s="670"/>
      <c r="G268" s="670"/>
      <c r="H268" s="670"/>
      <c r="I268" s="670"/>
      <c r="J268" s="721"/>
      <c r="K268" s="721">
        <f t="shared" si="28"/>
        <v>0</v>
      </c>
      <c r="L268" s="89">
        <f t="shared" si="29"/>
        <v>0</v>
      </c>
    </row>
    <row r="269" spans="1:12" ht="12.75" customHeight="1" x14ac:dyDescent="0.2">
      <c r="A269" s="100" t="s">
        <v>214</v>
      </c>
      <c r="B269" s="95"/>
      <c r="C269" s="584"/>
      <c r="D269" s="548">
        <f>+PORTA!C883</f>
        <v>0</v>
      </c>
      <c r="E269" s="92" t="s">
        <v>998</v>
      </c>
      <c r="F269" s="670"/>
      <c r="G269" s="670"/>
      <c r="H269" s="670"/>
      <c r="I269" s="670"/>
      <c r="J269" s="721"/>
      <c r="K269" s="721">
        <f t="shared" si="28"/>
        <v>0</v>
      </c>
      <c r="L269" s="89">
        <f t="shared" si="29"/>
        <v>0</v>
      </c>
    </row>
    <row r="270" spans="1:12" ht="12.75" customHeight="1" x14ac:dyDescent="0.2">
      <c r="A270" s="100" t="s">
        <v>213</v>
      </c>
      <c r="B270" s="95"/>
      <c r="C270" s="584"/>
      <c r="D270" s="548">
        <f>+PORTA!C884</f>
        <v>0</v>
      </c>
      <c r="E270" s="92" t="s">
        <v>998</v>
      </c>
      <c r="F270" s="670"/>
      <c r="G270" s="670"/>
      <c r="H270" s="670"/>
      <c r="I270" s="670"/>
      <c r="J270" s="721"/>
      <c r="K270" s="721">
        <f t="shared" si="28"/>
        <v>0</v>
      </c>
      <c r="L270" s="89">
        <f t="shared" si="29"/>
        <v>0</v>
      </c>
    </row>
    <row r="271" spans="1:12" ht="12.75" customHeight="1" x14ac:dyDescent="0.2">
      <c r="A271" s="100" t="s">
        <v>215</v>
      </c>
      <c r="B271" s="95"/>
      <c r="C271" s="584"/>
      <c r="D271" s="548">
        <f>+PORTA!C885</f>
        <v>0</v>
      </c>
      <c r="E271" s="92" t="s">
        <v>998</v>
      </c>
      <c r="F271" s="670"/>
      <c r="G271" s="670"/>
      <c r="H271" s="670"/>
      <c r="I271" s="670"/>
      <c r="J271" s="721"/>
      <c r="K271" s="721">
        <f t="shared" si="28"/>
        <v>0</v>
      </c>
      <c r="L271" s="89">
        <f t="shared" si="29"/>
        <v>0</v>
      </c>
    </row>
    <row r="272" spans="1:12" ht="12.75" customHeight="1" x14ac:dyDescent="0.2">
      <c r="A272" s="100" t="s">
        <v>209</v>
      </c>
      <c r="B272" s="95"/>
      <c r="C272" s="584"/>
      <c r="D272" s="548">
        <f>+PORTA!C886</f>
        <v>0</v>
      </c>
      <c r="E272" s="92" t="s">
        <v>998</v>
      </c>
      <c r="F272" s="670"/>
      <c r="G272" s="670"/>
      <c r="H272" s="670"/>
      <c r="I272" s="670"/>
      <c r="J272" s="721"/>
      <c r="K272" s="721">
        <f t="shared" si="28"/>
        <v>0</v>
      </c>
      <c r="L272" s="89">
        <f t="shared" si="29"/>
        <v>0</v>
      </c>
    </row>
    <row r="273" spans="1:12" ht="12.75" customHeight="1" x14ac:dyDescent="0.2">
      <c r="A273" s="100" t="s">
        <v>1073</v>
      </c>
      <c r="B273" s="95"/>
      <c r="C273" s="584"/>
      <c r="D273" s="766">
        <f>((+PORTA!C887)*1.1)*2</f>
        <v>0</v>
      </c>
      <c r="E273" s="92" t="s">
        <v>1025</v>
      </c>
      <c r="F273" s="670"/>
      <c r="G273" s="670"/>
      <c r="H273" s="670"/>
      <c r="I273" s="670"/>
      <c r="J273" s="721"/>
      <c r="K273" s="721">
        <f t="shared" si="28"/>
        <v>0</v>
      </c>
      <c r="L273" s="89">
        <f t="shared" si="29"/>
        <v>0</v>
      </c>
    </row>
    <row r="274" spans="1:12" ht="12.75" customHeight="1" x14ac:dyDescent="0.2">
      <c r="A274" s="1661" t="s">
        <v>1124</v>
      </c>
      <c r="B274" s="1662"/>
      <c r="C274" s="584"/>
      <c r="D274" s="569">
        <f>+'5 ALMACEN '!I13*4</f>
        <v>0</v>
      </c>
      <c r="E274" s="92" t="s">
        <v>998</v>
      </c>
      <c r="F274" s="670"/>
      <c r="G274" s="670"/>
      <c r="H274" s="670"/>
      <c r="I274" s="670"/>
      <c r="J274" s="721"/>
      <c r="K274" s="721">
        <f t="shared" si="28"/>
        <v>0</v>
      </c>
      <c r="L274" s="89">
        <f t="shared" si="29"/>
        <v>0</v>
      </c>
    </row>
    <row r="275" spans="1:12" ht="12.75" customHeight="1" x14ac:dyDescent="0.2">
      <c r="A275" s="1665" t="s">
        <v>1125</v>
      </c>
      <c r="B275" s="1665"/>
      <c r="C275" s="584"/>
      <c r="D275" s="569">
        <f>+'5 ALMACEN '!I14</f>
        <v>0</v>
      </c>
      <c r="E275" s="92" t="s">
        <v>998</v>
      </c>
      <c r="F275" s="670"/>
      <c r="G275" s="670"/>
      <c r="H275" s="670"/>
      <c r="I275" s="670"/>
      <c r="J275" s="721"/>
      <c r="K275" s="721">
        <f t="shared" si="28"/>
        <v>0</v>
      </c>
      <c r="L275" s="89">
        <f t="shared" si="29"/>
        <v>0</v>
      </c>
    </row>
    <row r="276" spans="1:12" ht="12.75" customHeight="1" x14ac:dyDescent="0.2">
      <c r="A276" s="1661" t="s">
        <v>1123</v>
      </c>
      <c r="B276" s="1662"/>
      <c r="C276" s="584"/>
      <c r="D276" s="569">
        <f>+'5 ALMACEN '!I13</f>
        <v>0</v>
      </c>
      <c r="E276" s="92" t="s">
        <v>998</v>
      </c>
      <c r="F276" s="670"/>
      <c r="G276" s="670"/>
      <c r="H276" s="670"/>
      <c r="I276" s="670"/>
      <c r="J276" s="721"/>
      <c r="K276" s="721">
        <f>+J276*D276</f>
        <v>0</v>
      </c>
      <c r="L276" s="89">
        <f>IF(D276&gt;0,1,0)</f>
        <v>0</v>
      </c>
    </row>
    <row r="277" spans="1:12" ht="12.75" customHeight="1" x14ac:dyDescent="0.2">
      <c r="A277" s="100" t="s">
        <v>220</v>
      </c>
      <c r="B277" s="95"/>
      <c r="C277" s="584"/>
      <c r="D277" s="569">
        <f>+PORTA!C888</f>
        <v>0</v>
      </c>
      <c r="E277" s="92" t="s">
        <v>998</v>
      </c>
      <c r="F277" s="670"/>
      <c r="G277" s="670"/>
      <c r="H277" s="670"/>
      <c r="I277" s="670"/>
      <c r="J277" s="721"/>
      <c r="K277" s="721">
        <f t="shared" si="28"/>
        <v>0</v>
      </c>
      <c r="L277" s="89">
        <f t="shared" si="29"/>
        <v>0</v>
      </c>
    </row>
    <row r="278" spans="1:12" ht="12.75" customHeight="1" x14ac:dyDescent="0.2">
      <c r="A278" s="1648" t="s">
        <v>297</v>
      </c>
      <c r="B278" s="1648"/>
      <c r="C278" s="1648"/>
      <c r="D278" s="1005">
        <f>SUM(D279:D289)</f>
        <v>0</v>
      </c>
      <c r="E278" s="91"/>
      <c r="F278" s="574"/>
      <c r="G278" s="574"/>
      <c r="H278" s="574"/>
      <c r="I278" s="574"/>
      <c r="J278" s="722"/>
      <c r="K278" s="722"/>
      <c r="L278" s="89">
        <f>IF(D278&gt;0,1,0)</f>
        <v>0</v>
      </c>
    </row>
    <row r="279" spans="1:12" ht="12.75" customHeight="1" x14ac:dyDescent="0.2">
      <c r="A279" s="1659" t="str">
        <f>+Almacen!A21</f>
        <v>PATIN DE 12 CM DUCTO</v>
      </c>
      <c r="B279" s="1660"/>
      <c r="C279" s="94"/>
      <c r="D279" s="542">
        <f>SUM('5 ALMACEN '!L7:L37)*2</f>
        <v>0</v>
      </c>
      <c r="E279" s="582" t="s">
        <v>998</v>
      </c>
      <c r="F279" s="597"/>
      <c r="G279" s="597"/>
      <c r="H279" s="597"/>
      <c r="I279" s="597"/>
      <c r="J279" s="721"/>
      <c r="K279" s="721">
        <f>+J279*D279</f>
        <v>0</v>
      </c>
      <c r="L279" s="89">
        <f>IF(D279&gt;0,1,0)</f>
        <v>0</v>
      </c>
    </row>
    <row r="280" spans="1:12" ht="12.75" customHeight="1" x14ac:dyDescent="0.2">
      <c r="A280" s="1656" t="s">
        <v>605</v>
      </c>
      <c r="B280" s="1658"/>
      <c r="C280" s="92"/>
      <c r="D280" s="542">
        <f>CEILING(+(+P.T.Nueva!C740+(SUM(Cant.!AO16:AT16,Cant.!AO37:AT37,Cant.!AO57:AT57,Cant.!AO77:AT77)/2*4)+SUM(FORMULAS!BC91:DA91,FORMULAS!BC145:DA145)),1)</f>
        <v>0</v>
      </c>
      <c r="E280" s="93" t="s">
        <v>998</v>
      </c>
      <c r="F280" s="670"/>
      <c r="G280" s="670"/>
      <c r="H280" s="670"/>
      <c r="I280" s="670"/>
      <c r="J280" s="722"/>
      <c r="K280" s="722"/>
      <c r="L280" s="89">
        <f t="shared" ref="L280:L289" si="30">IF(D280&gt;0,1,0)</f>
        <v>0</v>
      </c>
    </row>
    <row r="281" spans="1:12" ht="12.75" customHeight="1" x14ac:dyDescent="0.2">
      <c r="A281" s="1659" t="s">
        <v>1098</v>
      </c>
      <c r="B281" s="1660"/>
      <c r="C281" s="94"/>
      <c r="D281" s="542">
        <f>+'5 ALMACEN '!F26</f>
        <v>0</v>
      </c>
      <c r="E281" s="582" t="s">
        <v>998</v>
      </c>
      <c r="F281" s="597"/>
      <c r="G281" s="597"/>
      <c r="H281" s="597"/>
      <c r="I281" s="597"/>
      <c r="J281" s="721"/>
      <c r="K281" s="721">
        <f t="shared" ref="K281:K289" si="31">+J281*D281</f>
        <v>0</v>
      </c>
      <c r="L281" s="89">
        <f t="shared" si="30"/>
        <v>0</v>
      </c>
    </row>
    <row r="282" spans="1:12" ht="12.75" customHeight="1" x14ac:dyDescent="0.2">
      <c r="A282" s="1659" t="s">
        <v>1099</v>
      </c>
      <c r="B282" s="1660"/>
      <c r="C282" s="94"/>
      <c r="D282" s="542">
        <f>+'5 ALMACEN '!F26*2</f>
        <v>0</v>
      </c>
      <c r="E282" s="582" t="s">
        <v>998</v>
      </c>
      <c r="F282" s="597"/>
      <c r="G282" s="597"/>
      <c r="H282" s="597"/>
      <c r="I282" s="597"/>
      <c r="J282" s="721"/>
      <c r="K282" s="721">
        <f t="shared" si="31"/>
        <v>0</v>
      </c>
      <c r="L282" s="89">
        <f t="shared" si="30"/>
        <v>0</v>
      </c>
    </row>
    <row r="283" spans="1:12" ht="12.75" customHeight="1" x14ac:dyDescent="0.2">
      <c r="A283" s="1663" t="s">
        <v>1100</v>
      </c>
      <c r="B283" s="1664"/>
      <c r="C283" s="94"/>
      <c r="D283" s="542">
        <f>+'5 ALMACEN '!F26*2</f>
        <v>0</v>
      </c>
      <c r="E283" s="582" t="s">
        <v>998</v>
      </c>
      <c r="F283" s="597"/>
      <c r="G283" s="597"/>
      <c r="H283" s="597"/>
      <c r="I283" s="597"/>
      <c r="J283" s="721"/>
      <c r="K283" s="721">
        <f t="shared" si="31"/>
        <v>0</v>
      </c>
      <c r="L283" s="89">
        <f t="shared" si="30"/>
        <v>0</v>
      </c>
    </row>
    <row r="284" spans="1:12" ht="12.75" customHeight="1" x14ac:dyDescent="0.2">
      <c r="A284" s="1659" t="s">
        <v>1121</v>
      </c>
      <c r="B284" s="1660"/>
      <c r="C284" s="94"/>
      <c r="D284" s="646">
        <f>+'5 ALMACEN '!I13*0.2</f>
        <v>0</v>
      </c>
      <c r="E284" s="582" t="s">
        <v>998</v>
      </c>
      <c r="F284" s="597"/>
      <c r="G284" s="597"/>
      <c r="H284" s="597"/>
      <c r="I284" s="597"/>
      <c r="J284" s="721"/>
      <c r="K284" s="721">
        <f t="shared" si="31"/>
        <v>0</v>
      </c>
      <c r="L284" s="89">
        <f t="shared" si="30"/>
        <v>0</v>
      </c>
    </row>
    <row r="285" spans="1:12" ht="12.75" customHeight="1" x14ac:dyDescent="0.2">
      <c r="A285" s="1656" t="s">
        <v>1122</v>
      </c>
      <c r="B285" s="1657"/>
      <c r="C285" s="94"/>
      <c r="D285" s="542">
        <f>+'5 ALMACEN '!I13*2</f>
        <v>0</v>
      </c>
      <c r="E285" s="582" t="s">
        <v>998</v>
      </c>
      <c r="F285" s="597"/>
      <c r="G285" s="597"/>
      <c r="H285" s="597"/>
      <c r="I285" s="597"/>
      <c r="J285" s="721"/>
      <c r="K285" s="721">
        <f t="shared" si="31"/>
        <v>0</v>
      </c>
      <c r="L285" s="89">
        <f t="shared" si="30"/>
        <v>0</v>
      </c>
    </row>
    <row r="286" spans="1:12" ht="12.75" customHeight="1" x14ac:dyDescent="0.2">
      <c r="A286" s="1659" t="s">
        <v>1126</v>
      </c>
      <c r="B286" s="1660"/>
      <c r="C286" s="94"/>
      <c r="D286" s="542">
        <f>(+'5 ALMACEN '!I15)+('5 ALMACEN '!I16*2)</f>
        <v>0</v>
      </c>
      <c r="E286" s="582" t="s">
        <v>998</v>
      </c>
      <c r="F286" s="597"/>
      <c r="G286" s="597"/>
      <c r="H286" s="597"/>
      <c r="I286" s="597"/>
      <c r="J286" s="721"/>
      <c r="K286" s="721">
        <f>+J286*D286</f>
        <v>0</v>
      </c>
      <c r="L286" s="89">
        <f>IF(D286&gt;0,1,0)</f>
        <v>0</v>
      </c>
    </row>
    <row r="287" spans="1:12" ht="12.75" customHeight="1" x14ac:dyDescent="0.2">
      <c r="A287" s="1659" t="s">
        <v>1127</v>
      </c>
      <c r="B287" s="1660"/>
      <c r="C287" s="94"/>
      <c r="D287" s="542">
        <f>+'5 ALMACEN '!I15</f>
        <v>0</v>
      </c>
      <c r="E287" s="582" t="s">
        <v>998</v>
      </c>
      <c r="F287" s="597"/>
      <c r="G287" s="597"/>
      <c r="H287" s="597"/>
      <c r="I287" s="597"/>
      <c r="J287" s="721"/>
      <c r="K287" s="721"/>
      <c r="L287" s="89">
        <f>IF(D287&gt;0,1,0)</f>
        <v>0</v>
      </c>
    </row>
    <row r="288" spans="1:12" ht="12.75" customHeight="1" x14ac:dyDescent="0.2">
      <c r="A288" s="1659" t="s">
        <v>1128</v>
      </c>
      <c r="B288" s="1660"/>
      <c r="C288" s="94"/>
      <c r="D288" s="542">
        <f>(+'5 ALMACEN '!I15)+('5 ALMACEN '!I16*2)</f>
        <v>0</v>
      </c>
      <c r="E288" s="582" t="s">
        <v>998</v>
      </c>
      <c r="F288" s="597"/>
      <c r="G288" s="597"/>
      <c r="H288" s="597"/>
      <c r="I288" s="597"/>
      <c r="J288" s="721"/>
      <c r="K288" s="721"/>
      <c r="L288" s="89">
        <f>IF(D288&gt;0,1,0)</f>
        <v>0</v>
      </c>
    </row>
    <row r="289" spans="1:12" ht="12.75" customHeight="1" x14ac:dyDescent="0.2">
      <c r="A289" s="1659" t="s">
        <v>1101</v>
      </c>
      <c r="B289" s="1660"/>
      <c r="C289" s="94"/>
      <c r="D289" s="542">
        <f>+'5 ALMACEN '!F26*20</f>
        <v>0</v>
      </c>
      <c r="E289" s="582" t="s">
        <v>998</v>
      </c>
      <c r="F289" s="597"/>
      <c r="G289" s="597"/>
      <c r="H289" s="597"/>
      <c r="I289" s="597"/>
      <c r="J289" s="721"/>
      <c r="K289" s="721">
        <f t="shared" si="31"/>
        <v>0</v>
      </c>
      <c r="L289" s="89">
        <f t="shared" si="30"/>
        <v>0</v>
      </c>
    </row>
    <row r="290" spans="1:12" ht="12.75" customHeight="1" x14ac:dyDescent="0.2">
      <c r="A290" s="1648" t="s">
        <v>373</v>
      </c>
      <c r="B290" s="1648"/>
      <c r="C290" s="1648"/>
      <c r="D290" s="1005">
        <f>SUM(D291:D294)</f>
        <v>0</v>
      </c>
      <c r="E290" s="91"/>
      <c r="F290" s="574"/>
      <c r="G290" s="574"/>
      <c r="H290" s="574"/>
      <c r="I290" s="574"/>
      <c r="J290" s="722"/>
      <c r="K290" s="722"/>
      <c r="L290" s="89">
        <f t="shared" ref="L290:L300" si="32">IF(D290&gt;0,1,0)</f>
        <v>0</v>
      </c>
    </row>
    <row r="291" spans="1:12" ht="12.75" customHeight="1" x14ac:dyDescent="0.2">
      <c r="A291" s="99" t="s">
        <v>811</v>
      </c>
      <c r="B291" s="91">
        <f>+'5 ALMACEN '!A39</f>
        <v>56</v>
      </c>
      <c r="C291" s="92"/>
      <c r="D291" s="542">
        <f>SUM(Almacen!K27)</f>
        <v>0</v>
      </c>
      <c r="E291" s="582" t="s">
        <v>998</v>
      </c>
      <c r="F291" s="670"/>
      <c r="G291" s="670"/>
      <c r="H291" s="670"/>
      <c r="I291" s="670"/>
      <c r="J291" s="721"/>
      <c r="K291" s="721">
        <f>+J291*D291</f>
        <v>0</v>
      </c>
      <c r="L291" s="89">
        <f t="shared" si="32"/>
        <v>0</v>
      </c>
    </row>
    <row r="292" spans="1:12" ht="12.75" customHeight="1" x14ac:dyDescent="0.2">
      <c r="A292" s="99" t="s">
        <v>811</v>
      </c>
      <c r="B292" s="91">
        <f>+'5 ALMACEN '!A40</f>
        <v>70</v>
      </c>
      <c r="C292" s="92"/>
      <c r="D292" s="542">
        <f>SUM(Almacen!K28)</f>
        <v>0</v>
      </c>
      <c r="E292" s="582" t="s">
        <v>998</v>
      </c>
      <c r="F292" s="670"/>
      <c r="G292" s="670"/>
      <c r="H292" s="670"/>
      <c r="I292" s="670"/>
      <c r="J292" s="721"/>
      <c r="K292" s="721">
        <f>+J292*D292</f>
        <v>0</v>
      </c>
      <c r="L292" s="89">
        <f t="shared" si="32"/>
        <v>0</v>
      </c>
    </row>
    <row r="293" spans="1:12" ht="12.75" customHeight="1" x14ac:dyDescent="0.2">
      <c r="A293" s="99" t="s">
        <v>811</v>
      </c>
      <c r="B293" s="91">
        <f>+'5 ALMACEN '!A41</f>
        <v>84</v>
      </c>
      <c r="C293" s="92"/>
      <c r="D293" s="542">
        <f>SUM(Almacen!K29)</f>
        <v>0</v>
      </c>
      <c r="E293" s="582" t="s">
        <v>998</v>
      </c>
      <c r="F293" s="670"/>
      <c r="G293" s="670"/>
      <c r="H293" s="670"/>
      <c r="I293" s="670"/>
      <c r="J293" s="721"/>
      <c r="K293" s="721">
        <f>+J293*D293</f>
        <v>0</v>
      </c>
      <c r="L293" s="89">
        <f t="shared" si="32"/>
        <v>0</v>
      </c>
    </row>
    <row r="294" spans="1:12" ht="12.75" customHeight="1" x14ac:dyDescent="0.2">
      <c r="A294" s="99" t="s">
        <v>811</v>
      </c>
      <c r="B294" s="91">
        <f>+'5 ALMACEN '!A42</f>
        <v>112</v>
      </c>
      <c r="C294" s="92"/>
      <c r="D294" s="542">
        <f>SUM(Almacen!K30)</f>
        <v>0</v>
      </c>
      <c r="E294" s="582" t="s">
        <v>998</v>
      </c>
      <c r="F294" s="670"/>
      <c r="G294" s="670"/>
      <c r="H294" s="670"/>
      <c r="I294" s="670"/>
      <c r="J294" s="721"/>
      <c r="K294" s="721">
        <f>+J294*D294</f>
        <v>0</v>
      </c>
      <c r="L294" s="89">
        <f t="shared" si="32"/>
        <v>0</v>
      </c>
    </row>
    <row r="295" spans="1:12" ht="12.75" customHeight="1" x14ac:dyDescent="0.2">
      <c r="A295" s="1254" t="s">
        <v>1284</v>
      </c>
      <c r="B295" s="577"/>
      <c r="C295" s="577"/>
      <c r="D295" s="1005">
        <f>SUM(D296:D300)</f>
        <v>0</v>
      </c>
      <c r="E295" s="576"/>
      <c r="F295" s="673"/>
      <c r="G295" s="673"/>
      <c r="H295" s="673"/>
      <c r="I295" s="673"/>
      <c r="J295" s="722"/>
      <c r="K295" s="722"/>
      <c r="L295" s="89">
        <f t="shared" si="32"/>
        <v>0</v>
      </c>
    </row>
    <row r="296" spans="1:12" ht="12.75" customHeight="1" x14ac:dyDescent="0.2">
      <c r="A296" s="1656" t="s">
        <v>447</v>
      </c>
      <c r="B296" s="1658"/>
      <c r="C296" s="690"/>
      <c r="D296" s="569">
        <f>+'5 ALMACEN '!U36*2</f>
        <v>0</v>
      </c>
      <c r="E296" s="938" t="s">
        <v>1025</v>
      </c>
      <c r="F296" s="670"/>
      <c r="G296" s="670"/>
      <c r="H296" s="670"/>
      <c r="I296" s="670"/>
      <c r="J296" s="722"/>
      <c r="K296" s="722"/>
      <c r="L296" s="89">
        <f t="shared" si="32"/>
        <v>0</v>
      </c>
    </row>
    <row r="297" spans="1:12" ht="12.75" customHeight="1" x14ac:dyDescent="0.2">
      <c r="A297" s="1656" t="s">
        <v>112</v>
      </c>
      <c r="B297" s="1658"/>
      <c r="C297" s="690"/>
      <c r="D297" s="569">
        <f>+('5 ALMACEN '!U35+'5 ALMACEN '!U36)/1.3</f>
        <v>0</v>
      </c>
      <c r="E297" s="92" t="s">
        <v>998</v>
      </c>
      <c r="F297" s="670"/>
      <c r="G297" s="670"/>
      <c r="H297" s="670"/>
      <c r="I297" s="670"/>
      <c r="J297" s="722"/>
      <c r="K297" s="722"/>
      <c r="L297" s="89">
        <f t="shared" si="32"/>
        <v>0</v>
      </c>
    </row>
    <row r="298" spans="1:12" ht="12.75" customHeight="1" x14ac:dyDescent="0.2">
      <c r="A298" s="1656" t="s">
        <v>1283</v>
      </c>
      <c r="B298" s="1658"/>
      <c r="C298" s="690"/>
      <c r="D298" s="569">
        <f>+'5 ALMACEN '!U37*12</f>
        <v>0</v>
      </c>
      <c r="E298" s="92" t="s">
        <v>998</v>
      </c>
      <c r="F298" s="670"/>
      <c r="G298" s="670"/>
      <c r="H298" s="670"/>
      <c r="I298" s="670"/>
      <c r="J298" s="722"/>
      <c r="K298" s="722"/>
      <c r="L298" s="89">
        <f t="shared" si="32"/>
        <v>0</v>
      </c>
    </row>
    <row r="299" spans="1:12" ht="12.75" customHeight="1" x14ac:dyDescent="0.2">
      <c r="A299" s="1656" t="s">
        <v>837</v>
      </c>
      <c r="B299" s="1658"/>
      <c r="C299" s="690"/>
      <c r="D299" s="569">
        <f>+'5 ALMACEN '!U35*2</f>
        <v>0</v>
      </c>
      <c r="E299" s="938" t="s">
        <v>1025</v>
      </c>
      <c r="F299" s="670"/>
      <c r="G299" s="670"/>
      <c r="H299" s="670"/>
      <c r="I299" s="670"/>
      <c r="J299" s="722"/>
      <c r="K299" s="722"/>
      <c r="L299" s="89">
        <f t="shared" si="32"/>
        <v>0</v>
      </c>
    </row>
    <row r="300" spans="1:12" ht="12.75" customHeight="1" x14ac:dyDescent="0.2">
      <c r="A300" s="1665" t="s">
        <v>1088</v>
      </c>
      <c r="B300" s="1665"/>
      <c r="C300" s="690" t="s">
        <v>1089</v>
      </c>
      <c r="D300" s="542">
        <f>+'5 ALMACEN '!U35*0.5</f>
        <v>0</v>
      </c>
      <c r="E300" s="92" t="s">
        <v>1090</v>
      </c>
      <c r="F300" s="670"/>
      <c r="G300" s="670"/>
      <c r="H300" s="670"/>
      <c r="I300" s="670"/>
      <c r="J300" s="722"/>
      <c r="K300" s="722"/>
      <c r="L300" s="89">
        <f t="shared" si="32"/>
        <v>0</v>
      </c>
    </row>
    <row r="301" spans="1:12" ht="12.75" customHeight="1" x14ac:dyDescent="0.2">
      <c r="A301" s="568" t="s">
        <v>1297</v>
      </c>
      <c r="B301" s="1237"/>
      <c r="C301" s="1238"/>
      <c r="D301" s="1005">
        <f>SUM(D302:D306)</f>
        <v>0</v>
      </c>
      <c r="E301" s="577"/>
      <c r="F301" s="673"/>
      <c r="G301" s="673"/>
      <c r="H301" s="673"/>
      <c r="I301" s="673"/>
      <c r="J301" s="722"/>
      <c r="K301" s="722"/>
      <c r="L301" s="89"/>
    </row>
    <row r="302" spans="1:12" ht="12.75" customHeight="1" x14ac:dyDescent="0.2">
      <c r="A302" s="1656" t="s">
        <v>286</v>
      </c>
      <c r="B302" s="1658"/>
      <c r="C302" s="92"/>
      <c r="D302" s="542">
        <f>+'5 ALMACEN '!F11</f>
        <v>0</v>
      </c>
      <c r="E302" s="92" t="s">
        <v>998</v>
      </c>
      <c r="F302" s="670"/>
      <c r="G302" s="670"/>
      <c r="H302" s="670"/>
      <c r="I302" s="670"/>
      <c r="J302" s="722"/>
      <c r="K302" s="722"/>
      <c r="L302" s="89">
        <f>IF(D302&gt;0,1,0)</f>
        <v>0</v>
      </c>
    </row>
    <row r="303" spans="1:12" ht="12.75" customHeight="1" x14ac:dyDescent="0.2">
      <c r="A303" s="1656" t="s">
        <v>1298</v>
      </c>
      <c r="B303" s="1658"/>
      <c r="C303" s="92"/>
      <c r="D303" s="542">
        <f>+'5 ALMACEN '!F11*0.92</f>
        <v>0</v>
      </c>
      <c r="E303" s="92" t="s">
        <v>1140</v>
      </c>
      <c r="F303" s="670"/>
      <c r="G303" s="670"/>
      <c r="H303" s="670"/>
      <c r="I303" s="670"/>
      <c r="J303" s="722"/>
      <c r="K303" s="722"/>
      <c r="L303" s="89">
        <f>IF(D303&gt;0,1,0)</f>
        <v>0</v>
      </c>
    </row>
    <row r="304" spans="1:12" ht="12.75" customHeight="1" x14ac:dyDescent="0.2">
      <c r="A304" s="1656" t="s">
        <v>1299</v>
      </c>
      <c r="B304" s="1658"/>
      <c r="C304" s="92"/>
      <c r="D304" s="542">
        <f>+'5 ALMACEN '!F11*2.6</f>
        <v>0</v>
      </c>
      <c r="E304" s="92" t="s">
        <v>1140</v>
      </c>
      <c r="F304" s="670"/>
      <c r="G304" s="670"/>
      <c r="H304" s="670"/>
      <c r="I304" s="670"/>
      <c r="J304" s="722"/>
      <c r="K304" s="722"/>
      <c r="L304" s="89">
        <f>IF(D304&gt;0,1,0)</f>
        <v>0</v>
      </c>
    </row>
    <row r="305" spans="1:12" ht="12.75" customHeight="1" x14ac:dyDescent="0.2">
      <c r="A305" s="1656" t="s">
        <v>1300</v>
      </c>
      <c r="B305" s="1658"/>
      <c r="C305" s="92"/>
      <c r="D305" s="542">
        <f>+'5 ALMACEN '!F11*46</f>
        <v>0</v>
      </c>
      <c r="E305" s="92" t="s">
        <v>998</v>
      </c>
      <c r="F305" s="670"/>
      <c r="G305" s="670"/>
      <c r="H305" s="670"/>
      <c r="I305" s="670"/>
      <c r="J305" s="722"/>
      <c r="K305" s="722"/>
      <c r="L305" s="89">
        <f>IF(D305&gt;0,1,0)</f>
        <v>0</v>
      </c>
    </row>
    <row r="306" spans="1:12" ht="12.75" customHeight="1" x14ac:dyDescent="0.2">
      <c r="A306" s="1656" t="s">
        <v>605</v>
      </c>
      <c r="B306" s="1658"/>
      <c r="C306" s="92"/>
      <c r="D306" s="542">
        <f>+'5 ALMACEN '!F11*2</f>
        <v>0</v>
      </c>
      <c r="E306" s="92" t="s">
        <v>998</v>
      </c>
      <c r="F306" s="670"/>
      <c r="G306" s="670"/>
      <c r="H306" s="670"/>
      <c r="I306" s="670"/>
      <c r="J306" s="722"/>
      <c r="K306" s="722"/>
      <c r="L306" s="89">
        <f>IF(D306&gt;0,1,0)</f>
        <v>0</v>
      </c>
    </row>
    <row r="307" spans="1:12" ht="15.75" x14ac:dyDescent="0.25">
      <c r="C307" s="104" t="s">
        <v>393</v>
      </c>
      <c r="K307" s="748">
        <f>SUM(K17:K294)</f>
        <v>0</v>
      </c>
      <c r="L307" s="87">
        <v>1</v>
      </c>
    </row>
    <row r="308" spans="1:12" ht="12.75" customHeight="1" x14ac:dyDescent="0.2"/>
    <row r="309" spans="1:12" ht="12.75" customHeight="1" x14ac:dyDescent="0.2">
      <c r="A309" s="1677"/>
      <c r="B309" s="1677"/>
      <c r="C309" s="1677"/>
      <c r="D309" s="1677"/>
      <c r="E309" s="1677"/>
    </row>
    <row r="310" spans="1:12" ht="12.75" customHeight="1" x14ac:dyDescent="0.2"/>
    <row r="311" spans="1:12" ht="12.75" customHeight="1" x14ac:dyDescent="0.2"/>
    <row r="312" spans="1:12" ht="12.75" customHeight="1" x14ac:dyDescent="0.2"/>
    <row r="313" spans="1:12" ht="12.75" customHeight="1" x14ac:dyDescent="0.2"/>
    <row r="314" spans="1:12" ht="12.75" customHeight="1" x14ac:dyDescent="0.2"/>
    <row r="315" spans="1:12" ht="12.75" customHeight="1" x14ac:dyDescent="0.2"/>
    <row r="316" spans="1:12" ht="12.75" customHeight="1" x14ac:dyDescent="0.2"/>
    <row r="317" spans="1:12" hidden="1" x14ac:dyDescent="0.2"/>
    <row r="318" spans="1:12" hidden="1" x14ac:dyDescent="0.2"/>
    <row r="319" spans="1:12" hidden="1" x14ac:dyDescent="0.2"/>
    <row r="320" spans="1:12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x14ac:dyDescent="0.2"/>
    <row r="479" x14ac:dyDescent="0.2"/>
    <row r="480" x14ac:dyDescent="0.2"/>
    <row r="481" x14ac:dyDescent="0.2"/>
    <row r="482" x14ac:dyDescent="0.2"/>
    <row r="483" x14ac:dyDescent="0.2"/>
    <row r="484" x14ac:dyDescent="0.2"/>
    <row r="485" x14ac:dyDescent="0.2"/>
    <row r="486" x14ac:dyDescent="0.2"/>
    <row r="487" x14ac:dyDescent="0.2"/>
    <row r="488" x14ac:dyDescent="0.2"/>
    <row r="489" x14ac:dyDescent="0.2"/>
    <row r="490" x14ac:dyDescent="0.2"/>
    <row r="491" x14ac:dyDescent="0.2"/>
    <row r="492" x14ac:dyDescent="0.2"/>
    <row r="493" x14ac:dyDescent="0.2"/>
    <row r="494" x14ac:dyDescent="0.2"/>
    <row r="495" x14ac:dyDescent="0.2"/>
    <row r="496" x14ac:dyDescent="0.2"/>
    <row r="497" x14ac:dyDescent="0.2"/>
    <row r="498" x14ac:dyDescent="0.2"/>
    <row r="499" x14ac:dyDescent="0.2"/>
    <row r="500" x14ac:dyDescent="0.2"/>
    <row r="501" x14ac:dyDescent="0.2"/>
    <row r="502" x14ac:dyDescent="0.2"/>
    <row r="503" x14ac:dyDescent="0.2"/>
    <row r="504" x14ac:dyDescent="0.2"/>
    <row r="505" x14ac:dyDescent="0.2"/>
    <row r="506" x14ac:dyDescent="0.2"/>
    <row r="507" x14ac:dyDescent="0.2"/>
    <row r="508" x14ac:dyDescent="0.2"/>
    <row r="509" x14ac:dyDescent="0.2"/>
    <row r="510" x14ac:dyDescent="0.2"/>
    <row r="511" x14ac:dyDescent="0.2"/>
    <row r="512" x14ac:dyDescent="0.2"/>
    <row r="513" x14ac:dyDescent="0.2"/>
    <row r="514" x14ac:dyDescent="0.2"/>
    <row r="515" x14ac:dyDescent="0.2"/>
    <row r="516" x14ac:dyDescent="0.2"/>
    <row r="517" x14ac:dyDescent="0.2"/>
    <row r="518" x14ac:dyDescent="0.2"/>
    <row r="519" x14ac:dyDescent="0.2"/>
    <row r="520" x14ac:dyDescent="0.2"/>
    <row r="521" x14ac:dyDescent="0.2"/>
    <row r="522" x14ac:dyDescent="0.2"/>
    <row r="523" x14ac:dyDescent="0.2"/>
    <row r="524" x14ac:dyDescent="0.2"/>
  </sheetData>
  <sheetProtection password="CECF" sheet="1"/>
  <autoFilter ref="L1:L316"/>
  <mergeCells count="292">
    <mergeCell ref="A302:B302"/>
    <mergeCell ref="A303:B303"/>
    <mergeCell ref="A304:B304"/>
    <mergeCell ref="A305:B305"/>
    <mergeCell ref="A306:B306"/>
    <mergeCell ref="A138:B138"/>
    <mergeCell ref="A210:B210"/>
    <mergeCell ref="A200:B200"/>
    <mergeCell ref="A205:B205"/>
    <mergeCell ref="A206:B206"/>
    <mergeCell ref="A103:B103"/>
    <mergeCell ref="A83:B83"/>
    <mergeCell ref="A84:B84"/>
    <mergeCell ref="A236:B236"/>
    <mergeCell ref="A232:B232"/>
    <mergeCell ref="A128:B128"/>
    <mergeCell ref="A15:B15"/>
    <mergeCell ref="A113:B113"/>
    <mergeCell ref="A114:B114"/>
    <mergeCell ref="A115:B115"/>
    <mergeCell ref="A111:B111"/>
    <mergeCell ref="A110:B110"/>
    <mergeCell ref="A45:B45"/>
    <mergeCell ref="A237:B237"/>
    <mergeCell ref="A231:B231"/>
    <mergeCell ref="A226:B226"/>
    <mergeCell ref="A133:B133"/>
    <mergeCell ref="A225:B225"/>
    <mergeCell ref="A137:B137"/>
    <mergeCell ref="A230:B230"/>
    <mergeCell ref="A209:B209"/>
    <mergeCell ref="A193:B193"/>
    <mergeCell ref="A194:B194"/>
    <mergeCell ref="A233:B233"/>
    <mergeCell ref="A234:B234"/>
    <mergeCell ref="A235:B235"/>
    <mergeCell ref="A211:B211"/>
    <mergeCell ref="A229:B229"/>
    <mergeCell ref="A224:B224"/>
    <mergeCell ref="A217:B217"/>
    <mergeCell ref="A218:B218"/>
    <mergeCell ref="A219:B219"/>
    <mergeCell ref="A220:B220"/>
    <mergeCell ref="A105:B105"/>
    <mergeCell ref="A191:B191"/>
    <mergeCell ref="A198:B198"/>
    <mergeCell ref="A201:B201"/>
    <mergeCell ref="A202:B202"/>
    <mergeCell ref="A203:B203"/>
    <mergeCell ref="A204:B204"/>
    <mergeCell ref="A195:B195"/>
    <mergeCell ref="A196:B196"/>
    <mergeCell ref="A197:B197"/>
    <mergeCell ref="A131:B131"/>
    <mergeCell ref="A119:B119"/>
    <mergeCell ref="A120:B120"/>
    <mergeCell ref="A121:B121"/>
    <mergeCell ref="A123:B123"/>
    <mergeCell ref="A122:B122"/>
    <mergeCell ref="A129:B129"/>
    <mergeCell ref="A125:B125"/>
    <mergeCell ref="A127:B127"/>
    <mergeCell ref="A126:B126"/>
    <mergeCell ref="A130:B130"/>
    <mergeCell ref="A116:B116"/>
    <mergeCell ref="A44:B44"/>
    <mergeCell ref="A46:B46"/>
    <mergeCell ref="A79:B79"/>
    <mergeCell ref="A80:B80"/>
    <mergeCell ref="A74:B74"/>
    <mergeCell ref="A75:B75"/>
    <mergeCell ref="A76:B76"/>
    <mergeCell ref="A77:B77"/>
    <mergeCell ref="A58:B58"/>
    <mergeCell ref="A31:B31"/>
    <mergeCell ref="A32:B32"/>
    <mergeCell ref="A37:B37"/>
    <mergeCell ref="A38:B38"/>
    <mergeCell ref="A39:B39"/>
    <mergeCell ref="A43:B43"/>
    <mergeCell ref="A40:B40"/>
    <mergeCell ref="A41:B41"/>
    <mergeCell ref="A42:B42"/>
    <mergeCell ref="A33:B33"/>
    <mergeCell ref="A34:B34"/>
    <mergeCell ref="A35:B35"/>
    <mergeCell ref="A36:B36"/>
    <mergeCell ref="A27:B27"/>
    <mergeCell ref="A28:B28"/>
    <mergeCell ref="A21:B21"/>
    <mergeCell ref="A22:B22"/>
    <mergeCell ref="A23:B23"/>
    <mergeCell ref="A24:B24"/>
    <mergeCell ref="A26:B26"/>
    <mergeCell ref="A29:B29"/>
    <mergeCell ref="A30:B30"/>
    <mergeCell ref="A64:B64"/>
    <mergeCell ref="A65:B65"/>
    <mergeCell ref="A70:B70"/>
    <mergeCell ref="A71:B71"/>
    <mergeCell ref="A89:C89"/>
    <mergeCell ref="A91:B91"/>
    <mergeCell ref="A59:B59"/>
    <mergeCell ref="A60:B60"/>
    <mergeCell ref="A61:B61"/>
    <mergeCell ref="A72:B72"/>
    <mergeCell ref="A73:B73"/>
    <mergeCell ref="A66:B66"/>
    <mergeCell ref="A67:B67"/>
    <mergeCell ref="A68:B68"/>
    <mergeCell ref="A69:B69"/>
    <mergeCell ref="A63:B63"/>
    <mergeCell ref="A78:B78"/>
    <mergeCell ref="A85:B85"/>
    <mergeCell ref="A86:B86"/>
    <mergeCell ref="A87:B87"/>
    <mergeCell ref="A88:B88"/>
    <mergeCell ref="A81:B81"/>
    <mergeCell ref="A82:B82"/>
    <mergeCell ref="A222:B222"/>
    <mergeCell ref="A223:B223"/>
    <mergeCell ref="A221:B221"/>
    <mergeCell ref="A179:B179"/>
    <mergeCell ref="A180:B180"/>
    <mergeCell ref="A181:B181"/>
    <mergeCell ref="A182:B182"/>
    <mergeCell ref="A183:B183"/>
    <mergeCell ref="A184:B184"/>
    <mergeCell ref="A185:B185"/>
    <mergeCell ref="A199:B199"/>
    <mergeCell ref="A192:B192"/>
    <mergeCell ref="A187:B187"/>
    <mergeCell ref="A188:B188"/>
    <mergeCell ref="A189:B189"/>
    <mergeCell ref="A190:B190"/>
    <mergeCell ref="A207:B207"/>
    <mergeCell ref="A208:B208"/>
    <mergeCell ref="A216:B216"/>
    <mergeCell ref="A212:B212"/>
    <mergeCell ref="A215:B215"/>
    <mergeCell ref="A213:B213"/>
    <mergeCell ref="A214:B214"/>
    <mergeCell ref="A169:B169"/>
    <mergeCell ref="A170:B170"/>
    <mergeCell ref="A163:B163"/>
    <mergeCell ref="A164:B164"/>
    <mergeCell ref="A165:B165"/>
    <mergeCell ref="A166:B166"/>
    <mergeCell ref="A168:B168"/>
    <mergeCell ref="A186:B186"/>
    <mergeCell ref="A171:B171"/>
    <mergeCell ref="A172:B172"/>
    <mergeCell ref="A173:B173"/>
    <mergeCell ref="A174:B174"/>
    <mergeCell ref="A175:B175"/>
    <mergeCell ref="A176:B176"/>
    <mergeCell ref="A177:B177"/>
    <mergeCell ref="A178:B178"/>
    <mergeCell ref="A160:B160"/>
    <mergeCell ref="A155:B155"/>
    <mergeCell ref="A142:B142"/>
    <mergeCell ref="A143:B143"/>
    <mergeCell ref="A144:B144"/>
    <mergeCell ref="A145:B145"/>
    <mergeCell ref="A146:B146"/>
    <mergeCell ref="A147:B147"/>
    <mergeCell ref="A156:B156"/>
    <mergeCell ref="A157:B157"/>
    <mergeCell ref="A158:B158"/>
    <mergeCell ref="A148:B148"/>
    <mergeCell ref="A149:B149"/>
    <mergeCell ref="A154:B154"/>
    <mergeCell ref="A309:E309"/>
    <mergeCell ref="A227:C227"/>
    <mergeCell ref="A240:C240"/>
    <mergeCell ref="A266:C266"/>
    <mergeCell ref="A290:C290"/>
    <mergeCell ref="A278:C278"/>
    <mergeCell ref="A254:C254"/>
    <mergeCell ref="A253:B253"/>
    <mergeCell ref="A259:B259"/>
    <mergeCell ref="A260:B260"/>
    <mergeCell ref="A296:B296"/>
    <mergeCell ref="A298:B298"/>
    <mergeCell ref="A299:B299"/>
    <mergeCell ref="A300:B300"/>
    <mergeCell ref="A297:B297"/>
    <mergeCell ref="A289:B289"/>
    <mergeCell ref="A228:B228"/>
    <mergeCell ref="A251:B251"/>
    <mergeCell ref="A252:B252"/>
    <mergeCell ref="A264:B264"/>
    <mergeCell ref="A249:B249"/>
    <mergeCell ref="A250:B250"/>
    <mergeCell ref="A247:B247"/>
    <mergeCell ref="A248:B248"/>
    <mergeCell ref="A261:B261"/>
    <mergeCell ref="A255:B255"/>
    <mergeCell ref="A256:B256"/>
    <mergeCell ref="C3:E3"/>
    <mergeCell ref="A16:C16"/>
    <mergeCell ref="A4:D4"/>
    <mergeCell ref="D10:E10"/>
    <mergeCell ref="D12:I12"/>
    <mergeCell ref="B6:I6"/>
    <mergeCell ref="E4:I4"/>
    <mergeCell ref="A19:B19"/>
    <mergeCell ref="A20:B20"/>
    <mergeCell ref="A25:B25"/>
    <mergeCell ref="A90:B90"/>
    <mergeCell ref="D8:E8"/>
    <mergeCell ref="A54:B54"/>
    <mergeCell ref="A55:B55"/>
    <mergeCell ref="A56:B56"/>
    <mergeCell ref="A17:B17"/>
    <mergeCell ref="A18:B18"/>
    <mergeCell ref="A239:B239"/>
    <mergeCell ref="A238:B238"/>
    <mergeCell ref="A161:B161"/>
    <mergeCell ref="A162:B162"/>
    <mergeCell ref="A245:B245"/>
    <mergeCell ref="A246:B246"/>
    <mergeCell ref="A132:C132"/>
    <mergeCell ref="A106:B106"/>
    <mergeCell ref="A241:B241"/>
    <mergeCell ref="A242:B242"/>
    <mergeCell ref="A243:B243"/>
    <mergeCell ref="A244:B244"/>
    <mergeCell ref="F7:I8"/>
    <mergeCell ref="A14:I14"/>
    <mergeCell ref="A139:B139"/>
    <mergeCell ref="A140:B140"/>
    <mergeCell ref="A135:B135"/>
    <mergeCell ref="A136:B136"/>
    <mergeCell ref="A124:B124"/>
    <mergeCell ref="A96:B96"/>
    <mergeCell ref="A97:B97"/>
    <mergeCell ref="A104:B104"/>
    <mergeCell ref="A167:B167"/>
    <mergeCell ref="A150:B150"/>
    <mergeCell ref="A151:B151"/>
    <mergeCell ref="A152:B152"/>
    <mergeCell ref="A153:B153"/>
    <mergeCell ref="A159:B159"/>
    <mergeCell ref="A262:B262"/>
    <mergeCell ref="A263:B263"/>
    <mergeCell ref="B7:C8"/>
    <mergeCell ref="A288:B288"/>
    <mergeCell ref="A258:B258"/>
    <mergeCell ref="A281:B281"/>
    <mergeCell ref="A284:B284"/>
    <mergeCell ref="A285:B285"/>
    <mergeCell ref="A276:B276"/>
    <mergeCell ref="A274:B274"/>
    <mergeCell ref="A286:B286"/>
    <mergeCell ref="A287:B287"/>
    <mergeCell ref="A280:B280"/>
    <mergeCell ref="A282:B282"/>
    <mergeCell ref="A283:B283"/>
    <mergeCell ref="A265:B265"/>
    <mergeCell ref="A275:B275"/>
    <mergeCell ref="A279:B279"/>
    <mergeCell ref="A257:B257"/>
    <mergeCell ref="A107:B107"/>
    <mergeCell ref="A108:B108"/>
    <mergeCell ref="A109:B109"/>
    <mergeCell ref="A141:C141"/>
    <mergeCell ref="A134:B134"/>
    <mergeCell ref="F9:I10"/>
    <mergeCell ref="A47:C47"/>
    <mergeCell ref="A112:C112"/>
    <mergeCell ref="A118:B118"/>
    <mergeCell ref="A117:B117"/>
    <mergeCell ref="B9:C10"/>
    <mergeCell ref="B11:C12"/>
    <mergeCell ref="A92:B92"/>
    <mergeCell ref="A93:B93"/>
    <mergeCell ref="A53:B53"/>
    <mergeCell ref="A48:B48"/>
    <mergeCell ref="A49:B49"/>
    <mergeCell ref="A98:B98"/>
    <mergeCell ref="A94:B94"/>
    <mergeCell ref="A95:B95"/>
    <mergeCell ref="A50:B50"/>
    <mergeCell ref="A51:B51"/>
    <mergeCell ref="A52:B52"/>
    <mergeCell ref="A62:B62"/>
    <mergeCell ref="A57:B57"/>
    <mergeCell ref="A99:B99"/>
    <mergeCell ref="A100:B100"/>
    <mergeCell ref="A102:B102"/>
    <mergeCell ref="A101:B101"/>
  </mergeCells>
  <phoneticPr fontId="25" type="noConversion"/>
  <dataValidations xWindow="530" yWindow="152" count="6">
    <dataValidation type="textLength" operator="lessThan" allowBlank="1" showInputMessage="1" showErrorMessage="1" errorTitle="PROTEGIDO" error="Celda bloqueada............_x000a_Presione ESC para continuar!" sqref="L375:L65536 L1:L373">
      <formula1>0</formula1>
    </dataValidation>
    <dataValidation type="whole" errorStyle="information" allowBlank="1" showInputMessage="1" showErrorMessage="1" errorTitle="PROTEGIDO" error="Precione ESC para continuar" promptTitle="PROTEGUIDO" sqref="C310:K373 C307:K308 C375:K65536 D1:E2 C1:C3 F1:K3 S1:IV1048576">
      <formula1>9999</formula1>
      <formula2>9999</formula2>
    </dataValidation>
    <dataValidation type="textLength" operator="lessThan" allowBlank="1" showInputMessage="1" showErrorMessage="1" errorTitle="PROTEGIDO" error="Celda bloqueada.........._x000a_Presione ESC para continuar" sqref="B375:B65536 B307:B308 B310:B373 B13 B1:B3 B5">
      <formula1>0</formula1>
    </dataValidation>
    <dataValidation type="textLength" operator="lessThan" allowBlank="1" showInputMessage="1" showErrorMessage="1" errorTitle="PROTEGIDO" error="Celda bloqueada..............._x000a_Presione ESC para continuar" sqref="A375:A65536 A307:A373 A13 A11 A1:A3 A5">
      <formula1>0</formula1>
    </dataValidation>
    <dataValidation operator="lessThan" allowBlank="1" showInputMessage="1" showErrorMessage="1" errorTitle="PROTEGIDO" error="Celda bloqueada..............._x000a_Presione ESC para continuar" sqref="A122:K131 B97:B102 B121 K107:K111 C15:K102 J105:K106 D103:K104 A107:C111 D105:I111 A112:K112 K113:K121 A113:A121 A15:A106 B16:B91 B277:B278 B142:B186 J132:K132 K133 C142:C279 A142:A279 D134:K279 A134:C141 B190:B273 A132:I133 A280:K280 C113:I121 A302:D306 E296:E301 F301:K306 A281:A295 B290:B295 J281:K300 A298 F296:I300 C281:I295 D301"/>
    <dataValidation type="whole" allowBlank="1" showInputMessage="1" showErrorMessage="1" errorTitle="PROTEGIDO" error="No modifique esta celda....._x000a_Precione ESC para continuar" promptTitle="PROTEGUIDO" sqref="C5:K5 J11:K13 C13:I13 D11:I11">
      <formula1>9999</formula1>
      <formula2>9999</formula2>
    </dataValidation>
  </dataValidations>
  <pageMargins left="0.23622047244094491" right="0.35433070866141736" top="0.74803149606299213" bottom="0.78740157480314965" header="0" footer="0.51181102362204722"/>
  <pageSetup paperSize="9" scale="95" orientation="portrait" r:id="rId1"/>
  <headerFooter alignWithMargins="0">
    <oddFooter>&amp;LROLANDO A.&amp;C&amp;"Arial,Negrita"FAMOC DEPANEL Confidencial&amp;RPágina 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M1069"/>
  <sheetViews>
    <sheetView showGridLines="0" showZeros="0" zoomScaleNormal="130" workbookViewId="0">
      <selection activeCell="I1" sqref="I1"/>
    </sheetView>
  </sheetViews>
  <sheetFormatPr baseColWidth="10" defaultColWidth="0" defaultRowHeight="12.75" zeroHeight="1" x14ac:dyDescent="0.2"/>
  <cols>
    <col min="1" max="2" width="24.7109375" customWidth="1"/>
    <col min="3" max="3" width="18.7109375" customWidth="1"/>
    <col min="4" max="4" width="7.7109375" customWidth="1"/>
    <col min="5" max="5" width="5.7109375" customWidth="1"/>
    <col min="6" max="9" width="4.28515625" customWidth="1"/>
    <col min="10" max="10" width="15" hidden="1" customWidth="1"/>
    <col min="11" max="11" width="14.140625" hidden="1" customWidth="1"/>
    <col min="12" max="12" width="5" style="87" customWidth="1"/>
    <col min="13" max="13" width="0.5703125" customWidth="1"/>
  </cols>
  <sheetData>
    <row r="1" spans="1:13" ht="31.5" customHeight="1" x14ac:dyDescent="0.2">
      <c r="A1" s="84"/>
      <c r="B1" s="85"/>
      <c r="C1" s="85"/>
      <c r="D1" s="86"/>
      <c r="E1" s="85"/>
      <c r="F1" s="104"/>
      <c r="G1" s="104"/>
      <c r="H1" s="104"/>
      <c r="I1" s="104"/>
      <c r="J1" s="104"/>
      <c r="K1" s="104"/>
      <c r="L1" s="87">
        <v>1</v>
      </c>
      <c r="M1" s="85"/>
    </row>
    <row r="2" spans="1:13" ht="12.75" customHeight="1" x14ac:dyDescent="0.2">
      <c r="A2" s="84"/>
      <c r="B2" s="85"/>
      <c r="C2" s="85"/>
      <c r="D2" s="86"/>
      <c r="E2" s="85"/>
      <c r="F2" s="104"/>
      <c r="G2" s="104"/>
      <c r="H2" s="104"/>
      <c r="I2" s="104"/>
      <c r="J2" s="104"/>
      <c r="K2" s="104"/>
      <c r="L2" s="87">
        <v>1</v>
      </c>
      <c r="M2" s="85"/>
    </row>
    <row r="3" spans="1:13" ht="15.75" x14ac:dyDescent="0.25">
      <c r="A3" s="84"/>
      <c r="B3" s="85"/>
      <c r="C3" s="1672" t="s">
        <v>1044</v>
      </c>
      <c r="D3" s="1672"/>
      <c r="E3" s="1672"/>
      <c r="F3" s="104"/>
      <c r="G3" s="104"/>
      <c r="H3" s="104"/>
      <c r="I3" s="104"/>
      <c r="J3" s="104"/>
      <c r="K3" s="104"/>
      <c r="L3" s="87">
        <v>1</v>
      </c>
      <c r="M3" s="85"/>
    </row>
    <row r="4" spans="1:13" ht="49.5" customHeight="1" x14ac:dyDescent="0.5">
      <c r="A4" s="1673">
        <f>+'5 ALMACEN '!D2</f>
        <v>0</v>
      </c>
      <c r="B4" s="1673"/>
      <c r="C4" s="1673"/>
      <c r="D4" s="1673"/>
      <c r="E4" s="1676">
        <f>+'5 ALMACEN '!W1</f>
        <v>0</v>
      </c>
      <c r="F4" s="1676"/>
      <c r="G4" s="1676"/>
      <c r="H4" s="1676"/>
      <c r="I4" s="1676"/>
      <c r="J4" s="671"/>
      <c r="K4" s="671"/>
      <c r="L4" s="87">
        <v>1</v>
      </c>
      <c r="M4" s="671"/>
    </row>
    <row r="5" spans="1:13" ht="3.75" customHeight="1" x14ac:dyDescent="0.2">
      <c r="A5" s="84"/>
      <c r="B5" s="85"/>
      <c r="C5" s="85"/>
      <c r="D5" s="86"/>
      <c r="E5" s="85"/>
      <c r="F5" s="104"/>
      <c r="G5" s="104"/>
      <c r="H5" s="104"/>
      <c r="I5" s="104"/>
      <c r="J5" s="104"/>
      <c r="K5" s="104"/>
      <c r="L5" s="87">
        <v>1</v>
      </c>
      <c r="M5" s="85"/>
    </row>
    <row r="6" spans="1:13" ht="15" x14ac:dyDescent="0.25">
      <c r="A6" s="587" t="s">
        <v>107</v>
      </c>
      <c r="B6" s="1647">
        <f>+'5 ALMACEN '!S2</f>
        <v>0</v>
      </c>
      <c r="C6" s="1647"/>
      <c r="D6" s="1647"/>
      <c r="E6" s="1647"/>
      <c r="F6" s="1647"/>
      <c r="G6" s="1647"/>
      <c r="H6" s="1647"/>
      <c r="I6" s="1647"/>
      <c r="J6" s="719"/>
      <c r="K6" s="719"/>
      <c r="L6" s="87">
        <v>1</v>
      </c>
      <c r="M6" s="572"/>
    </row>
    <row r="7" spans="1:13" ht="3.75" customHeight="1" x14ac:dyDescent="0.25">
      <c r="A7" s="587"/>
      <c r="B7" s="1652">
        <f>+PRODUCCION!B7</f>
        <v>0</v>
      </c>
      <c r="C7" s="1652"/>
      <c r="D7" s="572"/>
      <c r="E7" s="710"/>
      <c r="F7" s="551"/>
      <c r="G7" s="551"/>
      <c r="H7" s="551"/>
      <c r="I7" s="551"/>
      <c r="J7" s="551"/>
      <c r="K7" s="551"/>
      <c r="L7" s="87">
        <v>1</v>
      </c>
      <c r="M7" s="551"/>
    </row>
    <row r="8" spans="1:13" ht="15" x14ac:dyDescent="0.25">
      <c r="A8" s="587" t="s">
        <v>1031</v>
      </c>
      <c r="B8" s="1653"/>
      <c r="C8" s="1653"/>
      <c r="D8" s="1674" t="s">
        <v>1030</v>
      </c>
      <c r="E8" s="1674"/>
      <c r="F8" s="1670">
        <f ca="1">NOW()</f>
        <v>43392.497064930554</v>
      </c>
      <c r="G8" s="1670"/>
      <c r="H8" s="1670"/>
      <c r="I8" s="1670"/>
      <c r="J8" s="719"/>
      <c r="K8" s="719"/>
      <c r="L8" s="87">
        <v>1</v>
      </c>
      <c r="M8" s="672"/>
    </row>
    <row r="9" spans="1:13" ht="3.75" customHeight="1" x14ac:dyDescent="0.25">
      <c r="A9" s="587"/>
      <c r="B9" s="1652">
        <f>+PRODUCCION!B9</f>
        <v>0</v>
      </c>
      <c r="C9" s="1652"/>
      <c r="D9" s="572"/>
      <c r="E9" s="710"/>
      <c r="F9" s="551"/>
      <c r="G9" s="551"/>
      <c r="H9" s="551"/>
      <c r="I9" s="551"/>
      <c r="J9" s="551"/>
      <c r="K9" s="551"/>
      <c r="L9" s="87">
        <v>1</v>
      </c>
      <c r="M9" s="551"/>
    </row>
    <row r="10" spans="1:13" ht="15" x14ac:dyDescent="0.25">
      <c r="A10" s="585" t="s">
        <v>1032</v>
      </c>
      <c r="B10" s="1653"/>
      <c r="C10" s="1653"/>
      <c r="D10" s="1674" t="s">
        <v>1033</v>
      </c>
      <c r="E10" s="1674"/>
      <c r="F10" s="1647">
        <f>+PRODUCCION!F9</f>
        <v>0</v>
      </c>
      <c r="G10" s="1647"/>
      <c r="H10" s="1647"/>
      <c r="I10" s="1647"/>
      <c r="J10" s="572"/>
      <c r="K10" s="572"/>
      <c r="L10" s="87">
        <v>1</v>
      </c>
      <c r="M10" s="586"/>
    </row>
    <row r="11" spans="1:13" ht="3.75" customHeight="1" x14ac:dyDescent="0.2">
      <c r="A11" s="575"/>
      <c r="B11" s="1654">
        <f>+PRODUCCION!B11</f>
        <v>0</v>
      </c>
      <c r="C11" s="1654"/>
      <c r="D11" s="588"/>
      <c r="E11" s="577"/>
      <c r="F11" s="104"/>
      <c r="G11" s="104"/>
      <c r="H11" s="104"/>
      <c r="I11" s="104"/>
      <c r="J11" s="104"/>
      <c r="K11" s="104"/>
      <c r="L11" s="87">
        <v>1</v>
      </c>
    </row>
    <row r="12" spans="1:13" ht="15" customHeight="1" x14ac:dyDescent="0.2">
      <c r="A12" s="784" t="s">
        <v>235</v>
      </c>
      <c r="B12" s="1655"/>
      <c r="C12" s="1655"/>
      <c r="D12" s="778"/>
      <c r="E12" s="778"/>
      <c r="F12" s="778"/>
      <c r="G12" s="104"/>
      <c r="H12" s="104"/>
      <c r="I12" s="104"/>
      <c r="J12" s="104"/>
      <c r="K12" s="104"/>
      <c r="L12" s="87">
        <v>1</v>
      </c>
    </row>
    <row r="13" spans="1:13" ht="3.75" customHeight="1" x14ac:dyDescent="0.2">
      <c r="A13" s="575"/>
      <c r="B13" s="577"/>
      <c r="C13" s="577"/>
      <c r="D13" s="588"/>
      <c r="E13" s="577"/>
      <c r="F13" s="104"/>
      <c r="G13" s="104"/>
      <c r="H13" s="104"/>
      <c r="I13" s="104"/>
      <c r="J13" s="104"/>
      <c r="K13" s="104"/>
      <c r="L13" s="87">
        <v>1</v>
      </c>
    </row>
    <row r="14" spans="1:13" ht="21" thickBot="1" x14ac:dyDescent="0.35">
      <c r="A14" s="1685" t="s">
        <v>804</v>
      </c>
      <c r="B14" s="1685"/>
      <c r="C14" s="1685"/>
      <c r="D14" s="1685"/>
      <c r="E14" s="1685"/>
      <c r="F14" s="1685"/>
      <c r="G14" s="1685"/>
      <c r="H14" s="1685"/>
      <c r="I14" s="1685"/>
      <c r="J14" s="578"/>
      <c r="K14" s="578"/>
      <c r="L14" s="87">
        <v>1</v>
      </c>
    </row>
    <row r="15" spans="1:13" ht="13.5" thickBot="1" x14ac:dyDescent="0.25">
      <c r="A15" s="1678" t="s">
        <v>1</v>
      </c>
      <c r="B15" s="1679"/>
      <c r="C15" s="1215" t="s">
        <v>108</v>
      </c>
      <c r="D15" s="1216" t="s">
        <v>45</v>
      </c>
      <c r="E15" s="1215" t="s">
        <v>109</v>
      </c>
      <c r="F15" s="1214" t="s">
        <v>984</v>
      </c>
      <c r="G15" s="1214" t="s">
        <v>985</v>
      </c>
      <c r="H15" s="1214" t="s">
        <v>1028</v>
      </c>
      <c r="I15" s="1215" t="s">
        <v>1029</v>
      </c>
      <c r="J15" s="88" t="s">
        <v>1046</v>
      </c>
      <c r="K15" s="88" t="s">
        <v>1045</v>
      </c>
      <c r="L15" s="87">
        <v>1</v>
      </c>
    </row>
    <row r="16" spans="1:13" x14ac:dyDescent="0.2">
      <c r="A16" s="90" t="str">
        <f>+P.T.Nueva!A781</f>
        <v>Zocalo</v>
      </c>
      <c r="B16" s="94">
        <f>+P.T.Nueva!B781</f>
        <v>0.28000000000000003</v>
      </c>
      <c r="C16" s="92"/>
      <c r="D16" s="579">
        <f>+P.T.Nueva!C781</f>
        <v>0</v>
      </c>
      <c r="E16" s="93" t="s">
        <v>998</v>
      </c>
      <c r="F16" s="670"/>
      <c r="G16" s="670"/>
      <c r="H16" s="670"/>
      <c r="I16" s="670"/>
      <c r="J16" s="721"/>
      <c r="K16" s="721">
        <f t="shared" ref="K16:K22" si="0">+J16*D16</f>
        <v>0</v>
      </c>
      <c r="L16" s="89">
        <f t="shared" ref="L16:L23" si="1">IF(D16&gt;0,1,0)</f>
        <v>0</v>
      </c>
    </row>
    <row r="17" spans="1:12" x14ac:dyDescent="0.2">
      <c r="A17" s="90" t="str">
        <f>+P.T.Nueva!A782</f>
        <v>Zocalo</v>
      </c>
      <c r="B17" s="94">
        <f>+P.T.Nueva!B782</f>
        <v>0.56000000000000005</v>
      </c>
      <c r="C17" s="92"/>
      <c r="D17" s="579">
        <f>+P.T.Nueva!C782</f>
        <v>0</v>
      </c>
      <c r="E17" s="93" t="s">
        <v>998</v>
      </c>
      <c r="F17" s="670"/>
      <c r="G17" s="670"/>
      <c r="H17" s="670"/>
      <c r="I17" s="670"/>
      <c r="J17" s="721"/>
      <c r="K17" s="721">
        <f t="shared" si="0"/>
        <v>0</v>
      </c>
      <c r="L17" s="89">
        <f t="shared" si="1"/>
        <v>0</v>
      </c>
    </row>
    <row r="18" spans="1:12" x14ac:dyDescent="0.2">
      <c r="A18" s="90" t="str">
        <f>+P.T.Nueva!A783</f>
        <v>Zocalo</v>
      </c>
      <c r="B18" s="94">
        <f>+P.T.Nueva!B783</f>
        <v>0.7</v>
      </c>
      <c r="C18" s="92"/>
      <c r="D18" s="579">
        <f>+P.T.Nueva!C783</f>
        <v>0</v>
      </c>
      <c r="E18" s="93" t="s">
        <v>998</v>
      </c>
      <c r="F18" s="670"/>
      <c r="G18" s="670"/>
      <c r="H18" s="670"/>
      <c r="I18" s="670"/>
      <c r="J18" s="721"/>
      <c r="K18" s="721">
        <f t="shared" si="0"/>
        <v>0</v>
      </c>
      <c r="L18" s="89">
        <f t="shared" si="1"/>
        <v>0</v>
      </c>
    </row>
    <row r="19" spans="1:12" x14ac:dyDescent="0.2">
      <c r="A19" s="90" t="str">
        <f>+P.T.Nueva!A784</f>
        <v>Zocalo</v>
      </c>
      <c r="B19" s="94">
        <f>+P.T.Nueva!B784</f>
        <v>0.84</v>
      </c>
      <c r="C19" s="92"/>
      <c r="D19" s="579">
        <f>+P.T.Nueva!C784</f>
        <v>0</v>
      </c>
      <c r="E19" s="93" t="s">
        <v>998</v>
      </c>
      <c r="F19" s="670"/>
      <c r="G19" s="670"/>
      <c r="H19" s="670"/>
      <c r="I19" s="670"/>
      <c r="J19" s="721"/>
      <c r="K19" s="721">
        <f t="shared" si="0"/>
        <v>0</v>
      </c>
      <c r="L19" s="89">
        <f t="shared" si="1"/>
        <v>0</v>
      </c>
    </row>
    <row r="20" spans="1:12" x14ac:dyDescent="0.2">
      <c r="A20" s="90" t="str">
        <f>+P.T.Nueva!A785</f>
        <v>Zocalo</v>
      </c>
      <c r="B20" s="94">
        <f>+P.T.Nueva!B785</f>
        <v>1.1200000000000001</v>
      </c>
      <c r="C20" s="92"/>
      <c r="D20" s="579">
        <f>+P.T.Nueva!C785</f>
        <v>0</v>
      </c>
      <c r="E20" s="93" t="s">
        <v>998</v>
      </c>
      <c r="F20" s="670"/>
      <c r="G20" s="670"/>
      <c r="H20" s="670"/>
      <c r="I20" s="670"/>
      <c r="J20" s="721"/>
      <c r="K20" s="721">
        <f t="shared" si="0"/>
        <v>0</v>
      </c>
      <c r="L20" s="89">
        <f t="shared" si="1"/>
        <v>0</v>
      </c>
    </row>
    <row r="21" spans="1:12" x14ac:dyDescent="0.2">
      <c r="A21" s="90" t="str">
        <f>+P.T.Nueva!A786</f>
        <v>Zocalo</v>
      </c>
      <c r="B21" s="94">
        <f>+P.T.Nueva!B786</f>
        <v>1.4</v>
      </c>
      <c r="C21" s="92"/>
      <c r="D21" s="579">
        <f>+P.T.Nueva!C786</f>
        <v>0</v>
      </c>
      <c r="E21" s="93" t="s">
        <v>998</v>
      </c>
      <c r="F21" s="670"/>
      <c r="G21" s="670"/>
      <c r="H21" s="670"/>
      <c r="I21" s="670"/>
      <c r="J21" s="721"/>
      <c r="K21" s="721">
        <f t="shared" si="0"/>
        <v>0</v>
      </c>
      <c r="L21" s="89">
        <f t="shared" si="1"/>
        <v>0</v>
      </c>
    </row>
    <row r="22" spans="1:12" x14ac:dyDescent="0.2">
      <c r="A22" s="97" t="str">
        <f>+P.T.Nueva!A787</f>
        <v>Zocalo R - 60</v>
      </c>
      <c r="B22" s="536"/>
      <c r="C22" s="533"/>
      <c r="D22" s="580">
        <f>+P.T.Nueva!C787</f>
        <v>0</v>
      </c>
      <c r="E22" s="93" t="s">
        <v>998</v>
      </c>
      <c r="F22" s="670"/>
      <c r="G22" s="670"/>
      <c r="H22" s="670"/>
      <c r="I22" s="670"/>
      <c r="J22" s="721"/>
      <c r="K22" s="721">
        <f t="shared" si="0"/>
        <v>0</v>
      </c>
      <c r="L22" s="89">
        <f t="shared" si="1"/>
        <v>0</v>
      </c>
    </row>
    <row r="23" spans="1:12" x14ac:dyDescent="0.2">
      <c r="A23" s="1648" t="str">
        <f>CONCATENATE("DUCTOS ALTURA"," ",+'5 ALMACEN '!L5,)</f>
        <v>DUCTOS ALTURA 0</v>
      </c>
      <c r="B23" s="1648"/>
      <c r="C23" s="549"/>
      <c r="D23" s="1172">
        <f>SUM(D24:D188)</f>
        <v>0</v>
      </c>
      <c r="E23" s="1010"/>
      <c r="F23" s="673"/>
      <c r="G23" s="673"/>
      <c r="H23" s="673"/>
      <c r="I23" s="673"/>
      <c r="J23" s="722"/>
      <c r="K23" s="722"/>
      <c r="L23" s="89">
        <f t="shared" si="1"/>
        <v>0</v>
      </c>
    </row>
    <row r="24" spans="1:12" x14ac:dyDescent="0.2">
      <c r="A24" s="1656" t="s">
        <v>853</v>
      </c>
      <c r="B24" s="1658"/>
      <c r="C24" s="940">
        <f>IF('5 ALMACEN '!$AB$1="x","CALIBRE 22",0)</f>
        <v>0</v>
      </c>
      <c r="D24" s="546">
        <f>SUMIF(FORMULAS!$BG$64:$ET$64,8,FORMULAS!$BG$65:$ET$65)</f>
        <v>0</v>
      </c>
      <c r="E24" s="939" t="str">
        <f>IF('5 ALMACEN '!$AB$1="X","PAR","UND")</f>
        <v>UND</v>
      </c>
      <c r="F24" s="670"/>
      <c r="G24" s="670"/>
      <c r="H24" s="670"/>
      <c r="I24" s="670"/>
      <c r="J24" s="721"/>
      <c r="K24" s="721">
        <f t="shared" ref="K24:K43" si="2">+J24*D24</f>
        <v>0</v>
      </c>
      <c r="L24" s="89">
        <f t="shared" ref="L24:L87" si="3">IF(D24&gt;0,1,0)</f>
        <v>0</v>
      </c>
    </row>
    <row r="25" spans="1:12" x14ac:dyDescent="0.2">
      <c r="A25" s="1656" t="s">
        <v>854</v>
      </c>
      <c r="B25" s="1658"/>
      <c r="C25" s="940">
        <f>IF('5 ALMACEN '!$AB$1="x","CALIBRE 22",0)</f>
        <v>0</v>
      </c>
      <c r="D25" s="546">
        <f>SUMIF(FORMULAS!$BG$64:$ET$64,9,FORMULAS!$BG$65:$ET$65)</f>
        <v>0</v>
      </c>
      <c r="E25" s="939" t="str">
        <f>IF('5 ALMACEN '!$AB$1="X","PAR","UND")</f>
        <v>UND</v>
      </c>
      <c r="F25" s="670"/>
      <c r="G25" s="670"/>
      <c r="H25" s="670"/>
      <c r="I25" s="670"/>
      <c r="J25" s="721"/>
      <c r="K25" s="721">
        <f t="shared" si="2"/>
        <v>0</v>
      </c>
      <c r="L25" s="89">
        <f t="shared" si="3"/>
        <v>0</v>
      </c>
    </row>
    <row r="26" spans="1:12" x14ac:dyDescent="0.2">
      <c r="A26" s="1656" t="s">
        <v>855</v>
      </c>
      <c r="B26" s="1658"/>
      <c r="C26" s="940">
        <f>IF('5 ALMACEN '!$AB$1="x","CALIBRE 22",0)</f>
        <v>0</v>
      </c>
      <c r="D26" s="546">
        <f>SUMIF(FORMULAS!$BG$64:$ET$64,10,FORMULAS!$BG$65:$ET$65)</f>
        <v>0</v>
      </c>
      <c r="E26" s="939" t="str">
        <f>IF('5 ALMACEN '!$AB$1="X","PAR","UND")</f>
        <v>UND</v>
      </c>
      <c r="F26" s="670"/>
      <c r="G26" s="670"/>
      <c r="H26" s="670"/>
      <c r="I26" s="670"/>
      <c r="J26" s="721"/>
      <c r="K26" s="721">
        <f t="shared" si="2"/>
        <v>0</v>
      </c>
      <c r="L26" s="89">
        <f t="shared" si="3"/>
        <v>0</v>
      </c>
    </row>
    <row r="27" spans="1:12" x14ac:dyDescent="0.2">
      <c r="A27" s="1656" t="s">
        <v>856</v>
      </c>
      <c r="B27" s="1658"/>
      <c r="C27" s="940">
        <f>IF('5 ALMACEN '!$AB$1="x","CALIBRE 22",0)</f>
        <v>0</v>
      </c>
      <c r="D27" s="546">
        <f>SUMIF(FORMULAS!$BG$64:$ET$64,11,FORMULAS!$BG$65:$ET$65)</f>
        <v>0</v>
      </c>
      <c r="E27" s="939" t="str">
        <f>IF('5 ALMACEN '!$AB$1="X","PAR","UND")</f>
        <v>UND</v>
      </c>
      <c r="F27" s="670"/>
      <c r="G27" s="670"/>
      <c r="H27" s="670"/>
      <c r="I27" s="670"/>
      <c r="J27" s="721"/>
      <c r="K27" s="721">
        <f t="shared" si="2"/>
        <v>0</v>
      </c>
      <c r="L27" s="89">
        <f t="shared" si="3"/>
        <v>0</v>
      </c>
    </row>
    <row r="28" spans="1:12" x14ac:dyDescent="0.2">
      <c r="A28" s="1656" t="s">
        <v>857</v>
      </c>
      <c r="B28" s="1658"/>
      <c r="C28" s="940">
        <f>IF('5 ALMACEN '!$AB$1="x","CALIBRE 22",0)</f>
        <v>0</v>
      </c>
      <c r="D28" s="546">
        <f>SUMIF(FORMULAS!$BG$64:$ET$64,12,FORMULAS!$BG$65:$ET$65)</f>
        <v>0</v>
      </c>
      <c r="E28" s="939" t="str">
        <f>IF('5 ALMACEN '!$AB$1="X","PAR","UND")</f>
        <v>UND</v>
      </c>
      <c r="F28" s="670"/>
      <c r="G28" s="670"/>
      <c r="H28" s="670"/>
      <c r="I28" s="670"/>
      <c r="J28" s="721"/>
      <c r="K28" s="721">
        <f t="shared" si="2"/>
        <v>0</v>
      </c>
      <c r="L28" s="89">
        <f t="shared" si="3"/>
        <v>0</v>
      </c>
    </row>
    <row r="29" spans="1:12" x14ac:dyDescent="0.2">
      <c r="A29" s="1656" t="s">
        <v>839</v>
      </c>
      <c r="B29" s="1658"/>
      <c r="C29" s="940"/>
      <c r="D29" s="546">
        <f>SUMIF(FORMULAS!$BG$64:$ET$64,13,FORMULAS!$BG$65:$ET$65)</f>
        <v>0</v>
      </c>
      <c r="E29" s="939" t="str">
        <f>IF('5 ALMACEN '!$AB$1="X","PAR","UND")</f>
        <v>UND</v>
      </c>
      <c r="F29" s="670"/>
      <c r="G29" s="670"/>
      <c r="H29" s="670"/>
      <c r="I29" s="670"/>
      <c r="J29" s="721"/>
      <c r="K29" s="721">
        <f t="shared" si="2"/>
        <v>0</v>
      </c>
      <c r="L29" s="89">
        <f t="shared" si="3"/>
        <v>0</v>
      </c>
    </row>
    <row r="30" spans="1:12" x14ac:dyDescent="0.2">
      <c r="A30" s="1656" t="s">
        <v>840</v>
      </c>
      <c r="B30" s="1658"/>
      <c r="C30" s="940"/>
      <c r="D30" s="546">
        <f>SUMIF(FORMULAS!$BG$64:$ET$64,14,FORMULAS!$BG$65:$ET$65)</f>
        <v>0</v>
      </c>
      <c r="E30" s="939" t="str">
        <f>IF('5 ALMACEN '!$AB$1="X","PAR","UND")</f>
        <v>UND</v>
      </c>
      <c r="F30" s="670"/>
      <c r="G30" s="670"/>
      <c r="H30" s="670"/>
      <c r="I30" s="670"/>
      <c r="J30" s="721"/>
      <c r="K30" s="721">
        <f t="shared" si="2"/>
        <v>0</v>
      </c>
      <c r="L30" s="89">
        <f t="shared" si="3"/>
        <v>0</v>
      </c>
    </row>
    <row r="31" spans="1:12" x14ac:dyDescent="0.2">
      <c r="A31" s="1656" t="s">
        <v>841</v>
      </c>
      <c r="B31" s="1658"/>
      <c r="C31" s="940"/>
      <c r="D31" s="546">
        <f>SUMIF(FORMULAS!$BG$64:$ET$64,15,FORMULAS!$BG$65:$ET$65)</f>
        <v>0</v>
      </c>
      <c r="E31" s="939" t="str">
        <f>IF('5 ALMACEN '!$AB$1="X","PAR","UND")</f>
        <v>UND</v>
      </c>
      <c r="F31" s="670"/>
      <c r="G31" s="670"/>
      <c r="H31" s="670"/>
      <c r="I31" s="670"/>
      <c r="J31" s="721"/>
      <c r="K31" s="721">
        <f t="shared" si="2"/>
        <v>0</v>
      </c>
      <c r="L31" s="89">
        <f t="shared" si="3"/>
        <v>0</v>
      </c>
    </row>
    <row r="32" spans="1:12" x14ac:dyDescent="0.2">
      <c r="A32" s="1656" t="s">
        <v>842</v>
      </c>
      <c r="B32" s="1658"/>
      <c r="C32" s="940"/>
      <c r="D32" s="546">
        <f>SUMIF(FORMULAS!$BG$64:$ET$64,16,FORMULAS!$BG$65:$ET$65)</f>
        <v>0</v>
      </c>
      <c r="E32" s="939" t="str">
        <f>IF('5 ALMACEN '!$AB$1="X","PAR","UND")</f>
        <v>UND</v>
      </c>
      <c r="F32" s="670"/>
      <c r="G32" s="670"/>
      <c r="H32" s="670"/>
      <c r="I32" s="670"/>
      <c r="J32" s="721"/>
      <c r="K32" s="721">
        <f t="shared" si="2"/>
        <v>0</v>
      </c>
      <c r="L32" s="89">
        <f t="shared" si="3"/>
        <v>0</v>
      </c>
    </row>
    <row r="33" spans="1:12" x14ac:dyDescent="0.2">
      <c r="A33" s="1656" t="s">
        <v>843</v>
      </c>
      <c r="B33" s="1658"/>
      <c r="C33" s="940"/>
      <c r="D33" s="546">
        <f>SUMIF(FORMULAS!$BG$64:$ET$64,17,FORMULAS!$BG$65:$ET$65)</f>
        <v>0</v>
      </c>
      <c r="E33" s="939" t="str">
        <f>IF('5 ALMACEN '!$AB$1="X","PAR","UND")</f>
        <v>UND</v>
      </c>
      <c r="F33" s="670"/>
      <c r="G33" s="670"/>
      <c r="H33" s="670"/>
      <c r="I33" s="670"/>
      <c r="J33" s="721"/>
      <c r="K33" s="721">
        <f t="shared" si="2"/>
        <v>0</v>
      </c>
      <c r="L33" s="89">
        <f t="shared" si="3"/>
        <v>0</v>
      </c>
    </row>
    <row r="34" spans="1:12" x14ac:dyDescent="0.2">
      <c r="A34" s="1656" t="s">
        <v>844</v>
      </c>
      <c r="B34" s="1658"/>
      <c r="C34" s="940">
        <f>IF('5 ALMACEN '!$AB$1="x","CALIBRE 22",0)</f>
        <v>0</v>
      </c>
      <c r="D34" s="546">
        <f>SUMIF(FORMULAS!$BG$64:$ET$64,18,FORMULAS!$BG$65:$ET$65)</f>
        <v>0</v>
      </c>
      <c r="E34" s="939" t="str">
        <f>IF('5 ALMACEN '!$AB$1="X","PAR","UND")</f>
        <v>UND</v>
      </c>
      <c r="F34" s="670"/>
      <c r="G34" s="670"/>
      <c r="H34" s="670"/>
      <c r="I34" s="670"/>
      <c r="J34" s="721"/>
      <c r="K34" s="721">
        <f t="shared" si="2"/>
        <v>0</v>
      </c>
      <c r="L34" s="89">
        <f t="shared" si="3"/>
        <v>0</v>
      </c>
    </row>
    <row r="35" spans="1:12" x14ac:dyDescent="0.2">
      <c r="A35" s="1656" t="s">
        <v>845</v>
      </c>
      <c r="B35" s="1658"/>
      <c r="C35" s="940">
        <f>IF('5 ALMACEN '!$AB$1="x","CALIBRE 22",0)</f>
        <v>0</v>
      </c>
      <c r="D35" s="546">
        <f>SUMIF(FORMULAS!$BG$64:$ET$64,19,FORMULAS!$BG$65:$ET$65)</f>
        <v>0</v>
      </c>
      <c r="E35" s="939" t="str">
        <f>IF('5 ALMACEN '!$AB$1="X","PAR","UND")</f>
        <v>UND</v>
      </c>
      <c r="F35" s="670"/>
      <c r="G35" s="670"/>
      <c r="H35" s="670"/>
      <c r="I35" s="670"/>
      <c r="J35" s="721"/>
      <c r="K35" s="721">
        <f t="shared" si="2"/>
        <v>0</v>
      </c>
      <c r="L35" s="89">
        <f t="shared" si="3"/>
        <v>0</v>
      </c>
    </row>
    <row r="36" spans="1:12" x14ac:dyDescent="0.2">
      <c r="A36" s="1656" t="s">
        <v>846</v>
      </c>
      <c r="B36" s="1658"/>
      <c r="C36" s="940">
        <f>IF('5 ALMACEN '!$AB$1="x","CALIBRE 22",0)</f>
        <v>0</v>
      </c>
      <c r="D36" s="546">
        <f>SUMIF(FORMULAS!$BG$64:$ET$64,20,FORMULAS!$BG$65:$ET$65)</f>
        <v>0</v>
      </c>
      <c r="E36" s="939" t="str">
        <f>IF('5 ALMACEN '!$AB$1="X","PAR","UND")</f>
        <v>UND</v>
      </c>
      <c r="F36" s="670"/>
      <c r="G36" s="670"/>
      <c r="H36" s="670"/>
      <c r="I36" s="670"/>
      <c r="J36" s="721"/>
      <c r="K36" s="721">
        <f t="shared" si="2"/>
        <v>0</v>
      </c>
      <c r="L36" s="89">
        <f t="shared" si="3"/>
        <v>0</v>
      </c>
    </row>
    <row r="37" spans="1:12" x14ac:dyDescent="0.2">
      <c r="A37" s="1656" t="s">
        <v>847</v>
      </c>
      <c r="B37" s="1658"/>
      <c r="C37" s="940">
        <f>IF('5 ALMACEN '!$AB$1="x","CALIBRE 22",0)</f>
        <v>0</v>
      </c>
      <c r="D37" s="546">
        <f>SUMIF(FORMULAS!$BG$64:$ET$64,21,FORMULAS!$BG$65:$ET$65)</f>
        <v>0</v>
      </c>
      <c r="E37" s="939" t="str">
        <f>IF('5 ALMACEN '!$AB$1="X","PAR","UND")</f>
        <v>UND</v>
      </c>
      <c r="F37" s="670"/>
      <c r="G37" s="670"/>
      <c r="H37" s="670"/>
      <c r="I37" s="670"/>
      <c r="J37" s="721"/>
      <c r="K37" s="721">
        <f t="shared" si="2"/>
        <v>0</v>
      </c>
      <c r="L37" s="89">
        <f t="shared" si="3"/>
        <v>0</v>
      </c>
    </row>
    <row r="38" spans="1:12" x14ac:dyDescent="0.2">
      <c r="A38" s="1656" t="s">
        <v>848</v>
      </c>
      <c r="B38" s="1658"/>
      <c r="C38" s="940">
        <f>IF('5 ALMACEN '!$AB$1="x","CALIBRE 22",0)</f>
        <v>0</v>
      </c>
      <c r="D38" s="546">
        <f>SUMIF(FORMULAS!$BG$64:$ET$64,22,FORMULAS!$BG$65:$ET$65)</f>
        <v>0</v>
      </c>
      <c r="E38" s="939" t="str">
        <f>IF('5 ALMACEN '!$AB$1="X","PAR","UND")</f>
        <v>UND</v>
      </c>
      <c r="F38" s="670"/>
      <c r="G38" s="670"/>
      <c r="H38" s="670"/>
      <c r="I38" s="670"/>
      <c r="J38" s="721"/>
      <c r="K38" s="721">
        <f t="shared" si="2"/>
        <v>0</v>
      </c>
      <c r="L38" s="89">
        <f t="shared" si="3"/>
        <v>0</v>
      </c>
    </row>
    <row r="39" spans="1:12" x14ac:dyDescent="0.2">
      <c r="A39" s="1656" t="s">
        <v>849</v>
      </c>
      <c r="B39" s="1658"/>
      <c r="C39" s="940">
        <f>IF('5 ALMACEN '!$AB$1="x","CALIBRE 22",0)</f>
        <v>0</v>
      </c>
      <c r="D39" s="546">
        <f>SUMIF(FORMULAS!$BG$64:$ET$64,23,FORMULAS!$BG$65:$ET$65)</f>
        <v>0</v>
      </c>
      <c r="E39" s="939" t="str">
        <f>IF('5 ALMACEN '!$AB$1="X","PAR","UND")</f>
        <v>UND</v>
      </c>
      <c r="F39" s="670"/>
      <c r="G39" s="670"/>
      <c r="H39" s="670"/>
      <c r="I39" s="670"/>
      <c r="J39" s="721"/>
      <c r="K39" s="721">
        <f t="shared" si="2"/>
        <v>0</v>
      </c>
      <c r="L39" s="89">
        <f t="shared" si="3"/>
        <v>0</v>
      </c>
    </row>
    <row r="40" spans="1:12" x14ac:dyDescent="0.2">
      <c r="A40" s="1656" t="s">
        <v>850</v>
      </c>
      <c r="B40" s="1658"/>
      <c r="C40" s="940">
        <f>IF('5 ALMACEN '!$AB$1="x","CALIBRE 22",0)</f>
        <v>0</v>
      </c>
      <c r="D40" s="542">
        <f>SUMIF(FORMULAS!$BG$64:$ET$64,24,FORMULAS!$BG$65:$ET$65)</f>
        <v>0</v>
      </c>
      <c r="E40" s="939" t="str">
        <f>IF('5 ALMACEN '!$AB$1="X","PAR","UND")</f>
        <v>UND</v>
      </c>
      <c r="F40" s="670"/>
      <c r="G40" s="670"/>
      <c r="H40" s="670"/>
      <c r="I40" s="670"/>
      <c r="J40" s="721"/>
      <c r="K40" s="721">
        <f t="shared" si="2"/>
        <v>0</v>
      </c>
      <c r="L40" s="89">
        <f t="shared" si="3"/>
        <v>0</v>
      </c>
    </row>
    <row r="41" spans="1:12" x14ac:dyDescent="0.2">
      <c r="A41" s="1656" t="s">
        <v>851</v>
      </c>
      <c r="B41" s="1658"/>
      <c r="C41" s="940">
        <f>IF('5 ALMACEN '!$AB$1="x","CALIBRE 22",0)</f>
        <v>0</v>
      </c>
      <c r="D41" s="542">
        <f>SUMIF(FORMULAS!$BG$64:$ET$64,25,FORMULAS!$BG$65:$ET$65)</f>
        <v>0</v>
      </c>
      <c r="E41" s="939" t="str">
        <f>IF('5 ALMACEN '!$AB$1="X","PAR","UND")</f>
        <v>UND</v>
      </c>
      <c r="F41" s="670"/>
      <c r="G41" s="670"/>
      <c r="H41" s="670"/>
      <c r="I41" s="670"/>
      <c r="J41" s="721"/>
      <c r="K41" s="721">
        <f t="shared" si="2"/>
        <v>0</v>
      </c>
      <c r="L41" s="89">
        <f t="shared" si="3"/>
        <v>0</v>
      </c>
    </row>
    <row r="42" spans="1:12" x14ac:dyDescent="0.2">
      <c r="A42" s="1656" t="s">
        <v>852</v>
      </c>
      <c r="B42" s="1658"/>
      <c r="C42" s="940">
        <f>IF('5 ALMACEN '!$AB$1="x","CALIBRE 22",0)</f>
        <v>0</v>
      </c>
      <c r="D42" s="542">
        <f>SUMIF(FORMULAS!$BG$64:$ET$64,26,FORMULAS!$BG$65:$ET$65)</f>
        <v>0</v>
      </c>
      <c r="E42" s="939" t="str">
        <f>IF('5 ALMACEN '!$AB$1="X","PAR","UND")</f>
        <v>UND</v>
      </c>
      <c r="F42" s="670"/>
      <c r="G42" s="670"/>
      <c r="H42" s="670"/>
      <c r="I42" s="670"/>
      <c r="J42" s="721"/>
      <c r="K42" s="721">
        <f t="shared" si="2"/>
        <v>0</v>
      </c>
      <c r="L42" s="89">
        <f t="shared" si="3"/>
        <v>0</v>
      </c>
    </row>
    <row r="43" spans="1:12" x14ac:dyDescent="0.2">
      <c r="A43" s="1656" t="s">
        <v>838</v>
      </c>
      <c r="B43" s="1658"/>
      <c r="C43" s="940">
        <f>IF('5 ALMACEN '!$AB$1="x","CALIBRE 22",0)</f>
        <v>0</v>
      </c>
      <c r="D43" s="542">
        <f>SUMIF(FORMULAS!$BG$64:$ET$64,27,FORMULAS!$BG$65:$ET$65)</f>
        <v>0</v>
      </c>
      <c r="E43" s="939" t="str">
        <f>IF('5 ALMACEN '!$AB$1="X","PAR","UND")</f>
        <v>UND</v>
      </c>
      <c r="F43" s="670"/>
      <c r="G43" s="670"/>
      <c r="H43" s="670"/>
      <c r="I43" s="670"/>
      <c r="J43" s="721"/>
      <c r="K43" s="721">
        <f t="shared" si="2"/>
        <v>0</v>
      </c>
      <c r="L43" s="89">
        <f t="shared" si="3"/>
        <v>0</v>
      </c>
    </row>
    <row r="44" spans="1:12" x14ac:dyDescent="0.2">
      <c r="A44" s="1656" t="s">
        <v>65</v>
      </c>
      <c r="B44" s="1658"/>
      <c r="C44" s="940">
        <f>IF('5 ALMACEN '!$AB$1="x","CALIBRE 22",0)</f>
        <v>0</v>
      </c>
      <c r="D44" s="1021">
        <f>+'5 ALMACEN '!L7</f>
        <v>0</v>
      </c>
      <c r="E44" s="939" t="str">
        <f>IF('5 ALMACEN '!$AB$1="X","PAR","UND")</f>
        <v>UND</v>
      </c>
      <c r="F44" s="670"/>
      <c r="G44" s="670"/>
      <c r="H44" s="670"/>
      <c r="I44" s="670"/>
      <c r="J44" s="721"/>
      <c r="K44" s="721">
        <f>+J44*'5 ALMACEN '!L7</f>
        <v>0</v>
      </c>
      <c r="L44" s="89">
        <f t="shared" si="3"/>
        <v>0</v>
      </c>
    </row>
    <row r="45" spans="1:12" x14ac:dyDescent="0.2">
      <c r="A45" s="1656" t="s">
        <v>858</v>
      </c>
      <c r="B45" s="1658"/>
      <c r="C45" s="940">
        <f>IF('5 ALMACEN '!$AB$1="x","CALIBRE 22",0)</f>
        <v>0</v>
      </c>
      <c r="D45" s="542">
        <f>SUMIF(FORMULAS!$BG$64:$ET$64,29,FORMULAS!$BG$65:$ET$65)</f>
        <v>0</v>
      </c>
      <c r="E45" s="939" t="str">
        <f>IF('5 ALMACEN '!$AB$1="X","PAR","UND")</f>
        <v>UND</v>
      </c>
      <c r="F45" s="670"/>
      <c r="G45" s="670"/>
      <c r="H45" s="670"/>
      <c r="I45" s="670"/>
      <c r="J45" s="721"/>
      <c r="K45" s="721">
        <f>+J45*D45</f>
        <v>0</v>
      </c>
      <c r="L45" s="89">
        <f t="shared" si="3"/>
        <v>0</v>
      </c>
    </row>
    <row r="46" spans="1:12" x14ac:dyDescent="0.2">
      <c r="A46" s="1656" t="s">
        <v>859</v>
      </c>
      <c r="B46" s="1658"/>
      <c r="C46" s="940">
        <f>IF('5 ALMACEN '!$AB$1="x","CALIBRE 22",0)</f>
        <v>0</v>
      </c>
      <c r="D46" s="1021">
        <f>+'5 ALMACEN '!L8</f>
        <v>0</v>
      </c>
      <c r="E46" s="939" t="str">
        <f>IF('5 ALMACEN '!$AB$1="X","PAR","UND")</f>
        <v>UND</v>
      </c>
      <c r="F46" s="670"/>
      <c r="G46" s="670"/>
      <c r="H46" s="670"/>
      <c r="I46" s="670"/>
      <c r="J46" s="721"/>
      <c r="K46" s="721">
        <f>+J46*'5 ALMACEN '!L8</f>
        <v>0</v>
      </c>
      <c r="L46" s="89">
        <f t="shared" si="3"/>
        <v>0</v>
      </c>
    </row>
    <row r="47" spans="1:12" x14ac:dyDescent="0.2">
      <c r="A47" s="1656" t="s">
        <v>860</v>
      </c>
      <c r="B47" s="1658"/>
      <c r="C47" s="940">
        <f>IF('5 ALMACEN '!$AB$1="x","CALIBRE 22",0)</f>
        <v>0</v>
      </c>
      <c r="D47" s="542">
        <f>SUMIF(FORMULAS!$BG$64:$ET$64,31,FORMULAS!$BG$65:$ET$65)</f>
        <v>0</v>
      </c>
      <c r="E47" s="939" t="str">
        <f>IF('5 ALMACEN '!$AB$1="X","PAR","UND")</f>
        <v>UND</v>
      </c>
      <c r="F47" s="670"/>
      <c r="G47" s="670"/>
      <c r="H47" s="670"/>
      <c r="I47" s="670"/>
      <c r="J47" s="721"/>
      <c r="K47" s="721">
        <f t="shared" ref="K47:K71" si="4">+J47*D47</f>
        <v>0</v>
      </c>
      <c r="L47" s="89">
        <f t="shared" si="3"/>
        <v>0</v>
      </c>
    </row>
    <row r="48" spans="1:12" x14ac:dyDescent="0.2">
      <c r="A48" s="1656" t="s">
        <v>861</v>
      </c>
      <c r="B48" s="1658"/>
      <c r="C48" s="940">
        <f>IF('5 ALMACEN '!$AB$1="x","CALIBRE 22",0)</f>
        <v>0</v>
      </c>
      <c r="D48" s="542">
        <f>SUMIF(FORMULAS!$BG$64:$ET$64,32,FORMULAS!$BG$65:$ET$65)</f>
        <v>0</v>
      </c>
      <c r="E48" s="939" t="str">
        <f>IF('5 ALMACEN '!$AB$1="X","PAR","UND")</f>
        <v>UND</v>
      </c>
      <c r="F48" s="670"/>
      <c r="G48" s="670"/>
      <c r="H48" s="670"/>
      <c r="I48" s="670"/>
      <c r="J48" s="721"/>
      <c r="K48" s="721">
        <f t="shared" si="4"/>
        <v>0</v>
      </c>
      <c r="L48" s="89">
        <f t="shared" si="3"/>
        <v>0</v>
      </c>
    </row>
    <row r="49" spans="1:12" x14ac:dyDescent="0.2">
      <c r="A49" s="1656" t="s">
        <v>862</v>
      </c>
      <c r="B49" s="1658"/>
      <c r="C49" s="940">
        <f>IF('5 ALMACEN '!$AB$1="x","CALIBRE 22",0)</f>
        <v>0</v>
      </c>
      <c r="D49" s="542">
        <f>SUMIF(FORMULAS!$BG$64:$ET$64,33,FORMULAS!$BG$65:$ET$65)</f>
        <v>0</v>
      </c>
      <c r="E49" s="939" t="str">
        <f>IF('5 ALMACEN '!$AB$1="X","PAR","UND")</f>
        <v>UND</v>
      </c>
      <c r="F49" s="670"/>
      <c r="G49" s="670"/>
      <c r="H49" s="670"/>
      <c r="I49" s="670"/>
      <c r="J49" s="721"/>
      <c r="K49" s="721">
        <f t="shared" si="4"/>
        <v>0</v>
      </c>
      <c r="L49" s="89">
        <f t="shared" si="3"/>
        <v>0</v>
      </c>
    </row>
    <row r="50" spans="1:12" x14ac:dyDescent="0.2">
      <c r="A50" s="1656" t="s">
        <v>863</v>
      </c>
      <c r="B50" s="1658"/>
      <c r="C50" s="940">
        <f>IF('5 ALMACEN '!$AB$1="x","CALIBRE 22",0)</f>
        <v>0</v>
      </c>
      <c r="D50" s="542">
        <f>SUMIF(FORMULAS!$BG$64:$ET$64,34,FORMULAS!$BG$65:$ET$65)</f>
        <v>0</v>
      </c>
      <c r="E50" s="939" t="str">
        <f>IF('5 ALMACEN '!$AB$1="X","PAR","UND")</f>
        <v>UND</v>
      </c>
      <c r="F50" s="670"/>
      <c r="G50" s="670"/>
      <c r="H50" s="670"/>
      <c r="I50" s="670"/>
      <c r="J50" s="721"/>
      <c r="K50" s="721">
        <f t="shared" si="4"/>
        <v>0</v>
      </c>
      <c r="L50" s="89">
        <f t="shared" si="3"/>
        <v>0</v>
      </c>
    </row>
    <row r="51" spans="1:12" x14ac:dyDescent="0.2">
      <c r="A51" s="1656" t="s">
        <v>864</v>
      </c>
      <c r="B51" s="1658"/>
      <c r="C51" s="940">
        <f>IF('5 ALMACEN '!$AB$1="x","CALIBRE 22",0)</f>
        <v>0</v>
      </c>
      <c r="D51" s="542">
        <f>SUMIF(FORMULAS!$BG$64:$ET$64,35,FORMULAS!$BG$65:$ET$65)</f>
        <v>0</v>
      </c>
      <c r="E51" s="939" t="str">
        <f>IF('5 ALMACEN '!$AB$1="X","PAR","UND")</f>
        <v>UND</v>
      </c>
      <c r="F51" s="670"/>
      <c r="G51" s="670"/>
      <c r="H51" s="670"/>
      <c r="I51" s="670"/>
      <c r="J51" s="721"/>
      <c r="K51" s="721">
        <f t="shared" si="4"/>
        <v>0</v>
      </c>
      <c r="L51" s="89">
        <f t="shared" si="3"/>
        <v>0</v>
      </c>
    </row>
    <row r="52" spans="1:12" x14ac:dyDescent="0.2">
      <c r="A52" s="1656" t="s">
        <v>865</v>
      </c>
      <c r="B52" s="1658"/>
      <c r="C52" s="940">
        <f>IF('5 ALMACEN '!$AB$1="x","CALIBRE 22",0)</f>
        <v>0</v>
      </c>
      <c r="D52" s="542">
        <f>SUMIF(FORMULAS!$BG$64:$ET$64,36,FORMULAS!$BG$65:$ET$65)</f>
        <v>0</v>
      </c>
      <c r="E52" s="939" t="str">
        <f>IF('5 ALMACEN '!$AB$1="X","PAR","UND")</f>
        <v>UND</v>
      </c>
      <c r="F52" s="670"/>
      <c r="G52" s="670"/>
      <c r="H52" s="670"/>
      <c r="I52" s="670"/>
      <c r="J52" s="721"/>
      <c r="K52" s="721">
        <f t="shared" si="4"/>
        <v>0</v>
      </c>
      <c r="L52" s="89">
        <f t="shared" si="3"/>
        <v>0</v>
      </c>
    </row>
    <row r="53" spans="1:12" x14ac:dyDescent="0.2">
      <c r="A53" s="1656" t="s">
        <v>866</v>
      </c>
      <c r="B53" s="1658"/>
      <c r="C53" s="940">
        <f>IF('5 ALMACEN '!$AB$1="x","CALIBRE 22",0)</f>
        <v>0</v>
      </c>
      <c r="D53" s="542">
        <f>SUMIF(FORMULAS!$BG$64:$ET$64,37,FORMULAS!$BG$65:$ET$65)</f>
        <v>0</v>
      </c>
      <c r="E53" s="939" t="str">
        <f>IF('5 ALMACEN '!$AB$1="X","PAR","UND")</f>
        <v>UND</v>
      </c>
      <c r="F53" s="670"/>
      <c r="G53" s="670"/>
      <c r="H53" s="670"/>
      <c r="I53" s="670"/>
      <c r="J53" s="721"/>
      <c r="K53" s="721">
        <f t="shared" si="4"/>
        <v>0</v>
      </c>
      <c r="L53" s="89">
        <f t="shared" si="3"/>
        <v>0</v>
      </c>
    </row>
    <row r="54" spans="1:12" x14ac:dyDescent="0.2">
      <c r="A54" s="1656" t="s">
        <v>867</v>
      </c>
      <c r="B54" s="1658"/>
      <c r="C54" s="940">
        <f>IF('5 ALMACEN '!$AB$1="x","CALIBRE 22",0)</f>
        <v>0</v>
      </c>
      <c r="D54" s="542">
        <f>SUMIF(FORMULAS!$BG$64:$ET$64,38,FORMULAS!$BG$65:$ET$65)</f>
        <v>0</v>
      </c>
      <c r="E54" s="939" t="str">
        <f>IF('5 ALMACEN '!$AB$1="X","PAR","UND")</f>
        <v>UND</v>
      </c>
      <c r="F54" s="670"/>
      <c r="G54" s="670"/>
      <c r="H54" s="670"/>
      <c r="I54" s="670"/>
      <c r="J54" s="721"/>
      <c r="K54" s="721">
        <f t="shared" si="4"/>
        <v>0</v>
      </c>
      <c r="L54" s="89">
        <f t="shared" si="3"/>
        <v>0</v>
      </c>
    </row>
    <row r="55" spans="1:12" x14ac:dyDescent="0.2">
      <c r="A55" s="1656" t="s">
        <v>868</v>
      </c>
      <c r="B55" s="1658"/>
      <c r="C55" s="940">
        <f>IF('5 ALMACEN '!$AB$1="x","CALIBRE 22",0)</f>
        <v>0</v>
      </c>
      <c r="D55" s="542">
        <f>SUMIF(FORMULAS!$BG$64:$ET$64,39,FORMULAS!$BG$65:$ET$65)</f>
        <v>0</v>
      </c>
      <c r="E55" s="939" t="str">
        <f>IF('5 ALMACEN '!$AB$1="X","PAR","UND")</f>
        <v>UND</v>
      </c>
      <c r="F55" s="670"/>
      <c r="G55" s="670"/>
      <c r="H55" s="670"/>
      <c r="I55" s="670"/>
      <c r="J55" s="721"/>
      <c r="K55" s="721">
        <f t="shared" si="4"/>
        <v>0</v>
      </c>
      <c r="L55" s="89">
        <f t="shared" si="3"/>
        <v>0</v>
      </c>
    </row>
    <row r="56" spans="1:12" x14ac:dyDescent="0.2">
      <c r="A56" s="1656" t="s">
        <v>869</v>
      </c>
      <c r="B56" s="1658"/>
      <c r="C56" s="940">
        <f>IF('5 ALMACEN '!$AB$1="x","CALIBRE 22",0)</f>
        <v>0</v>
      </c>
      <c r="D56" s="542">
        <f>SUMIF(FORMULAS!$BG$64:$ET$64,40,FORMULAS!$BG$65:$ET$65)</f>
        <v>0</v>
      </c>
      <c r="E56" s="939" t="str">
        <f>IF('5 ALMACEN '!$AB$1="X","PAR","UND")</f>
        <v>UND</v>
      </c>
      <c r="F56" s="670"/>
      <c r="G56" s="670"/>
      <c r="H56" s="670"/>
      <c r="I56" s="670"/>
      <c r="J56" s="721"/>
      <c r="K56" s="721">
        <f t="shared" si="4"/>
        <v>0</v>
      </c>
      <c r="L56" s="89">
        <f t="shared" si="3"/>
        <v>0</v>
      </c>
    </row>
    <row r="57" spans="1:12" x14ac:dyDescent="0.2">
      <c r="A57" s="1656" t="s">
        <v>870</v>
      </c>
      <c r="B57" s="1658"/>
      <c r="C57" s="940">
        <f>IF('5 ALMACEN '!$AB$1="x","CALIBRE 22",0)</f>
        <v>0</v>
      </c>
      <c r="D57" s="542">
        <f>SUMIF(FORMULAS!$BG$64:$ET$64,41,FORMULAS!$BG$65:$ET$65)</f>
        <v>0</v>
      </c>
      <c r="E57" s="939" t="str">
        <f>IF('5 ALMACEN '!$AB$1="X","PAR","UND")</f>
        <v>UND</v>
      </c>
      <c r="F57" s="670"/>
      <c r="G57" s="670"/>
      <c r="H57" s="670"/>
      <c r="I57" s="670"/>
      <c r="J57" s="721"/>
      <c r="K57" s="721">
        <f t="shared" si="4"/>
        <v>0</v>
      </c>
      <c r="L57" s="89">
        <f t="shared" si="3"/>
        <v>0</v>
      </c>
    </row>
    <row r="58" spans="1:12" x14ac:dyDescent="0.2">
      <c r="A58" s="1656" t="s">
        <v>871</v>
      </c>
      <c r="B58" s="1658"/>
      <c r="C58" s="940">
        <f>IF('5 ALMACEN '!$AB$1="x","CALIBRE 22",0)</f>
        <v>0</v>
      </c>
      <c r="D58" s="542">
        <f>SUMIF(FORMULAS!$BG$64:$ET$64,42,FORMULAS!$BG$65:$ET$65)</f>
        <v>0</v>
      </c>
      <c r="E58" s="939" t="str">
        <f>IF('5 ALMACEN '!$AB$1="X","PAR","UND")</f>
        <v>UND</v>
      </c>
      <c r="F58" s="670"/>
      <c r="G58" s="670"/>
      <c r="H58" s="670"/>
      <c r="I58" s="670"/>
      <c r="J58" s="721"/>
      <c r="K58" s="721">
        <f t="shared" si="4"/>
        <v>0</v>
      </c>
      <c r="L58" s="89">
        <f t="shared" si="3"/>
        <v>0</v>
      </c>
    </row>
    <row r="59" spans="1:12" x14ac:dyDescent="0.2">
      <c r="A59" s="1656" t="s">
        <v>872</v>
      </c>
      <c r="B59" s="1658"/>
      <c r="C59" s="940">
        <f>IF('5 ALMACEN '!$AB$1="x","CALIBRE 22",0)</f>
        <v>0</v>
      </c>
      <c r="D59" s="542">
        <f>SUMIF(FORMULAS!$BG$64:$ET$64,43,FORMULAS!$BG$65:$ET$65)</f>
        <v>0</v>
      </c>
      <c r="E59" s="939" t="str">
        <f>IF('5 ALMACEN '!$AB$1="X","PAR","UND")</f>
        <v>UND</v>
      </c>
      <c r="F59" s="670"/>
      <c r="G59" s="670"/>
      <c r="H59" s="670"/>
      <c r="I59" s="670"/>
      <c r="J59" s="721"/>
      <c r="K59" s="721">
        <f t="shared" si="4"/>
        <v>0</v>
      </c>
      <c r="L59" s="89">
        <f t="shared" si="3"/>
        <v>0</v>
      </c>
    </row>
    <row r="60" spans="1:12" x14ac:dyDescent="0.2">
      <c r="A60" s="1656" t="s">
        <v>873</v>
      </c>
      <c r="B60" s="1658"/>
      <c r="C60" s="940">
        <f>IF('5 ALMACEN '!$AB$1="x","CALIBRE 22",0)</f>
        <v>0</v>
      </c>
      <c r="D60" s="542">
        <f>SUMIF(FORMULAS!$BG$64:$ET$64,44,FORMULAS!$BG$65:$ET$65)</f>
        <v>0</v>
      </c>
      <c r="E60" s="939" t="str">
        <f>IF('5 ALMACEN '!$AB$1="X","PAR","UND")</f>
        <v>UND</v>
      </c>
      <c r="F60" s="670"/>
      <c r="G60" s="670"/>
      <c r="H60" s="670"/>
      <c r="I60" s="670"/>
      <c r="J60" s="721"/>
      <c r="K60" s="721">
        <f t="shared" si="4"/>
        <v>0</v>
      </c>
      <c r="L60" s="89">
        <f t="shared" si="3"/>
        <v>0</v>
      </c>
    </row>
    <row r="61" spans="1:12" x14ac:dyDescent="0.2">
      <c r="A61" s="1656" t="s">
        <v>874</v>
      </c>
      <c r="B61" s="1658"/>
      <c r="C61" s="940">
        <f>IF('5 ALMACEN '!$AB$1="x","CALIBRE 22",0)</f>
        <v>0</v>
      </c>
      <c r="D61" s="542">
        <f>SUMIF(FORMULAS!$BG$64:$ET$64,45,FORMULAS!$BG$65:$ET$65)</f>
        <v>0</v>
      </c>
      <c r="E61" s="939" t="str">
        <f>IF('5 ALMACEN '!$AB$1="X","PAR","UND")</f>
        <v>UND</v>
      </c>
      <c r="F61" s="670"/>
      <c r="G61" s="670"/>
      <c r="H61" s="670"/>
      <c r="I61" s="670"/>
      <c r="J61" s="721"/>
      <c r="K61" s="721">
        <f t="shared" si="4"/>
        <v>0</v>
      </c>
      <c r="L61" s="89">
        <f t="shared" si="3"/>
        <v>0</v>
      </c>
    </row>
    <row r="62" spans="1:12" x14ac:dyDescent="0.2">
      <c r="A62" s="1656" t="s">
        <v>875</v>
      </c>
      <c r="B62" s="1658"/>
      <c r="C62" s="940">
        <f>IF('5 ALMACEN '!$AB$1="x","CALIBRE 22",0)</f>
        <v>0</v>
      </c>
      <c r="D62" s="542">
        <f>SUMIF(FORMULAS!$BG$64:$ET$64,46,FORMULAS!$BG$65:$ET$65)</f>
        <v>0</v>
      </c>
      <c r="E62" s="939" t="str">
        <f>IF('5 ALMACEN '!$AB$1="X","PAR","UND")</f>
        <v>UND</v>
      </c>
      <c r="F62" s="670"/>
      <c r="G62" s="670"/>
      <c r="H62" s="670"/>
      <c r="I62" s="670"/>
      <c r="J62" s="721"/>
      <c r="K62" s="721">
        <f t="shared" si="4"/>
        <v>0</v>
      </c>
      <c r="L62" s="89">
        <f t="shared" si="3"/>
        <v>0</v>
      </c>
    </row>
    <row r="63" spans="1:12" x14ac:dyDescent="0.2">
      <c r="A63" s="1656" t="s">
        <v>876</v>
      </c>
      <c r="B63" s="1658"/>
      <c r="C63" s="940">
        <f>IF('5 ALMACEN '!$AB$1="x","CALIBRE 22",0)</f>
        <v>0</v>
      </c>
      <c r="D63" s="542">
        <f>SUMIF(FORMULAS!$BG$64:$ET$64,47,FORMULAS!$BG$65:$ET$65)</f>
        <v>0</v>
      </c>
      <c r="E63" s="939" t="str">
        <f>IF('5 ALMACEN '!$AB$1="X","PAR","UND")</f>
        <v>UND</v>
      </c>
      <c r="F63" s="670"/>
      <c r="G63" s="670"/>
      <c r="H63" s="670"/>
      <c r="I63" s="670"/>
      <c r="J63" s="721"/>
      <c r="K63" s="721">
        <f t="shared" si="4"/>
        <v>0</v>
      </c>
      <c r="L63" s="89">
        <f t="shared" si="3"/>
        <v>0</v>
      </c>
    </row>
    <row r="64" spans="1:12" x14ac:dyDescent="0.2">
      <c r="A64" s="1656" t="s">
        <v>877</v>
      </c>
      <c r="B64" s="1658"/>
      <c r="C64" s="940">
        <f>IF('5 ALMACEN '!$AB$1="x","CALIBRE 22",0)</f>
        <v>0</v>
      </c>
      <c r="D64" s="542">
        <f>SUMIF(FORMULAS!$BG$64:$ET$64,48,FORMULAS!$BG$65:$ET$65)</f>
        <v>0</v>
      </c>
      <c r="E64" s="939" t="str">
        <f>IF('5 ALMACEN '!$AB$1="X","PAR","UND")</f>
        <v>UND</v>
      </c>
      <c r="F64" s="670"/>
      <c r="G64" s="670"/>
      <c r="H64" s="670"/>
      <c r="I64" s="670"/>
      <c r="J64" s="721"/>
      <c r="K64" s="721">
        <f t="shared" si="4"/>
        <v>0</v>
      </c>
      <c r="L64" s="89">
        <f t="shared" si="3"/>
        <v>0</v>
      </c>
    </row>
    <row r="65" spans="1:12" x14ac:dyDescent="0.2">
      <c r="A65" s="1656" t="s">
        <v>878</v>
      </c>
      <c r="B65" s="1658"/>
      <c r="C65" s="940">
        <f>IF('5 ALMACEN '!$AB$1="x","CALIBRE 22",0)</f>
        <v>0</v>
      </c>
      <c r="D65" s="542">
        <f>SUMIF(FORMULAS!$BG$64:$ET$64,49,FORMULAS!$BG$65:$ET$65)</f>
        <v>0</v>
      </c>
      <c r="E65" s="939" t="str">
        <f>IF('5 ALMACEN '!$AB$1="X","PAR","UND")</f>
        <v>UND</v>
      </c>
      <c r="F65" s="670"/>
      <c r="G65" s="670"/>
      <c r="H65" s="670"/>
      <c r="I65" s="670"/>
      <c r="J65" s="721"/>
      <c r="K65" s="721">
        <f t="shared" si="4"/>
        <v>0</v>
      </c>
      <c r="L65" s="89">
        <f t="shared" si="3"/>
        <v>0</v>
      </c>
    </row>
    <row r="66" spans="1:12" x14ac:dyDescent="0.2">
      <c r="A66" s="1656" t="s">
        <v>879</v>
      </c>
      <c r="B66" s="1658"/>
      <c r="C66" s="940">
        <f>IF('5 ALMACEN '!$AB$1="x","CALIBRE 22",0)</f>
        <v>0</v>
      </c>
      <c r="D66" s="542">
        <f>SUMIF(FORMULAS!$BG$64:$ET$64,50,FORMULAS!$BG$65:$ET$65)</f>
        <v>0</v>
      </c>
      <c r="E66" s="939" t="str">
        <f>IF('5 ALMACEN '!$AB$1="X","PAR","UND")</f>
        <v>UND</v>
      </c>
      <c r="F66" s="670"/>
      <c r="G66" s="670"/>
      <c r="H66" s="670"/>
      <c r="I66" s="670"/>
      <c r="J66" s="721"/>
      <c r="K66" s="721">
        <f t="shared" si="4"/>
        <v>0</v>
      </c>
      <c r="L66" s="89">
        <f t="shared" si="3"/>
        <v>0</v>
      </c>
    </row>
    <row r="67" spans="1:12" x14ac:dyDescent="0.2">
      <c r="A67" s="1656" t="s">
        <v>880</v>
      </c>
      <c r="B67" s="1658"/>
      <c r="C67" s="940">
        <f>IF('5 ALMACEN '!$AB$1="x","CALIBRE 22",0)</f>
        <v>0</v>
      </c>
      <c r="D67" s="542">
        <f>SUMIF(FORMULAS!$BG$64:$ET$64,51,FORMULAS!$BG$65:$ET$65)</f>
        <v>0</v>
      </c>
      <c r="E67" s="939" t="str">
        <f>IF('5 ALMACEN '!$AB$1="X","PAR","UND")</f>
        <v>UND</v>
      </c>
      <c r="F67" s="670"/>
      <c r="G67" s="670"/>
      <c r="H67" s="670"/>
      <c r="I67" s="670"/>
      <c r="J67" s="721"/>
      <c r="K67" s="721">
        <f t="shared" si="4"/>
        <v>0</v>
      </c>
      <c r="L67" s="89">
        <f t="shared" si="3"/>
        <v>0</v>
      </c>
    </row>
    <row r="68" spans="1:12" x14ac:dyDescent="0.2">
      <c r="A68" s="1656" t="s">
        <v>881</v>
      </c>
      <c r="B68" s="1658"/>
      <c r="C68" s="940">
        <f>IF('5 ALMACEN '!$AB$1="x","CALIBRE 22",0)</f>
        <v>0</v>
      </c>
      <c r="D68" s="542">
        <f>SUMIF(FORMULAS!$BG$64:$ET$64,52,FORMULAS!$BG$65:$ET$65)</f>
        <v>0</v>
      </c>
      <c r="E68" s="939" t="str">
        <f>IF('5 ALMACEN '!$AB$1="X","PAR","UND")</f>
        <v>UND</v>
      </c>
      <c r="F68" s="670"/>
      <c r="G68" s="670"/>
      <c r="H68" s="670"/>
      <c r="I68" s="670"/>
      <c r="J68" s="721"/>
      <c r="K68" s="721">
        <f t="shared" si="4"/>
        <v>0</v>
      </c>
      <c r="L68" s="89">
        <f t="shared" si="3"/>
        <v>0</v>
      </c>
    </row>
    <row r="69" spans="1:12" x14ac:dyDescent="0.2">
      <c r="A69" s="1656" t="s">
        <v>882</v>
      </c>
      <c r="B69" s="1658"/>
      <c r="C69" s="940">
        <f>IF('5 ALMACEN '!$AB$1="x","CALIBRE 22",0)</f>
        <v>0</v>
      </c>
      <c r="D69" s="542">
        <f>SUMIF(FORMULAS!$BG$64:$ET$64,53,FORMULAS!$BG$65:$ET$65)</f>
        <v>0</v>
      </c>
      <c r="E69" s="939" t="str">
        <f>IF('5 ALMACEN '!$AB$1="X","PAR","UND")</f>
        <v>UND</v>
      </c>
      <c r="F69" s="670"/>
      <c r="G69" s="670"/>
      <c r="H69" s="670"/>
      <c r="I69" s="670"/>
      <c r="J69" s="721"/>
      <c r="K69" s="721">
        <f t="shared" si="4"/>
        <v>0</v>
      </c>
      <c r="L69" s="89">
        <f t="shared" si="3"/>
        <v>0</v>
      </c>
    </row>
    <row r="70" spans="1:12" x14ac:dyDescent="0.2">
      <c r="A70" s="1656" t="s">
        <v>883</v>
      </c>
      <c r="B70" s="1658"/>
      <c r="C70" s="940">
        <f>IF('5 ALMACEN '!$AB$1="x","CALIBRE 22",0)</f>
        <v>0</v>
      </c>
      <c r="D70" s="542">
        <f>SUMIF(FORMULAS!$BG$64:$ET$64,54,FORMULAS!$BG$65:$ET$65)</f>
        <v>0</v>
      </c>
      <c r="E70" s="939" t="str">
        <f>IF('5 ALMACEN '!$AB$1="X","PAR","UND")</f>
        <v>UND</v>
      </c>
      <c r="F70" s="670"/>
      <c r="G70" s="670"/>
      <c r="H70" s="670"/>
      <c r="I70" s="670"/>
      <c r="J70" s="721"/>
      <c r="K70" s="721">
        <f t="shared" si="4"/>
        <v>0</v>
      </c>
      <c r="L70" s="89">
        <f t="shared" si="3"/>
        <v>0</v>
      </c>
    </row>
    <row r="71" spans="1:12" x14ac:dyDescent="0.2">
      <c r="A71" s="1656" t="s">
        <v>884</v>
      </c>
      <c r="B71" s="1658"/>
      <c r="C71" s="940">
        <f>IF('5 ALMACEN '!$AB$1="x","CALIBRE 22",0)</f>
        <v>0</v>
      </c>
      <c r="D71" s="542">
        <f>SUMIF(FORMULAS!$BG$64:$ET$64,55,FORMULAS!$BG$65:$ET$65)</f>
        <v>0</v>
      </c>
      <c r="E71" s="939" t="str">
        <f>IF('5 ALMACEN '!$AB$1="X","PAR","UND")</f>
        <v>UND</v>
      </c>
      <c r="F71" s="670"/>
      <c r="G71" s="670"/>
      <c r="H71" s="670"/>
      <c r="I71" s="670"/>
      <c r="J71" s="721"/>
      <c r="K71" s="721">
        <f t="shared" si="4"/>
        <v>0</v>
      </c>
      <c r="L71" s="89">
        <f t="shared" si="3"/>
        <v>0</v>
      </c>
    </row>
    <row r="72" spans="1:12" x14ac:dyDescent="0.2">
      <c r="A72" s="1656" t="s">
        <v>64</v>
      </c>
      <c r="B72" s="1658"/>
      <c r="C72" s="938">
        <f>IF('5 ALMACEN '!$AB$1="x","CALIBRE 22",0)</f>
        <v>0</v>
      </c>
      <c r="D72" s="1021">
        <f>+'5 ALMACEN '!L9</f>
        <v>0</v>
      </c>
      <c r="E72" s="939" t="str">
        <f>IF('5 ALMACEN '!$AB$1="X","PAR","UND")</f>
        <v>UND</v>
      </c>
      <c r="F72" s="670"/>
      <c r="G72" s="670"/>
      <c r="H72" s="670"/>
      <c r="I72" s="670"/>
      <c r="J72" s="721"/>
      <c r="K72" s="721">
        <f>+J72*'5 ALMACEN '!L9</f>
        <v>0</v>
      </c>
      <c r="L72" s="89">
        <f t="shared" si="3"/>
        <v>0</v>
      </c>
    </row>
    <row r="73" spans="1:12" x14ac:dyDescent="0.2">
      <c r="A73" s="1656" t="s">
        <v>885</v>
      </c>
      <c r="B73" s="1658"/>
      <c r="C73" s="940">
        <f>IF('5 ALMACEN '!$AB$1="x","CALIBRE 22",0)</f>
        <v>0</v>
      </c>
      <c r="D73" s="542">
        <f>SUMIF(FORMULAS!$BG$64:$ET$64,57,FORMULAS!$BG$65:$ET$65)</f>
        <v>0</v>
      </c>
      <c r="E73" s="939" t="str">
        <f>IF('5 ALMACEN '!$AB$1="X","PAR","UND")</f>
        <v>UND</v>
      </c>
      <c r="F73" s="670"/>
      <c r="G73" s="670"/>
      <c r="H73" s="670"/>
      <c r="I73" s="670"/>
      <c r="J73" s="721"/>
      <c r="K73" s="721">
        <f>+J73*D73</f>
        <v>0</v>
      </c>
      <c r="L73" s="89">
        <f t="shared" si="3"/>
        <v>0</v>
      </c>
    </row>
    <row r="74" spans="1:12" x14ac:dyDescent="0.2">
      <c r="A74" s="1656" t="s">
        <v>886</v>
      </c>
      <c r="B74" s="1658"/>
      <c r="C74" s="940">
        <f>IF('5 ALMACEN '!$AB$1="x","CALIBRE 22",0)</f>
        <v>0</v>
      </c>
      <c r="D74" s="542">
        <f>SUMIF(FORMULAS!$BG$64:$ET$64,58,FORMULAS!$BG$65:$ET$65)</f>
        <v>0</v>
      </c>
      <c r="E74" s="939" t="str">
        <f>IF('5 ALMACEN '!$AB$1="X","PAR","UND")</f>
        <v>UND</v>
      </c>
      <c r="F74" s="670"/>
      <c r="G74" s="670"/>
      <c r="H74" s="670"/>
      <c r="I74" s="670"/>
      <c r="J74" s="721"/>
      <c r="K74" s="721">
        <f>+J74*D74</f>
        <v>0</v>
      </c>
      <c r="L74" s="89">
        <f t="shared" si="3"/>
        <v>0</v>
      </c>
    </row>
    <row r="75" spans="1:12" x14ac:dyDescent="0.2">
      <c r="A75" s="1656" t="s">
        <v>887</v>
      </c>
      <c r="B75" s="1658"/>
      <c r="C75" s="940">
        <f>IF('5 ALMACEN '!$AB$1="x","CALIBRE 22",0)</f>
        <v>0</v>
      </c>
      <c r="D75" s="542">
        <f>SUMIF(FORMULAS!$BG$64:$ET$64,59,FORMULAS!$BG$65:$ET$65)</f>
        <v>0</v>
      </c>
      <c r="E75" s="939" t="str">
        <f>IF('5 ALMACEN '!$AB$1="X","PAR","UND")</f>
        <v>UND</v>
      </c>
      <c r="F75" s="670"/>
      <c r="G75" s="670"/>
      <c r="H75" s="670"/>
      <c r="I75" s="670"/>
      <c r="J75" s="721"/>
      <c r="K75" s="721">
        <f>+J75*D75</f>
        <v>0</v>
      </c>
      <c r="L75" s="89">
        <f t="shared" si="3"/>
        <v>0</v>
      </c>
    </row>
    <row r="76" spans="1:12" x14ac:dyDescent="0.2">
      <c r="A76" s="1656" t="s">
        <v>888</v>
      </c>
      <c r="B76" s="1658"/>
      <c r="C76" s="940">
        <f>IF('5 ALMACEN '!$AB$1="x","CALIBRE 22",0)</f>
        <v>0</v>
      </c>
      <c r="D76" s="1021">
        <f>+'5 ALMACEN '!L10</f>
        <v>0</v>
      </c>
      <c r="E76" s="939" t="str">
        <f>IF('5 ALMACEN '!$AB$1="X","PAR","UND")</f>
        <v>UND</v>
      </c>
      <c r="F76" s="670"/>
      <c r="G76" s="670"/>
      <c r="H76" s="670"/>
      <c r="I76" s="670"/>
      <c r="J76" s="721"/>
      <c r="K76" s="721">
        <f>+J76*'5 ALMACEN '!L10</f>
        <v>0</v>
      </c>
      <c r="L76" s="89">
        <f t="shared" si="3"/>
        <v>0</v>
      </c>
    </row>
    <row r="77" spans="1:12" x14ac:dyDescent="0.2">
      <c r="A77" s="1656" t="s">
        <v>889</v>
      </c>
      <c r="B77" s="1658"/>
      <c r="C77" s="940">
        <f>IF('5 ALMACEN '!$AB$1="x","CALIBRE 22",0)</f>
        <v>0</v>
      </c>
      <c r="D77" s="542">
        <f>SUMIF(FORMULAS!$BG$64:$ET$64,61,FORMULAS!$BG$65:$ET$65)</f>
        <v>0</v>
      </c>
      <c r="E77" s="939" t="str">
        <f>IF('5 ALMACEN '!$AB$1="X","PAR","UND")</f>
        <v>UND</v>
      </c>
      <c r="F77" s="670"/>
      <c r="G77" s="670"/>
      <c r="H77" s="670"/>
      <c r="I77" s="670"/>
      <c r="J77" s="721"/>
      <c r="K77" s="721">
        <f t="shared" ref="K77:K85" si="5">+J77*D77</f>
        <v>0</v>
      </c>
      <c r="L77" s="89">
        <f t="shared" si="3"/>
        <v>0</v>
      </c>
    </row>
    <row r="78" spans="1:12" x14ac:dyDescent="0.2">
      <c r="A78" s="1656" t="s">
        <v>890</v>
      </c>
      <c r="B78" s="1658"/>
      <c r="C78" s="940">
        <f>IF('5 ALMACEN '!$AB$1="x","CALIBRE 22",0)</f>
        <v>0</v>
      </c>
      <c r="D78" s="542">
        <f>SUMIF(FORMULAS!$BG$64:$ET$64,62,FORMULAS!$BG$65:$ET$65)</f>
        <v>0</v>
      </c>
      <c r="E78" s="939" t="str">
        <f>IF('5 ALMACEN '!$AB$1="X","PAR","UND")</f>
        <v>UND</v>
      </c>
      <c r="F78" s="670"/>
      <c r="G78" s="670"/>
      <c r="H78" s="670"/>
      <c r="I78" s="670"/>
      <c r="J78" s="721"/>
      <c r="K78" s="721">
        <f t="shared" si="5"/>
        <v>0</v>
      </c>
      <c r="L78" s="89">
        <f t="shared" si="3"/>
        <v>0</v>
      </c>
    </row>
    <row r="79" spans="1:12" x14ac:dyDescent="0.2">
      <c r="A79" s="1656" t="s">
        <v>891</v>
      </c>
      <c r="B79" s="1658"/>
      <c r="C79" s="940">
        <f>IF('5 ALMACEN '!$AB$1="x","CALIBRE 22",0)</f>
        <v>0</v>
      </c>
      <c r="D79" s="542">
        <f>SUMIF(FORMULAS!$BG$64:$ET$64,63,FORMULAS!$BG$65:$ET$65)</f>
        <v>0</v>
      </c>
      <c r="E79" s="939" t="str">
        <f>IF('5 ALMACEN '!$AB$1="X","PAR","UND")</f>
        <v>UND</v>
      </c>
      <c r="F79" s="670"/>
      <c r="G79" s="670"/>
      <c r="H79" s="670"/>
      <c r="I79" s="670"/>
      <c r="J79" s="721"/>
      <c r="K79" s="721">
        <f t="shared" si="5"/>
        <v>0</v>
      </c>
      <c r="L79" s="89">
        <f t="shared" si="3"/>
        <v>0</v>
      </c>
    </row>
    <row r="80" spans="1:12" x14ac:dyDescent="0.2">
      <c r="A80" s="1656" t="s">
        <v>892</v>
      </c>
      <c r="B80" s="1658"/>
      <c r="C80" s="940">
        <f>IF('5 ALMACEN '!$AB$1="x","CALIBRE 22",0)</f>
        <v>0</v>
      </c>
      <c r="D80" s="542">
        <f>SUMIF(FORMULAS!$BG$64:$ET$64,64,FORMULAS!$BG$65:$ET$65)</f>
        <v>0</v>
      </c>
      <c r="E80" s="939" t="str">
        <f>IF('5 ALMACEN '!$AB$1="X","PAR","UND")</f>
        <v>UND</v>
      </c>
      <c r="F80" s="670"/>
      <c r="G80" s="670"/>
      <c r="H80" s="670"/>
      <c r="I80" s="670"/>
      <c r="J80" s="721"/>
      <c r="K80" s="721">
        <f t="shared" si="5"/>
        <v>0</v>
      </c>
      <c r="L80" s="89">
        <f t="shared" si="3"/>
        <v>0</v>
      </c>
    </row>
    <row r="81" spans="1:12" x14ac:dyDescent="0.2">
      <c r="A81" s="1656" t="s">
        <v>893</v>
      </c>
      <c r="B81" s="1658"/>
      <c r="C81" s="940">
        <f>IF('5 ALMACEN '!$AB$1="x","CALIBRE 22",0)</f>
        <v>0</v>
      </c>
      <c r="D81" s="542">
        <f>SUMIF(FORMULAS!$BG$64:$ET$64,65,FORMULAS!$BG$65:$ET$65)</f>
        <v>0</v>
      </c>
      <c r="E81" s="939" t="str">
        <f>IF('5 ALMACEN '!$AB$1="X","PAR","UND")</f>
        <v>UND</v>
      </c>
      <c r="F81" s="670"/>
      <c r="G81" s="670"/>
      <c r="H81" s="670"/>
      <c r="I81" s="670"/>
      <c r="J81" s="721"/>
      <c r="K81" s="721">
        <f t="shared" si="5"/>
        <v>0</v>
      </c>
      <c r="L81" s="89">
        <f t="shared" si="3"/>
        <v>0</v>
      </c>
    </row>
    <row r="82" spans="1:12" x14ac:dyDescent="0.2">
      <c r="A82" s="1656" t="s">
        <v>894</v>
      </c>
      <c r="B82" s="1658"/>
      <c r="C82" s="940">
        <f>IF('5 ALMACEN '!$AB$1="x","CALIBRE 22",0)</f>
        <v>0</v>
      </c>
      <c r="D82" s="542">
        <f>SUMIF(FORMULAS!$BG$64:$ET$64,66,FORMULAS!$BG$65:$ET$65)</f>
        <v>0</v>
      </c>
      <c r="E82" s="939" t="str">
        <f>IF('5 ALMACEN '!$AB$1="X","PAR","UND")</f>
        <v>UND</v>
      </c>
      <c r="F82" s="670"/>
      <c r="G82" s="670"/>
      <c r="H82" s="670"/>
      <c r="I82" s="670"/>
      <c r="J82" s="721"/>
      <c r="K82" s="721">
        <f t="shared" si="5"/>
        <v>0</v>
      </c>
      <c r="L82" s="89">
        <f t="shared" si="3"/>
        <v>0</v>
      </c>
    </row>
    <row r="83" spans="1:12" x14ac:dyDescent="0.2">
      <c r="A83" s="1656" t="s">
        <v>895</v>
      </c>
      <c r="B83" s="1658"/>
      <c r="C83" s="940">
        <f>IF('5 ALMACEN '!$AB$1="x","CALIBRE 22",0)</f>
        <v>0</v>
      </c>
      <c r="D83" s="542">
        <f>SUMIF(FORMULAS!$BG$64:$ET$64,67,FORMULAS!$BG$65:$ET$65)</f>
        <v>0</v>
      </c>
      <c r="E83" s="939" t="str">
        <f>IF('5 ALMACEN '!$AB$1="X","PAR","UND")</f>
        <v>UND</v>
      </c>
      <c r="F83" s="670"/>
      <c r="G83" s="670"/>
      <c r="H83" s="670"/>
      <c r="I83" s="670"/>
      <c r="J83" s="721"/>
      <c r="K83" s="721">
        <f t="shared" si="5"/>
        <v>0</v>
      </c>
      <c r="L83" s="89">
        <f t="shared" si="3"/>
        <v>0</v>
      </c>
    </row>
    <row r="84" spans="1:12" x14ac:dyDescent="0.2">
      <c r="A84" s="1656" t="s">
        <v>896</v>
      </c>
      <c r="B84" s="1658"/>
      <c r="C84" s="940">
        <f>IF('5 ALMACEN '!$AB$1="x","CALIBRE 22",0)</f>
        <v>0</v>
      </c>
      <c r="D84" s="542">
        <f>SUMIF(FORMULAS!$BG$64:$ET$64,68,FORMULAS!$BG$65:$ET$65)</f>
        <v>0</v>
      </c>
      <c r="E84" s="939" t="str">
        <f>IF('5 ALMACEN '!$AB$1="X","PAR","UND")</f>
        <v>UND</v>
      </c>
      <c r="F84" s="670"/>
      <c r="G84" s="670"/>
      <c r="H84" s="670"/>
      <c r="I84" s="670"/>
      <c r="J84" s="721"/>
      <c r="K84" s="721">
        <f t="shared" si="5"/>
        <v>0</v>
      </c>
      <c r="L84" s="89">
        <f t="shared" si="3"/>
        <v>0</v>
      </c>
    </row>
    <row r="85" spans="1:12" x14ac:dyDescent="0.2">
      <c r="A85" s="1656" t="s">
        <v>897</v>
      </c>
      <c r="B85" s="1658"/>
      <c r="C85" s="940">
        <f>IF('5 ALMACEN '!$AB$1="x","CALIBRE 22",0)</f>
        <v>0</v>
      </c>
      <c r="D85" s="542">
        <f>SUMIF(FORMULAS!$BG$64:$ET$64,69,FORMULAS!$BG$65:$ET$65)</f>
        <v>0</v>
      </c>
      <c r="E85" s="939" t="str">
        <f>IF('5 ALMACEN '!$AB$1="X","PAR","UND")</f>
        <v>UND</v>
      </c>
      <c r="F85" s="670"/>
      <c r="G85" s="670"/>
      <c r="H85" s="670"/>
      <c r="I85" s="670"/>
      <c r="J85" s="721"/>
      <c r="K85" s="721">
        <f t="shared" si="5"/>
        <v>0</v>
      </c>
      <c r="L85" s="89">
        <f t="shared" si="3"/>
        <v>0</v>
      </c>
    </row>
    <row r="86" spans="1:12" x14ac:dyDescent="0.2">
      <c r="A86" s="1656" t="s">
        <v>66</v>
      </c>
      <c r="B86" s="1658"/>
      <c r="C86" s="940">
        <f>IF('5 ALMACEN '!$AB$1="x","CALIBRE 22",0)</f>
        <v>0</v>
      </c>
      <c r="D86" s="1021">
        <f>+'5 ALMACEN '!L11</f>
        <v>0</v>
      </c>
      <c r="E86" s="939" t="str">
        <f>IF('5 ALMACEN '!$AB$1="X","PAR","UND")</f>
        <v>UND</v>
      </c>
      <c r="F86" s="670"/>
      <c r="G86" s="670"/>
      <c r="H86" s="670"/>
      <c r="I86" s="670"/>
      <c r="J86" s="721"/>
      <c r="K86" s="721">
        <f>+J86*'5 ALMACEN '!L11</f>
        <v>0</v>
      </c>
      <c r="L86" s="89">
        <f t="shared" si="3"/>
        <v>0</v>
      </c>
    </row>
    <row r="87" spans="1:12" x14ac:dyDescent="0.2">
      <c r="A87" s="1656" t="s">
        <v>898</v>
      </c>
      <c r="B87" s="1658"/>
      <c r="C87" s="940">
        <f>IF('5 ALMACEN '!$AB$1="x","CALIBRE 22",0)</f>
        <v>0</v>
      </c>
      <c r="D87" s="542">
        <f>SUMIF(FORMULAS!$BG$64:$ET$64,71,FORMULAS!$BG$65:$ET$65)</f>
        <v>0</v>
      </c>
      <c r="E87" s="939" t="str">
        <f>IF('5 ALMACEN '!$AB$1="X","PAR","UND")</f>
        <v>UND</v>
      </c>
      <c r="F87" s="670"/>
      <c r="G87" s="670"/>
      <c r="H87" s="670"/>
      <c r="I87" s="670"/>
      <c r="J87" s="721"/>
      <c r="K87" s="721">
        <f>+J87*D87</f>
        <v>0</v>
      </c>
      <c r="L87" s="89">
        <f t="shared" si="3"/>
        <v>0</v>
      </c>
    </row>
    <row r="88" spans="1:12" x14ac:dyDescent="0.2">
      <c r="A88" s="1656" t="s">
        <v>899</v>
      </c>
      <c r="B88" s="1658"/>
      <c r="C88" s="940">
        <f>IF('5 ALMACEN '!$AB$1="x","CALIBRE 22",0)</f>
        <v>0</v>
      </c>
      <c r="D88" s="542">
        <f>SUMIF(FORMULAS!$BG$64:$ET$64,72,FORMULAS!$BG$65:$ET$65)</f>
        <v>0</v>
      </c>
      <c r="E88" s="939" t="str">
        <f>IF('5 ALMACEN '!$AB$1="X","PAR","UND")</f>
        <v>UND</v>
      </c>
      <c r="F88" s="670"/>
      <c r="G88" s="670"/>
      <c r="H88" s="670"/>
      <c r="I88" s="670"/>
      <c r="J88" s="721"/>
      <c r="K88" s="721">
        <f>+J88*D88</f>
        <v>0</v>
      </c>
      <c r="L88" s="89">
        <f t="shared" ref="L88:L151" si="6">IF(D88&gt;0,1,0)</f>
        <v>0</v>
      </c>
    </row>
    <row r="89" spans="1:12" x14ac:dyDescent="0.2">
      <c r="A89" s="1656" t="s">
        <v>900</v>
      </c>
      <c r="B89" s="1658"/>
      <c r="C89" s="940">
        <f>IF('5 ALMACEN '!$AB$1="x","CALIBRE 22",0)</f>
        <v>0</v>
      </c>
      <c r="D89" s="542">
        <f>SUMIF(FORMULAS!$BG$64:$ET$64,73,FORMULAS!$BG$65:$ET$65)</f>
        <v>0</v>
      </c>
      <c r="E89" s="939" t="str">
        <f>IF('5 ALMACEN '!$AB$1="X","PAR","UND")</f>
        <v>UND</v>
      </c>
      <c r="F89" s="670"/>
      <c r="G89" s="670"/>
      <c r="H89" s="670"/>
      <c r="I89" s="670"/>
      <c r="J89" s="721"/>
      <c r="K89" s="721">
        <f>+J89*D89</f>
        <v>0</v>
      </c>
      <c r="L89" s="89">
        <f t="shared" si="6"/>
        <v>0</v>
      </c>
    </row>
    <row r="90" spans="1:12" x14ac:dyDescent="0.2">
      <c r="A90" s="1656" t="s">
        <v>901</v>
      </c>
      <c r="B90" s="1658"/>
      <c r="C90" s="940">
        <f>IF('5 ALMACEN '!$AB$1="x","CALIBRE 22",0)</f>
        <v>0</v>
      </c>
      <c r="D90" s="542">
        <f>SUMIF(FORMULAS!$BG$64:$ET$64,74,FORMULAS!$BG$65:$ET$65)</f>
        <v>0</v>
      </c>
      <c r="E90" s="939" t="str">
        <f>IF('5 ALMACEN '!$AB$1="X","PAR","UND")</f>
        <v>UND</v>
      </c>
      <c r="F90" s="670"/>
      <c r="G90" s="670"/>
      <c r="H90" s="670"/>
      <c r="I90" s="670"/>
      <c r="J90" s="721"/>
      <c r="K90" s="721">
        <f>+J90*D90</f>
        <v>0</v>
      </c>
      <c r="L90" s="89">
        <f t="shared" si="6"/>
        <v>0</v>
      </c>
    </row>
    <row r="91" spans="1:12" x14ac:dyDescent="0.2">
      <c r="A91" s="1656" t="s">
        <v>902</v>
      </c>
      <c r="B91" s="1658"/>
      <c r="C91" s="940">
        <f>IF('5 ALMACEN '!$AB$1="x","CALIBRE 22",0)</f>
        <v>0</v>
      </c>
      <c r="D91" s="1021">
        <f>+'5 ALMACEN '!L12</f>
        <v>0</v>
      </c>
      <c r="E91" s="939" t="str">
        <f>IF('5 ALMACEN '!$AB$1="X","PAR","UND")</f>
        <v>UND</v>
      </c>
      <c r="F91" s="670"/>
      <c r="G91" s="670"/>
      <c r="H91" s="670"/>
      <c r="I91" s="670"/>
      <c r="J91" s="721"/>
      <c r="K91" s="721">
        <f>+J91*'5 ALMACEN '!L12</f>
        <v>0</v>
      </c>
      <c r="L91" s="89">
        <f t="shared" si="6"/>
        <v>0</v>
      </c>
    </row>
    <row r="92" spans="1:12" x14ac:dyDescent="0.2">
      <c r="A92" s="1656" t="s">
        <v>903</v>
      </c>
      <c r="B92" s="1658"/>
      <c r="C92" s="940">
        <f>IF('5 ALMACEN '!$AB$1="x","CALIBRE 22",0)</f>
        <v>0</v>
      </c>
      <c r="D92" s="542">
        <f>SUMIF(FORMULAS!$BG$64:$ET$64,76,FORMULAS!$BG$65:$ET$65)</f>
        <v>0</v>
      </c>
      <c r="E92" s="939" t="str">
        <f>IF('5 ALMACEN '!$AB$1="X","PAR","UND")</f>
        <v>UND</v>
      </c>
      <c r="F92" s="670"/>
      <c r="G92" s="670"/>
      <c r="H92" s="670"/>
      <c r="I92" s="670"/>
      <c r="J92" s="721"/>
      <c r="K92" s="721">
        <f t="shared" ref="K92:K99" si="7">+J92*D92</f>
        <v>0</v>
      </c>
      <c r="L92" s="89">
        <f t="shared" si="6"/>
        <v>0</v>
      </c>
    </row>
    <row r="93" spans="1:12" x14ac:dyDescent="0.2">
      <c r="A93" s="1656" t="s">
        <v>904</v>
      </c>
      <c r="B93" s="1658"/>
      <c r="C93" s="940">
        <f>IF('5 ALMACEN '!$AB$1="x","CALIBRE 22",0)</f>
        <v>0</v>
      </c>
      <c r="D93" s="542">
        <f>SUMIF(FORMULAS!$BG$64:$ET$64,77,FORMULAS!$BG$65:$ET$65)</f>
        <v>0</v>
      </c>
      <c r="E93" s="939" t="str">
        <f>IF('5 ALMACEN '!$AB$1="X","PAR","UND")</f>
        <v>UND</v>
      </c>
      <c r="F93" s="670"/>
      <c r="G93" s="670"/>
      <c r="H93" s="670"/>
      <c r="I93" s="670"/>
      <c r="J93" s="721"/>
      <c r="K93" s="721">
        <f t="shared" si="7"/>
        <v>0</v>
      </c>
      <c r="L93" s="89">
        <f t="shared" si="6"/>
        <v>0</v>
      </c>
    </row>
    <row r="94" spans="1:12" x14ac:dyDescent="0.2">
      <c r="A94" s="1656" t="s">
        <v>905</v>
      </c>
      <c r="B94" s="1658"/>
      <c r="C94" s="940">
        <f>IF('5 ALMACEN '!$AB$1="x","CALIBRE 22",0)</f>
        <v>0</v>
      </c>
      <c r="D94" s="542">
        <f>SUMIF(FORMULAS!$BG$64:$ET$64,78,FORMULAS!$BG$65:$ET$65)</f>
        <v>0</v>
      </c>
      <c r="E94" s="939" t="str">
        <f>IF('5 ALMACEN '!$AB$1="X","PAR","UND")</f>
        <v>UND</v>
      </c>
      <c r="F94" s="670"/>
      <c r="G94" s="670"/>
      <c r="H94" s="670"/>
      <c r="I94" s="670"/>
      <c r="J94" s="721"/>
      <c r="K94" s="721">
        <f t="shared" si="7"/>
        <v>0</v>
      </c>
      <c r="L94" s="89">
        <f t="shared" si="6"/>
        <v>0</v>
      </c>
    </row>
    <row r="95" spans="1:12" x14ac:dyDescent="0.2">
      <c r="A95" s="1656" t="s">
        <v>906</v>
      </c>
      <c r="B95" s="1658"/>
      <c r="C95" s="940">
        <f>IF('5 ALMACEN '!$AB$1="x","CALIBRE 22",0)</f>
        <v>0</v>
      </c>
      <c r="D95" s="542">
        <f>SUMIF(FORMULAS!$BG$64:$ET$64,79,FORMULAS!$BG$65:$ET$65)</f>
        <v>0</v>
      </c>
      <c r="E95" s="939" t="str">
        <f>IF('5 ALMACEN '!$AB$1="X","PAR","UND")</f>
        <v>UND</v>
      </c>
      <c r="F95" s="670"/>
      <c r="G95" s="670"/>
      <c r="H95" s="670"/>
      <c r="I95" s="670"/>
      <c r="J95" s="721"/>
      <c r="K95" s="721">
        <f t="shared" si="7"/>
        <v>0</v>
      </c>
      <c r="L95" s="89">
        <f t="shared" si="6"/>
        <v>0</v>
      </c>
    </row>
    <row r="96" spans="1:12" x14ac:dyDescent="0.2">
      <c r="A96" s="1656" t="s">
        <v>907</v>
      </c>
      <c r="B96" s="1658"/>
      <c r="C96" s="940">
        <f>IF('5 ALMACEN '!$AB$1="x","CALIBRE 22",0)</f>
        <v>0</v>
      </c>
      <c r="D96" s="542">
        <f>SUMIF(FORMULAS!$BG$64:$ET$64,80,FORMULAS!$BG$65:$ET$65)</f>
        <v>0</v>
      </c>
      <c r="E96" s="939" t="str">
        <f>IF('5 ALMACEN '!$AB$1="X","PAR","UND")</f>
        <v>UND</v>
      </c>
      <c r="F96" s="670"/>
      <c r="G96" s="670"/>
      <c r="H96" s="670"/>
      <c r="I96" s="670"/>
      <c r="J96" s="721"/>
      <c r="K96" s="721">
        <f t="shared" si="7"/>
        <v>0</v>
      </c>
      <c r="L96" s="89">
        <f t="shared" si="6"/>
        <v>0</v>
      </c>
    </row>
    <row r="97" spans="1:12" x14ac:dyDescent="0.2">
      <c r="A97" s="1656" t="s">
        <v>908</v>
      </c>
      <c r="B97" s="1658"/>
      <c r="C97" s="940">
        <f>IF('5 ALMACEN '!$AB$1="x","CALIBRE 22",0)</f>
        <v>0</v>
      </c>
      <c r="D97" s="542">
        <f>SUMIF(FORMULAS!$BG$64:$ET$64,81,FORMULAS!$BG$65:$ET$65)</f>
        <v>0</v>
      </c>
      <c r="E97" s="939" t="str">
        <f>IF('5 ALMACEN '!$AB$1="X","PAR","UND")</f>
        <v>UND</v>
      </c>
      <c r="F97" s="670"/>
      <c r="G97" s="670"/>
      <c r="H97" s="670"/>
      <c r="I97" s="670"/>
      <c r="J97" s="721"/>
      <c r="K97" s="721">
        <f t="shared" si="7"/>
        <v>0</v>
      </c>
      <c r="L97" s="89">
        <f t="shared" si="6"/>
        <v>0</v>
      </c>
    </row>
    <row r="98" spans="1:12" x14ac:dyDescent="0.2">
      <c r="A98" s="1656" t="s">
        <v>909</v>
      </c>
      <c r="B98" s="1658"/>
      <c r="C98" s="940">
        <f>IF('5 ALMACEN '!$AB$1="x","CALIBRE 22",0)</f>
        <v>0</v>
      </c>
      <c r="D98" s="542">
        <f>SUMIF(FORMULAS!$BG$64:$ET$64,82,FORMULAS!$BG$65:$ET$65)</f>
        <v>0</v>
      </c>
      <c r="E98" s="939" t="str">
        <f>IF('5 ALMACEN '!$AB$1="X","PAR","UND")</f>
        <v>UND</v>
      </c>
      <c r="F98" s="670"/>
      <c r="G98" s="670"/>
      <c r="H98" s="670"/>
      <c r="I98" s="670"/>
      <c r="J98" s="721"/>
      <c r="K98" s="721">
        <f t="shared" si="7"/>
        <v>0</v>
      </c>
      <c r="L98" s="89">
        <f t="shared" si="6"/>
        <v>0</v>
      </c>
    </row>
    <row r="99" spans="1:12" x14ac:dyDescent="0.2">
      <c r="A99" s="1656" t="s">
        <v>910</v>
      </c>
      <c r="B99" s="1658"/>
      <c r="C99" s="940">
        <f>IF('5 ALMACEN '!$AB$1="x","CALIBRE 22",0)</f>
        <v>0</v>
      </c>
      <c r="D99" s="542">
        <f>SUMIF(FORMULAS!$BG$64:$ET$64,83,FORMULAS!$BG$65:$ET$65)</f>
        <v>0</v>
      </c>
      <c r="E99" s="939" t="str">
        <f>IF('5 ALMACEN '!$AB$1="X","PAR","UND")</f>
        <v>UND</v>
      </c>
      <c r="F99" s="670"/>
      <c r="G99" s="670"/>
      <c r="H99" s="670"/>
      <c r="I99" s="670"/>
      <c r="J99" s="721"/>
      <c r="K99" s="721">
        <f t="shared" si="7"/>
        <v>0</v>
      </c>
      <c r="L99" s="89">
        <f t="shared" si="6"/>
        <v>0</v>
      </c>
    </row>
    <row r="100" spans="1:12" x14ac:dyDescent="0.2">
      <c r="A100" s="1656" t="s">
        <v>67</v>
      </c>
      <c r="B100" s="1658"/>
      <c r="C100" s="940">
        <f>IF('5 ALMACEN '!$AB$1="x","CALIBRE 22",0)</f>
        <v>0</v>
      </c>
      <c r="D100" s="1021">
        <f>+'5 ALMACEN '!L13</f>
        <v>0</v>
      </c>
      <c r="E100" s="939" t="str">
        <f>IF('5 ALMACEN '!$AB$1="X","PAR","UND")</f>
        <v>UND</v>
      </c>
      <c r="F100" s="670"/>
      <c r="G100" s="670"/>
      <c r="H100" s="670"/>
      <c r="I100" s="670"/>
      <c r="J100" s="721"/>
      <c r="K100" s="721">
        <f>+J100*'5 ALMACEN '!L13</f>
        <v>0</v>
      </c>
      <c r="L100" s="89">
        <f t="shared" si="6"/>
        <v>0</v>
      </c>
    </row>
    <row r="101" spans="1:12" x14ac:dyDescent="0.2">
      <c r="A101" s="1656" t="s">
        <v>911</v>
      </c>
      <c r="B101" s="1658"/>
      <c r="C101" s="940">
        <f>IF('5 ALMACEN '!$AB$1="x","CALIBRE 22",0)</f>
        <v>0</v>
      </c>
      <c r="D101" s="542">
        <f>SUMIF(FORMULAS!$BG$64:$ET$64,85,FORMULAS!$BG$65:$ET$65)</f>
        <v>0</v>
      </c>
      <c r="E101" s="939" t="str">
        <f>IF('5 ALMACEN '!$AB$1="X","PAR","UND")</f>
        <v>UND</v>
      </c>
      <c r="F101" s="670"/>
      <c r="G101" s="670"/>
      <c r="H101" s="670"/>
      <c r="I101" s="670"/>
      <c r="J101" s="721"/>
      <c r="K101" s="721">
        <f>+J101*D101</f>
        <v>0</v>
      </c>
      <c r="L101" s="89">
        <f t="shared" si="6"/>
        <v>0</v>
      </c>
    </row>
    <row r="102" spans="1:12" x14ac:dyDescent="0.2">
      <c r="A102" s="1656" t="s">
        <v>912</v>
      </c>
      <c r="B102" s="1658"/>
      <c r="C102" s="940">
        <f>IF('5 ALMACEN '!$AB$1="x","CALIBRE 22",0)</f>
        <v>0</v>
      </c>
      <c r="D102" s="542">
        <f>SUMIF(FORMULAS!$BG$64:$ET$64,86,FORMULAS!$BG$65:$ET$65)</f>
        <v>0</v>
      </c>
      <c r="E102" s="939" t="str">
        <f>IF('5 ALMACEN '!$AB$1="X","PAR","UND")</f>
        <v>UND</v>
      </c>
      <c r="F102" s="670"/>
      <c r="G102" s="670"/>
      <c r="H102" s="670"/>
      <c r="I102" s="670"/>
      <c r="J102" s="721"/>
      <c r="K102" s="721">
        <f>+J102*D102</f>
        <v>0</v>
      </c>
      <c r="L102" s="89">
        <f t="shared" si="6"/>
        <v>0</v>
      </c>
    </row>
    <row r="103" spans="1:12" x14ac:dyDescent="0.2">
      <c r="A103" s="1656" t="s">
        <v>913</v>
      </c>
      <c r="B103" s="1658"/>
      <c r="C103" s="940">
        <f>IF('5 ALMACEN '!$AB$1="x","CALIBRE 22",0)</f>
        <v>0</v>
      </c>
      <c r="D103" s="542">
        <f>SUMIF(FORMULAS!$BG$64:$ET$64,87,FORMULAS!$BG$65:$ET$65)</f>
        <v>0</v>
      </c>
      <c r="E103" s="939" t="str">
        <f>IF('5 ALMACEN '!$AB$1="X","PAR","UND")</f>
        <v>UND</v>
      </c>
      <c r="F103" s="670"/>
      <c r="G103" s="670"/>
      <c r="H103" s="670"/>
      <c r="I103" s="670"/>
      <c r="J103" s="721"/>
      <c r="K103" s="721">
        <f>+J103*D103</f>
        <v>0</v>
      </c>
      <c r="L103" s="89">
        <f t="shared" si="6"/>
        <v>0</v>
      </c>
    </row>
    <row r="104" spans="1:12" x14ac:dyDescent="0.2">
      <c r="A104" s="1656" t="s">
        <v>914</v>
      </c>
      <c r="B104" s="1658"/>
      <c r="C104" s="940">
        <f>IF('5 ALMACEN '!$AB$1="x","CALIBRE 22",0)</f>
        <v>0</v>
      </c>
      <c r="D104" s="542">
        <f>SUMIF(FORMULAS!$BG$64:$ET$64,88,FORMULAS!$BG$65:$ET$65)</f>
        <v>0</v>
      </c>
      <c r="E104" s="939" t="str">
        <f>IF('5 ALMACEN '!$AB$1="X","PAR","UND")</f>
        <v>UND</v>
      </c>
      <c r="F104" s="670"/>
      <c r="G104" s="670"/>
      <c r="H104" s="670"/>
      <c r="I104" s="670"/>
      <c r="J104" s="721"/>
      <c r="K104" s="721">
        <f>+J104*D104</f>
        <v>0</v>
      </c>
      <c r="L104" s="89">
        <f t="shared" si="6"/>
        <v>0</v>
      </c>
    </row>
    <row r="105" spans="1:12" x14ac:dyDescent="0.2">
      <c r="A105" s="1656" t="s">
        <v>915</v>
      </c>
      <c r="B105" s="1658"/>
      <c r="C105" s="940">
        <f>IF('5 ALMACEN '!$AB$1="x","CALIBRE 22",0)</f>
        <v>0</v>
      </c>
      <c r="D105" s="542">
        <f>SUMIF(FORMULAS!$BG$64:$ET$64,89,FORMULAS!$BG$65:$ET$65)</f>
        <v>0</v>
      </c>
      <c r="E105" s="939" t="str">
        <f>IF('5 ALMACEN '!$AB$1="X","PAR","UND")</f>
        <v>UND</v>
      </c>
      <c r="F105" s="670"/>
      <c r="G105" s="670"/>
      <c r="H105" s="670"/>
      <c r="I105" s="670"/>
      <c r="J105" s="721"/>
      <c r="K105" s="721">
        <f>+J105*D105</f>
        <v>0</v>
      </c>
      <c r="L105" s="89">
        <f t="shared" si="6"/>
        <v>0</v>
      </c>
    </row>
    <row r="106" spans="1:12" x14ac:dyDescent="0.2">
      <c r="A106" s="1656" t="s">
        <v>916</v>
      </c>
      <c r="B106" s="1658"/>
      <c r="C106" s="940">
        <f>IF('5 ALMACEN '!$AB$1="x","CALIBRE 22",0)</f>
        <v>0</v>
      </c>
      <c r="D106" s="1021">
        <f>+'5 ALMACEN '!L14</f>
        <v>0</v>
      </c>
      <c r="E106" s="939" t="str">
        <f>IF('5 ALMACEN '!$AB$1="X","PAR","UND")</f>
        <v>UND</v>
      </c>
      <c r="F106" s="670"/>
      <c r="G106" s="670"/>
      <c r="H106" s="670"/>
      <c r="I106" s="670"/>
      <c r="J106" s="721"/>
      <c r="K106" s="721">
        <f>+J106*'5 ALMACEN '!L14</f>
        <v>0</v>
      </c>
      <c r="L106" s="89">
        <f t="shared" si="6"/>
        <v>0</v>
      </c>
    </row>
    <row r="107" spans="1:12" x14ac:dyDescent="0.2">
      <c r="A107" s="1656" t="s">
        <v>917</v>
      </c>
      <c r="B107" s="1658"/>
      <c r="C107" s="940">
        <f>IF('5 ALMACEN '!$AB$1="x","CALIBRE 22",0)</f>
        <v>0</v>
      </c>
      <c r="D107" s="542">
        <f>SUMIF(FORMULAS!$BG$64:$ET$64,91,FORMULAS!$BG$65:$ET$65)</f>
        <v>0</v>
      </c>
      <c r="E107" s="939" t="str">
        <f>IF('5 ALMACEN '!$AB$1="X","PAR","UND")</f>
        <v>UND</v>
      </c>
      <c r="F107" s="670"/>
      <c r="G107" s="670"/>
      <c r="H107" s="670"/>
      <c r="I107" s="670"/>
      <c r="J107" s="721"/>
      <c r="K107" s="721">
        <f t="shared" ref="K107:K127" si="8">+J107*D107</f>
        <v>0</v>
      </c>
      <c r="L107" s="89">
        <f t="shared" si="6"/>
        <v>0</v>
      </c>
    </row>
    <row r="108" spans="1:12" x14ac:dyDescent="0.2">
      <c r="A108" s="1656" t="s">
        <v>918</v>
      </c>
      <c r="B108" s="1658"/>
      <c r="C108" s="940">
        <f>IF('5 ALMACEN '!$AB$1="x","CALIBRE 22",0)</f>
        <v>0</v>
      </c>
      <c r="D108" s="542">
        <f>SUMIF(FORMULAS!$BG$64:$ET$64,92,FORMULAS!$BG$65:$ET$65)</f>
        <v>0</v>
      </c>
      <c r="E108" s="939" t="str">
        <f>IF('5 ALMACEN '!$AB$1="X","PAR","UND")</f>
        <v>UND</v>
      </c>
      <c r="F108" s="670"/>
      <c r="G108" s="670"/>
      <c r="H108" s="670"/>
      <c r="I108" s="670"/>
      <c r="J108" s="721"/>
      <c r="K108" s="721">
        <f t="shared" si="8"/>
        <v>0</v>
      </c>
      <c r="L108" s="89">
        <f t="shared" si="6"/>
        <v>0</v>
      </c>
    </row>
    <row r="109" spans="1:12" x14ac:dyDescent="0.2">
      <c r="A109" s="1656" t="s">
        <v>919</v>
      </c>
      <c r="B109" s="1658"/>
      <c r="C109" s="940">
        <f>IF('5 ALMACEN '!$AB$1="x","CALIBRE 22",0)</f>
        <v>0</v>
      </c>
      <c r="D109" s="542">
        <f>SUMIF(FORMULAS!$BG$64:$ET$64,93,FORMULAS!$BG$65:$ET$65)</f>
        <v>0</v>
      </c>
      <c r="E109" s="939" t="str">
        <f>IF('5 ALMACEN '!$AB$1="X","PAR","UND")</f>
        <v>UND</v>
      </c>
      <c r="F109" s="670"/>
      <c r="G109" s="670"/>
      <c r="H109" s="670"/>
      <c r="I109" s="670"/>
      <c r="J109" s="721"/>
      <c r="K109" s="721">
        <f t="shared" si="8"/>
        <v>0</v>
      </c>
      <c r="L109" s="89">
        <f t="shared" si="6"/>
        <v>0</v>
      </c>
    </row>
    <row r="110" spans="1:12" x14ac:dyDescent="0.2">
      <c r="A110" s="1656" t="s">
        <v>920</v>
      </c>
      <c r="B110" s="1658"/>
      <c r="C110" s="940">
        <f>IF('5 ALMACEN '!$AB$1="x","CALIBRE 22",0)</f>
        <v>0</v>
      </c>
      <c r="D110" s="542">
        <f>SUMIF(FORMULAS!$BG$64:$ET$64,94,FORMULAS!$BG$65:$ET$65)</f>
        <v>0</v>
      </c>
      <c r="E110" s="939" t="str">
        <f>IF('5 ALMACEN '!$AB$1="X","PAR","UND")</f>
        <v>UND</v>
      </c>
      <c r="F110" s="670"/>
      <c r="G110" s="670"/>
      <c r="H110" s="670"/>
      <c r="I110" s="670"/>
      <c r="J110" s="721"/>
      <c r="K110" s="721">
        <f t="shared" si="8"/>
        <v>0</v>
      </c>
      <c r="L110" s="89">
        <f t="shared" si="6"/>
        <v>0</v>
      </c>
    </row>
    <row r="111" spans="1:12" x14ac:dyDescent="0.2">
      <c r="A111" s="1656" t="s">
        <v>921</v>
      </c>
      <c r="B111" s="1658"/>
      <c r="C111" s="940">
        <f>IF('5 ALMACEN '!$AB$1="x","CALIBRE 22",0)</f>
        <v>0</v>
      </c>
      <c r="D111" s="542">
        <f>SUMIF(FORMULAS!$BG$64:$ET$64,95,FORMULAS!$BG$65:$ET$65)</f>
        <v>0</v>
      </c>
      <c r="E111" s="939" t="str">
        <f>IF('5 ALMACEN '!$AB$1="X","PAR","UND")</f>
        <v>UND</v>
      </c>
      <c r="F111" s="670"/>
      <c r="G111" s="670"/>
      <c r="H111" s="670"/>
      <c r="I111" s="670"/>
      <c r="J111" s="721"/>
      <c r="K111" s="721">
        <f t="shared" si="8"/>
        <v>0</v>
      </c>
      <c r="L111" s="89">
        <f t="shared" si="6"/>
        <v>0</v>
      </c>
    </row>
    <row r="112" spans="1:12" x14ac:dyDescent="0.2">
      <c r="A112" s="1656" t="s">
        <v>922</v>
      </c>
      <c r="B112" s="1658"/>
      <c r="C112" s="940">
        <f>IF('5 ALMACEN '!$AB$1="x","CALIBRE 22",0)</f>
        <v>0</v>
      </c>
      <c r="D112" s="542">
        <f>SUMIF(FORMULAS!$BG$64:$ET$64,96,FORMULAS!$BG$65:$ET$65)</f>
        <v>0</v>
      </c>
      <c r="E112" s="939" t="str">
        <f>IF('5 ALMACEN '!$AB$1="X","PAR","UND")</f>
        <v>UND</v>
      </c>
      <c r="F112" s="670"/>
      <c r="G112" s="670"/>
      <c r="H112" s="670"/>
      <c r="I112" s="670"/>
      <c r="J112" s="721"/>
      <c r="K112" s="721">
        <f t="shared" si="8"/>
        <v>0</v>
      </c>
      <c r="L112" s="89">
        <f t="shared" si="6"/>
        <v>0</v>
      </c>
    </row>
    <row r="113" spans="1:12" x14ac:dyDescent="0.2">
      <c r="A113" s="1656" t="s">
        <v>923</v>
      </c>
      <c r="B113" s="1658"/>
      <c r="C113" s="940">
        <f>IF('5 ALMACEN '!$AB$1="x","CALIBRE 22",0)</f>
        <v>0</v>
      </c>
      <c r="D113" s="542">
        <f>SUMIF(FORMULAS!$BG$64:$ET$64,97,FORMULAS!$BG$65:$ET$65)</f>
        <v>0</v>
      </c>
      <c r="E113" s="939" t="str">
        <f>IF('5 ALMACEN '!$AB$1="X","PAR","UND")</f>
        <v>UND</v>
      </c>
      <c r="F113" s="670"/>
      <c r="G113" s="670"/>
      <c r="H113" s="670"/>
      <c r="I113" s="670"/>
      <c r="J113" s="721"/>
      <c r="K113" s="721">
        <f t="shared" si="8"/>
        <v>0</v>
      </c>
      <c r="L113" s="89">
        <f t="shared" si="6"/>
        <v>0</v>
      </c>
    </row>
    <row r="114" spans="1:12" x14ac:dyDescent="0.2">
      <c r="A114" s="1656" t="s">
        <v>924</v>
      </c>
      <c r="B114" s="1658"/>
      <c r="C114" s="940">
        <f>IF('5 ALMACEN '!$AB$1="x","CALIBRE 22",0)</f>
        <v>0</v>
      </c>
      <c r="D114" s="542">
        <f>SUMIF(FORMULAS!$BG$64:$ET$64,98,FORMULAS!$BG$65:$ET$65)</f>
        <v>0</v>
      </c>
      <c r="E114" s="939" t="str">
        <f>IF('5 ALMACEN '!$AB$1="X","PAR","UND")</f>
        <v>UND</v>
      </c>
      <c r="F114" s="670"/>
      <c r="G114" s="670"/>
      <c r="H114" s="670"/>
      <c r="I114" s="670"/>
      <c r="J114" s="721"/>
      <c r="K114" s="721">
        <f t="shared" si="8"/>
        <v>0</v>
      </c>
      <c r="L114" s="89">
        <f t="shared" si="6"/>
        <v>0</v>
      </c>
    </row>
    <row r="115" spans="1:12" x14ac:dyDescent="0.2">
      <c r="A115" s="1656" t="s">
        <v>925</v>
      </c>
      <c r="B115" s="1658"/>
      <c r="C115" s="940">
        <f>IF('5 ALMACEN '!$AB$1="x","CALIBRE 22",0)</f>
        <v>0</v>
      </c>
      <c r="D115" s="542">
        <f>SUMIF(FORMULAS!$BG$64:$ET$64,99,FORMULAS!$BG$65:$ET$65)</f>
        <v>0</v>
      </c>
      <c r="E115" s="939" t="str">
        <f>IF('5 ALMACEN '!$AB$1="X","PAR","UND")</f>
        <v>UND</v>
      </c>
      <c r="F115" s="670"/>
      <c r="G115" s="670"/>
      <c r="H115" s="670"/>
      <c r="I115" s="670"/>
      <c r="J115" s="721"/>
      <c r="K115" s="721">
        <f t="shared" si="8"/>
        <v>0</v>
      </c>
      <c r="L115" s="89">
        <f t="shared" si="6"/>
        <v>0</v>
      </c>
    </row>
    <row r="116" spans="1:12" x14ac:dyDescent="0.2">
      <c r="A116" s="1656" t="s">
        <v>926</v>
      </c>
      <c r="B116" s="1658"/>
      <c r="C116" s="940">
        <f>IF('5 ALMACEN '!$AB$1="x","CALIBRE 22",0)</f>
        <v>0</v>
      </c>
      <c r="D116" s="542">
        <f>SUMIF(FORMULAS!$BG$64:$ET$64,100,FORMULAS!$BG$65:$ET$65)</f>
        <v>0</v>
      </c>
      <c r="E116" s="939" t="str">
        <f>IF('5 ALMACEN '!$AB$1="X","PAR","UND")</f>
        <v>UND</v>
      </c>
      <c r="F116" s="670"/>
      <c r="G116" s="670"/>
      <c r="H116" s="670"/>
      <c r="I116" s="670"/>
      <c r="J116" s="721"/>
      <c r="K116" s="721">
        <f t="shared" si="8"/>
        <v>0</v>
      </c>
      <c r="L116" s="89">
        <f t="shared" si="6"/>
        <v>0</v>
      </c>
    </row>
    <row r="117" spans="1:12" x14ac:dyDescent="0.2">
      <c r="A117" s="1656" t="s">
        <v>927</v>
      </c>
      <c r="B117" s="1658"/>
      <c r="C117" s="940">
        <f>IF('5 ALMACEN '!$AB$1="x","CALIBRE 22",0)</f>
        <v>0</v>
      </c>
      <c r="D117" s="542">
        <f>SUMIF(FORMULAS!$BG$64:$ET$64,101,FORMULAS!$BG$65:$ET$65)</f>
        <v>0</v>
      </c>
      <c r="E117" s="939" t="str">
        <f>IF('5 ALMACEN '!$AB$1="X","PAR","UND")</f>
        <v>UND</v>
      </c>
      <c r="F117" s="670"/>
      <c r="G117" s="670"/>
      <c r="H117" s="670"/>
      <c r="I117" s="670"/>
      <c r="J117" s="721"/>
      <c r="K117" s="721">
        <f t="shared" si="8"/>
        <v>0</v>
      </c>
      <c r="L117" s="89">
        <f t="shared" si="6"/>
        <v>0</v>
      </c>
    </row>
    <row r="118" spans="1:12" x14ac:dyDescent="0.2">
      <c r="A118" s="1656" t="s">
        <v>928</v>
      </c>
      <c r="B118" s="1658"/>
      <c r="C118" s="940">
        <f>IF('5 ALMACEN '!$AB$1="x","CALIBRE 22",0)</f>
        <v>0</v>
      </c>
      <c r="D118" s="542">
        <f>SUMIF(FORMULAS!$BG$64:$ET$64,102,FORMULAS!$BG$65:$ET$65)</f>
        <v>0</v>
      </c>
      <c r="E118" s="939" t="str">
        <f>IF('5 ALMACEN '!$AB$1="X","PAR","UND")</f>
        <v>UND</v>
      </c>
      <c r="F118" s="670"/>
      <c r="G118" s="670"/>
      <c r="H118" s="670"/>
      <c r="I118" s="670"/>
      <c r="J118" s="721"/>
      <c r="K118" s="721">
        <f t="shared" si="8"/>
        <v>0</v>
      </c>
      <c r="L118" s="89">
        <f t="shared" si="6"/>
        <v>0</v>
      </c>
    </row>
    <row r="119" spans="1:12" x14ac:dyDescent="0.2">
      <c r="A119" s="1656" t="s">
        <v>929</v>
      </c>
      <c r="B119" s="1658"/>
      <c r="C119" s="940">
        <f>IF('5 ALMACEN '!$AB$1="x","CALIBRE 22",0)</f>
        <v>0</v>
      </c>
      <c r="D119" s="542">
        <f>SUMIF(FORMULAS!$BG$64:$ET$64,103,FORMULAS!$BG$65:$ET$65)</f>
        <v>0</v>
      </c>
      <c r="E119" s="939" t="str">
        <f>IF('5 ALMACEN '!$AB$1="X","PAR","UND")</f>
        <v>UND</v>
      </c>
      <c r="F119" s="670"/>
      <c r="G119" s="670"/>
      <c r="H119" s="670"/>
      <c r="I119" s="670"/>
      <c r="J119" s="721"/>
      <c r="K119" s="721">
        <f t="shared" si="8"/>
        <v>0</v>
      </c>
      <c r="L119" s="89">
        <f t="shared" si="6"/>
        <v>0</v>
      </c>
    </row>
    <row r="120" spans="1:12" x14ac:dyDescent="0.2">
      <c r="A120" s="1656" t="s">
        <v>930</v>
      </c>
      <c r="B120" s="1658"/>
      <c r="C120" s="940">
        <f>IF('5 ALMACEN '!$AB$1="x","CALIBRE 22",0)</f>
        <v>0</v>
      </c>
      <c r="D120" s="542">
        <f>SUMIF(FORMULAS!$BG$64:$ET$64,104,FORMULAS!$BG$65:$ET$65)</f>
        <v>0</v>
      </c>
      <c r="E120" s="939" t="str">
        <f>IF('5 ALMACEN '!$AB$1="X","PAR","UND")</f>
        <v>UND</v>
      </c>
      <c r="F120" s="670"/>
      <c r="G120" s="670"/>
      <c r="H120" s="670"/>
      <c r="I120" s="670"/>
      <c r="J120" s="721"/>
      <c r="K120" s="721">
        <f t="shared" si="8"/>
        <v>0</v>
      </c>
      <c r="L120" s="89">
        <f t="shared" si="6"/>
        <v>0</v>
      </c>
    </row>
    <row r="121" spans="1:12" x14ac:dyDescent="0.2">
      <c r="A121" s="1656" t="s">
        <v>931</v>
      </c>
      <c r="B121" s="1658"/>
      <c r="C121" s="940">
        <f>IF('5 ALMACEN '!$AB$1="x","CALIBRE 22",0)</f>
        <v>0</v>
      </c>
      <c r="D121" s="542">
        <f>SUMIF(FORMULAS!$BG$64:$ET$64,105,FORMULAS!$BG$65:$ET$65)</f>
        <v>0</v>
      </c>
      <c r="E121" s="939" t="str">
        <f>IF('5 ALMACEN '!$AB$1="X","PAR","UND")</f>
        <v>UND</v>
      </c>
      <c r="F121" s="670"/>
      <c r="G121" s="670"/>
      <c r="H121" s="670"/>
      <c r="I121" s="670"/>
      <c r="J121" s="721"/>
      <c r="K121" s="721">
        <f t="shared" si="8"/>
        <v>0</v>
      </c>
      <c r="L121" s="89">
        <f t="shared" si="6"/>
        <v>0</v>
      </c>
    </row>
    <row r="122" spans="1:12" x14ac:dyDescent="0.2">
      <c r="A122" s="1656" t="s">
        <v>932</v>
      </c>
      <c r="B122" s="1658"/>
      <c r="C122" s="940">
        <f>IF('5 ALMACEN '!$AB$1="x","CALIBRE 22",0)</f>
        <v>0</v>
      </c>
      <c r="D122" s="542">
        <f>SUMIF(FORMULAS!$BG$64:$ET$64,106,FORMULAS!$BG$65:$ET$65)</f>
        <v>0</v>
      </c>
      <c r="E122" s="939" t="str">
        <f>IF('5 ALMACEN '!$AB$1="X","PAR","UND")</f>
        <v>UND</v>
      </c>
      <c r="F122" s="670"/>
      <c r="G122" s="670"/>
      <c r="H122" s="670"/>
      <c r="I122" s="670"/>
      <c r="J122" s="721"/>
      <c r="K122" s="721">
        <f t="shared" si="8"/>
        <v>0</v>
      </c>
      <c r="L122" s="89">
        <f t="shared" si="6"/>
        <v>0</v>
      </c>
    </row>
    <row r="123" spans="1:12" x14ac:dyDescent="0.2">
      <c r="A123" s="1656" t="s">
        <v>933</v>
      </c>
      <c r="B123" s="1658"/>
      <c r="C123" s="940">
        <f>IF('5 ALMACEN '!$AB$1="x","CALIBRE 22",0)</f>
        <v>0</v>
      </c>
      <c r="D123" s="542">
        <f>SUMIF(FORMULAS!$BG$64:$ET$64,107,FORMULAS!$BG$65:$ET$65)</f>
        <v>0</v>
      </c>
      <c r="E123" s="939" t="str">
        <f>IF('5 ALMACEN '!$AB$1="X","PAR","UND")</f>
        <v>UND</v>
      </c>
      <c r="F123" s="670"/>
      <c r="G123" s="670"/>
      <c r="H123" s="670"/>
      <c r="I123" s="670"/>
      <c r="J123" s="721"/>
      <c r="K123" s="721">
        <f t="shared" si="8"/>
        <v>0</v>
      </c>
      <c r="L123" s="89">
        <f t="shared" si="6"/>
        <v>0</v>
      </c>
    </row>
    <row r="124" spans="1:12" x14ac:dyDescent="0.2">
      <c r="A124" s="1656" t="s">
        <v>934</v>
      </c>
      <c r="B124" s="1658"/>
      <c r="C124" s="940">
        <f>IF('5 ALMACEN '!$AB$1="x","CALIBRE 22",0)</f>
        <v>0</v>
      </c>
      <c r="D124" s="542">
        <f>SUMIF(FORMULAS!$BG$64:$ET$64,108,FORMULAS!$BG$65:$ET$65)</f>
        <v>0</v>
      </c>
      <c r="E124" s="939" t="str">
        <f>IF('5 ALMACEN '!$AB$1="X","PAR","UND")</f>
        <v>UND</v>
      </c>
      <c r="F124" s="670"/>
      <c r="G124" s="670"/>
      <c r="H124" s="670"/>
      <c r="I124" s="670"/>
      <c r="J124" s="721"/>
      <c r="K124" s="721">
        <f t="shared" si="8"/>
        <v>0</v>
      </c>
      <c r="L124" s="89">
        <f t="shared" si="6"/>
        <v>0</v>
      </c>
    </row>
    <row r="125" spans="1:12" x14ac:dyDescent="0.2">
      <c r="A125" s="1656" t="s">
        <v>935</v>
      </c>
      <c r="B125" s="1658"/>
      <c r="C125" s="940">
        <f>IF('5 ALMACEN '!$AB$1="x","CALIBRE 22",0)</f>
        <v>0</v>
      </c>
      <c r="D125" s="542">
        <f>SUMIF(FORMULAS!$BG$64:$ET$64,109,FORMULAS!$BG$65:$ET$65)</f>
        <v>0</v>
      </c>
      <c r="E125" s="939" t="str">
        <f>IF('5 ALMACEN '!$AB$1="X","PAR","UND")</f>
        <v>UND</v>
      </c>
      <c r="F125" s="670"/>
      <c r="G125" s="670"/>
      <c r="H125" s="670"/>
      <c r="I125" s="670"/>
      <c r="J125" s="721"/>
      <c r="K125" s="721">
        <f t="shared" si="8"/>
        <v>0</v>
      </c>
      <c r="L125" s="89">
        <f t="shared" si="6"/>
        <v>0</v>
      </c>
    </row>
    <row r="126" spans="1:12" x14ac:dyDescent="0.2">
      <c r="A126" s="1656" t="s">
        <v>936</v>
      </c>
      <c r="B126" s="1658"/>
      <c r="C126" s="940">
        <f>IF('5 ALMACEN '!$AB$1="x","CALIBRE 22",0)</f>
        <v>0</v>
      </c>
      <c r="D126" s="542">
        <f>SUMIF(FORMULAS!$BG$64:$ET$64,110,FORMULAS!$BG$65:$ET$65)</f>
        <v>0</v>
      </c>
      <c r="E126" s="939" t="str">
        <f>IF('5 ALMACEN '!$AB$1="X","PAR","UND")</f>
        <v>UND</v>
      </c>
      <c r="F126" s="670"/>
      <c r="G126" s="670"/>
      <c r="H126" s="670"/>
      <c r="I126" s="670"/>
      <c r="J126" s="721"/>
      <c r="K126" s="721">
        <f t="shared" si="8"/>
        <v>0</v>
      </c>
      <c r="L126" s="89">
        <f t="shared" si="6"/>
        <v>0</v>
      </c>
    </row>
    <row r="127" spans="1:12" x14ac:dyDescent="0.2">
      <c r="A127" s="1656" t="s">
        <v>937</v>
      </c>
      <c r="B127" s="1658"/>
      <c r="C127" s="940">
        <f>IF('5 ALMACEN '!$AB$1="x","CALIBRE 22",0)</f>
        <v>0</v>
      </c>
      <c r="D127" s="542">
        <f>SUMIF(FORMULAS!$BG$64:$ET$64,111,FORMULAS!$BG$65:$ET$65)</f>
        <v>0</v>
      </c>
      <c r="E127" s="939" t="str">
        <f>IF('5 ALMACEN '!$AB$1="X","PAR","UND")</f>
        <v>UND</v>
      </c>
      <c r="F127" s="670"/>
      <c r="G127" s="670"/>
      <c r="H127" s="670"/>
      <c r="I127" s="670"/>
      <c r="J127" s="721"/>
      <c r="K127" s="721">
        <f t="shared" si="8"/>
        <v>0</v>
      </c>
      <c r="L127" s="89">
        <f t="shared" si="6"/>
        <v>0</v>
      </c>
    </row>
    <row r="128" spans="1:12" x14ac:dyDescent="0.2">
      <c r="A128" s="1656" t="s">
        <v>68</v>
      </c>
      <c r="B128" s="1658"/>
      <c r="C128" s="940">
        <f>IF('5 ALMACEN '!$AB$1="x","CALIBRE 22",0)</f>
        <v>0</v>
      </c>
      <c r="D128" s="1021">
        <f>+'5 ALMACEN '!L15</f>
        <v>0</v>
      </c>
      <c r="E128" s="939" t="str">
        <f>IF('5 ALMACEN '!$AB$1="X","PAR","UND")</f>
        <v>UND</v>
      </c>
      <c r="F128" s="670"/>
      <c r="G128" s="670"/>
      <c r="H128" s="670"/>
      <c r="I128" s="670"/>
      <c r="J128" s="721"/>
      <c r="K128" s="721">
        <f>+J128*'5 ALMACEN '!L15</f>
        <v>0</v>
      </c>
      <c r="L128" s="89">
        <f t="shared" si="6"/>
        <v>0</v>
      </c>
    </row>
    <row r="129" spans="1:12" x14ac:dyDescent="0.2">
      <c r="A129" s="1656" t="s">
        <v>938</v>
      </c>
      <c r="B129" s="1658"/>
      <c r="C129" s="940">
        <f>IF('5 ALMACEN '!$AB$1="x","CALIBRE 22",0)</f>
        <v>0</v>
      </c>
      <c r="D129" s="542">
        <f>SUMIF(FORMULAS!$BG$64:$ET$64,113,FORMULAS!$BG$65:$ET$65)</f>
        <v>0</v>
      </c>
      <c r="E129" s="939" t="str">
        <f>IF('5 ALMACEN '!$AB$1="X","PAR","UND")</f>
        <v>UND</v>
      </c>
      <c r="F129" s="670"/>
      <c r="G129" s="670"/>
      <c r="H129" s="670"/>
      <c r="I129" s="670"/>
      <c r="J129" s="721"/>
      <c r="K129" s="721">
        <f t="shared" ref="K129:K135" si="9">+J129*D129</f>
        <v>0</v>
      </c>
      <c r="L129" s="89">
        <f t="shared" si="6"/>
        <v>0</v>
      </c>
    </row>
    <row r="130" spans="1:12" x14ac:dyDescent="0.2">
      <c r="A130" s="1656" t="s">
        <v>939</v>
      </c>
      <c r="B130" s="1658"/>
      <c r="C130" s="940">
        <f>IF('5 ALMACEN '!$AB$1="x","CALIBRE 22",0)</f>
        <v>0</v>
      </c>
      <c r="D130" s="542">
        <f>SUMIF(FORMULAS!$BG$64:$ET$64,114,FORMULAS!$BG$65:$ET$65)</f>
        <v>0</v>
      </c>
      <c r="E130" s="939" t="str">
        <f>IF('5 ALMACEN '!$AB$1="X","PAR","UND")</f>
        <v>UND</v>
      </c>
      <c r="F130" s="670"/>
      <c r="G130" s="670"/>
      <c r="H130" s="670"/>
      <c r="I130" s="670"/>
      <c r="J130" s="721"/>
      <c r="K130" s="721">
        <f t="shared" si="9"/>
        <v>0</v>
      </c>
      <c r="L130" s="89">
        <f t="shared" si="6"/>
        <v>0</v>
      </c>
    </row>
    <row r="131" spans="1:12" x14ac:dyDescent="0.2">
      <c r="A131" s="1656" t="s">
        <v>940</v>
      </c>
      <c r="B131" s="1658"/>
      <c r="C131" s="940">
        <f>IF('5 ALMACEN '!$AB$1="x","CALIBRE 22",0)</f>
        <v>0</v>
      </c>
      <c r="D131" s="542">
        <f>SUMIF(FORMULAS!$BG$64:$ET$64,115,FORMULAS!$BG$65:$ET$65)</f>
        <v>0</v>
      </c>
      <c r="E131" s="939" t="str">
        <f>IF('5 ALMACEN '!$AB$1="X","PAR","UND")</f>
        <v>UND</v>
      </c>
      <c r="F131" s="670"/>
      <c r="G131" s="670"/>
      <c r="H131" s="670"/>
      <c r="I131" s="670"/>
      <c r="J131" s="721"/>
      <c r="K131" s="721">
        <f t="shared" si="9"/>
        <v>0</v>
      </c>
      <c r="L131" s="89">
        <f t="shared" si="6"/>
        <v>0</v>
      </c>
    </row>
    <row r="132" spans="1:12" x14ac:dyDescent="0.2">
      <c r="A132" s="1656" t="s">
        <v>941</v>
      </c>
      <c r="B132" s="1658"/>
      <c r="C132" s="940">
        <f>IF('5 ALMACEN '!$AB$1="x","CALIBRE 22",0)</f>
        <v>0</v>
      </c>
      <c r="D132" s="542">
        <f>SUMIF(FORMULAS!$BG$64:$ET$64,116,FORMULAS!$BG$65:$ET$65)</f>
        <v>0</v>
      </c>
      <c r="E132" s="939" t="str">
        <f>IF('5 ALMACEN '!$AB$1="X","PAR","UND")</f>
        <v>UND</v>
      </c>
      <c r="F132" s="670"/>
      <c r="G132" s="670"/>
      <c r="H132" s="670"/>
      <c r="I132" s="670"/>
      <c r="J132" s="721"/>
      <c r="K132" s="721">
        <f t="shared" si="9"/>
        <v>0</v>
      </c>
      <c r="L132" s="89">
        <f t="shared" si="6"/>
        <v>0</v>
      </c>
    </row>
    <row r="133" spans="1:12" x14ac:dyDescent="0.2">
      <c r="A133" s="1656" t="s">
        <v>942</v>
      </c>
      <c r="B133" s="1658"/>
      <c r="C133" s="940">
        <f>IF('5 ALMACEN '!$AB$1="x","CALIBRE 22",0)</f>
        <v>0</v>
      </c>
      <c r="D133" s="542">
        <f>SUMIF(FORMULAS!$BG$64:$ET$64,117,FORMULAS!$BG$65:$ET$65)</f>
        <v>0</v>
      </c>
      <c r="E133" s="939" t="str">
        <f>IF('5 ALMACEN '!$AB$1="X","PAR","UND")</f>
        <v>UND</v>
      </c>
      <c r="F133" s="670"/>
      <c r="G133" s="670"/>
      <c r="H133" s="670"/>
      <c r="I133" s="670"/>
      <c r="J133" s="721"/>
      <c r="K133" s="721">
        <f t="shared" si="9"/>
        <v>0</v>
      </c>
      <c r="L133" s="89">
        <f t="shared" si="6"/>
        <v>0</v>
      </c>
    </row>
    <row r="134" spans="1:12" x14ac:dyDescent="0.2">
      <c r="A134" s="1656" t="s">
        <v>943</v>
      </c>
      <c r="B134" s="1658"/>
      <c r="C134" s="940">
        <f>IF('5 ALMACEN '!$AB$1="x","CALIBRE 22",0)</f>
        <v>0</v>
      </c>
      <c r="D134" s="542">
        <f>SUMIF(FORMULAS!$BG$64:$ET$64,118,FORMULAS!$BG$65:$ET$65)</f>
        <v>0</v>
      </c>
      <c r="E134" s="939" t="str">
        <f>IF('5 ALMACEN '!$AB$1="X","PAR","UND")</f>
        <v>UND</v>
      </c>
      <c r="F134" s="670"/>
      <c r="G134" s="670"/>
      <c r="H134" s="670"/>
      <c r="I134" s="670"/>
      <c r="J134" s="721"/>
      <c r="K134" s="721">
        <f t="shared" si="9"/>
        <v>0</v>
      </c>
      <c r="L134" s="89">
        <f t="shared" si="6"/>
        <v>0</v>
      </c>
    </row>
    <row r="135" spans="1:12" x14ac:dyDescent="0.2">
      <c r="A135" s="1656" t="s">
        <v>944</v>
      </c>
      <c r="B135" s="1658"/>
      <c r="C135" s="940">
        <f>IF('5 ALMACEN '!$AB$1="x","CALIBRE 22",0)</f>
        <v>0</v>
      </c>
      <c r="D135" s="542">
        <f>SUMIF(FORMULAS!$BG$64:$ET$64,119,FORMULAS!$BG$65:$ET$65)</f>
        <v>0</v>
      </c>
      <c r="E135" s="939" t="str">
        <f>IF('5 ALMACEN '!$AB$1="X","PAR","UND")</f>
        <v>UND</v>
      </c>
      <c r="F135" s="670"/>
      <c r="G135" s="670"/>
      <c r="H135" s="670"/>
      <c r="I135" s="670"/>
      <c r="J135" s="721"/>
      <c r="K135" s="721">
        <f t="shared" si="9"/>
        <v>0</v>
      </c>
      <c r="L135" s="89">
        <f t="shared" si="6"/>
        <v>0</v>
      </c>
    </row>
    <row r="136" spans="1:12" x14ac:dyDescent="0.2">
      <c r="A136" s="1656" t="s">
        <v>945</v>
      </c>
      <c r="B136" s="1658"/>
      <c r="C136" s="940">
        <f>IF('5 ALMACEN '!$AB$1="x","CALIBRE 22",0)</f>
        <v>0</v>
      </c>
      <c r="D136" s="1021">
        <f>+'5 ALMACEN '!L16</f>
        <v>0</v>
      </c>
      <c r="E136" s="939" t="str">
        <f>IF('5 ALMACEN '!$AB$1="X","PAR","UND")</f>
        <v>UND</v>
      </c>
      <c r="F136" s="670"/>
      <c r="G136" s="670"/>
      <c r="H136" s="670"/>
      <c r="I136" s="670"/>
      <c r="J136" s="721"/>
      <c r="K136" s="721">
        <f>+J136*'5 ALMACEN '!L16</f>
        <v>0</v>
      </c>
      <c r="L136" s="89">
        <f t="shared" si="6"/>
        <v>0</v>
      </c>
    </row>
    <row r="137" spans="1:12" x14ac:dyDescent="0.2">
      <c r="A137" s="1656" t="s">
        <v>946</v>
      </c>
      <c r="B137" s="1658"/>
      <c r="C137" s="940">
        <f>IF('5 ALMACEN '!$AB$1="x","CALIBRE 22",0)</f>
        <v>0</v>
      </c>
      <c r="D137" s="542">
        <f>SUMIF(FORMULAS!$BG$64:$ET$64,121,FORMULAS!$BG$65:$ET$65)</f>
        <v>0</v>
      </c>
      <c r="E137" s="939" t="str">
        <f>IF('5 ALMACEN '!$AB$1="X","PAR","UND")</f>
        <v>UND</v>
      </c>
      <c r="F137" s="670"/>
      <c r="G137" s="670"/>
      <c r="H137" s="670"/>
      <c r="I137" s="670"/>
      <c r="J137" s="721"/>
      <c r="K137" s="721">
        <f t="shared" ref="K137:K155" si="10">+J137*D137</f>
        <v>0</v>
      </c>
      <c r="L137" s="89">
        <f t="shared" si="6"/>
        <v>0</v>
      </c>
    </row>
    <row r="138" spans="1:12" x14ac:dyDescent="0.2">
      <c r="A138" s="1656" t="s">
        <v>947</v>
      </c>
      <c r="B138" s="1658"/>
      <c r="C138" s="940">
        <f>IF('5 ALMACEN '!$AB$1="x","CALIBRE 22",0)</f>
        <v>0</v>
      </c>
      <c r="D138" s="542">
        <f>SUMIF(FORMULAS!$BG$64:$ET$64,122,FORMULAS!$BG$65:$ET$65)</f>
        <v>0</v>
      </c>
      <c r="E138" s="939" t="str">
        <f>IF('5 ALMACEN '!$AB$1="X","PAR","UND")</f>
        <v>UND</v>
      </c>
      <c r="F138" s="670"/>
      <c r="G138" s="670"/>
      <c r="H138" s="670"/>
      <c r="I138" s="670"/>
      <c r="J138" s="721"/>
      <c r="K138" s="721">
        <f t="shared" si="10"/>
        <v>0</v>
      </c>
      <c r="L138" s="89">
        <f t="shared" si="6"/>
        <v>0</v>
      </c>
    </row>
    <row r="139" spans="1:12" x14ac:dyDescent="0.2">
      <c r="A139" s="1656" t="s">
        <v>948</v>
      </c>
      <c r="B139" s="1658"/>
      <c r="C139" s="940">
        <f>IF('5 ALMACEN '!$AB$1="x","CALIBRE 22",0)</f>
        <v>0</v>
      </c>
      <c r="D139" s="542">
        <f>SUMIF(FORMULAS!$BG$64:$ET$64,123,FORMULAS!$BG$65:$ET$65)</f>
        <v>0</v>
      </c>
      <c r="E139" s="939" t="str">
        <f>IF('5 ALMACEN '!$AB$1="X","PAR","UND")</f>
        <v>UND</v>
      </c>
      <c r="F139" s="670"/>
      <c r="G139" s="670"/>
      <c r="H139" s="670"/>
      <c r="I139" s="670"/>
      <c r="J139" s="721"/>
      <c r="K139" s="721">
        <f t="shared" si="10"/>
        <v>0</v>
      </c>
      <c r="L139" s="89">
        <f t="shared" si="6"/>
        <v>0</v>
      </c>
    </row>
    <row r="140" spans="1:12" x14ac:dyDescent="0.2">
      <c r="A140" s="1656" t="s">
        <v>949</v>
      </c>
      <c r="B140" s="1658"/>
      <c r="C140" s="940">
        <f>IF('5 ALMACEN '!$AB$1="x","CALIBRE 22",0)</f>
        <v>0</v>
      </c>
      <c r="D140" s="542">
        <f>SUMIF(FORMULAS!$BG$64:$ET$64,124,FORMULAS!$BG$65:$ET$65)</f>
        <v>0</v>
      </c>
      <c r="E140" s="939" t="str">
        <f>IF('5 ALMACEN '!$AB$1="X","PAR","UND")</f>
        <v>UND</v>
      </c>
      <c r="F140" s="670"/>
      <c r="G140" s="670"/>
      <c r="H140" s="670"/>
      <c r="I140" s="670"/>
      <c r="J140" s="721"/>
      <c r="K140" s="721">
        <f t="shared" si="10"/>
        <v>0</v>
      </c>
      <c r="L140" s="89">
        <f t="shared" si="6"/>
        <v>0</v>
      </c>
    </row>
    <row r="141" spans="1:12" x14ac:dyDescent="0.2">
      <c r="A141" s="1656" t="s">
        <v>950</v>
      </c>
      <c r="B141" s="1658"/>
      <c r="C141" s="940">
        <f>IF('5 ALMACEN '!$AB$1="x","CALIBRE 22",0)</f>
        <v>0</v>
      </c>
      <c r="D141" s="542">
        <f>SUMIF(FORMULAS!$BG$64:$ET$64,125,FORMULAS!$BG$65:$ET$65)</f>
        <v>0</v>
      </c>
      <c r="E141" s="939" t="str">
        <f>IF('5 ALMACEN '!$AB$1="X","PAR","UND")</f>
        <v>UND</v>
      </c>
      <c r="F141" s="670"/>
      <c r="G141" s="670"/>
      <c r="H141" s="670"/>
      <c r="I141" s="670"/>
      <c r="J141" s="721"/>
      <c r="K141" s="721">
        <f t="shared" si="10"/>
        <v>0</v>
      </c>
      <c r="L141" s="89">
        <f t="shared" si="6"/>
        <v>0</v>
      </c>
    </row>
    <row r="142" spans="1:12" x14ac:dyDescent="0.2">
      <c r="A142" s="1656" t="s">
        <v>951</v>
      </c>
      <c r="B142" s="1658"/>
      <c r="C142" s="940">
        <f>IF('5 ALMACEN '!$AB$1="x","CALIBRE 22",0)</f>
        <v>0</v>
      </c>
      <c r="D142" s="542">
        <f>SUMIF(FORMULAS!$BG$64:$ET$64,126,FORMULAS!$BG$65:$ET$65)</f>
        <v>0</v>
      </c>
      <c r="E142" s="939" t="str">
        <f>IF('5 ALMACEN '!$AB$1="X","PAR","UND")</f>
        <v>UND</v>
      </c>
      <c r="F142" s="670"/>
      <c r="G142" s="670"/>
      <c r="H142" s="670"/>
      <c r="I142" s="670"/>
      <c r="J142" s="721"/>
      <c r="K142" s="721">
        <f t="shared" si="10"/>
        <v>0</v>
      </c>
      <c r="L142" s="89">
        <f t="shared" si="6"/>
        <v>0</v>
      </c>
    </row>
    <row r="143" spans="1:12" x14ac:dyDescent="0.2">
      <c r="A143" s="1656" t="s">
        <v>952</v>
      </c>
      <c r="B143" s="1658"/>
      <c r="C143" s="940">
        <f>IF('5 ALMACEN '!$AB$1="x","CALIBRE 22",0)</f>
        <v>0</v>
      </c>
      <c r="D143" s="542">
        <f>SUMIF(FORMULAS!$BG$64:$ET$64,127,FORMULAS!$BG$65:$ET$65)</f>
        <v>0</v>
      </c>
      <c r="E143" s="939" t="str">
        <f>IF('5 ALMACEN '!$AB$1="X","PAR","UND")</f>
        <v>UND</v>
      </c>
      <c r="F143" s="670"/>
      <c r="G143" s="670"/>
      <c r="H143" s="670"/>
      <c r="I143" s="670"/>
      <c r="J143" s="721"/>
      <c r="K143" s="721">
        <f t="shared" si="10"/>
        <v>0</v>
      </c>
      <c r="L143" s="89">
        <f t="shared" si="6"/>
        <v>0</v>
      </c>
    </row>
    <row r="144" spans="1:12" x14ac:dyDescent="0.2">
      <c r="A144" s="1656" t="s">
        <v>953</v>
      </c>
      <c r="B144" s="1658"/>
      <c r="C144" s="940">
        <f>IF('5 ALMACEN '!$AB$1="x","CALIBRE 22",0)</f>
        <v>0</v>
      </c>
      <c r="D144" s="542">
        <f>SUMIF(FORMULAS!$BG$64:$ET$64,128,FORMULAS!$BG$65:$ET$65)</f>
        <v>0</v>
      </c>
      <c r="E144" s="939" t="str">
        <f>IF('5 ALMACEN '!$AB$1="X","PAR","UND")</f>
        <v>UND</v>
      </c>
      <c r="F144" s="670"/>
      <c r="G144" s="670"/>
      <c r="H144" s="670"/>
      <c r="I144" s="670"/>
      <c r="J144" s="721"/>
      <c r="K144" s="721">
        <f t="shared" si="10"/>
        <v>0</v>
      </c>
      <c r="L144" s="89">
        <f t="shared" si="6"/>
        <v>0</v>
      </c>
    </row>
    <row r="145" spans="1:12" x14ac:dyDescent="0.2">
      <c r="A145" s="1656" t="s">
        <v>954</v>
      </c>
      <c r="B145" s="1658"/>
      <c r="C145" s="940">
        <f>IF('5 ALMACEN '!$AB$1="x","CALIBRE 22",0)</f>
        <v>0</v>
      </c>
      <c r="D145" s="542">
        <f>SUMIF(FORMULAS!$BG$64:$ET$64,129,FORMULAS!$BG$65:$ET$65)</f>
        <v>0</v>
      </c>
      <c r="E145" s="939" t="str">
        <f>IF('5 ALMACEN '!$AB$1="X","PAR","UND")</f>
        <v>UND</v>
      </c>
      <c r="F145" s="670"/>
      <c r="G145" s="670"/>
      <c r="H145" s="670"/>
      <c r="I145" s="670"/>
      <c r="J145" s="721"/>
      <c r="K145" s="721">
        <f t="shared" si="10"/>
        <v>0</v>
      </c>
      <c r="L145" s="89">
        <f t="shared" si="6"/>
        <v>0</v>
      </c>
    </row>
    <row r="146" spans="1:12" x14ac:dyDescent="0.2">
      <c r="A146" s="1656" t="s">
        <v>955</v>
      </c>
      <c r="B146" s="1658"/>
      <c r="C146" s="940">
        <f>IF('5 ALMACEN '!$AB$1="x","CALIBRE 22",0)</f>
        <v>0</v>
      </c>
      <c r="D146" s="542">
        <f>SUMIF(FORMULAS!$BG$64:$ET$64,130,FORMULAS!$BG$65:$ET$65)</f>
        <v>0</v>
      </c>
      <c r="E146" s="939" t="str">
        <f>IF('5 ALMACEN '!$AB$1="X","PAR","UND")</f>
        <v>UND</v>
      </c>
      <c r="F146" s="670"/>
      <c r="G146" s="670"/>
      <c r="H146" s="670"/>
      <c r="I146" s="670"/>
      <c r="J146" s="721"/>
      <c r="K146" s="721">
        <f t="shared" si="10"/>
        <v>0</v>
      </c>
      <c r="L146" s="89">
        <f t="shared" si="6"/>
        <v>0</v>
      </c>
    </row>
    <row r="147" spans="1:12" x14ac:dyDescent="0.2">
      <c r="A147" s="1656" t="s">
        <v>956</v>
      </c>
      <c r="B147" s="1658"/>
      <c r="C147" s="940">
        <f>IF('5 ALMACEN '!$AB$1="x","CALIBRE 22",0)</f>
        <v>0</v>
      </c>
      <c r="D147" s="542">
        <f>SUMIF(FORMULAS!$BG$64:$ET$64,131,FORMULAS!$BG$65:$ET$65)</f>
        <v>0</v>
      </c>
      <c r="E147" s="939" t="str">
        <f>IF('5 ALMACEN '!$AB$1="X","PAR","UND")</f>
        <v>UND</v>
      </c>
      <c r="F147" s="670"/>
      <c r="G147" s="670"/>
      <c r="H147" s="670"/>
      <c r="I147" s="670"/>
      <c r="J147" s="721"/>
      <c r="K147" s="721">
        <f t="shared" si="10"/>
        <v>0</v>
      </c>
      <c r="L147" s="89">
        <f t="shared" si="6"/>
        <v>0</v>
      </c>
    </row>
    <row r="148" spans="1:12" x14ac:dyDescent="0.2">
      <c r="A148" s="1656" t="s">
        <v>957</v>
      </c>
      <c r="B148" s="1658"/>
      <c r="C148" s="940">
        <f>IF('5 ALMACEN '!$AB$1="x","CALIBRE 22",0)</f>
        <v>0</v>
      </c>
      <c r="D148" s="542">
        <f>SUMIF(FORMULAS!$BG$64:$ET$64,132,FORMULAS!$BG$65:$ET$65)</f>
        <v>0</v>
      </c>
      <c r="E148" s="939" t="str">
        <f>IF('5 ALMACEN '!$AB$1="X","PAR","UND")</f>
        <v>UND</v>
      </c>
      <c r="F148" s="670"/>
      <c r="G148" s="670"/>
      <c r="H148" s="670"/>
      <c r="I148" s="670"/>
      <c r="J148" s="721"/>
      <c r="K148" s="721">
        <f t="shared" si="10"/>
        <v>0</v>
      </c>
      <c r="L148" s="89">
        <f t="shared" si="6"/>
        <v>0</v>
      </c>
    </row>
    <row r="149" spans="1:12" x14ac:dyDescent="0.2">
      <c r="A149" s="1656" t="s">
        <v>958</v>
      </c>
      <c r="B149" s="1658"/>
      <c r="C149" s="940">
        <f>IF('5 ALMACEN '!$AB$1="x","CALIBRE 22",0)</f>
        <v>0</v>
      </c>
      <c r="D149" s="542">
        <f>SUMIF(FORMULAS!$BG$64:$ET$64,133,FORMULAS!$BG$65:$ET$65)</f>
        <v>0</v>
      </c>
      <c r="E149" s="939" t="str">
        <f>IF('5 ALMACEN '!$AB$1="X","PAR","UND")</f>
        <v>UND</v>
      </c>
      <c r="F149" s="670"/>
      <c r="G149" s="670"/>
      <c r="H149" s="670"/>
      <c r="I149" s="670"/>
      <c r="J149" s="721"/>
      <c r="K149" s="721">
        <f t="shared" si="10"/>
        <v>0</v>
      </c>
      <c r="L149" s="89">
        <f t="shared" si="6"/>
        <v>0</v>
      </c>
    </row>
    <row r="150" spans="1:12" x14ac:dyDescent="0.2">
      <c r="A150" s="1656" t="s">
        <v>959</v>
      </c>
      <c r="B150" s="1658"/>
      <c r="C150" s="940">
        <f>IF('5 ALMACEN '!$AB$1="x","CALIBRE 22",0)</f>
        <v>0</v>
      </c>
      <c r="D150" s="542">
        <f>SUMIF(FORMULAS!$BG$64:$ET$64,134,FORMULAS!$BG$65:$ET$65)</f>
        <v>0</v>
      </c>
      <c r="E150" s="939" t="str">
        <f>IF('5 ALMACEN '!$AB$1="X","PAR","UND")</f>
        <v>UND</v>
      </c>
      <c r="F150" s="670"/>
      <c r="G150" s="670"/>
      <c r="H150" s="670"/>
      <c r="I150" s="670"/>
      <c r="J150" s="721"/>
      <c r="K150" s="721">
        <f t="shared" si="10"/>
        <v>0</v>
      </c>
      <c r="L150" s="89">
        <f t="shared" si="6"/>
        <v>0</v>
      </c>
    </row>
    <row r="151" spans="1:12" x14ac:dyDescent="0.2">
      <c r="A151" s="1656" t="s">
        <v>960</v>
      </c>
      <c r="B151" s="1658"/>
      <c r="C151" s="940">
        <f>IF('5 ALMACEN '!$AB$1="x","CALIBRE 22",0)</f>
        <v>0</v>
      </c>
      <c r="D151" s="542">
        <f>SUMIF(FORMULAS!$BG$64:$ET$64,135,FORMULAS!$BG$65:$ET$65)</f>
        <v>0</v>
      </c>
      <c r="E151" s="939" t="str">
        <f>IF('5 ALMACEN '!$AB$1="X","PAR","UND")</f>
        <v>UND</v>
      </c>
      <c r="F151" s="670"/>
      <c r="G151" s="670"/>
      <c r="H151" s="670"/>
      <c r="I151" s="670"/>
      <c r="J151" s="721"/>
      <c r="K151" s="721">
        <f t="shared" si="10"/>
        <v>0</v>
      </c>
      <c r="L151" s="89">
        <f t="shared" si="6"/>
        <v>0</v>
      </c>
    </row>
    <row r="152" spans="1:12" x14ac:dyDescent="0.2">
      <c r="A152" s="1656" t="s">
        <v>961</v>
      </c>
      <c r="B152" s="1658"/>
      <c r="C152" s="940">
        <f>IF('5 ALMACEN '!$AB$1="x","CALIBRE 22",0)</f>
        <v>0</v>
      </c>
      <c r="D152" s="542">
        <f>SUMIF(FORMULAS!$BG$64:$ET$64,136,FORMULAS!$BG$65:$ET$65)</f>
        <v>0</v>
      </c>
      <c r="E152" s="939" t="str">
        <f>IF('5 ALMACEN '!$AB$1="X","PAR","UND")</f>
        <v>UND</v>
      </c>
      <c r="F152" s="670"/>
      <c r="G152" s="670"/>
      <c r="H152" s="670"/>
      <c r="I152" s="670"/>
      <c r="J152" s="721"/>
      <c r="K152" s="721">
        <f t="shared" si="10"/>
        <v>0</v>
      </c>
      <c r="L152" s="89">
        <f t="shared" ref="L152:L183" si="11">IF(D152&gt;0,1,0)</f>
        <v>0</v>
      </c>
    </row>
    <row r="153" spans="1:12" x14ac:dyDescent="0.2">
      <c r="A153" s="1656" t="s">
        <v>962</v>
      </c>
      <c r="B153" s="1658"/>
      <c r="C153" s="940">
        <f>IF('5 ALMACEN '!$AB$1="x","CALIBRE 22",0)</f>
        <v>0</v>
      </c>
      <c r="D153" s="542">
        <f>SUMIF(FORMULAS!$BG$64:$ET$64,137,FORMULAS!$BG$65:$ET$65)</f>
        <v>0</v>
      </c>
      <c r="E153" s="939" t="str">
        <f>IF('5 ALMACEN '!$AB$1="X","PAR","UND")</f>
        <v>UND</v>
      </c>
      <c r="F153" s="670"/>
      <c r="G153" s="670"/>
      <c r="H153" s="670"/>
      <c r="I153" s="670"/>
      <c r="J153" s="721"/>
      <c r="K153" s="721">
        <f t="shared" si="10"/>
        <v>0</v>
      </c>
      <c r="L153" s="89">
        <f t="shared" si="11"/>
        <v>0</v>
      </c>
    </row>
    <row r="154" spans="1:12" x14ac:dyDescent="0.2">
      <c r="A154" s="1656" t="s">
        <v>963</v>
      </c>
      <c r="B154" s="1658"/>
      <c r="C154" s="940">
        <f>IF('5 ALMACEN '!$AB$1="x","CALIBRE 22",0)</f>
        <v>0</v>
      </c>
      <c r="D154" s="542">
        <f>SUMIF(FORMULAS!$BG$64:$ET$64,138,FORMULAS!$BG$65:$ET$65)</f>
        <v>0</v>
      </c>
      <c r="E154" s="939" t="str">
        <f>IF('5 ALMACEN '!$AB$1="X","PAR","UND")</f>
        <v>UND</v>
      </c>
      <c r="F154" s="670"/>
      <c r="G154" s="670"/>
      <c r="H154" s="670"/>
      <c r="I154" s="670"/>
      <c r="J154" s="721"/>
      <c r="K154" s="721">
        <f t="shared" si="10"/>
        <v>0</v>
      </c>
      <c r="L154" s="89">
        <f t="shared" si="11"/>
        <v>0</v>
      </c>
    </row>
    <row r="155" spans="1:12" x14ac:dyDescent="0.2">
      <c r="A155" s="1656" t="s">
        <v>964</v>
      </c>
      <c r="B155" s="1658"/>
      <c r="C155" s="940">
        <f>IF('5 ALMACEN '!$AB$1="x","CALIBRE 22",0)</f>
        <v>0</v>
      </c>
      <c r="D155" s="542">
        <f>SUMIF(FORMULAS!$BG$64:$ET$64,139,FORMULAS!$BG$65:$ET$65)</f>
        <v>0</v>
      </c>
      <c r="E155" s="939" t="str">
        <f>IF('5 ALMACEN '!$AB$1="X","PAR","UND")</f>
        <v>UND</v>
      </c>
      <c r="F155" s="670"/>
      <c r="G155" s="670"/>
      <c r="H155" s="670"/>
      <c r="I155" s="670"/>
      <c r="J155" s="721"/>
      <c r="K155" s="721">
        <f t="shared" si="10"/>
        <v>0</v>
      </c>
      <c r="L155" s="89">
        <f t="shared" si="11"/>
        <v>0</v>
      </c>
    </row>
    <row r="156" spans="1:12" x14ac:dyDescent="0.2">
      <c r="A156" s="1656" t="s">
        <v>69</v>
      </c>
      <c r="B156" s="1658"/>
      <c r="C156" s="940">
        <f>IF('5 ALMACEN '!$AB$1="x","CALIBRE 22",0)</f>
        <v>0</v>
      </c>
      <c r="D156" s="1021">
        <f>+'5 ALMACEN '!L17</f>
        <v>0</v>
      </c>
      <c r="E156" s="939" t="str">
        <f>IF('5 ALMACEN '!$AB$1="X","PAR","UND")</f>
        <v>UND</v>
      </c>
      <c r="F156" s="670"/>
      <c r="G156" s="670"/>
      <c r="H156" s="670"/>
      <c r="I156" s="670"/>
      <c r="J156" s="721"/>
      <c r="K156" s="721">
        <f>+J156*'5 ALMACEN '!L17</f>
        <v>0</v>
      </c>
      <c r="L156" s="89">
        <f t="shared" si="11"/>
        <v>0</v>
      </c>
    </row>
    <row r="157" spans="1:12" x14ac:dyDescent="0.2">
      <c r="A157" s="1656" t="s">
        <v>965</v>
      </c>
      <c r="B157" s="1658"/>
      <c r="C157" s="940">
        <f>IF('5 ALMACEN '!$AB$1="x","CALIBRE 22",0)</f>
        <v>0</v>
      </c>
      <c r="D157" s="542">
        <f>SUMIF(FORMULAS!$BG$64:$ET$64,141,FORMULAS!$BG$65:$ET$65)</f>
        <v>0</v>
      </c>
      <c r="E157" s="939" t="str">
        <f>IF('5 ALMACEN '!$AB$1="X","PAR","UND")</f>
        <v>UND</v>
      </c>
      <c r="F157" s="670"/>
      <c r="G157" s="670"/>
      <c r="H157" s="670"/>
      <c r="I157" s="670"/>
      <c r="J157" s="721"/>
      <c r="K157" s="721">
        <f t="shared" ref="K157:K165" si="12">+J157*D157</f>
        <v>0</v>
      </c>
      <c r="L157" s="89">
        <f t="shared" si="11"/>
        <v>0</v>
      </c>
    </row>
    <row r="158" spans="1:12" x14ac:dyDescent="0.2">
      <c r="A158" s="1656" t="s">
        <v>966</v>
      </c>
      <c r="B158" s="1658"/>
      <c r="C158" s="940">
        <f>IF('5 ALMACEN '!$AB$1="x","CALIBRE 22",0)</f>
        <v>0</v>
      </c>
      <c r="D158" s="542">
        <f>SUMIF(FORMULAS!$BG$64:$ET$64,142,FORMULAS!$BG$65:$ET$65)</f>
        <v>0</v>
      </c>
      <c r="E158" s="939" t="str">
        <f>IF('5 ALMACEN '!$AB$1="X","PAR","UND")</f>
        <v>UND</v>
      </c>
      <c r="F158" s="670"/>
      <c r="G158" s="670"/>
      <c r="H158" s="670"/>
      <c r="I158" s="670"/>
      <c r="J158" s="721"/>
      <c r="K158" s="721">
        <f t="shared" si="12"/>
        <v>0</v>
      </c>
      <c r="L158" s="89">
        <f t="shared" si="11"/>
        <v>0</v>
      </c>
    </row>
    <row r="159" spans="1:12" x14ac:dyDescent="0.2">
      <c r="A159" s="1656" t="s">
        <v>967</v>
      </c>
      <c r="B159" s="1658"/>
      <c r="C159" s="940">
        <f>IF('5 ALMACEN '!$AB$1="x","CALIBRE 22",0)</f>
        <v>0</v>
      </c>
      <c r="D159" s="542">
        <f>SUMIF(FORMULAS!$BG$64:$ET$64,143,FORMULAS!$BG$65:$ET$65)</f>
        <v>0</v>
      </c>
      <c r="E159" s="939" t="str">
        <f>IF('5 ALMACEN '!$AB$1="X","PAR","UND")</f>
        <v>UND</v>
      </c>
      <c r="F159" s="670"/>
      <c r="G159" s="670"/>
      <c r="H159" s="670"/>
      <c r="I159" s="670"/>
      <c r="J159" s="721"/>
      <c r="K159" s="721">
        <f t="shared" si="12"/>
        <v>0</v>
      </c>
      <c r="L159" s="89">
        <f t="shared" si="11"/>
        <v>0</v>
      </c>
    </row>
    <row r="160" spans="1:12" x14ac:dyDescent="0.2">
      <c r="A160" s="1656" t="s">
        <v>968</v>
      </c>
      <c r="B160" s="1658"/>
      <c r="C160" s="940">
        <f>IF('5 ALMACEN '!$AB$1="x","CALIBRE 22",0)</f>
        <v>0</v>
      </c>
      <c r="D160" s="542">
        <f>SUMIF(FORMULAS!$BG$64:$ET$64,144,FORMULAS!$BG$65:$ET$65)</f>
        <v>0</v>
      </c>
      <c r="E160" s="939" t="str">
        <f>IF('5 ALMACEN '!$AB$1="X","PAR","UND")</f>
        <v>UND</v>
      </c>
      <c r="F160" s="670"/>
      <c r="G160" s="670"/>
      <c r="H160" s="670"/>
      <c r="I160" s="670"/>
      <c r="J160" s="721"/>
      <c r="K160" s="721">
        <f t="shared" si="12"/>
        <v>0</v>
      </c>
      <c r="L160" s="89">
        <f t="shared" si="11"/>
        <v>0</v>
      </c>
    </row>
    <row r="161" spans="1:12" x14ac:dyDescent="0.2">
      <c r="A161" s="1656" t="s">
        <v>969</v>
      </c>
      <c r="B161" s="1658"/>
      <c r="C161" s="940">
        <f>IF('5 ALMACEN '!$AB$1="x","CALIBRE 22",0)</f>
        <v>0</v>
      </c>
      <c r="D161" s="542">
        <f>SUMIF(FORMULAS!$BG$64:$ET$64,145,FORMULAS!$BG$65:$ET$65)</f>
        <v>0</v>
      </c>
      <c r="E161" s="939" t="str">
        <f>IF('5 ALMACEN '!$AB$1="X","PAR","UND")</f>
        <v>UND</v>
      </c>
      <c r="F161" s="670"/>
      <c r="G161" s="670"/>
      <c r="H161" s="670"/>
      <c r="I161" s="670"/>
      <c r="J161" s="721"/>
      <c r="K161" s="721">
        <f t="shared" si="12"/>
        <v>0</v>
      </c>
      <c r="L161" s="89">
        <f t="shared" si="11"/>
        <v>0</v>
      </c>
    </row>
    <row r="162" spans="1:12" x14ac:dyDescent="0.2">
      <c r="A162" s="1656" t="s">
        <v>970</v>
      </c>
      <c r="B162" s="1658"/>
      <c r="C162" s="940">
        <f>IF('5 ALMACEN '!$AB$1="x","CALIBRE 22",0)</f>
        <v>0</v>
      </c>
      <c r="D162" s="542">
        <f>SUMIF(FORMULAS!$BG$64:$ET$64,146,FORMULAS!$BG$65:$ET$65)</f>
        <v>0</v>
      </c>
      <c r="E162" s="939" t="str">
        <f>IF('5 ALMACEN '!$AB$1="X","PAR","UND")</f>
        <v>UND</v>
      </c>
      <c r="F162" s="670"/>
      <c r="G162" s="670"/>
      <c r="H162" s="670"/>
      <c r="I162" s="670"/>
      <c r="J162" s="721"/>
      <c r="K162" s="721">
        <f t="shared" si="12"/>
        <v>0</v>
      </c>
      <c r="L162" s="89">
        <f t="shared" si="11"/>
        <v>0</v>
      </c>
    </row>
    <row r="163" spans="1:12" x14ac:dyDescent="0.2">
      <c r="A163" s="1656" t="s">
        <v>971</v>
      </c>
      <c r="B163" s="1658"/>
      <c r="C163" s="940">
        <f>IF('5 ALMACEN '!$AB$1="x","CALIBRE 22",0)</f>
        <v>0</v>
      </c>
      <c r="D163" s="542">
        <f>SUMIF(FORMULAS!$BG$64:$ET$64,147,FORMULAS!$BG$65:$ET$65)</f>
        <v>0</v>
      </c>
      <c r="E163" s="939" t="str">
        <f>IF('5 ALMACEN '!$AB$1="X","PAR","UND")</f>
        <v>UND</v>
      </c>
      <c r="F163" s="670"/>
      <c r="G163" s="670"/>
      <c r="H163" s="670"/>
      <c r="I163" s="670"/>
      <c r="J163" s="721"/>
      <c r="K163" s="721">
        <f t="shared" si="12"/>
        <v>0</v>
      </c>
      <c r="L163" s="89">
        <f t="shared" si="11"/>
        <v>0</v>
      </c>
    </row>
    <row r="164" spans="1:12" x14ac:dyDescent="0.2">
      <c r="A164" s="1656" t="s">
        <v>972</v>
      </c>
      <c r="B164" s="1658"/>
      <c r="C164" s="940">
        <f>IF('5 ALMACEN '!$AB$1="x","CALIBRE 22",0)</f>
        <v>0</v>
      </c>
      <c r="D164" s="542">
        <f>SUMIF(FORMULAS!$BG$64:$ET$64,148,FORMULAS!$BG$65:$ET$65)</f>
        <v>0</v>
      </c>
      <c r="E164" s="939" t="str">
        <f>IF('5 ALMACEN '!$AB$1="X","PAR","UND")</f>
        <v>UND</v>
      </c>
      <c r="F164" s="670"/>
      <c r="G164" s="670"/>
      <c r="H164" s="670"/>
      <c r="I164" s="670"/>
      <c r="J164" s="721"/>
      <c r="K164" s="721">
        <f t="shared" si="12"/>
        <v>0</v>
      </c>
      <c r="L164" s="89">
        <f t="shared" si="11"/>
        <v>0</v>
      </c>
    </row>
    <row r="165" spans="1:12" x14ac:dyDescent="0.2">
      <c r="A165" s="1656" t="s">
        <v>973</v>
      </c>
      <c r="B165" s="1658"/>
      <c r="C165" s="940">
        <f>IF('5 ALMACEN '!$AB$1="x","CALIBRE 22",0)</f>
        <v>0</v>
      </c>
      <c r="D165" s="542">
        <f>SUMIF(FORMULAS!$BG$64:$ET$64,149,FORMULAS!$BG$65:$ET$65)</f>
        <v>0</v>
      </c>
      <c r="E165" s="939" t="str">
        <f>IF('5 ALMACEN '!$AB$1="X","PAR","UND")</f>
        <v>UND</v>
      </c>
      <c r="F165" s="670"/>
      <c r="G165" s="670"/>
      <c r="H165" s="670"/>
      <c r="I165" s="670"/>
      <c r="J165" s="721"/>
      <c r="K165" s="721">
        <f t="shared" si="12"/>
        <v>0</v>
      </c>
      <c r="L165" s="89">
        <f t="shared" si="11"/>
        <v>0</v>
      </c>
    </row>
    <row r="166" spans="1:12" x14ac:dyDescent="0.2">
      <c r="A166" s="1656" t="s">
        <v>974</v>
      </c>
      <c r="B166" s="1658"/>
      <c r="C166" s="940">
        <f>IF('5 ALMACEN '!$AB$1="x","CALIBRE 22",0)</f>
        <v>0</v>
      </c>
      <c r="D166" s="1021">
        <f>+'5 ALMACEN '!L18</f>
        <v>0</v>
      </c>
      <c r="E166" s="939" t="str">
        <f>IF('5 ALMACEN '!$AB$1="X","PAR","UND")</f>
        <v>UND</v>
      </c>
      <c r="F166" s="670"/>
      <c r="G166" s="670"/>
      <c r="H166" s="670"/>
      <c r="I166" s="670"/>
      <c r="J166" s="721"/>
      <c r="K166" s="721">
        <f>+J166*'5 ALMACEN '!L18</f>
        <v>0</v>
      </c>
      <c r="L166" s="89">
        <f t="shared" si="11"/>
        <v>0</v>
      </c>
    </row>
    <row r="167" spans="1:12" x14ac:dyDescent="0.2">
      <c r="A167" s="1656" t="str">
        <f>+'5 ALMACEN '!K19</f>
        <v>MIXTO  56</v>
      </c>
      <c r="B167" s="1658"/>
      <c r="C167" s="940">
        <f>IF('5 ALMACEN '!$AB$1="x","CALIBRE 22",0)</f>
        <v>0</v>
      </c>
      <c r="D167" s="542">
        <f>+'5 ALMACEN '!L19</f>
        <v>0</v>
      </c>
      <c r="E167" s="939" t="str">
        <f>IF('5 ALMACEN '!$AB$1="X","PAR","UND")</f>
        <v>UND</v>
      </c>
      <c r="F167" s="670"/>
      <c r="G167" s="670"/>
      <c r="H167" s="670"/>
      <c r="I167" s="670"/>
      <c r="J167" s="721"/>
      <c r="K167" s="721">
        <f>+J167*D167</f>
        <v>0</v>
      </c>
      <c r="L167" s="89">
        <f t="shared" si="11"/>
        <v>0</v>
      </c>
    </row>
    <row r="168" spans="1:12" x14ac:dyDescent="0.2">
      <c r="A168" s="1656" t="str">
        <f>+'5 ALMACEN '!K21</f>
        <v>MIXTO  70</v>
      </c>
      <c r="B168" s="1658"/>
      <c r="C168" s="940">
        <f>IF('5 ALMACEN '!$AB$1="x","CALIBRE 22",0)</f>
        <v>0</v>
      </c>
      <c r="D168" s="542">
        <f>+'5 ALMACEN '!L21</f>
        <v>0</v>
      </c>
      <c r="E168" s="939" t="str">
        <f>IF('5 ALMACEN '!$AB$1="X","PAR","UND")</f>
        <v>UND</v>
      </c>
      <c r="F168" s="670"/>
      <c r="G168" s="670"/>
      <c r="H168" s="670"/>
      <c r="I168" s="670"/>
      <c r="J168" s="721"/>
      <c r="K168" s="721">
        <f>+J168*D168</f>
        <v>0</v>
      </c>
      <c r="L168" s="89">
        <f t="shared" si="11"/>
        <v>0</v>
      </c>
    </row>
    <row r="169" spans="1:12" x14ac:dyDescent="0.2">
      <c r="A169" s="1656" t="str">
        <f>+'5 ALMACEN '!K23</f>
        <v>MIXTO  84</v>
      </c>
      <c r="B169" s="1658"/>
      <c r="C169" s="940">
        <f>IF('5 ALMACEN '!$AB$1="x","CALIBRE 22",0)</f>
        <v>0</v>
      </c>
      <c r="D169" s="546">
        <f>+'5 ALMACEN '!L23</f>
        <v>0</v>
      </c>
      <c r="E169" s="939" t="str">
        <f>IF('5 ALMACEN '!$AB$1="X","PAR","UND")</f>
        <v>UND</v>
      </c>
      <c r="F169" s="670"/>
      <c r="G169" s="670"/>
      <c r="H169" s="670"/>
      <c r="I169" s="670"/>
      <c r="J169" s="721"/>
      <c r="K169" s="721">
        <f>+J169*D169</f>
        <v>0</v>
      </c>
      <c r="L169" s="89">
        <f t="shared" si="11"/>
        <v>0</v>
      </c>
    </row>
    <row r="170" spans="1:12" x14ac:dyDescent="0.2">
      <c r="A170" s="1656" t="str">
        <f>+'5 ALMACEN '!K25</f>
        <v>MIXTO  112</v>
      </c>
      <c r="B170" s="1658"/>
      <c r="C170" s="940">
        <f>IF('5 ALMACEN '!$AB$1="x","CALIBRE 22",0)</f>
        <v>0</v>
      </c>
      <c r="D170" s="546">
        <f>+'5 ALMACEN '!L25</f>
        <v>0</v>
      </c>
      <c r="E170" s="939" t="str">
        <f>IF('5 ALMACEN '!$AB$1="X","PAR","UND")</f>
        <v>UND</v>
      </c>
      <c r="F170" s="670"/>
      <c r="G170" s="670"/>
      <c r="H170" s="670"/>
      <c r="I170" s="670"/>
      <c r="J170" s="721"/>
      <c r="K170" s="721">
        <f>+J170*D170</f>
        <v>0</v>
      </c>
      <c r="L170" s="89">
        <f t="shared" si="11"/>
        <v>0</v>
      </c>
    </row>
    <row r="171" spans="1:12" x14ac:dyDescent="0.2">
      <c r="A171" s="1656" t="e">
        <f>+'5 ALMACEN '!#REF!</f>
        <v>#REF!</v>
      </c>
      <c r="B171" s="1658"/>
      <c r="C171" s="940">
        <f>IF('5 ALMACEN '!$AB$1="x","CALIBRE 22",0)</f>
        <v>0</v>
      </c>
      <c r="D171" s="546">
        <f>+'5 ALMACEN '!L27</f>
        <v>0</v>
      </c>
      <c r="E171" s="939" t="str">
        <f>IF('5 ALMACEN '!$AB$1="X","PAR","UND")</f>
        <v>UND</v>
      </c>
      <c r="F171" s="670"/>
      <c r="G171" s="670"/>
      <c r="H171" s="670"/>
      <c r="I171" s="670"/>
      <c r="J171" s="721"/>
      <c r="K171" s="721">
        <f>+J171*D171</f>
        <v>0</v>
      </c>
      <c r="L171" s="89">
        <f t="shared" si="11"/>
        <v>0</v>
      </c>
    </row>
    <row r="172" spans="1:12" x14ac:dyDescent="0.2">
      <c r="A172" s="1656" t="s">
        <v>976</v>
      </c>
      <c r="B172" s="1658"/>
      <c r="C172" s="940">
        <f>IF('5 ALMACEN '!$AB$1="x","CALIBRE 22",0)</f>
        <v>0</v>
      </c>
      <c r="D172" s="546">
        <f>+'5 ALMACEN '!L20</f>
        <v>0</v>
      </c>
      <c r="E172" s="939" t="str">
        <f>IF('5 ALMACEN '!$AB$1="X","PAR","UND")</f>
        <v>UND</v>
      </c>
      <c r="F172" s="670"/>
      <c r="G172" s="670"/>
      <c r="H172" s="670"/>
      <c r="I172" s="670"/>
      <c r="J172" s="722"/>
      <c r="K172" s="722"/>
      <c r="L172" s="89">
        <f t="shared" si="11"/>
        <v>0</v>
      </c>
    </row>
    <row r="173" spans="1:12" x14ac:dyDescent="0.2">
      <c r="A173" s="1656" t="s">
        <v>977</v>
      </c>
      <c r="B173" s="1658"/>
      <c r="C173" s="940">
        <f>IF('5 ALMACEN '!$AB$1="x","CALIBRE 22",0)</f>
        <v>0</v>
      </c>
      <c r="D173" s="546">
        <f>+'5 ALMACEN '!L22</f>
        <v>0</v>
      </c>
      <c r="E173" s="939" t="str">
        <f>IF('5 ALMACEN '!$AB$1="X","PAR","UND")</f>
        <v>UND</v>
      </c>
      <c r="F173" s="670"/>
      <c r="G173" s="670"/>
      <c r="H173" s="670"/>
      <c r="I173" s="670"/>
      <c r="J173" s="722"/>
      <c r="K173" s="722"/>
      <c r="L173" s="89">
        <f t="shared" si="11"/>
        <v>0</v>
      </c>
    </row>
    <row r="174" spans="1:12" x14ac:dyDescent="0.2">
      <c r="A174" s="1656" t="s">
        <v>978</v>
      </c>
      <c r="B174" s="1658"/>
      <c r="C174" s="940">
        <f>IF('5 ALMACEN '!$AB$1="x","CALIBRE 22",0)</f>
        <v>0</v>
      </c>
      <c r="D174" s="546">
        <f>+'5 ALMACEN '!L24</f>
        <v>0</v>
      </c>
      <c r="E174" s="939" t="str">
        <f>IF('5 ALMACEN '!$AB$1="X","PAR","UND")</f>
        <v>UND</v>
      </c>
      <c r="F174" s="670"/>
      <c r="G174" s="670"/>
      <c r="H174" s="670"/>
      <c r="I174" s="670"/>
      <c r="J174" s="722"/>
      <c r="K174" s="722"/>
      <c r="L174" s="89">
        <f t="shared" si="11"/>
        <v>0</v>
      </c>
    </row>
    <row r="175" spans="1:12" x14ac:dyDescent="0.2">
      <c r="A175" s="1656" t="s">
        <v>979</v>
      </c>
      <c r="B175" s="1658"/>
      <c r="C175" s="940">
        <f>IF('5 ALMACEN '!$AB$1="x","CALIBRE 22",0)</f>
        <v>0</v>
      </c>
      <c r="D175" s="546">
        <f>+'5 ALMACEN '!L26</f>
        <v>0</v>
      </c>
      <c r="E175" s="939" t="str">
        <f>IF('5 ALMACEN '!$AB$1="X","PAR","UND")</f>
        <v>UND</v>
      </c>
      <c r="F175" s="670"/>
      <c r="G175" s="670"/>
      <c r="H175" s="670"/>
      <c r="I175" s="670"/>
      <c r="J175" s="722"/>
      <c r="K175" s="722"/>
      <c r="L175" s="89">
        <f t="shared" si="11"/>
        <v>0</v>
      </c>
    </row>
    <row r="176" spans="1:12" x14ac:dyDescent="0.2">
      <c r="A176" s="1656" t="s">
        <v>980</v>
      </c>
      <c r="B176" s="1658"/>
      <c r="C176" s="940">
        <f>IF('5 ALMACEN '!$AB$1="x","CALIBRE 22",0)</f>
        <v>0</v>
      </c>
      <c r="D176" s="546">
        <f>+'5 ALMACEN '!L28</f>
        <v>0</v>
      </c>
      <c r="E176" s="939" t="str">
        <f>IF('5 ALMACEN '!$AB$1="X","PAR","UND")</f>
        <v>UND</v>
      </c>
      <c r="F176" s="670"/>
      <c r="G176" s="670"/>
      <c r="H176" s="670"/>
      <c r="I176" s="670"/>
      <c r="J176" s="722"/>
      <c r="K176" s="722"/>
      <c r="L176" s="89">
        <f t="shared" si="11"/>
        <v>0</v>
      </c>
    </row>
    <row r="177" spans="1:12" x14ac:dyDescent="0.2">
      <c r="A177" s="1665" t="s">
        <v>361</v>
      </c>
      <c r="B177" s="1665"/>
      <c r="C177" s="940">
        <f>IF('5 ALMACEN '!$AB$1="x","CALIBRE 22",0)</f>
        <v>0</v>
      </c>
      <c r="D177" s="542"/>
      <c r="E177" s="939" t="str">
        <f>IF('5 ALMACEN '!$AB$1="X","PAR","UND")</f>
        <v>UND</v>
      </c>
      <c r="F177" s="670"/>
      <c r="G177" s="670"/>
      <c r="H177" s="670"/>
      <c r="I177" s="670"/>
      <c r="J177" s="722"/>
      <c r="K177" s="722"/>
      <c r="L177" s="89"/>
    </row>
    <row r="178" spans="1:12" x14ac:dyDescent="0.2">
      <c r="A178" s="1665" t="s">
        <v>357</v>
      </c>
      <c r="B178" s="1665"/>
      <c r="C178" s="940">
        <f>IF('5 ALMACEN '!$AB$1="x","CALIBRE 22",0)</f>
        <v>0</v>
      </c>
      <c r="D178" s="542"/>
      <c r="E178" s="939" t="str">
        <f>IF('5 ALMACEN '!$AB$1="X","PAR","UND")</f>
        <v>UND</v>
      </c>
      <c r="F178" s="670"/>
      <c r="G178" s="670"/>
      <c r="H178" s="670"/>
      <c r="I178" s="670"/>
      <c r="J178" s="722"/>
      <c r="K178" s="722"/>
      <c r="L178" s="89"/>
    </row>
    <row r="179" spans="1:12" x14ac:dyDescent="0.2">
      <c r="A179" s="1665" t="s">
        <v>358</v>
      </c>
      <c r="B179" s="1665"/>
      <c r="C179" s="940">
        <f>IF('5 ALMACEN '!$AB$1="x","CALIBRE 22",0)</f>
        <v>0</v>
      </c>
      <c r="D179" s="542"/>
      <c r="E179" s="939" t="str">
        <f>IF('5 ALMACEN '!$AB$1="X","PAR","UND")</f>
        <v>UND</v>
      </c>
      <c r="F179" s="670"/>
      <c r="G179" s="670"/>
      <c r="H179" s="670"/>
      <c r="I179" s="670"/>
      <c r="J179" s="722"/>
      <c r="K179" s="722"/>
      <c r="L179" s="89">
        <f t="shared" si="11"/>
        <v>0</v>
      </c>
    </row>
    <row r="180" spans="1:12" x14ac:dyDescent="0.2">
      <c r="A180" s="1665" t="s">
        <v>359</v>
      </c>
      <c r="B180" s="1665"/>
      <c r="C180" s="940">
        <f>IF('5 ALMACEN '!$AB$1="x","CALIBRE 22",0)</f>
        <v>0</v>
      </c>
      <c r="D180" s="542"/>
      <c r="E180" s="939" t="str">
        <f>IF('5 ALMACEN '!$AB$1="X","PAR","UND")</f>
        <v>UND</v>
      </c>
      <c r="F180" s="670"/>
      <c r="G180" s="670"/>
      <c r="H180" s="670"/>
      <c r="I180" s="670"/>
      <c r="J180" s="722"/>
      <c r="K180" s="722"/>
      <c r="L180" s="89"/>
    </row>
    <row r="181" spans="1:12" x14ac:dyDescent="0.2">
      <c r="A181" s="1665" t="s">
        <v>360</v>
      </c>
      <c r="B181" s="1665"/>
      <c r="C181" s="940">
        <f>IF('5 ALMACEN '!$AB$1="x","CALIBRE 22",0)</f>
        <v>0</v>
      </c>
      <c r="D181" s="542"/>
      <c r="E181" s="939" t="str">
        <f>IF('5 ALMACEN '!$AB$1="X","PAR","UND")</f>
        <v>UND</v>
      </c>
      <c r="F181" s="670"/>
      <c r="G181" s="670"/>
      <c r="H181" s="670"/>
      <c r="I181" s="670"/>
      <c r="J181" s="722"/>
      <c r="K181" s="722"/>
      <c r="L181" s="89"/>
    </row>
    <row r="182" spans="1:12" x14ac:dyDescent="0.2">
      <c r="A182" s="1665" t="s">
        <v>362</v>
      </c>
      <c r="B182" s="1665"/>
      <c r="C182" s="940">
        <f>IF('5 ALMACEN '!$AB$1="x","CALIBRE 22",0)</f>
        <v>0</v>
      </c>
      <c r="D182" s="542"/>
      <c r="E182" s="939" t="str">
        <f>IF('5 ALMACEN '!$AB$1="X","PAR","UND")</f>
        <v>UND</v>
      </c>
      <c r="F182" s="670"/>
      <c r="G182" s="670"/>
      <c r="H182" s="670"/>
      <c r="I182" s="670"/>
      <c r="J182" s="722"/>
      <c r="K182" s="722"/>
      <c r="L182" s="89"/>
    </row>
    <row r="183" spans="1:12" x14ac:dyDescent="0.2">
      <c r="A183" s="1665" t="s">
        <v>363</v>
      </c>
      <c r="B183" s="1665"/>
      <c r="C183" s="940">
        <f>IF('5 ALMACEN '!$AB$1="x","CALIBRE 22",0)</f>
        <v>0</v>
      </c>
      <c r="D183" s="542"/>
      <c r="E183" s="939" t="str">
        <f>IF('5 ALMACEN '!$AB$1="X","PAR","UND")</f>
        <v>UND</v>
      </c>
      <c r="F183" s="670"/>
      <c r="G183" s="670"/>
      <c r="H183" s="670"/>
      <c r="I183" s="670"/>
      <c r="J183" s="722"/>
      <c r="K183" s="722"/>
      <c r="L183" s="89">
        <f t="shared" si="11"/>
        <v>0</v>
      </c>
    </row>
    <row r="184" spans="1:12" x14ac:dyDescent="0.2">
      <c r="A184" s="1665" t="s">
        <v>364</v>
      </c>
      <c r="B184" s="1665"/>
      <c r="C184" s="940">
        <f>IF('5 ALMACEN '!$AB$1="x","CALIBRE 22",0)</f>
        <v>0</v>
      </c>
      <c r="D184" s="542"/>
      <c r="E184" s="939" t="str">
        <f>IF('5 ALMACEN '!$AB$1="X","PAR","UND")</f>
        <v>UND</v>
      </c>
      <c r="F184" s="670"/>
      <c r="G184" s="670"/>
      <c r="H184" s="670"/>
      <c r="I184" s="670"/>
      <c r="J184" s="722"/>
      <c r="K184" s="722"/>
      <c r="L184" s="89"/>
    </row>
    <row r="185" spans="1:12" x14ac:dyDescent="0.2">
      <c r="A185" s="1665" t="s">
        <v>365</v>
      </c>
      <c r="B185" s="1665"/>
      <c r="C185" s="940">
        <f>IF('5 ALMACEN '!$AB$1="x","CALIBRE 22",0)</f>
        <v>0</v>
      </c>
      <c r="D185" s="542"/>
      <c r="E185" s="939" t="str">
        <f>IF('5 ALMACEN '!$AB$1="X","PAR","UND")</f>
        <v>UND</v>
      </c>
      <c r="F185" s="670"/>
      <c r="G185" s="670"/>
      <c r="H185" s="670"/>
      <c r="I185" s="670"/>
      <c r="J185" s="722"/>
      <c r="K185" s="722"/>
      <c r="L185" s="89"/>
    </row>
    <row r="186" spans="1:12" x14ac:dyDescent="0.2">
      <c r="A186" s="1665" t="s">
        <v>366</v>
      </c>
      <c r="B186" s="1665"/>
      <c r="C186" s="940">
        <f>IF('5 ALMACEN '!$AB$1="x","CALIBRE 22",0)</f>
        <v>0</v>
      </c>
      <c r="D186" s="542"/>
      <c r="E186" s="939" t="str">
        <f>IF('5 ALMACEN '!$AB$1="X","PAR","UND")</f>
        <v>UND</v>
      </c>
      <c r="F186" s="670"/>
      <c r="G186" s="670"/>
      <c r="H186" s="670"/>
      <c r="I186" s="670"/>
      <c r="J186" s="722"/>
      <c r="K186" s="722"/>
      <c r="L186" s="89"/>
    </row>
    <row r="187" spans="1:12" x14ac:dyDescent="0.2">
      <c r="A187" s="1665" t="s">
        <v>367</v>
      </c>
      <c r="B187" s="1665"/>
      <c r="C187" s="940">
        <f>IF('5 ALMACEN '!$AB$1="x","CALIBRE 22",0)</f>
        <v>0</v>
      </c>
      <c r="D187" s="542"/>
      <c r="E187" s="939" t="str">
        <f>IF('5 ALMACEN '!$AB$1="X","PAR","UND")</f>
        <v>UND</v>
      </c>
      <c r="F187" s="670"/>
      <c r="G187" s="670"/>
      <c r="H187" s="670"/>
      <c r="I187" s="670"/>
      <c r="J187" s="722"/>
      <c r="K187" s="722"/>
      <c r="L187" s="89"/>
    </row>
    <row r="188" spans="1:12" x14ac:dyDescent="0.2">
      <c r="A188" s="1665" t="s">
        <v>368</v>
      </c>
      <c r="B188" s="1665"/>
      <c r="C188" s="940">
        <f>IF('5 ALMACEN '!$AB$1="x","CALIBRE 22",0)</f>
        <v>0</v>
      </c>
      <c r="D188" s="543"/>
      <c r="E188" s="939" t="str">
        <f>IF('5 ALMACEN '!$AB$1="X","PAR","UND")</f>
        <v>UND</v>
      </c>
      <c r="F188" s="941"/>
      <c r="G188" s="941"/>
      <c r="H188" s="941"/>
      <c r="I188" s="941"/>
      <c r="J188" s="722"/>
      <c r="K188" s="722"/>
      <c r="L188" s="89"/>
    </row>
    <row r="189" spans="1:12" x14ac:dyDescent="0.2">
      <c r="A189" s="1683" t="s">
        <v>120</v>
      </c>
      <c r="B189" s="1683"/>
      <c r="C189" s="1684"/>
      <c r="D189" s="1694"/>
      <c r="E189" s="1694"/>
      <c r="F189" s="1694"/>
      <c r="G189" s="1694"/>
      <c r="H189" s="1694"/>
      <c r="I189" s="1694"/>
      <c r="J189" s="723"/>
      <c r="K189" s="723"/>
      <c r="L189" s="89">
        <f t="shared" ref="L189:L228" si="13">IF(D189&gt;0,1,0)</f>
        <v>0</v>
      </c>
    </row>
    <row r="190" spans="1:12" x14ac:dyDescent="0.2">
      <c r="A190" s="1656" t="s">
        <v>157</v>
      </c>
      <c r="B190" s="1658"/>
      <c r="C190" s="584"/>
      <c r="D190" s="547">
        <f>+PORTA!C820</f>
        <v>0</v>
      </c>
      <c r="E190" s="582" t="s">
        <v>998</v>
      </c>
      <c r="F190" s="936"/>
      <c r="G190" s="936"/>
      <c r="H190" s="936"/>
      <c r="I190" s="936"/>
      <c r="J190" s="721"/>
      <c r="K190" s="721">
        <f t="shared" ref="K190:K228" si="14">+J190*D190</f>
        <v>0</v>
      </c>
      <c r="L190" s="89">
        <f t="shared" si="13"/>
        <v>0</v>
      </c>
    </row>
    <row r="191" spans="1:12" x14ac:dyDescent="0.2">
      <c r="A191" s="1656" t="s">
        <v>169</v>
      </c>
      <c r="B191" s="1658"/>
      <c r="C191" s="533" t="str">
        <f>IF(OR($F$10="NOPAL",$F$10="NEGRO",$F$10="GRIS NOPAL",),"NEGRO","GRIS CLARO")</f>
        <v>GRIS CLARO</v>
      </c>
      <c r="D191" s="548">
        <f>+PORTA!C821</f>
        <v>0</v>
      </c>
      <c r="E191" s="93" t="s">
        <v>998</v>
      </c>
      <c r="F191" s="670"/>
      <c r="G191" s="670"/>
      <c r="H191" s="670"/>
      <c r="I191" s="670"/>
      <c r="J191" s="721"/>
      <c r="K191" s="721">
        <f t="shared" si="14"/>
        <v>0</v>
      </c>
      <c r="L191" s="89">
        <f t="shared" si="13"/>
        <v>0</v>
      </c>
    </row>
    <row r="192" spans="1:12" x14ac:dyDescent="0.2">
      <c r="A192" s="1656" t="s">
        <v>156</v>
      </c>
      <c r="B192" s="1658"/>
      <c r="C192" s="584"/>
      <c r="D192" s="548">
        <f>+PORTA!C822</f>
        <v>0</v>
      </c>
      <c r="E192" s="92" t="s">
        <v>1035</v>
      </c>
      <c r="F192" s="670"/>
      <c r="G192" s="670"/>
      <c r="H192" s="670"/>
      <c r="I192" s="670"/>
      <c r="J192" s="721"/>
      <c r="K192" s="721">
        <f t="shared" si="14"/>
        <v>0</v>
      </c>
      <c r="L192" s="89">
        <f t="shared" si="13"/>
        <v>0</v>
      </c>
    </row>
    <row r="193" spans="1:12" x14ac:dyDescent="0.2">
      <c r="A193" s="1656" t="s">
        <v>259</v>
      </c>
      <c r="B193" s="1658"/>
      <c r="C193" s="584"/>
      <c r="D193" s="548">
        <f>+PORTA!C823</f>
        <v>0</v>
      </c>
      <c r="E193" s="93" t="s">
        <v>998</v>
      </c>
      <c r="F193" s="670"/>
      <c r="G193" s="670"/>
      <c r="H193" s="670"/>
      <c r="I193" s="670"/>
      <c r="J193" s="721"/>
      <c r="K193" s="721">
        <f t="shared" si="14"/>
        <v>0</v>
      </c>
      <c r="L193" s="89">
        <f t="shared" si="13"/>
        <v>0</v>
      </c>
    </row>
    <row r="194" spans="1:12" x14ac:dyDescent="0.2">
      <c r="A194" s="1656" t="s">
        <v>165</v>
      </c>
      <c r="B194" s="1658"/>
      <c r="C194" s="584"/>
      <c r="D194" s="548">
        <f>+PORTA!C824</f>
        <v>0</v>
      </c>
      <c r="E194" s="92" t="s">
        <v>1035</v>
      </c>
      <c r="F194" s="670"/>
      <c r="G194" s="670"/>
      <c r="H194" s="670"/>
      <c r="I194" s="670"/>
      <c r="J194" s="721"/>
      <c r="K194" s="721">
        <f t="shared" si="14"/>
        <v>0</v>
      </c>
      <c r="L194" s="89">
        <f t="shared" si="13"/>
        <v>0</v>
      </c>
    </row>
    <row r="195" spans="1:12" x14ac:dyDescent="0.2">
      <c r="A195" s="1656" t="s">
        <v>167</v>
      </c>
      <c r="B195" s="1658"/>
      <c r="C195" s="584"/>
      <c r="D195" s="548">
        <f>+PORTA!C825</f>
        <v>0</v>
      </c>
      <c r="E195" s="93" t="s">
        <v>998</v>
      </c>
      <c r="F195" s="670"/>
      <c r="G195" s="670"/>
      <c r="H195" s="670"/>
      <c r="I195" s="670"/>
      <c r="J195" s="721"/>
      <c r="K195" s="721">
        <f t="shared" si="14"/>
        <v>0</v>
      </c>
      <c r="L195" s="89">
        <f t="shared" si="13"/>
        <v>0</v>
      </c>
    </row>
    <row r="196" spans="1:12" x14ac:dyDescent="0.2">
      <c r="A196" s="1656" t="s">
        <v>166</v>
      </c>
      <c r="B196" s="1658"/>
      <c r="C196" s="584"/>
      <c r="D196" s="548">
        <f>+PORTA!C826</f>
        <v>0</v>
      </c>
      <c r="E196" s="93" t="s">
        <v>998</v>
      </c>
      <c r="F196" s="670"/>
      <c r="G196" s="670"/>
      <c r="H196" s="670"/>
      <c r="I196" s="670"/>
      <c r="J196" s="721"/>
      <c r="K196" s="721">
        <f t="shared" si="14"/>
        <v>0</v>
      </c>
      <c r="L196" s="89">
        <f t="shared" si="13"/>
        <v>0</v>
      </c>
    </row>
    <row r="197" spans="1:12" x14ac:dyDescent="0.2">
      <c r="A197" s="1656" t="s">
        <v>168</v>
      </c>
      <c r="B197" s="1658"/>
      <c r="C197" s="584"/>
      <c r="D197" s="548">
        <f>+PORTA!C827</f>
        <v>0</v>
      </c>
      <c r="E197" s="93" t="s">
        <v>998</v>
      </c>
      <c r="F197" s="670"/>
      <c r="G197" s="670"/>
      <c r="H197" s="670"/>
      <c r="I197" s="670"/>
      <c r="J197" s="721"/>
      <c r="K197" s="721">
        <f t="shared" si="14"/>
        <v>0</v>
      </c>
      <c r="L197" s="89">
        <f t="shared" si="13"/>
        <v>0</v>
      </c>
    </row>
    <row r="198" spans="1:12" x14ac:dyDescent="0.2">
      <c r="A198" s="1656" t="s">
        <v>204</v>
      </c>
      <c r="B198" s="1658"/>
      <c r="C198" s="584"/>
      <c r="D198" s="548">
        <f>+PORTA!C828</f>
        <v>0</v>
      </c>
      <c r="E198" s="93" t="s">
        <v>998</v>
      </c>
      <c r="F198" s="670"/>
      <c r="G198" s="670"/>
      <c r="H198" s="670"/>
      <c r="I198" s="670"/>
      <c r="J198" s="721"/>
      <c r="K198" s="721">
        <f t="shared" si="14"/>
        <v>0</v>
      </c>
      <c r="L198" s="89">
        <f t="shared" si="13"/>
        <v>0</v>
      </c>
    </row>
    <row r="199" spans="1:12" x14ac:dyDescent="0.2">
      <c r="A199" s="1656" t="s">
        <v>205</v>
      </c>
      <c r="B199" s="1658"/>
      <c r="C199" s="584"/>
      <c r="D199" s="548">
        <f>+PORTA!C829</f>
        <v>0</v>
      </c>
      <c r="E199" s="93" t="s">
        <v>998</v>
      </c>
      <c r="F199" s="670"/>
      <c r="G199" s="670"/>
      <c r="H199" s="670"/>
      <c r="I199" s="670"/>
      <c r="J199" s="721"/>
      <c r="K199" s="721">
        <f t="shared" si="14"/>
        <v>0</v>
      </c>
      <c r="L199" s="89">
        <f t="shared" si="13"/>
        <v>0</v>
      </c>
    </row>
    <row r="200" spans="1:12" x14ac:dyDescent="0.2">
      <c r="A200" s="1656" t="s">
        <v>206</v>
      </c>
      <c r="B200" s="1658"/>
      <c r="C200" s="584"/>
      <c r="D200" s="548">
        <f>+PORTA!C830</f>
        <v>0</v>
      </c>
      <c r="E200" s="93" t="s">
        <v>998</v>
      </c>
      <c r="F200" s="670"/>
      <c r="G200" s="670"/>
      <c r="H200" s="670"/>
      <c r="I200" s="670"/>
      <c r="J200" s="721"/>
      <c r="K200" s="721">
        <f t="shared" si="14"/>
        <v>0</v>
      </c>
      <c r="L200" s="89">
        <f t="shared" si="13"/>
        <v>0</v>
      </c>
    </row>
    <row r="201" spans="1:12" x14ac:dyDescent="0.2">
      <c r="A201" s="1656" t="s">
        <v>153</v>
      </c>
      <c r="B201" s="1658"/>
      <c r="C201" s="584"/>
      <c r="D201" s="548">
        <f>+PORTA!C831</f>
        <v>0</v>
      </c>
      <c r="E201" s="92" t="s">
        <v>1034</v>
      </c>
      <c r="F201" s="670"/>
      <c r="G201" s="670"/>
      <c r="H201" s="670"/>
      <c r="I201" s="670"/>
      <c r="J201" s="721"/>
      <c r="K201" s="721">
        <f t="shared" si="14"/>
        <v>0</v>
      </c>
      <c r="L201" s="89">
        <f t="shared" si="13"/>
        <v>0</v>
      </c>
    </row>
    <row r="202" spans="1:12" x14ac:dyDescent="0.2">
      <c r="A202" s="1656" t="s">
        <v>203</v>
      </c>
      <c r="B202" s="1658"/>
      <c r="C202" s="584"/>
      <c r="D202" s="548">
        <f>+PORTA!C832</f>
        <v>0</v>
      </c>
      <c r="E202" s="92" t="s">
        <v>1035</v>
      </c>
      <c r="F202" s="670"/>
      <c r="G202" s="670"/>
      <c r="H202" s="670"/>
      <c r="I202" s="670"/>
      <c r="J202" s="721"/>
      <c r="K202" s="721">
        <f t="shared" si="14"/>
        <v>0</v>
      </c>
      <c r="L202" s="89">
        <f t="shared" si="13"/>
        <v>0</v>
      </c>
    </row>
    <row r="203" spans="1:12" x14ac:dyDescent="0.2">
      <c r="A203" s="1656" t="s">
        <v>158</v>
      </c>
      <c r="B203" s="1658"/>
      <c r="C203" s="584"/>
      <c r="D203" s="548">
        <f>+PORTA!C833</f>
        <v>0</v>
      </c>
      <c r="E203" s="93" t="s">
        <v>998</v>
      </c>
      <c r="F203" s="670"/>
      <c r="G203" s="670"/>
      <c r="H203" s="670"/>
      <c r="I203" s="670"/>
      <c r="J203" s="721"/>
      <c r="K203" s="721">
        <f t="shared" si="14"/>
        <v>0</v>
      </c>
      <c r="L203" s="89">
        <f t="shared" si="13"/>
        <v>0</v>
      </c>
    </row>
    <row r="204" spans="1:12" x14ac:dyDescent="0.2">
      <c r="A204" s="1656" t="s">
        <v>155</v>
      </c>
      <c r="B204" s="1658"/>
      <c r="C204" s="584"/>
      <c r="D204" s="548">
        <f>+PORTA!C834</f>
        <v>0</v>
      </c>
      <c r="E204" s="92" t="s">
        <v>1034</v>
      </c>
      <c r="F204" s="670"/>
      <c r="G204" s="670"/>
      <c r="H204" s="670"/>
      <c r="I204" s="670"/>
      <c r="J204" s="721"/>
      <c r="K204" s="721">
        <f t="shared" si="14"/>
        <v>0</v>
      </c>
      <c r="L204" s="89">
        <f t="shared" si="13"/>
        <v>0</v>
      </c>
    </row>
    <row r="205" spans="1:12" x14ac:dyDescent="0.2">
      <c r="A205" s="1656" t="s">
        <v>202</v>
      </c>
      <c r="B205" s="1658"/>
      <c r="C205" s="584"/>
      <c r="D205" s="548">
        <f>+PORTA!C835</f>
        <v>0</v>
      </c>
      <c r="E205" s="93" t="s">
        <v>998</v>
      </c>
      <c r="F205" s="670"/>
      <c r="G205" s="670"/>
      <c r="H205" s="670"/>
      <c r="I205" s="670"/>
      <c r="J205" s="721"/>
      <c r="K205" s="721">
        <f t="shared" si="14"/>
        <v>0</v>
      </c>
      <c r="L205" s="89">
        <f t="shared" si="13"/>
        <v>0</v>
      </c>
    </row>
    <row r="206" spans="1:12" x14ac:dyDescent="0.2">
      <c r="A206" s="1656" t="s">
        <v>170</v>
      </c>
      <c r="B206" s="1658"/>
      <c r="C206" s="584"/>
      <c r="D206" s="548">
        <f>+PORTA!C836</f>
        <v>0</v>
      </c>
      <c r="E206" s="92" t="s">
        <v>1034</v>
      </c>
      <c r="F206" s="670"/>
      <c r="G206" s="670"/>
      <c r="H206" s="670"/>
      <c r="I206" s="670"/>
      <c r="J206" s="721"/>
      <c r="K206" s="721">
        <f t="shared" si="14"/>
        <v>0</v>
      </c>
      <c r="L206" s="89">
        <f t="shared" si="13"/>
        <v>0</v>
      </c>
    </row>
    <row r="207" spans="1:12" x14ac:dyDescent="0.2">
      <c r="A207" s="1656" t="s">
        <v>260</v>
      </c>
      <c r="B207" s="1658"/>
      <c r="C207" s="584"/>
      <c r="D207" s="548">
        <f>+PORTA!C837</f>
        <v>0</v>
      </c>
      <c r="E207" s="93" t="s">
        <v>998</v>
      </c>
      <c r="F207" s="670"/>
      <c r="G207" s="670"/>
      <c r="H207" s="670"/>
      <c r="I207" s="670"/>
      <c r="J207" s="721"/>
      <c r="K207" s="721">
        <f t="shared" si="14"/>
        <v>0</v>
      </c>
      <c r="L207" s="89">
        <f t="shared" si="13"/>
        <v>0</v>
      </c>
    </row>
    <row r="208" spans="1:12" x14ac:dyDescent="0.2">
      <c r="A208" s="1656" t="s">
        <v>196</v>
      </c>
      <c r="B208" s="1658"/>
      <c r="C208" s="584"/>
      <c r="D208" s="548">
        <f>+PORTA!C838</f>
        <v>0</v>
      </c>
      <c r="E208" s="93" t="s">
        <v>998</v>
      </c>
      <c r="F208" s="670"/>
      <c r="G208" s="670"/>
      <c r="H208" s="670"/>
      <c r="I208" s="670"/>
      <c r="J208" s="721"/>
      <c r="K208" s="721">
        <f t="shared" si="14"/>
        <v>0</v>
      </c>
      <c r="L208" s="89">
        <f t="shared" si="13"/>
        <v>0</v>
      </c>
    </row>
    <row r="209" spans="1:12" x14ac:dyDescent="0.2">
      <c r="A209" s="1656" t="s">
        <v>194</v>
      </c>
      <c r="B209" s="1658"/>
      <c r="C209" s="584"/>
      <c r="D209" s="548">
        <f>+PORTA!C839</f>
        <v>0</v>
      </c>
      <c r="E209" s="93" t="s">
        <v>998</v>
      </c>
      <c r="F209" s="670"/>
      <c r="G209" s="670"/>
      <c r="H209" s="670"/>
      <c r="I209" s="670"/>
      <c r="J209" s="721"/>
      <c r="K209" s="721">
        <f t="shared" si="14"/>
        <v>0</v>
      </c>
      <c r="L209" s="89">
        <f t="shared" si="13"/>
        <v>0</v>
      </c>
    </row>
    <row r="210" spans="1:12" x14ac:dyDescent="0.2">
      <c r="A210" s="1656" t="s">
        <v>197</v>
      </c>
      <c r="B210" s="1658"/>
      <c r="C210" s="584"/>
      <c r="D210" s="548">
        <f>+PORTA!C840</f>
        <v>0</v>
      </c>
      <c r="E210" s="93" t="s">
        <v>998</v>
      </c>
      <c r="F210" s="670"/>
      <c r="G210" s="670"/>
      <c r="H210" s="670"/>
      <c r="I210" s="670"/>
      <c r="J210" s="721"/>
      <c r="K210" s="721">
        <f t="shared" si="14"/>
        <v>0</v>
      </c>
      <c r="L210" s="89">
        <f t="shared" si="13"/>
        <v>0</v>
      </c>
    </row>
    <row r="211" spans="1:12" x14ac:dyDescent="0.2">
      <c r="A211" s="1656" t="s">
        <v>261</v>
      </c>
      <c r="B211" s="1658"/>
      <c r="C211" s="584"/>
      <c r="D211" s="548">
        <f>+PORTA!C841</f>
        <v>0</v>
      </c>
      <c r="E211" s="93" t="s">
        <v>998</v>
      </c>
      <c r="F211" s="670"/>
      <c r="G211" s="670"/>
      <c r="H211" s="670"/>
      <c r="I211" s="670"/>
      <c r="J211" s="721"/>
      <c r="K211" s="721">
        <f t="shared" si="14"/>
        <v>0</v>
      </c>
      <c r="L211" s="89">
        <f t="shared" si="13"/>
        <v>0</v>
      </c>
    </row>
    <row r="212" spans="1:12" x14ac:dyDescent="0.2">
      <c r="A212" s="1656" t="s">
        <v>207</v>
      </c>
      <c r="B212" s="1658"/>
      <c r="C212" s="584"/>
      <c r="D212" s="548">
        <f>+PORTA!C842</f>
        <v>0</v>
      </c>
      <c r="E212" s="93" t="s">
        <v>998</v>
      </c>
      <c r="F212" s="670"/>
      <c r="G212" s="670"/>
      <c r="H212" s="670"/>
      <c r="I212" s="670"/>
      <c r="J212" s="721"/>
      <c r="K212" s="721">
        <f t="shared" si="14"/>
        <v>0</v>
      </c>
      <c r="L212" s="89">
        <f t="shared" si="13"/>
        <v>0</v>
      </c>
    </row>
    <row r="213" spans="1:12" x14ac:dyDescent="0.2">
      <c r="A213" s="1656" t="s">
        <v>262</v>
      </c>
      <c r="B213" s="1658"/>
      <c r="C213" s="584"/>
      <c r="D213" s="548">
        <f>+PORTA!C843</f>
        <v>0</v>
      </c>
      <c r="E213" s="93" t="s">
        <v>998</v>
      </c>
      <c r="F213" s="670"/>
      <c r="G213" s="670"/>
      <c r="H213" s="670"/>
      <c r="I213" s="670"/>
      <c r="J213" s="721"/>
      <c r="K213" s="721">
        <f t="shared" si="14"/>
        <v>0</v>
      </c>
      <c r="L213" s="89">
        <f t="shared" si="13"/>
        <v>0</v>
      </c>
    </row>
    <row r="214" spans="1:12" x14ac:dyDescent="0.2">
      <c r="A214" s="1656" t="s">
        <v>263</v>
      </c>
      <c r="B214" s="1658"/>
      <c r="C214" s="584"/>
      <c r="D214" s="548">
        <f>+PORTA!C844</f>
        <v>0</v>
      </c>
      <c r="E214" s="92" t="s">
        <v>1026</v>
      </c>
      <c r="F214" s="670"/>
      <c r="G214" s="670"/>
      <c r="H214" s="670"/>
      <c r="I214" s="670"/>
      <c r="J214" s="721"/>
      <c r="K214" s="721">
        <f t="shared" si="14"/>
        <v>0</v>
      </c>
      <c r="L214" s="89">
        <f t="shared" si="13"/>
        <v>0</v>
      </c>
    </row>
    <row r="215" spans="1:12" x14ac:dyDescent="0.2">
      <c r="A215" s="1656" t="s">
        <v>252</v>
      </c>
      <c r="B215" s="1658"/>
      <c r="C215" s="584"/>
      <c r="D215" s="548">
        <f>+PORTA!C845</f>
        <v>0</v>
      </c>
      <c r="E215" s="92" t="s">
        <v>1026</v>
      </c>
      <c r="F215" s="670"/>
      <c r="G215" s="670"/>
      <c r="H215" s="670"/>
      <c r="I215" s="670"/>
      <c r="J215" s="721"/>
      <c r="K215" s="721">
        <f t="shared" si="14"/>
        <v>0</v>
      </c>
      <c r="L215" s="89">
        <f t="shared" si="13"/>
        <v>0</v>
      </c>
    </row>
    <row r="216" spans="1:12" x14ac:dyDescent="0.2">
      <c r="A216" s="1656" t="s">
        <v>264</v>
      </c>
      <c r="B216" s="1658"/>
      <c r="C216" s="584"/>
      <c r="D216" s="548">
        <f>+PORTA!C846</f>
        <v>0</v>
      </c>
      <c r="E216" s="92" t="s">
        <v>115</v>
      </c>
      <c r="F216" s="670"/>
      <c r="G216" s="670"/>
      <c r="H216" s="670"/>
      <c r="I216" s="670"/>
      <c r="J216" s="721"/>
      <c r="K216" s="721">
        <f t="shared" si="14"/>
        <v>0</v>
      </c>
      <c r="L216" s="89">
        <f t="shared" si="13"/>
        <v>0</v>
      </c>
    </row>
    <row r="217" spans="1:12" x14ac:dyDescent="0.2">
      <c r="A217" s="1656" t="s">
        <v>210</v>
      </c>
      <c r="B217" s="1658"/>
      <c r="C217" s="584"/>
      <c r="D217" s="548">
        <f>+PORTA!C847</f>
        <v>0</v>
      </c>
      <c r="E217" s="93" t="s">
        <v>998</v>
      </c>
      <c r="F217" s="670"/>
      <c r="G217" s="670"/>
      <c r="H217" s="670"/>
      <c r="I217" s="670"/>
      <c r="J217" s="721"/>
      <c r="K217" s="721">
        <f t="shared" si="14"/>
        <v>0</v>
      </c>
      <c r="L217" s="89">
        <f t="shared" si="13"/>
        <v>0</v>
      </c>
    </row>
    <row r="218" spans="1:12" x14ac:dyDescent="0.2">
      <c r="A218" s="1656" t="s">
        <v>265</v>
      </c>
      <c r="B218" s="1658"/>
      <c r="C218" s="584"/>
      <c r="D218" s="548">
        <f>+PORTA!C848</f>
        <v>0</v>
      </c>
      <c r="E218" s="93" t="s">
        <v>998</v>
      </c>
      <c r="F218" s="670"/>
      <c r="G218" s="670"/>
      <c r="H218" s="670"/>
      <c r="I218" s="670"/>
      <c r="J218" s="726"/>
      <c r="K218" s="721">
        <f t="shared" si="14"/>
        <v>0</v>
      </c>
      <c r="L218" s="89">
        <f t="shared" si="13"/>
        <v>0</v>
      </c>
    </row>
    <row r="219" spans="1:12" x14ac:dyDescent="0.2">
      <c r="A219" s="1656" t="s">
        <v>266</v>
      </c>
      <c r="B219" s="1658"/>
      <c r="C219" s="584"/>
      <c r="D219" s="548">
        <f>+PORTA!C849</f>
        <v>0</v>
      </c>
      <c r="E219" s="92" t="s">
        <v>115</v>
      </c>
      <c r="F219" s="670"/>
      <c r="G219" s="670"/>
      <c r="H219" s="670"/>
      <c r="I219" s="670"/>
      <c r="J219" s="721"/>
      <c r="K219" s="721">
        <f t="shared" si="14"/>
        <v>0</v>
      </c>
      <c r="L219" s="89">
        <f t="shared" si="13"/>
        <v>0</v>
      </c>
    </row>
    <row r="220" spans="1:12" x14ac:dyDescent="0.2">
      <c r="A220" s="1656" t="s">
        <v>253</v>
      </c>
      <c r="B220" s="1658"/>
      <c r="C220" s="584"/>
      <c r="D220" s="548">
        <f>(PORTA!C850)*1.1</f>
        <v>0</v>
      </c>
      <c r="E220" s="92" t="s">
        <v>115</v>
      </c>
      <c r="F220" s="670"/>
      <c r="G220" s="670"/>
      <c r="H220" s="670"/>
      <c r="I220" s="670"/>
      <c r="J220" s="721"/>
      <c r="K220" s="721">
        <f t="shared" si="14"/>
        <v>0</v>
      </c>
      <c r="L220" s="89">
        <f t="shared" si="13"/>
        <v>0</v>
      </c>
    </row>
    <row r="221" spans="1:12" x14ac:dyDescent="0.2">
      <c r="A221" s="1656" t="s">
        <v>267</v>
      </c>
      <c r="B221" s="1658"/>
      <c r="C221" s="584"/>
      <c r="D221" s="548">
        <f>(PORTA!C851)*1.1</f>
        <v>0</v>
      </c>
      <c r="E221" s="92" t="s">
        <v>115</v>
      </c>
      <c r="F221" s="670"/>
      <c r="G221" s="670"/>
      <c r="H221" s="670"/>
      <c r="I221" s="670"/>
      <c r="J221" s="721"/>
      <c r="K221" s="721">
        <f t="shared" si="14"/>
        <v>0</v>
      </c>
      <c r="L221" s="89">
        <f t="shared" si="13"/>
        <v>0</v>
      </c>
    </row>
    <row r="222" spans="1:12" x14ac:dyDescent="0.2">
      <c r="A222" s="1656" t="s">
        <v>268</v>
      </c>
      <c r="B222" s="1658"/>
      <c r="C222" s="584"/>
      <c r="D222" s="548">
        <f>(PORTA!C852)*1.1</f>
        <v>0</v>
      </c>
      <c r="E222" s="92" t="s">
        <v>115</v>
      </c>
      <c r="F222" s="670"/>
      <c r="G222" s="670"/>
      <c r="H222" s="670"/>
      <c r="I222" s="670"/>
      <c r="J222" s="721"/>
      <c r="K222" s="721">
        <f t="shared" si="14"/>
        <v>0</v>
      </c>
      <c r="L222" s="89">
        <f t="shared" si="13"/>
        <v>0</v>
      </c>
    </row>
    <row r="223" spans="1:12" x14ac:dyDescent="0.2">
      <c r="A223" s="1656" t="s">
        <v>214</v>
      </c>
      <c r="B223" s="1658"/>
      <c r="C223" s="584"/>
      <c r="D223" s="548">
        <f>+PORTA!C853</f>
        <v>0</v>
      </c>
      <c r="E223" s="93" t="s">
        <v>998</v>
      </c>
      <c r="F223" s="670"/>
      <c r="G223" s="670"/>
      <c r="H223" s="670"/>
      <c r="I223" s="670"/>
      <c r="J223" s="721"/>
      <c r="K223" s="721">
        <f t="shared" si="14"/>
        <v>0</v>
      </c>
      <c r="L223" s="89">
        <f t="shared" si="13"/>
        <v>0</v>
      </c>
    </row>
    <row r="224" spans="1:12" x14ac:dyDescent="0.2">
      <c r="A224" s="1656" t="s">
        <v>269</v>
      </c>
      <c r="B224" s="1658"/>
      <c r="C224" s="584"/>
      <c r="D224" s="548">
        <f>+PORTA!C854</f>
        <v>0</v>
      </c>
      <c r="E224" s="92" t="s">
        <v>270</v>
      </c>
      <c r="F224" s="670"/>
      <c r="G224" s="670"/>
      <c r="H224" s="670"/>
      <c r="I224" s="670"/>
      <c r="J224" s="721"/>
      <c r="K224" s="721">
        <f t="shared" si="14"/>
        <v>0</v>
      </c>
      <c r="L224" s="89">
        <f t="shared" si="13"/>
        <v>0</v>
      </c>
    </row>
    <row r="225" spans="1:12" x14ac:dyDescent="0.2">
      <c r="A225" s="1656" t="s">
        <v>215</v>
      </c>
      <c r="B225" s="1658"/>
      <c r="C225" s="584"/>
      <c r="D225" s="548">
        <f>+PORTA!C855</f>
        <v>0</v>
      </c>
      <c r="E225" s="93" t="s">
        <v>998</v>
      </c>
      <c r="F225" s="670"/>
      <c r="G225" s="670"/>
      <c r="H225" s="670"/>
      <c r="I225" s="670"/>
      <c r="J225" s="721"/>
      <c r="K225" s="721">
        <f t="shared" si="14"/>
        <v>0</v>
      </c>
      <c r="L225" s="89">
        <f t="shared" si="13"/>
        <v>0</v>
      </c>
    </row>
    <row r="226" spans="1:12" x14ac:dyDescent="0.2">
      <c r="A226" s="1656" t="s">
        <v>216</v>
      </c>
      <c r="B226" s="1658"/>
      <c r="C226" s="584"/>
      <c r="D226" s="548">
        <f>+PORTA!C856</f>
        <v>0</v>
      </c>
      <c r="E226" s="93" t="s">
        <v>998</v>
      </c>
      <c r="F226" s="670"/>
      <c r="G226" s="670"/>
      <c r="H226" s="670"/>
      <c r="I226" s="670"/>
      <c r="J226" s="721"/>
      <c r="K226" s="721">
        <f t="shared" si="14"/>
        <v>0</v>
      </c>
      <c r="L226" s="89">
        <f t="shared" si="13"/>
        <v>0</v>
      </c>
    </row>
    <row r="227" spans="1:12" x14ac:dyDescent="0.2">
      <c r="A227" s="1656" t="s">
        <v>271</v>
      </c>
      <c r="B227" s="1658"/>
      <c r="C227" s="584"/>
      <c r="D227" s="548">
        <f>+PORTA!C857</f>
        <v>0</v>
      </c>
      <c r="E227" s="93" t="s">
        <v>998</v>
      </c>
      <c r="F227" s="670"/>
      <c r="G227" s="670"/>
      <c r="H227" s="670"/>
      <c r="I227" s="670"/>
      <c r="J227" s="726"/>
      <c r="K227" s="721">
        <f t="shared" si="14"/>
        <v>0</v>
      </c>
      <c r="L227" s="89">
        <f t="shared" si="13"/>
        <v>0</v>
      </c>
    </row>
    <row r="228" spans="1:12" x14ac:dyDescent="0.2">
      <c r="A228" s="1656" t="s">
        <v>209</v>
      </c>
      <c r="B228" s="1658"/>
      <c r="C228" s="584"/>
      <c r="D228" s="548">
        <f>+PORTA!C858</f>
        <v>0</v>
      </c>
      <c r="E228" s="93" t="s">
        <v>998</v>
      </c>
      <c r="F228" s="670"/>
      <c r="G228" s="670"/>
      <c r="H228" s="670"/>
      <c r="I228" s="670"/>
      <c r="J228" s="721"/>
      <c r="K228" s="721">
        <f t="shared" si="14"/>
        <v>0</v>
      </c>
      <c r="L228" s="89">
        <f t="shared" si="13"/>
        <v>0</v>
      </c>
    </row>
    <row r="229" spans="1:12" x14ac:dyDescent="0.2">
      <c r="A229" s="1648" t="s">
        <v>279</v>
      </c>
      <c r="B229" s="1648"/>
      <c r="C229" s="1648"/>
      <c r="D229" s="544">
        <f>+PORTA!I870</f>
        <v>0</v>
      </c>
      <c r="E229" s="1011"/>
      <c r="F229" s="680"/>
      <c r="G229" s="680"/>
      <c r="H229" s="680"/>
      <c r="I229" s="680"/>
      <c r="J229" s="723"/>
      <c r="K229" s="723"/>
      <c r="L229" s="89">
        <f t="shared" ref="L229:L261" si="15">IF(D229&gt;0,1,0)</f>
        <v>0</v>
      </c>
    </row>
    <row r="230" spans="1:12" x14ac:dyDescent="0.2">
      <c r="A230" s="90" t="s">
        <v>280</v>
      </c>
      <c r="B230" s="95"/>
      <c r="C230" s="584"/>
      <c r="D230" s="548">
        <f>+PORTA!C873</f>
        <v>0</v>
      </c>
      <c r="E230" s="93" t="s">
        <v>998</v>
      </c>
      <c r="F230" s="670"/>
      <c r="G230" s="670"/>
      <c r="H230" s="670"/>
      <c r="I230" s="670"/>
      <c r="J230" s="721"/>
      <c r="K230" s="721">
        <f>+J230*D230</f>
        <v>0</v>
      </c>
      <c r="L230" s="89">
        <f t="shared" si="15"/>
        <v>0</v>
      </c>
    </row>
    <row r="231" spans="1:12" x14ac:dyDescent="0.2">
      <c r="A231" s="1648" t="s">
        <v>285</v>
      </c>
      <c r="B231" s="1648"/>
      <c r="C231" s="1648"/>
      <c r="D231" s="544">
        <f>+PORTA!I889</f>
        <v>0</v>
      </c>
      <c r="E231" s="1011"/>
      <c r="F231" s="680"/>
      <c r="G231" s="680"/>
      <c r="H231" s="680"/>
      <c r="I231" s="680"/>
      <c r="J231" s="723"/>
      <c r="K231" s="723"/>
      <c r="L231" s="89">
        <f t="shared" si="15"/>
        <v>0</v>
      </c>
    </row>
    <row r="232" spans="1:12" x14ac:dyDescent="0.2">
      <c r="A232" s="1656" t="s">
        <v>161</v>
      </c>
      <c r="B232" s="1658"/>
      <c r="C232" s="584"/>
      <c r="D232" s="547">
        <f>+PORTA!C890</f>
        <v>0</v>
      </c>
      <c r="E232" s="93" t="s">
        <v>998</v>
      </c>
      <c r="F232" s="670"/>
      <c r="G232" s="670"/>
      <c r="H232" s="670"/>
      <c r="I232" s="670"/>
      <c r="J232" s="721"/>
      <c r="K232" s="721">
        <f t="shared" ref="K232:K244" si="16">+J232*D232</f>
        <v>0</v>
      </c>
      <c r="L232" s="89">
        <f t="shared" si="15"/>
        <v>0</v>
      </c>
    </row>
    <row r="233" spans="1:12" x14ac:dyDescent="0.2">
      <c r="A233" s="1656" t="s">
        <v>160</v>
      </c>
      <c r="B233" s="1658"/>
      <c r="C233" s="584"/>
      <c r="D233" s="548">
        <f>+PORTA!C891</f>
        <v>0</v>
      </c>
      <c r="E233" s="93" t="s">
        <v>998</v>
      </c>
      <c r="F233" s="670"/>
      <c r="G233" s="670"/>
      <c r="H233" s="670"/>
      <c r="I233" s="670"/>
      <c r="J233" s="721"/>
      <c r="K233" s="721">
        <f t="shared" si="16"/>
        <v>0</v>
      </c>
      <c r="L233" s="89">
        <f t="shared" si="15"/>
        <v>0</v>
      </c>
    </row>
    <row r="234" spans="1:12" x14ac:dyDescent="0.2">
      <c r="A234" s="1656" t="s">
        <v>162</v>
      </c>
      <c r="B234" s="1658"/>
      <c r="C234" s="584"/>
      <c r="D234" s="548">
        <f>+PORTA!C892</f>
        <v>0</v>
      </c>
      <c r="E234" s="93" t="s">
        <v>998</v>
      </c>
      <c r="F234" s="670"/>
      <c r="G234" s="670"/>
      <c r="H234" s="670"/>
      <c r="I234" s="670"/>
      <c r="J234" s="721"/>
      <c r="K234" s="721">
        <f t="shared" si="16"/>
        <v>0</v>
      </c>
      <c r="L234" s="89">
        <f t="shared" si="15"/>
        <v>0</v>
      </c>
    </row>
    <row r="235" spans="1:12" x14ac:dyDescent="0.2">
      <c r="A235" s="1656" t="s">
        <v>163</v>
      </c>
      <c r="B235" s="1658"/>
      <c r="C235" s="584"/>
      <c r="D235" s="548">
        <f>+PORTA!C893</f>
        <v>0</v>
      </c>
      <c r="E235" s="93" t="s">
        <v>998</v>
      </c>
      <c r="F235" s="670"/>
      <c r="G235" s="670"/>
      <c r="H235" s="670"/>
      <c r="I235" s="670"/>
      <c r="J235" s="721"/>
      <c r="K235" s="721">
        <f t="shared" si="16"/>
        <v>0</v>
      </c>
      <c r="L235" s="89">
        <f t="shared" si="15"/>
        <v>0</v>
      </c>
    </row>
    <row r="236" spans="1:12" x14ac:dyDescent="0.2">
      <c r="A236" s="1656" t="s">
        <v>164</v>
      </c>
      <c r="B236" s="1658"/>
      <c r="C236" s="584"/>
      <c r="D236" s="548">
        <f>+PORTA!C894</f>
        <v>0</v>
      </c>
      <c r="E236" s="93" t="s">
        <v>998</v>
      </c>
      <c r="F236" s="670"/>
      <c r="G236" s="670"/>
      <c r="H236" s="670"/>
      <c r="I236" s="670"/>
      <c r="J236" s="721"/>
      <c r="K236" s="721">
        <f t="shared" si="16"/>
        <v>0</v>
      </c>
      <c r="L236" s="89">
        <f t="shared" si="15"/>
        <v>0</v>
      </c>
    </row>
    <row r="237" spans="1:12" x14ac:dyDescent="0.2">
      <c r="A237" s="1656" t="s">
        <v>159</v>
      </c>
      <c r="B237" s="1658"/>
      <c r="C237" s="584"/>
      <c r="D237" s="548">
        <f>+PORTA!C895</f>
        <v>0</v>
      </c>
      <c r="E237" s="93" t="s">
        <v>998</v>
      </c>
      <c r="F237" s="670"/>
      <c r="G237" s="670"/>
      <c r="H237" s="670"/>
      <c r="I237" s="670"/>
      <c r="J237" s="721"/>
      <c r="K237" s="721">
        <f t="shared" si="16"/>
        <v>0</v>
      </c>
      <c r="L237" s="89">
        <f t="shared" si="15"/>
        <v>0</v>
      </c>
    </row>
    <row r="238" spans="1:12" x14ac:dyDescent="0.2">
      <c r="A238" s="1656" t="s">
        <v>286</v>
      </c>
      <c r="B238" s="1658"/>
      <c r="C238" s="584"/>
      <c r="D238" s="548">
        <f>+PORTA!C896</f>
        <v>0</v>
      </c>
      <c r="E238" s="93" t="s">
        <v>998</v>
      </c>
      <c r="F238" s="670"/>
      <c r="G238" s="670"/>
      <c r="H238" s="670"/>
      <c r="I238" s="670"/>
      <c r="J238" s="721"/>
      <c r="K238" s="721">
        <f t="shared" si="16"/>
        <v>0</v>
      </c>
      <c r="L238" s="89">
        <f t="shared" si="15"/>
        <v>0</v>
      </c>
    </row>
    <row r="239" spans="1:12" x14ac:dyDescent="0.2">
      <c r="A239" s="1656" t="s">
        <v>287</v>
      </c>
      <c r="B239" s="1658"/>
      <c r="C239" s="584"/>
      <c r="D239" s="548">
        <f>+PORTA!C897</f>
        <v>0</v>
      </c>
      <c r="E239" s="93" t="s">
        <v>998</v>
      </c>
      <c r="F239" s="670"/>
      <c r="G239" s="670"/>
      <c r="H239" s="670"/>
      <c r="I239" s="670"/>
      <c r="J239" s="721"/>
      <c r="K239" s="721">
        <f t="shared" si="16"/>
        <v>0</v>
      </c>
      <c r="L239" s="89">
        <f t="shared" si="15"/>
        <v>0</v>
      </c>
    </row>
    <row r="240" spans="1:12" x14ac:dyDescent="0.2">
      <c r="A240" s="1656" t="s">
        <v>288</v>
      </c>
      <c r="B240" s="1658"/>
      <c r="C240" s="584"/>
      <c r="D240" s="548">
        <f>+PORTA!C898</f>
        <v>0</v>
      </c>
      <c r="E240" s="93" t="s">
        <v>998</v>
      </c>
      <c r="F240" s="670"/>
      <c r="G240" s="670"/>
      <c r="H240" s="670"/>
      <c r="I240" s="670"/>
      <c r="J240" s="721"/>
      <c r="K240" s="721">
        <f t="shared" si="16"/>
        <v>0</v>
      </c>
      <c r="L240" s="89">
        <f t="shared" si="15"/>
        <v>0</v>
      </c>
    </row>
    <row r="241" spans="1:12" x14ac:dyDescent="0.2">
      <c r="A241" s="1656" t="s">
        <v>289</v>
      </c>
      <c r="B241" s="1658"/>
      <c r="C241" s="584"/>
      <c r="D241" s="548">
        <f>+PORTA!C899</f>
        <v>0</v>
      </c>
      <c r="E241" s="93" t="s">
        <v>998</v>
      </c>
      <c r="F241" s="670"/>
      <c r="G241" s="670"/>
      <c r="H241" s="670"/>
      <c r="I241" s="670"/>
      <c r="J241" s="721"/>
      <c r="K241" s="721">
        <f t="shared" si="16"/>
        <v>0</v>
      </c>
      <c r="L241" s="89">
        <f t="shared" si="15"/>
        <v>0</v>
      </c>
    </row>
    <row r="242" spans="1:12" x14ac:dyDescent="0.2">
      <c r="A242" s="1656" t="s">
        <v>290</v>
      </c>
      <c r="B242" s="1658"/>
      <c r="C242" s="584"/>
      <c r="D242" s="548">
        <f>+PORTA!C900</f>
        <v>0</v>
      </c>
      <c r="E242" s="93" t="s">
        <v>998</v>
      </c>
      <c r="F242" s="670"/>
      <c r="G242" s="670"/>
      <c r="H242" s="670"/>
      <c r="I242" s="670"/>
      <c r="J242" s="721"/>
      <c r="K242" s="721">
        <f t="shared" si="16"/>
        <v>0</v>
      </c>
      <c r="L242" s="89">
        <f t="shared" si="15"/>
        <v>0</v>
      </c>
    </row>
    <row r="243" spans="1:12" x14ac:dyDescent="0.2">
      <c r="A243" s="1656" t="s">
        <v>291</v>
      </c>
      <c r="B243" s="1658"/>
      <c r="C243" s="584"/>
      <c r="D243" s="548">
        <f>+PORTA!C901</f>
        <v>0</v>
      </c>
      <c r="E243" s="93" t="s">
        <v>998</v>
      </c>
      <c r="F243" s="670"/>
      <c r="G243" s="670"/>
      <c r="H243" s="670"/>
      <c r="I243" s="670"/>
      <c r="J243" s="721"/>
      <c r="K243" s="721">
        <f t="shared" si="16"/>
        <v>0</v>
      </c>
      <c r="L243" s="89">
        <f t="shared" si="15"/>
        <v>0</v>
      </c>
    </row>
    <row r="244" spans="1:12" x14ac:dyDescent="0.2">
      <c r="A244" s="1656" t="s">
        <v>276</v>
      </c>
      <c r="B244" s="1658"/>
      <c r="C244" s="584"/>
      <c r="D244" s="546">
        <f>+PORTA!C902</f>
        <v>0</v>
      </c>
      <c r="E244" s="93" t="s">
        <v>998</v>
      </c>
      <c r="F244" s="670"/>
      <c r="G244" s="670"/>
      <c r="H244" s="670"/>
      <c r="I244" s="670"/>
      <c r="J244" s="785"/>
      <c r="K244" s="721">
        <f t="shared" si="16"/>
        <v>0</v>
      </c>
      <c r="L244" s="89">
        <f t="shared" si="15"/>
        <v>0</v>
      </c>
    </row>
    <row r="245" spans="1:12" x14ac:dyDescent="0.2">
      <c r="A245" s="1648" t="s">
        <v>48</v>
      </c>
      <c r="B245" s="1648"/>
      <c r="C245" s="1648"/>
      <c r="D245" s="1172">
        <f>SUM(D246:D247)</f>
        <v>0</v>
      </c>
      <c r="E245" s="1011"/>
      <c r="F245" s="680"/>
      <c r="G245" s="680"/>
      <c r="H245" s="680"/>
      <c r="I245" s="680"/>
      <c r="J245" s="1253"/>
      <c r="K245" s="722"/>
      <c r="L245" s="89">
        <f t="shared" si="15"/>
        <v>0</v>
      </c>
    </row>
    <row r="246" spans="1:12" x14ac:dyDescent="0.2">
      <c r="A246" s="1656" t="str">
        <f>CONCATENATE("PUERTA"," ",'5 ALMACEN '!T37)</f>
        <v>PUERTA PTA ALUMINIO ATORNILLAR 198.5*80.5</v>
      </c>
      <c r="B246" s="1658"/>
      <c r="C246" s="584"/>
      <c r="D246" s="546">
        <f>+'5 ALMACEN '!U37</f>
        <v>0</v>
      </c>
      <c r="E246" s="93" t="s">
        <v>998</v>
      </c>
      <c r="F246" s="670"/>
      <c r="G246" s="670"/>
      <c r="H246" s="670"/>
      <c r="I246" s="670"/>
      <c r="J246" s="1253"/>
      <c r="K246" s="722"/>
      <c r="L246" s="89">
        <f t="shared" si="15"/>
        <v>0</v>
      </c>
    </row>
    <row r="247" spans="1:12" x14ac:dyDescent="0.2">
      <c r="A247" s="1656" t="s">
        <v>416</v>
      </c>
      <c r="B247" s="1658"/>
      <c r="C247" s="584"/>
      <c r="D247" s="546">
        <f>+'5 ALMACEN '!U37*5</f>
        <v>0</v>
      </c>
      <c r="E247" s="939" t="s">
        <v>1140</v>
      </c>
      <c r="F247" s="670"/>
      <c r="G247" s="670"/>
      <c r="H247" s="670"/>
      <c r="I247" s="670"/>
      <c r="J247" s="1253"/>
      <c r="K247" s="722"/>
      <c r="L247" s="89">
        <f t="shared" si="15"/>
        <v>0</v>
      </c>
    </row>
    <row r="248" spans="1:12" x14ac:dyDescent="0.2">
      <c r="A248" s="1682" t="s">
        <v>82</v>
      </c>
      <c r="B248" s="1682"/>
      <c r="C248" s="1682"/>
      <c r="D248" s="1172">
        <f>SUM(D249:D259)</f>
        <v>0</v>
      </c>
      <c r="E248" s="1012"/>
      <c r="F248" s="574"/>
      <c r="G248" s="574"/>
      <c r="H248" s="574"/>
      <c r="I248" s="574"/>
      <c r="J248" s="722"/>
      <c r="K248" s="722"/>
      <c r="L248" s="89">
        <f t="shared" si="15"/>
        <v>0</v>
      </c>
    </row>
    <row r="249" spans="1:12" x14ac:dyDescent="0.2">
      <c r="A249" s="1656" t="s">
        <v>293</v>
      </c>
      <c r="B249" s="1658"/>
      <c r="C249" s="92"/>
      <c r="D249" s="542">
        <f>+'5 ALMACEN '!U13</f>
        <v>0</v>
      </c>
      <c r="E249" s="93" t="s">
        <v>998</v>
      </c>
      <c r="F249" s="670"/>
      <c r="G249" s="670"/>
      <c r="H249" s="670"/>
      <c r="I249" s="670"/>
      <c r="J249" s="721"/>
      <c r="K249" s="721">
        <f>+J249*D249</f>
        <v>0</v>
      </c>
      <c r="L249" s="89">
        <f t="shared" si="15"/>
        <v>0</v>
      </c>
    </row>
    <row r="250" spans="1:12" x14ac:dyDescent="0.2">
      <c r="A250" s="1656" t="s">
        <v>294</v>
      </c>
      <c r="B250" s="1658"/>
      <c r="C250" s="92"/>
      <c r="D250" s="579">
        <f>+'5 ALMACEN '!U12</f>
        <v>0</v>
      </c>
      <c r="E250" s="93" t="s">
        <v>998</v>
      </c>
      <c r="F250" s="670"/>
      <c r="G250" s="670"/>
      <c r="H250" s="670"/>
      <c r="I250" s="670"/>
      <c r="J250" s="721"/>
      <c r="K250" s="721">
        <f>+J250*D250</f>
        <v>0</v>
      </c>
      <c r="L250" s="89">
        <f t="shared" si="15"/>
        <v>0</v>
      </c>
    </row>
    <row r="251" spans="1:12" x14ac:dyDescent="0.2">
      <c r="A251" s="1656" t="s">
        <v>295</v>
      </c>
      <c r="B251" s="1658"/>
      <c r="C251" s="92"/>
      <c r="D251" s="579">
        <f>+'5 ALMACEN '!U14</f>
        <v>0</v>
      </c>
      <c r="E251" s="93" t="s">
        <v>998</v>
      </c>
      <c r="F251" s="670"/>
      <c r="G251" s="670"/>
      <c r="H251" s="670"/>
      <c r="I251" s="670"/>
      <c r="J251" s="721"/>
      <c r="K251" s="721">
        <f>+J251*D251</f>
        <v>0</v>
      </c>
      <c r="L251" s="89">
        <f t="shared" si="15"/>
        <v>0</v>
      </c>
    </row>
    <row r="252" spans="1:12" x14ac:dyDescent="0.2">
      <c r="A252" s="1656" t="s">
        <v>1116</v>
      </c>
      <c r="B252" s="1658"/>
      <c r="C252" s="92"/>
      <c r="D252" s="579">
        <f>+'5 ALMACEN '!U11</f>
        <v>0</v>
      </c>
      <c r="E252" s="93" t="s">
        <v>998</v>
      </c>
      <c r="F252" s="670"/>
      <c r="G252" s="670"/>
      <c r="H252" s="670"/>
      <c r="I252" s="670"/>
      <c r="J252" s="721"/>
      <c r="K252" s="721"/>
      <c r="L252" s="89">
        <f t="shared" ref="L252:L258" si="17">IF(D252&gt;0,1,0)</f>
        <v>0</v>
      </c>
    </row>
    <row r="253" spans="1:12" x14ac:dyDescent="0.2">
      <c r="A253" s="1656" t="s">
        <v>814</v>
      </c>
      <c r="B253" s="1658"/>
      <c r="C253" s="92"/>
      <c r="D253" s="579">
        <f>+'5 ALMACEN '!U9</f>
        <v>0</v>
      </c>
      <c r="E253" s="93" t="s">
        <v>998</v>
      </c>
      <c r="F253" s="670"/>
      <c r="G253" s="670"/>
      <c r="H253" s="670"/>
      <c r="I253" s="670"/>
      <c r="J253" s="721"/>
      <c r="K253" s="721">
        <f t="shared" ref="K253:K259" si="18">+J253*D253</f>
        <v>0</v>
      </c>
      <c r="L253" s="89">
        <f t="shared" si="17"/>
        <v>0</v>
      </c>
    </row>
    <row r="254" spans="1:12" x14ac:dyDescent="0.2">
      <c r="A254" s="1656" t="s">
        <v>815</v>
      </c>
      <c r="B254" s="1658"/>
      <c r="C254" s="93"/>
      <c r="D254" s="579">
        <f>+'5 ALMACEN '!U8</f>
        <v>0</v>
      </c>
      <c r="E254" s="93" t="s">
        <v>998</v>
      </c>
      <c r="F254" s="670"/>
      <c r="G254" s="670"/>
      <c r="H254" s="670"/>
      <c r="I254" s="670"/>
      <c r="J254" s="721"/>
      <c r="K254" s="721">
        <f t="shared" si="18"/>
        <v>0</v>
      </c>
      <c r="L254" s="89">
        <f t="shared" si="17"/>
        <v>0</v>
      </c>
    </row>
    <row r="255" spans="1:12" x14ac:dyDescent="0.2">
      <c r="A255" s="1656" t="s">
        <v>816</v>
      </c>
      <c r="B255" s="1658"/>
      <c r="C255" s="92"/>
      <c r="D255" s="579">
        <f>+'5 ALMACEN '!U10</f>
        <v>0</v>
      </c>
      <c r="E255" s="93" t="s">
        <v>998</v>
      </c>
      <c r="F255" s="670"/>
      <c r="G255" s="670"/>
      <c r="H255" s="670"/>
      <c r="I255" s="670"/>
      <c r="J255" s="721"/>
      <c r="K255" s="721">
        <f t="shared" si="18"/>
        <v>0</v>
      </c>
      <c r="L255" s="89">
        <f t="shared" si="17"/>
        <v>0</v>
      </c>
    </row>
    <row r="256" spans="1:12" x14ac:dyDescent="0.2">
      <c r="A256" s="1656" t="s">
        <v>1115</v>
      </c>
      <c r="B256" s="1658"/>
      <c r="C256" s="92"/>
      <c r="D256" s="579">
        <f>+'5 ALMACEN '!U7</f>
        <v>0</v>
      </c>
      <c r="E256" s="93" t="s">
        <v>998</v>
      </c>
      <c r="F256" s="670"/>
      <c r="G256" s="670"/>
      <c r="H256" s="670"/>
      <c r="I256" s="670"/>
      <c r="J256" s="721"/>
      <c r="K256" s="721">
        <f t="shared" si="18"/>
        <v>0</v>
      </c>
      <c r="L256" s="89">
        <f t="shared" si="17"/>
        <v>0</v>
      </c>
    </row>
    <row r="257" spans="1:12" x14ac:dyDescent="0.2">
      <c r="A257" s="1656" t="s">
        <v>812</v>
      </c>
      <c r="B257" s="1658"/>
      <c r="C257" s="92"/>
      <c r="D257" s="579">
        <f>+'5 ALMACEN '!U18</f>
        <v>0</v>
      </c>
      <c r="E257" s="93" t="s">
        <v>998</v>
      </c>
      <c r="F257" s="670"/>
      <c r="G257" s="670"/>
      <c r="H257" s="670"/>
      <c r="I257" s="670"/>
      <c r="J257" s="721"/>
      <c r="K257" s="721">
        <f t="shared" si="18"/>
        <v>0</v>
      </c>
      <c r="L257" s="89">
        <f t="shared" si="17"/>
        <v>0</v>
      </c>
    </row>
    <row r="258" spans="1:12" x14ac:dyDescent="0.2">
      <c r="A258" s="1656" t="s">
        <v>1114</v>
      </c>
      <c r="B258" s="1658"/>
      <c r="C258" s="93"/>
      <c r="D258" s="579">
        <f>+'5 ALMACEN '!U19</f>
        <v>0</v>
      </c>
      <c r="E258" s="93" t="s">
        <v>998</v>
      </c>
      <c r="F258" s="670"/>
      <c r="G258" s="670"/>
      <c r="H258" s="670"/>
      <c r="I258" s="670"/>
      <c r="J258" s="721"/>
      <c r="K258" s="721">
        <f t="shared" si="18"/>
        <v>0</v>
      </c>
      <c r="L258" s="89">
        <f t="shared" si="17"/>
        <v>0</v>
      </c>
    </row>
    <row r="259" spans="1:12" x14ac:dyDescent="0.2">
      <c r="A259" s="1656" t="s">
        <v>296</v>
      </c>
      <c r="B259" s="1658"/>
      <c r="C259" s="92"/>
      <c r="D259" s="579">
        <f>+'5 ALMACEN '!U15</f>
        <v>0</v>
      </c>
      <c r="E259" s="93" t="s">
        <v>998</v>
      </c>
      <c r="F259" s="670"/>
      <c r="G259" s="670"/>
      <c r="H259" s="670"/>
      <c r="I259" s="670"/>
      <c r="J259" s="721"/>
      <c r="K259" s="721">
        <f t="shared" si="18"/>
        <v>0</v>
      </c>
      <c r="L259" s="89">
        <f t="shared" si="15"/>
        <v>0</v>
      </c>
    </row>
    <row r="260" spans="1:12" x14ac:dyDescent="0.2">
      <c r="A260" s="1682" t="s">
        <v>297</v>
      </c>
      <c r="B260" s="1682"/>
      <c r="C260" s="1682"/>
      <c r="D260" s="1172">
        <f>SUM(D261:D283)</f>
        <v>0</v>
      </c>
      <c r="E260" s="1013"/>
      <c r="F260" s="577"/>
      <c r="G260" s="574"/>
      <c r="H260" s="574"/>
      <c r="I260" s="574"/>
      <c r="J260" s="722"/>
      <c r="K260" s="722"/>
      <c r="L260" s="89">
        <f t="shared" si="15"/>
        <v>0</v>
      </c>
    </row>
    <row r="261" spans="1:12" x14ac:dyDescent="0.2">
      <c r="A261" s="1656" t="s">
        <v>59</v>
      </c>
      <c r="B261" s="1658"/>
      <c r="C261" s="92"/>
      <c r="D261" s="579">
        <f>+'5 ALMACEN '!U31</f>
        <v>0</v>
      </c>
      <c r="E261" s="93" t="s">
        <v>998</v>
      </c>
      <c r="F261" s="670"/>
      <c r="G261" s="670"/>
      <c r="H261" s="670"/>
      <c r="I261" s="670"/>
      <c r="J261" s="721"/>
      <c r="K261" s="721">
        <f>+J261*D261</f>
        <v>0</v>
      </c>
      <c r="L261" s="89">
        <f t="shared" si="15"/>
        <v>0</v>
      </c>
    </row>
    <row r="262" spans="1:12" x14ac:dyDescent="0.2">
      <c r="A262" s="1656" t="s">
        <v>817</v>
      </c>
      <c r="B262" s="1658"/>
      <c r="C262" s="93"/>
      <c r="D262" s="579">
        <f>+P.T.Nueva!C665</f>
        <v>0</v>
      </c>
      <c r="E262" s="93" t="s">
        <v>1036</v>
      </c>
      <c r="F262" s="670"/>
      <c r="G262" s="670"/>
      <c r="H262" s="670"/>
      <c r="I262" s="670"/>
      <c r="J262" s="721"/>
      <c r="K262" s="721">
        <f>+J262*D262</f>
        <v>0</v>
      </c>
      <c r="L262" s="89">
        <f t="shared" ref="L262:L273" si="19">IF(D262&gt;0,1,0)</f>
        <v>0</v>
      </c>
    </row>
    <row r="263" spans="1:12" x14ac:dyDescent="0.2">
      <c r="A263" s="1656" t="s">
        <v>818</v>
      </c>
      <c r="B263" s="1658"/>
      <c r="C263" s="92"/>
      <c r="D263" s="579">
        <f>+'5 ALMACEN '!U32</f>
        <v>0</v>
      </c>
      <c r="E263" s="93" t="s">
        <v>998</v>
      </c>
      <c r="F263" s="670"/>
      <c r="G263" s="670"/>
      <c r="H263" s="670"/>
      <c r="I263" s="670"/>
      <c r="J263" s="721"/>
      <c r="K263" s="721">
        <f>+J263*D263</f>
        <v>0</v>
      </c>
      <c r="L263" s="89">
        <f t="shared" si="19"/>
        <v>0</v>
      </c>
    </row>
    <row r="264" spans="1:12" x14ac:dyDescent="0.2">
      <c r="A264" s="1656" t="s">
        <v>62</v>
      </c>
      <c r="B264" s="1658"/>
      <c r="C264" s="92"/>
      <c r="D264" s="579">
        <f>+Cant.!R47*4</f>
        <v>0</v>
      </c>
      <c r="E264" s="93" t="s">
        <v>998</v>
      </c>
      <c r="F264" s="670"/>
      <c r="G264" s="670"/>
      <c r="H264" s="670"/>
      <c r="I264" s="670"/>
      <c r="J264" s="721"/>
      <c r="K264" s="721">
        <f>+J264*D264</f>
        <v>0</v>
      </c>
      <c r="L264" s="89">
        <f t="shared" si="19"/>
        <v>0</v>
      </c>
    </row>
    <row r="265" spans="1:12" x14ac:dyDescent="0.2">
      <c r="A265" s="1656" t="s">
        <v>715</v>
      </c>
      <c r="B265" s="1658"/>
      <c r="C265" s="92"/>
      <c r="D265" s="579">
        <f>+P.T.Nueva!C678</f>
        <v>0</v>
      </c>
      <c r="E265" s="93" t="s">
        <v>1026</v>
      </c>
      <c r="F265" s="670"/>
      <c r="G265" s="670"/>
      <c r="H265" s="670"/>
      <c r="I265" s="670"/>
      <c r="J265" s="721"/>
      <c r="K265" s="721">
        <f>+J265*D265</f>
        <v>0</v>
      </c>
      <c r="L265" s="89">
        <f t="shared" si="19"/>
        <v>0</v>
      </c>
    </row>
    <row r="266" spans="1:12" x14ac:dyDescent="0.2">
      <c r="A266" s="1656" t="str">
        <f>+P.T.Nueva!A736</f>
        <v>Tornillo 10 X 11/4 Zinc Ran</v>
      </c>
      <c r="B266" s="1658"/>
      <c r="C266" s="93"/>
      <c r="D266" s="579">
        <f>+Cant.!R47*8</f>
        <v>0</v>
      </c>
      <c r="E266" s="93" t="s">
        <v>998</v>
      </c>
      <c r="F266" s="670"/>
      <c r="G266" s="670"/>
      <c r="H266" s="670"/>
      <c r="I266" s="670"/>
      <c r="J266" s="752"/>
      <c r="K266" s="721">
        <f t="shared" ref="K266:K273" si="20">+J266*D266</f>
        <v>0</v>
      </c>
      <c r="L266" s="89">
        <f t="shared" si="19"/>
        <v>0</v>
      </c>
    </row>
    <row r="267" spans="1:12" x14ac:dyDescent="0.2">
      <c r="A267" s="1656" t="s">
        <v>1056</v>
      </c>
      <c r="B267" s="1658"/>
      <c r="C267" s="92"/>
      <c r="D267" s="579">
        <f>+P.T.Nueva!C737</f>
        <v>0</v>
      </c>
      <c r="E267" s="93" t="s">
        <v>998</v>
      </c>
      <c r="F267" s="670"/>
      <c r="G267" s="670"/>
      <c r="H267" s="670"/>
      <c r="I267" s="670"/>
      <c r="J267" s="734"/>
      <c r="K267" s="721">
        <f t="shared" si="20"/>
        <v>0</v>
      </c>
      <c r="L267" s="89">
        <f t="shared" si="19"/>
        <v>0</v>
      </c>
    </row>
    <row r="268" spans="1:12" x14ac:dyDescent="0.2">
      <c r="A268" s="1656" t="s">
        <v>113</v>
      </c>
      <c r="B268" s="1658"/>
      <c r="C268" s="92"/>
      <c r="D268" s="579">
        <f>+P.T.Nueva!C738</f>
        <v>0</v>
      </c>
      <c r="E268" s="93" t="s">
        <v>998</v>
      </c>
      <c r="F268" s="670"/>
      <c r="G268" s="670"/>
      <c r="H268" s="670"/>
      <c r="I268" s="670"/>
      <c r="J268" s="734"/>
      <c r="K268" s="721">
        <f t="shared" si="20"/>
        <v>0</v>
      </c>
      <c r="L268" s="89">
        <f t="shared" si="19"/>
        <v>0</v>
      </c>
    </row>
    <row r="269" spans="1:12" x14ac:dyDescent="0.2">
      <c r="A269" s="1656" t="str">
        <f>IF(C298="GRIS CLARO","TORNILLO 8*1-1/4 ZIN PHI AVE","TORNILLO 8*1 1/4 PAV PHI AVE")</f>
        <v>TORNILLO 8*1-1/4 ZIN PHI AVE</v>
      </c>
      <c r="B269" s="1658"/>
      <c r="C269" s="93"/>
      <c r="D269" s="579">
        <f>+'5 ALMACEN '!U23</f>
        <v>0</v>
      </c>
      <c r="E269" s="93" t="s">
        <v>998</v>
      </c>
      <c r="F269" s="670"/>
      <c r="G269" s="670"/>
      <c r="H269" s="670"/>
      <c r="I269" s="670"/>
      <c r="J269" s="735"/>
      <c r="K269" s="721">
        <f t="shared" si="20"/>
        <v>0</v>
      </c>
      <c r="L269" s="89">
        <f t="shared" si="19"/>
        <v>0</v>
      </c>
    </row>
    <row r="270" spans="1:12" x14ac:dyDescent="0.2">
      <c r="A270" s="1656" t="s">
        <v>1057</v>
      </c>
      <c r="B270" s="1658"/>
      <c r="C270" s="92"/>
      <c r="D270" s="579">
        <f>+'5 ALMACEN '!U21</f>
        <v>0</v>
      </c>
      <c r="E270" s="93" t="s">
        <v>998</v>
      </c>
      <c r="F270" s="670"/>
      <c r="G270" s="670"/>
      <c r="H270" s="670"/>
      <c r="I270" s="670"/>
      <c r="J270" s="734"/>
      <c r="K270" s="721">
        <f t="shared" si="20"/>
        <v>0</v>
      </c>
      <c r="L270" s="89">
        <f t="shared" si="19"/>
        <v>0</v>
      </c>
    </row>
    <row r="271" spans="1:12" x14ac:dyDescent="0.2">
      <c r="A271" s="1656" t="s">
        <v>62</v>
      </c>
      <c r="B271" s="1658"/>
      <c r="C271" s="92"/>
      <c r="D271" s="579">
        <f>+'5 ALMACEN '!U27</f>
        <v>0</v>
      </c>
      <c r="E271" s="93" t="s">
        <v>998</v>
      </c>
      <c r="F271" s="670"/>
      <c r="G271" s="670"/>
      <c r="H271" s="670"/>
      <c r="I271" s="670"/>
      <c r="J271" s="721"/>
      <c r="K271" s="721">
        <f t="shared" si="20"/>
        <v>0</v>
      </c>
      <c r="L271" s="89">
        <f t="shared" si="19"/>
        <v>0</v>
      </c>
    </row>
    <row r="272" spans="1:12" x14ac:dyDescent="0.2">
      <c r="A272" s="1656" t="str">
        <f>+'5 ALMACEN '!T28</f>
        <v>CHAZO DRY WALL</v>
      </c>
      <c r="B272" s="1658"/>
      <c r="C272" s="92"/>
      <c r="D272" s="579">
        <f>+'5 ALMACEN '!U28</f>
        <v>0</v>
      </c>
      <c r="E272" s="93" t="s">
        <v>998</v>
      </c>
      <c r="F272" s="670"/>
      <c r="G272" s="670"/>
      <c r="H272" s="670"/>
      <c r="I272" s="670"/>
      <c r="J272" s="721"/>
      <c r="K272" s="721">
        <f t="shared" si="20"/>
        <v>0</v>
      </c>
      <c r="L272" s="89">
        <f t="shared" si="19"/>
        <v>0</v>
      </c>
    </row>
    <row r="273" spans="1:12" x14ac:dyDescent="0.2">
      <c r="A273" s="1656" t="s">
        <v>303</v>
      </c>
      <c r="B273" s="1658"/>
      <c r="C273" s="1018"/>
      <c r="D273" s="646">
        <f>+'5 ALMACEN '!U16</f>
        <v>0</v>
      </c>
      <c r="E273" s="93" t="s">
        <v>1026</v>
      </c>
      <c r="F273" s="670"/>
      <c r="G273" s="670"/>
      <c r="H273" s="670"/>
      <c r="I273" s="670"/>
      <c r="J273" s="721"/>
      <c r="K273" s="764">
        <f t="shared" si="20"/>
        <v>0</v>
      </c>
      <c r="L273" s="89">
        <f t="shared" si="19"/>
        <v>0</v>
      </c>
    </row>
    <row r="274" spans="1:12" x14ac:dyDescent="0.2">
      <c r="A274" s="1656" t="s">
        <v>1111</v>
      </c>
      <c r="B274" s="1658"/>
      <c r="C274" s="92"/>
      <c r="D274" s="542">
        <f>+'5 ALMACEN '!U24</f>
        <v>0</v>
      </c>
      <c r="E274" s="93" t="s">
        <v>998</v>
      </c>
      <c r="F274" s="670"/>
      <c r="G274" s="670"/>
      <c r="H274" s="670"/>
      <c r="I274" s="670"/>
      <c r="J274" s="734"/>
      <c r="K274" s="721">
        <f t="shared" ref="K274:K283" si="21">+J274*D274</f>
        <v>0</v>
      </c>
      <c r="L274" s="89">
        <f t="shared" ref="L274:L284" si="22">IF(D274&gt;0,1,0)</f>
        <v>0</v>
      </c>
    </row>
    <row r="275" spans="1:12" x14ac:dyDescent="0.2">
      <c r="A275" s="1656" t="s">
        <v>299</v>
      </c>
      <c r="B275" s="1658"/>
      <c r="C275" s="92"/>
      <c r="D275" s="579">
        <f>SUM(Almacen!B13)</f>
        <v>0</v>
      </c>
      <c r="E275" s="93" t="s">
        <v>998</v>
      </c>
      <c r="F275" s="670"/>
      <c r="G275" s="670"/>
      <c r="H275" s="670"/>
      <c r="I275" s="670"/>
      <c r="J275" s="721"/>
      <c r="K275" s="721">
        <f t="shared" si="21"/>
        <v>0</v>
      </c>
      <c r="L275" s="89">
        <f t="shared" si="22"/>
        <v>0</v>
      </c>
    </row>
    <row r="276" spans="1:12" x14ac:dyDescent="0.2">
      <c r="A276" s="1656" t="s">
        <v>993</v>
      </c>
      <c r="B276" s="1658"/>
      <c r="C276" s="92"/>
      <c r="D276" s="579">
        <f>+'5 ALMACEN '!U20+SUM('3 ALUMINIOS'!R8:R22)*3</f>
        <v>0</v>
      </c>
      <c r="E276" s="93" t="s">
        <v>998</v>
      </c>
      <c r="F276" s="670"/>
      <c r="G276" s="670"/>
      <c r="H276" s="670"/>
      <c r="I276" s="670"/>
      <c r="J276" s="736"/>
      <c r="K276" s="721">
        <f t="shared" si="21"/>
        <v>0</v>
      </c>
      <c r="L276" s="89">
        <f t="shared" si="22"/>
        <v>0</v>
      </c>
    </row>
    <row r="277" spans="1:12" x14ac:dyDescent="0.2">
      <c r="A277" s="1656" t="s">
        <v>300</v>
      </c>
      <c r="B277" s="1658"/>
      <c r="C277" s="92"/>
      <c r="D277" s="579">
        <f>SUM(Almacen!B15)</f>
        <v>0</v>
      </c>
      <c r="E277" s="93" t="s">
        <v>998</v>
      </c>
      <c r="F277" s="670"/>
      <c r="G277" s="670"/>
      <c r="H277" s="670"/>
      <c r="I277" s="670"/>
      <c r="J277" s="721"/>
      <c r="K277" s="721">
        <f t="shared" si="21"/>
        <v>0</v>
      </c>
      <c r="L277" s="89">
        <f t="shared" si="22"/>
        <v>0</v>
      </c>
    </row>
    <row r="278" spans="1:12" x14ac:dyDescent="0.2">
      <c r="A278" s="1656" t="s">
        <v>92</v>
      </c>
      <c r="B278" s="1658"/>
      <c r="C278" s="92"/>
      <c r="D278" s="579">
        <f>+'5 ALMACEN '!U29</f>
        <v>0</v>
      </c>
      <c r="E278" s="93" t="s">
        <v>998</v>
      </c>
      <c r="F278" s="670"/>
      <c r="G278" s="670"/>
      <c r="H278" s="670"/>
      <c r="I278" s="670"/>
      <c r="J278" s="721"/>
      <c r="K278" s="721">
        <f t="shared" si="21"/>
        <v>0</v>
      </c>
      <c r="L278" s="89">
        <f t="shared" si="22"/>
        <v>0</v>
      </c>
    </row>
    <row r="279" spans="1:12" x14ac:dyDescent="0.2">
      <c r="A279" s="1656" t="s">
        <v>301</v>
      </c>
      <c r="B279" s="1658"/>
      <c r="C279" s="92"/>
      <c r="D279" s="579">
        <f>SUM(Almacen!B17)</f>
        <v>0</v>
      </c>
      <c r="E279" s="93" t="s">
        <v>998</v>
      </c>
      <c r="F279" s="670"/>
      <c r="G279" s="670"/>
      <c r="H279" s="670"/>
      <c r="I279" s="670"/>
      <c r="J279" s="721"/>
      <c r="K279" s="721">
        <f t="shared" si="21"/>
        <v>0</v>
      </c>
      <c r="L279" s="89">
        <f t="shared" si="22"/>
        <v>0</v>
      </c>
    </row>
    <row r="280" spans="1:12" x14ac:dyDescent="0.2">
      <c r="A280" s="1656" t="s">
        <v>1037</v>
      </c>
      <c r="B280" s="1658"/>
      <c r="C280" s="92"/>
      <c r="D280" s="579">
        <f>+'5 ALMACEN '!U26</f>
        <v>0</v>
      </c>
      <c r="E280" s="93" t="s">
        <v>998</v>
      </c>
      <c r="F280" s="670"/>
      <c r="G280" s="670"/>
      <c r="H280" s="670"/>
      <c r="I280" s="670"/>
      <c r="J280" s="721"/>
      <c r="K280" s="721">
        <f t="shared" si="21"/>
        <v>0</v>
      </c>
      <c r="L280" s="89">
        <f t="shared" si="22"/>
        <v>0</v>
      </c>
    </row>
    <row r="281" spans="1:12" x14ac:dyDescent="0.2">
      <c r="A281" s="1656" t="s">
        <v>1058</v>
      </c>
      <c r="B281" s="1658"/>
      <c r="C281" s="92"/>
      <c r="D281" s="580">
        <f>+'5 ALMACEN '!U30</f>
        <v>0</v>
      </c>
      <c r="E281" s="93" t="s">
        <v>998</v>
      </c>
      <c r="F281" s="670"/>
      <c r="G281" s="670"/>
      <c r="H281" s="670"/>
      <c r="I281" s="670"/>
      <c r="J281" s="721"/>
      <c r="K281" s="721">
        <f t="shared" si="21"/>
        <v>0</v>
      </c>
      <c r="L281" s="89">
        <f t="shared" si="22"/>
        <v>0</v>
      </c>
    </row>
    <row r="282" spans="1:12" x14ac:dyDescent="0.2">
      <c r="A282" s="1656" t="s">
        <v>1059</v>
      </c>
      <c r="B282" s="1658"/>
      <c r="C282" s="92"/>
      <c r="D282" s="580">
        <f>+'5 ALMACEN '!U17</f>
        <v>0</v>
      </c>
      <c r="E282" s="93" t="s">
        <v>998</v>
      </c>
      <c r="F282" s="670"/>
      <c r="G282" s="670"/>
      <c r="H282" s="670"/>
      <c r="I282" s="670"/>
      <c r="J282" s="721"/>
      <c r="K282" s="721">
        <f t="shared" si="21"/>
        <v>0</v>
      </c>
      <c r="L282" s="89">
        <f t="shared" si="22"/>
        <v>0</v>
      </c>
    </row>
    <row r="283" spans="1:12" x14ac:dyDescent="0.2">
      <c r="A283" s="1656" t="str">
        <f>IF(F10="GRIS CLARO","TORNILLO BRISTOL 3/16 X 1/2 ZIN","TORNILLO BRISTOL 3/16 X 1/2 PAV")</f>
        <v>TORNILLO BRISTOL 3/16 X 1/2 PAV</v>
      </c>
      <c r="B283" s="1658"/>
      <c r="C283" s="92"/>
      <c r="D283" s="580">
        <f>+'5 ALMACEN '!U25</f>
        <v>0</v>
      </c>
      <c r="E283" s="93" t="s">
        <v>998</v>
      </c>
      <c r="F283" s="670"/>
      <c r="G283" s="670"/>
      <c r="H283" s="670"/>
      <c r="I283" s="670"/>
      <c r="J283" s="721"/>
      <c r="K283" s="721">
        <f t="shared" si="21"/>
        <v>0</v>
      </c>
      <c r="L283" s="89">
        <f t="shared" si="22"/>
        <v>0</v>
      </c>
    </row>
    <row r="284" spans="1:12" x14ac:dyDescent="0.2">
      <c r="A284" s="1648" t="s">
        <v>304</v>
      </c>
      <c r="B284" s="1648"/>
      <c r="C284" s="1648"/>
      <c r="D284" s="1005">
        <f>SUM(D285:D296)</f>
        <v>0</v>
      </c>
      <c r="E284" s="1012"/>
      <c r="F284" s="574"/>
      <c r="G284" s="574"/>
      <c r="H284" s="574"/>
      <c r="I284" s="574"/>
      <c r="J284" s="722"/>
      <c r="K284" s="722"/>
      <c r="L284" s="89">
        <f t="shared" si="22"/>
        <v>0</v>
      </c>
    </row>
    <row r="285" spans="1:12" x14ac:dyDescent="0.2">
      <c r="A285" s="1656" t="str">
        <f>+'5 ALMACEN '!N10</f>
        <v>CAJONERA 2MS-1AE-F30MET-NIV.</v>
      </c>
      <c r="B285" s="1658"/>
      <c r="C285" s="92"/>
      <c r="D285" s="579">
        <f>+'5 ALMACEN '!R10</f>
        <v>0</v>
      </c>
      <c r="E285" s="93" t="s">
        <v>998</v>
      </c>
      <c r="F285" s="670"/>
      <c r="G285" s="670"/>
      <c r="H285" s="670"/>
      <c r="I285" s="670"/>
      <c r="J285" s="721"/>
      <c r="K285" s="721">
        <f t="shared" ref="K285:K296" si="23">+J285*D285</f>
        <v>0</v>
      </c>
      <c r="L285" s="89">
        <f t="shared" ref="L285:L303" si="24">IF(D285&gt;0,1,0)</f>
        <v>0</v>
      </c>
    </row>
    <row r="286" spans="1:12" x14ac:dyDescent="0.2">
      <c r="A286" s="1656" t="str">
        <f>+'5 ALMACEN '!N15</f>
        <v>CAJONERA 3AE-F47MET-NIV.</v>
      </c>
      <c r="B286" s="1658"/>
      <c r="C286" s="92"/>
      <c r="D286" s="579">
        <f>SUM(Almacen!B30)</f>
        <v>0</v>
      </c>
      <c r="E286" s="93" t="s">
        <v>998</v>
      </c>
      <c r="F286" s="670"/>
      <c r="G286" s="670"/>
      <c r="H286" s="670"/>
      <c r="I286" s="670"/>
      <c r="J286" s="721"/>
      <c r="K286" s="721">
        <f t="shared" si="23"/>
        <v>0</v>
      </c>
      <c r="L286" s="89">
        <f t="shared" si="24"/>
        <v>0</v>
      </c>
    </row>
    <row r="287" spans="1:12" x14ac:dyDescent="0.2">
      <c r="A287" s="1656" t="str">
        <f>+'5 ALMACEN '!N7</f>
        <v>CAJONERA 2AE-F30MET-NIV.</v>
      </c>
      <c r="B287" s="1658"/>
      <c r="C287" s="92"/>
      <c r="D287" s="579">
        <f>SUM(Almacen!B31)</f>
        <v>0</v>
      </c>
      <c r="E287" s="93" t="s">
        <v>998</v>
      </c>
      <c r="F287" s="670"/>
      <c r="G287" s="670"/>
      <c r="H287" s="670"/>
      <c r="I287" s="670"/>
      <c r="J287" s="721"/>
      <c r="K287" s="721">
        <f t="shared" si="23"/>
        <v>0</v>
      </c>
      <c r="L287" s="89">
        <f t="shared" si="24"/>
        <v>0</v>
      </c>
    </row>
    <row r="288" spans="1:12" x14ac:dyDescent="0.2">
      <c r="A288" s="1656" t="str">
        <f>+'5 ALMACEN '!N9</f>
        <v>CAJONERA 2AE-F47MET-NIV.</v>
      </c>
      <c r="B288" s="1658"/>
      <c r="C288" s="92"/>
      <c r="D288" s="579">
        <f>SUM(Almacen!B32)</f>
        <v>0</v>
      </c>
      <c r="E288" s="93" t="s">
        <v>998</v>
      </c>
      <c r="F288" s="670"/>
      <c r="G288" s="670"/>
      <c r="H288" s="670"/>
      <c r="I288" s="670"/>
      <c r="J288" s="721"/>
      <c r="K288" s="721">
        <f t="shared" si="23"/>
        <v>0</v>
      </c>
      <c r="L288" s="89">
        <f t="shared" si="24"/>
        <v>0</v>
      </c>
    </row>
    <row r="289" spans="1:12" x14ac:dyDescent="0.2">
      <c r="A289" s="1656" t="str">
        <f>+'5 ALMACEN '!N12</f>
        <v>CAJONERA 2MS-1AE-F47MET-NIV.</v>
      </c>
      <c r="B289" s="1658"/>
      <c r="C289" s="92"/>
      <c r="D289" s="579">
        <f>SUM(Almacen!B33)</f>
        <v>0</v>
      </c>
      <c r="E289" s="93" t="s">
        <v>998</v>
      </c>
      <c r="F289" s="670"/>
      <c r="G289" s="670"/>
      <c r="H289" s="670"/>
      <c r="I289" s="670"/>
      <c r="J289" s="721"/>
      <c r="K289" s="721">
        <f t="shared" si="23"/>
        <v>0</v>
      </c>
      <c r="L289" s="89">
        <f t="shared" si="24"/>
        <v>0</v>
      </c>
    </row>
    <row r="290" spans="1:12" x14ac:dyDescent="0.2">
      <c r="A290" s="1656" t="str">
        <f>+'5 ALMACEN '!N11</f>
        <v>CAJONERA 2MS-1AE-F38MET-NIV.</v>
      </c>
      <c r="B290" s="1658"/>
      <c r="C290" s="92"/>
      <c r="D290" s="579">
        <f>SUM(Almacen!B34)</f>
        <v>0</v>
      </c>
      <c r="E290" s="93" t="s">
        <v>998</v>
      </c>
      <c r="F290" s="670"/>
      <c r="G290" s="670"/>
      <c r="H290" s="670"/>
      <c r="I290" s="670"/>
      <c r="J290" s="721"/>
      <c r="K290" s="721">
        <f t="shared" si="23"/>
        <v>0</v>
      </c>
      <c r="L290" s="89">
        <f t="shared" si="24"/>
        <v>0</v>
      </c>
    </row>
    <row r="291" spans="1:12" x14ac:dyDescent="0.2">
      <c r="A291" s="1656" t="str">
        <f>+'5 ALMACEN '!N13</f>
        <v>CAJONERA 2ME-1AE-F38MET-NIV.</v>
      </c>
      <c r="B291" s="1658"/>
      <c r="C291" s="92"/>
      <c r="D291" s="579">
        <f>SUM(Almacen!B36)</f>
        <v>0</v>
      </c>
      <c r="E291" s="93" t="s">
        <v>998</v>
      </c>
      <c r="F291" s="670"/>
      <c r="G291" s="670"/>
      <c r="H291" s="670"/>
      <c r="I291" s="670"/>
      <c r="J291" s="721"/>
      <c r="K291" s="721">
        <f t="shared" si="23"/>
        <v>0</v>
      </c>
      <c r="L291" s="89">
        <f t="shared" si="24"/>
        <v>0</v>
      </c>
    </row>
    <row r="292" spans="1:12" x14ac:dyDescent="0.2">
      <c r="A292" s="1656" t="str">
        <f>+'5 ALMACEN '!N8</f>
        <v>CAJONERA 2AE-F38MET-NIV.</v>
      </c>
      <c r="B292" s="1658"/>
      <c r="C292" s="92"/>
      <c r="D292" s="579">
        <f>SUM(Almacen!B37)</f>
        <v>0</v>
      </c>
      <c r="E292" s="93" t="s">
        <v>998</v>
      </c>
      <c r="F292" s="670"/>
      <c r="G292" s="670"/>
      <c r="H292" s="670"/>
      <c r="I292" s="670"/>
      <c r="J292" s="721"/>
      <c r="K292" s="721">
        <f t="shared" si="23"/>
        <v>0</v>
      </c>
      <c r="L292" s="89">
        <f t="shared" si="24"/>
        <v>0</v>
      </c>
    </row>
    <row r="293" spans="1:12" x14ac:dyDescent="0.2">
      <c r="A293" s="1656" t="str">
        <f>+'5 ALMACEN '!N16</f>
        <v>CAJONERA 4AE-F47MET-NIV.</v>
      </c>
      <c r="B293" s="1658"/>
      <c r="C293" s="92"/>
      <c r="D293" s="579">
        <f>SUM(Almacen!B38)</f>
        <v>0</v>
      </c>
      <c r="E293" s="93" t="s">
        <v>998</v>
      </c>
      <c r="F293" s="670"/>
      <c r="G293" s="670"/>
      <c r="H293" s="670"/>
      <c r="I293" s="670"/>
      <c r="J293" s="721"/>
      <c r="K293" s="721">
        <f t="shared" si="23"/>
        <v>0</v>
      </c>
      <c r="L293" s="89">
        <f t="shared" si="24"/>
        <v>0</v>
      </c>
    </row>
    <row r="294" spans="1:12" x14ac:dyDescent="0.2">
      <c r="A294" s="1656" t="str">
        <f>+'5 ALMACEN '!N14</f>
        <v>CAJONERA 2ME-1AE-F47MET-NIV.</v>
      </c>
      <c r="B294" s="1658"/>
      <c r="C294" s="92"/>
      <c r="D294" s="579">
        <f>SUM(Almacen!B39)</f>
        <v>0</v>
      </c>
      <c r="E294" s="93" t="s">
        <v>998</v>
      </c>
      <c r="F294" s="670"/>
      <c r="G294" s="670"/>
      <c r="H294" s="670"/>
      <c r="I294" s="670"/>
      <c r="J294" s="721"/>
      <c r="K294" s="721">
        <f t="shared" si="23"/>
        <v>0</v>
      </c>
      <c r="L294" s="89">
        <f t="shared" si="24"/>
        <v>0</v>
      </c>
    </row>
    <row r="295" spans="1:12" x14ac:dyDescent="0.2">
      <c r="A295" s="1656" t="str">
        <f>+'5 ALMACEN '!N17</f>
        <v>CAJONERA 1MS-1AE-F38MET-ROD.</v>
      </c>
      <c r="B295" s="1658"/>
      <c r="C295" s="92"/>
      <c r="D295" s="579">
        <f>SUM(Almacen!B40)</f>
        <v>0</v>
      </c>
      <c r="E295" s="93" t="s">
        <v>998</v>
      </c>
      <c r="F295" s="670"/>
      <c r="G295" s="670"/>
      <c r="H295" s="670"/>
      <c r="I295" s="670"/>
      <c r="J295" s="721"/>
      <c r="K295" s="721">
        <f t="shared" si="23"/>
        <v>0</v>
      </c>
      <c r="L295" s="89">
        <f t="shared" si="24"/>
        <v>0</v>
      </c>
    </row>
    <row r="296" spans="1:12" x14ac:dyDescent="0.2">
      <c r="A296" s="1656" t="str">
        <f>+'5 ALMACEN '!N18</f>
        <v xml:space="preserve">CAJON SEN.METAL. B3 </v>
      </c>
      <c r="B296" s="1658"/>
      <c r="C296" s="92"/>
      <c r="D296" s="580">
        <f>SUM(Almacen!B41)</f>
        <v>0</v>
      </c>
      <c r="E296" s="93" t="s">
        <v>998</v>
      </c>
      <c r="F296" s="670"/>
      <c r="G296" s="670"/>
      <c r="H296" s="670"/>
      <c r="I296" s="670"/>
      <c r="J296" s="721"/>
      <c r="K296" s="721">
        <f t="shared" si="23"/>
        <v>0</v>
      </c>
      <c r="L296" s="89">
        <f t="shared" si="24"/>
        <v>0</v>
      </c>
    </row>
    <row r="297" spans="1:12" x14ac:dyDescent="0.2">
      <c r="A297" s="1648" t="s">
        <v>33</v>
      </c>
      <c r="B297" s="1648"/>
      <c r="C297" s="1648"/>
      <c r="D297" s="1005">
        <f>SUM(D298:D302)</f>
        <v>0</v>
      </c>
      <c r="E297" s="1012"/>
      <c r="F297" s="574"/>
      <c r="G297" s="574"/>
      <c r="H297" s="574"/>
      <c r="I297" s="574"/>
      <c r="J297" s="722"/>
      <c r="K297" s="722"/>
      <c r="L297" s="89">
        <f t="shared" si="24"/>
        <v>0</v>
      </c>
    </row>
    <row r="298" spans="1:12" x14ac:dyDescent="0.2">
      <c r="A298" s="1656" t="str">
        <f>+'5 ALMACEN '!N41</f>
        <v>FALDA COSTADO DE 26 X 60</v>
      </c>
      <c r="B298" s="1658"/>
      <c r="C298" s="533" t="str">
        <f>IF(OR($F$10="NOPAL",$F$10="NEGRO",$F$10="GRIS NOPAL",),"NEGRO","GRIS CLARO")</f>
        <v>GRIS CLARO</v>
      </c>
      <c r="D298" s="581">
        <f>+'5 ALMACEN '!R41</f>
        <v>0</v>
      </c>
      <c r="E298" s="93" t="s">
        <v>998</v>
      </c>
      <c r="F298" s="670"/>
      <c r="G298" s="670"/>
      <c r="H298" s="670"/>
      <c r="I298" s="670"/>
      <c r="J298" s="721"/>
      <c r="K298" s="721">
        <f>+J298*D298</f>
        <v>0</v>
      </c>
      <c r="L298" s="89">
        <f t="shared" si="24"/>
        <v>0</v>
      </c>
    </row>
    <row r="299" spans="1:12" x14ac:dyDescent="0.2">
      <c r="A299" s="1656" t="str">
        <f>+'5 ALMACEN '!N42</f>
        <v>FALDA COSTADO DE 26 X 100</v>
      </c>
      <c r="B299" s="1658"/>
      <c r="C299" s="533" t="str">
        <f>IF(OR($F$10="NOPAL",$F$10="NEGRO",$F$10="GRIS NOPAL",),"NEGRO","GRIS CLARO")</f>
        <v>GRIS CLARO</v>
      </c>
      <c r="D299" s="581">
        <f>+'5 ALMACEN '!R42</f>
        <v>0</v>
      </c>
      <c r="E299" s="93" t="s">
        <v>998</v>
      </c>
      <c r="F299" s="670"/>
      <c r="G299" s="670"/>
      <c r="H299" s="670"/>
      <c r="I299" s="670"/>
      <c r="J299" s="721"/>
      <c r="K299" s="721">
        <f>+J299*D299</f>
        <v>0</v>
      </c>
      <c r="L299" s="89">
        <f t="shared" si="24"/>
        <v>0</v>
      </c>
    </row>
    <row r="300" spans="1:12" x14ac:dyDescent="0.2">
      <c r="A300" s="1656" t="str">
        <f>+'5 ALMACEN '!N38</f>
        <v>PORTA  20 X  74</v>
      </c>
      <c r="B300" s="1658"/>
      <c r="C300" s="533" t="str">
        <f>IF(OR($F$10="NOPAL",$F$10="NEGRO",$F$10="GRIS NOPAL",),"NEGRO","GRIS CLARO")</f>
        <v>GRIS CLARO</v>
      </c>
      <c r="D300" s="579">
        <f>+Almacen!B49</f>
        <v>0</v>
      </c>
      <c r="E300" s="93" t="s">
        <v>998</v>
      </c>
      <c r="F300" s="670"/>
      <c r="G300" s="670"/>
      <c r="H300" s="670"/>
      <c r="I300" s="670"/>
      <c r="J300" s="721"/>
      <c r="K300" s="721">
        <f>+J300*D300</f>
        <v>0</v>
      </c>
      <c r="L300" s="89">
        <f t="shared" si="24"/>
        <v>0</v>
      </c>
    </row>
    <row r="301" spans="1:12" x14ac:dyDescent="0.2">
      <c r="A301" s="1656" t="str">
        <f>+'5 ALMACEN '!N39</f>
        <v>PORTA  20 X 117</v>
      </c>
      <c r="B301" s="1658"/>
      <c r="C301" s="533" t="str">
        <f>IF(OR($F$10="NOPAL",$F$10="NEGRO",$F$10="GRIS NOPAL",),"NEGRO","GRIS CLARO")</f>
        <v>GRIS CLARO</v>
      </c>
      <c r="D301" s="579">
        <f>+Almacen!B50</f>
        <v>0</v>
      </c>
      <c r="E301" s="93" t="s">
        <v>998</v>
      </c>
      <c r="F301" s="670"/>
      <c r="G301" s="670"/>
      <c r="H301" s="670"/>
      <c r="I301" s="670"/>
      <c r="J301" s="721"/>
      <c r="K301" s="721">
        <f>+J301*D301</f>
        <v>0</v>
      </c>
      <c r="L301" s="89">
        <f t="shared" si="24"/>
        <v>0</v>
      </c>
    </row>
    <row r="302" spans="1:12" x14ac:dyDescent="0.2">
      <c r="A302" s="1656" t="str">
        <f>+'5 ALMACEN '!N40</f>
        <v>PORTA  20 X 144</v>
      </c>
      <c r="B302" s="1658"/>
      <c r="C302" s="533" t="str">
        <f>IF(OR($F$10="NOPAL",$F$10="NEGRO",$F$10="GRIS NOPAL",),"NEGRO","GRIS CLARO")</f>
        <v>GRIS CLARO</v>
      </c>
      <c r="D302" s="580">
        <f>+Almacen!B51</f>
        <v>0</v>
      </c>
      <c r="E302" s="93" t="s">
        <v>998</v>
      </c>
      <c r="F302" s="670"/>
      <c r="G302" s="670"/>
      <c r="H302" s="670"/>
      <c r="I302" s="670"/>
      <c r="J302" s="721"/>
      <c r="K302" s="721">
        <f>+J302*D302</f>
        <v>0</v>
      </c>
      <c r="L302" s="89">
        <f t="shared" si="24"/>
        <v>0</v>
      </c>
    </row>
    <row r="303" spans="1:12" x14ac:dyDescent="0.2">
      <c r="A303" s="1682" t="s">
        <v>1240</v>
      </c>
      <c r="B303" s="1682"/>
      <c r="C303" s="1682"/>
      <c r="D303" s="1172">
        <f>SUM(D304:D311)</f>
        <v>0</v>
      </c>
      <c r="E303" s="1012"/>
      <c r="F303" s="574"/>
      <c r="G303" s="574"/>
      <c r="H303" s="574"/>
      <c r="I303" s="574"/>
      <c r="J303" s="722"/>
      <c r="K303" s="722"/>
      <c r="L303" s="89">
        <f t="shared" si="24"/>
        <v>0</v>
      </c>
    </row>
    <row r="304" spans="1:12" x14ac:dyDescent="0.2">
      <c r="A304" s="1665" t="str">
        <f>+'5 ALMACEN '!N21</f>
        <v>ARCHIIVADOR 2AE-F75-MET-NIV.</v>
      </c>
      <c r="B304" s="1693"/>
      <c r="C304" s="92"/>
      <c r="D304" s="542">
        <f>+'5 ALMACEN '!R21</f>
        <v>0</v>
      </c>
      <c r="E304" s="93" t="s">
        <v>998</v>
      </c>
      <c r="F304" s="670"/>
      <c r="G304" s="670"/>
      <c r="H304" s="670"/>
      <c r="I304" s="670"/>
      <c r="J304" s="721"/>
      <c r="K304" s="721">
        <f>+J304*D304</f>
        <v>0</v>
      </c>
      <c r="L304" s="89">
        <f t="shared" ref="L304:L313" si="25">IF(D304&gt;0,1,0)</f>
        <v>0</v>
      </c>
    </row>
    <row r="305" spans="1:12" x14ac:dyDescent="0.2">
      <c r="A305" s="1665" t="str">
        <f>+'5 ALMACEN '!N22</f>
        <v>ARCHIIVADOR 2AE-F90-MET-NIV.</v>
      </c>
      <c r="B305" s="1693"/>
      <c r="C305" s="533"/>
      <c r="D305" s="542">
        <f>+'5 ALMACEN '!R22</f>
        <v>0</v>
      </c>
      <c r="E305" s="93" t="s">
        <v>998</v>
      </c>
      <c r="F305" s="670"/>
      <c r="G305" s="670"/>
      <c r="H305" s="670"/>
      <c r="I305" s="670"/>
      <c r="J305" s="721"/>
      <c r="K305" s="721">
        <f>+J305*D305</f>
        <v>0</v>
      </c>
      <c r="L305" s="89">
        <f t="shared" si="25"/>
        <v>0</v>
      </c>
    </row>
    <row r="306" spans="1:12" x14ac:dyDescent="0.2">
      <c r="A306" s="1665" t="str">
        <f>+'5 ALMACEN '!N23</f>
        <v>BIBLIOTECA A75-H70-1E-PMET.</v>
      </c>
      <c r="B306" s="1693"/>
      <c r="C306" s="533"/>
      <c r="D306" s="542">
        <f>+'5 ALMACEN '!R23</f>
        <v>0</v>
      </c>
      <c r="E306" s="93" t="s">
        <v>998</v>
      </c>
      <c r="F306" s="670"/>
      <c r="G306" s="670"/>
      <c r="H306" s="670"/>
      <c r="I306" s="670"/>
      <c r="J306" s="721"/>
      <c r="K306" s="721">
        <f>+J306*D306</f>
        <v>0</v>
      </c>
      <c r="L306" s="89">
        <f t="shared" si="25"/>
        <v>0</v>
      </c>
    </row>
    <row r="307" spans="1:12" x14ac:dyDescent="0.2">
      <c r="A307" s="1665" t="str">
        <f>+'5 ALMACEN '!N24</f>
        <v>BIBLIOTECA A90-H70-1E-PMET.</v>
      </c>
      <c r="B307" s="1693"/>
      <c r="C307" s="533"/>
      <c r="D307" s="542">
        <f>+'5 ALMACEN '!R24</f>
        <v>0</v>
      </c>
      <c r="E307" s="93" t="s">
        <v>998</v>
      </c>
      <c r="F307" s="670"/>
      <c r="G307" s="670"/>
      <c r="H307" s="670"/>
      <c r="I307" s="670"/>
      <c r="J307" s="721"/>
      <c r="K307" s="721">
        <f>+J307*D307</f>
        <v>0</v>
      </c>
      <c r="L307" s="89">
        <f t="shared" si="25"/>
        <v>0</v>
      </c>
    </row>
    <row r="308" spans="1:12" x14ac:dyDescent="0.2">
      <c r="A308" s="1680" t="s">
        <v>1245</v>
      </c>
      <c r="B308" s="1651"/>
      <c r="C308" s="92"/>
      <c r="D308" s="542">
        <f>+'5 ALMACEN '!R25</f>
        <v>0</v>
      </c>
      <c r="E308" s="93" t="s">
        <v>998</v>
      </c>
      <c r="F308" s="670"/>
      <c r="G308" s="670"/>
      <c r="H308" s="670"/>
      <c r="I308" s="670"/>
      <c r="J308" s="722"/>
      <c r="K308" s="722"/>
      <c r="L308" s="89">
        <f t="shared" si="25"/>
        <v>0</v>
      </c>
    </row>
    <row r="309" spans="1:12" x14ac:dyDescent="0.2">
      <c r="A309" s="1680" t="s">
        <v>1246</v>
      </c>
      <c r="B309" s="1651"/>
      <c r="C309" s="92"/>
      <c r="D309" s="542">
        <f>+'5 ALMACEN '!R26</f>
        <v>0</v>
      </c>
      <c r="E309" s="93" t="s">
        <v>998</v>
      </c>
      <c r="F309" s="670"/>
      <c r="G309" s="670"/>
      <c r="H309" s="670"/>
      <c r="I309" s="670"/>
      <c r="J309" s="722"/>
      <c r="K309" s="722"/>
      <c r="L309" s="89">
        <f t="shared" si="25"/>
        <v>0</v>
      </c>
    </row>
    <row r="310" spans="1:12" x14ac:dyDescent="0.2">
      <c r="A310" s="1680" t="s">
        <v>1247</v>
      </c>
      <c r="B310" s="1651"/>
      <c r="C310" s="92"/>
      <c r="D310" s="542">
        <f>+'5 ALMACEN '!R27</f>
        <v>0</v>
      </c>
      <c r="E310" s="93" t="s">
        <v>998</v>
      </c>
      <c r="F310" s="670"/>
      <c r="G310" s="670"/>
      <c r="H310" s="670"/>
      <c r="I310" s="670"/>
      <c r="J310" s="722"/>
      <c r="K310" s="722"/>
      <c r="L310" s="89">
        <f t="shared" si="25"/>
        <v>0</v>
      </c>
    </row>
    <row r="311" spans="1:12" x14ac:dyDescent="0.2">
      <c r="A311" s="1680" t="s">
        <v>1277</v>
      </c>
      <c r="B311" s="1651"/>
      <c r="C311" s="92"/>
      <c r="D311" s="542">
        <f>+'5 ALMACEN '!R28</f>
        <v>0</v>
      </c>
      <c r="E311" s="93" t="s">
        <v>998</v>
      </c>
      <c r="F311" s="670"/>
      <c r="G311" s="670"/>
      <c r="H311" s="670"/>
      <c r="I311" s="670"/>
      <c r="J311" s="722"/>
      <c r="K311" s="722"/>
      <c r="L311" s="89">
        <f t="shared" si="25"/>
        <v>0</v>
      </c>
    </row>
    <row r="312" spans="1:12" x14ac:dyDescent="0.2">
      <c r="A312" s="1648" t="s">
        <v>333</v>
      </c>
      <c r="B312" s="1648"/>
      <c r="C312" s="1668"/>
      <c r="D312" s="1174">
        <f>SUM(D313:D325)</f>
        <v>0</v>
      </c>
      <c r="E312" s="1012"/>
      <c r="F312" s="574"/>
      <c r="G312" s="574"/>
      <c r="H312" s="574"/>
      <c r="I312" s="574"/>
      <c r="J312" s="722"/>
      <c r="K312" s="722"/>
      <c r="L312" s="89">
        <f t="shared" si="25"/>
        <v>0</v>
      </c>
    </row>
    <row r="313" spans="1:12" x14ac:dyDescent="0.2">
      <c r="A313" s="1656" t="str">
        <f>+'5 ALMACEN '!A7</f>
        <v>E - 42 IZQ</v>
      </c>
      <c r="B313" s="1658"/>
      <c r="C313" s="92"/>
      <c r="D313" s="579">
        <f>+'5 ALMACEN '!B7+'5 ALMACEN '!C7</f>
        <v>0</v>
      </c>
      <c r="E313" s="93" t="s">
        <v>998</v>
      </c>
      <c r="F313" s="670"/>
      <c r="G313" s="670"/>
      <c r="H313" s="670"/>
      <c r="I313" s="670"/>
      <c r="J313" s="721"/>
      <c r="K313" s="721">
        <f t="shared" ref="K313:K325" si="26">+J313*D313</f>
        <v>0</v>
      </c>
      <c r="L313" s="89">
        <f t="shared" si="25"/>
        <v>0</v>
      </c>
    </row>
    <row r="314" spans="1:12" x14ac:dyDescent="0.2">
      <c r="A314" s="1656" t="str">
        <f>+'5 ALMACEN '!A8</f>
        <v xml:space="preserve">E - 42 DER </v>
      </c>
      <c r="B314" s="1658"/>
      <c r="C314" s="92"/>
      <c r="D314" s="579">
        <f>+'5 ALMACEN '!B8+'5 ALMACEN '!C8</f>
        <v>0</v>
      </c>
      <c r="E314" s="93" t="s">
        <v>998</v>
      </c>
      <c r="F314" s="670"/>
      <c r="G314" s="670"/>
      <c r="H314" s="670"/>
      <c r="I314" s="670"/>
      <c r="J314" s="721"/>
      <c r="K314" s="721">
        <f t="shared" si="26"/>
        <v>0</v>
      </c>
      <c r="L314" s="89">
        <f t="shared" ref="L314:L325" si="27">IF(D314&gt;0,1,0)</f>
        <v>0</v>
      </c>
    </row>
    <row r="315" spans="1:12" x14ac:dyDescent="0.2">
      <c r="A315" s="1656" t="str">
        <f>+'5 ALMACEN '!A9</f>
        <v>E L 28</v>
      </c>
      <c r="B315" s="1658"/>
      <c r="C315" s="92"/>
      <c r="D315" s="579">
        <f>+'5 ALMACEN '!B9+'5 ALMACEN '!C9</f>
        <v>0</v>
      </c>
      <c r="E315" s="93" t="s">
        <v>998</v>
      </c>
      <c r="F315" s="670"/>
      <c r="G315" s="670"/>
      <c r="H315" s="670"/>
      <c r="I315" s="670"/>
      <c r="J315" s="721"/>
      <c r="K315" s="721">
        <f t="shared" si="26"/>
        <v>0</v>
      </c>
      <c r="L315" s="89">
        <f t="shared" si="27"/>
        <v>0</v>
      </c>
    </row>
    <row r="316" spans="1:12" x14ac:dyDescent="0.2">
      <c r="A316" s="1656" t="str">
        <f>+'5 ALMACEN '!A10</f>
        <v xml:space="preserve">E L 56 </v>
      </c>
      <c r="B316" s="1658"/>
      <c r="C316" s="92"/>
      <c r="D316" s="579">
        <f>+'5 ALMACEN '!B10+'5 ALMACEN '!C10</f>
        <v>0</v>
      </c>
      <c r="E316" s="93" t="s">
        <v>998</v>
      </c>
      <c r="F316" s="670"/>
      <c r="G316" s="670"/>
      <c r="H316" s="670"/>
      <c r="I316" s="670"/>
      <c r="J316" s="721"/>
      <c r="K316" s="721">
        <f t="shared" si="26"/>
        <v>0</v>
      </c>
      <c r="L316" s="89">
        <f t="shared" si="27"/>
        <v>0</v>
      </c>
    </row>
    <row r="317" spans="1:12" x14ac:dyDescent="0.2">
      <c r="A317" s="1656" t="str">
        <f>+'5 ALMACEN '!A11</f>
        <v>E L 70</v>
      </c>
      <c r="B317" s="1658"/>
      <c r="C317" s="92"/>
      <c r="D317" s="579">
        <f>+'5 ALMACEN '!B11+'5 ALMACEN '!C11</f>
        <v>0</v>
      </c>
      <c r="E317" s="93" t="s">
        <v>998</v>
      </c>
      <c r="F317" s="670"/>
      <c r="G317" s="670"/>
      <c r="H317" s="670"/>
      <c r="I317" s="670"/>
      <c r="J317" s="721"/>
      <c r="K317" s="721">
        <f t="shared" si="26"/>
        <v>0</v>
      </c>
      <c r="L317" s="89">
        <f t="shared" si="27"/>
        <v>0</v>
      </c>
    </row>
    <row r="318" spans="1:12" x14ac:dyDescent="0.2">
      <c r="A318" s="1656" t="str">
        <f>+'5 ALMACEN '!A12</f>
        <v xml:space="preserve">E L 84 </v>
      </c>
      <c r="B318" s="1658"/>
      <c r="C318" s="92"/>
      <c r="D318" s="579">
        <f>+'5 ALMACEN '!B12+'5 ALMACEN '!C12</f>
        <v>0</v>
      </c>
      <c r="E318" s="93" t="s">
        <v>998</v>
      </c>
      <c r="F318" s="670"/>
      <c r="G318" s="670"/>
      <c r="H318" s="670"/>
      <c r="I318" s="670"/>
      <c r="J318" s="721"/>
      <c r="K318" s="721">
        <f t="shared" si="26"/>
        <v>0</v>
      </c>
      <c r="L318" s="89">
        <f t="shared" si="27"/>
        <v>0</v>
      </c>
    </row>
    <row r="319" spans="1:12" x14ac:dyDescent="0.2">
      <c r="A319" s="1656" t="str">
        <f>+'5 ALMACEN '!A13</f>
        <v xml:space="preserve">E L 112 </v>
      </c>
      <c r="B319" s="1658"/>
      <c r="C319" s="92"/>
      <c r="D319" s="579">
        <f>+'5 ALMACEN '!B13+'5 ALMACEN '!C13</f>
        <v>0</v>
      </c>
      <c r="E319" s="93" t="s">
        <v>998</v>
      </c>
      <c r="F319" s="670"/>
      <c r="G319" s="670"/>
      <c r="H319" s="670"/>
      <c r="I319" s="670"/>
      <c r="J319" s="721"/>
      <c r="K319" s="721">
        <f t="shared" si="26"/>
        <v>0</v>
      </c>
      <c r="L319" s="89">
        <f t="shared" si="27"/>
        <v>0</v>
      </c>
    </row>
    <row r="320" spans="1:12" x14ac:dyDescent="0.2">
      <c r="A320" s="1656" t="str">
        <f>+'5 ALMACEN '!A14</f>
        <v>E L 140</v>
      </c>
      <c r="B320" s="1658"/>
      <c r="C320" s="92"/>
      <c r="D320" s="579">
        <f>+'5 ALMACEN '!B14+'5 ALMACEN '!C14</f>
        <v>0</v>
      </c>
      <c r="E320" s="93" t="s">
        <v>998</v>
      </c>
      <c r="F320" s="670"/>
      <c r="G320" s="670"/>
      <c r="H320" s="670"/>
      <c r="I320" s="670"/>
      <c r="J320" s="721"/>
      <c r="K320" s="721">
        <f t="shared" si="26"/>
        <v>0</v>
      </c>
      <c r="L320" s="89">
        <f t="shared" si="27"/>
        <v>0</v>
      </c>
    </row>
    <row r="321" spans="1:12" x14ac:dyDescent="0.2">
      <c r="A321" s="1656" t="str">
        <f>+'5 ALMACEN '!A15</f>
        <v>E M D</v>
      </c>
      <c r="B321" s="1658"/>
      <c r="C321" s="92"/>
      <c r="D321" s="579">
        <f>+'5 ALMACEN '!B15+'5 ALMACEN '!C15</f>
        <v>0</v>
      </c>
      <c r="E321" s="93" t="s">
        <v>998</v>
      </c>
      <c r="F321" s="670"/>
      <c r="G321" s="670"/>
      <c r="H321" s="670"/>
      <c r="I321" s="670"/>
      <c r="J321" s="721"/>
      <c r="K321" s="721">
        <f t="shared" si="26"/>
        <v>0</v>
      </c>
      <c r="L321" s="89">
        <f t="shared" si="27"/>
        <v>0</v>
      </c>
    </row>
    <row r="322" spans="1:12" x14ac:dyDescent="0.2">
      <c r="A322" s="1656" t="str">
        <f>+'5 ALMACEN '!A16</f>
        <v xml:space="preserve">E M S </v>
      </c>
      <c r="B322" s="1658"/>
      <c r="C322" s="92"/>
      <c r="D322" s="579">
        <f>+'5 ALMACEN '!B16+'5 ALMACEN '!C16</f>
        <v>0</v>
      </c>
      <c r="E322" s="93" t="s">
        <v>998</v>
      </c>
      <c r="F322" s="670"/>
      <c r="G322" s="670"/>
      <c r="H322" s="670"/>
      <c r="I322" s="670"/>
      <c r="J322" s="721"/>
      <c r="K322" s="721">
        <f t="shared" si="26"/>
        <v>0</v>
      </c>
      <c r="L322" s="89">
        <f t="shared" si="27"/>
        <v>0</v>
      </c>
    </row>
    <row r="323" spans="1:12" x14ac:dyDescent="0.2">
      <c r="A323" s="1656" t="str">
        <f>+'5 ALMACEN '!A17</f>
        <v>AMARRE COSTADO</v>
      </c>
      <c r="B323" s="1658"/>
      <c r="C323" s="92"/>
      <c r="D323" s="579">
        <f>+'5 ALMACEN '!B17+'5 ALMACEN '!C17</f>
        <v>0</v>
      </c>
      <c r="E323" s="93" t="s">
        <v>998</v>
      </c>
      <c r="F323" s="670"/>
      <c r="G323" s="670"/>
      <c r="H323" s="670"/>
      <c r="I323" s="670"/>
      <c r="J323" s="721"/>
      <c r="K323" s="721">
        <f t="shared" si="26"/>
        <v>0</v>
      </c>
      <c r="L323" s="89">
        <f t="shared" si="27"/>
        <v>0</v>
      </c>
    </row>
    <row r="324" spans="1:12" x14ac:dyDescent="0.2">
      <c r="A324" s="1656" t="str">
        <f>+'5 ALMACEN '!A18</f>
        <v xml:space="preserve">AMARRE FALDA </v>
      </c>
      <c r="B324" s="1658"/>
      <c r="C324" s="92"/>
      <c r="D324" s="579">
        <f>+'5 ALMACEN '!B18+'5 ALMACEN '!C18</f>
        <v>0</v>
      </c>
      <c r="E324" s="93" t="s">
        <v>998</v>
      </c>
      <c r="F324" s="670"/>
      <c r="G324" s="670"/>
      <c r="H324" s="670"/>
      <c r="I324" s="670"/>
      <c r="J324" s="721"/>
      <c r="K324" s="721">
        <f t="shared" si="26"/>
        <v>0</v>
      </c>
      <c r="L324" s="89">
        <f t="shared" si="27"/>
        <v>0</v>
      </c>
    </row>
    <row r="325" spans="1:12" x14ac:dyDescent="0.2">
      <c r="A325" s="1656" t="str">
        <f>+'5 ALMACEN '!A19</f>
        <v>PLATINA DE AMARRE</v>
      </c>
      <c r="B325" s="1658"/>
      <c r="C325" s="92"/>
      <c r="D325" s="579">
        <f>+'5 ALMACEN '!B19+'5 ALMACEN '!C19</f>
        <v>0</v>
      </c>
      <c r="E325" s="93" t="s">
        <v>998</v>
      </c>
      <c r="F325" s="670"/>
      <c r="G325" s="670"/>
      <c r="H325" s="670"/>
      <c r="I325" s="670"/>
      <c r="J325" s="721"/>
      <c r="K325" s="721">
        <f t="shared" si="26"/>
        <v>0</v>
      </c>
      <c r="L325" s="89">
        <f t="shared" si="27"/>
        <v>0</v>
      </c>
    </row>
    <row r="326" spans="1:12" x14ac:dyDescent="0.2">
      <c r="A326" s="1648" t="s">
        <v>345</v>
      </c>
      <c r="B326" s="1648"/>
      <c r="C326" s="1668"/>
      <c r="D326" s="1174">
        <f>SUM(D327:D331)</f>
        <v>0</v>
      </c>
      <c r="E326" s="1012"/>
      <c r="F326" s="574"/>
      <c r="G326" s="574"/>
      <c r="H326" s="574"/>
      <c r="I326" s="574"/>
      <c r="J326" s="722"/>
      <c r="K326" s="722"/>
      <c r="L326" s="89">
        <f t="shared" ref="L326:L345" si="28">IF(D326&gt;0,1,0)</f>
        <v>0</v>
      </c>
    </row>
    <row r="327" spans="1:12" x14ac:dyDescent="0.2">
      <c r="A327" s="1656" t="str">
        <f>+'5 ALMACEN '!A23</f>
        <v>REPISA 56</v>
      </c>
      <c r="B327" s="1658"/>
      <c r="C327" s="92"/>
      <c r="D327" s="581">
        <f>+'5 ALMACEN '!B23+'5 ALMACEN '!C23</f>
        <v>0</v>
      </c>
      <c r="E327" s="93" t="s">
        <v>998</v>
      </c>
      <c r="F327" s="670"/>
      <c r="G327" s="670"/>
      <c r="H327" s="670"/>
      <c r="I327" s="670"/>
      <c r="J327" s="721"/>
      <c r="K327" s="721">
        <f t="shared" ref="K327:K335" si="29">+J327*D327</f>
        <v>0</v>
      </c>
      <c r="L327" s="89">
        <f t="shared" si="28"/>
        <v>0</v>
      </c>
    </row>
    <row r="328" spans="1:12" x14ac:dyDescent="0.2">
      <c r="A328" s="1656" t="str">
        <f>+'5 ALMACEN '!A24</f>
        <v>REPISA 70</v>
      </c>
      <c r="B328" s="1658"/>
      <c r="C328" s="92"/>
      <c r="D328" s="581">
        <f>+'5 ALMACEN '!B24+'5 ALMACEN '!C24</f>
        <v>0</v>
      </c>
      <c r="E328" s="93" t="s">
        <v>998</v>
      </c>
      <c r="F328" s="670"/>
      <c r="G328" s="670"/>
      <c r="H328" s="670"/>
      <c r="I328" s="670"/>
      <c r="J328" s="721"/>
      <c r="K328" s="721">
        <f t="shared" si="29"/>
        <v>0</v>
      </c>
      <c r="L328" s="89">
        <f t="shared" si="28"/>
        <v>0</v>
      </c>
    </row>
    <row r="329" spans="1:12" x14ac:dyDescent="0.2">
      <c r="A329" s="1656" t="str">
        <f>+'5 ALMACEN '!A25</f>
        <v>REPISA 84</v>
      </c>
      <c r="B329" s="1658"/>
      <c r="C329" s="92"/>
      <c r="D329" s="581">
        <f>+'5 ALMACEN '!B25+'5 ALMACEN '!C25</f>
        <v>0</v>
      </c>
      <c r="E329" s="93" t="s">
        <v>998</v>
      </c>
      <c r="F329" s="670"/>
      <c r="G329" s="670"/>
      <c r="H329" s="670"/>
      <c r="I329" s="670"/>
      <c r="J329" s="721"/>
      <c r="K329" s="721">
        <f t="shared" si="29"/>
        <v>0</v>
      </c>
      <c r="L329" s="89">
        <f t="shared" si="28"/>
        <v>0</v>
      </c>
    </row>
    <row r="330" spans="1:12" x14ac:dyDescent="0.2">
      <c r="A330" s="1656" t="str">
        <f>+'5 ALMACEN '!A26</f>
        <v>REPISA 112</v>
      </c>
      <c r="B330" s="1658"/>
      <c r="C330" s="92"/>
      <c r="D330" s="581">
        <f>+'5 ALMACEN '!B26+'5 ALMACEN '!C26</f>
        <v>0</v>
      </c>
      <c r="E330" s="93" t="s">
        <v>998</v>
      </c>
      <c r="F330" s="670"/>
      <c r="G330" s="670"/>
      <c r="H330" s="670"/>
      <c r="I330" s="670"/>
      <c r="J330" s="721"/>
      <c r="K330" s="721">
        <f t="shared" si="29"/>
        <v>0</v>
      </c>
      <c r="L330" s="89">
        <f t="shared" si="28"/>
        <v>0</v>
      </c>
    </row>
    <row r="331" spans="1:12" x14ac:dyDescent="0.2">
      <c r="A331" s="1691">
        <f>+'5 ALMACEN '!A27</f>
        <v>0</v>
      </c>
      <c r="B331" s="1692"/>
      <c r="C331" s="533"/>
      <c r="D331" s="1244">
        <f>+'5 ALMACEN '!B27+'5 ALMACEN '!C27</f>
        <v>0</v>
      </c>
      <c r="E331" s="1245" t="s">
        <v>998</v>
      </c>
      <c r="F331" s="941"/>
      <c r="G331" s="941"/>
      <c r="H331" s="941"/>
      <c r="I331" s="941"/>
      <c r="J331" s="721"/>
      <c r="K331" s="721">
        <f t="shared" si="29"/>
        <v>0</v>
      </c>
      <c r="L331" s="89">
        <f t="shared" si="28"/>
        <v>0</v>
      </c>
    </row>
    <row r="332" spans="1:12" x14ac:dyDescent="0.2">
      <c r="A332" s="1648" t="s">
        <v>1148</v>
      </c>
      <c r="B332" s="1648"/>
      <c r="C332" s="1648"/>
      <c r="D332" s="1005">
        <f>SUM(D333:D336)</f>
        <v>0</v>
      </c>
      <c r="E332" s="1246"/>
      <c r="F332" s="1247"/>
      <c r="G332" s="1247"/>
      <c r="H332" s="1247"/>
      <c r="I332" s="1248"/>
      <c r="J332" s="750"/>
      <c r="K332" s="721"/>
      <c r="L332" s="89">
        <f t="shared" si="28"/>
        <v>0</v>
      </c>
    </row>
    <row r="333" spans="1:12" x14ac:dyDescent="0.2">
      <c r="A333" s="1656" t="str">
        <f>+'5 ALMACEN '!A30</f>
        <v>PORTATECLADO CURVO PLASTICO</v>
      </c>
      <c r="B333" s="1658"/>
      <c r="C333" s="92"/>
      <c r="D333" s="581">
        <f>+'5 ALMACEN '!C30</f>
        <v>0</v>
      </c>
      <c r="E333" s="93" t="s">
        <v>998</v>
      </c>
      <c r="F333" s="670"/>
      <c r="G333" s="670"/>
      <c r="H333" s="670"/>
      <c r="I333" s="670"/>
      <c r="J333" s="721"/>
      <c r="K333" s="721">
        <f t="shared" si="29"/>
        <v>0</v>
      </c>
      <c r="L333" s="89">
        <f t="shared" si="28"/>
        <v>0</v>
      </c>
    </row>
    <row r="334" spans="1:12" x14ac:dyDescent="0.2">
      <c r="A334" s="1656" t="str">
        <f>+'5 ALMACEN '!A31</f>
        <v>CURVO PLASTICO PORTA MOUSE</v>
      </c>
      <c r="B334" s="1658"/>
      <c r="C334" s="92"/>
      <c r="D334" s="581">
        <f>+'5 ALMACEN '!C31</f>
        <v>0</v>
      </c>
      <c r="E334" s="93" t="s">
        <v>998</v>
      </c>
      <c r="F334" s="670"/>
      <c r="G334" s="670"/>
      <c r="H334" s="670"/>
      <c r="I334" s="670"/>
      <c r="J334" s="721"/>
      <c r="K334" s="721">
        <f t="shared" si="29"/>
        <v>0</v>
      </c>
      <c r="L334" s="89">
        <f t="shared" si="28"/>
        <v>0</v>
      </c>
    </row>
    <row r="335" spans="1:12" x14ac:dyDescent="0.2">
      <c r="A335" s="1656" t="str">
        <f>+'5 ALMACEN '!A32</f>
        <v>PORTATECLADO MADERA EXT.</v>
      </c>
      <c r="B335" s="1658"/>
      <c r="C335" s="92"/>
      <c r="D335" s="581">
        <f>+'5 ALMACEN '!C32</f>
        <v>0</v>
      </c>
      <c r="E335" s="93" t="s">
        <v>998</v>
      </c>
      <c r="F335" s="670"/>
      <c r="G335" s="670"/>
      <c r="H335" s="670"/>
      <c r="I335" s="670"/>
      <c r="J335" s="721"/>
      <c r="K335" s="721">
        <f t="shared" si="29"/>
        <v>0</v>
      </c>
      <c r="L335" s="89">
        <f t="shared" si="28"/>
        <v>0</v>
      </c>
    </row>
    <row r="336" spans="1:12" x14ac:dyDescent="0.2">
      <c r="A336" s="1656" t="str">
        <f>+'5 ALMACEN '!A33</f>
        <v>MADERA PORTA MOUSE</v>
      </c>
      <c r="B336" s="1658"/>
      <c r="C336" s="92"/>
      <c r="D336" s="581">
        <f>+'5 ALMACEN '!C33</f>
        <v>0</v>
      </c>
      <c r="E336" s="93" t="s">
        <v>998</v>
      </c>
      <c r="F336" s="670"/>
      <c r="G336" s="670"/>
      <c r="H336" s="670"/>
      <c r="I336" s="670"/>
      <c r="J336" s="721"/>
      <c r="K336" s="721"/>
      <c r="L336" s="89">
        <f t="shared" si="28"/>
        <v>0</v>
      </c>
    </row>
    <row r="337" spans="1:12" x14ac:dyDescent="0.2">
      <c r="A337" s="1648" t="s">
        <v>353</v>
      </c>
      <c r="B337" s="1648"/>
      <c r="C337" s="1682"/>
      <c r="D337" s="1005">
        <f>SUM(D338:D339)</f>
        <v>0</v>
      </c>
      <c r="E337" s="1012"/>
      <c r="F337" s="574"/>
      <c r="G337" s="574"/>
      <c r="H337" s="574"/>
      <c r="I337" s="574"/>
      <c r="J337" s="721"/>
      <c r="K337" s="721"/>
      <c r="L337" s="89">
        <f t="shared" si="28"/>
        <v>0</v>
      </c>
    </row>
    <row r="338" spans="1:12" x14ac:dyDescent="0.2">
      <c r="A338" s="1680" t="str">
        <f>+'5 ALMACEN '!A35:B35</f>
        <v>PEDESTAL TUBULAR 3"</v>
      </c>
      <c r="B338" s="1680"/>
      <c r="C338" s="1241"/>
      <c r="D338" s="1249"/>
      <c r="E338" s="93" t="s">
        <v>998</v>
      </c>
      <c r="F338" s="597"/>
      <c r="G338" s="597"/>
      <c r="H338" s="597"/>
      <c r="I338" s="597"/>
      <c r="J338" s="722"/>
      <c r="K338" s="722"/>
      <c r="L338" s="89">
        <f t="shared" si="28"/>
        <v>0</v>
      </c>
    </row>
    <row r="339" spans="1:12" x14ac:dyDescent="0.2">
      <c r="A339" s="1680" t="str">
        <f>+'5 ALMACEN '!A36:B36</f>
        <v>PEDESTAL HEXAGONAL</v>
      </c>
      <c r="B339" s="1680"/>
      <c r="C339" s="692"/>
      <c r="D339" s="1249"/>
      <c r="E339" s="93" t="s">
        <v>998</v>
      </c>
      <c r="F339" s="597"/>
      <c r="G339" s="597"/>
      <c r="H339" s="597"/>
      <c r="I339" s="597"/>
      <c r="J339" s="722"/>
      <c r="K339" s="722"/>
      <c r="L339" s="89">
        <f t="shared" si="28"/>
        <v>0</v>
      </c>
    </row>
    <row r="340" spans="1:12" x14ac:dyDescent="0.2">
      <c r="A340" s="1648" t="s">
        <v>32</v>
      </c>
      <c r="B340" s="1648"/>
      <c r="C340" s="1648"/>
      <c r="D340" s="1005">
        <f>SUM(D341:D345)</f>
        <v>0</v>
      </c>
      <c r="E340" s="1014"/>
      <c r="F340" s="574"/>
      <c r="G340" s="574"/>
      <c r="H340" s="574"/>
      <c r="I340" s="574"/>
      <c r="J340" s="722"/>
      <c r="K340" s="722"/>
      <c r="L340" s="89">
        <f t="shared" si="28"/>
        <v>0</v>
      </c>
    </row>
    <row r="341" spans="1:12" x14ac:dyDescent="0.2">
      <c r="A341" s="1656" t="str">
        <f>+'5 ALMACEN '!N31</f>
        <v>COSTADO TUBO UNIDAD</v>
      </c>
      <c r="B341" s="1658"/>
      <c r="C341" s="92"/>
      <c r="D341" s="581">
        <f>+'5 ALMACEN '!R31</f>
        <v>0</v>
      </c>
      <c r="E341" s="93" t="s">
        <v>998</v>
      </c>
      <c r="F341" s="670"/>
      <c r="G341" s="670"/>
      <c r="H341" s="670"/>
      <c r="I341" s="670"/>
      <c r="J341" s="722"/>
      <c r="K341" s="722"/>
      <c r="L341" s="89">
        <f>IF(D341&gt;0,1,0)</f>
        <v>0</v>
      </c>
    </row>
    <row r="342" spans="1:12" x14ac:dyDescent="0.2">
      <c r="A342" s="1656" t="str">
        <f>+'5 ALMACEN '!N32</f>
        <v>COSTADO H TUBO OVAL</v>
      </c>
      <c r="B342" s="1658"/>
      <c r="C342" s="92"/>
      <c r="D342" s="581">
        <f>+'5 ALMACEN '!R32</f>
        <v>0</v>
      </c>
      <c r="E342" s="93" t="s">
        <v>998</v>
      </c>
      <c r="F342" s="670"/>
      <c r="G342" s="670"/>
      <c r="H342" s="670"/>
      <c r="I342" s="670"/>
      <c r="J342" s="747"/>
      <c r="K342" s="721">
        <f>+J342*D342</f>
        <v>0</v>
      </c>
      <c r="L342" s="89">
        <f t="shared" si="28"/>
        <v>0</v>
      </c>
    </row>
    <row r="343" spans="1:12" x14ac:dyDescent="0.2">
      <c r="A343" s="1656" t="str">
        <f>+'5 ALMACEN '!N33</f>
        <v>COSTADO H METALICO</v>
      </c>
      <c r="B343" s="1658"/>
      <c r="C343" s="92"/>
      <c r="D343" s="581">
        <f>+'5 ALMACEN '!R33</f>
        <v>0</v>
      </c>
      <c r="E343" s="93" t="s">
        <v>998</v>
      </c>
      <c r="F343" s="670"/>
      <c r="G343" s="670"/>
      <c r="H343" s="670"/>
      <c r="I343" s="670"/>
      <c r="J343" s="747"/>
      <c r="K343" s="721">
        <f>+J343*D343</f>
        <v>0</v>
      </c>
      <c r="L343" s="89">
        <f t="shared" si="28"/>
        <v>0</v>
      </c>
    </row>
    <row r="344" spans="1:12" x14ac:dyDescent="0.2">
      <c r="A344" s="1656" t="str">
        <f>+'5 ALMACEN '!N34</f>
        <v>COSTADOS PORTA PAR</v>
      </c>
      <c r="B344" s="1658"/>
      <c r="C344" s="92"/>
      <c r="D344" s="581">
        <f>+'5 ALMACEN '!R34</f>
        <v>0</v>
      </c>
      <c r="E344" s="92" t="s">
        <v>1035</v>
      </c>
      <c r="F344" s="670"/>
      <c r="G344" s="670"/>
      <c r="H344" s="670"/>
      <c r="I344" s="670"/>
      <c r="J344" s="751"/>
      <c r="K344" s="721">
        <f>+J344*D344</f>
        <v>0</v>
      </c>
      <c r="L344" s="89">
        <f t="shared" si="28"/>
        <v>0</v>
      </c>
    </row>
    <row r="345" spans="1:12" x14ac:dyDescent="0.2">
      <c r="A345" s="1656" t="str">
        <f>+'5 ALMACEN '!N35</f>
        <v>COSTADO EN "A" TIPO PROGRESS-IT</v>
      </c>
      <c r="B345" s="1658"/>
      <c r="C345" s="92"/>
      <c r="D345" s="581">
        <f>+'5 ALMACEN '!R35</f>
        <v>0</v>
      </c>
      <c r="E345" s="92" t="s">
        <v>998</v>
      </c>
      <c r="F345" s="670"/>
      <c r="G345" s="670"/>
      <c r="H345" s="670"/>
      <c r="I345" s="670"/>
      <c r="J345" s="786"/>
      <c r="K345" s="722"/>
      <c r="L345" s="89">
        <f t="shared" si="28"/>
        <v>0</v>
      </c>
    </row>
    <row r="346" spans="1:12" x14ac:dyDescent="0.2">
      <c r="A346" s="1648" t="s">
        <v>373</v>
      </c>
      <c r="B346" s="1648"/>
      <c r="C346" s="1668"/>
      <c r="D346" s="1174">
        <f>+D354+D353+D352+D351</f>
        <v>0</v>
      </c>
      <c r="E346" s="1012"/>
      <c r="F346" s="574"/>
      <c r="G346" s="574"/>
      <c r="H346" s="574"/>
      <c r="I346" s="574"/>
      <c r="J346" s="722"/>
      <c r="K346" s="722"/>
      <c r="L346" s="89">
        <f t="shared" ref="L346:L354" si="30">IF(D346&gt;0,1,0)</f>
        <v>0</v>
      </c>
    </row>
    <row r="347" spans="1:12" x14ac:dyDescent="0.2">
      <c r="A347" s="538" t="s">
        <v>809</v>
      </c>
      <c r="B347" s="103">
        <f>+'5 ALMACEN '!A39</f>
        <v>56</v>
      </c>
      <c r="C347" s="92"/>
      <c r="D347" s="581">
        <f>SUM(Almacen!K19)</f>
        <v>0</v>
      </c>
      <c r="E347" s="93" t="s">
        <v>998</v>
      </c>
      <c r="F347" s="670"/>
      <c r="G347" s="670"/>
      <c r="H347" s="670"/>
      <c r="I347" s="670"/>
      <c r="J347" s="721"/>
      <c r="K347" s="721">
        <f t="shared" ref="K347:K354" si="31">+J347*D347</f>
        <v>0</v>
      </c>
      <c r="L347" s="89">
        <f t="shared" si="30"/>
        <v>0</v>
      </c>
    </row>
    <row r="348" spans="1:12" x14ac:dyDescent="0.2">
      <c r="A348" s="99" t="s">
        <v>809</v>
      </c>
      <c r="B348" s="91">
        <f>+'5 ALMACEN '!A40</f>
        <v>70</v>
      </c>
      <c r="C348" s="92"/>
      <c r="D348" s="579">
        <f>SUM(Almacen!K20)</f>
        <v>0</v>
      </c>
      <c r="E348" s="93" t="s">
        <v>998</v>
      </c>
      <c r="F348" s="670"/>
      <c r="G348" s="670"/>
      <c r="H348" s="670"/>
      <c r="I348" s="670"/>
      <c r="J348" s="721"/>
      <c r="K348" s="721">
        <f t="shared" si="31"/>
        <v>0</v>
      </c>
      <c r="L348" s="89">
        <f t="shared" si="30"/>
        <v>0</v>
      </c>
    </row>
    <row r="349" spans="1:12" x14ac:dyDescent="0.2">
      <c r="A349" s="99" t="s">
        <v>809</v>
      </c>
      <c r="B349" s="91">
        <f>+'5 ALMACEN '!A41</f>
        <v>84</v>
      </c>
      <c r="C349" s="92"/>
      <c r="D349" s="579">
        <f>SUM(Almacen!K21)</f>
        <v>0</v>
      </c>
      <c r="E349" s="93" t="s">
        <v>998</v>
      </c>
      <c r="F349" s="670"/>
      <c r="G349" s="670"/>
      <c r="H349" s="670"/>
      <c r="I349" s="670"/>
      <c r="J349" s="721"/>
      <c r="K349" s="721">
        <f t="shared" si="31"/>
        <v>0</v>
      </c>
      <c r="L349" s="89">
        <f t="shared" si="30"/>
        <v>0</v>
      </c>
    </row>
    <row r="350" spans="1:12" x14ac:dyDescent="0.2">
      <c r="A350" s="99" t="s">
        <v>809</v>
      </c>
      <c r="B350" s="91">
        <f>+'5 ALMACEN '!A42</f>
        <v>112</v>
      </c>
      <c r="C350" s="92"/>
      <c r="D350" s="579">
        <f>SUM(Almacen!K22)</f>
        <v>0</v>
      </c>
      <c r="E350" s="93" t="s">
        <v>998</v>
      </c>
      <c r="F350" s="670"/>
      <c r="G350" s="670"/>
      <c r="H350" s="670"/>
      <c r="I350" s="670"/>
      <c r="J350" s="721"/>
      <c r="K350" s="721">
        <f t="shared" si="31"/>
        <v>0</v>
      </c>
      <c r="L350" s="89">
        <f t="shared" si="30"/>
        <v>0</v>
      </c>
    </row>
    <row r="351" spans="1:12" x14ac:dyDescent="0.2">
      <c r="A351" s="99" t="s">
        <v>810</v>
      </c>
      <c r="B351" s="91">
        <f>+'5 ALMACEN '!A39</f>
        <v>56</v>
      </c>
      <c r="C351" s="92"/>
      <c r="D351" s="579">
        <f>SUM(Almacen!K23)</f>
        <v>0</v>
      </c>
      <c r="E351" s="93" t="s">
        <v>998</v>
      </c>
      <c r="F351" s="670"/>
      <c r="G351" s="670"/>
      <c r="H351" s="670"/>
      <c r="I351" s="670"/>
      <c r="J351" s="721"/>
      <c r="K351" s="721">
        <f t="shared" si="31"/>
        <v>0</v>
      </c>
      <c r="L351" s="89">
        <f t="shared" si="30"/>
        <v>0</v>
      </c>
    </row>
    <row r="352" spans="1:12" x14ac:dyDescent="0.2">
      <c r="A352" s="99" t="s">
        <v>810</v>
      </c>
      <c r="B352" s="91">
        <f>+'5 ALMACEN '!A40</f>
        <v>70</v>
      </c>
      <c r="C352" s="92"/>
      <c r="D352" s="579">
        <f>SUM(Almacen!K24)</f>
        <v>0</v>
      </c>
      <c r="E352" s="93" t="s">
        <v>998</v>
      </c>
      <c r="F352" s="670"/>
      <c r="G352" s="670"/>
      <c r="H352" s="670"/>
      <c r="I352" s="670"/>
      <c r="J352" s="721"/>
      <c r="K352" s="721">
        <f t="shared" si="31"/>
        <v>0</v>
      </c>
      <c r="L352" s="89">
        <f t="shared" si="30"/>
        <v>0</v>
      </c>
    </row>
    <row r="353" spans="1:12" x14ac:dyDescent="0.2">
      <c r="A353" s="99" t="s">
        <v>810</v>
      </c>
      <c r="B353" s="91">
        <f>+'5 ALMACEN '!A41</f>
        <v>84</v>
      </c>
      <c r="C353" s="92"/>
      <c r="D353" s="579">
        <f>SUM(Almacen!K25)</f>
        <v>0</v>
      </c>
      <c r="E353" s="93" t="s">
        <v>998</v>
      </c>
      <c r="F353" s="670"/>
      <c r="G353" s="670"/>
      <c r="H353" s="670"/>
      <c r="I353" s="670"/>
      <c r="J353" s="721"/>
      <c r="K353" s="721">
        <f t="shared" si="31"/>
        <v>0</v>
      </c>
      <c r="L353" s="89">
        <f t="shared" si="30"/>
        <v>0</v>
      </c>
    </row>
    <row r="354" spans="1:12" x14ac:dyDescent="0.2">
      <c r="A354" s="99" t="s">
        <v>810</v>
      </c>
      <c r="B354" s="91">
        <f>+'5 ALMACEN '!A42</f>
        <v>112</v>
      </c>
      <c r="C354" s="92"/>
      <c r="D354" s="579">
        <f>SUM(Almacen!K26)</f>
        <v>0</v>
      </c>
      <c r="E354" s="93" t="s">
        <v>998</v>
      </c>
      <c r="F354" s="670"/>
      <c r="G354" s="670"/>
      <c r="H354" s="670"/>
      <c r="I354" s="670"/>
      <c r="J354" s="721"/>
      <c r="K354" s="721">
        <f t="shared" si="31"/>
        <v>0</v>
      </c>
      <c r="L354" s="89">
        <f t="shared" si="30"/>
        <v>0</v>
      </c>
    </row>
    <row r="355" spans="1:12" x14ac:dyDescent="0.2">
      <c r="A355" s="1682" t="s">
        <v>1119</v>
      </c>
      <c r="B355" s="1682"/>
      <c r="C355" s="1682"/>
      <c r="D355" s="1172">
        <f>SUM(D356:D377)</f>
        <v>0</v>
      </c>
      <c r="E355" s="1015"/>
      <c r="F355" s="681"/>
      <c r="G355" s="681"/>
      <c r="H355" s="681"/>
      <c r="I355" s="681"/>
      <c r="J355" s="725"/>
      <c r="K355" s="725"/>
      <c r="L355" s="89">
        <f t="shared" ref="L355:L363" si="32">IF(D355&gt;0,1,0)</f>
        <v>0</v>
      </c>
    </row>
    <row r="356" spans="1:12" x14ac:dyDescent="0.2">
      <c r="A356" s="1666" t="str">
        <f>+'5 ALMACEN '!H7</f>
        <v>COSTADO EQUILA PIE DE AMIGO SEN. 71X50</v>
      </c>
      <c r="B356" s="1666"/>
      <c r="C356" s="711"/>
      <c r="D356" s="970">
        <f>+'5 ALMACEN '!I7</f>
        <v>0</v>
      </c>
      <c r="E356" s="102" t="s">
        <v>998</v>
      </c>
      <c r="F356" s="937"/>
      <c r="G356" s="937"/>
      <c r="H356" s="937"/>
      <c r="I356" s="937"/>
      <c r="J356" s="725"/>
      <c r="K356" s="725"/>
      <c r="L356" s="89">
        <f t="shared" si="32"/>
        <v>0</v>
      </c>
    </row>
    <row r="357" spans="1:12" x14ac:dyDescent="0.2">
      <c r="A357" s="1666" t="str">
        <f>+'5 ALMACEN '!H8</f>
        <v>COSTADO EQUILA PIE DE AMIGO SEN. 71X57</v>
      </c>
      <c r="B357" s="1666"/>
      <c r="C357" s="711"/>
      <c r="D357" s="970">
        <f>+'5 ALMACEN '!I8</f>
        <v>0</v>
      </c>
      <c r="E357" s="102" t="s">
        <v>998</v>
      </c>
      <c r="F357" s="937"/>
      <c r="G357" s="937"/>
      <c r="H357" s="937"/>
      <c r="I357" s="937"/>
      <c r="J357" s="725"/>
      <c r="K357" s="725"/>
      <c r="L357" s="89">
        <f t="shared" si="32"/>
        <v>0</v>
      </c>
    </row>
    <row r="358" spans="1:12" x14ac:dyDescent="0.2">
      <c r="A358" s="1666" t="str">
        <f>+'5 ALMACEN '!H9</f>
        <v>COSTADO EQUILA PIE DE AMIGO SEN. 71X60</v>
      </c>
      <c r="B358" s="1666"/>
      <c r="C358" s="711"/>
      <c r="D358" s="970">
        <f>+'5 ALMACEN '!I9</f>
        <v>0</v>
      </c>
      <c r="E358" s="102" t="s">
        <v>998</v>
      </c>
      <c r="F358" s="937"/>
      <c r="G358" s="937"/>
      <c r="H358" s="937"/>
      <c r="I358" s="937"/>
      <c r="J358" s="725"/>
      <c r="K358" s="725"/>
      <c r="L358" s="89">
        <f t="shared" si="32"/>
        <v>0</v>
      </c>
    </row>
    <row r="359" spans="1:12" x14ac:dyDescent="0.2">
      <c r="A359" s="1666" t="str">
        <f>+'5 ALMACEN '!H10</f>
        <v>COSTADO EQUILA PIE DE AMIGO SEN. 71X70</v>
      </c>
      <c r="B359" s="1666"/>
      <c r="C359" s="711"/>
      <c r="D359" s="970">
        <f>+'5 ALMACEN '!I10</f>
        <v>0</v>
      </c>
      <c r="E359" s="102" t="s">
        <v>998</v>
      </c>
      <c r="F359" s="937"/>
      <c r="G359" s="937"/>
      <c r="H359" s="937"/>
      <c r="I359" s="937"/>
      <c r="J359" s="725"/>
      <c r="K359" s="725"/>
      <c r="L359" s="89">
        <f t="shared" si="32"/>
        <v>0</v>
      </c>
    </row>
    <row r="360" spans="1:12" x14ac:dyDescent="0.2">
      <c r="A360" s="1666" t="str">
        <f>+'5 ALMACEN '!H11</f>
        <v>COSTADO EQUILA PIE DE AMIGO SEN. 71X90</v>
      </c>
      <c r="B360" s="1666"/>
      <c r="C360" s="711"/>
      <c r="D360" s="970">
        <f>+'5 ALMACEN '!I11</f>
        <v>0</v>
      </c>
      <c r="E360" s="102" t="s">
        <v>998</v>
      </c>
      <c r="F360" s="937"/>
      <c r="G360" s="937"/>
      <c r="H360" s="937"/>
      <c r="I360" s="937"/>
      <c r="J360" s="725"/>
      <c r="K360" s="725"/>
      <c r="L360" s="89">
        <f t="shared" si="32"/>
        <v>0</v>
      </c>
    </row>
    <row r="361" spans="1:12" x14ac:dyDescent="0.2">
      <c r="A361" s="1666" t="str">
        <f>+'5 ALMACEN '!H12</f>
        <v>COSTADO EQUILA PIE DE AMIGO SEN. 71X120</v>
      </c>
      <c r="B361" s="1666"/>
      <c r="C361" s="711"/>
      <c r="D361" s="970">
        <f>+'5 ALMACEN '!I12</f>
        <v>0</v>
      </c>
      <c r="E361" s="102" t="s">
        <v>998</v>
      </c>
      <c r="F361" s="937"/>
      <c r="G361" s="937"/>
      <c r="H361" s="937"/>
      <c r="I361" s="937"/>
      <c r="J361" s="725"/>
      <c r="K361" s="725"/>
      <c r="L361" s="89">
        <f t="shared" si="32"/>
        <v>0</v>
      </c>
    </row>
    <row r="362" spans="1:12" x14ac:dyDescent="0.2">
      <c r="A362" s="1666" t="str">
        <f>+'5 ALMACEN '!H13</f>
        <v>COSTADO EQUILA PIE DE AMIGO DOBLE 71X50</v>
      </c>
      <c r="B362" s="1666"/>
      <c r="C362" s="711"/>
      <c r="D362" s="970">
        <f>+'5 ALMACEN '!I13</f>
        <v>0</v>
      </c>
      <c r="E362" s="102" t="s">
        <v>998</v>
      </c>
      <c r="F362" s="937"/>
      <c r="G362" s="937"/>
      <c r="H362" s="937"/>
      <c r="I362" s="937"/>
      <c r="J362" s="725"/>
      <c r="K362" s="725"/>
      <c r="L362" s="89">
        <f t="shared" si="32"/>
        <v>0</v>
      </c>
    </row>
    <row r="363" spans="1:12" x14ac:dyDescent="0.2">
      <c r="A363" s="1666" t="str">
        <f>+'5 ALMACEN '!H14</f>
        <v>COSTADO EQUILA PIE DE AMIGO DOBLE 71X57</v>
      </c>
      <c r="B363" s="1666"/>
      <c r="C363" s="711"/>
      <c r="D363" s="970">
        <f>+'5 ALMACEN '!I14</f>
        <v>0</v>
      </c>
      <c r="E363" s="102" t="s">
        <v>998</v>
      </c>
      <c r="F363" s="937"/>
      <c r="G363" s="937"/>
      <c r="H363" s="937"/>
      <c r="I363" s="937"/>
      <c r="J363" s="725"/>
      <c r="K363" s="725"/>
      <c r="L363" s="89">
        <f t="shared" si="32"/>
        <v>0</v>
      </c>
    </row>
    <row r="364" spans="1:12" x14ac:dyDescent="0.2">
      <c r="A364" s="1666" t="str">
        <f>+'5 ALMACEN '!H15</f>
        <v>COSTADO EQUILA PIE DE AMIGO DOBLE 71X60</v>
      </c>
      <c r="B364" s="1666"/>
      <c r="C364" s="711"/>
      <c r="D364" s="970">
        <f>+'5 ALMACEN '!I15</f>
        <v>0</v>
      </c>
      <c r="E364" s="102" t="s">
        <v>998</v>
      </c>
      <c r="F364" s="937"/>
      <c r="G364" s="937"/>
      <c r="H364" s="937"/>
      <c r="I364" s="937"/>
      <c r="J364" s="725"/>
      <c r="K364" s="725"/>
      <c r="L364" s="89">
        <f t="shared" ref="L364:L377" si="33">IF(D364&gt;0,1,0)</f>
        <v>0</v>
      </c>
    </row>
    <row r="365" spans="1:12" x14ac:dyDescent="0.2">
      <c r="A365" s="1666" t="str">
        <f>+'5 ALMACEN '!H16</f>
        <v>COSTADO EQUILA PIE DE AMIGO DOBLE 71X70</v>
      </c>
      <c r="B365" s="1666"/>
      <c r="C365" s="711"/>
      <c r="D365" s="970">
        <f>+'5 ALMACEN '!I16</f>
        <v>0</v>
      </c>
      <c r="E365" s="102" t="s">
        <v>998</v>
      </c>
      <c r="F365" s="937"/>
      <c r="G365" s="937"/>
      <c r="H365" s="937"/>
      <c r="I365" s="937"/>
      <c r="J365" s="725"/>
      <c r="K365" s="725"/>
      <c r="L365" s="89">
        <f t="shared" si="33"/>
        <v>0</v>
      </c>
    </row>
    <row r="366" spans="1:12" x14ac:dyDescent="0.2">
      <c r="A366" s="1666" t="str">
        <f>+'5 ALMACEN '!H17</f>
        <v>COSTADO EQUILA PIE DE AMIGO DOBLE 71X90</v>
      </c>
      <c r="B366" s="1666"/>
      <c r="C366" s="711"/>
      <c r="D366" s="970">
        <f>+'5 ALMACEN '!I17</f>
        <v>0</v>
      </c>
      <c r="E366" s="102" t="s">
        <v>998</v>
      </c>
      <c r="F366" s="937"/>
      <c r="G366" s="937"/>
      <c r="H366" s="937"/>
      <c r="I366" s="937"/>
      <c r="J366" s="725"/>
      <c r="K366" s="725"/>
      <c r="L366" s="89">
        <f t="shared" si="33"/>
        <v>0</v>
      </c>
    </row>
    <row r="367" spans="1:12" x14ac:dyDescent="0.2">
      <c r="A367" s="1666" t="str">
        <f>+'5 ALMACEN '!H18</f>
        <v>COSTADO EQUILA PIE DE AMIGO DOBLE 71X120</v>
      </c>
      <c r="B367" s="1666"/>
      <c r="C367" s="711"/>
      <c r="D367" s="970">
        <f>+'5 ALMACEN '!I18</f>
        <v>0</v>
      </c>
      <c r="E367" s="102" t="s">
        <v>998</v>
      </c>
      <c r="F367" s="937"/>
      <c r="G367" s="937"/>
      <c r="H367" s="937"/>
      <c r="I367" s="937"/>
      <c r="J367" s="725"/>
      <c r="K367" s="725"/>
      <c r="L367" s="89">
        <f t="shared" si="33"/>
        <v>0</v>
      </c>
    </row>
    <row r="368" spans="1:12" x14ac:dyDescent="0.2">
      <c r="A368" s="1666" t="str">
        <f>+'5 ALMACEN '!H19</f>
        <v>COSTADO EQUILA CON TAPAS EN FOR. 71X50</v>
      </c>
      <c r="B368" s="1666"/>
      <c r="C368" s="711"/>
      <c r="D368" s="970">
        <f>+'5 ALMACEN '!I19</f>
        <v>0</v>
      </c>
      <c r="E368" s="102" t="s">
        <v>998</v>
      </c>
      <c r="F368" s="937"/>
      <c r="G368" s="937"/>
      <c r="H368" s="937"/>
      <c r="I368" s="937"/>
      <c r="J368" s="725"/>
      <c r="K368" s="725"/>
      <c r="L368" s="89">
        <f t="shared" si="33"/>
        <v>0</v>
      </c>
    </row>
    <row r="369" spans="1:12" x14ac:dyDescent="0.2">
      <c r="A369" s="1666" t="str">
        <f>+'5 ALMACEN '!H20</f>
        <v>COSTADO EQUILA CON TAPAS EN FOR. 71X57</v>
      </c>
      <c r="B369" s="1666"/>
      <c r="C369" s="711"/>
      <c r="D369" s="970">
        <f>+'5 ALMACEN '!I20</f>
        <v>0</v>
      </c>
      <c r="E369" s="102" t="s">
        <v>998</v>
      </c>
      <c r="F369" s="937"/>
      <c r="G369" s="937"/>
      <c r="H369" s="937"/>
      <c r="I369" s="937"/>
      <c r="J369" s="725"/>
      <c r="K369" s="725"/>
      <c r="L369" s="89">
        <f t="shared" si="33"/>
        <v>0</v>
      </c>
    </row>
    <row r="370" spans="1:12" x14ac:dyDescent="0.2">
      <c r="A370" s="1666" t="str">
        <f>+'5 ALMACEN '!H21</f>
        <v>COSTADO EQUILA CON TAPAS EN FOR. 71X60</v>
      </c>
      <c r="B370" s="1666"/>
      <c r="C370" s="711"/>
      <c r="D370" s="970">
        <f>+'5 ALMACEN '!I21</f>
        <v>0</v>
      </c>
      <c r="E370" s="102" t="s">
        <v>998</v>
      </c>
      <c r="F370" s="937"/>
      <c r="G370" s="937"/>
      <c r="H370" s="937"/>
      <c r="I370" s="937"/>
      <c r="J370" s="725"/>
      <c r="K370" s="725"/>
      <c r="L370" s="89">
        <f t="shared" si="33"/>
        <v>0</v>
      </c>
    </row>
    <row r="371" spans="1:12" x14ac:dyDescent="0.2">
      <c r="A371" s="1666" t="str">
        <f>+'5 ALMACEN '!H22</f>
        <v>COSTADO EQUILA CON TAPAS EN FOR. 71X70</v>
      </c>
      <c r="B371" s="1666"/>
      <c r="C371" s="711"/>
      <c r="D371" s="970">
        <f>+'5 ALMACEN '!I22</f>
        <v>0</v>
      </c>
      <c r="E371" s="102" t="s">
        <v>998</v>
      </c>
      <c r="F371" s="937"/>
      <c r="G371" s="937"/>
      <c r="H371" s="937"/>
      <c r="I371" s="937"/>
      <c r="J371" s="725"/>
      <c r="K371" s="725"/>
      <c r="L371" s="89">
        <f t="shared" si="33"/>
        <v>0</v>
      </c>
    </row>
    <row r="372" spans="1:12" x14ac:dyDescent="0.2">
      <c r="A372" s="1666" t="str">
        <f>+'5 ALMACEN '!H23</f>
        <v>COSTADO EQUILA CON TAPAS EN FOR. 71X90</v>
      </c>
      <c r="B372" s="1666"/>
      <c r="C372" s="711"/>
      <c r="D372" s="970">
        <f>+'5 ALMACEN '!I23</f>
        <v>0</v>
      </c>
      <c r="E372" s="102" t="s">
        <v>998</v>
      </c>
      <c r="F372" s="937"/>
      <c r="G372" s="937"/>
      <c r="H372" s="937"/>
      <c r="I372" s="937"/>
      <c r="J372" s="725"/>
      <c r="K372" s="725"/>
      <c r="L372" s="89">
        <f t="shared" si="33"/>
        <v>0</v>
      </c>
    </row>
    <row r="373" spans="1:12" x14ac:dyDescent="0.2">
      <c r="A373" s="1666" t="str">
        <f>+'5 ALMACEN '!H24</f>
        <v>COSTADO EQUILA CON TAPAS EN MEL. 71X50</v>
      </c>
      <c r="B373" s="1666"/>
      <c r="C373" s="711"/>
      <c r="D373" s="970">
        <f>+'5 ALMACEN '!I24</f>
        <v>0</v>
      </c>
      <c r="E373" s="102" t="s">
        <v>998</v>
      </c>
      <c r="F373" s="937"/>
      <c r="G373" s="937"/>
      <c r="H373" s="937"/>
      <c r="I373" s="937"/>
      <c r="J373" s="725"/>
      <c r="K373" s="725"/>
      <c r="L373" s="89">
        <f t="shared" si="33"/>
        <v>0</v>
      </c>
    </row>
    <row r="374" spans="1:12" x14ac:dyDescent="0.2">
      <c r="A374" s="1666" t="str">
        <f>+'5 ALMACEN '!H25</f>
        <v>COSTADO EQUILA CON TAPAS EN MEL. 71X57</v>
      </c>
      <c r="B374" s="1666"/>
      <c r="C374" s="711"/>
      <c r="D374" s="970">
        <f>+'5 ALMACEN '!I25</f>
        <v>0</v>
      </c>
      <c r="E374" s="102" t="s">
        <v>998</v>
      </c>
      <c r="F374" s="937"/>
      <c r="G374" s="937"/>
      <c r="H374" s="937"/>
      <c r="I374" s="937"/>
      <c r="J374" s="725"/>
      <c r="K374" s="725"/>
      <c r="L374" s="89">
        <f t="shared" si="33"/>
        <v>0</v>
      </c>
    </row>
    <row r="375" spans="1:12" x14ac:dyDescent="0.2">
      <c r="A375" s="1666" t="str">
        <f>+'5 ALMACEN '!H26</f>
        <v>COSTADO EQUILA CON TAPAS EN MEL. 71X60</v>
      </c>
      <c r="B375" s="1666"/>
      <c r="C375" s="711"/>
      <c r="D375" s="970">
        <f>+'5 ALMACEN '!I26</f>
        <v>0</v>
      </c>
      <c r="E375" s="102" t="s">
        <v>998</v>
      </c>
      <c r="F375" s="937"/>
      <c r="G375" s="937"/>
      <c r="H375" s="937"/>
      <c r="I375" s="937"/>
      <c r="J375" s="725"/>
      <c r="K375" s="725"/>
      <c r="L375" s="89">
        <f t="shared" si="33"/>
        <v>0</v>
      </c>
    </row>
    <row r="376" spans="1:12" x14ac:dyDescent="0.2">
      <c r="A376" s="1666" t="str">
        <f>+'5 ALMACEN '!H27</f>
        <v>COSTADO EQUILA CON TAPAS EN MEL. 71X70</v>
      </c>
      <c r="B376" s="1666"/>
      <c r="C376" s="711"/>
      <c r="D376" s="970">
        <f>+'5 ALMACEN '!I27</f>
        <v>0</v>
      </c>
      <c r="E376" s="102" t="s">
        <v>998</v>
      </c>
      <c r="F376" s="937"/>
      <c r="G376" s="937"/>
      <c r="H376" s="937"/>
      <c r="I376" s="937"/>
      <c r="J376" s="725"/>
      <c r="K376" s="725"/>
      <c r="L376" s="89">
        <f t="shared" si="33"/>
        <v>0</v>
      </c>
    </row>
    <row r="377" spans="1:12" x14ac:dyDescent="0.2">
      <c r="A377" s="1666" t="str">
        <f>+'5 ALMACEN '!H28</f>
        <v>COSTADO EQUILA CON TAPAS EN MEL. 71X90</v>
      </c>
      <c r="B377" s="1666"/>
      <c r="C377" s="711"/>
      <c r="D377" s="969">
        <f>+'5 ALMACEN '!I28</f>
        <v>0</v>
      </c>
      <c r="E377" s="102" t="s">
        <v>998</v>
      </c>
      <c r="F377" s="937"/>
      <c r="G377" s="937"/>
      <c r="H377" s="937"/>
      <c r="I377" s="937"/>
      <c r="J377" s="725"/>
      <c r="K377" s="725"/>
      <c r="L377" s="89">
        <f t="shared" si="33"/>
        <v>0</v>
      </c>
    </row>
    <row r="378" spans="1:12" x14ac:dyDescent="0.2">
      <c r="A378" s="1682" t="s">
        <v>258</v>
      </c>
      <c r="B378" s="1682"/>
      <c r="C378" s="1682"/>
      <c r="D378" s="1172">
        <f>SUM(D379:D400)</f>
        <v>0</v>
      </c>
      <c r="E378" s="1015"/>
      <c r="F378" s="681"/>
      <c r="G378" s="681"/>
      <c r="H378" s="681"/>
      <c r="I378" s="681"/>
      <c r="J378" s="725"/>
      <c r="K378" s="725"/>
      <c r="L378" s="89">
        <f>IF(D378&gt;0,1,0)</f>
        <v>0</v>
      </c>
    </row>
    <row r="379" spans="1:12" x14ac:dyDescent="0.2">
      <c r="A379" s="1681" t="str">
        <f>+'5 ALMACEN '!E7</f>
        <v>BASE DIAMETRO 5 PATAS   90</v>
      </c>
      <c r="B379" s="1681"/>
      <c r="C379" s="102"/>
      <c r="D379" s="542">
        <f>+'5 ALMACEN '!F7</f>
        <v>0</v>
      </c>
      <c r="E379" s="93" t="s">
        <v>998</v>
      </c>
      <c r="F379" s="670"/>
      <c r="G379" s="670"/>
      <c r="H379" s="670"/>
      <c r="I379" s="670"/>
      <c r="J379" s="721"/>
      <c r="K379" s="721">
        <f t="shared" ref="K379:K398" si="34">+J379*D379</f>
        <v>0</v>
      </c>
      <c r="L379" s="89">
        <f t="shared" ref="L379:L398" si="35">IF(D379&gt;0,1,0)</f>
        <v>0</v>
      </c>
    </row>
    <row r="380" spans="1:12" x14ac:dyDescent="0.2">
      <c r="A380" s="1681" t="str">
        <f>+'5 ALMACEN '!E8</f>
        <v>BASE DIAMETRO 5 PATAS 120</v>
      </c>
      <c r="B380" s="1681"/>
      <c r="C380" s="102"/>
      <c r="D380" s="542">
        <f>+'5 ALMACEN '!F8</f>
        <v>0</v>
      </c>
      <c r="E380" s="93" t="s">
        <v>998</v>
      </c>
      <c r="F380" s="670"/>
      <c r="G380" s="670"/>
      <c r="H380" s="670"/>
      <c r="I380" s="670"/>
      <c r="J380" s="721"/>
      <c r="K380" s="721">
        <f t="shared" si="34"/>
        <v>0</v>
      </c>
      <c r="L380" s="89">
        <f t="shared" si="35"/>
        <v>0</v>
      </c>
    </row>
    <row r="381" spans="1:12" x14ac:dyDescent="0.2">
      <c r="A381" s="1681" t="str">
        <f>+'5 ALMACEN '!E9</f>
        <v>BASURERA METALICA RED</v>
      </c>
      <c r="B381" s="1681"/>
      <c r="C381" s="102"/>
      <c r="D381" s="542">
        <f>+'5 ALMACEN '!F9</f>
        <v>0</v>
      </c>
      <c r="E381" s="93" t="s">
        <v>998</v>
      </c>
      <c r="F381" s="670"/>
      <c r="G381" s="670"/>
      <c r="H381" s="670"/>
      <c r="I381" s="670"/>
      <c r="J381" s="721"/>
      <c r="K381" s="721">
        <f t="shared" si="34"/>
        <v>0</v>
      </c>
      <c r="L381" s="89">
        <f t="shared" si="35"/>
        <v>0</v>
      </c>
    </row>
    <row r="382" spans="1:12" x14ac:dyDescent="0.2">
      <c r="A382" s="1681" t="str">
        <f>+'5 ALMACEN '!E10</f>
        <v>BASURERA PENTAGONAL</v>
      </c>
      <c r="B382" s="1681"/>
      <c r="C382" s="102"/>
      <c r="D382" s="542">
        <f>+'5 ALMACEN '!F10</f>
        <v>0</v>
      </c>
      <c r="E382" s="93" t="s">
        <v>998</v>
      </c>
      <c r="F382" s="670"/>
      <c r="G382" s="670"/>
      <c r="H382" s="670"/>
      <c r="I382" s="670"/>
      <c r="J382" s="721"/>
      <c r="K382" s="721">
        <f t="shared" si="34"/>
        <v>0</v>
      </c>
      <c r="L382" s="89">
        <f t="shared" si="35"/>
        <v>0</v>
      </c>
    </row>
    <row r="383" spans="1:12" x14ac:dyDescent="0.2">
      <c r="A383" s="1681" t="str">
        <f>+'5 ALMACEN '!E11</f>
        <v>DUCTO A PISO PORTA</v>
      </c>
      <c r="B383" s="1681"/>
      <c r="C383" s="102"/>
      <c r="D383" s="542">
        <f>+'5 ALMACEN '!F11</f>
        <v>0</v>
      </c>
      <c r="E383" s="93" t="s">
        <v>998</v>
      </c>
      <c r="F383" s="670"/>
      <c r="G383" s="670"/>
      <c r="H383" s="670"/>
      <c r="I383" s="670"/>
      <c r="J383" s="721"/>
      <c r="K383" s="721"/>
      <c r="L383" s="89">
        <f t="shared" si="35"/>
        <v>0</v>
      </c>
    </row>
    <row r="384" spans="1:12" x14ac:dyDescent="0.2">
      <c r="A384" s="1681" t="str">
        <f>+'5 ALMACEN '!E12</f>
        <v>ESTRUCTURA TALON   86</v>
      </c>
      <c r="B384" s="1681"/>
      <c r="C384" s="102"/>
      <c r="D384" s="542">
        <f>+'5 ALMACEN '!F12</f>
        <v>0</v>
      </c>
      <c r="E384" s="93" t="s">
        <v>998</v>
      </c>
      <c r="F384" s="670"/>
      <c r="G384" s="670"/>
      <c r="H384" s="670"/>
      <c r="I384" s="670"/>
      <c r="J384" s="721"/>
      <c r="K384" s="721">
        <f t="shared" si="34"/>
        <v>0</v>
      </c>
      <c r="L384" s="89">
        <f t="shared" si="35"/>
        <v>0</v>
      </c>
    </row>
    <row r="385" spans="1:12" x14ac:dyDescent="0.2">
      <c r="A385" s="1681" t="str">
        <f>+'5 ALMACEN '!E13</f>
        <v>ESTRUCTURA TALON 107</v>
      </c>
      <c r="B385" s="1681"/>
      <c r="C385" s="102"/>
      <c r="D385" s="542">
        <f>+'5 ALMACEN '!F13</f>
        <v>0</v>
      </c>
      <c r="E385" s="93" t="s">
        <v>998</v>
      </c>
      <c r="F385" s="670"/>
      <c r="G385" s="670"/>
      <c r="H385" s="670"/>
      <c r="I385" s="670"/>
      <c r="J385" s="721"/>
      <c r="K385" s="721">
        <f t="shared" si="34"/>
        <v>0</v>
      </c>
      <c r="L385" s="89">
        <f t="shared" si="35"/>
        <v>0</v>
      </c>
    </row>
    <row r="386" spans="1:12" x14ac:dyDescent="0.2">
      <c r="A386" s="1681" t="str">
        <f>+'5 ALMACEN '!E14</f>
        <v>ESTRUCTURA TALON 130</v>
      </c>
      <c r="B386" s="1681"/>
      <c r="C386" s="102"/>
      <c r="D386" s="542">
        <f>+'5 ALMACEN '!F14</f>
        <v>0</v>
      </c>
      <c r="E386" s="93" t="s">
        <v>998</v>
      </c>
      <c r="F386" s="670"/>
      <c r="G386" s="670"/>
      <c r="H386" s="670"/>
      <c r="I386" s="670"/>
      <c r="J386" s="721"/>
      <c r="K386" s="721">
        <f t="shared" si="34"/>
        <v>0</v>
      </c>
      <c r="L386" s="89">
        <f t="shared" si="35"/>
        <v>0</v>
      </c>
    </row>
    <row r="387" spans="1:12" x14ac:dyDescent="0.2">
      <c r="A387" s="1681" t="str">
        <f>+'5 ALMACEN '!E15</f>
        <v>ESTRUC. FLIT-IT</v>
      </c>
      <c r="B387" s="1681"/>
      <c r="C387" s="102"/>
      <c r="D387" s="542">
        <f>+'5 ALMACEN '!F15</f>
        <v>0</v>
      </c>
      <c r="E387" s="93" t="s">
        <v>998</v>
      </c>
      <c r="F387" s="670"/>
      <c r="G387" s="670"/>
      <c r="H387" s="670"/>
      <c r="I387" s="670"/>
      <c r="J387" s="721"/>
      <c r="K387" s="721">
        <f t="shared" si="34"/>
        <v>0</v>
      </c>
      <c r="L387" s="89">
        <f t="shared" si="35"/>
        <v>0</v>
      </c>
    </row>
    <row r="388" spans="1:12" x14ac:dyDescent="0.2">
      <c r="A388" s="1681" t="str">
        <f>+'5 ALMACEN '!E16</f>
        <v>FALDA MET. PERFOR. DE 26 X 60</v>
      </c>
      <c r="B388" s="1681"/>
      <c r="C388" s="102"/>
      <c r="D388" s="542">
        <f>+'5 ALMACEN '!F16</f>
        <v>0</v>
      </c>
      <c r="E388" s="93" t="s">
        <v>998</v>
      </c>
      <c r="F388" s="670"/>
      <c r="G388" s="670"/>
      <c r="H388" s="670"/>
      <c r="I388" s="670"/>
      <c r="J388" s="721"/>
      <c r="K388" s="721">
        <f t="shared" si="34"/>
        <v>0</v>
      </c>
      <c r="L388" s="89">
        <f t="shared" si="35"/>
        <v>0</v>
      </c>
    </row>
    <row r="389" spans="1:12" x14ac:dyDescent="0.2">
      <c r="A389" s="1681" t="str">
        <f>+'5 ALMACEN '!E17</f>
        <v>FALDA MET. PERFOR. DE 26 X 100</v>
      </c>
      <c r="B389" s="1681"/>
      <c r="C389" s="102"/>
      <c r="D389" s="542">
        <f>+'5 ALMACEN '!F17</f>
        <v>0</v>
      </c>
      <c r="E389" s="93" t="s">
        <v>998</v>
      </c>
      <c r="F389" s="670"/>
      <c r="G389" s="670"/>
      <c r="H389" s="670"/>
      <c r="I389" s="670"/>
      <c r="J389" s="721"/>
      <c r="K389" s="721">
        <f t="shared" si="34"/>
        <v>0</v>
      </c>
      <c r="L389" s="89">
        <f t="shared" si="35"/>
        <v>0</v>
      </c>
    </row>
    <row r="390" spans="1:12" x14ac:dyDescent="0.2">
      <c r="A390" s="1681" t="str">
        <f>+'5 ALMACEN '!E18</f>
        <v>FALDA MET. PERFOR. DE 26 X 120</v>
      </c>
      <c r="B390" s="1681"/>
      <c r="C390" s="102"/>
      <c r="D390" s="542">
        <f>+'5 ALMACEN '!F18</f>
        <v>0</v>
      </c>
      <c r="E390" s="93" t="s">
        <v>998</v>
      </c>
      <c r="F390" s="670"/>
      <c r="G390" s="670"/>
      <c r="H390" s="670"/>
      <c r="I390" s="670"/>
      <c r="J390" s="721"/>
      <c r="K390" s="721">
        <f t="shared" si="34"/>
        <v>0</v>
      </c>
      <c r="L390" s="89">
        <f t="shared" si="35"/>
        <v>0</v>
      </c>
    </row>
    <row r="391" spans="1:12" x14ac:dyDescent="0.2">
      <c r="A391" s="1681" t="str">
        <f>+'5 ALMACEN '!E19</f>
        <v>FALDA MET. PERFOR. DE 26 X 150</v>
      </c>
      <c r="B391" s="1681"/>
      <c r="C391" s="102"/>
      <c r="D391" s="542">
        <f>+'5 ALMACEN '!F19</f>
        <v>0</v>
      </c>
      <c r="E391" s="93" t="s">
        <v>998</v>
      </c>
      <c r="F391" s="670"/>
      <c r="G391" s="670"/>
      <c r="H391" s="670"/>
      <c r="I391" s="670"/>
      <c r="J391" s="721"/>
      <c r="K391" s="721">
        <f t="shared" si="34"/>
        <v>0</v>
      </c>
      <c r="L391" s="89">
        <f t="shared" si="35"/>
        <v>0</v>
      </c>
    </row>
    <row r="392" spans="1:12" x14ac:dyDescent="0.2">
      <c r="A392" s="1681" t="str">
        <f>+'5 ALMACEN '!E20</f>
        <v>PANTALLA CON PIVOTES DE 35X60</v>
      </c>
      <c r="B392" s="1681"/>
      <c r="C392" s="102"/>
      <c r="D392" s="542">
        <f>+'5 ALMACEN '!F20</f>
        <v>0</v>
      </c>
      <c r="E392" s="93" t="s">
        <v>998</v>
      </c>
      <c r="F392" s="670"/>
      <c r="G392" s="670"/>
      <c r="H392" s="670"/>
      <c r="I392" s="670"/>
      <c r="J392" s="721"/>
      <c r="K392" s="721">
        <f t="shared" si="34"/>
        <v>0</v>
      </c>
      <c r="L392" s="89">
        <f t="shared" si="35"/>
        <v>0</v>
      </c>
    </row>
    <row r="393" spans="1:12" x14ac:dyDescent="0.2">
      <c r="A393" s="1681" t="str">
        <f>+'5 ALMACEN '!E21</f>
        <v>PAPELERA ESCRITORIO CURVA</v>
      </c>
      <c r="B393" s="1681"/>
      <c r="C393" s="102"/>
      <c r="D393" s="542">
        <f>+'5 ALMACEN '!F21</f>
        <v>0</v>
      </c>
      <c r="E393" s="93" t="s">
        <v>998</v>
      </c>
      <c r="F393" s="670"/>
      <c r="G393" s="670"/>
      <c r="H393" s="670"/>
      <c r="I393" s="670"/>
      <c r="J393" s="721"/>
      <c r="K393" s="721">
        <f t="shared" si="34"/>
        <v>0</v>
      </c>
      <c r="L393" s="89">
        <f t="shared" si="35"/>
        <v>0</v>
      </c>
    </row>
    <row r="394" spans="1:12" x14ac:dyDescent="0.2">
      <c r="A394" s="1681" t="str">
        <f>+'5 ALMACEN '!E22</f>
        <v>PAPELERA IMPRESORA</v>
      </c>
      <c r="B394" s="1681"/>
      <c r="C394" s="102"/>
      <c r="D394" s="542">
        <f>+'5 ALMACEN '!F22</f>
        <v>0</v>
      </c>
      <c r="E394" s="93" t="s">
        <v>998</v>
      </c>
      <c r="F394" s="670"/>
      <c r="G394" s="670"/>
      <c r="H394" s="670"/>
      <c r="I394" s="670"/>
      <c r="J394" s="721"/>
      <c r="K394" s="721">
        <f t="shared" si="34"/>
        <v>0</v>
      </c>
      <c r="L394" s="89">
        <f t="shared" si="35"/>
        <v>0</v>
      </c>
    </row>
    <row r="395" spans="1:12" x14ac:dyDescent="0.2">
      <c r="A395" s="1681" t="str">
        <f>+'5 ALMACEN '!E23</f>
        <v>PAPELERA IMPRESORA PORTA</v>
      </c>
      <c r="B395" s="1681"/>
      <c r="C395" s="102"/>
      <c r="D395" s="542">
        <f>+'5 ALMACEN '!F23</f>
        <v>0</v>
      </c>
      <c r="E395" s="93" t="s">
        <v>998</v>
      </c>
      <c r="F395" s="670"/>
      <c r="G395" s="670"/>
      <c r="H395" s="670"/>
      <c r="I395" s="670"/>
      <c r="J395" s="721"/>
      <c r="K395" s="721">
        <f t="shared" si="34"/>
        <v>0</v>
      </c>
      <c r="L395" s="89">
        <f t="shared" si="35"/>
        <v>0</v>
      </c>
    </row>
    <row r="396" spans="1:12" x14ac:dyDescent="0.2">
      <c r="A396" s="1681" t="str">
        <f>+'5 ALMACEN '!E24</f>
        <v>PAPELERA TROQUELADA</v>
      </c>
      <c r="B396" s="1681"/>
      <c r="C396" s="92"/>
      <c r="D396" s="542">
        <f>+'5 ALMACEN '!F24</f>
        <v>0</v>
      </c>
      <c r="E396" s="93" t="s">
        <v>998</v>
      </c>
      <c r="F396" s="670"/>
      <c r="G396" s="670"/>
      <c r="H396" s="670"/>
      <c r="I396" s="670"/>
      <c r="J396" s="721"/>
      <c r="K396" s="721">
        <f>+J396*D396</f>
        <v>0</v>
      </c>
      <c r="L396" s="89">
        <f>IF(D396&gt;0,1,0)</f>
        <v>0</v>
      </c>
    </row>
    <row r="397" spans="1:12" x14ac:dyDescent="0.2">
      <c r="A397" s="1681" t="str">
        <f>+'5 ALMACEN '!E25</f>
        <v>PERCHERO METAL TRIANGULAR</v>
      </c>
      <c r="B397" s="1681"/>
      <c r="C397" s="92"/>
      <c r="D397" s="542">
        <f>+'5 ALMACEN '!F25</f>
        <v>0</v>
      </c>
      <c r="E397" s="93" t="s">
        <v>998</v>
      </c>
      <c r="F397" s="670"/>
      <c r="G397" s="670"/>
      <c r="H397" s="670"/>
      <c r="I397" s="670"/>
      <c r="J397" s="721"/>
      <c r="K397" s="721">
        <f>+J397*D397</f>
        <v>0</v>
      </c>
      <c r="L397" s="89">
        <f>IF(D397&gt;0,1,0)</f>
        <v>0</v>
      </c>
    </row>
    <row r="398" spans="1:12" x14ac:dyDescent="0.2">
      <c r="A398" s="1681" t="str">
        <f>+'5 ALMACEN '!E26</f>
        <v>MASTIL EN X</v>
      </c>
      <c r="B398" s="1681"/>
      <c r="C398" s="102"/>
      <c r="D398" s="542">
        <f>+'5 ALMACEN '!F26</f>
        <v>0</v>
      </c>
      <c r="E398" s="93" t="s">
        <v>998</v>
      </c>
      <c r="F398" s="670"/>
      <c r="G398" s="670"/>
      <c r="H398" s="670"/>
      <c r="I398" s="670"/>
      <c r="J398" s="721"/>
      <c r="K398" s="721">
        <f t="shared" si="34"/>
        <v>0</v>
      </c>
      <c r="L398" s="89">
        <f t="shared" si="35"/>
        <v>0</v>
      </c>
    </row>
    <row r="399" spans="1:12" x14ac:dyDescent="0.2">
      <c r="A399" s="1681" t="str">
        <f>+'5 ALMACEN '!E27</f>
        <v>PORTA CPU RODANTE MEDIA LUNA</v>
      </c>
      <c r="B399" s="1681"/>
      <c r="C399" s="102"/>
      <c r="D399" s="542">
        <f>+'5 ALMACEN '!F27</f>
        <v>0</v>
      </c>
      <c r="E399" s="93" t="s">
        <v>998</v>
      </c>
      <c r="F399" s="670"/>
      <c r="G399" s="670"/>
      <c r="H399" s="670"/>
      <c r="I399" s="670"/>
      <c r="J399" s="721"/>
      <c r="K399" s="721">
        <f t="shared" ref="K399:K407" si="36">+J399*D399</f>
        <v>0</v>
      </c>
      <c r="L399" s="89">
        <f t="shared" ref="L399:L407" si="37">IF(D399&gt;0,1,0)</f>
        <v>0</v>
      </c>
    </row>
    <row r="400" spans="1:12" x14ac:dyDescent="0.2">
      <c r="A400" s="1681" t="str">
        <f>+'5 ALMACEN '!E28</f>
        <v>SOPORTE TECLADO FIJO</v>
      </c>
      <c r="B400" s="1681"/>
      <c r="C400" s="102"/>
      <c r="D400" s="542">
        <f>+'5 ALMACEN '!F28</f>
        <v>0</v>
      </c>
      <c r="E400" s="93" t="s">
        <v>998</v>
      </c>
      <c r="F400" s="670"/>
      <c r="G400" s="670"/>
      <c r="H400" s="670"/>
      <c r="I400" s="670"/>
      <c r="J400" s="721"/>
      <c r="K400" s="721">
        <f>+J400*D400</f>
        <v>0</v>
      </c>
      <c r="L400" s="89">
        <f>IF(D400&gt;0,1,0)</f>
        <v>0</v>
      </c>
    </row>
    <row r="401" spans="1:12" x14ac:dyDescent="0.2">
      <c r="A401" s="1682" t="s">
        <v>83</v>
      </c>
      <c r="B401" s="1682"/>
      <c r="C401" s="1682"/>
      <c r="D401" s="1172">
        <f>SUM(D402:D407)+D41</f>
        <v>0</v>
      </c>
      <c r="E401" s="1015"/>
      <c r="F401" s="681"/>
      <c r="G401" s="681"/>
      <c r="H401" s="681"/>
      <c r="I401" s="681"/>
      <c r="J401" s="725"/>
      <c r="K401" s="725"/>
      <c r="L401" s="89">
        <f>IF(D401&gt;0,1,0)</f>
        <v>0</v>
      </c>
    </row>
    <row r="402" spans="1:12" x14ac:dyDescent="0.2">
      <c r="A402" s="1689" t="str">
        <f>+'5 ALMACEN '!E31</f>
        <v xml:space="preserve">JUEGO DE HERRAJES MET  EN "Z" PARA FALDAS    </v>
      </c>
      <c r="B402" s="1690"/>
      <c r="C402" s="101"/>
      <c r="D402" s="542">
        <f>+'5 ALMACEN '!I31</f>
        <v>0</v>
      </c>
      <c r="E402" s="939" t="s">
        <v>1219</v>
      </c>
      <c r="F402" s="670"/>
      <c r="G402" s="670"/>
      <c r="H402" s="670"/>
      <c r="I402" s="670"/>
      <c r="J402" s="721"/>
      <c r="K402" s="721">
        <f t="shared" si="36"/>
        <v>0</v>
      </c>
      <c r="L402" s="89">
        <f t="shared" si="37"/>
        <v>0</v>
      </c>
    </row>
    <row r="403" spans="1:12" x14ac:dyDescent="0.2">
      <c r="A403" s="1689">
        <f>+'5 ALMACEN '!E32</f>
        <v>0</v>
      </c>
      <c r="B403" s="1690"/>
      <c r="C403" s="101"/>
      <c r="D403" s="542">
        <f>+'5 ALMACEN '!I32</f>
        <v>0</v>
      </c>
      <c r="E403" s="93" t="s">
        <v>998</v>
      </c>
      <c r="F403" s="670"/>
      <c r="G403" s="670"/>
      <c r="H403" s="670"/>
      <c r="I403" s="670"/>
      <c r="J403" s="721"/>
      <c r="K403" s="721">
        <f t="shared" si="36"/>
        <v>0</v>
      </c>
      <c r="L403" s="89">
        <f t="shared" si="37"/>
        <v>0</v>
      </c>
    </row>
    <row r="404" spans="1:12" x14ac:dyDescent="0.2">
      <c r="A404" s="1689">
        <f>+'5 ALMACEN '!E33</f>
        <v>0</v>
      </c>
      <c r="B404" s="1690"/>
      <c r="C404" s="101"/>
      <c r="D404" s="542">
        <f>+'5 ALMACEN '!I33</f>
        <v>0</v>
      </c>
      <c r="E404" s="93" t="s">
        <v>998</v>
      </c>
      <c r="F404" s="670"/>
      <c r="G404" s="670"/>
      <c r="H404" s="670"/>
      <c r="I404" s="670"/>
      <c r="J404" s="721"/>
      <c r="K404" s="721">
        <f t="shared" si="36"/>
        <v>0</v>
      </c>
      <c r="L404" s="89">
        <f t="shared" si="37"/>
        <v>0</v>
      </c>
    </row>
    <row r="405" spans="1:12" x14ac:dyDescent="0.2">
      <c r="A405" s="1689">
        <f>+'5 ALMACEN '!E34</f>
        <v>0</v>
      </c>
      <c r="B405" s="1690"/>
      <c r="C405" s="101"/>
      <c r="D405" s="542">
        <f>+'5 ALMACEN '!I34</f>
        <v>0</v>
      </c>
      <c r="E405" s="93" t="s">
        <v>998</v>
      </c>
      <c r="F405" s="670"/>
      <c r="G405" s="670"/>
      <c r="H405" s="670"/>
      <c r="I405" s="670"/>
      <c r="J405" s="721"/>
      <c r="K405" s="721">
        <f t="shared" si="36"/>
        <v>0</v>
      </c>
      <c r="L405" s="89">
        <f t="shared" si="37"/>
        <v>0</v>
      </c>
    </row>
    <row r="406" spans="1:12" x14ac:dyDescent="0.2">
      <c r="A406" s="1687">
        <f>+'5 ALMACEN '!E35</f>
        <v>0</v>
      </c>
      <c r="B406" s="1695"/>
      <c r="C406" s="101"/>
      <c r="D406" s="542">
        <f>+'5 ALMACEN '!I35</f>
        <v>0</v>
      </c>
      <c r="E406" s="93" t="s">
        <v>998</v>
      </c>
      <c r="F406" s="670"/>
      <c r="G406" s="670"/>
      <c r="H406" s="670"/>
      <c r="I406" s="670"/>
      <c r="J406" s="721"/>
      <c r="K406" s="721">
        <f t="shared" si="36"/>
        <v>0</v>
      </c>
      <c r="L406" s="89">
        <f t="shared" si="37"/>
        <v>0</v>
      </c>
    </row>
    <row r="407" spans="1:12" x14ac:dyDescent="0.2">
      <c r="A407" s="1687">
        <f>+'5 ALMACEN '!E36</f>
        <v>0</v>
      </c>
      <c r="B407" s="1688"/>
      <c r="C407" s="1028"/>
      <c r="D407" s="542">
        <f>+'5 ALMACEN '!I36</f>
        <v>0</v>
      </c>
      <c r="E407" s="93" t="s">
        <v>998</v>
      </c>
      <c r="F407" s="670"/>
      <c r="G407" s="670"/>
      <c r="H407" s="670"/>
      <c r="I407" s="670"/>
      <c r="J407" s="721"/>
      <c r="K407" s="721">
        <f t="shared" si="36"/>
        <v>0</v>
      </c>
      <c r="L407" s="89">
        <f t="shared" si="37"/>
        <v>0</v>
      </c>
    </row>
    <row r="408" spans="1:12" x14ac:dyDescent="0.2">
      <c r="A408" s="400" t="s">
        <v>982</v>
      </c>
      <c r="B408" s="577"/>
      <c r="C408" s="577"/>
      <c r="D408" s="1173">
        <f>SUM(D409:D448)</f>
        <v>0</v>
      </c>
      <c r="E408" s="1012"/>
      <c r="F408" s="574"/>
      <c r="G408" s="574"/>
      <c r="H408" s="574"/>
      <c r="I408" s="574"/>
      <c r="J408" s="722"/>
      <c r="K408" s="722"/>
      <c r="L408" s="89">
        <f>IF(D408&gt;0,1,0)</f>
        <v>0</v>
      </c>
    </row>
    <row r="409" spans="1:12" x14ac:dyDescent="0.2">
      <c r="A409" s="1656">
        <f>+'6 SILLAS-MES-SCAN-'!A6</f>
        <v>0</v>
      </c>
      <c r="B409" s="1658"/>
      <c r="C409" s="690">
        <f>+'6 SILLAS-MES-SCAN-'!I6</f>
        <v>0</v>
      </c>
      <c r="D409" s="542">
        <f>+'6 SILLAS-MES-SCAN-'!H6</f>
        <v>0</v>
      </c>
      <c r="E409" s="93" t="s">
        <v>998</v>
      </c>
      <c r="F409" s="597"/>
      <c r="G409" s="670"/>
      <c r="H409" s="670"/>
      <c r="I409" s="670"/>
      <c r="J409" s="721"/>
      <c r="K409" s="721">
        <f t="shared" ref="K409:K445" si="38">+J409*D409</f>
        <v>0</v>
      </c>
      <c r="L409" s="89">
        <f t="shared" ref="L409:L448" si="39">IF(D409&gt;0,1,0)</f>
        <v>0</v>
      </c>
    </row>
    <row r="410" spans="1:12" x14ac:dyDescent="0.2">
      <c r="A410" s="1656">
        <f>+'6 SILLAS-MES-SCAN-'!A7</f>
        <v>0</v>
      </c>
      <c r="B410" s="1658"/>
      <c r="C410" s="690">
        <f>+'6 SILLAS-MES-SCAN-'!I7</f>
        <v>0</v>
      </c>
      <c r="D410" s="542">
        <f>+'6 SILLAS-MES-SCAN-'!H7</f>
        <v>0</v>
      </c>
      <c r="E410" s="93" t="s">
        <v>998</v>
      </c>
      <c r="F410" s="597"/>
      <c r="G410" s="670"/>
      <c r="H410" s="670"/>
      <c r="I410" s="670"/>
      <c r="J410" s="721"/>
      <c r="K410" s="721">
        <f t="shared" si="38"/>
        <v>0</v>
      </c>
      <c r="L410" s="89">
        <f t="shared" si="39"/>
        <v>0</v>
      </c>
    </row>
    <row r="411" spans="1:12" x14ac:dyDescent="0.2">
      <c r="A411" s="1656">
        <f>+'6 SILLAS-MES-SCAN-'!A8</f>
        <v>0</v>
      </c>
      <c r="B411" s="1658"/>
      <c r="C411" s="690">
        <f>+'6 SILLAS-MES-SCAN-'!I8</f>
        <v>0</v>
      </c>
      <c r="D411" s="542">
        <f>+'6 SILLAS-MES-SCAN-'!H8</f>
        <v>0</v>
      </c>
      <c r="E411" s="93" t="s">
        <v>998</v>
      </c>
      <c r="F411" s="597"/>
      <c r="G411" s="670"/>
      <c r="H411" s="670"/>
      <c r="I411" s="670"/>
      <c r="J411" s="721"/>
      <c r="K411" s="721">
        <f t="shared" si="38"/>
        <v>0</v>
      </c>
      <c r="L411" s="89">
        <f t="shared" si="39"/>
        <v>0</v>
      </c>
    </row>
    <row r="412" spans="1:12" x14ac:dyDescent="0.2">
      <c r="A412" s="1656">
        <f>+'6 SILLAS-MES-SCAN-'!A9</f>
        <v>0</v>
      </c>
      <c r="B412" s="1658"/>
      <c r="C412" s="690">
        <f>+'6 SILLAS-MES-SCAN-'!I9</f>
        <v>0</v>
      </c>
      <c r="D412" s="542">
        <f>+'6 SILLAS-MES-SCAN-'!H9</f>
        <v>0</v>
      </c>
      <c r="E412" s="93" t="s">
        <v>998</v>
      </c>
      <c r="F412" s="597"/>
      <c r="G412" s="670"/>
      <c r="H412" s="670"/>
      <c r="I412" s="670"/>
      <c r="J412" s="721"/>
      <c r="K412" s="721">
        <f t="shared" si="38"/>
        <v>0</v>
      </c>
      <c r="L412" s="89">
        <f t="shared" si="39"/>
        <v>0</v>
      </c>
    </row>
    <row r="413" spans="1:12" x14ac:dyDescent="0.2">
      <c r="A413" s="1656">
        <f>+'6 SILLAS-MES-SCAN-'!A10</f>
        <v>0</v>
      </c>
      <c r="B413" s="1658"/>
      <c r="C413" s="690">
        <f>+'6 SILLAS-MES-SCAN-'!I10</f>
        <v>0</v>
      </c>
      <c r="D413" s="542">
        <f>+'6 SILLAS-MES-SCAN-'!H10</f>
        <v>0</v>
      </c>
      <c r="E413" s="93" t="s">
        <v>998</v>
      </c>
      <c r="F413" s="597"/>
      <c r="G413" s="670"/>
      <c r="H413" s="670"/>
      <c r="I413" s="670"/>
      <c r="J413" s="721"/>
      <c r="K413" s="721">
        <f t="shared" si="38"/>
        <v>0</v>
      </c>
      <c r="L413" s="89">
        <f t="shared" si="39"/>
        <v>0</v>
      </c>
    </row>
    <row r="414" spans="1:12" x14ac:dyDescent="0.2">
      <c r="A414" s="1656">
        <f>+'6 SILLAS-MES-SCAN-'!A11</f>
        <v>0</v>
      </c>
      <c r="B414" s="1658"/>
      <c r="C414" s="690">
        <f>+'6 SILLAS-MES-SCAN-'!I11</f>
        <v>0</v>
      </c>
      <c r="D414" s="542">
        <f>+'6 SILLAS-MES-SCAN-'!H11</f>
        <v>0</v>
      </c>
      <c r="E414" s="93" t="s">
        <v>998</v>
      </c>
      <c r="F414" s="597"/>
      <c r="G414" s="670"/>
      <c r="H414" s="670"/>
      <c r="I414" s="670"/>
      <c r="J414" s="721"/>
      <c r="K414" s="721">
        <f t="shared" si="38"/>
        <v>0</v>
      </c>
      <c r="L414" s="89">
        <f t="shared" si="39"/>
        <v>0</v>
      </c>
    </row>
    <row r="415" spans="1:12" x14ac:dyDescent="0.2">
      <c r="A415" s="1656">
        <f>+'6 SILLAS-MES-SCAN-'!A12</f>
        <v>0</v>
      </c>
      <c r="B415" s="1658"/>
      <c r="C415" s="690">
        <f>+'6 SILLAS-MES-SCAN-'!I12</f>
        <v>0</v>
      </c>
      <c r="D415" s="542">
        <f>+'6 SILLAS-MES-SCAN-'!H12</f>
        <v>0</v>
      </c>
      <c r="E415" s="93" t="s">
        <v>998</v>
      </c>
      <c r="F415" s="597"/>
      <c r="G415" s="670"/>
      <c r="H415" s="670"/>
      <c r="I415" s="670"/>
      <c r="J415" s="721"/>
      <c r="K415" s="721">
        <f t="shared" si="38"/>
        <v>0</v>
      </c>
      <c r="L415" s="89">
        <f t="shared" si="39"/>
        <v>0</v>
      </c>
    </row>
    <row r="416" spans="1:12" x14ac:dyDescent="0.2">
      <c r="A416" s="1656">
        <f>+'6 SILLAS-MES-SCAN-'!A13</f>
        <v>0</v>
      </c>
      <c r="B416" s="1658"/>
      <c r="C416" s="690">
        <f>+'6 SILLAS-MES-SCAN-'!I13</f>
        <v>0</v>
      </c>
      <c r="D416" s="542">
        <f>+'6 SILLAS-MES-SCAN-'!H13</f>
        <v>0</v>
      </c>
      <c r="E416" s="93" t="s">
        <v>998</v>
      </c>
      <c r="F416" s="597"/>
      <c r="G416" s="670"/>
      <c r="H416" s="670"/>
      <c r="I416" s="670"/>
      <c r="J416" s="721"/>
      <c r="K416" s="721">
        <f t="shared" si="38"/>
        <v>0</v>
      </c>
      <c r="L416" s="89">
        <f t="shared" si="39"/>
        <v>0</v>
      </c>
    </row>
    <row r="417" spans="1:12" x14ac:dyDescent="0.2">
      <c r="A417" s="1656">
        <f>+'6 SILLAS-MES-SCAN-'!A14</f>
        <v>0</v>
      </c>
      <c r="B417" s="1658"/>
      <c r="C417" s="690">
        <f>+'6 SILLAS-MES-SCAN-'!I14</f>
        <v>0</v>
      </c>
      <c r="D417" s="542">
        <f>+'6 SILLAS-MES-SCAN-'!H14</f>
        <v>0</v>
      </c>
      <c r="E417" s="93" t="s">
        <v>998</v>
      </c>
      <c r="F417" s="597"/>
      <c r="G417" s="670"/>
      <c r="H417" s="670"/>
      <c r="I417" s="670"/>
      <c r="J417" s="721"/>
      <c r="K417" s="721">
        <f t="shared" si="38"/>
        <v>0</v>
      </c>
      <c r="L417" s="89">
        <f t="shared" si="39"/>
        <v>0</v>
      </c>
    </row>
    <row r="418" spans="1:12" x14ac:dyDescent="0.2">
      <c r="A418" s="1656">
        <f>+'6 SILLAS-MES-SCAN-'!A15</f>
        <v>0</v>
      </c>
      <c r="B418" s="1658"/>
      <c r="C418" s="690">
        <f>+'6 SILLAS-MES-SCAN-'!I15</f>
        <v>0</v>
      </c>
      <c r="D418" s="542">
        <f>+'6 SILLAS-MES-SCAN-'!H15</f>
        <v>0</v>
      </c>
      <c r="E418" s="93" t="s">
        <v>998</v>
      </c>
      <c r="F418" s="597"/>
      <c r="G418" s="670"/>
      <c r="H418" s="670"/>
      <c r="I418" s="670"/>
      <c r="J418" s="721"/>
      <c r="K418" s="721">
        <f t="shared" si="38"/>
        <v>0</v>
      </c>
      <c r="L418" s="89">
        <f t="shared" si="39"/>
        <v>0</v>
      </c>
    </row>
    <row r="419" spans="1:12" x14ac:dyDescent="0.2">
      <c r="A419" s="1656">
        <f>+'6 SILLAS-MES-SCAN-'!A16</f>
        <v>0</v>
      </c>
      <c r="B419" s="1658"/>
      <c r="C419" s="690">
        <f>+'6 SILLAS-MES-SCAN-'!I16</f>
        <v>0</v>
      </c>
      <c r="D419" s="542">
        <f>+'6 SILLAS-MES-SCAN-'!H16</f>
        <v>0</v>
      </c>
      <c r="E419" s="93" t="s">
        <v>998</v>
      </c>
      <c r="F419" s="597"/>
      <c r="G419" s="670"/>
      <c r="H419" s="670"/>
      <c r="I419" s="670"/>
      <c r="J419" s="721"/>
      <c r="K419" s="721">
        <f t="shared" si="38"/>
        <v>0</v>
      </c>
      <c r="L419" s="89">
        <f t="shared" si="39"/>
        <v>0</v>
      </c>
    </row>
    <row r="420" spans="1:12" x14ac:dyDescent="0.2">
      <c r="A420" s="1656">
        <f>+'6 SILLAS-MES-SCAN-'!A17</f>
        <v>0</v>
      </c>
      <c r="B420" s="1658"/>
      <c r="C420" s="690">
        <f>+'6 SILLAS-MES-SCAN-'!I17</f>
        <v>0</v>
      </c>
      <c r="D420" s="542">
        <f>+'6 SILLAS-MES-SCAN-'!H17</f>
        <v>0</v>
      </c>
      <c r="E420" s="93" t="s">
        <v>998</v>
      </c>
      <c r="F420" s="597"/>
      <c r="G420" s="670"/>
      <c r="H420" s="670"/>
      <c r="I420" s="670"/>
      <c r="J420" s="721"/>
      <c r="K420" s="721">
        <f t="shared" si="38"/>
        <v>0</v>
      </c>
      <c r="L420" s="89">
        <f t="shared" si="39"/>
        <v>0</v>
      </c>
    </row>
    <row r="421" spans="1:12" x14ac:dyDescent="0.2">
      <c r="A421" s="1656">
        <f>+'6 SILLAS-MES-SCAN-'!A18</f>
        <v>0</v>
      </c>
      <c r="B421" s="1658"/>
      <c r="C421" s="690">
        <f>+'6 SILLAS-MES-SCAN-'!I18</f>
        <v>0</v>
      </c>
      <c r="D421" s="542">
        <f>+'6 SILLAS-MES-SCAN-'!H18</f>
        <v>0</v>
      </c>
      <c r="E421" s="93" t="s">
        <v>998</v>
      </c>
      <c r="F421" s="597"/>
      <c r="G421" s="670"/>
      <c r="H421" s="670"/>
      <c r="I421" s="670"/>
      <c r="J421" s="721"/>
      <c r="K421" s="721">
        <f t="shared" si="38"/>
        <v>0</v>
      </c>
      <c r="L421" s="89">
        <f t="shared" si="39"/>
        <v>0</v>
      </c>
    </row>
    <row r="422" spans="1:12" x14ac:dyDescent="0.2">
      <c r="A422" s="1656">
        <f>+'6 SILLAS-MES-SCAN-'!A19</f>
        <v>0</v>
      </c>
      <c r="B422" s="1658"/>
      <c r="C422" s="690">
        <f>+'6 SILLAS-MES-SCAN-'!I19</f>
        <v>0</v>
      </c>
      <c r="D422" s="542">
        <f>+'6 SILLAS-MES-SCAN-'!H19</f>
        <v>0</v>
      </c>
      <c r="E422" s="93" t="s">
        <v>998</v>
      </c>
      <c r="F422" s="597"/>
      <c r="G422" s="670"/>
      <c r="H422" s="670"/>
      <c r="I422" s="670"/>
      <c r="J422" s="721"/>
      <c r="K422" s="721">
        <f t="shared" si="38"/>
        <v>0</v>
      </c>
      <c r="L422" s="89">
        <f t="shared" si="39"/>
        <v>0</v>
      </c>
    </row>
    <row r="423" spans="1:12" x14ac:dyDescent="0.2">
      <c r="A423" s="1656">
        <f>+'6 SILLAS-MES-SCAN-'!A20</f>
        <v>0</v>
      </c>
      <c r="B423" s="1658"/>
      <c r="C423" s="690">
        <f>+'6 SILLAS-MES-SCAN-'!I20</f>
        <v>0</v>
      </c>
      <c r="D423" s="542">
        <f>+'6 SILLAS-MES-SCAN-'!H20</f>
        <v>0</v>
      </c>
      <c r="E423" s="93" t="s">
        <v>998</v>
      </c>
      <c r="F423" s="597"/>
      <c r="G423" s="670"/>
      <c r="H423" s="670"/>
      <c r="I423" s="670"/>
      <c r="J423" s="721"/>
      <c r="K423" s="721">
        <f t="shared" si="38"/>
        <v>0</v>
      </c>
      <c r="L423" s="89">
        <f t="shared" si="39"/>
        <v>0</v>
      </c>
    </row>
    <row r="424" spans="1:12" x14ac:dyDescent="0.2">
      <c r="A424" s="1656">
        <f>+'6 SILLAS-MES-SCAN-'!A21</f>
        <v>0</v>
      </c>
      <c r="B424" s="1658"/>
      <c r="C424" s="690">
        <f>+'6 SILLAS-MES-SCAN-'!I21</f>
        <v>0</v>
      </c>
      <c r="D424" s="542">
        <f>+'6 SILLAS-MES-SCAN-'!H21</f>
        <v>0</v>
      </c>
      <c r="E424" s="93" t="s">
        <v>998</v>
      </c>
      <c r="F424" s="597"/>
      <c r="G424" s="670"/>
      <c r="H424" s="670"/>
      <c r="I424" s="670"/>
      <c r="J424" s="721"/>
      <c r="K424" s="721">
        <f t="shared" si="38"/>
        <v>0</v>
      </c>
      <c r="L424" s="89">
        <f t="shared" si="39"/>
        <v>0</v>
      </c>
    </row>
    <row r="425" spans="1:12" x14ac:dyDescent="0.2">
      <c r="A425" s="1656">
        <f>+'6 SILLAS-MES-SCAN-'!A22</f>
        <v>0</v>
      </c>
      <c r="B425" s="1658"/>
      <c r="C425" s="690">
        <f>+'6 SILLAS-MES-SCAN-'!I22</f>
        <v>0</v>
      </c>
      <c r="D425" s="542">
        <f>+'6 SILLAS-MES-SCAN-'!H22</f>
        <v>0</v>
      </c>
      <c r="E425" s="93" t="s">
        <v>998</v>
      </c>
      <c r="F425" s="597"/>
      <c r="G425" s="670"/>
      <c r="H425" s="670"/>
      <c r="I425" s="670"/>
      <c r="J425" s="721"/>
      <c r="K425" s="721">
        <f t="shared" si="38"/>
        <v>0</v>
      </c>
      <c r="L425" s="89">
        <f t="shared" si="39"/>
        <v>0</v>
      </c>
    </row>
    <row r="426" spans="1:12" x14ac:dyDescent="0.2">
      <c r="A426" s="1656">
        <f>+'6 SILLAS-MES-SCAN-'!A23</f>
        <v>0</v>
      </c>
      <c r="B426" s="1658"/>
      <c r="C426" s="690">
        <f>+'6 SILLAS-MES-SCAN-'!I23</f>
        <v>0</v>
      </c>
      <c r="D426" s="542">
        <f>+'6 SILLAS-MES-SCAN-'!H23</f>
        <v>0</v>
      </c>
      <c r="E426" s="93" t="s">
        <v>998</v>
      </c>
      <c r="F426" s="597"/>
      <c r="G426" s="670"/>
      <c r="H426" s="670"/>
      <c r="I426" s="670"/>
      <c r="J426" s="721"/>
      <c r="K426" s="721">
        <f t="shared" si="38"/>
        <v>0</v>
      </c>
      <c r="L426" s="89">
        <f t="shared" si="39"/>
        <v>0</v>
      </c>
    </row>
    <row r="427" spans="1:12" x14ac:dyDescent="0.2">
      <c r="A427" s="1656">
        <f>+'6 SILLAS-MES-SCAN-'!A24</f>
        <v>0</v>
      </c>
      <c r="B427" s="1658"/>
      <c r="C427" s="690">
        <f>+'6 SILLAS-MES-SCAN-'!I24</f>
        <v>0</v>
      </c>
      <c r="D427" s="542">
        <f>+'6 SILLAS-MES-SCAN-'!H24</f>
        <v>0</v>
      </c>
      <c r="E427" s="93" t="s">
        <v>998</v>
      </c>
      <c r="F427" s="597"/>
      <c r="G427" s="670"/>
      <c r="H427" s="670"/>
      <c r="I427" s="670"/>
      <c r="J427" s="721"/>
      <c r="K427" s="721">
        <f t="shared" si="38"/>
        <v>0</v>
      </c>
      <c r="L427" s="89">
        <f t="shared" si="39"/>
        <v>0</v>
      </c>
    </row>
    <row r="428" spans="1:12" x14ac:dyDescent="0.2">
      <c r="A428" s="1656">
        <f>+'6 SILLAS-MES-SCAN-'!A25</f>
        <v>0</v>
      </c>
      <c r="B428" s="1658"/>
      <c r="C428" s="690">
        <f>+'6 SILLAS-MES-SCAN-'!I25</f>
        <v>0</v>
      </c>
      <c r="D428" s="542">
        <f>+'6 SILLAS-MES-SCAN-'!H25</f>
        <v>0</v>
      </c>
      <c r="E428" s="93" t="s">
        <v>998</v>
      </c>
      <c r="F428" s="597"/>
      <c r="G428" s="670"/>
      <c r="H428" s="670"/>
      <c r="I428" s="670"/>
      <c r="J428" s="721"/>
      <c r="K428" s="721">
        <f t="shared" si="38"/>
        <v>0</v>
      </c>
      <c r="L428" s="89">
        <f t="shared" si="39"/>
        <v>0</v>
      </c>
    </row>
    <row r="429" spans="1:12" x14ac:dyDescent="0.2">
      <c r="A429" s="1656">
        <f>+'6 SILLAS-MES-SCAN-'!A26</f>
        <v>0</v>
      </c>
      <c r="B429" s="1658"/>
      <c r="C429" s="690">
        <f>+'6 SILLAS-MES-SCAN-'!I26</f>
        <v>0</v>
      </c>
      <c r="D429" s="542">
        <f>+'6 SILLAS-MES-SCAN-'!H26</f>
        <v>0</v>
      </c>
      <c r="E429" s="93" t="s">
        <v>998</v>
      </c>
      <c r="F429" s="597"/>
      <c r="G429" s="670"/>
      <c r="H429" s="670"/>
      <c r="I429" s="670"/>
      <c r="J429" s="721"/>
      <c r="K429" s="721">
        <f t="shared" si="38"/>
        <v>0</v>
      </c>
      <c r="L429" s="89">
        <f t="shared" si="39"/>
        <v>0</v>
      </c>
    </row>
    <row r="430" spans="1:12" x14ac:dyDescent="0.2">
      <c r="A430" s="1656">
        <f>+'6 SILLAS-MES-SCAN-'!A27</f>
        <v>0</v>
      </c>
      <c r="B430" s="1658"/>
      <c r="C430" s="690">
        <f>+'6 SILLAS-MES-SCAN-'!I27</f>
        <v>0</v>
      </c>
      <c r="D430" s="542">
        <f>+'6 SILLAS-MES-SCAN-'!H27</f>
        <v>0</v>
      </c>
      <c r="E430" s="93" t="s">
        <v>998</v>
      </c>
      <c r="F430" s="597"/>
      <c r="G430" s="670"/>
      <c r="H430" s="670"/>
      <c r="I430" s="670"/>
      <c r="J430" s="721"/>
      <c r="K430" s="721">
        <f t="shared" si="38"/>
        <v>0</v>
      </c>
      <c r="L430" s="89">
        <f t="shared" si="39"/>
        <v>0</v>
      </c>
    </row>
    <row r="431" spans="1:12" x14ac:dyDescent="0.2">
      <c r="A431" s="1656">
        <f>+'6 SILLAS-MES-SCAN-'!A28</f>
        <v>0</v>
      </c>
      <c r="B431" s="1658"/>
      <c r="C431" s="690">
        <f>+'6 SILLAS-MES-SCAN-'!I28</f>
        <v>0</v>
      </c>
      <c r="D431" s="542">
        <f>+'6 SILLAS-MES-SCAN-'!H28</f>
        <v>0</v>
      </c>
      <c r="E431" s="93" t="s">
        <v>998</v>
      </c>
      <c r="F431" s="597"/>
      <c r="G431" s="670"/>
      <c r="H431" s="670"/>
      <c r="I431" s="670"/>
      <c r="J431" s="721"/>
      <c r="K431" s="721">
        <f t="shared" si="38"/>
        <v>0</v>
      </c>
      <c r="L431" s="89">
        <f t="shared" si="39"/>
        <v>0</v>
      </c>
    </row>
    <row r="432" spans="1:12" x14ac:dyDescent="0.2">
      <c r="A432" s="1656">
        <f>+'6 SILLAS-MES-SCAN-'!A29</f>
        <v>0</v>
      </c>
      <c r="B432" s="1658"/>
      <c r="C432" s="690">
        <f>+'6 SILLAS-MES-SCAN-'!I29</f>
        <v>0</v>
      </c>
      <c r="D432" s="542">
        <f>+'6 SILLAS-MES-SCAN-'!H29</f>
        <v>0</v>
      </c>
      <c r="E432" s="93" t="s">
        <v>998</v>
      </c>
      <c r="F432" s="597"/>
      <c r="G432" s="670"/>
      <c r="H432" s="670"/>
      <c r="I432" s="670"/>
      <c r="J432" s="721"/>
      <c r="K432" s="721">
        <f t="shared" si="38"/>
        <v>0</v>
      </c>
      <c r="L432" s="89">
        <f t="shared" si="39"/>
        <v>0</v>
      </c>
    </row>
    <row r="433" spans="1:12" x14ac:dyDescent="0.2">
      <c r="A433" s="1656">
        <f>+'6 SILLAS-MES-SCAN-'!A30</f>
        <v>0</v>
      </c>
      <c r="B433" s="1658"/>
      <c r="C433" s="690">
        <f>+'6 SILLAS-MES-SCAN-'!I30</f>
        <v>0</v>
      </c>
      <c r="D433" s="542">
        <f>+'6 SILLAS-MES-SCAN-'!H30</f>
        <v>0</v>
      </c>
      <c r="E433" s="93" t="s">
        <v>998</v>
      </c>
      <c r="F433" s="597"/>
      <c r="G433" s="670"/>
      <c r="H433" s="670"/>
      <c r="I433" s="670"/>
      <c r="J433" s="721"/>
      <c r="K433" s="721">
        <f t="shared" si="38"/>
        <v>0</v>
      </c>
      <c r="L433" s="89">
        <f t="shared" si="39"/>
        <v>0</v>
      </c>
    </row>
    <row r="434" spans="1:12" x14ac:dyDescent="0.2">
      <c r="A434" s="1656">
        <f>+'6 SILLAS-MES-SCAN-'!A31</f>
        <v>0</v>
      </c>
      <c r="B434" s="1658"/>
      <c r="C434" s="690">
        <f>+'6 SILLAS-MES-SCAN-'!I31</f>
        <v>0</v>
      </c>
      <c r="D434" s="542">
        <f>+'6 SILLAS-MES-SCAN-'!H31</f>
        <v>0</v>
      </c>
      <c r="E434" s="93" t="s">
        <v>998</v>
      </c>
      <c r="F434" s="597"/>
      <c r="G434" s="670"/>
      <c r="H434" s="670"/>
      <c r="I434" s="670"/>
      <c r="J434" s="721"/>
      <c r="K434" s="721">
        <f t="shared" si="38"/>
        <v>0</v>
      </c>
      <c r="L434" s="89">
        <f t="shared" si="39"/>
        <v>0</v>
      </c>
    </row>
    <row r="435" spans="1:12" x14ac:dyDescent="0.2">
      <c r="A435" s="1656">
        <f>+'6 SILLAS-MES-SCAN-'!A32</f>
        <v>0</v>
      </c>
      <c r="B435" s="1658"/>
      <c r="C435" s="690">
        <f>+'6 SILLAS-MES-SCAN-'!I32</f>
        <v>0</v>
      </c>
      <c r="D435" s="542">
        <f>+'6 SILLAS-MES-SCAN-'!H32</f>
        <v>0</v>
      </c>
      <c r="E435" s="93" t="s">
        <v>998</v>
      </c>
      <c r="F435" s="597"/>
      <c r="G435" s="670"/>
      <c r="H435" s="670"/>
      <c r="I435" s="670"/>
      <c r="J435" s="721"/>
      <c r="K435" s="721">
        <f t="shared" si="38"/>
        <v>0</v>
      </c>
      <c r="L435" s="89">
        <f t="shared" si="39"/>
        <v>0</v>
      </c>
    </row>
    <row r="436" spans="1:12" x14ac:dyDescent="0.2">
      <c r="A436" s="1656">
        <f>+'6 SILLAS-MES-SCAN-'!A33</f>
        <v>0</v>
      </c>
      <c r="B436" s="1658"/>
      <c r="C436" s="690">
        <f>+'6 SILLAS-MES-SCAN-'!I33</f>
        <v>0</v>
      </c>
      <c r="D436" s="542">
        <f>+'6 SILLAS-MES-SCAN-'!H33</f>
        <v>0</v>
      </c>
      <c r="E436" s="93" t="s">
        <v>998</v>
      </c>
      <c r="F436" s="597"/>
      <c r="G436" s="670"/>
      <c r="H436" s="670"/>
      <c r="I436" s="670"/>
      <c r="J436" s="721"/>
      <c r="K436" s="721"/>
      <c r="L436" s="89">
        <f t="shared" si="39"/>
        <v>0</v>
      </c>
    </row>
    <row r="437" spans="1:12" x14ac:dyDescent="0.2">
      <c r="A437" s="1656">
        <f>+'6 SILLAS-MES-SCAN-'!A34</f>
        <v>0</v>
      </c>
      <c r="B437" s="1658"/>
      <c r="C437" s="690">
        <f>+'6 SILLAS-MES-SCAN-'!I34</f>
        <v>0</v>
      </c>
      <c r="D437" s="542">
        <f>+'6 SILLAS-MES-SCAN-'!H34</f>
        <v>0</v>
      </c>
      <c r="E437" s="93" t="s">
        <v>998</v>
      </c>
      <c r="F437" s="597"/>
      <c r="G437" s="670"/>
      <c r="H437" s="670"/>
      <c r="I437" s="670"/>
      <c r="J437" s="721"/>
      <c r="K437" s="721"/>
      <c r="L437" s="89">
        <f t="shared" si="39"/>
        <v>0</v>
      </c>
    </row>
    <row r="438" spans="1:12" x14ac:dyDescent="0.2">
      <c r="A438" s="1656">
        <f>+'6 SILLAS-MES-SCAN-'!A35</f>
        <v>0</v>
      </c>
      <c r="B438" s="1658"/>
      <c r="C438" s="690">
        <f>+'6 SILLAS-MES-SCAN-'!I35</f>
        <v>0</v>
      </c>
      <c r="D438" s="542">
        <f>+'6 SILLAS-MES-SCAN-'!H35</f>
        <v>0</v>
      </c>
      <c r="E438" s="93" t="s">
        <v>998</v>
      </c>
      <c r="F438" s="597"/>
      <c r="G438" s="670"/>
      <c r="H438" s="670"/>
      <c r="I438" s="670"/>
      <c r="J438" s="721"/>
      <c r="K438" s="721"/>
      <c r="L438" s="89">
        <f t="shared" si="39"/>
        <v>0</v>
      </c>
    </row>
    <row r="439" spans="1:12" x14ac:dyDescent="0.2">
      <c r="A439" s="1656">
        <f>+'6 SILLAS-MES-SCAN-'!A36</f>
        <v>0</v>
      </c>
      <c r="B439" s="1658"/>
      <c r="C439" s="690">
        <f>+'6 SILLAS-MES-SCAN-'!I36</f>
        <v>0</v>
      </c>
      <c r="D439" s="542">
        <f>+'6 SILLAS-MES-SCAN-'!H36</f>
        <v>0</v>
      </c>
      <c r="E439" s="93" t="s">
        <v>998</v>
      </c>
      <c r="F439" s="597"/>
      <c r="G439" s="670"/>
      <c r="H439" s="670"/>
      <c r="I439" s="670"/>
      <c r="J439" s="721"/>
      <c r="K439" s="721"/>
      <c r="L439" s="89">
        <f t="shared" si="39"/>
        <v>0</v>
      </c>
    </row>
    <row r="440" spans="1:12" x14ac:dyDescent="0.2">
      <c r="A440" s="1656">
        <f>+'6 SILLAS-MES-SCAN-'!A37</f>
        <v>0</v>
      </c>
      <c r="B440" s="1658"/>
      <c r="C440" s="690">
        <f>+'6 SILLAS-MES-SCAN-'!I37</f>
        <v>0</v>
      </c>
      <c r="D440" s="542">
        <f>+'6 SILLAS-MES-SCAN-'!H37</f>
        <v>0</v>
      </c>
      <c r="E440" s="93" t="s">
        <v>998</v>
      </c>
      <c r="F440" s="597"/>
      <c r="G440" s="670"/>
      <c r="H440" s="670"/>
      <c r="I440" s="670"/>
      <c r="J440" s="721"/>
      <c r="K440" s="721"/>
      <c r="L440" s="89">
        <f t="shared" si="39"/>
        <v>0</v>
      </c>
    </row>
    <row r="441" spans="1:12" x14ac:dyDescent="0.2">
      <c r="A441" s="1656">
        <f>+'6 SILLAS-MES-SCAN-'!A38</f>
        <v>0</v>
      </c>
      <c r="B441" s="1658"/>
      <c r="C441" s="690">
        <f>+'6 SILLAS-MES-SCAN-'!I38</f>
        <v>0</v>
      </c>
      <c r="D441" s="542">
        <f>+'6 SILLAS-MES-SCAN-'!H38</f>
        <v>0</v>
      </c>
      <c r="E441" s="93" t="s">
        <v>998</v>
      </c>
      <c r="F441" s="597"/>
      <c r="G441" s="670"/>
      <c r="H441" s="670"/>
      <c r="I441" s="670"/>
      <c r="J441" s="721"/>
      <c r="K441" s="721"/>
      <c r="L441" s="89">
        <f t="shared" si="39"/>
        <v>0</v>
      </c>
    </row>
    <row r="442" spans="1:12" x14ac:dyDescent="0.2">
      <c r="A442" s="1656">
        <f>+'6 SILLAS-MES-SCAN-'!A39</f>
        <v>0</v>
      </c>
      <c r="B442" s="1658"/>
      <c r="C442" s="690">
        <f>+'6 SILLAS-MES-SCAN-'!I39</f>
        <v>0</v>
      </c>
      <c r="D442" s="542">
        <f>+'6 SILLAS-MES-SCAN-'!H39</f>
        <v>0</v>
      </c>
      <c r="E442" s="93" t="s">
        <v>998</v>
      </c>
      <c r="F442" s="597"/>
      <c r="G442" s="670"/>
      <c r="H442" s="670"/>
      <c r="I442" s="670"/>
      <c r="J442" s="721"/>
      <c r="K442" s="721"/>
      <c r="L442" s="89">
        <f t="shared" si="39"/>
        <v>0</v>
      </c>
    </row>
    <row r="443" spans="1:12" x14ac:dyDescent="0.2">
      <c r="A443" s="1656">
        <f>+'6 SILLAS-MES-SCAN-'!A40</f>
        <v>0</v>
      </c>
      <c r="B443" s="1658"/>
      <c r="C443" s="690">
        <f>+'6 SILLAS-MES-SCAN-'!I40</f>
        <v>0</v>
      </c>
      <c r="D443" s="542">
        <f>+'6 SILLAS-MES-SCAN-'!H40</f>
        <v>0</v>
      </c>
      <c r="E443" s="93" t="s">
        <v>998</v>
      </c>
      <c r="F443" s="597"/>
      <c r="G443" s="670"/>
      <c r="H443" s="670"/>
      <c r="I443" s="670"/>
      <c r="J443" s="721"/>
      <c r="K443" s="721">
        <f t="shared" si="38"/>
        <v>0</v>
      </c>
      <c r="L443" s="89">
        <f t="shared" si="39"/>
        <v>0</v>
      </c>
    </row>
    <row r="444" spans="1:12" x14ac:dyDescent="0.2">
      <c r="A444" s="1656">
        <f>+'6 SILLAS-MES-SCAN-'!A41</f>
        <v>0</v>
      </c>
      <c r="B444" s="1658"/>
      <c r="C444" s="690">
        <f>+'6 SILLAS-MES-SCAN-'!I41</f>
        <v>0</v>
      </c>
      <c r="D444" s="542">
        <f>+'6 SILLAS-MES-SCAN-'!H41</f>
        <v>0</v>
      </c>
      <c r="E444" s="93" t="s">
        <v>998</v>
      </c>
      <c r="F444" s="597"/>
      <c r="G444" s="670"/>
      <c r="H444" s="670"/>
      <c r="I444" s="670"/>
      <c r="J444" s="721"/>
      <c r="K444" s="721">
        <f t="shared" si="38"/>
        <v>0</v>
      </c>
      <c r="L444" s="89">
        <f t="shared" si="39"/>
        <v>0</v>
      </c>
    </row>
    <row r="445" spans="1:12" x14ac:dyDescent="0.2">
      <c r="A445" s="1656">
        <f>+'6 SILLAS-MES-SCAN-'!A42</f>
        <v>0</v>
      </c>
      <c r="B445" s="1658"/>
      <c r="C445" s="690">
        <f>+'6 SILLAS-MES-SCAN-'!I42</f>
        <v>0</v>
      </c>
      <c r="D445" s="542">
        <f>+'6 SILLAS-MES-SCAN-'!H42</f>
        <v>0</v>
      </c>
      <c r="E445" s="93" t="s">
        <v>998</v>
      </c>
      <c r="F445" s="597"/>
      <c r="G445" s="670"/>
      <c r="H445" s="670"/>
      <c r="I445" s="670"/>
      <c r="J445" s="721"/>
      <c r="K445" s="721">
        <f t="shared" si="38"/>
        <v>0</v>
      </c>
      <c r="L445" s="89">
        <f t="shared" si="39"/>
        <v>0</v>
      </c>
    </row>
    <row r="446" spans="1:12" x14ac:dyDescent="0.2">
      <c r="A446" s="1656">
        <f>+'6 SILLAS-MES-SCAN-'!A43</f>
        <v>0</v>
      </c>
      <c r="B446" s="1658"/>
      <c r="C446" s="690">
        <f>+'6 SILLAS-MES-SCAN-'!I43</f>
        <v>0</v>
      </c>
      <c r="D446" s="542">
        <f>+'6 SILLAS-MES-SCAN-'!H43</f>
        <v>0</v>
      </c>
      <c r="E446" s="93" t="s">
        <v>998</v>
      </c>
      <c r="F446" s="597"/>
      <c r="G446" s="670"/>
      <c r="H446" s="670"/>
      <c r="I446" s="670"/>
      <c r="J446" s="721"/>
      <c r="K446" s="721">
        <f>+J446*D446</f>
        <v>0</v>
      </c>
      <c r="L446" s="89">
        <f t="shared" si="39"/>
        <v>0</v>
      </c>
    </row>
    <row r="447" spans="1:12" x14ac:dyDescent="0.2">
      <c r="A447" s="1656">
        <f>+'6 SILLAS-MES-SCAN-'!A44</f>
        <v>0</v>
      </c>
      <c r="B447" s="1658"/>
      <c r="C447" s="690">
        <f>+'6 SILLAS-MES-SCAN-'!I44</f>
        <v>0</v>
      </c>
      <c r="D447" s="542">
        <f>+'6 SILLAS-MES-SCAN-'!H44</f>
        <v>0</v>
      </c>
      <c r="E447" s="93" t="s">
        <v>998</v>
      </c>
      <c r="F447" s="597"/>
      <c r="G447" s="670"/>
      <c r="H447" s="670"/>
      <c r="I447" s="670"/>
      <c r="J447" s="721"/>
      <c r="K447" s="721">
        <f>+J447*D447</f>
        <v>0</v>
      </c>
      <c r="L447" s="89">
        <f t="shared" si="39"/>
        <v>0</v>
      </c>
    </row>
    <row r="448" spans="1:12" x14ac:dyDescent="0.2">
      <c r="A448" s="1656">
        <f>+'6 SILLAS-MES-SCAN-'!A45</f>
        <v>0</v>
      </c>
      <c r="B448" s="1658"/>
      <c r="C448" s="690">
        <f>+'6 SILLAS-MES-SCAN-'!I45</f>
        <v>0</v>
      </c>
      <c r="D448" s="542">
        <f>+'6 SILLAS-MES-SCAN-'!H45</f>
        <v>0</v>
      </c>
      <c r="E448" s="93" t="s">
        <v>998</v>
      </c>
      <c r="F448" s="597"/>
      <c r="G448" s="670"/>
      <c r="H448" s="670"/>
      <c r="I448" s="670"/>
      <c r="J448" s="721"/>
      <c r="K448" s="721">
        <f>+J448*D448</f>
        <v>0</v>
      </c>
      <c r="L448" s="89">
        <f t="shared" si="39"/>
        <v>0</v>
      </c>
    </row>
    <row r="449" spans="1:12" x14ac:dyDescent="0.2">
      <c r="A449" s="1237"/>
      <c r="B449" s="1252"/>
      <c r="C449" s="1238"/>
      <c r="D449" s="749"/>
      <c r="E449" s="576"/>
      <c r="F449" s="574"/>
      <c r="G449" s="673"/>
      <c r="H449" s="673"/>
      <c r="I449" s="673"/>
      <c r="J449" s="722"/>
      <c r="K449" s="722"/>
      <c r="L449" s="89"/>
    </row>
    <row r="450" spans="1:12" ht="15.75" x14ac:dyDescent="0.25">
      <c r="A450" s="84"/>
      <c r="B450" s="85"/>
      <c r="C450" s="104" t="s">
        <v>393</v>
      </c>
      <c r="D450" s="1175"/>
      <c r="E450" s="85"/>
      <c r="F450" s="104"/>
      <c r="G450" s="104"/>
      <c r="H450" s="104"/>
      <c r="I450" s="104"/>
      <c r="J450" s="104"/>
      <c r="K450" s="748">
        <f>SUM(K16:K445)</f>
        <v>0</v>
      </c>
      <c r="L450" s="87">
        <v>1</v>
      </c>
    </row>
    <row r="451" spans="1:12" x14ac:dyDescent="0.2">
      <c r="A451" s="409" t="s">
        <v>11</v>
      </c>
      <c r="D451" s="1176">
        <f>SUM(L452:L472)</f>
        <v>0</v>
      </c>
      <c r="F451" s="414"/>
      <c r="G451" s="414"/>
      <c r="H451" s="414"/>
      <c r="I451" s="414"/>
      <c r="J451" s="414"/>
      <c r="K451" s="414"/>
      <c r="L451" s="89">
        <f>IF(D451&gt;0,1,0)</f>
        <v>0</v>
      </c>
    </row>
    <row r="452" spans="1:12" x14ac:dyDescent="0.2">
      <c r="A452" s="7">
        <f>+'5 ALMACEN '!W9</f>
        <v>0</v>
      </c>
      <c r="D452" s="1176">
        <f>IF(A452&gt;0,1,0)</f>
        <v>0</v>
      </c>
      <c r="F452" s="414"/>
      <c r="G452" s="414"/>
      <c r="H452" s="414"/>
      <c r="I452" s="414"/>
      <c r="J452" s="414"/>
      <c r="K452" s="414"/>
      <c r="L452" s="89">
        <f>IF(D452&gt;0,1,0)</f>
        <v>0</v>
      </c>
    </row>
    <row r="453" spans="1:12" x14ac:dyDescent="0.2">
      <c r="A453" s="7">
        <f>+'5 ALMACEN '!W10</f>
        <v>0</v>
      </c>
      <c r="D453" s="1176">
        <f t="shared" ref="D453:D473" si="40">IF(A453&gt;0,1,0)</f>
        <v>0</v>
      </c>
      <c r="F453" s="414"/>
      <c r="G453" s="414"/>
      <c r="H453" s="414"/>
      <c r="I453" s="414"/>
      <c r="J453" s="414"/>
      <c r="K453" s="414"/>
      <c r="L453" s="89">
        <f t="shared" ref="L453:L473" si="41">IF(D453&gt;0,1,0)</f>
        <v>0</v>
      </c>
    </row>
    <row r="454" spans="1:12" x14ac:dyDescent="0.2">
      <c r="A454" s="7">
        <f>+'5 ALMACEN '!W11</f>
        <v>0</v>
      </c>
      <c r="D454" s="1176">
        <f t="shared" si="40"/>
        <v>0</v>
      </c>
      <c r="F454" s="414"/>
      <c r="G454" s="414"/>
      <c r="H454" s="414"/>
      <c r="I454" s="414"/>
      <c r="J454" s="414"/>
      <c r="K454" s="414"/>
      <c r="L454" s="89">
        <f t="shared" si="41"/>
        <v>0</v>
      </c>
    </row>
    <row r="455" spans="1:12" x14ac:dyDescent="0.2">
      <c r="A455" s="7">
        <f>+'5 ALMACEN '!W12</f>
        <v>0</v>
      </c>
      <c r="D455" s="1176">
        <f t="shared" si="40"/>
        <v>0</v>
      </c>
      <c r="F455" s="414"/>
      <c r="G455" s="414"/>
      <c r="H455" s="414"/>
      <c r="I455" s="414"/>
      <c r="J455" s="414"/>
      <c r="K455" s="414"/>
      <c r="L455" s="89">
        <f t="shared" si="41"/>
        <v>0</v>
      </c>
    </row>
    <row r="456" spans="1:12" x14ac:dyDescent="0.2">
      <c r="A456" s="7">
        <f>+'5 ALMACEN '!W13</f>
        <v>0</v>
      </c>
      <c r="D456" s="1176">
        <f t="shared" si="40"/>
        <v>0</v>
      </c>
      <c r="F456" s="414"/>
      <c r="G456" s="414"/>
      <c r="H456" s="414"/>
      <c r="I456" s="414"/>
      <c r="J456" s="414"/>
      <c r="K456" s="414"/>
      <c r="L456" s="89">
        <f t="shared" si="41"/>
        <v>0</v>
      </c>
    </row>
    <row r="457" spans="1:12" x14ac:dyDescent="0.2">
      <c r="A457" s="7">
        <f>+'5 ALMACEN '!W14</f>
        <v>0</v>
      </c>
      <c r="D457" s="1176">
        <f t="shared" si="40"/>
        <v>0</v>
      </c>
      <c r="F457" s="414"/>
      <c r="G457" s="414"/>
      <c r="H457" s="414"/>
      <c r="I457" s="414"/>
      <c r="J457" s="414"/>
      <c r="K457" s="414"/>
      <c r="L457" s="89">
        <f t="shared" si="41"/>
        <v>0</v>
      </c>
    </row>
    <row r="458" spans="1:12" x14ac:dyDescent="0.2">
      <c r="A458" s="7">
        <f>+'5 ALMACEN '!W15</f>
        <v>0</v>
      </c>
      <c r="D458" s="1176">
        <f t="shared" si="40"/>
        <v>0</v>
      </c>
      <c r="F458" s="414"/>
      <c r="G458" s="414"/>
      <c r="H458" s="414"/>
      <c r="I458" s="414"/>
      <c r="J458" s="414"/>
      <c r="K458" s="414"/>
      <c r="L458" s="89">
        <f t="shared" si="41"/>
        <v>0</v>
      </c>
    </row>
    <row r="459" spans="1:12" x14ac:dyDescent="0.2">
      <c r="A459" s="7">
        <f>+'5 ALMACEN '!W16</f>
        <v>0</v>
      </c>
      <c r="D459" s="1176">
        <f t="shared" si="40"/>
        <v>0</v>
      </c>
      <c r="F459" s="414"/>
      <c r="G459" s="414"/>
      <c r="H459" s="414"/>
      <c r="I459" s="414"/>
      <c r="J459" s="414"/>
      <c r="K459" s="414"/>
      <c r="L459" s="89">
        <f t="shared" si="41"/>
        <v>0</v>
      </c>
    </row>
    <row r="460" spans="1:12" x14ac:dyDescent="0.2">
      <c r="A460" s="7">
        <f>+'5 ALMACEN '!W17</f>
        <v>0</v>
      </c>
      <c r="D460" s="1176">
        <f t="shared" si="40"/>
        <v>0</v>
      </c>
      <c r="F460" s="414"/>
      <c r="G460" s="414"/>
      <c r="H460" s="414"/>
      <c r="I460" s="414"/>
      <c r="J460" s="414"/>
      <c r="K460" s="414"/>
      <c r="L460" s="89">
        <f t="shared" si="41"/>
        <v>0</v>
      </c>
    </row>
    <row r="461" spans="1:12" x14ac:dyDescent="0.2">
      <c r="A461" s="7">
        <f>+'5 ALMACEN '!W18</f>
        <v>0</v>
      </c>
      <c r="D461" s="1176">
        <f t="shared" si="40"/>
        <v>0</v>
      </c>
      <c r="F461" s="414"/>
      <c r="G461" s="414"/>
      <c r="H461" s="414"/>
      <c r="I461" s="414"/>
      <c r="J461" s="414"/>
      <c r="K461" s="414"/>
      <c r="L461" s="89">
        <f t="shared" si="41"/>
        <v>0</v>
      </c>
    </row>
    <row r="462" spans="1:12" x14ac:dyDescent="0.2">
      <c r="A462" s="7">
        <f>+'5 ALMACEN '!W19</f>
        <v>0</v>
      </c>
      <c r="D462" s="1176">
        <f t="shared" si="40"/>
        <v>0</v>
      </c>
      <c r="F462" s="414"/>
      <c r="G462" s="414"/>
      <c r="H462" s="414"/>
      <c r="I462" s="414"/>
      <c r="J462" s="414"/>
      <c r="K462" s="414"/>
      <c r="L462" s="89">
        <f t="shared" si="41"/>
        <v>0</v>
      </c>
    </row>
    <row r="463" spans="1:12" x14ac:dyDescent="0.2">
      <c r="A463" s="7">
        <f>+'5 ALMACEN '!W20</f>
        <v>0</v>
      </c>
      <c r="D463" s="1176">
        <f t="shared" si="40"/>
        <v>0</v>
      </c>
      <c r="F463" s="414"/>
      <c r="G463" s="414"/>
      <c r="H463" s="414"/>
      <c r="I463" s="414"/>
      <c r="J463" s="414"/>
      <c r="K463" s="414"/>
      <c r="L463" s="89">
        <f t="shared" si="41"/>
        <v>0</v>
      </c>
    </row>
    <row r="464" spans="1:12" x14ac:dyDescent="0.2">
      <c r="A464" s="7">
        <f>+'5 ALMACEN '!W21</f>
        <v>0</v>
      </c>
      <c r="D464" s="1176">
        <f t="shared" si="40"/>
        <v>0</v>
      </c>
      <c r="F464" s="414"/>
      <c r="G464" s="414"/>
      <c r="H464" s="414"/>
      <c r="I464" s="414"/>
      <c r="J464" s="414"/>
      <c r="K464" s="414"/>
      <c r="L464" s="89">
        <f t="shared" si="41"/>
        <v>0</v>
      </c>
    </row>
    <row r="465" spans="1:12" x14ac:dyDescent="0.2">
      <c r="A465" s="7">
        <f>+'5 ALMACEN '!W22</f>
        <v>0</v>
      </c>
      <c r="D465" s="1176">
        <f t="shared" si="40"/>
        <v>0</v>
      </c>
      <c r="F465" s="414"/>
      <c r="G465" s="414"/>
      <c r="H465" s="414"/>
      <c r="I465" s="414"/>
      <c r="J465" s="414"/>
      <c r="K465" s="414"/>
      <c r="L465" s="89">
        <f t="shared" si="41"/>
        <v>0</v>
      </c>
    </row>
    <row r="466" spans="1:12" x14ac:dyDescent="0.2">
      <c r="A466" s="7">
        <f>+'5 ALMACEN '!W23</f>
        <v>0</v>
      </c>
      <c r="D466" s="1176">
        <f t="shared" si="40"/>
        <v>0</v>
      </c>
      <c r="F466" s="414"/>
      <c r="G466" s="414"/>
      <c r="H466" s="414"/>
      <c r="I466" s="414"/>
      <c r="J466" s="414"/>
      <c r="K466" s="414"/>
      <c r="L466" s="89">
        <f t="shared" si="41"/>
        <v>0</v>
      </c>
    </row>
    <row r="467" spans="1:12" x14ac:dyDescent="0.2">
      <c r="A467" s="7">
        <f>+'5 ALMACEN '!W24</f>
        <v>0</v>
      </c>
      <c r="D467" s="1176">
        <f t="shared" si="40"/>
        <v>0</v>
      </c>
      <c r="F467" s="414"/>
      <c r="G467" s="414"/>
      <c r="H467" s="414"/>
      <c r="I467" s="414"/>
      <c r="J467" s="414"/>
      <c r="K467" s="414"/>
      <c r="L467" s="89">
        <f t="shared" si="41"/>
        <v>0</v>
      </c>
    </row>
    <row r="468" spans="1:12" x14ac:dyDescent="0.2">
      <c r="A468" s="7">
        <f>+'5 ALMACEN '!W25</f>
        <v>0</v>
      </c>
      <c r="D468" s="1176">
        <f t="shared" si="40"/>
        <v>0</v>
      </c>
      <c r="F468" s="414"/>
      <c r="G468" s="414"/>
      <c r="H468" s="414"/>
      <c r="I468" s="414"/>
      <c r="J468" s="414"/>
      <c r="K468" s="414"/>
      <c r="L468" s="89">
        <f t="shared" si="41"/>
        <v>0</v>
      </c>
    </row>
    <row r="469" spans="1:12" x14ac:dyDescent="0.2">
      <c r="A469" s="7">
        <f>+'5 ALMACEN '!W26</f>
        <v>0</v>
      </c>
      <c r="D469" s="1176">
        <f t="shared" si="40"/>
        <v>0</v>
      </c>
      <c r="F469" s="414"/>
      <c r="G469" s="414"/>
      <c r="H469" s="414"/>
      <c r="I469" s="414"/>
      <c r="J469" s="414"/>
      <c r="K469" s="414"/>
      <c r="L469" s="89">
        <f t="shared" si="41"/>
        <v>0</v>
      </c>
    </row>
    <row r="470" spans="1:12" x14ac:dyDescent="0.2">
      <c r="A470" s="7">
        <f>+'5 ALMACEN '!W27</f>
        <v>0</v>
      </c>
      <c r="D470" s="1176">
        <f t="shared" si="40"/>
        <v>0</v>
      </c>
      <c r="F470" s="414"/>
      <c r="G470" s="414"/>
      <c r="H470" s="414"/>
      <c r="I470" s="414"/>
      <c r="J470" s="414"/>
      <c r="K470" s="414"/>
      <c r="L470" s="89">
        <f t="shared" si="41"/>
        <v>0</v>
      </c>
    </row>
    <row r="471" spans="1:12" x14ac:dyDescent="0.2">
      <c r="A471" s="7">
        <f>+'5 ALMACEN '!W28</f>
        <v>0</v>
      </c>
      <c r="D471" s="1176">
        <f t="shared" si="40"/>
        <v>0</v>
      </c>
      <c r="F471" s="414"/>
      <c r="G471" s="414"/>
      <c r="H471" s="414"/>
      <c r="I471" s="414"/>
      <c r="J471" s="414"/>
      <c r="K471" s="414"/>
      <c r="L471" s="89">
        <f t="shared" si="41"/>
        <v>0</v>
      </c>
    </row>
    <row r="472" spans="1:12" x14ac:dyDescent="0.2">
      <c r="A472" s="7">
        <f>+'5 ALMACEN '!W29</f>
        <v>0</v>
      </c>
      <c r="D472" s="1176">
        <f t="shared" si="40"/>
        <v>0</v>
      </c>
      <c r="F472" s="414"/>
      <c r="G472" s="414"/>
      <c r="H472" s="414"/>
      <c r="I472" s="414"/>
      <c r="J472" s="414"/>
      <c r="K472" s="414"/>
      <c r="L472" s="89">
        <f t="shared" si="41"/>
        <v>0</v>
      </c>
    </row>
    <row r="473" spans="1:12" x14ac:dyDescent="0.2">
      <c r="A473" s="7">
        <f>+'5 ALMACEN '!W30</f>
        <v>0</v>
      </c>
      <c r="D473" s="1176">
        <f t="shared" si="40"/>
        <v>0</v>
      </c>
      <c r="F473" s="414"/>
      <c r="G473" s="414"/>
      <c r="H473" s="414"/>
      <c r="I473" s="414"/>
      <c r="J473" s="414"/>
      <c r="K473" s="414"/>
      <c r="L473" s="89">
        <f t="shared" si="41"/>
        <v>0</v>
      </c>
    </row>
    <row r="474" spans="1:12" hidden="1" x14ac:dyDescent="0.2">
      <c r="A474" s="687"/>
      <c r="B474" s="686"/>
      <c r="C474" s="686"/>
      <c r="D474" s="686"/>
      <c r="E474" s="686"/>
      <c r="F474" s="686"/>
      <c r="G474" s="414"/>
      <c r="H474" s="686"/>
      <c r="I474" s="414"/>
      <c r="J474" s="414"/>
      <c r="K474" s="414"/>
    </row>
    <row r="475" spans="1:12" hidden="1" x14ac:dyDescent="0.2">
      <c r="A475" s="687"/>
      <c r="B475" s="686"/>
      <c r="C475" s="686"/>
      <c r="D475" s="686"/>
      <c r="E475" s="686"/>
      <c r="F475" s="686"/>
      <c r="G475" s="414"/>
      <c r="H475" s="686"/>
      <c r="I475" s="414"/>
      <c r="J475" s="414"/>
      <c r="K475" s="414"/>
    </row>
    <row r="476" spans="1:12" hidden="1" x14ac:dyDescent="0.2">
      <c r="A476" s="687"/>
      <c r="B476" s="686"/>
      <c r="C476" s="686"/>
      <c r="D476" s="686"/>
      <c r="E476" s="686"/>
      <c r="F476" s="686"/>
      <c r="G476" s="414"/>
      <c r="H476" s="686"/>
      <c r="I476" s="414"/>
      <c r="J476" s="414"/>
      <c r="K476" s="414"/>
    </row>
    <row r="477" spans="1:12" hidden="1" x14ac:dyDescent="0.2">
      <c r="A477" s="1513"/>
      <c r="B477" s="1686"/>
      <c r="C477" s="1686"/>
      <c r="D477" s="1686"/>
      <c r="E477" s="1686"/>
      <c r="F477" s="1686"/>
      <c r="G477" s="414"/>
      <c r="H477" s="414"/>
      <c r="I477" s="414"/>
      <c r="J477" s="414"/>
      <c r="K477" s="414"/>
    </row>
    <row r="478" spans="1:12" hidden="1" x14ac:dyDescent="0.2">
      <c r="A478" s="1513"/>
      <c r="B478" s="1686"/>
      <c r="C478" s="1686"/>
      <c r="D478" s="1686"/>
      <c r="E478" s="1686"/>
      <c r="F478" s="1686"/>
      <c r="G478" s="414"/>
      <c r="H478" s="414"/>
      <c r="I478" s="414"/>
      <c r="J478" s="414"/>
      <c r="K478" s="414"/>
    </row>
    <row r="479" spans="1:12" hidden="1" x14ac:dyDescent="0.2">
      <c r="A479" s="1513"/>
      <c r="B479" s="1686"/>
      <c r="C479" s="1686"/>
      <c r="D479" s="1686"/>
      <c r="E479" s="1686"/>
      <c r="F479" s="1686"/>
      <c r="G479" s="414"/>
      <c r="H479" s="414"/>
      <c r="I479" s="414"/>
      <c r="J479" s="414"/>
      <c r="K479" s="414"/>
    </row>
    <row r="480" spans="1:12" hidden="1" x14ac:dyDescent="0.2">
      <c r="A480" s="1513"/>
      <c r="B480" s="1686"/>
      <c r="C480" s="1686"/>
      <c r="D480" s="1686"/>
      <c r="E480" s="1686"/>
      <c r="F480" s="1686"/>
      <c r="G480" s="414"/>
      <c r="H480" s="414"/>
      <c r="I480" s="414"/>
      <c r="J480" s="414"/>
      <c r="K480" s="414"/>
    </row>
    <row r="481" spans="1:11" hidden="1" x14ac:dyDescent="0.2">
      <c r="A481" s="3"/>
      <c r="B481" s="3"/>
      <c r="C481" s="3"/>
      <c r="D481" s="3"/>
      <c r="E481" s="3"/>
      <c r="F481" s="550"/>
      <c r="G481" s="414"/>
      <c r="H481" s="550"/>
      <c r="I481" s="414"/>
      <c r="J481" s="414"/>
      <c r="K481" s="414"/>
    </row>
    <row r="482" spans="1:11" hidden="1" x14ac:dyDescent="0.2">
      <c r="A482" s="3"/>
      <c r="B482" s="3"/>
      <c r="C482" s="3"/>
      <c r="D482" s="3"/>
      <c r="E482" s="3"/>
      <c r="F482" s="550"/>
      <c r="G482" s="414"/>
      <c r="H482" s="550"/>
      <c r="I482" s="414"/>
      <c r="J482" s="414"/>
      <c r="K482" s="414"/>
    </row>
    <row r="483" spans="1:11" hidden="1" x14ac:dyDescent="0.2">
      <c r="A483" s="3"/>
      <c r="B483" s="3"/>
      <c r="C483" s="3"/>
      <c r="D483" s="3"/>
      <c r="E483" s="3"/>
      <c r="F483" s="550"/>
      <c r="G483" s="414"/>
      <c r="H483" s="550"/>
      <c r="I483" s="414"/>
      <c r="J483" s="414"/>
      <c r="K483" s="414"/>
    </row>
    <row r="484" spans="1:11" hidden="1" x14ac:dyDescent="0.2">
      <c r="A484" s="3"/>
      <c r="B484" s="3"/>
      <c r="C484" s="3"/>
      <c r="D484" s="3"/>
      <c r="E484" s="3"/>
      <c r="F484" s="550"/>
      <c r="G484" s="414"/>
      <c r="H484" s="550"/>
      <c r="I484" s="414"/>
      <c r="J484" s="414"/>
      <c r="K484" s="414"/>
    </row>
    <row r="485" spans="1:11" hidden="1" x14ac:dyDescent="0.2">
      <c r="F485" s="414"/>
      <c r="G485" s="414"/>
      <c r="H485" s="414"/>
      <c r="I485" s="414"/>
      <c r="J485" s="414"/>
      <c r="K485" s="414"/>
    </row>
    <row r="486" spans="1:11" hidden="1" x14ac:dyDescent="0.2">
      <c r="F486" s="414"/>
      <c r="G486" s="414"/>
      <c r="H486" s="414"/>
      <c r="I486" s="414"/>
      <c r="J486" s="414"/>
      <c r="K486" s="414"/>
    </row>
    <row r="487" spans="1:11" hidden="1" x14ac:dyDescent="0.2">
      <c r="F487" s="414"/>
      <c r="G487" s="414"/>
      <c r="H487" s="414"/>
      <c r="I487" s="414"/>
      <c r="J487" s="414"/>
      <c r="K487" s="414"/>
    </row>
    <row r="488" spans="1:11" hidden="1" x14ac:dyDescent="0.2">
      <c r="F488" s="414"/>
      <c r="G488" s="414"/>
      <c r="H488" s="414"/>
      <c r="I488" s="414"/>
      <c r="J488" s="414"/>
      <c r="K488" s="414"/>
    </row>
    <row r="489" spans="1:11" hidden="1" x14ac:dyDescent="0.2">
      <c r="F489" s="414"/>
      <c r="G489" s="414"/>
      <c r="H489" s="414"/>
      <c r="I489" s="414"/>
      <c r="J489" s="414"/>
      <c r="K489" s="414"/>
    </row>
    <row r="490" spans="1:11" hidden="1" x14ac:dyDescent="0.2">
      <c r="F490" s="414"/>
      <c r="G490" s="414"/>
      <c r="H490" s="414"/>
      <c r="I490" s="414"/>
      <c r="J490" s="414"/>
      <c r="K490" s="414"/>
    </row>
    <row r="491" spans="1:11" hidden="1" x14ac:dyDescent="0.2">
      <c r="F491" s="414"/>
      <c r="G491" s="414"/>
      <c r="H491" s="414"/>
      <c r="I491" s="414"/>
      <c r="J491" s="414"/>
      <c r="K491" s="414"/>
    </row>
    <row r="492" spans="1:11" hidden="1" x14ac:dyDescent="0.2">
      <c r="F492" s="414"/>
      <c r="G492" s="414"/>
      <c r="H492" s="414"/>
      <c r="I492" s="414"/>
      <c r="J492" s="414"/>
      <c r="K492" s="414"/>
    </row>
    <row r="493" spans="1:11" hidden="1" x14ac:dyDescent="0.2">
      <c r="F493" s="414"/>
      <c r="G493" s="414"/>
      <c r="H493" s="414"/>
      <c r="I493" s="414"/>
      <c r="J493" s="414"/>
      <c r="K493" s="414"/>
    </row>
    <row r="494" spans="1:11" hidden="1" x14ac:dyDescent="0.2">
      <c r="F494" s="414"/>
      <c r="G494" s="414"/>
      <c r="H494" s="414"/>
      <c r="I494" s="414"/>
      <c r="J494" s="414"/>
      <c r="K494" s="414"/>
    </row>
    <row r="495" spans="1:11" hidden="1" x14ac:dyDescent="0.2">
      <c r="F495" s="414"/>
      <c r="G495" s="414"/>
      <c r="H495" s="414"/>
      <c r="I495" s="414"/>
      <c r="J495" s="414"/>
      <c r="K495" s="414"/>
    </row>
    <row r="496" spans="1:11" hidden="1" x14ac:dyDescent="0.2">
      <c r="F496" s="414"/>
      <c r="G496" s="414"/>
      <c r="H496" s="414"/>
      <c r="I496" s="414"/>
      <c r="J496" s="414"/>
      <c r="K496" s="414"/>
    </row>
    <row r="497" spans="6:11" hidden="1" x14ac:dyDescent="0.2">
      <c r="F497" s="414"/>
      <c r="G497" s="414"/>
      <c r="H497" s="414"/>
      <c r="I497" s="414"/>
      <c r="J497" s="414"/>
      <c r="K497" s="414"/>
    </row>
    <row r="498" spans="6:11" hidden="1" x14ac:dyDescent="0.2">
      <c r="F498" s="414"/>
      <c r="G498" s="414"/>
      <c r="H498" s="414"/>
      <c r="I498" s="414"/>
      <c r="J498" s="414"/>
      <c r="K498" s="414"/>
    </row>
    <row r="499" spans="6:11" hidden="1" x14ac:dyDescent="0.2">
      <c r="F499" s="414"/>
      <c r="G499" s="414"/>
      <c r="H499" s="414"/>
      <c r="I499" s="414"/>
      <c r="J499" s="414"/>
      <c r="K499" s="414"/>
    </row>
    <row r="500" spans="6:11" hidden="1" x14ac:dyDescent="0.2">
      <c r="F500" s="414"/>
      <c r="G500" s="414"/>
      <c r="H500" s="414"/>
      <c r="I500" s="414"/>
      <c r="J500" s="414"/>
      <c r="K500" s="414"/>
    </row>
    <row r="501" spans="6:11" hidden="1" x14ac:dyDescent="0.2">
      <c r="F501" s="414"/>
      <c r="G501" s="414"/>
      <c r="H501" s="414"/>
      <c r="I501" s="414"/>
      <c r="J501" s="414"/>
      <c r="K501" s="414"/>
    </row>
    <row r="502" spans="6:11" hidden="1" x14ac:dyDescent="0.2">
      <c r="F502" s="414"/>
      <c r="G502" s="414"/>
      <c r="H502" s="414"/>
      <c r="I502" s="414"/>
      <c r="J502" s="414"/>
      <c r="K502" s="414"/>
    </row>
    <row r="503" spans="6:11" hidden="1" x14ac:dyDescent="0.2">
      <c r="F503" s="414"/>
      <c r="G503" s="414"/>
      <c r="H503" s="414"/>
      <c r="I503" s="414"/>
      <c r="J503" s="414"/>
      <c r="K503" s="414"/>
    </row>
    <row r="504" spans="6:11" hidden="1" x14ac:dyDescent="0.2">
      <c r="F504" s="414"/>
      <c r="G504" s="414"/>
      <c r="H504" s="414"/>
      <c r="I504" s="414"/>
      <c r="J504" s="414"/>
      <c r="K504" s="414"/>
    </row>
    <row r="505" spans="6:11" hidden="1" x14ac:dyDescent="0.2">
      <c r="F505" s="414"/>
      <c r="G505" s="414"/>
      <c r="H505" s="414"/>
      <c r="I505" s="414"/>
      <c r="J505" s="414"/>
      <c r="K505" s="414"/>
    </row>
    <row r="506" spans="6:11" hidden="1" x14ac:dyDescent="0.2"/>
    <row r="507" spans="6:11" hidden="1" x14ac:dyDescent="0.2"/>
    <row r="508" spans="6:11" hidden="1" x14ac:dyDescent="0.2"/>
    <row r="509" spans="6:11" hidden="1" x14ac:dyDescent="0.2"/>
    <row r="510" spans="6:11" hidden="1" x14ac:dyDescent="0.2"/>
    <row r="511" spans="6:11" hidden="1" x14ac:dyDescent="0.2"/>
    <row r="512" spans="6:11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spans="1:12" x14ac:dyDescent="0.2">
      <c r="A977" s="7">
        <f>+'5 ALMACEN '!W31</f>
        <v>0</v>
      </c>
      <c r="D977" s="688">
        <f>IF(A923&gt;0,1,0)</f>
        <v>0</v>
      </c>
      <c r="F977" s="414"/>
      <c r="G977" s="414"/>
      <c r="H977" s="414"/>
      <c r="I977" s="414"/>
      <c r="L977" s="89">
        <f>IF(D923&gt;0,1,0)</f>
        <v>0</v>
      </c>
    </row>
    <row r="978" spans="1:12" x14ac:dyDescent="0.2"/>
    <row r="979" spans="1:12" hidden="1" x14ac:dyDescent="0.2"/>
    <row r="980" spans="1:12" hidden="1" x14ac:dyDescent="0.2"/>
    <row r="981" spans="1:12" hidden="1" x14ac:dyDescent="0.2"/>
    <row r="982" spans="1:12" hidden="1" x14ac:dyDescent="0.2"/>
    <row r="983" spans="1:12" x14ac:dyDescent="0.2"/>
    <row r="984" spans="1:12" hidden="1" x14ac:dyDescent="0.2"/>
    <row r="985" spans="1:12" hidden="1" x14ac:dyDescent="0.2"/>
    <row r="986" spans="1:12" hidden="1" x14ac:dyDescent="0.2"/>
    <row r="987" spans="1:12" hidden="1" x14ac:dyDescent="0.2"/>
    <row r="988" spans="1:12" hidden="1" x14ac:dyDescent="0.2"/>
    <row r="989" spans="1:12" hidden="1" x14ac:dyDescent="0.2"/>
    <row r="990" spans="1:12" hidden="1" x14ac:dyDescent="0.2"/>
    <row r="991" spans="1:12" hidden="1" x14ac:dyDescent="0.2"/>
    <row r="992" spans="1:1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x14ac:dyDescent="0.2"/>
    <row r="1019" x14ac:dyDescent="0.2"/>
    <row r="1020" x14ac:dyDescent="0.2"/>
    <row r="1021" x14ac:dyDescent="0.2"/>
    <row r="1022" x14ac:dyDescent="0.2"/>
    <row r="1023" x14ac:dyDescent="0.2"/>
    <row r="1024" x14ac:dyDescent="0.2"/>
    <row r="1025" x14ac:dyDescent="0.2"/>
    <row r="1026" x14ac:dyDescent="0.2"/>
    <row r="1027" x14ac:dyDescent="0.2"/>
    <row r="1028" x14ac:dyDescent="0.2"/>
    <row r="1029" x14ac:dyDescent="0.2"/>
    <row r="1030" x14ac:dyDescent="0.2"/>
    <row r="1031" x14ac:dyDescent="0.2"/>
    <row r="1032" x14ac:dyDescent="0.2"/>
    <row r="1033" x14ac:dyDescent="0.2"/>
    <row r="1034" x14ac:dyDescent="0.2"/>
    <row r="1035" x14ac:dyDescent="0.2"/>
    <row r="1036" x14ac:dyDescent="0.2"/>
    <row r="1037" x14ac:dyDescent="0.2"/>
    <row r="1038" x14ac:dyDescent="0.2"/>
    <row r="1039" x14ac:dyDescent="0.2"/>
    <row r="1040" x14ac:dyDescent="0.2"/>
    <row r="1041" x14ac:dyDescent="0.2"/>
    <row r="1042" x14ac:dyDescent="0.2"/>
    <row r="1043" x14ac:dyDescent="0.2"/>
    <row r="1044" x14ac:dyDescent="0.2"/>
    <row r="1045" x14ac:dyDescent="0.2"/>
    <row r="1046" x14ac:dyDescent="0.2"/>
    <row r="1047" x14ac:dyDescent="0.2"/>
    <row r="1048" x14ac:dyDescent="0.2"/>
    <row r="1049" x14ac:dyDescent="0.2"/>
    <row r="1050" x14ac:dyDescent="0.2"/>
    <row r="1051" x14ac:dyDescent="0.2"/>
    <row r="1052" x14ac:dyDescent="0.2"/>
    <row r="1053" x14ac:dyDescent="0.2"/>
    <row r="1054" x14ac:dyDescent="0.2"/>
    <row r="1055" x14ac:dyDescent="0.2"/>
    <row r="1056" x14ac:dyDescent="0.2"/>
    <row r="1057" x14ac:dyDescent="0.2"/>
    <row r="1058" x14ac:dyDescent="0.2"/>
    <row r="1059" x14ac:dyDescent="0.2"/>
    <row r="1060" x14ac:dyDescent="0.2"/>
    <row r="1061" x14ac:dyDescent="0.2"/>
    <row r="1062" x14ac:dyDescent="0.2"/>
    <row r="1063" x14ac:dyDescent="0.2"/>
    <row r="1064" x14ac:dyDescent="0.2"/>
    <row r="1065" x14ac:dyDescent="0.2"/>
    <row r="1066" x14ac:dyDescent="0.2"/>
    <row r="1067" x14ac:dyDescent="0.2"/>
    <row r="1068" x14ac:dyDescent="0.2"/>
    <row r="1069" x14ac:dyDescent="0.2"/>
  </sheetData>
  <sheetProtection password="CECF" sheet="1"/>
  <autoFilter ref="L1:L473"/>
  <mergeCells count="434">
    <mergeCell ref="A404:B404"/>
    <mergeCell ref="A405:B405"/>
    <mergeCell ref="A281:B281"/>
    <mergeCell ref="A406:B406"/>
    <mergeCell ref="A394:B394"/>
    <mergeCell ref="A338:B338"/>
    <mergeCell ref="A339:B339"/>
    <mergeCell ref="A298:B298"/>
    <mergeCell ref="A283:B283"/>
    <mergeCell ref="A357:B357"/>
    <mergeCell ref="A391:B391"/>
    <mergeCell ref="A398:B398"/>
    <mergeCell ref="A397:B397"/>
    <mergeCell ref="A395:B395"/>
    <mergeCell ref="A396:B396"/>
    <mergeCell ref="A392:B392"/>
    <mergeCell ref="A295:B295"/>
    <mergeCell ref="A296:B296"/>
    <mergeCell ref="B9:C10"/>
    <mergeCell ref="B11:C12"/>
    <mergeCell ref="A15:B15"/>
    <mergeCell ref="A175:B175"/>
    <mergeCell ref="A182:B182"/>
    <mergeCell ref="A228:B228"/>
    <mergeCell ref="A238:B238"/>
    <mergeCell ref="A239:B239"/>
    <mergeCell ref="A232:B232"/>
    <mergeCell ref="A227:B227"/>
    <mergeCell ref="A229:C229"/>
    <mergeCell ref="A226:B226"/>
    <mergeCell ref="A224:B224"/>
    <mergeCell ref="A225:B225"/>
    <mergeCell ref="A223:B223"/>
    <mergeCell ref="A221:B221"/>
    <mergeCell ref="A222:B222"/>
    <mergeCell ref="A219:B219"/>
    <mergeCell ref="A216:B216"/>
    <mergeCell ref="A220:B220"/>
    <mergeCell ref="A218:B218"/>
    <mergeCell ref="A217:B217"/>
    <mergeCell ref="A176:B176"/>
    <mergeCell ref="A177:B177"/>
    <mergeCell ref="A181:B181"/>
    <mergeCell ref="D189:I189"/>
    <mergeCell ref="A209:B209"/>
    <mergeCell ref="A210:B210"/>
    <mergeCell ref="A199:B199"/>
    <mergeCell ref="A202:B202"/>
    <mergeCell ref="A203:B203"/>
    <mergeCell ref="A204:B204"/>
    <mergeCell ref="A205:B205"/>
    <mergeCell ref="A206:B206"/>
    <mergeCell ref="A207:B207"/>
    <mergeCell ref="A208:B208"/>
    <mergeCell ref="A201:B201"/>
    <mergeCell ref="A214:B214"/>
    <mergeCell ref="A215:B215"/>
    <mergeCell ref="A213:B213"/>
    <mergeCell ref="A211:B211"/>
    <mergeCell ref="A212:B212"/>
    <mergeCell ref="A178:B178"/>
    <mergeCell ref="A179:B179"/>
    <mergeCell ref="A180:B180"/>
    <mergeCell ref="A200:B200"/>
    <mergeCell ref="A198:B198"/>
    <mergeCell ref="A185:B185"/>
    <mergeCell ref="A183:B183"/>
    <mergeCell ref="A197:B197"/>
    <mergeCell ref="A186:B186"/>
    <mergeCell ref="A191:B191"/>
    <mergeCell ref="A184:B184"/>
    <mergeCell ref="A193:B193"/>
    <mergeCell ref="A187:B187"/>
    <mergeCell ref="A188:B188"/>
    <mergeCell ref="A196:B196"/>
    <mergeCell ref="A194:B194"/>
    <mergeCell ref="A195:B195"/>
    <mergeCell ref="A190:B190"/>
    <mergeCell ref="A192:B192"/>
    <mergeCell ref="A174:B174"/>
    <mergeCell ref="A157:B157"/>
    <mergeCell ref="A158:B158"/>
    <mergeCell ref="A159:B159"/>
    <mergeCell ref="A168:B168"/>
    <mergeCell ref="A160:B160"/>
    <mergeCell ref="A161:B161"/>
    <mergeCell ref="A162:B162"/>
    <mergeCell ref="A163:B163"/>
    <mergeCell ref="A164:B164"/>
    <mergeCell ref="A166:B166"/>
    <mergeCell ref="A167:B167"/>
    <mergeCell ref="A172:B172"/>
    <mergeCell ref="A173:B173"/>
    <mergeCell ref="A169:B169"/>
    <mergeCell ref="A170:B170"/>
    <mergeCell ref="A171:B171"/>
    <mergeCell ref="A148:B148"/>
    <mergeCell ref="A141:B141"/>
    <mergeCell ref="A142:B142"/>
    <mergeCell ref="A143:B143"/>
    <mergeCell ref="A144:B144"/>
    <mergeCell ref="A165:B165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39:B139"/>
    <mergeCell ref="A140:B140"/>
    <mergeCell ref="A133:B133"/>
    <mergeCell ref="A134:B134"/>
    <mergeCell ref="A135:B135"/>
    <mergeCell ref="A136:B136"/>
    <mergeCell ref="A145:B145"/>
    <mergeCell ref="A146:B146"/>
    <mergeCell ref="A147:B147"/>
    <mergeCell ref="A130:B130"/>
    <mergeCell ref="A131:B131"/>
    <mergeCell ref="A132:B132"/>
    <mergeCell ref="A125:B125"/>
    <mergeCell ref="A126:B126"/>
    <mergeCell ref="A127:B127"/>
    <mergeCell ref="A128:B128"/>
    <mergeCell ref="A137:B137"/>
    <mergeCell ref="A138:B138"/>
    <mergeCell ref="A121:B121"/>
    <mergeCell ref="A122:B122"/>
    <mergeCell ref="A123:B123"/>
    <mergeCell ref="A124:B124"/>
    <mergeCell ref="A117:B117"/>
    <mergeCell ref="A118:B118"/>
    <mergeCell ref="A119:B119"/>
    <mergeCell ref="A120:B120"/>
    <mergeCell ref="A129:B129"/>
    <mergeCell ref="A108:B108"/>
    <mergeCell ref="A101:B101"/>
    <mergeCell ref="A102:B102"/>
    <mergeCell ref="A103:B103"/>
    <mergeCell ref="A104:B104"/>
    <mergeCell ref="A113:B113"/>
    <mergeCell ref="A114:B114"/>
    <mergeCell ref="A115:B115"/>
    <mergeCell ref="A116:B116"/>
    <mergeCell ref="A109:B109"/>
    <mergeCell ref="A110:B110"/>
    <mergeCell ref="A111:B111"/>
    <mergeCell ref="A112:B112"/>
    <mergeCell ref="A99:B99"/>
    <mergeCell ref="A100:B100"/>
    <mergeCell ref="A93:B93"/>
    <mergeCell ref="A94:B94"/>
    <mergeCell ref="A95:B95"/>
    <mergeCell ref="A96:B96"/>
    <mergeCell ref="A105:B105"/>
    <mergeCell ref="A106:B106"/>
    <mergeCell ref="A107:B107"/>
    <mergeCell ref="A90:B90"/>
    <mergeCell ref="A91:B91"/>
    <mergeCell ref="A92:B92"/>
    <mergeCell ref="A85:B85"/>
    <mergeCell ref="A86:B86"/>
    <mergeCell ref="A87:B87"/>
    <mergeCell ref="A88:B88"/>
    <mergeCell ref="A97:B97"/>
    <mergeCell ref="A98:B98"/>
    <mergeCell ref="A81:B81"/>
    <mergeCell ref="A82:B82"/>
    <mergeCell ref="A83:B83"/>
    <mergeCell ref="A84:B84"/>
    <mergeCell ref="A77:B77"/>
    <mergeCell ref="A78:B78"/>
    <mergeCell ref="A79:B79"/>
    <mergeCell ref="A80:B80"/>
    <mergeCell ref="A89:B89"/>
    <mergeCell ref="A61:B61"/>
    <mergeCell ref="A62:B62"/>
    <mergeCell ref="A63:B63"/>
    <mergeCell ref="A64:B64"/>
    <mergeCell ref="A73:B73"/>
    <mergeCell ref="A74:B74"/>
    <mergeCell ref="A75:B75"/>
    <mergeCell ref="A76:B76"/>
    <mergeCell ref="A69:B69"/>
    <mergeCell ref="A70:B70"/>
    <mergeCell ref="A71:B71"/>
    <mergeCell ref="A72:B72"/>
    <mergeCell ref="A24:B24"/>
    <mergeCell ref="A25:B25"/>
    <mergeCell ref="A26:B26"/>
    <mergeCell ref="A27:B27"/>
    <mergeCell ref="A28:B28"/>
    <mergeCell ref="A33:B33"/>
    <mergeCell ref="A243:B243"/>
    <mergeCell ref="A250:B250"/>
    <mergeCell ref="A29:B29"/>
    <mergeCell ref="A31:B31"/>
    <mergeCell ref="A32:B32"/>
    <mergeCell ref="A30:B30"/>
    <mergeCell ref="A41:B41"/>
    <mergeCell ref="A42:B42"/>
    <mergeCell ref="A35:B35"/>
    <mergeCell ref="A36:B36"/>
    <mergeCell ref="A37:B37"/>
    <mergeCell ref="A38:B38"/>
    <mergeCell ref="A49:B49"/>
    <mergeCell ref="A50:B50"/>
    <mergeCell ref="A51:B51"/>
    <mergeCell ref="A52:B52"/>
    <mergeCell ref="A45:B45"/>
    <mergeCell ref="A46:B46"/>
    <mergeCell ref="A34:B34"/>
    <mergeCell ref="A240:B240"/>
    <mergeCell ref="A236:B236"/>
    <mergeCell ref="A234:B234"/>
    <mergeCell ref="A235:B235"/>
    <mergeCell ref="A242:B242"/>
    <mergeCell ref="A39:B39"/>
    <mergeCell ref="A44:B44"/>
    <mergeCell ref="A40:B40"/>
    <mergeCell ref="A43:B43"/>
    <mergeCell ref="A47:B47"/>
    <mergeCell ref="A48:B48"/>
    <mergeCell ref="A57:B57"/>
    <mergeCell ref="A58:B58"/>
    <mergeCell ref="A59:B59"/>
    <mergeCell ref="A60:B60"/>
    <mergeCell ref="A53:B53"/>
    <mergeCell ref="A54:B54"/>
    <mergeCell ref="A55:B55"/>
    <mergeCell ref="A56:B56"/>
    <mergeCell ref="A65:B65"/>
    <mergeCell ref="A66:B66"/>
    <mergeCell ref="A67:B67"/>
    <mergeCell ref="A68:B68"/>
    <mergeCell ref="A257:B257"/>
    <mergeCell ref="A258:B258"/>
    <mergeCell ref="A259:B259"/>
    <mergeCell ref="A265:B265"/>
    <mergeCell ref="A266:B266"/>
    <mergeCell ref="A256:B256"/>
    <mergeCell ref="A233:B233"/>
    <mergeCell ref="A237:B237"/>
    <mergeCell ref="A249:B249"/>
    <mergeCell ref="A251:B251"/>
    <mergeCell ref="A252:B252"/>
    <mergeCell ref="A248:C248"/>
    <mergeCell ref="A253:B253"/>
    <mergeCell ref="A247:B247"/>
    <mergeCell ref="A246:B246"/>
    <mergeCell ref="A241:B241"/>
    <mergeCell ref="A244:B244"/>
    <mergeCell ref="A254:B254"/>
    <mergeCell ref="A255:B255"/>
    <mergeCell ref="A272:B272"/>
    <mergeCell ref="A270:B270"/>
    <mergeCell ref="A280:B280"/>
    <mergeCell ref="A282:B282"/>
    <mergeCell ref="A262:B262"/>
    <mergeCell ref="A263:B263"/>
    <mergeCell ref="A268:B268"/>
    <mergeCell ref="A267:B267"/>
    <mergeCell ref="A261:B261"/>
    <mergeCell ref="A274:B274"/>
    <mergeCell ref="A275:B275"/>
    <mergeCell ref="A276:B276"/>
    <mergeCell ref="A279:B279"/>
    <mergeCell ref="A277:B277"/>
    <mergeCell ref="A278:B278"/>
    <mergeCell ref="A304:B304"/>
    <mergeCell ref="A306:B306"/>
    <mergeCell ref="A305:B305"/>
    <mergeCell ref="A324:B324"/>
    <mergeCell ref="A323:B323"/>
    <mergeCell ref="A320:B320"/>
    <mergeCell ref="A321:B321"/>
    <mergeCell ref="A322:B322"/>
    <mergeCell ref="A319:B319"/>
    <mergeCell ref="A317:B317"/>
    <mergeCell ref="A314:B314"/>
    <mergeCell ref="A315:B315"/>
    <mergeCell ref="A316:B316"/>
    <mergeCell ref="A312:C312"/>
    <mergeCell ref="A307:B307"/>
    <mergeCell ref="A308:B308"/>
    <mergeCell ref="A309:B309"/>
    <mergeCell ref="A310:B310"/>
    <mergeCell ref="A402:B402"/>
    <mergeCell ref="A403:B403"/>
    <mergeCell ref="A318:B318"/>
    <mergeCell ref="A313:B313"/>
    <mergeCell ref="A340:C340"/>
    <mergeCell ref="A333:B333"/>
    <mergeCell ref="A325:B325"/>
    <mergeCell ref="A326:C326"/>
    <mergeCell ref="A331:B331"/>
    <mergeCell ref="A401:C401"/>
    <mergeCell ref="A400:B400"/>
    <mergeCell ref="A479:F479"/>
    <mergeCell ref="A480:F480"/>
    <mergeCell ref="A422:B422"/>
    <mergeCell ref="A423:B423"/>
    <mergeCell ref="A424:B424"/>
    <mergeCell ref="A425:B425"/>
    <mergeCell ref="A428:B428"/>
    <mergeCell ref="A443:B443"/>
    <mergeCell ref="A477:F477"/>
    <mergeCell ref="A444:B444"/>
    <mergeCell ref="A435:B435"/>
    <mergeCell ref="A426:B426"/>
    <mergeCell ref="A427:B427"/>
    <mergeCell ref="A433:B433"/>
    <mergeCell ref="A434:B434"/>
    <mergeCell ref="A432:B432"/>
    <mergeCell ref="A429:B429"/>
    <mergeCell ref="A430:B430"/>
    <mergeCell ref="A418:B418"/>
    <mergeCell ref="A414:B414"/>
    <mergeCell ref="A417:B417"/>
    <mergeCell ref="A416:B416"/>
    <mergeCell ref="A410:B410"/>
    <mergeCell ref="A412:B412"/>
    <mergeCell ref="A413:B413"/>
    <mergeCell ref="A411:B411"/>
    <mergeCell ref="A478:F478"/>
    <mergeCell ref="A431:B431"/>
    <mergeCell ref="A445:B445"/>
    <mergeCell ref="A420:B420"/>
    <mergeCell ref="A421:B421"/>
    <mergeCell ref="A419:B419"/>
    <mergeCell ref="A415:B415"/>
    <mergeCell ref="C3:E3"/>
    <mergeCell ref="A4:D4"/>
    <mergeCell ref="A14:I14"/>
    <mergeCell ref="A409:B409"/>
    <mergeCell ref="A337:C337"/>
    <mergeCell ref="F8:I8"/>
    <mergeCell ref="B6:I6"/>
    <mergeCell ref="B7:C8"/>
    <mergeCell ref="D8:E8"/>
    <mergeCell ref="E4:I4"/>
    <mergeCell ref="F10:I10"/>
    <mergeCell ref="A260:C260"/>
    <mergeCell ref="A297:C297"/>
    <mergeCell ref="A327:B327"/>
    <mergeCell ref="A328:B328"/>
    <mergeCell ref="A329:B329"/>
    <mergeCell ref="A330:B330"/>
    <mergeCell ref="A335:B335"/>
    <mergeCell ref="A334:B334"/>
    <mergeCell ref="A336:B336"/>
    <mergeCell ref="A341:B341"/>
    <mergeCell ref="A407:B407"/>
    <mergeCell ref="A399:B399"/>
    <mergeCell ref="D10:E10"/>
    <mergeCell ref="A303:C303"/>
    <mergeCell ref="A231:C231"/>
    <mergeCell ref="A291:B291"/>
    <mergeCell ref="A292:B292"/>
    <mergeCell ref="A286:B286"/>
    <mergeCell ref="A287:B287"/>
    <mergeCell ref="A293:B293"/>
    <mergeCell ref="A23:B23"/>
    <mergeCell ref="A189:C189"/>
    <mergeCell ref="A294:B294"/>
    <mergeCell ref="A288:B288"/>
    <mergeCell ref="A289:B289"/>
    <mergeCell ref="A290:B290"/>
    <mergeCell ref="A301:B301"/>
    <mergeCell ref="A302:B302"/>
    <mergeCell ref="A300:B300"/>
    <mergeCell ref="A299:B299"/>
    <mergeCell ref="A264:B264"/>
    <mergeCell ref="A285:B285"/>
    <mergeCell ref="A284:C284"/>
    <mergeCell ref="A269:B269"/>
    <mergeCell ref="A273:B273"/>
    <mergeCell ref="A271:B271"/>
    <mergeCell ref="A343:B343"/>
    <mergeCell ref="A363:B363"/>
    <mergeCell ref="A378:C378"/>
    <mergeCell ref="A365:B365"/>
    <mergeCell ref="A366:B366"/>
    <mergeCell ref="A367:B367"/>
    <mergeCell ref="A356:B356"/>
    <mergeCell ref="A360:B360"/>
    <mergeCell ref="A361:B361"/>
    <mergeCell ref="A362:B362"/>
    <mergeCell ref="A358:B358"/>
    <mergeCell ref="A359:B359"/>
    <mergeCell ref="A371:B371"/>
    <mergeCell ref="A372:B372"/>
    <mergeCell ref="A368:B368"/>
    <mergeCell ref="A345:B345"/>
    <mergeCell ref="A377:B377"/>
    <mergeCell ref="A383:B383"/>
    <mergeCell ref="A382:B382"/>
    <mergeCell ref="A364:B364"/>
    <mergeCell ref="A344:B344"/>
    <mergeCell ref="A346:C346"/>
    <mergeCell ref="A393:B393"/>
    <mergeCell ref="A390:B390"/>
    <mergeCell ref="A355:C355"/>
    <mergeCell ref="A389:B389"/>
    <mergeCell ref="A379:B379"/>
    <mergeCell ref="A385:B385"/>
    <mergeCell ref="A373:B373"/>
    <mergeCell ref="A374:B374"/>
    <mergeCell ref="A448:B448"/>
    <mergeCell ref="A245:C245"/>
    <mergeCell ref="A439:B439"/>
    <mergeCell ref="A440:B440"/>
    <mergeCell ref="A441:B441"/>
    <mergeCell ref="A442:B442"/>
    <mergeCell ref="A446:B446"/>
    <mergeCell ref="A447:B447"/>
    <mergeCell ref="A311:B311"/>
    <mergeCell ref="A375:B375"/>
    <mergeCell ref="A376:B376"/>
    <mergeCell ref="A436:B436"/>
    <mergeCell ref="A437:B437"/>
    <mergeCell ref="A438:B438"/>
    <mergeCell ref="A342:B342"/>
    <mergeCell ref="A332:C332"/>
    <mergeCell ref="A384:B384"/>
    <mergeCell ref="A388:B388"/>
    <mergeCell ref="A369:B369"/>
    <mergeCell ref="A370:B370"/>
    <mergeCell ref="A387:B387"/>
    <mergeCell ref="A380:B380"/>
    <mergeCell ref="A381:B381"/>
    <mergeCell ref="A386:B386"/>
  </mergeCells>
  <phoneticPr fontId="25" type="noConversion"/>
  <dataValidations count="7">
    <dataValidation type="whole" errorStyle="information" allowBlank="1" showInputMessage="1" showErrorMessage="1" errorTitle="PROTEGIDO" error="Precione ESC para continuar" promptTitle="PROTEGUIDO" sqref="C450:K450 A451:K65536 S11:IV13 F1:K3 D1:E2 C1:C3 T1:IV10 M1:M3">
      <formula1>9999</formula1>
      <formula2>9999</formula2>
    </dataValidation>
    <dataValidation type="textLength" operator="lessThan" allowBlank="1" showInputMessage="1" showErrorMessage="1" errorTitle="PROTEGIDO" error="Celda bloqueada..............._x000a_Presione ESC para continuar" sqref="A450 A13 A11 A1:A3 A5">
      <formula1>0</formula1>
    </dataValidation>
    <dataValidation type="textLength" operator="lessThan" allowBlank="1" showInputMessage="1" showErrorMessage="1" errorTitle="PROTEGIDO" error="Celda bloqueada.........._x000a_Presione ESC para continuar" sqref="B450 B13 B1:B3 B5">
      <formula1>0</formula1>
    </dataValidation>
    <dataValidation type="textLength" operator="lessThan" allowBlank="1" showInputMessage="1" showErrorMessage="1" errorTitle="PROTEGIDO" error="Celda bloqueada............_x000a_Presione ESC para continuar!" sqref="L396:L397 L401 L408:L65536 L1:L378">
      <formula1>0</formula1>
    </dataValidation>
    <dataValidation operator="lessThan" allowBlank="1" showInputMessage="1" showErrorMessage="1" errorTitle="PROTEGIDO" error="Celda bloqueada..............._x000a_Presione ESC para continuar" sqref="B401 D16:D43 D47:D71 D77:D85 D92:D99 D107:D127 D137:D155 D157:D165 D129:D135 D101:D105 D87:D90 D73:D75 D45 B16:B176 E16:I188 F260 D273:K275 C274:C275 C15:K15 B312:B337 B340:B378 B408:B449 B189:B245 A15:A245 C16:C260 J16:K260 G190:I260 E190:F259 D167:D260 A247:B275 C261:K272 B276:B307 C276:K449 A276:A449"/>
    <dataValidation type="textLength" operator="lessThan" showInputMessage="1" showErrorMessage="1" errorTitle="PROTEGIDO" error="Celda bloqueada............._x000a_Presione ESC para continuar!!" sqref="L379:L395 L402:L407 L398:L400">
      <formula1>0</formula1>
    </dataValidation>
    <dataValidation type="whole" allowBlank="1" showInputMessage="1" showErrorMessage="1" errorTitle="PROTEGIDO" error="No modifique esta celda....._x000a_Precione ESC para continuar" promptTitle="PROTEGUIDO" sqref="M5 D11:F11 J11:K13 C13:I13 C5:K5 G11:I12">
      <formula1>9999</formula1>
      <formula2>9999</formula2>
    </dataValidation>
  </dataValidations>
  <pageMargins left="0.23622047244094491" right="0.35433070866141736" top="0.74803149606299213" bottom="0.78740157480314965" header="0" footer="0.51181102362204722"/>
  <pageSetup paperSize="9" scale="95" orientation="portrait" r:id="rId1"/>
  <headerFooter alignWithMargins="0">
    <oddFooter>&amp;LROLANDO A.&amp;C&amp;"Arial,Negrita"FAMOC DEPANEL Confidencial&amp;RPágina 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4:E15"/>
  <sheetViews>
    <sheetView showGridLines="0" zoomScale="115" workbookViewId="0">
      <selection activeCell="D14" sqref="D14"/>
    </sheetView>
  </sheetViews>
  <sheetFormatPr baseColWidth="10" defaultColWidth="0" defaultRowHeight="12.75" x14ac:dyDescent="0.2"/>
  <cols>
    <col min="1" max="1" width="41.42578125" bestFit="1" customWidth="1"/>
    <col min="2" max="2" width="10.140625" bestFit="1" customWidth="1"/>
    <col min="3" max="3" width="11" customWidth="1"/>
    <col min="4" max="4" width="11.85546875" customWidth="1"/>
    <col min="5" max="5" width="3.85546875" customWidth="1"/>
    <col min="6" max="16384" width="11.42578125" hidden="1"/>
  </cols>
  <sheetData>
    <row r="4" spans="1:4" x14ac:dyDescent="0.2">
      <c r="B4" s="1697" t="s">
        <v>396</v>
      </c>
      <c r="C4" s="1697"/>
    </row>
    <row r="5" spans="1:4" x14ac:dyDescent="0.2">
      <c r="A5" s="1698">
        <f>+'5 ALMACEN '!D2</f>
        <v>0</v>
      </c>
      <c r="B5" s="1698"/>
      <c r="C5" s="1698"/>
      <c r="D5" s="1698">
        <f>+'5 ALMACEN '!W1</f>
        <v>0</v>
      </c>
    </row>
    <row r="6" spans="1:4" x14ac:dyDescent="0.2">
      <c r="A6" s="1698"/>
      <c r="B6" s="1698"/>
      <c r="C6" s="1698"/>
      <c r="D6" s="1698"/>
    </row>
    <row r="7" spans="1:4" x14ac:dyDescent="0.2">
      <c r="A7" s="414" t="s">
        <v>107</v>
      </c>
      <c r="B7" s="1699"/>
      <c r="C7" s="1699"/>
      <c r="D7" s="1699"/>
    </row>
    <row r="8" spans="1:4" ht="3.75" customHeight="1" x14ac:dyDescent="0.2">
      <c r="A8" s="414"/>
      <c r="B8" s="6"/>
      <c r="C8" s="6"/>
      <c r="D8" s="6"/>
    </row>
    <row r="9" spans="1:4" ht="15" customHeight="1" x14ac:dyDescent="0.2">
      <c r="A9" s="414" t="s">
        <v>1031</v>
      </c>
      <c r="B9" s="1219">
        <f>+PRODUCCION!B7</f>
        <v>0</v>
      </c>
      <c r="C9" s="962" t="s">
        <v>1030</v>
      </c>
      <c r="D9" s="1219">
        <f ca="1">+PRODUCCION!F7</f>
        <v>43392.497064930554</v>
      </c>
    </row>
    <row r="10" spans="1:4" ht="3.75" customHeight="1" x14ac:dyDescent="0.2">
      <c r="A10" s="414"/>
      <c r="B10" s="6"/>
      <c r="C10" s="962"/>
      <c r="D10" s="1220"/>
    </row>
    <row r="11" spans="1:4" ht="15" customHeight="1" x14ac:dyDescent="0.2">
      <c r="A11" s="414" t="s">
        <v>1032</v>
      </c>
      <c r="B11" s="1218">
        <f>+PRODUCCION!B9</f>
        <v>0</v>
      </c>
      <c r="C11" s="962" t="s">
        <v>235</v>
      </c>
      <c r="D11" s="1219">
        <f>+PRODUCCION!B11</f>
        <v>0</v>
      </c>
    </row>
    <row r="13" spans="1:4" x14ac:dyDescent="0.2">
      <c r="A13" s="1696" t="s">
        <v>236</v>
      </c>
      <c r="B13" s="1696"/>
      <c r="C13" s="1696"/>
      <c r="D13" s="6"/>
    </row>
    <row r="14" spans="1:4" ht="15" x14ac:dyDescent="0.25">
      <c r="A14" s="1223" t="s">
        <v>399</v>
      </c>
      <c r="B14" s="1223" t="s">
        <v>1102</v>
      </c>
      <c r="C14" s="1223" t="s">
        <v>8</v>
      </c>
      <c r="D14" s="1226" t="s">
        <v>2</v>
      </c>
    </row>
    <row r="15" spans="1:4" ht="15" x14ac:dyDescent="0.25">
      <c r="A15" s="1224" t="s">
        <v>1103</v>
      </c>
      <c r="B15" s="1224"/>
      <c r="C15" s="1224"/>
      <c r="D15" s="1225"/>
    </row>
  </sheetData>
  <sheetProtection password="CECF" sheet="1"/>
  <mergeCells count="5">
    <mergeCell ref="A13:C13"/>
    <mergeCell ref="B4:C4"/>
    <mergeCell ref="A5:C6"/>
    <mergeCell ref="D5:D6"/>
    <mergeCell ref="B7:D7"/>
  </mergeCells>
  <phoneticPr fontId="120" type="noConversion"/>
  <pageMargins left="0.75" right="0.19" top="1" bottom="1" header="0" footer="0"/>
  <pageSetup paperSize="9" orientation="portrait" r:id="rId2"/>
  <headerFooter alignWithMargins="0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AA1181"/>
  <sheetViews>
    <sheetView showGridLines="0" zoomScale="85" zoomScaleNormal="145" workbookViewId="0">
      <selection activeCell="A14" sqref="A14:IV65536"/>
    </sheetView>
  </sheetViews>
  <sheetFormatPr baseColWidth="10" defaultColWidth="0" defaultRowHeight="12.75" zeroHeight="1" x14ac:dyDescent="0.2"/>
  <cols>
    <col min="1" max="1" width="2.7109375" customWidth="1"/>
    <col min="2" max="2" width="49.28515625" customWidth="1"/>
    <col min="3" max="3" width="11" customWidth="1"/>
    <col min="4" max="4" width="14" customWidth="1"/>
    <col min="5" max="5" width="15.28515625" bestFit="1" customWidth="1"/>
    <col min="6" max="6" width="11.42578125" customWidth="1"/>
    <col min="7" max="7" width="7.140625" style="583" customWidth="1"/>
    <col min="8" max="8" width="2" customWidth="1"/>
  </cols>
  <sheetData>
    <row r="1" spans="2:27" ht="23.25" customHeight="1" x14ac:dyDescent="0.2">
      <c r="B1" s="105" t="s">
        <v>394</v>
      </c>
      <c r="C1">
        <f>+Cant.!P43</f>
        <v>0</v>
      </c>
      <c r="G1" s="583">
        <v>0</v>
      </c>
    </row>
    <row r="2" spans="2:27" ht="12" customHeight="1" x14ac:dyDescent="0.2">
      <c r="B2" s="105" t="s">
        <v>395</v>
      </c>
      <c r="C2">
        <f>+Cant.!R43</f>
        <v>0</v>
      </c>
    </row>
    <row r="3" spans="2:27" ht="13.5" thickBot="1" x14ac:dyDescent="0.25">
      <c r="G3" s="583">
        <v>1</v>
      </c>
    </row>
    <row r="4" spans="2:27" x14ac:dyDescent="0.2">
      <c r="B4" s="106"/>
      <c r="C4" s="107"/>
      <c r="D4" s="107"/>
      <c r="E4" s="108"/>
      <c r="G4" s="583">
        <v>1</v>
      </c>
    </row>
    <row r="5" spans="2:27" x14ac:dyDescent="0.2">
      <c r="B5" s="1701" t="s">
        <v>396</v>
      </c>
      <c r="C5" s="1702"/>
      <c r="D5" s="1702"/>
      <c r="E5" s="1703"/>
      <c r="G5" s="583">
        <v>1</v>
      </c>
    </row>
    <row r="6" spans="2:27" x14ac:dyDescent="0.2">
      <c r="B6" s="1701"/>
      <c r="C6" s="1702"/>
      <c r="D6" s="1702"/>
      <c r="E6" s="1703"/>
      <c r="G6" s="583">
        <v>1</v>
      </c>
    </row>
    <row r="7" spans="2:27" ht="25.5" customHeight="1" x14ac:dyDescent="0.2">
      <c r="B7" s="1707">
        <f>+'5 ALMACEN '!D2</f>
        <v>0</v>
      </c>
      <c r="C7" s="1708"/>
      <c r="D7" s="1708"/>
      <c r="E7" s="1709"/>
      <c r="G7" s="583">
        <v>1</v>
      </c>
    </row>
    <row r="8" spans="2:27" ht="25.5" customHeight="1" x14ac:dyDescent="0.2">
      <c r="B8" s="1707"/>
      <c r="C8" s="1708"/>
      <c r="D8" s="1708"/>
      <c r="E8" s="1709"/>
      <c r="G8" s="583">
        <v>1</v>
      </c>
    </row>
    <row r="9" spans="2:27" ht="15" x14ac:dyDescent="0.2">
      <c r="B9" s="1710" t="str">
        <f>CONCATENATE("PROYECTO:","   ",'5 ALMACEN '!S2)</f>
        <v xml:space="preserve">PROYECTO:   </v>
      </c>
      <c r="C9" s="1711"/>
      <c r="D9" s="1711"/>
      <c r="E9" s="1712"/>
      <c r="G9" s="583">
        <v>1</v>
      </c>
    </row>
    <row r="10" spans="2:27" ht="15" x14ac:dyDescent="0.2">
      <c r="B10" s="111"/>
      <c r="C10" s="3"/>
      <c r="D10" s="3"/>
      <c r="E10" s="110"/>
      <c r="G10" s="583">
        <v>1</v>
      </c>
    </row>
    <row r="11" spans="2:27" ht="15" x14ac:dyDescent="0.2">
      <c r="B11" s="109"/>
      <c r="C11" s="114" t="s">
        <v>398</v>
      </c>
      <c r="D11" s="3"/>
      <c r="E11" s="776">
        <f ca="1">NOW()</f>
        <v>43392.497064930554</v>
      </c>
      <c r="G11" s="583">
        <v>1</v>
      </c>
    </row>
    <row r="12" spans="2:27" ht="33.75" customHeight="1" x14ac:dyDescent="0.2">
      <c r="B12" s="113" t="str">
        <f>CONCATENATE("O.P.","   ",'5 ALMACEN '!W1)</f>
        <v xml:space="preserve">O.P.   </v>
      </c>
      <c r="C12" s="114" t="s">
        <v>1027</v>
      </c>
      <c r="D12" s="112"/>
      <c r="E12" s="689">
        <f>+PRODUCCION!B12</f>
        <v>0</v>
      </c>
      <c r="G12" s="583">
        <v>1</v>
      </c>
    </row>
    <row r="13" spans="2:27" ht="6" customHeight="1" thickBot="1" x14ac:dyDescent="0.25">
      <c r="B13" s="1704"/>
      <c r="C13" s="1705"/>
      <c r="D13" s="1705"/>
      <c r="E13" s="1706"/>
      <c r="G13" s="583">
        <v>1</v>
      </c>
    </row>
    <row r="14" spans="2:27" ht="33.75" hidden="1" customHeight="1" x14ac:dyDescent="0.2">
      <c r="B14" s="1700" t="s">
        <v>236</v>
      </c>
      <c r="C14" s="1700"/>
      <c r="D14" s="1700"/>
      <c r="E14" s="1700"/>
      <c r="G14" s="583">
        <v>1</v>
      </c>
    </row>
    <row r="15" spans="2:27" ht="17.100000000000001" hidden="1" customHeight="1" x14ac:dyDescent="0.2">
      <c r="B15" s="3"/>
      <c r="C15" s="11"/>
      <c r="D15" s="11"/>
      <c r="E15" s="11"/>
      <c r="G15" s="583">
        <v>1</v>
      </c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 spans="2:27" ht="17.100000000000001" hidden="1" customHeight="1" x14ac:dyDescent="0.2">
      <c r="B16" s="959" t="s">
        <v>399</v>
      </c>
      <c r="C16" s="959" t="s">
        <v>2</v>
      </c>
      <c r="D16" s="959" t="s">
        <v>1102</v>
      </c>
      <c r="E16" s="959" t="s">
        <v>8</v>
      </c>
      <c r="G16" s="583">
        <v>1</v>
      </c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spans="1:27" ht="17.100000000000001" hidden="1" customHeight="1" x14ac:dyDescent="0.2">
      <c r="B17" s="11">
        <f>IF('2 MEDIA ALTURA'!$B$44='2 MEDIA ALTURA'!C17,'2 MEDIA ALTURA'!$C$44,IF('2 MEDIA ALTURA'!$B$45='2 MEDIA ALTURA'!C17,'2 MEDIA ALTURA'!$C$45,0))</f>
        <v>0</v>
      </c>
      <c r="C17" s="11">
        <f>IF(B17&gt;0,'2 MEDIA ALTURA'!$C$35,0)</f>
        <v>0</v>
      </c>
      <c r="D17" s="11">
        <f>+'2 MEDIA ALTURA'!C16-0.5</f>
        <v>-0.5</v>
      </c>
      <c r="E17" s="960">
        <f>+'2 MEDIA ALTURA'!$C$34-0.5</f>
        <v>-0.5</v>
      </c>
      <c r="F17">
        <f>IF(C17&gt;0,((D17*4)+(E17*4))*C17,0)</f>
        <v>0</v>
      </c>
      <c r="G17" s="583">
        <f>IF(C17&gt;0,1,0)</f>
        <v>0</v>
      </c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spans="1:27" ht="17.100000000000001" hidden="1" customHeight="1" x14ac:dyDescent="0.2">
      <c r="B18" s="959"/>
      <c r="C18" s="959"/>
      <c r="D18" s="959"/>
      <c r="E18" s="959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spans="1:27" ht="17.100000000000001" hidden="1" customHeight="1" x14ac:dyDescent="0.2">
      <c r="B19" s="11">
        <f>IF('2 MEDIA ALTURA'!$B$44='2 MEDIA ALTURA'!C19,'2 MEDIA ALTURA'!$C$44,IF('2 MEDIA ALTURA'!$B$45='2 MEDIA ALTURA'!C19,'2 MEDIA ALTURA'!$C$45,0))</f>
        <v>0</v>
      </c>
      <c r="C19" s="11">
        <f>IF(B19&gt;0,'2 MEDIA ALTURA'!$C$35,0)</f>
        <v>0</v>
      </c>
      <c r="D19" s="11">
        <f>+'2 MEDIA ALTURA'!C18-0.5</f>
        <v>-0.5</v>
      </c>
      <c r="E19" s="960">
        <f>+'2 MEDIA ALTURA'!$C$34-0.5</f>
        <v>-0.5</v>
      </c>
      <c r="F19">
        <f>IF(C19&gt;0,((D19*4)+(E19*4))*C19,0)</f>
        <v>0</v>
      </c>
      <c r="G19" s="583">
        <f>IF(C19&gt;0,1,0)</f>
        <v>0</v>
      </c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 ht="17.100000000000001" hidden="1" customHeight="1" x14ac:dyDescent="0.2">
      <c r="B20" s="959"/>
      <c r="C20" s="959"/>
      <c r="D20" s="959"/>
      <c r="E20" s="959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spans="1:27" ht="17.100000000000001" hidden="1" customHeight="1" x14ac:dyDescent="0.2">
      <c r="B21" s="11">
        <f>IF('2 MEDIA ALTURA'!$B$44='2 MEDIA ALTURA'!C21,'2 MEDIA ALTURA'!$C$44,IF('2 MEDIA ALTURA'!$B$45='2 MEDIA ALTURA'!C21,'2 MEDIA ALTURA'!$C$45,0))</f>
        <v>0</v>
      </c>
      <c r="C21" s="11">
        <f>IF(B21&gt;0,'2 MEDIA ALTURA'!$C$35,0)</f>
        <v>0</v>
      </c>
      <c r="D21" s="11">
        <f>+'2 MEDIA ALTURA'!C20-0.5</f>
        <v>-0.5</v>
      </c>
      <c r="E21" s="960">
        <f>+'2 MEDIA ALTURA'!$C$34-0.5</f>
        <v>-0.5</v>
      </c>
      <c r="F21">
        <f>IF(C21&gt;0,((D21*4)+(E21*4))*C21,0)</f>
        <v>0</v>
      </c>
      <c r="G21" s="583">
        <f t="shared" ref="G21:G108" si="0">IF(C21&gt;0,1,0)</f>
        <v>0</v>
      </c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spans="1:27" ht="17.100000000000001" hidden="1" customHeight="1" x14ac:dyDescent="0.2">
      <c r="B22" s="11"/>
      <c r="C22" s="11"/>
      <c r="D22" s="11"/>
      <c r="E22" s="11"/>
      <c r="F22">
        <f t="shared" ref="F22:F109" si="1">IF(C22&gt;0,((D22*4)+(E22*4))*C22,0)</f>
        <v>0</v>
      </c>
      <c r="G22" s="583">
        <f t="shared" si="0"/>
        <v>0</v>
      </c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spans="1:27" ht="17.100000000000001" hidden="1" customHeight="1" x14ac:dyDescent="0.2">
      <c r="B23" s="11">
        <f>IF('2 MEDIA ALTURA'!$B$44='2 MEDIA ALTURA'!C23,'2 MEDIA ALTURA'!$C$44,IF('2 MEDIA ALTURA'!$B$45='2 MEDIA ALTURA'!C23,'2 MEDIA ALTURA'!$C$45,0))</f>
        <v>0</v>
      </c>
      <c r="C23" s="11">
        <f>IF(B23&gt;0,'2 MEDIA ALTURA'!$C$35,0)</f>
        <v>0</v>
      </c>
      <c r="D23" s="11">
        <f>+'2 MEDIA ALTURA'!C22-0.5</f>
        <v>-0.5</v>
      </c>
      <c r="E23" s="960">
        <f>+'2 MEDIA ALTURA'!$C$34-0.5</f>
        <v>-0.5</v>
      </c>
      <c r="F23">
        <f t="shared" si="1"/>
        <v>0</v>
      </c>
      <c r="G23" s="583">
        <f t="shared" si="0"/>
        <v>0</v>
      </c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spans="1:27" ht="17.100000000000001" hidden="1" customHeight="1" x14ac:dyDescent="0.2">
      <c r="B24" s="11"/>
      <c r="C24" s="11"/>
      <c r="D24" s="11"/>
      <c r="E24" s="11"/>
      <c r="F24">
        <f t="shared" si="1"/>
        <v>0</v>
      </c>
      <c r="G24" s="583">
        <f t="shared" si="0"/>
        <v>0</v>
      </c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 ht="17.100000000000001" hidden="1" customHeight="1" x14ac:dyDescent="0.2">
      <c r="B25" s="11">
        <f>IF('2 MEDIA ALTURA'!$B$44='2 MEDIA ALTURA'!C25,'2 MEDIA ALTURA'!$C$44,IF('2 MEDIA ALTURA'!$B$45='2 MEDIA ALTURA'!C25,'2 MEDIA ALTURA'!$C$45,0))</f>
        <v>0</v>
      </c>
      <c r="C25" s="11">
        <f>IF(B25&gt;0,'2 MEDIA ALTURA'!$C$35,0)</f>
        <v>0</v>
      </c>
      <c r="D25" s="11">
        <f>+'2 MEDIA ALTURA'!C24-0.5</f>
        <v>-0.5</v>
      </c>
      <c r="E25" s="960">
        <f>+'2 MEDIA ALTURA'!$C$34-0.5</f>
        <v>-0.5</v>
      </c>
      <c r="F25">
        <f t="shared" si="1"/>
        <v>0</v>
      </c>
      <c r="G25" s="583">
        <f t="shared" si="0"/>
        <v>0</v>
      </c>
    </row>
    <row r="26" spans="1:27" ht="17.100000000000001" hidden="1" customHeight="1" x14ac:dyDescent="0.2">
      <c r="B26" s="11"/>
      <c r="C26" s="11"/>
      <c r="D26" s="11"/>
      <c r="E26" s="11"/>
      <c r="F26">
        <f t="shared" si="1"/>
        <v>0</v>
      </c>
      <c r="G26" s="583">
        <f t="shared" si="0"/>
        <v>0</v>
      </c>
    </row>
    <row r="27" spans="1:27" ht="17.100000000000001" hidden="1" customHeight="1" x14ac:dyDescent="0.2">
      <c r="B27" s="11">
        <f>IF('2 MEDIA ALTURA'!$B$44='2 MEDIA ALTURA'!C27,'2 MEDIA ALTURA'!$C$44,IF('2 MEDIA ALTURA'!$B$45='2 MEDIA ALTURA'!C27,'2 MEDIA ALTURA'!$C$45,0))</f>
        <v>0</v>
      </c>
      <c r="C27" s="11">
        <f>IF(B27&gt;0,'2 MEDIA ALTURA'!$C$35,0)</f>
        <v>0</v>
      </c>
      <c r="D27" s="11">
        <f>+'2 MEDIA ALTURA'!C26-0.5</f>
        <v>-0.5</v>
      </c>
      <c r="E27" s="960">
        <f>+'2 MEDIA ALTURA'!$C$34-0.5</f>
        <v>-0.5</v>
      </c>
      <c r="F27">
        <f t="shared" si="1"/>
        <v>0</v>
      </c>
      <c r="G27" s="583">
        <f t="shared" si="0"/>
        <v>0</v>
      </c>
    </row>
    <row r="28" spans="1:27" ht="17.100000000000001" hidden="1" customHeight="1" x14ac:dyDescent="0.2">
      <c r="B28" s="11"/>
      <c r="C28" s="11"/>
      <c r="D28" s="11"/>
      <c r="E28" s="11"/>
      <c r="F28">
        <f t="shared" si="1"/>
        <v>0</v>
      </c>
      <c r="G28" s="583">
        <f t="shared" si="0"/>
        <v>0</v>
      </c>
    </row>
    <row r="29" spans="1:27" ht="17.100000000000001" hidden="1" customHeight="1" x14ac:dyDescent="0.2">
      <c r="B29" s="11">
        <f>IF('2 MEDIA ALTURA'!$B$44='2 MEDIA ALTURA'!C29,'2 MEDIA ALTURA'!$C$44,IF('2 MEDIA ALTURA'!$B$45='2 MEDIA ALTURA'!C29,'2 MEDIA ALTURA'!$C$45,0))</f>
        <v>0</v>
      </c>
      <c r="C29" s="11">
        <f>IF(B29&gt;0,'2 MEDIA ALTURA'!$C$35,0)</f>
        <v>0</v>
      </c>
      <c r="D29" s="11">
        <f>+'2 MEDIA ALTURA'!C28-0.5</f>
        <v>-0.5</v>
      </c>
      <c r="E29" s="960">
        <f>+'2 MEDIA ALTURA'!$C$34-0.5</f>
        <v>-0.5</v>
      </c>
      <c r="F29">
        <f t="shared" si="1"/>
        <v>0</v>
      </c>
      <c r="G29" s="583">
        <f t="shared" si="0"/>
        <v>0</v>
      </c>
    </row>
    <row r="30" spans="1:27" ht="17.100000000000001" hidden="1" customHeight="1" x14ac:dyDescent="0.2">
      <c r="B30" s="3"/>
      <c r="C30" s="11"/>
      <c r="D30" s="11"/>
      <c r="E30" s="11"/>
      <c r="F30">
        <f t="shared" si="1"/>
        <v>0</v>
      </c>
      <c r="G30" s="583">
        <f t="shared" si="0"/>
        <v>0</v>
      </c>
    </row>
    <row r="31" spans="1:27" ht="17.100000000000001" hidden="1" customHeight="1" x14ac:dyDescent="0.2">
      <c r="A31" t="s">
        <v>794</v>
      </c>
      <c r="B31" s="11">
        <f>IF('2 MEDIA ALTURA'!$B$44='2 MEDIA ALTURA'!D17,'2 MEDIA ALTURA'!$C$44,IF('2 MEDIA ALTURA'!$B$45='2 MEDIA ALTURA'!D17,'2 MEDIA ALTURA'!$C$45,0))</f>
        <v>0</v>
      </c>
      <c r="C31" s="11">
        <f>IF(B31&gt;0,'2 MEDIA ALTURA'!$D$35,0)</f>
        <v>0</v>
      </c>
      <c r="D31" s="11">
        <f>+'2 MEDIA ALTURA'!D16-0.5</f>
        <v>-0.5</v>
      </c>
      <c r="E31" s="960">
        <f>+'2 MEDIA ALTURA'!$D$34-0.5</f>
        <v>-0.5</v>
      </c>
      <c r="F31">
        <f t="shared" si="1"/>
        <v>0</v>
      </c>
      <c r="G31" s="583">
        <f t="shared" si="0"/>
        <v>0</v>
      </c>
    </row>
    <row r="32" spans="1:27" ht="17.100000000000001" hidden="1" customHeight="1" x14ac:dyDescent="0.2">
      <c r="B32" s="3"/>
      <c r="C32" s="11"/>
      <c r="D32" s="11"/>
      <c r="E32" s="11"/>
    </row>
    <row r="33" spans="1:7" ht="17.100000000000001" hidden="1" customHeight="1" x14ac:dyDescent="0.2">
      <c r="A33" t="s">
        <v>794</v>
      </c>
      <c r="B33" s="11">
        <f>IF('2 MEDIA ALTURA'!$B$44='2 MEDIA ALTURA'!D19,'2 MEDIA ALTURA'!$C$44,IF('2 MEDIA ALTURA'!$B$45='2 MEDIA ALTURA'!D19,'2 MEDIA ALTURA'!$C$45,0))</f>
        <v>0</v>
      </c>
      <c r="C33" s="11">
        <f>IF(B33&gt;0,'2 MEDIA ALTURA'!$D$35,0)</f>
        <v>0</v>
      </c>
      <c r="D33" s="11">
        <f>+'2 MEDIA ALTURA'!D18-0.5</f>
        <v>-0.5</v>
      </c>
      <c r="E33" s="960">
        <f>+'2 MEDIA ALTURA'!$D$34-0.5</f>
        <v>-0.5</v>
      </c>
      <c r="F33">
        <f>IF(C33&gt;0,((D33*4)+(E33*4))*C33,0)</f>
        <v>0</v>
      </c>
      <c r="G33" s="583">
        <f>IF(C33&gt;0,1,0)</f>
        <v>0</v>
      </c>
    </row>
    <row r="34" spans="1:7" ht="17.100000000000001" hidden="1" customHeight="1" x14ac:dyDescent="0.2">
      <c r="B34" s="3"/>
      <c r="C34" s="11"/>
      <c r="D34" s="11"/>
      <c r="E34" s="11"/>
    </row>
    <row r="35" spans="1:7" ht="17.100000000000001" hidden="1" customHeight="1" x14ac:dyDescent="0.2">
      <c r="B35" s="11">
        <f>IF('2 MEDIA ALTURA'!$B$44='2 MEDIA ALTURA'!D21,'2 MEDIA ALTURA'!$C$44,IF('2 MEDIA ALTURA'!$B$45='2 MEDIA ALTURA'!D21,'2 MEDIA ALTURA'!$C$45,0))</f>
        <v>0</v>
      </c>
      <c r="C35" s="11">
        <f>IF(B35&gt;0,'2 MEDIA ALTURA'!$D$35,0)</f>
        <v>0</v>
      </c>
      <c r="D35" s="11">
        <f>+'2 MEDIA ALTURA'!D20-0.5</f>
        <v>-0.5</v>
      </c>
      <c r="E35" s="960">
        <f>+'2 MEDIA ALTURA'!$D$34-0.5</f>
        <v>-0.5</v>
      </c>
      <c r="F35">
        <f t="shared" si="1"/>
        <v>0</v>
      </c>
      <c r="G35" s="583">
        <f t="shared" si="0"/>
        <v>0</v>
      </c>
    </row>
    <row r="36" spans="1:7" ht="17.100000000000001" hidden="1" customHeight="1" x14ac:dyDescent="0.2">
      <c r="B36" s="3"/>
      <c r="C36" s="11"/>
      <c r="D36" s="11"/>
      <c r="E36" s="11"/>
      <c r="F36">
        <f t="shared" si="1"/>
        <v>0</v>
      </c>
      <c r="G36" s="583">
        <f t="shared" si="0"/>
        <v>0</v>
      </c>
    </row>
    <row r="37" spans="1:7" ht="17.100000000000001" hidden="1" customHeight="1" x14ac:dyDescent="0.2">
      <c r="B37" s="11">
        <f>IF('2 MEDIA ALTURA'!$B$44='2 MEDIA ALTURA'!D23,'2 MEDIA ALTURA'!$C$44,IF('2 MEDIA ALTURA'!$B$45='2 MEDIA ALTURA'!D23,'2 MEDIA ALTURA'!$C$45,0))</f>
        <v>0</v>
      </c>
      <c r="C37" s="11">
        <f>IF(B37&gt;0,'2 MEDIA ALTURA'!$D$35,0)</f>
        <v>0</v>
      </c>
      <c r="D37" s="11">
        <f>+'2 MEDIA ALTURA'!D22-0.5</f>
        <v>-0.5</v>
      </c>
      <c r="E37" s="960">
        <f>+'2 MEDIA ALTURA'!$D$34-0.5</f>
        <v>-0.5</v>
      </c>
      <c r="F37">
        <f t="shared" si="1"/>
        <v>0</v>
      </c>
      <c r="G37" s="583">
        <f t="shared" si="0"/>
        <v>0</v>
      </c>
    </row>
    <row r="38" spans="1:7" ht="17.100000000000001" hidden="1" customHeight="1" x14ac:dyDescent="0.2">
      <c r="B38" s="3"/>
      <c r="C38" s="11"/>
      <c r="D38" s="11"/>
      <c r="E38" s="11"/>
      <c r="F38">
        <f t="shared" si="1"/>
        <v>0</v>
      </c>
      <c r="G38" s="583">
        <f t="shared" si="0"/>
        <v>0</v>
      </c>
    </row>
    <row r="39" spans="1:7" ht="17.100000000000001" hidden="1" customHeight="1" x14ac:dyDescent="0.2">
      <c r="B39" s="11">
        <f>IF('2 MEDIA ALTURA'!$B$44='2 MEDIA ALTURA'!D25,'2 MEDIA ALTURA'!$C$44,IF('2 MEDIA ALTURA'!$B$45='2 MEDIA ALTURA'!D25,'2 MEDIA ALTURA'!$C$45,0))</f>
        <v>0</v>
      </c>
      <c r="C39" s="11">
        <f>IF(B39&gt;0,'2 MEDIA ALTURA'!$D$35,0)</f>
        <v>0</v>
      </c>
      <c r="D39" s="11">
        <f>+'2 MEDIA ALTURA'!D24-0.5</f>
        <v>-0.5</v>
      </c>
      <c r="E39" s="960">
        <f>+'2 MEDIA ALTURA'!$D$34-0.5</f>
        <v>-0.5</v>
      </c>
      <c r="F39">
        <f t="shared" si="1"/>
        <v>0</v>
      </c>
      <c r="G39" s="583">
        <f t="shared" si="0"/>
        <v>0</v>
      </c>
    </row>
    <row r="40" spans="1:7" ht="17.100000000000001" hidden="1" customHeight="1" x14ac:dyDescent="0.2">
      <c r="B40" s="3"/>
      <c r="C40" s="11"/>
      <c r="D40" s="11"/>
      <c r="E40" s="11"/>
      <c r="F40">
        <f t="shared" si="1"/>
        <v>0</v>
      </c>
      <c r="G40" s="583">
        <f t="shared" si="0"/>
        <v>0</v>
      </c>
    </row>
    <row r="41" spans="1:7" ht="17.100000000000001" hidden="1" customHeight="1" x14ac:dyDescent="0.2">
      <c r="B41" s="11">
        <f>IF('2 MEDIA ALTURA'!$B$44='2 MEDIA ALTURA'!D27,'2 MEDIA ALTURA'!$C$44,IF('2 MEDIA ALTURA'!$B$45='2 MEDIA ALTURA'!D27,'2 MEDIA ALTURA'!$C$45,0))</f>
        <v>0</v>
      </c>
      <c r="C41" s="11">
        <f>IF(B41&gt;0,'2 MEDIA ALTURA'!$D$35,0)</f>
        <v>0</v>
      </c>
      <c r="D41" s="11">
        <f>+'2 MEDIA ALTURA'!D26-0.5</f>
        <v>-0.5</v>
      </c>
      <c r="E41" s="960">
        <f>+'2 MEDIA ALTURA'!$D$34-0.5</f>
        <v>-0.5</v>
      </c>
      <c r="F41">
        <f t="shared" si="1"/>
        <v>0</v>
      </c>
      <c r="G41" s="583">
        <f t="shared" si="0"/>
        <v>0</v>
      </c>
    </row>
    <row r="42" spans="1:7" ht="17.100000000000001" hidden="1" customHeight="1" x14ac:dyDescent="0.2">
      <c r="B42" s="3"/>
      <c r="C42" s="11"/>
      <c r="D42" s="11"/>
      <c r="E42" s="11"/>
      <c r="F42">
        <f t="shared" si="1"/>
        <v>0</v>
      </c>
      <c r="G42" s="583">
        <f t="shared" si="0"/>
        <v>0</v>
      </c>
    </row>
    <row r="43" spans="1:7" ht="12.75" hidden="1" customHeight="1" x14ac:dyDescent="0.2">
      <c r="B43" s="11">
        <f>IF('2 MEDIA ALTURA'!$B$44='2 MEDIA ALTURA'!D29,'2 MEDIA ALTURA'!$C$44,IF('2 MEDIA ALTURA'!$B$45='2 MEDIA ALTURA'!D29,'2 MEDIA ALTURA'!$C$45,0))</f>
        <v>0</v>
      </c>
      <c r="C43" s="11">
        <f>IF(B43&gt;0,'2 MEDIA ALTURA'!$D$35,0)</f>
        <v>0</v>
      </c>
      <c r="D43" s="11">
        <f>+'2 MEDIA ALTURA'!D28-0.5</f>
        <v>-0.5</v>
      </c>
      <c r="E43" s="960">
        <f>+'2 MEDIA ALTURA'!$D$34-0.5</f>
        <v>-0.5</v>
      </c>
      <c r="F43">
        <f t="shared" si="1"/>
        <v>0</v>
      </c>
      <c r="G43" s="583">
        <f t="shared" si="0"/>
        <v>0</v>
      </c>
    </row>
    <row r="44" spans="1:7" ht="12.75" hidden="1" customHeight="1" x14ac:dyDescent="0.2">
      <c r="B44" s="3"/>
      <c r="C44" s="11"/>
      <c r="D44" s="11"/>
      <c r="E44" s="11"/>
      <c r="F44">
        <f t="shared" si="1"/>
        <v>0</v>
      </c>
      <c r="G44" s="583">
        <f t="shared" si="0"/>
        <v>0</v>
      </c>
    </row>
    <row r="45" spans="1:7" ht="12.75" hidden="1" customHeight="1" x14ac:dyDescent="0.2">
      <c r="B45" s="11">
        <f>IF('2 MEDIA ALTURA'!$B$44='2 MEDIA ALTURA'!E17,'2 MEDIA ALTURA'!$C$44,IF('2 MEDIA ALTURA'!$B$45='2 MEDIA ALTURA'!E17,'2 MEDIA ALTURA'!$C$45,0))</f>
        <v>0</v>
      </c>
      <c r="C45" s="11">
        <f>IF(B45&gt;0,'2 MEDIA ALTURA'!$E$35,0)</f>
        <v>0</v>
      </c>
      <c r="D45" s="11">
        <f>+'2 MEDIA ALTURA'!E16-0.5</f>
        <v>-0.5</v>
      </c>
      <c r="E45" s="960">
        <f>+'2 MEDIA ALTURA'!$E$34-0.5</f>
        <v>-0.5</v>
      </c>
      <c r="F45">
        <f t="shared" si="1"/>
        <v>0</v>
      </c>
      <c r="G45" s="583">
        <f t="shared" si="0"/>
        <v>0</v>
      </c>
    </row>
    <row r="46" spans="1:7" ht="12.75" hidden="1" customHeight="1" x14ac:dyDescent="0.2">
      <c r="B46" s="3"/>
      <c r="C46" s="11"/>
      <c r="D46" s="11"/>
      <c r="E46" s="11"/>
    </row>
    <row r="47" spans="1:7" ht="12.75" hidden="1" customHeight="1" x14ac:dyDescent="0.2">
      <c r="B47" s="11">
        <f>IF('2 MEDIA ALTURA'!$B$44='2 MEDIA ALTURA'!E19,'2 MEDIA ALTURA'!$C$44,IF('2 MEDIA ALTURA'!$B$45='2 MEDIA ALTURA'!E19,'2 MEDIA ALTURA'!$C$45,0))</f>
        <v>0</v>
      </c>
      <c r="C47" s="11">
        <f>IF(B47&gt;0,'2 MEDIA ALTURA'!$E$35,0)</f>
        <v>0</v>
      </c>
      <c r="D47" s="11">
        <f>+'2 MEDIA ALTURA'!E18-0.5</f>
        <v>-0.5</v>
      </c>
      <c r="E47" s="960">
        <f>+'2 MEDIA ALTURA'!$E$34-0.5</f>
        <v>-0.5</v>
      </c>
      <c r="F47">
        <f>IF(C47&gt;0,((D47*4)+(E47*4))*C47,0)</f>
        <v>0</v>
      </c>
      <c r="G47" s="583">
        <f>IF(C47&gt;0,1,0)</f>
        <v>0</v>
      </c>
    </row>
    <row r="48" spans="1:7" ht="12.75" hidden="1" customHeight="1" x14ac:dyDescent="0.2">
      <c r="B48" s="3"/>
      <c r="C48" s="11"/>
      <c r="D48" s="11"/>
      <c r="E48" s="11"/>
    </row>
    <row r="49" spans="2:7" ht="12.75" hidden="1" customHeight="1" x14ac:dyDescent="0.2">
      <c r="B49" s="11">
        <f>IF('2 MEDIA ALTURA'!$B$44='2 MEDIA ALTURA'!E21,'2 MEDIA ALTURA'!$C$44,IF('2 MEDIA ALTURA'!$B$45='2 MEDIA ALTURA'!E21,'2 MEDIA ALTURA'!$C$45,0))</f>
        <v>0</v>
      </c>
      <c r="C49" s="11">
        <f>IF(B49&gt;0,'2 MEDIA ALTURA'!$E$35,0)</f>
        <v>0</v>
      </c>
      <c r="D49" s="11">
        <f>+'2 MEDIA ALTURA'!E20-0.5</f>
        <v>-0.5</v>
      </c>
      <c r="E49" s="960">
        <f>+'2 MEDIA ALTURA'!$E$34-0.5</f>
        <v>-0.5</v>
      </c>
      <c r="F49">
        <f t="shared" si="1"/>
        <v>0</v>
      </c>
      <c r="G49" s="583">
        <f t="shared" si="0"/>
        <v>0</v>
      </c>
    </row>
    <row r="50" spans="2:7" ht="12.75" hidden="1" customHeight="1" x14ac:dyDescent="0.2">
      <c r="B50" s="3"/>
      <c r="C50" s="11"/>
      <c r="D50" s="11"/>
      <c r="E50" s="11"/>
      <c r="F50">
        <f t="shared" si="1"/>
        <v>0</v>
      </c>
      <c r="G50" s="583">
        <f t="shared" si="0"/>
        <v>0</v>
      </c>
    </row>
    <row r="51" spans="2:7" ht="12.75" hidden="1" customHeight="1" x14ac:dyDescent="0.2">
      <c r="B51" s="11">
        <f>IF('2 MEDIA ALTURA'!$B$44='2 MEDIA ALTURA'!E23,'2 MEDIA ALTURA'!$C$44,IF('2 MEDIA ALTURA'!$B$45='2 MEDIA ALTURA'!E23,'2 MEDIA ALTURA'!$C$45,0))</f>
        <v>0</v>
      </c>
      <c r="C51" s="11">
        <f>IF(B51&gt;0,'2 MEDIA ALTURA'!$E$35,0)</f>
        <v>0</v>
      </c>
      <c r="D51" s="11">
        <f>+'2 MEDIA ALTURA'!E22-0.5</f>
        <v>-0.5</v>
      </c>
      <c r="E51" s="960">
        <f>+'2 MEDIA ALTURA'!$E$34-0.5</f>
        <v>-0.5</v>
      </c>
      <c r="F51">
        <f t="shared" si="1"/>
        <v>0</v>
      </c>
      <c r="G51" s="583">
        <f t="shared" si="0"/>
        <v>0</v>
      </c>
    </row>
    <row r="52" spans="2:7" ht="12.75" hidden="1" customHeight="1" x14ac:dyDescent="0.2">
      <c r="B52" s="3"/>
      <c r="C52" s="11"/>
      <c r="D52" s="11"/>
      <c r="E52" s="11"/>
      <c r="F52">
        <f t="shared" si="1"/>
        <v>0</v>
      </c>
      <c r="G52" s="583">
        <f t="shared" si="0"/>
        <v>0</v>
      </c>
    </row>
    <row r="53" spans="2:7" ht="12.75" hidden="1" customHeight="1" x14ac:dyDescent="0.2">
      <c r="B53" s="11">
        <f>IF('2 MEDIA ALTURA'!$B$44='2 MEDIA ALTURA'!E25,'2 MEDIA ALTURA'!$C$44,IF('2 MEDIA ALTURA'!$B$45='2 MEDIA ALTURA'!E25,'2 MEDIA ALTURA'!$C$45,0))</f>
        <v>0</v>
      </c>
      <c r="C53" s="11">
        <f>IF(B53&gt;0,'2 MEDIA ALTURA'!$E$35,0)</f>
        <v>0</v>
      </c>
      <c r="D53" s="11">
        <f>+'2 MEDIA ALTURA'!E24-0.5</f>
        <v>-0.5</v>
      </c>
      <c r="E53" s="960">
        <f>+'2 MEDIA ALTURA'!$E$34-0.5</f>
        <v>-0.5</v>
      </c>
      <c r="F53">
        <f t="shared" si="1"/>
        <v>0</v>
      </c>
      <c r="G53" s="583">
        <f t="shared" si="0"/>
        <v>0</v>
      </c>
    </row>
    <row r="54" spans="2:7" ht="12.75" hidden="1" customHeight="1" x14ac:dyDescent="0.2">
      <c r="B54" s="3"/>
      <c r="C54" s="11"/>
      <c r="D54" s="11"/>
      <c r="E54" s="11"/>
      <c r="F54">
        <f t="shared" si="1"/>
        <v>0</v>
      </c>
      <c r="G54" s="583">
        <f t="shared" si="0"/>
        <v>0</v>
      </c>
    </row>
    <row r="55" spans="2:7" ht="12.75" hidden="1" customHeight="1" x14ac:dyDescent="0.2">
      <c r="B55" s="11">
        <f>IF('2 MEDIA ALTURA'!$B$44='2 MEDIA ALTURA'!E27,'2 MEDIA ALTURA'!$C$44,IF('2 MEDIA ALTURA'!$B$45='2 MEDIA ALTURA'!E27,'2 MEDIA ALTURA'!$C$45,0))</f>
        <v>0</v>
      </c>
      <c r="C55" s="11">
        <f>IF(B55&gt;0,'2 MEDIA ALTURA'!$E$35,0)</f>
        <v>0</v>
      </c>
      <c r="D55" s="11">
        <f>+'2 MEDIA ALTURA'!E26-0.5</f>
        <v>-0.5</v>
      </c>
      <c r="E55" s="960">
        <f>+'2 MEDIA ALTURA'!$E$34-0.5</f>
        <v>-0.5</v>
      </c>
      <c r="F55">
        <f t="shared" si="1"/>
        <v>0</v>
      </c>
      <c r="G55" s="583">
        <f t="shared" si="0"/>
        <v>0</v>
      </c>
    </row>
    <row r="56" spans="2:7" ht="12.75" hidden="1" customHeight="1" x14ac:dyDescent="0.2">
      <c r="B56" s="3"/>
      <c r="C56" s="11"/>
      <c r="D56" s="11"/>
      <c r="E56" s="11"/>
      <c r="F56">
        <f t="shared" si="1"/>
        <v>0</v>
      </c>
      <c r="G56" s="583">
        <f t="shared" si="0"/>
        <v>0</v>
      </c>
    </row>
    <row r="57" spans="2:7" ht="12.75" hidden="1" customHeight="1" x14ac:dyDescent="0.2">
      <c r="B57" s="11">
        <f>IF('2 MEDIA ALTURA'!$B$44='2 MEDIA ALTURA'!E29,'2 MEDIA ALTURA'!$C$44,IF('2 MEDIA ALTURA'!$B$45='2 MEDIA ALTURA'!E29,'2 MEDIA ALTURA'!$C$45,0))</f>
        <v>0</v>
      </c>
      <c r="C57" s="11">
        <f>IF(B57&gt;0,'2 MEDIA ALTURA'!$E$35,0)</f>
        <v>0</v>
      </c>
      <c r="D57" s="11">
        <f>+'2 MEDIA ALTURA'!E28-0.5</f>
        <v>-0.5</v>
      </c>
      <c r="E57" s="960">
        <f>+'2 MEDIA ALTURA'!$E$34-0.5</f>
        <v>-0.5</v>
      </c>
      <c r="F57">
        <f t="shared" si="1"/>
        <v>0</v>
      </c>
      <c r="G57" s="583">
        <f t="shared" si="0"/>
        <v>0</v>
      </c>
    </row>
    <row r="58" spans="2:7" ht="12.75" hidden="1" customHeight="1" x14ac:dyDescent="0.2">
      <c r="B58" s="3"/>
      <c r="C58" s="11"/>
      <c r="D58" s="11"/>
      <c r="E58" s="11"/>
      <c r="F58">
        <f t="shared" si="1"/>
        <v>0</v>
      </c>
      <c r="G58" s="583">
        <f t="shared" si="0"/>
        <v>0</v>
      </c>
    </row>
    <row r="59" spans="2:7" ht="12.75" hidden="1" customHeight="1" x14ac:dyDescent="0.2">
      <c r="B59" s="11">
        <f>IF('2 MEDIA ALTURA'!$B$44='2 MEDIA ALTURA'!F17,'2 MEDIA ALTURA'!$C$44,IF('2 MEDIA ALTURA'!$B$45='2 MEDIA ALTURA'!F17,'2 MEDIA ALTURA'!$C$45,0))</f>
        <v>0</v>
      </c>
      <c r="C59" s="11">
        <f>IF(B59&gt;0,'2 MEDIA ALTURA'!$F$35,0)</f>
        <v>0</v>
      </c>
      <c r="D59" s="11">
        <f>+'2 MEDIA ALTURA'!F16-0.5</f>
        <v>-0.5</v>
      </c>
      <c r="E59" s="960">
        <f>+'2 MEDIA ALTURA'!$F$34-0.5</f>
        <v>-0.5</v>
      </c>
      <c r="F59">
        <f t="shared" si="1"/>
        <v>0</v>
      </c>
      <c r="G59" s="583">
        <f t="shared" si="0"/>
        <v>0</v>
      </c>
    </row>
    <row r="60" spans="2:7" ht="12.75" hidden="1" customHeight="1" x14ac:dyDescent="0.2">
      <c r="B60" s="3"/>
      <c r="C60" s="11"/>
      <c r="D60" s="11"/>
      <c r="E60" s="11"/>
    </row>
    <row r="61" spans="2:7" ht="12.75" hidden="1" customHeight="1" x14ac:dyDescent="0.2">
      <c r="B61" s="11">
        <f>IF('2 MEDIA ALTURA'!$B$44='2 MEDIA ALTURA'!F19,'2 MEDIA ALTURA'!$C$44,IF('2 MEDIA ALTURA'!$B$45='2 MEDIA ALTURA'!F19,'2 MEDIA ALTURA'!$C$45,0))</f>
        <v>0</v>
      </c>
      <c r="C61" s="11">
        <f>IF(B61&gt;0,'2 MEDIA ALTURA'!$F$35,0)</f>
        <v>0</v>
      </c>
      <c r="D61" s="11">
        <f>+'2 MEDIA ALTURA'!F18-0.5</f>
        <v>-0.5</v>
      </c>
      <c r="E61" s="960">
        <f>+'2 MEDIA ALTURA'!$F$34-0.5</f>
        <v>-0.5</v>
      </c>
      <c r="F61">
        <f>IF(C61&gt;0,((D61*4)+(E61*4))*C61,0)</f>
        <v>0</v>
      </c>
      <c r="G61" s="583">
        <f>IF(C61&gt;0,1,0)</f>
        <v>0</v>
      </c>
    </row>
    <row r="62" spans="2:7" ht="12.75" hidden="1" customHeight="1" x14ac:dyDescent="0.2">
      <c r="B62" s="3"/>
      <c r="C62" s="11"/>
      <c r="D62" s="11"/>
      <c r="E62" s="11"/>
    </row>
    <row r="63" spans="2:7" hidden="1" x14ac:dyDescent="0.2">
      <c r="B63" s="11">
        <f>IF('2 MEDIA ALTURA'!$B$44='2 MEDIA ALTURA'!F21,'2 MEDIA ALTURA'!$C$44,IF('2 MEDIA ALTURA'!$B$45='2 MEDIA ALTURA'!F21,'2 MEDIA ALTURA'!$C$45,0))</f>
        <v>0</v>
      </c>
      <c r="C63" s="11">
        <f>IF(B63&gt;0,'2 MEDIA ALTURA'!$F$35,0)</f>
        <v>0</v>
      </c>
      <c r="D63" s="11">
        <f>+'2 MEDIA ALTURA'!F20-0.5</f>
        <v>-0.5</v>
      </c>
      <c r="E63" s="960">
        <f>+'2 MEDIA ALTURA'!$F$34-0.5</f>
        <v>-0.5</v>
      </c>
      <c r="F63">
        <f t="shared" si="1"/>
        <v>0</v>
      </c>
      <c r="G63" s="583">
        <f t="shared" si="0"/>
        <v>0</v>
      </c>
    </row>
    <row r="64" spans="2:7" hidden="1" x14ac:dyDescent="0.2">
      <c r="F64">
        <f t="shared" si="1"/>
        <v>0</v>
      </c>
      <c r="G64" s="583">
        <f t="shared" si="0"/>
        <v>0</v>
      </c>
    </row>
    <row r="65" spans="2:7" hidden="1" x14ac:dyDescent="0.2">
      <c r="B65" s="11">
        <f>IF('2 MEDIA ALTURA'!$B$44='2 MEDIA ALTURA'!F23,'2 MEDIA ALTURA'!$C$44,IF('2 MEDIA ALTURA'!$B$45='2 MEDIA ALTURA'!F23,'2 MEDIA ALTURA'!$C$45,0))</f>
        <v>0</v>
      </c>
      <c r="C65" s="11">
        <f>IF(B65&gt;0,'2 MEDIA ALTURA'!$F$35,0)</f>
        <v>0</v>
      </c>
      <c r="D65" s="11">
        <f>+'2 MEDIA ALTURA'!F22-0.5</f>
        <v>-0.5</v>
      </c>
      <c r="E65" s="960">
        <f>+'2 MEDIA ALTURA'!$F$34-0.5</f>
        <v>-0.5</v>
      </c>
      <c r="F65">
        <f t="shared" si="1"/>
        <v>0</v>
      </c>
      <c r="G65" s="583">
        <f t="shared" si="0"/>
        <v>0</v>
      </c>
    </row>
    <row r="66" spans="2:7" hidden="1" x14ac:dyDescent="0.2">
      <c r="F66">
        <f t="shared" si="1"/>
        <v>0</v>
      </c>
      <c r="G66" s="583">
        <f t="shared" si="0"/>
        <v>0</v>
      </c>
    </row>
    <row r="67" spans="2:7" hidden="1" x14ac:dyDescent="0.2">
      <c r="B67" s="11">
        <f>IF('2 MEDIA ALTURA'!$B$44='2 MEDIA ALTURA'!F25,'2 MEDIA ALTURA'!$C$44,IF('2 MEDIA ALTURA'!$B$45='2 MEDIA ALTURA'!F25,'2 MEDIA ALTURA'!$C$45,0))</f>
        <v>0</v>
      </c>
      <c r="C67" s="11">
        <f>IF(B67&gt;0,'2 MEDIA ALTURA'!$F$35,0)</f>
        <v>0</v>
      </c>
      <c r="D67" s="11">
        <f>+'2 MEDIA ALTURA'!F24-0.5</f>
        <v>-0.5</v>
      </c>
      <c r="E67" s="960">
        <f>+'2 MEDIA ALTURA'!$F$34-0.5</f>
        <v>-0.5</v>
      </c>
      <c r="F67">
        <f t="shared" si="1"/>
        <v>0</v>
      </c>
      <c r="G67" s="583">
        <f t="shared" si="0"/>
        <v>0</v>
      </c>
    </row>
    <row r="68" spans="2:7" hidden="1" x14ac:dyDescent="0.2">
      <c r="F68">
        <f t="shared" si="1"/>
        <v>0</v>
      </c>
      <c r="G68" s="583">
        <f t="shared" si="0"/>
        <v>0</v>
      </c>
    </row>
    <row r="69" spans="2:7" hidden="1" x14ac:dyDescent="0.2">
      <c r="B69" s="11">
        <f>IF('2 MEDIA ALTURA'!$B$44='2 MEDIA ALTURA'!F27,'2 MEDIA ALTURA'!$C$44,IF('2 MEDIA ALTURA'!$B$45='2 MEDIA ALTURA'!F27,'2 MEDIA ALTURA'!$C$45,0))</f>
        <v>0</v>
      </c>
      <c r="C69" s="11">
        <f>IF(B69&gt;0,'2 MEDIA ALTURA'!$F$35,0)</f>
        <v>0</v>
      </c>
      <c r="D69" s="11">
        <f>+'2 MEDIA ALTURA'!F26-0.5</f>
        <v>-0.5</v>
      </c>
      <c r="E69" s="960">
        <f>+'2 MEDIA ALTURA'!$F$34-0.5</f>
        <v>-0.5</v>
      </c>
      <c r="F69">
        <f t="shared" si="1"/>
        <v>0</v>
      </c>
      <c r="G69" s="583">
        <f t="shared" si="0"/>
        <v>0</v>
      </c>
    </row>
    <row r="70" spans="2:7" hidden="1" x14ac:dyDescent="0.2">
      <c r="F70">
        <f t="shared" si="1"/>
        <v>0</v>
      </c>
      <c r="G70" s="583">
        <f t="shared" si="0"/>
        <v>0</v>
      </c>
    </row>
    <row r="71" spans="2:7" hidden="1" x14ac:dyDescent="0.2">
      <c r="B71" s="11">
        <f>IF('2 MEDIA ALTURA'!$B$44='2 MEDIA ALTURA'!F29,'2 MEDIA ALTURA'!$C$44,IF('2 MEDIA ALTURA'!$B$45='2 MEDIA ALTURA'!F29,'2 MEDIA ALTURA'!$C$45,0))</f>
        <v>0</v>
      </c>
      <c r="C71" s="11">
        <f>IF(B71&gt;0,'2 MEDIA ALTURA'!$F$35,0)</f>
        <v>0</v>
      </c>
      <c r="D71" s="11">
        <f>+'2 MEDIA ALTURA'!F28-0.5</f>
        <v>-0.5</v>
      </c>
      <c r="E71" s="960">
        <f>+'2 MEDIA ALTURA'!$F$34-0.5</f>
        <v>-0.5</v>
      </c>
      <c r="F71">
        <f t="shared" si="1"/>
        <v>0</v>
      </c>
      <c r="G71" s="583">
        <f t="shared" si="0"/>
        <v>0</v>
      </c>
    </row>
    <row r="72" spans="2:7" hidden="1" x14ac:dyDescent="0.2">
      <c r="F72">
        <f t="shared" si="1"/>
        <v>0</v>
      </c>
      <c r="G72" s="583">
        <f t="shared" si="0"/>
        <v>0</v>
      </c>
    </row>
    <row r="73" spans="2:7" hidden="1" x14ac:dyDescent="0.2">
      <c r="B73" s="11">
        <f>IF('2 MEDIA ALTURA'!$B$44='2 MEDIA ALTURA'!G17,'2 MEDIA ALTURA'!$C$44,IF('2 MEDIA ALTURA'!$B$45='2 MEDIA ALTURA'!G17,'2 MEDIA ALTURA'!$C$45,0))</f>
        <v>0</v>
      </c>
      <c r="C73" s="11">
        <f>IF(B73&gt;0,'2 MEDIA ALTURA'!$G$35,0)</f>
        <v>0</v>
      </c>
      <c r="D73" s="11">
        <f>+'2 MEDIA ALTURA'!G16-0.5</f>
        <v>-0.5</v>
      </c>
      <c r="E73" s="960">
        <f>+'2 MEDIA ALTURA'!$G$34-0.5</f>
        <v>-0.5</v>
      </c>
      <c r="F73">
        <f t="shared" si="1"/>
        <v>0</v>
      </c>
      <c r="G73" s="583">
        <f t="shared" si="0"/>
        <v>0</v>
      </c>
    </row>
    <row r="74" spans="2:7" hidden="1" x14ac:dyDescent="0.2"/>
    <row r="75" spans="2:7" hidden="1" x14ac:dyDescent="0.2">
      <c r="B75" s="11">
        <f>IF('2 MEDIA ALTURA'!$B$44='2 MEDIA ALTURA'!G19,'2 MEDIA ALTURA'!$C$44,IF('2 MEDIA ALTURA'!$B$45='2 MEDIA ALTURA'!G19,'2 MEDIA ALTURA'!$C$45,0))</f>
        <v>0</v>
      </c>
      <c r="C75" s="11">
        <f>IF(B75&gt;0,'2 MEDIA ALTURA'!$G$35,0)</f>
        <v>0</v>
      </c>
      <c r="D75" s="11">
        <f>+'2 MEDIA ALTURA'!G18-0.5</f>
        <v>-0.5</v>
      </c>
      <c r="E75" s="960">
        <f>+'2 MEDIA ALTURA'!$G$34-0.5</f>
        <v>-0.5</v>
      </c>
      <c r="F75">
        <f>IF(C75&gt;0,((D75*4)+(E75*4))*C75,0)</f>
        <v>0</v>
      </c>
      <c r="G75" s="583">
        <f>IF(C75&gt;0,1,0)</f>
        <v>0</v>
      </c>
    </row>
    <row r="76" spans="2:7" hidden="1" x14ac:dyDescent="0.2"/>
    <row r="77" spans="2:7" hidden="1" x14ac:dyDescent="0.2">
      <c r="B77" s="11">
        <f>IF('2 MEDIA ALTURA'!$B$44='2 MEDIA ALTURA'!G21,'2 MEDIA ALTURA'!$C$44,IF('2 MEDIA ALTURA'!$B$45='2 MEDIA ALTURA'!G21,'2 MEDIA ALTURA'!$C$45,0))</f>
        <v>0</v>
      </c>
      <c r="C77" s="11">
        <f>IF(B77&gt;0,'2 MEDIA ALTURA'!$G$35,0)</f>
        <v>0</v>
      </c>
      <c r="D77" s="11">
        <f>+'2 MEDIA ALTURA'!G20-0.5</f>
        <v>-0.5</v>
      </c>
      <c r="E77" s="960">
        <f>+'2 MEDIA ALTURA'!$G$34-0.5</f>
        <v>-0.5</v>
      </c>
      <c r="F77">
        <f t="shared" si="1"/>
        <v>0</v>
      </c>
      <c r="G77" s="583">
        <f t="shared" si="0"/>
        <v>0</v>
      </c>
    </row>
    <row r="78" spans="2:7" hidden="1" x14ac:dyDescent="0.2">
      <c r="F78">
        <f t="shared" si="1"/>
        <v>0</v>
      </c>
      <c r="G78" s="583">
        <f t="shared" si="0"/>
        <v>0</v>
      </c>
    </row>
    <row r="79" spans="2:7" hidden="1" x14ac:dyDescent="0.2">
      <c r="B79" s="11">
        <f>IF('2 MEDIA ALTURA'!$B$44='2 MEDIA ALTURA'!G23,'2 MEDIA ALTURA'!$C$44,IF('2 MEDIA ALTURA'!$B$45='2 MEDIA ALTURA'!G23,'2 MEDIA ALTURA'!$C$45,0))</f>
        <v>0</v>
      </c>
      <c r="C79" s="11">
        <f>IF(B79&gt;0,'2 MEDIA ALTURA'!$G$35,0)</f>
        <v>0</v>
      </c>
      <c r="D79" s="11">
        <f>+'2 MEDIA ALTURA'!G22-0.5</f>
        <v>-0.5</v>
      </c>
      <c r="E79" s="960">
        <f>+'2 MEDIA ALTURA'!$G$34-0.5</f>
        <v>-0.5</v>
      </c>
      <c r="F79">
        <f t="shared" si="1"/>
        <v>0</v>
      </c>
      <c r="G79" s="583">
        <f t="shared" si="0"/>
        <v>0</v>
      </c>
    </row>
    <row r="80" spans="2:7" hidden="1" x14ac:dyDescent="0.2">
      <c r="F80">
        <f t="shared" si="1"/>
        <v>0</v>
      </c>
      <c r="G80" s="583">
        <f t="shared" si="0"/>
        <v>0</v>
      </c>
    </row>
    <row r="81" spans="2:7" hidden="1" x14ac:dyDescent="0.2">
      <c r="B81" s="11">
        <f>IF('2 MEDIA ALTURA'!$B$44='2 MEDIA ALTURA'!G25,'2 MEDIA ALTURA'!$C$44,IF('2 MEDIA ALTURA'!$B$45='2 MEDIA ALTURA'!G25,'2 MEDIA ALTURA'!$C$45,0))</f>
        <v>0</v>
      </c>
      <c r="C81" s="11">
        <f>IF(B81&gt;0,'2 MEDIA ALTURA'!$G$35,0)</f>
        <v>0</v>
      </c>
      <c r="D81" s="11">
        <f>+'2 MEDIA ALTURA'!G24-0.5</f>
        <v>-0.5</v>
      </c>
      <c r="E81" s="960">
        <f>+'2 MEDIA ALTURA'!$G$34-0.5</f>
        <v>-0.5</v>
      </c>
      <c r="F81">
        <f t="shared" si="1"/>
        <v>0</v>
      </c>
      <c r="G81" s="583">
        <f t="shared" si="0"/>
        <v>0</v>
      </c>
    </row>
    <row r="82" spans="2:7" hidden="1" x14ac:dyDescent="0.2">
      <c r="F82">
        <f t="shared" si="1"/>
        <v>0</v>
      </c>
      <c r="G82" s="583">
        <f t="shared" si="0"/>
        <v>0</v>
      </c>
    </row>
    <row r="83" spans="2:7" hidden="1" x14ac:dyDescent="0.2">
      <c r="B83" s="11">
        <f>IF('2 MEDIA ALTURA'!$B$44='2 MEDIA ALTURA'!G27,'2 MEDIA ALTURA'!$C$44,IF('2 MEDIA ALTURA'!$B$45='2 MEDIA ALTURA'!G27,'2 MEDIA ALTURA'!$C$45,0))</f>
        <v>0</v>
      </c>
      <c r="C83" s="11">
        <f>IF(B83&gt;0,'2 MEDIA ALTURA'!$G$35,0)</f>
        <v>0</v>
      </c>
      <c r="D83" s="11">
        <f>+'2 MEDIA ALTURA'!G26-0.5</f>
        <v>-0.5</v>
      </c>
      <c r="E83" s="960">
        <f>+'2 MEDIA ALTURA'!$G$34-0.5</f>
        <v>-0.5</v>
      </c>
      <c r="F83">
        <f t="shared" si="1"/>
        <v>0</v>
      </c>
      <c r="G83" s="583">
        <f t="shared" si="0"/>
        <v>0</v>
      </c>
    </row>
    <row r="84" spans="2:7" hidden="1" x14ac:dyDescent="0.2">
      <c r="F84">
        <f t="shared" si="1"/>
        <v>0</v>
      </c>
      <c r="G84" s="583">
        <f t="shared" si="0"/>
        <v>0</v>
      </c>
    </row>
    <row r="85" spans="2:7" hidden="1" x14ac:dyDescent="0.2">
      <c r="B85" s="11">
        <f>IF('2 MEDIA ALTURA'!$B$44='2 MEDIA ALTURA'!G29,'2 MEDIA ALTURA'!$C$44,IF('2 MEDIA ALTURA'!$B$45='2 MEDIA ALTURA'!G29,'2 MEDIA ALTURA'!$C$45,0))</f>
        <v>0</v>
      </c>
      <c r="C85" s="11">
        <f>IF(B85&gt;0,'2 MEDIA ALTURA'!$G$35,0)</f>
        <v>0</v>
      </c>
      <c r="D85" s="11">
        <f>+'2 MEDIA ALTURA'!G28-0.5</f>
        <v>-0.5</v>
      </c>
      <c r="E85" s="960">
        <f>+'2 MEDIA ALTURA'!$G$34-0.5</f>
        <v>-0.5</v>
      </c>
      <c r="F85">
        <f t="shared" si="1"/>
        <v>0</v>
      </c>
      <c r="G85" s="583">
        <f t="shared" si="0"/>
        <v>0</v>
      </c>
    </row>
    <row r="86" spans="2:7" hidden="1" x14ac:dyDescent="0.2">
      <c r="F86">
        <f t="shared" si="1"/>
        <v>0</v>
      </c>
      <c r="G86" s="583">
        <f t="shared" si="0"/>
        <v>0</v>
      </c>
    </row>
    <row r="87" spans="2:7" hidden="1" x14ac:dyDescent="0.2">
      <c r="B87" s="11">
        <f>IF('2 MEDIA ALTURA'!$B$44='2 MEDIA ALTURA'!H17,'2 MEDIA ALTURA'!$C$44,IF('2 MEDIA ALTURA'!$B$45='2 MEDIA ALTURA'!H17,'2 MEDIA ALTURA'!$C$45,0))</f>
        <v>0</v>
      </c>
      <c r="C87" s="11">
        <f>IF(B87&gt;0,'2 MEDIA ALTURA'!$H$35,0)</f>
        <v>0</v>
      </c>
      <c r="D87" s="11">
        <f>+'2 MEDIA ALTURA'!H16-0.5</f>
        <v>-0.5</v>
      </c>
      <c r="E87" s="960">
        <f>+'2 MEDIA ALTURA'!$H$34-0.5</f>
        <v>-0.5</v>
      </c>
      <c r="F87">
        <f t="shared" si="1"/>
        <v>0</v>
      </c>
      <c r="G87" s="583">
        <f t="shared" si="0"/>
        <v>0</v>
      </c>
    </row>
    <row r="88" spans="2:7" hidden="1" x14ac:dyDescent="0.2"/>
    <row r="89" spans="2:7" hidden="1" x14ac:dyDescent="0.2">
      <c r="B89" s="11">
        <f>IF('2 MEDIA ALTURA'!$B$44='2 MEDIA ALTURA'!H19,'2 MEDIA ALTURA'!$C$44,IF('2 MEDIA ALTURA'!$B$45='2 MEDIA ALTURA'!H19,'2 MEDIA ALTURA'!$C$45,0))</f>
        <v>0</v>
      </c>
      <c r="C89" s="11">
        <f>IF(B89&gt;0,'2 MEDIA ALTURA'!$H$35,0)</f>
        <v>0</v>
      </c>
      <c r="D89" s="11">
        <f>+'2 MEDIA ALTURA'!H18-0.5</f>
        <v>-0.5</v>
      </c>
      <c r="E89" s="960">
        <f>+'2 MEDIA ALTURA'!$H$34-0.5</f>
        <v>-0.5</v>
      </c>
      <c r="F89">
        <f>IF(C89&gt;0,((D89*4)+(E89*4))*C89,0)</f>
        <v>0</v>
      </c>
      <c r="G89" s="583">
        <f>IF(C89&gt;0,1,0)</f>
        <v>0</v>
      </c>
    </row>
    <row r="90" spans="2:7" hidden="1" x14ac:dyDescent="0.2"/>
    <row r="91" spans="2:7" hidden="1" x14ac:dyDescent="0.2">
      <c r="B91" s="11">
        <f>IF('2 MEDIA ALTURA'!$B$44='2 MEDIA ALTURA'!H21,'2 MEDIA ALTURA'!$C$44,IF('2 MEDIA ALTURA'!$B$45='2 MEDIA ALTURA'!H21,'2 MEDIA ALTURA'!$C$45,0))</f>
        <v>0</v>
      </c>
      <c r="C91" s="11">
        <f>IF(B91&gt;0,'2 MEDIA ALTURA'!$H$35,0)</f>
        <v>0</v>
      </c>
      <c r="D91" s="11">
        <f>+'2 MEDIA ALTURA'!H20-0.5</f>
        <v>-0.5</v>
      </c>
      <c r="E91" s="960">
        <f>+'2 MEDIA ALTURA'!$H$34-0.5</f>
        <v>-0.5</v>
      </c>
      <c r="F91">
        <f t="shared" si="1"/>
        <v>0</v>
      </c>
      <c r="G91" s="583">
        <f t="shared" si="0"/>
        <v>0</v>
      </c>
    </row>
    <row r="92" spans="2:7" hidden="1" x14ac:dyDescent="0.2">
      <c r="F92">
        <f t="shared" si="1"/>
        <v>0</v>
      </c>
      <c r="G92" s="583">
        <f t="shared" si="0"/>
        <v>0</v>
      </c>
    </row>
    <row r="93" spans="2:7" hidden="1" x14ac:dyDescent="0.2">
      <c r="B93" s="11">
        <f>IF('2 MEDIA ALTURA'!$B$44='2 MEDIA ALTURA'!H23,'2 MEDIA ALTURA'!$C$44,IF('2 MEDIA ALTURA'!$B$45='2 MEDIA ALTURA'!H23,'2 MEDIA ALTURA'!$C$45,0))</f>
        <v>0</v>
      </c>
      <c r="C93" s="11">
        <f>IF(B93&gt;0,'2 MEDIA ALTURA'!$H$35,0)</f>
        <v>0</v>
      </c>
      <c r="D93" s="11">
        <f>+'2 MEDIA ALTURA'!H22-0.5</f>
        <v>-0.5</v>
      </c>
      <c r="E93" s="960">
        <f>+'2 MEDIA ALTURA'!$H$34-0.5</f>
        <v>-0.5</v>
      </c>
      <c r="F93">
        <f t="shared" si="1"/>
        <v>0</v>
      </c>
      <c r="G93" s="583">
        <f t="shared" si="0"/>
        <v>0</v>
      </c>
    </row>
    <row r="94" spans="2:7" hidden="1" x14ac:dyDescent="0.2">
      <c r="F94">
        <f t="shared" si="1"/>
        <v>0</v>
      </c>
      <c r="G94" s="583">
        <f t="shared" si="0"/>
        <v>0</v>
      </c>
    </row>
    <row r="95" spans="2:7" hidden="1" x14ac:dyDescent="0.2">
      <c r="B95" s="11">
        <f>IF('2 MEDIA ALTURA'!$B$44='2 MEDIA ALTURA'!H25,'2 MEDIA ALTURA'!$C$44,IF('2 MEDIA ALTURA'!$B$45='2 MEDIA ALTURA'!H25,'2 MEDIA ALTURA'!$C$45,0))</f>
        <v>0</v>
      </c>
      <c r="C95" s="11">
        <f>IF(B95&gt;0,'2 MEDIA ALTURA'!$H$35,0)</f>
        <v>0</v>
      </c>
      <c r="D95" s="11">
        <f>+'2 MEDIA ALTURA'!H24-0.5</f>
        <v>-0.5</v>
      </c>
      <c r="E95" s="960">
        <f>+'2 MEDIA ALTURA'!$H$34-0.5</f>
        <v>-0.5</v>
      </c>
      <c r="F95">
        <f t="shared" si="1"/>
        <v>0</v>
      </c>
      <c r="G95" s="583">
        <f t="shared" si="0"/>
        <v>0</v>
      </c>
    </row>
    <row r="96" spans="2:7" hidden="1" x14ac:dyDescent="0.2">
      <c r="F96">
        <f t="shared" si="1"/>
        <v>0</v>
      </c>
      <c r="G96" s="583">
        <f t="shared" si="0"/>
        <v>0</v>
      </c>
    </row>
    <row r="97" spans="2:7" hidden="1" x14ac:dyDescent="0.2">
      <c r="B97" s="11">
        <f>IF('2 MEDIA ALTURA'!$B$44='2 MEDIA ALTURA'!H27,'2 MEDIA ALTURA'!$C$44,IF('2 MEDIA ALTURA'!$B$45='2 MEDIA ALTURA'!H27,'2 MEDIA ALTURA'!$C$45,0))</f>
        <v>0</v>
      </c>
      <c r="C97" s="11">
        <f>IF(B97&gt;0,'2 MEDIA ALTURA'!$H$35,0)</f>
        <v>0</v>
      </c>
      <c r="D97" s="11">
        <f>+'2 MEDIA ALTURA'!H26-0.5</f>
        <v>-0.5</v>
      </c>
      <c r="E97" s="960">
        <f>+'2 MEDIA ALTURA'!$H$34-0.5</f>
        <v>-0.5</v>
      </c>
      <c r="F97">
        <f t="shared" si="1"/>
        <v>0</v>
      </c>
      <c r="G97" s="583">
        <f t="shared" si="0"/>
        <v>0</v>
      </c>
    </row>
    <row r="98" spans="2:7" hidden="1" x14ac:dyDescent="0.2">
      <c r="F98">
        <f t="shared" si="1"/>
        <v>0</v>
      </c>
      <c r="G98" s="583">
        <f t="shared" si="0"/>
        <v>0</v>
      </c>
    </row>
    <row r="99" spans="2:7" hidden="1" x14ac:dyDescent="0.2">
      <c r="B99" s="11">
        <f>IF('2 MEDIA ALTURA'!$B$44='2 MEDIA ALTURA'!H29,'2 MEDIA ALTURA'!$C$44,IF('2 MEDIA ALTURA'!$B$45='2 MEDIA ALTURA'!H29,'2 MEDIA ALTURA'!$C$45,0))</f>
        <v>0</v>
      </c>
      <c r="C99" s="11">
        <f>IF(B99&gt;0,'2 MEDIA ALTURA'!$H$35,0)</f>
        <v>0</v>
      </c>
      <c r="D99" s="11">
        <f>+'2 MEDIA ALTURA'!H28-0.5</f>
        <v>-0.5</v>
      </c>
      <c r="E99" s="960">
        <f>+'2 MEDIA ALTURA'!$H$34-0.5</f>
        <v>-0.5</v>
      </c>
      <c r="F99">
        <f t="shared" si="1"/>
        <v>0</v>
      </c>
      <c r="G99" s="583">
        <f t="shared" si="0"/>
        <v>0</v>
      </c>
    </row>
    <row r="100" spans="2:7" hidden="1" x14ac:dyDescent="0.2">
      <c r="F100">
        <f t="shared" si="1"/>
        <v>0</v>
      </c>
      <c r="G100" s="583">
        <f t="shared" si="0"/>
        <v>0</v>
      </c>
    </row>
    <row r="101" spans="2:7" hidden="1" x14ac:dyDescent="0.2">
      <c r="B101" s="11">
        <f>IF('2 MEDIA ALTURA'!$B$44='2 MEDIA ALTURA'!I17,'2 MEDIA ALTURA'!$C$44,IF('2 MEDIA ALTURA'!$B$45='2 MEDIA ALTURA'!I17,'2 MEDIA ALTURA'!$C$45,0))</f>
        <v>0</v>
      </c>
      <c r="C101" s="11">
        <f>IF(B101&gt;0,'2 MEDIA ALTURA'!$I$35,0)</f>
        <v>0</v>
      </c>
      <c r="D101" s="11">
        <f>+'2 MEDIA ALTURA'!I16-0.5</f>
        <v>-0.5</v>
      </c>
      <c r="E101" s="960">
        <f>+'2 MEDIA ALTURA'!$I$34-0.5</f>
        <v>-0.5</v>
      </c>
      <c r="F101">
        <f t="shared" si="1"/>
        <v>0</v>
      </c>
      <c r="G101" s="583">
        <f t="shared" si="0"/>
        <v>0</v>
      </c>
    </row>
    <row r="102" spans="2:7" hidden="1" x14ac:dyDescent="0.2"/>
    <row r="103" spans="2:7" hidden="1" x14ac:dyDescent="0.2">
      <c r="B103" s="11">
        <f>IF('2 MEDIA ALTURA'!$B$44='2 MEDIA ALTURA'!I19,'2 MEDIA ALTURA'!$C$44,IF('2 MEDIA ALTURA'!$B$45='2 MEDIA ALTURA'!I19,'2 MEDIA ALTURA'!$C$45,0))</f>
        <v>0</v>
      </c>
      <c r="C103" s="11">
        <f>IF(B103&gt;0,'2 MEDIA ALTURA'!$I$35,0)</f>
        <v>0</v>
      </c>
      <c r="D103" s="11">
        <f>+'2 MEDIA ALTURA'!I18-0.5</f>
        <v>-0.5</v>
      </c>
      <c r="E103" s="960">
        <f>+'2 MEDIA ALTURA'!$I$34-0.5</f>
        <v>-0.5</v>
      </c>
      <c r="F103">
        <f>IF(C103&gt;0,((D103*4)+(E103*4))*C103,0)</f>
        <v>0</v>
      </c>
      <c r="G103" s="583">
        <f>IF(C103&gt;0,1,0)</f>
        <v>0</v>
      </c>
    </row>
    <row r="104" spans="2:7" hidden="1" x14ac:dyDescent="0.2"/>
    <row r="105" spans="2:7" hidden="1" x14ac:dyDescent="0.2">
      <c r="B105" s="11">
        <f>IF('2 MEDIA ALTURA'!$B$44='2 MEDIA ALTURA'!I21,'2 MEDIA ALTURA'!$C$44,IF('2 MEDIA ALTURA'!$B$45='2 MEDIA ALTURA'!I21,'2 MEDIA ALTURA'!$C$45,0))</f>
        <v>0</v>
      </c>
      <c r="C105" s="11">
        <f>IF(B105&gt;0,'2 MEDIA ALTURA'!$I$35,0)</f>
        <v>0</v>
      </c>
      <c r="D105" s="11">
        <f>+'2 MEDIA ALTURA'!I20-0.5</f>
        <v>-0.5</v>
      </c>
      <c r="E105" s="960">
        <f>+'2 MEDIA ALTURA'!$I$34-0.5</f>
        <v>-0.5</v>
      </c>
      <c r="F105">
        <f t="shared" si="1"/>
        <v>0</v>
      </c>
      <c r="G105" s="583">
        <f t="shared" si="0"/>
        <v>0</v>
      </c>
    </row>
    <row r="106" spans="2:7" hidden="1" x14ac:dyDescent="0.2">
      <c r="F106">
        <f t="shared" si="1"/>
        <v>0</v>
      </c>
      <c r="G106" s="583">
        <f t="shared" si="0"/>
        <v>0</v>
      </c>
    </row>
    <row r="107" spans="2:7" hidden="1" x14ac:dyDescent="0.2">
      <c r="B107" s="11">
        <f>IF('2 MEDIA ALTURA'!$B$44='2 MEDIA ALTURA'!I23,'2 MEDIA ALTURA'!$C$44,IF('2 MEDIA ALTURA'!$B$45='2 MEDIA ALTURA'!I23,'2 MEDIA ALTURA'!$C$45,0))</f>
        <v>0</v>
      </c>
      <c r="C107" s="11">
        <f>IF(B107&gt;0,'2 MEDIA ALTURA'!$I$35,0)</f>
        <v>0</v>
      </c>
      <c r="D107" s="11">
        <f>+'2 MEDIA ALTURA'!I22-0.5</f>
        <v>-0.5</v>
      </c>
      <c r="E107" s="960">
        <f>+'2 MEDIA ALTURA'!$I$34-0.5</f>
        <v>-0.5</v>
      </c>
      <c r="F107">
        <f t="shared" si="1"/>
        <v>0</v>
      </c>
      <c r="G107" s="583">
        <f t="shared" si="0"/>
        <v>0</v>
      </c>
    </row>
    <row r="108" spans="2:7" hidden="1" x14ac:dyDescent="0.2">
      <c r="F108">
        <f t="shared" si="1"/>
        <v>0</v>
      </c>
      <c r="G108" s="583">
        <f t="shared" si="0"/>
        <v>0</v>
      </c>
    </row>
    <row r="109" spans="2:7" hidden="1" x14ac:dyDescent="0.2">
      <c r="B109" s="11">
        <f>IF('2 MEDIA ALTURA'!$B$44='2 MEDIA ALTURA'!I25,'2 MEDIA ALTURA'!$C$44,IF('2 MEDIA ALTURA'!$B$45='2 MEDIA ALTURA'!I25,'2 MEDIA ALTURA'!$C$45,0))</f>
        <v>0</v>
      </c>
      <c r="C109" s="11">
        <f>IF(B109&gt;0,'2 MEDIA ALTURA'!$I$35,0)</f>
        <v>0</v>
      </c>
      <c r="D109" s="11">
        <f>+'2 MEDIA ALTURA'!I24-0.5</f>
        <v>-0.5</v>
      </c>
      <c r="E109" s="960">
        <f>+'2 MEDIA ALTURA'!$I$34-0.5</f>
        <v>-0.5</v>
      </c>
      <c r="F109">
        <f t="shared" si="1"/>
        <v>0</v>
      </c>
      <c r="G109" s="583">
        <f t="shared" ref="G109:G196" si="2">IF(C109&gt;0,1,0)</f>
        <v>0</v>
      </c>
    </row>
    <row r="110" spans="2:7" hidden="1" x14ac:dyDescent="0.2">
      <c r="F110">
        <f t="shared" ref="F110:F197" si="3">IF(C110&gt;0,((D110*4)+(E110*4))*C110,0)</f>
        <v>0</v>
      </c>
      <c r="G110" s="583">
        <f t="shared" si="2"/>
        <v>0</v>
      </c>
    </row>
    <row r="111" spans="2:7" hidden="1" x14ac:dyDescent="0.2">
      <c r="B111" s="11">
        <f>IF('2 MEDIA ALTURA'!$B$44='2 MEDIA ALTURA'!I27,'2 MEDIA ALTURA'!$C$44,IF('2 MEDIA ALTURA'!$B$45='2 MEDIA ALTURA'!I27,'2 MEDIA ALTURA'!$C$45,0))</f>
        <v>0</v>
      </c>
      <c r="C111" s="11">
        <f>IF(B111&gt;0,'2 MEDIA ALTURA'!$I$35,0)</f>
        <v>0</v>
      </c>
      <c r="D111" s="11">
        <f>+'2 MEDIA ALTURA'!I26-0.5</f>
        <v>-0.5</v>
      </c>
      <c r="E111" s="960">
        <f>+'2 MEDIA ALTURA'!$I$34-0.5</f>
        <v>-0.5</v>
      </c>
      <c r="F111">
        <f t="shared" si="3"/>
        <v>0</v>
      </c>
      <c r="G111" s="583">
        <f t="shared" si="2"/>
        <v>0</v>
      </c>
    </row>
    <row r="112" spans="2:7" hidden="1" x14ac:dyDescent="0.2">
      <c r="F112">
        <f t="shared" si="3"/>
        <v>0</v>
      </c>
      <c r="G112" s="583">
        <f t="shared" si="2"/>
        <v>0</v>
      </c>
    </row>
    <row r="113" spans="2:7" hidden="1" x14ac:dyDescent="0.2">
      <c r="B113" s="11">
        <f>IF('2 MEDIA ALTURA'!$B$44='2 MEDIA ALTURA'!I29,'2 MEDIA ALTURA'!$C$44,IF('2 MEDIA ALTURA'!$B$45='2 MEDIA ALTURA'!I29,'2 MEDIA ALTURA'!$C$45,0))</f>
        <v>0</v>
      </c>
      <c r="C113" s="11">
        <f>IF(B113&gt;0,'2 MEDIA ALTURA'!$I$35,0)</f>
        <v>0</v>
      </c>
      <c r="D113" s="11">
        <f>+'2 MEDIA ALTURA'!I28-0.5</f>
        <v>-0.5</v>
      </c>
      <c r="E113" s="960">
        <f>+'2 MEDIA ALTURA'!$I$34-0.5</f>
        <v>-0.5</v>
      </c>
      <c r="F113">
        <f t="shared" si="3"/>
        <v>0</v>
      </c>
      <c r="G113" s="583">
        <f t="shared" si="2"/>
        <v>0</v>
      </c>
    </row>
    <row r="114" spans="2:7" hidden="1" x14ac:dyDescent="0.2">
      <c r="F114">
        <f t="shared" si="3"/>
        <v>0</v>
      </c>
      <c r="G114" s="583">
        <f t="shared" si="2"/>
        <v>0</v>
      </c>
    </row>
    <row r="115" spans="2:7" hidden="1" x14ac:dyDescent="0.2">
      <c r="B115" s="11">
        <f>IF('2 MEDIA ALTURA'!$B$44='2 MEDIA ALTURA'!J17,'2 MEDIA ALTURA'!$C$44,IF('2 MEDIA ALTURA'!$B$45='2 MEDIA ALTURA'!J17,'2 MEDIA ALTURA'!$C$45,0))</f>
        <v>0</v>
      </c>
      <c r="C115" s="11">
        <f>IF(B115&gt;0,'2 MEDIA ALTURA'!$J$35,0)</f>
        <v>0</v>
      </c>
      <c r="D115" s="11">
        <f>+'2 MEDIA ALTURA'!J16-0.5</f>
        <v>-0.5</v>
      </c>
      <c r="E115" s="960">
        <f>+'2 MEDIA ALTURA'!$J$34-0.5</f>
        <v>-0.5</v>
      </c>
      <c r="F115">
        <f t="shared" si="3"/>
        <v>0</v>
      </c>
      <c r="G115" s="583">
        <f t="shared" si="2"/>
        <v>0</v>
      </c>
    </row>
    <row r="116" spans="2:7" hidden="1" x14ac:dyDescent="0.2"/>
    <row r="117" spans="2:7" hidden="1" x14ac:dyDescent="0.2">
      <c r="B117" s="11">
        <f>IF('2 MEDIA ALTURA'!$B$44='2 MEDIA ALTURA'!J19,'2 MEDIA ALTURA'!$C$44,IF('2 MEDIA ALTURA'!$B$45='2 MEDIA ALTURA'!J19,'2 MEDIA ALTURA'!$C$45,0))</f>
        <v>0</v>
      </c>
      <c r="C117" s="11">
        <f>IF(B117&gt;0,'2 MEDIA ALTURA'!$J$35,0)</f>
        <v>0</v>
      </c>
      <c r="D117" s="11">
        <f>+'2 MEDIA ALTURA'!J18-0.5</f>
        <v>-0.5</v>
      </c>
      <c r="E117" s="960">
        <f>+'2 MEDIA ALTURA'!$J$34-0.5</f>
        <v>-0.5</v>
      </c>
      <c r="F117">
        <f>IF(C117&gt;0,((D117*4)+(E117*4))*C117,0)</f>
        <v>0</v>
      </c>
      <c r="G117" s="583">
        <f>IF(C117&gt;0,1,0)</f>
        <v>0</v>
      </c>
    </row>
    <row r="118" spans="2:7" hidden="1" x14ac:dyDescent="0.2"/>
    <row r="119" spans="2:7" hidden="1" x14ac:dyDescent="0.2">
      <c r="B119" s="11">
        <f>IF('2 MEDIA ALTURA'!$B$44='2 MEDIA ALTURA'!J21,'2 MEDIA ALTURA'!$C$44,IF('2 MEDIA ALTURA'!$B$45='2 MEDIA ALTURA'!J21,'2 MEDIA ALTURA'!$C$45,0))</f>
        <v>0</v>
      </c>
      <c r="C119" s="11">
        <f>IF(B119&gt;0,'2 MEDIA ALTURA'!$J$35,0)</f>
        <v>0</v>
      </c>
      <c r="D119" s="11">
        <f>+'2 MEDIA ALTURA'!J20-0.5</f>
        <v>-0.5</v>
      </c>
      <c r="E119" s="960">
        <f>+'2 MEDIA ALTURA'!$J$34-0.5</f>
        <v>-0.5</v>
      </c>
      <c r="F119">
        <f t="shared" si="3"/>
        <v>0</v>
      </c>
      <c r="G119" s="583">
        <f t="shared" si="2"/>
        <v>0</v>
      </c>
    </row>
    <row r="120" spans="2:7" hidden="1" x14ac:dyDescent="0.2">
      <c r="F120">
        <f t="shared" si="3"/>
        <v>0</v>
      </c>
      <c r="G120" s="583">
        <f t="shared" si="2"/>
        <v>0</v>
      </c>
    </row>
    <row r="121" spans="2:7" hidden="1" x14ac:dyDescent="0.2">
      <c r="B121" s="11">
        <f>IF('2 MEDIA ALTURA'!$B$44='2 MEDIA ALTURA'!J23,'2 MEDIA ALTURA'!$C$44,IF('2 MEDIA ALTURA'!$B$45='2 MEDIA ALTURA'!J23,'2 MEDIA ALTURA'!$C$45,0))</f>
        <v>0</v>
      </c>
      <c r="C121" s="11">
        <f>IF(B121&gt;0,'2 MEDIA ALTURA'!$J$35,0)</f>
        <v>0</v>
      </c>
      <c r="D121" s="11">
        <f>+'2 MEDIA ALTURA'!J22-0.5</f>
        <v>-0.5</v>
      </c>
      <c r="E121" s="960">
        <f>+'2 MEDIA ALTURA'!$J$34-0.5</f>
        <v>-0.5</v>
      </c>
      <c r="F121">
        <f t="shared" si="3"/>
        <v>0</v>
      </c>
      <c r="G121" s="583">
        <f t="shared" si="2"/>
        <v>0</v>
      </c>
    </row>
    <row r="122" spans="2:7" hidden="1" x14ac:dyDescent="0.2">
      <c r="F122">
        <f t="shared" si="3"/>
        <v>0</v>
      </c>
      <c r="G122" s="583">
        <f t="shared" si="2"/>
        <v>0</v>
      </c>
    </row>
    <row r="123" spans="2:7" hidden="1" x14ac:dyDescent="0.2">
      <c r="B123" s="11">
        <f>IF('2 MEDIA ALTURA'!$B$44='2 MEDIA ALTURA'!J25,'2 MEDIA ALTURA'!$C$44,IF('2 MEDIA ALTURA'!$B$45='2 MEDIA ALTURA'!J25,'2 MEDIA ALTURA'!$C$45,0))</f>
        <v>0</v>
      </c>
      <c r="C123" s="11">
        <f>IF(B123&gt;0,'2 MEDIA ALTURA'!$J$35,0)</f>
        <v>0</v>
      </c>
      <c r="D123" s="11">
        <f>+'2 MEDIA ALTURA'!J24-0.5</f>
        <v>-0.5</v>
      </c>
      <c r="E123" s="960">
        <f>+'2 MEDIA ALTURA'!$J$34-0.5</f>
        <v>-0.5</v>
      </c>
      <c r="F123">
        <f t="shared" si="3"/>
        <v>0</v>
      </c>
      <c r="G123" s="583">
        <f t="shared" si="2"/>
        <v>0</v>
      </c>
    </row>
    <row r="124" spans="2:7" hidden="1" x14ac:dyDescent="0.2">
      <c r="F124">
        <f t="shared" si="3"/>
        <v>0</v>
      </c>
      <c r="G124" s="583">
        <f t="shared" si="2"/>
        <v>0</v>
      </c>
    </row>
    <row r="125" spans="2:7" hidden="1" x14ac:dyDescent="0.2">
      <c r="B125" s="11">
        <f>IF('2 MEDIA ALTURA'!$B$44='2 MEDIA ALTURA'!J27,'2 MEDIA ALTURA'!$C$44,IF('2 MEDIA ALTURA'!$B$45='2 MEDIA ALTURA'!J27,'2 MEDIA ALTURA'!$C$45,0))</f>
        <v>0</v>
      </c>
      <c r="C125" s="11">
        <f>IF(B125&gt;0,'2 MEDIA ALTURA'!$J$35,0)</f>
        <v>0</v>
      </c>
      <c r="D125" s="11">
        <f>+'2 MEDIA ALTURA'!J26-0.5</f>
        <v>-0.5</v>
      </c>
      <c r="E125" s="960">
        <f>+'2 MEDIA ALTURA'!$J$34-0.5</f>
        <v>-0.5</v>
      </c>
      <c r="F125">
        <f t="shared" si="3"/>
        <v>0</v>
      </c>
      <c r="G125" s="583">
        <f t="shared" si="2"/>
        <v>0</v>
      </c>
    </row>
    <row r="126" spans="2:7" hidden="1" x14ac:dyDescent="0.2">
      <c r="F126">
        <f t="shared" si="3"/>
        <v>0</v>
      </c>
      <c r="G126" s="583">
        <f t="shared" si="2"/>
        <v>0</v>
      </c>
    </row>
    <row r="127" spans="2:7" hidden="1" x14ac:dyDescent="0.2">
      <c r="B127" s="11">
        <f>IF('2 MEDIA ALTURA'!$B$44='2 MEDIA ALTURA'!J29,'2 MEDIA ALTURA'!$C$44,IF('2 MEDIA ALTURA'!$B$45='2 MEDIA ALTURA'!J29,'2 MEDIA ALTURA'!$C$45,0))</f>
        <v>0</v>
      </c>
      <c r="C127" s="11">
        <f>IF(B127&gt;0,'2 MEDIA ALTURA'!$J$35,0)</f>
        <v>0</v>
      </c>
      <c r="D127" s="11">
        <f>+'2 MEDIA ALTURA'!J28-0.5</f>
        <v>-0.5</v>
      </c>
      <c r="E127" s="960">
        <f>+'2 MEDIA ALTURA'!$J$34-0.5</f>
        <v>-0.5</v>
      </c>
      <c r="F127">
        <f t="shared" si="3"/>
        <v>0</v>
      </c>
      <c r="G127" s="583">
        <f t="shared" si="2"/>
        <v>0</v>
      </c>
    </row>
    <row r="128" spans="2:7" hidden="1" x14ac:dyDescent="0.2">
      <c r="F128">
        <f t="shared" si="3"/>
        <v>0</v>
      </c>
      <c r="G128" s="583">
        <f t="shared" si="2"/>
        <v>0</v>
      </c>
    </row>
    <row r="129" spans="2:7" hidden="1" x14ac:dyDescent="0.2">
      <c r="B129" s="11">
        <f>IF('2 MEDIA ALTURA'!$B$44='2 MEDIA ALTURA'!K17,'2 MEDIA ALTURA'!$C$44,IF('2 MEDIA ALTURA'!$B$45='2 MEDIA ALTURA'!K17,'2 MEDIA ALTURA'!$C$45,0))</f>
        <v>0</v>
      </c>
      <c r="C129" s="11">
        <f>IF(B129&gt;0,'2 MEDIA ALTURA'!$K$35,0)</f>
        <v>0</v>
      </c>
      <c r="D129" s="11">
        <f>+'2 MEDIA ALTURA'!K16-0.5</f>
        <v>-0.5</v>
      </c>
      <c r="E129" s="960">
        <f>+'2 MEDIA ALTURA'!$K$34-0.5</f>
        <v>-0.5</v>
      </c>
      <c r="F129">
        <f t="shared" si="3"/>
        <v>0</v>
      </c>
      <c r="G129" s="583">
        <f t="shared" si="2"/>
        <v>0</v>
      </c>
    </row>
    <row r="130" spans="2:7" hidden="1" x14ac:dyDescent="0.2"/>
    <row r="131" spans="2:7" hidden="1" x14ac:dyDescent="0.2">
      <c r="B131" s="11">
        <f>IF('2 MEDIA ALTURA'!$B$44='2 MEDIA ALTURA'!K19,'2 MEDIA ALTURA'!$C$44,IF('2 MEDIA ALTURA'!$B$45='2 MEDIA ALTURA'!K19,'2 MEDIA ALTURA'!$C$45,0))</f>
        <v>0</v>
      </c>
      <c r="C131" s="11">
        <f>IF(B131&gt;0,'2 MEDIA ALTURA'!$K$35,0)</f>
        <v>0</v>
      </c>
      <c r="D131" s="11">
        <f>+'2 MEDIA ALTURA'!K18-0.5</f>
        <v>-0.5</v>
      </c>
      <c r="E131" s="960">
        <f>+'2 MEDIA ALTURA'!$K$34-0.5</f>
        <v>-0.5</v>
      </c>
      <c r="F131">
        <f>IF(C131&gt;0,((D131*4)+(E131*4))*C131,0)</f>
        <v>0</v>
      </c>
      <c r="G131" s="583">
        <f>IF(C131&gt;0,1,0)</f>
        <v>0</v>
      </c>
    </row>
    <row r="132" spans="2:7" hidden="1" x14ac:dyDescent="0.2"/>
    <row r="133" spans="2:7" hidden="1" x14ac:dyDescent="0.2">
      <c r="B133" s="11">
        <f>IF('2 MEDIA ALTURA'!$B$44='2 MEDIA ALTURA'!K21,'2 MEDIA ALTURA'!$C$44,IF('2 MEDIA ALTURA'!$B$45='2 MEDIA ALTURA'!K21,'2 MEDIA ALTURA'!$C$45,0))</f>
        <v>0</v>
      </c>
      <c r="C133" s="11">
        <f>IF(B133&gt;0,'2 MEDIA ALTURA'!$K$35,0)</f>
        <v>0</v>
      </c>
      <c r="D133" s="11">
        <f>+'2 MEDIA ALTURA'!K20-0.5</f>
        <v>-0.5</v>
      </c>
      <c r="E133" s="960">
        <f>+'2 MEDIA ALTURA'!$K$34-0.5</f>
        <v>-0.5</v>
      </c>
      <c r="F133">
        <f t="shared" si="3"/>
        <v>0</v>
      </c>
      <c r="G133" s="583">
        <f t="shared" si="2"/>
        <v>0</v>
      </c>
    </row>
    <row r="134" spans="2:7" hidden="1" x14ac:dyDescent="0.2">
      <c r="F134">
        <f t="shared" si="3"/>
        <v>0</v>
      </c>
      <c r="G134" s="583">
        <f t="shared" si="2"/>
        <v>0</v>
      </c>
    </row>
    <row r="135" spans="2:7" hidden="1" x14ac:dyDescent="0.2">
      <c r="B135" s="11">
        <f>IF('2 MEDIA ALTURA'!$B$44='2 MEDIA ALTURA'!K23,'2 MEDIA ALTURA'!$C$44,IF('2 MEDIA ALTURA'!$B$45='2 MEDIA ALTURA'!K23,'2 MEDIA ALTURA'!$C$45,0))</f>
        <v>0</v>
      </c>
      <c r="C135" s="11">
        <f>IF(B135&gt;0,'2 MEDIA ALTURA'!$K$35,0)</f>
        <v>0</v>
      </c>
      <c r="D135" s="11">
        <f>+'2 MEDIA ALTURA'!K22-0.5</f>
        <v>-0.5</v>
      </c>
      <c r="E135" s="960">
        <f>+'2 MEDIA ALTURA'!$K$34-0.5</f>
        <v>-0.5</v>
      </c>
      <c r="F135">
        <f t="shared" si="3"/>
        <v>0</v>
      </c>
      <c r="G135" s="583">
        <f t="shared" si="2"/>
        <v>0</v>
      </c>
    </row>
    <row r="136" spans="2:7" hidden="1" x14ac:dyDescent="0.2">
      <c r="F136">
        <f t="shared" si="3"/>
        <v>0</v>
      </c>
      <c r="G136" s="583">
        <f t="shared" si="2"/>
        <v>0</v>
      </c>
    </row>
    <row r="137" spans="2:7" hidden="1" x14ac:dyDescent="0.2">
      <c r="B137" s="11">
        <f>IF('2 MEDIA ALTURA'!$B$44='2 MEDIA ALTURA'!K25,'2 MEDIA ALTURA'!$C$44,IF('2 MEDIA ALTURA'!$B$45='2 MEDIA ALTURA'!K25,'2 MEDIA ALTURA'!$C$45,0))</f>
        <v>0</v>
      </c>
      <c r="C137" s="11">
        <f>IF(B137&gt;0,'2 MEDIA ALTURA'!$K$35,0)</f>
        <v>0</v>
      </c>
      <c r="D137" s="11">
        <f>+'2 MEDIA ALTURA'!K24-0.5</f>
        <v>-0.5</v>
      </c>
      <c r="E137" s="960">
        <f>+'2 MEDIA ALTURA'!$K$34-0.5</f>
        <v>-0.5</v>
      </c>
      <c r="F137">
        <f t="shared" si="3"/>
        <v>0</v>
      </c>
      <c r="G137" s="583">
        <f t="shared" si="2"/>
        <v>0</v>
      </c>
    </row>
    <row r="138" spans="2:7" hidden="1" x14ac:dyDescent="0.2">
      <c r="F138">
        <f t="shared" si="3"/>
        <v>0</v>
      </c>
      <c r="G138" s="583">
        <f t="shared" si="2"/>
        <v>0</v>
      </c>
    </row>
    <row r="139" spans="2:7" hidden="1" x14ac:dyDescent="0.2">
      <c r="B139" s="11">
        <f>IF('2 MEDIA ALTURA'!$B$44='2 MEDIA ALTURA'!K27,'2 MEDIA ALTURA'!$C$44,IF('2 MEDIA ALTURA'!$B$45='2 MEDIA ALTURA'!K27,'2 MEDIA ALTURA'!$C$45,0))</f>
        <v>0</v>
      </c>
      <c r="C139" s="11">
        <f>IF(B139&gt;0,'2 MEDIA ALTURA'!$K$35,0)</f>
        <v>0</v>
      </c>
      <c r="D139" s="11">
        <f>+'2 MEDIA ALTURA'!K26-0.5</f>
        <v>-0.5</v>
      </c>
      <c r="E139" s="960">
        <f>+'2 MEDIA ALTURA'!$K$34-0.5</f>
        <v>-0.5</v>
      </c>
      <c r="F139">
        <f t="shared" si="3"/>
        <v>0</v>
      </c>
      <c r="G139" s="583">
        <f t="shared" si="2"/>
        <v>0</v>
      </c>
    </row>
    <row r="140" spans="2:7" hidden="1" x14ac:dyDescent="0.2">
      <c r="F140">
        <f t="shared" si="3"/>
        <v>0</v>
      </c>
      <c r="G140" s="583">
        <f t="shared" si="2"/>
        <v>0</v>
      </c>
    </row>
    <row r="141" spans="2:7" hidden="1" x14ac:dyDescent="0.2">
      <c r="B141" s="11">
        <f>IF('2 MEDIA ALTURA'!$B$44='2 MEDIA ALTURA'!K29,'2 MEDIA ALTURA'!$C$44,IF('2 MEDIA ALTURA'!$B$45='2 MEDIA ALTURA'!K29,'2 MEDIA ALTURA'!$C$45,0))</f>
        <v>0</v>
      </c>
      <c r="C141" s="11">
        <f>IF(B141&gt;0,'2 MEDIA ALTURA'!$K$35,0)</f>
        <v>0</v>
      </c>
      <c r="D141" s="11">
        <f>+'2 MEDIA ALTURA'!K28-0.5</f>
        <v>-0.5</v>
      </c>
      <c r="E141" s="960">
        <f>+'2 MEDIA ALTURA'!$K$34-0.5</f>
        <v>-0.5</v>
      </c>
      <c r="F141">
        <f t="shared" si="3"/>
        <v>0</v>
      </c>
      <c r="G141" s="583">
        <f t="shared" si="2"/>
        <v>0</v>
      </c>
    </row>
    <row r="142" spans="2:7" hidden="1" x14ac:dyDescent="0.2">
      <c r="F142">
        <f t="shared" si="3"/>
        <v>0</v>
      </c>
      <c r="G142" s="583">
        <f t="shared" si="2"/>
        <v>0</v>
      </c>
    </row>
    <row r="143" spans="2:7" hidden="1" x14ac:dyDescent="0.2">
      <c r="B143" s="11">
        <f>IF('2 MEDIA ALTURA'!$B$44='2 MEDIA ALTURA'!L17,'2 MEDIA ALTURA'!$C$44,IF('2 MEDIA ALTURA'!$B$45='2 MEDIA ALTURA'!L17,'2 MEDIA ALTURA'!$C$45,0))</f>
        <v>0</v>
      </c>
      <c r="C143" s="11">
        <f>IF(B143&gt;0,'2 MEDIA ALTURA'!$L$35,0)</f>
        <v>0</v>
      </c>
      <c r="D143" s="11">
        <f>+'2 MEDIA ALTURA'!L16-0.5</f>
        <v>-0.5</v>
      </c>
      <c r="E143" s="960">
        <f>+'2 MEDIA ALTURA'!$L$34-0.5</f>
        <v>-0.5</v>
      </c>
      <c r="F143">
        <f t="shared" si="3"/>
        <v>0</v>
      </c>
      <c r="G143" s="583">
        <f t="shared" si="2"/>
        <v>0</v>
      </c>
    </row>
    <row r="144" spans="2:7" hidden="1" x14ac:dyDescent="0.2"/>
    <row r="145" spans="2:7" hidden="1" x14ac:dyDescent="0.2">
      <c r="B145" s="11">
        <f>IF('2 MEDIA ALTURA'!$B$44='2 MEDIA ALTURA'!L19,'2 MEDIA ALTURA'!$C$44,IF('2 MEDIA ALTURA'!$B$45='2 MEDIA ALTURA'!L19,'2 MEDIA ALTURA'!$C$45,0))</f>
        <v>0</v>
      </c>
      <c r="C145" s="11">
        <f>IF(B145&gt;0,'2 MEDIA ALTURA'!$L$35,0)</f>
        <v>0</v>
      </c>
      <c r="D145" s="11">
        <f>+'2 MEDIA ALTURA'!L18-0.5</f>
        <v>-0.5</v>
      </c>
      <c r="E145" s="960">
        <f>+'2 MEDIA ALTURA'!$L$34-0.5</f>
        <v>-0.5</v>
      </c>
      <c r="F145">
        <f>IF(C145&gt;0,((D145*4)+(E145*4))*C145,0)</f>
        <v>0</v>
      </c>
      <c r="G145" s="583">
        <f>IF(C145&gt;0,1,0)</f>
        <v>0</v>
      </c>
    </row>
    <row r="146" spans="2:7" hidden="1" x14ac:dyDescent="0.2"/>
    <row r="147" spans="2:7" hidden="1" x14ac:dyDescent="0.2">
      <c r="B147" s="11">
        <f>IF('2 MEDIA ALTURA'!$B$44='2 MEDIA ALTURA'!L21,'2 MEDIA ALTURA'!$C$44,IF('2 MEDIA ALTURA'!$B$45='2 MEDIA ALTURA'!L21,'2 MEDIA ALTURA'!$C$45,0))</f>
        <v>0</v>
      </c>
      <c r="C147" s="11">
        <f>IF(B147&gt;0,'2 MEDIA ALTURA'!$L$35,0)</f>
        <v>0</v>
      </c>
      <c r="D147" s="11">
        <f>+'2 MEDIA ALTURA'!L20-0.5</f>
        <v>-0.5</v>
      </c>
      <c r="E147" s="960">
        <f>+'2 MEDIA ALTURA'!$L$34-0.5</f>
        <v>-0.5</v>
      </c>
      <c r="F147">
        <f t="shared" si="3"/>
        <v>0</v>
      </c>
      <c r="G147" s="583">
        <f t="shared" si="2"/>
        <v>0</v>
      </c>
    </row>
    <row r="148" spans="2:7" hidden="1" x14ac:dyDescent="0.2">
      <c r="F148">
        <f t="shared" si="3"/>
        <v>0</v>
      </c>
      <c r="G148" s="583">
        <f t="shared" si="2"/>
        <v>0</v>
      </c>
    </row>
    <row r="149" spans="2:7" hidden="1" x14ac:dyDescent="0.2">
      <c r="B149" s="11">
        <f>IF('2 MEDIA ALTURA'!$B$44='2 MEDIA ALTURA'!L23,'2 MEDIA ALTURA'!$C$44,IF('2 MEDIA ALTURA'!$B$45='2 MEDIA ALTURA'!L23,'2 MEDIA ALTURA'!$C$45,0))</f>
        <v>0</v>
      </c>
      <c r="C149" s="11">
        <f>IF(B149&gt;0,'2 MEDIA ALTURA'!$L$35,0)</f>
        <v>0</v>
      </c>
      <c r="D149" s="11">
        <f>+'2 MEDIA ALTURA'!L22-0.5</f>
        <v>-0.5</v>
      </c>
      <c r="E149" s="960">
        <f>+'2 MEDIA ALTURA'!$L$34-0.5</f>
        <v>-0.5</v>
      </c>
      <c r="F149">
        <f t="shared" si="3"/>
        <v>0</v>
      </c>
      <c r="G149" s="583">
        <f t="shared" si="2"/>
        <v>0</v>
      </c>
    </row>
    <row r="150" spans="2:7" hidden="1" x14ac:dyDescent="0.2">
      <c r="F150">
        <f t="shared" si="3"/>
        <v>0</v>
      </c>
      <c r="G150" s="583">
        <f t="shared" si="2"/>
        <v>0</v>
      </c>
    </row>
    <row r="151" spans="2:7" hidden="1" x14ac:dyDescent="0.2">
      <c r="B151" s="11">
        <f>IF('2 MEDIA ALTURA'!$B$44='2 MEDIA ALTURA'!L25,'2 MEDIA ALTURA'!$C$44,IF('2 MEDIA ALTURA'!$B$45='2 MEDIA ALTURA'!L25,'2 MEDIA ALTURA'!$C$45,0))</f>
        <v>0</v>
      </c>
      <c r="C151" s="11">
        <f>IF(B151&gt;0,'2 MEDIA ALTURA'!$L$35,0)</f>
        <v>0</v>
      </c>
      <c r="D151" s="11">
        <f>+'2 MEDIA ALTURA'!L24-0.5</f>
        <v>-0.5</v>
      </c>
      <c r="E151" s="960">
        <f>+'2 MEDIA ALTURA'!$L$34-0.5</f>
        <v>-0.5</v>
      </c>
      <c r="F151">
        <f t="shared" si="3"/>
        <v>0</v>
      </c>
      <c r="G151" s="583">
        <f t="shared" si="2"/>
        <v>0</v>
      </c>
    </row>
    <row r="152" spans="2:7" hidden="1" x14ac:dyDescent="0.2">
      <c r="F152">
        <f t="shared" si="3"/>
        <v>0</v>
      </c>
      <c r="G152" s="583">
        <f t="shared" si="2"/>
        <v>0</v>
      </c>
    </row>
    <row r="153" spans="2:7" hidden="1" x14ac:dyDescent="0.2">
      <c r="B153" s="11">
        <f>IF('2 MEDIA ALTURA'!$B$44='2 MEDIA ALTURA'!L27,'2 MEDIA ALTURA'!$C$44,IF('2 MEDIA ALTURA'!$B$45='2 MEDIA ALTURA'!L27,'2 MEDIA ALTURA'!$C$45,0))</f>
        <v>0</v>
      </c>
      <c r="C153" s="11">
        <f>IF(B153&gt;0,'2 MEDIA ALTURA'!$L$35,0)</f>
        <v>0</v>
      </c>
      <c r="D153" s="11">
        <f>+'2 MEDIA ALTURA'!L26-0.5</f>
        <v>-0.5</v>
      </c>
      <c r="E153" s="960">
        <f>+'2 MEDIA ALTURA'!$L$34-0.5</f>
        <v>-0.5</v>
      </c>
      <c r="F153">
        <f t="shared" si="3"/>
        <v>0</v>
      </c>
      <c r="G153" s="583">
        <f t="shared" si="2"/>
        <v>0</v>
      </c>
    </row>
    <row r="154" spans="2:7" hidden="1" x14ac:dyDescent="0.2">
      <c r="F154">
        <f t="shared" si="3"/>
        <v>0</v>
      </c>
      <c r="G154" s="583">
        <f t="shared" si="2"/>
        <v>0</v>
      </c>
    </row>
    <row r="155" spans="2:7" hidden="1" x14ac:dyDescent="0.2">
      <c r="B155" s="11">
        <f>IF('2 MEDIA ALTURA'!$B$44='2 MEDIA ALTURA'!L29,'2 MEDIA ALTURA'!$C$44,IF('2 MEDIA ALTURA'!$B$45='2 MEDIA ALTURA'!L29,'2 MEDIA ALTURA'!$C$45,0))</f>
        <v>0</v>
      </c>
      <c r="C155" s="11">
        <f>IF(B155&gt;0,'2 MEDIA ALTURA'!$L$35,0)</f>
        <v>0</v>
      </c>
      <c r="D155" s="11">
        <f>+'2 MEDIA ALTURA'!L28-0.5</f>
        <v>-0.5</v>
      </c>
      <c r="E155" s="960">
        <f>+'2 MEDIA ALTURA'!$L$34-0.5</f>
        <v>-0.5</v>
      </c>
      <c r="F155">
        <f t="shared" si="3"/>
        <v>0</v>
      </c>
      <c r="G155" s="583">
        <f t="shared" si="2"/>
        <v>0</v>
      </c>
    </row>
    <row r="156" spans="2:7" hidden="1" x14ac:dyDescent="0.2">
      <c r="F156">
        <f t="shared" si="3"/>
        <v>0</v>
      </c>
      <c r="G156" s="583">
        <f t="shared" si="2"/>
        <v>0</v>
      </c>
    </row>
    <row r="157" spans="2:7" hidden="1" x14ac:dyDescent="0.2">
      <c r="B157" s="11">
        <f>IF('2 MEDIA ALTURA'!$B$44='2 MEDIA ALTURA'!M17,'2 MEDIA ALTURA'!$C$44,IF('2 MEDIA ALTURA'!$B$45='2 MEDIA ALTURA'!M17,'2 MEDIA ALTURA'!$C$45,0))</f>
        <v>0</v>
      </c>
      <c r="C157" s="11">
        <f>IF(B157&gt;0,'2 MEDIA ALTURA'!$M$35,0)</f>
        <v>0</v>
      </c>
      <c r="D157" s="11">
        <f>+'2 MEDIA ALTURA'!M16-0.5</f>
        <v>-0.5</v>
      </c>
      <c r="E157" s="960">
        <f>+'2 MEDIA ALTURA'!$M$34-0.5</f>
        <v>-0.5</v>
      </c>
      <c r="F157">
        <f t="shared" si="3"/>
        <v>0</v>
      </c>
      <c r="G157" s="583">
        <f t="shared" si="2"/>
        <v>0</v>
      </c>
    </row>
    <row r="158" spans="2:7" hidden="1" x14ac:dyDescent="0.2"/>
    <row r="159" spans="2:7" hidden="1" x14ac:dyDescent="0.2">
      <c r="B159" s="11">
        <f>IF('2 MEDIA ALTURA'!$B$44='2 MEDIA ALTURA'!M19,'2 MEDIA ALTURA'!$C$44,IF('2 MEDIA ALTURA'!$B$45='2 MEDIA ALTURA'!M19,'2 MEDIA ALTURA'!$C$45,0))</f>
        <v>0</v>
      </c>
      <c r="C159" s="11">
        <f>IF(B159&gt;0,'2 MEDIA ALTURA'!$M$35,0)</f>
        <v>0</v>
      </c>
      <c r="D159" s="11">
        <f>+'2 MEDIA ALTURA'!M18-0.5</f>
        <v>-0.5</v>
      </c>
      <c r="E159" s="960">
        <f>+'2 MEDIA ALTURA'!$M$34-0.5</f>
        <v>-0.5</v>
      </c>
      <c r="F159">
        <f>IF(C159&gt;0,((D159*4)+(E159*4))*C159,0)</f>
        <v>0</v>
      </c>
      <c r="G159" s="583">
        <f>IF(C159&gt;0,1,0)</f>
        <v>0</v>
      </c>
    </row>
    <row r="160" spans="2:7" hidden="1" x14ac:dyDescent="0.2"/>
    <row r="161" spans="2:7" hidden="1" x14ac:dyDescent="0.2">
      <c r="B161" s="11">
        <f>IF('2 MEDIA ALTURA'!$B$44='2 MEDIA ALTURA'!M21,'2 MEDIA ALTURA'!$C$44,IF('2 MEDIA ALTURA'!$B$45='2 MEDIA ALTURA'!M21,'2 MEDIA ALTURA'!$C$45,0))</f>
        <v>0</v>
      </c>
      <c r="C161" s="11">
        <f>IF(B161&gt;0,'2 MEDIA ALTURA'!$M$35,0)</f>
        <v>0</v>
      </c>
      <c r="D161" s="11">
        <f>+'2 MEDIA ALTURA'!M20-0.5</f>
        <v>-0.5</v>
      </c>
      <c r="E161" s="960">
        <f>+'2 MEDIA ALTURA'!$M$34-0.5</f>
        <v>-0.5</v>
      </c>
      <c r="F161">
        <f t="shared" si="3"/>
        <v>0</v>
      </c>
      <c r="G161" s="583">
        <f t="shared" si="2"/>
        <v>0</v>
      </c>
    </row>
    <row r="162" spans="2:7" hidden="1" x14ac:dyDescent="0.2">
      <c r="F162">
        <f t="shared" si="3"/>
        <v>0</v>
      </c>
      <c r="G162" s="583">
        <f t="shared" si="2"/>
        <v>0</v>
      </c>
    </row>
    <row r="163" spans="2:7" hidden="1" x14ac:dyDescent="0.2">
      <c r="B163" s="11">
        <f>IF('2 MEDIA ALTURA'!$B$44='2 MEDIA ALTURA'!M23,'2 MEDIA ALTURA'!$C$44,IF('2 MEDIA ALTURA'!$B$45='2 MEDIA ALTURA'!M23,'2 MEDIA ALTURA'!$C$45,0))</f>
        <v>0</v>
      </c>
      <c r="C163" s="11">
        <f>IF(B163&gt;0,'2 MEDIA ALTURA'!$M$35,0)</f>
        <v>0</v>
      </c>
      <c r="D163" s="11">
        <f>+'2 MEDIA ALTURA'!M22-0.5</f>
        <v>-0.5</v>
      </c>
      <c r="E163" s="960">
        <f>+'2 MEDIA ALTURA'!$M$34-0.5</f>
        <v>-0.5</v>
      </c>
      <c r="F163">
        <f t="shared" si="3"/>
        <v>0</v>
      </c>
      <c r="G163" s="583">
        <f t="shared" si="2"/>
        <v>0</v>
      </c>
    </row>
    <row r="164" spans="2:7" hidden="1" x14ac:dyDescent="0.2">
      <c r="F164">
        <f t="shared" si="3"/>
        <v>0</v>
      </c>
      <c r="G164" s="583">
        <f t="shared" si="2"/>
        <v>0</v>
      </c>
    </row>
    <row r="165" spans="2:7" hidden="1" x14ac:dyDescent="0.2">
      <c r="B165" s="11">
        <f>IF('2 MEDIA ALTURA'!$B$44='2 MEDIA ALTURA'!M25,'2 MEDIA ALTURA'!$C$44,IF('2 MEDIA ALTURA'!$B$45='2 MEDIA ALTURA'!M25,'2 MEDIA ALTURA'!$C$45,0))</f>
        <v>0</v>
      </c>
      <c r="C165" s="11">
        <f>IF(B165&gt;0,'2 MEDIA ALTURA'!$M$35,0)</f>
        <v>0</v>
      </c>
      <c r="D165" s="11">
        <f>+'2 MEDIA ALTURA'!M24-0.5</f>
        <v>-0.5</v>
      </c>
      <c r="E165" s="960">
        <f>+'2 MEDIA ALTURA'!$M$34-0.5</f>
        <v>-0.5</v>
      </c>
      <c r="F165">
        <f t="shared" si="3"/>
        <v>0</v>
      </c>
      <c r="G165" s="583">
        <f t="shared" si="2"/>
        <v>0</v>
      </c>
    </row>
    <row r="166" spans="2:7" hidden="1" x14ac:dyDescent="0.2">
      <c r="F166">
        <f t="shared" si="3"/>
        <v>0</v>
      </c>
      <c r="G166" s="583">
        <f t="shared" si="2"/>
        <v>0</v>
      </c>
    </row>
    <row r="167" spans="2:7" hidden="1" x14ac:dyDescent="0.2">
      <c r="B167" s="11">
        <f>IF('2 MEDIA ALTURA'!$B$44='2 MEDIA ALTURA'!M27,'2 MEDIA ALTURA'!$C$44,IF('2 MEDIA ALTURA'!$B$45='2 MEDIA ALTURA'!M27,'2 MEDIA ALTURA'!$C$45,0))</f>
        <v>0</v>
      </c>
      <c r="C167" s="11">
        <f>IF(B167&gt;0,'2 MEDIA ALTURA'!$M$35,0)</f>
        <v>0</v>
      </c>
      <c r="D167" s="11">
        <f>+'2 MEDIA ALTURA'!M26-0.5</f>
        <v>-0.5</v>
      </c>
      <c r="E167" s="960">
        <f>+'2 MEDIA ALTURA'!$M$34-0.5</f>
        <v>-0.5</v>
      </c>
      <c r="F167">
        <f t="shared" si="3"/>
        <v>0</v>
      </c>
      <c r="G167" s="583">
        <f t="shared" si="2"/>
        <v>0</v>
      </c>
    </row>
    <row r="168" spans="2:7" hidden="1" x14ac:dyDescent="0.2">
      <c r="F168">
        <f t="shared" si="3"/>
        <v>0</v>
      </c>
      <c r="G168" s="583">
        <f t="shared" si="2"/>
        <v>0</v>
      </c>
    </row>
    <row r="169" spans="2:7" hidden="1" x14ac:dyDescent="0.2">
      <c r="B169" s="11">
        <f>IF('2 MEDIA ALTURA'!$B$44='2 MEDIA ALTURA'!M29,'2 MEDIA ALTURA'!$C$44,IF('2 MEDIA ALTURA'!$B$45='2 MEDIA ALTURA'!M29,'2 MEDIA ALTURA'!$C$45,0))</f>
        <v>0</v>
      </c>
      <c r="C169" s="11">
        <f>IF(B169&gt;0,'2 MEDIA ALTURA'!$M$35,0)</f>
        <v>0</v>
      </c>
      <c r="D169" s="11">
        <f>+'2 MEDIA ALTURA'!M28-0.5</f>
        <v>-0.5</v>
      </c>
      <c r="E169" s="960">
        <f>+'2 MEDIA ALTURA'!$M$34-0.5</f>
        <v>-0.5</v>
      </c>
      <c r="F169">
        <f t="shared" si="3"/>
        <v>0</v>
      </c>
      <c r="G169" s="583">
        <f t="shared" si="2"/>
        <v>0</v>
      </c>
    </row>
    <row r="170" spans="2:7" hidden="1" x14ac:dyDescent="0.2">
      <c r="F170">
        <f t="shared" si="3"/>
        <v>0</v>
      </c>
      <c r="G170" s="583">
        <f t="shared" si="2"/>
        <v>0</v>
      </c>
    </row>
    <row r="171" spans="2:7" hidden="1" x14ac:dyDescent="0.2">
      <c r="B171" s="11">
        <f>IF('2 MEDIA ALTURA'!$B$44='2 MEDIA ALTURA'!N17,'2 MEDIA ALTURA'!$C$44,IF('2 MEDIA ALTURA'!$B$45='2 MEDIA ALTURA'!N17,'2 MEDIA ALTURA'!$C$45,0))</f>
        <v>0</v>
      </c>
      <c r="C171" s="11">
        <f>IF(B171&gt;0,'2 MEDIA ALTURA'!$N$35,0)</f>
        <v>0</v>
      </c>
      <c r="D171" s="11">
        <f>+'2 MEDIA ALTURA'!N16-0.5</f>
        <v>-0.5</v>
      </c>
      <c r="E171" s="960">
        <f>+'2 MEDIA ALTURA'!$N$34-0.5</f>
        <v>-0.5</v>
      </c>
      <c r="F171">
        <f t="shared" si="3"/>
        <v>0</v>
      </c>
      <c r="G171" s="583">
        <f t="shared" si="2"/>
        <v>0</v>
      </c>
    </row>
    <row r="172" spans="2:7" hidden="1" x14ac:dyDescent="0.2"/>
    <row r="173" spans="2:7" hidden="1" x14ac:dyDescent="0.2">
      <c r="B173" s="11">
        <f>IF('2 MEDIA ALTURA'!$B$44='2 MEDIA ALTURA'!N19,'2 MEDIA ALTURA'!$C$44,IF('2 MEDIA ALTURA'!$B$45='2 MEDIA ALTURA'!N19,'2 MEDIA ALTURA'!$C$45,0))</f>
        <v>0</v>
      </c>
      <c r="C173" s="11">
        <f>IF(B173&gt;0,'2 MEDIA ALTURA'!$N$35,0)</f>
        <v>0</v>
      </c>
      <c r="D173" s="11">
        <f>+'2 MEDIA ALTURA'!N18-0.5</f>
        <v>-0.5</v>
      </c>
      <c r="E173" s="960">
        <f>+'2 MEDIA ALTURA'!$N$34-0.5</f>
        <v>-0.5</v>
      </c>
      <c r="F173">
        <f>IF(C173&gt;0,((D173*4)+(E173*4))*C173,0)</f>
        <v>0</v>
      </c>
      <c r="G173" s="583">
        <f>IF(C173&gt;0,1,0)</f>
        <v>0</v>
      </c>
    </row>
    <row r="174" spans="2:7" hidden="1" x14ac:dyDescent="0.2"/>
    <row r="175" spans="2:7" hidden="1" x14ac:dyDescent="0.2">
      <c r="B175" s="11">
        <f>IF('2 MEDIA ALTURA'!$B$44='2 MEDIA ALTURA'!N21,'2 MEDIA ALTURA'!$C$44,IF('2 MEDIA ALTURA'!$B$45='2 MEDIA ALTURA'!N21,'2 MEDIA ALTURA'!$C$45,0))</f>
        <v>0</v>
      </c>
      <c r="C175" s="11">
        <f>IF(B175&gt;0,'2 MEDIA ALTURA'!$N$35,0)</f>
        <v>0</v>
      </c>
      <c r="D175" s="11">
        <f>+'2 MEDIA ALTURA'!N20-0.5</f>
        <v>-0.5</v>
      </c>
      <c r="E175" s="960">
        <f>+'2 MEDIA ALTURA'!$N$34-0.5</f>
        <v>-0.5</v>
      </c>
      <c r="F175">
        <f t="shared" si="3"/>
        <v>0</v>
      </c>
      <c r="G175" s="583">
        <f t="shared" si="2"/>
        <v>0</v>
      </c>
    </row>
    <row r="176" spans="2:7" hidden="1" x14ac:dyDescent="0.2">
      <c r="F176">
        <f t="shared" si="3"/>
        <v>0</v>
      </c>
      <c r="G176" s="583">
        <f t="shared" si="2"/>
        <v>0</v>
      </c>
    </row>
    <row r="177" spans="2:7" hidden="1" x14ac:dyDescent="0.2">
      <c r="B177" s="11">
        <f>IF('2 MEDIA ALTURA'!$B$44='2 MEDIA ALTURA'!N23,'2 MEDIA ALTURA'!$C$44,IF('2 MEDIA ALTURA'!$B$45='2 MEDIA ALTURA'!N23,'2 MEDIA ALTURA'!$C$45,0))</f>
        <v>0</v>
      </c>
      <c r="C177" s="11">
        <f>IF(B177&gt;0,'2 MEDIA ALTURA'!$N$35,0)</f>
        <v>0</v>
      </c>
      <c r="D177" s="11">
        <f>+'2 MEDIA ALTURA'!N22-0.5</f>
        <v>-0.5</v>
      </c>
      <c r="E177" s="960">
        <f>+'2 MEDIA ALTURA'!$N$34-0.5</f>
        <v>-0.5</v>
      </c>
      <c r="F177">
        <f t="shared" si="3"/>
        <v>0</v>
      </c>
      <c r="G177" s="583">
        <f t="shared" si="2"/>
        <v>0</v>
      </c>
    </row>
    <row r="178" spans="2:7" hidden="1" x14ac:dyDescent="0.2">
      <c r="F178">
        <f t="shared" si="3"/>
        <v>0</v>
      </c>
      <c r="G178" s="583">
        <f t="shared" si="2"/>
        <v>0</v>
      </c>
    </row>
    <row r="179" spans="2:7" hidden="1" x14ac:dyDescent="0.2">
      <c r="B179" s="11">
        <f>IF('2 MEDIA ALTURA'!$B$44='2 MEDIA ALTURA'!N25,'2 MEDIA ALTURA'!$C$44,IF('2 MEDIA ALTURA'!$B$45='2 MEDIA ALTURA'!N25,'2 MEDIA ALTURA'!$C$45,0))</f>
        <v>0</v>
      </c>
      <c r="C179" s="11">
        <f>IF(B179&gt;0,'2 MEDIA ALTURA'!$N$35,0)</f>
        <v>0</v>
      </c>
      <c r="D179" s="11">
        <f>+'2 MEDIA ALTURA'!N24-0.5</f>
        <v>-0.5</v>
      </c>
      <c r="E179" s="960">
        <f>+'2 MEDIA ALTURA'!$N$34-0.5</f>
        <v>-0.5</v>
      </c>
      <c r="F179">
        <f t="shared" si="3"/>
        <v>0</v>
      </c>
      <c r="G179" s="583">
        <f t="shared" si="2"/>
        <v>0</v>
      </c>
    </row>
    <row r="180" spans="2:7" hidden="1" x14ac:dyDescent="0.2">
      <c r="F180">
        <f t="shared" si="3"/>
        <v>0</v>
      </c>
      <c r="G180" s="583">
        <f t="shared" si="2"/>
        <v>0</v>
      </c>
    </row>
    <row r="181" spans="2:7" hidden="1" x14ac:dyDescent="0.2">
      <c r="B181" s="11">
        <f>IF('2 MEDIA ALTURA'!$B$44='2 MEDIA ALTURA'!N27,'2 MEDIA ALTURA'!$C$44,IF('2 MEDIA ALTURA'!$B$45='2 MEDIA ALTURA'!N27,'2 MEDIA ALTURA'!$C$45,0))</f>
        <v>0</v>
      </c>
      <c r="C181" s="11">
        <f>IF(B181&gt;0,'2 MEDIA ALTURA'!$N$35,0)</f>
        <v>0</v>
      </c>
      <c r="D181" s="11">
        <f>+'2 MEDIA ALTURA'!N26-0.5</f>
        <v>-0.5</v>
      </c>
      <c r="E181" s="960">
        <f>+'2 MEDIA ALTURA'!$N$34-0.5</f>
        <v>-0.5</v>
      </c>
      <c r="F181">
        <f t="shared" si="3"/>
        <v>0</v>
      </c>
      <c r="G181" s="583">
        <f t="shared" si="2"/>
        <v>0</v>
      </c>
    </row>
    <row r="182" spans="2:7" hidden="1" x14ac:dyDescent="0.2">
      <c r="F182">
        <f t="shared" si="3"/>
        <v>0</v>
      </c>
      <c r="G182" s="583">
        <f t="shared" si="2"/>
        <v>0</v>
      </c>
    </row>
    <row r="183" spans="2:7" hidden="1" x14ac:dyDescent="0.2">
      <c r="B183" s="11">
        <f>IF('2 MEDIA ALTURA'!$B$44='2 MEDIA ALTURA'!N29,'2 MEDIA ALTURA'!$C$44,IF('2 MEDIA ALTURA'!$B$45='2 MEDIA ALTURA'!N29,'2 MEDIA ALTURA'!$C$45,0))</f>
        <v>0</v>
      </c>
      <c r="C183" s="11">
        <f>IF(B183&gt;0,'2 MEDIA ALTURA'!$N$35,0)</f>
        <v>0</v>
      </c>
      <c r="D183" s="11">
        <f>+'2 MEDIA ALTURA'!N28-0.5</f>
        <v>-0.5</v>
      </c>
      <c r="E183" s="960">
        <f>+'2 MEDIA ALTURA'!$N$34-0.5</f>
        <v>-0.5</v>
      </c>
      <c r="F183">
        <f t="shared" si="3"/>
        <v>0</v>
      </c>
      <c r="G183" s="583">
        <f t="shared" si="2"/>
        <v>0</v>
      </c>
    </row>
    <row r="184" spans="2:7" hidden="1" x14ac:dyDescent="0.2">
      <c r="F184">
        <f t="shared" si="3"/>
        <v>0</v>
      </c>
      <c r="G184" s="583">
        <f t="shared" si="2"/>
        <v>0</v>
      </c>
    </row>
    <row r="185" spans="2:7" hidden="1" x14ac:dyDescent="0.2">
      <c r="B185" s="11">
        <f>IF('2 M-A +'!$B$42='2 M-A +'!C15,'2 M-A +'!$C$42,IF('2 M-A +'!$B$43='2 M-A +'!C15,'2 M-A +'!$C$43,0))</f>
        <v>0</v>
      </c>
      <c r="C185" s="11">
        <f>IF(B185&gt;0,'2 M-A +'!$C$33,0)</f>
        <v>0</v>
      </c>
      <c r="D185" s="11">
        <f>+'2 M-A +'!C14-0.5</f>
        <v>-0.5</v>
      </c>
      <c r="E185" s="960">
        <f>+'2 M-A +'!$C$32-0.5</f>
        <v>-0.5</v>
      </c>
      <c r="F185">
        <f t="shared" si="3"/>
        <v>0</v>
      </c>
      <c r="G185" s="583">
        <f t="shared" si="2"/>
        <v>0</v>
      </c>
    </row>
    <row r="186" spans="2:7" hidden="1" x14ac:dyDescent="0.2"/>
    <row r="187" spans="2:7" hidden="1" x14ac:dyDescent="0.2">
      <c r="B187" s="11">
        <f>IF('2 M-A +'!$B$42='2 M-A +'!C17,'2 M-A +'!$C$42,IF('2 M-A +'!$B$43='2 M-A +'!C17,'2 M-A +'!$C$43,0))</f>
        <v>0</v>
      </c>
      <c r="C187" s="11">
        <f>IF(B187&gt;0,'2 M-A +'!$C$33,0)</f>
        <v>0</v>
      </c>
      <c r="D187" s="11">
        <f>+'2 M-A +'!C16-0.5</f>
        <v>-0.5</v>
      </c>
      <c r="E187" s="960">
        <f>+'2 M-A +'!$C$32-0.5</f>
        <v>-0.5</v>
      </c>
      <c r="F187">
        <f>IF(C187&gt;0,((D187*4)+(E187*4))*C187,0)</f>
        <v>0</v>
      </c>
      <c r="G187" s="583">
        <f>IF(C187&gt;0,1,0)</f>
        <v>0</v>
      </c>
    </row>
    <row r="188" spans="2:7" hidden="1" x14ac:dyDescent="0.2"/>
    <row r="189" spans="2:7" hidden="1" x14ac:dyDescent="0.2">
      <c r="B189" s="11">
        <f>IF('2 M-A +'!$B$42='2 M-A +'!C19,'2 M-A +'!$C$42,IF('2 M-A +'!$B$43='2 M-A +'!C19,'2 M-A +'!$C$43,0))</f>
        <v>0</v>
      </c>
      <c r="C189" s="11">
        <f>IF(B189&gt;0,'2 M-A +'!$C$33,0)</f>
        <v>0</v>
      </c>
      <c r="D189" s="11">
        <f>+'2 M-A +'!C18-0.5</f>
        <v>-0.5</v>
      </c>
      <c r="E189" s="960">
        <f>+'2 M-A +'!$C$32-0.5</f>
        <v>-0.5</v>
      </c>
      <c r="F189">
        <f t="shared" si="3"/>
        <v>0</v>
      </c>
      <c r="G189" s="583">
        <f t="shared" si="2"/>
        <v>0</v>
      </c>
    </row>
    <row r="190" spans="2:7" hidden="1" x14ac:dyDescent="0.2">
      <c r="F190">
        <f t="shared" si="3"/>
        <v>0</v>
      </c>
      <c r="G190" s="583">
        <f t="shared" si="2"/>
        <v>0</v>
      </c>
    </row>
    <row r="191" spans="2:7" hidden="1" x14ac:dyDescent="0.2">
      <c r="B191" s="11">
        <f>IF('2 M-A +'!$B$42='2 M-A +'!C21,'2 M-A +'!$C$42,IF('2 M-A +'!$B$43='2 M-A +'!C21,'2 M-A +'!$C$43,0))</f>
        <v>0</v>
      </c>
      <c r="C191" s="11">
        <f>IF(B191&gt;0,'2 M-A +'!$C$33,0)</f>
        <v>0</v>
      </c>
      <c r="D191" s="11">
        <f>+'2 M-A +'!C20-0.5</f>
        <v>-0.5</v>
      </c>
      <c r="E191" s="960">
        <f>+'2 M-A +'!$C$32-0.5</f>
        <v>-0.5</v>
      </c>
      <c r="F191">
        <f t="shared" si="3"/>
        <v>0</v>
      </c>
      <c r="G191" s="583">
        <f t="shared" si="2"/>
        <v>0</v>
      </c>
    </row>
    <row r="192" spans="2:7" hidden="1" x14ac:dyDescent="0.2">
      <c r="F192">
        <f t="shared" si="3"/>
        <v>0</v>
      </c>
      <c r="G192" s="583">
        <f t="shared" si="2"/>
        <v>0</v>
      </c>
    </row>
    <row r="193" spans="2:7" hidden="1" x14ac:dyDescent="0.2">
      <c r="B193" s="11">
        <f>IF('2 M-A +'!$B$42='2 M-A +'!C23,'2 M-A +'!$C$42,IF('2 M-A +'!$B$43='2 M-A +'!C23,'2 M-A +'!$C$43,0))</f>
        <v>0</v>
      </c>
      <c r="C193" s="11">
        <f>IF(B193&gt;0,'2 M-A +'!$C$33,0)</f>
        <v>0</v>
      </c>
      <c r="D193" s="11">
        <f>+'2 M-A +'!C22-0.5</f>
        <v>-0.5</v>
      </c>
      <c r="E193" s="960">
        <f>+'2 M-A +'!$C$32-0.5</f>
        <v>-0.5</v>
      </c>
      <c r="F193">
        <f t="shared" si="3"/>
        <v>0</v>
      </c>
      <c r="G193" s="583">
        <f t="shared" si="2"/>
        <v>0</v>
      </c>
    </row>
    <row r="194" spans="2:7" hidden="1" x14ac:dyDescent="0.2">
      <c r="F194">
        <f t="shared" si="3"/>
        <v>0</v>
      </c>
      <c r="G194" s="583">
        <f t="shared" si="2"/>
        <v>0</v>
      </c>
    </row>
    <row r="195" spans="2:7" hidden="1" x14ac:dyDescent="0.2">
      <c r="B195" s="11">
        <f>IF('2 M-A +'!$B$42='2 M-A +'!C25,'2 M-A +'!$C$42,IF('2 M-A +'!$B$43='2 M-A +'!C25,'2 M-A +'!$C$43,0))</f>
        <v>0</v>
      </c>
      <c r="C195" s="11">
        <f>IF(B195&gt;0,'2 M-A +'!$C$33,0)</f>
        <v>0</v>
      </c>
      <c r="D195" s="11">
        <f>+'2 M-A +'!C24-0.5</f>
        <v>-0.5</v>
      </c>
      <c r="E195" s="960">
        <f>+'2 M-A +'!$C$32-0.5</f>
        <v>-0.5</v>
      </c>
      <c r="F195">
        <f t="shared" si="3"/>
        <v>0</v>
      </c>
      <c r="G195" s="583">
        <f t="shared" si="2"/>
        <v>0</v>
      </c>
    </row>
    <row r="196" spans="2:7" hidden="1" x14ac:dyDescent="0.2">
      <c r="F196">
        <f t="shared" si="3"/>
        <v>0</v>
      </c>
      <c r="G196" s="583">
        <f t="shared" si="2"/>
        <v>0</v>
      </c>
    </row>
    <row r="197" spans="2:7" hidden="1" x14ac:dyDescent="0.2">
      <c r="B197" s="11">
        <f>IF('2 M-A +'!$B$42='2 M-A +'!C27,'2 M-A +'!$C$42,IF('2 M-A +'!$B$43='2 M-A +'!C27,'2 M-A +'!$C$43,0))</f>
        <v>0</v>
      </c>
      <c r="C197" s="11">
        <f>IF(B197&gt;0,'2 M-A +'!$C$33,0)</f>
        <v>0</v>
      </c>
      <c r="D197" s="11">
        <f>+'2 M-A +'!C26-0.5</f>
        <v>-0.5</v>
      </c>
      <c r="E197" s="960">
        <f>+'2 M-A +'!$C$32-0.5</f>
        <v>-0.5</v>
      </c>
      <c r="F197">
        <f t="shared" si="3"/>
        <v>0</v>
      </c>
      <c r="G197" s="583">
        <f t="shared" ref="G197:G288" si="4">IF(C197&gt;0,1,0)</f>
        <v>0</v>
      </c>
    </row>
    <row r="198" spans="2:7" hidden="1" x14ac:dyDescent="0.2">
      <c r="F198">
        <f t="shared" ref="F198:F289" si="5">IF(C198&gt;0,((D198*4)+(E198*4))*C198,0)</f>
        <v>0</v>
      </c>
      <c r="G198" s="583">
        <f t="shared" si="4"/>
        <v>0</v>
      </c>
    </row>
    <row r="199" spans="2:7" hidden="1" x14ac:dyDescent="0.2">
      <c r="B199" s="11">
        <f>IF('2 M-A +'!$B$42='2 M-A +'!D15,'2 M-A +'!$C$42,IF('2 M-A +'!$B$43='2 M-A +'!D15,'2 M-A +'!$C$43,0))</f>
        <v>0</v>
      </c>
      <c r="C199" s="11">
        <f>IF(B199&gt;0,'2 M-A +'!$D$33,0)</f>
        <v>0</v>
      </c>
      <c r="D199" s="11">
        <f>+'2 M-A +'!D14-0.5</f>
        <v>-0.5</v>
      </c>
      <c r="E199" s="960">
        <f>+'2 M-A +'!$D$32-0.5</f>
        <v>-0.5</v>
      </c>
      <c r="F199">
        <f t="shared" si="5"/>
        <v>0</v>
      </c>
      <c r="G199" s="583">
        <f t="shared" si="4"/>
        <v>0</v>
      </c>
    </row>
    <row r="200" spans="2:7" hidden="1" x14ac:dyDescent="0.2"/>
    <row r="201" spans="2:7" hidden="1" x14ac:dyDescent="0.2">
      <c r="B201" s="11">
        <f>IF('2 M-A +'!$B$42='2 M-A +'!D17,'2 M-A +'!$C$42,IF('2 M-A +'!$B$43='2 M-A +'!D17,'2 M-A +'!$C$43,0))</f>
        <v>0</v>
      </c>
      <c r="C201" s="11">
        <f>IF(B201&gt;0,'2 M-A +'!$D$33,0)</f>
        <v>0</v>
      </c>
      <c r="D201" s="11">
        <f>+'2 M-A +'!D16-0.5</f>
        <v>-0.5</v>
      </c>
      <c r="E201" s="960">
        <f>+'2 M-A +'!$D$32-0.5</f>
        <v>-0.5</v>
      </c>
      <c r="F201">
        <f>IF(C201&gt;0,((D201*4)+(E201*4))*C201,0)</f>
        <v>0</v>
      </c>
      <c r="G201" s="583">
        <f>IF(C201&gt;0,1,0)</f>
        <v>0</v>
      </c>
    </row>
    <row r="202" spans="2:7" hidden="1" x14ac:dyDescent="0.2"/>
    <row r="203" spans="2:7" hidden="1" x14ac:dyDescent="0.2">
      <c r="B203" s="11">
        <f>IF('2 M-A +'!$B$42='2 M-A +'!D19,'2 M-A +'!$C$42,IF('2 M-A +'!$B$43='2 M-A +'!D19,'2 M-A +'!$C$43,0))</f>
        <v>0</v>
      </c>
      <c r="C203" s="11">
        <f>IF(B203&gt;0,'2 M-A +'!$D$33,0)</f>
        <v>0</v>
      </c>
      <c r="D203" s="11">
        <f>+'2 M-A +'!D18-0.5</f>
        <v>-0.5</v>
      </c>
      <c r="E203" s="960">
        <f>+'2 M-A +'!$D$32-0.5</f>
        <v>-0.5</v>
      </c>
      <c r="F203">
        <f t="shared" si="5"/>
        <v>0</v>
      </c>
      <c r="G203" s="583">
        <f t="shared" si="4"/>
        <v>0</v>
      </c>
    </row>
    <row r="204" spans="2:7" hidden="1" x14ac:dyDescent="0.2">
      <c r="F204">
        <f t="shared" si="5"/>
        <v>0</v>
      </c>
      <c r="G204" s="583">
        <f t="shared" si="4"/>
        <v>0</v>
      </c>
    </row>
    <row r="205" spans="2:7" hidden="1" x14ac:dyDescent="0.2">
      <c r="B205" s="11">
        <f>IF('2 M-A +'!$B$42='2 M-A +'!D21,'2 M-A +'!$C$42,IF('2 M-A +'!$B$43='2 M-A +'!D21,'2 M-A +'!$C$43,0))</f>
        <v>0</v>
      </c>
      <c r="C205" s="11">
        <f>IF(B205&gt;0,'2 M-A +'!$D$33,0)</f>
        <v>0</v>
      </c>
      <c r="D205" s="11">
        <f>+'2 M-A +'!D20-0.5</f>
        <v>-0.5</v>
      </c>
      <c r="E205" s="960">
        <f>+'2 M-A +'!$D$32-0.5</f>
        <v>-0.5</v>
      </c>
      <c r="F205">
        <f t="shared" si="5"/>
        <v>0</v>
      </c>
      <c r="G205" s="583">
        <f t="shared" si="4"/>
        <v>0</v>
      </c>
    </row>
    <row r="206" spans="2:7" hidden="1" x14ac:dyDescent="0.2">
      <c r="F206">
        <f t="shared" si="5"/>
        <v>0</v>
      </c>
      <c r="G206" s="583">
        <f t="shared" si="4"/>
        <v>0</v>
      </c>
    </row>
    <row r="207" spans="2:7" hidden="1" x14ac:dyDescent="0.2">
      <c r="B207" s="11">
        <f>IF('2 M-A +'!$B$42='2 M-A +'!D23,'2 M-A +'!$C$42,IF('2 M-A +'!$B$43='2 M-A +'!D23,'2 M-A +'!$C$43,0))</f>
        <v>0</v>
      </c>
      <c r="C207" s="11">
        <f>IF(B207&gt;0,'2 M-A +'!$D$33,0)</f>
        <v>0</v>
      </c>
      <c r="D207" s="11">
        <f>+'2 M-A +'!D22-0.5</f>
        <v>-0.5</v>
      </c>
      <c r="E207" s="960">
        <f>+'2 M-A +'!$D$32-0.5</f>
        <v>-0.5</v>
      </c>
      <c r="F207">
        <f t="shared" si="5"/>
        <v>0</v>
      </c>
      <c r="G207" s="583">
        <f t="shared" si="4"/>
        <v>0</v>
      </c>
    </row>
    <row r="208" spans="2:7" hidden="1" x14ac:dyDescent="0.2">
      <c r="F208">
        <f t="shared" si="5"/>
        <v>0</v>
      </c>
      <c r="G208" s="583">
        <f t="shared" si="4"/>
        <v>0</v>
      </c>
    </row>
    <row r="209" spans="2:7" hidden="1" x14ac:dyDescent="0.2">
      <c r="B209" s="11">
        <f>IF('2 M-A +'!$B$42='2 M-A +'!D25,'2 M-A +'!$C$42,IF('2 M-A +'!$B$43='2 M-A +'!D25,'2 M-A +'!$C$43,0))</f>
        <v>0</v>
      </c>
      <c r="C209" s="11">
        <f>IF(B209&gt;0,'2 M-A +'!$D$33,0)</f>
        <v>0</v>
      </c>
      <c r="D209" s="11">
        <f>+'2 M-A +'!D24-0.5</f>
        <v>-0.5</v>
      </c>
      <c r="E209" s="960">
        <f>+'2 M-A +'!$D$32-0.5</f>
        <v>-0.5</v>
      </c>
      <c r="F209">
        <f t="shared" si="5"/>
        <v>0</v>
      </c>
      <c r="G209" s="583">
        <f t="shared" si="4"/>
        <v>0</v>
      </c>
    </row>
    <row r="210" spans="2:7" hidden="1" x14ac:dyDescent="0.2">
      <c r="F210">
        <f t="shared" si="5"/>
        <v>0</v>
      </c>
      <c r="G210" s="583">
        <f t="shared" si="4"/>
        <v>0</v>
      </c>
    </row>
    <row r="211" spans="2:7" hidden="1" x14ac:dyDescent="0.2">
      <c r="B211" s="11">
        <f>IF('2 M-A +'!$B$42='2 M-A +'!D27,'2 M-A +'!$C$42,IF('2 M-A +'!$B$43='2 M-A +'!D27,'2 M-A +'!$C$43,0))</f>
        <v>0</v>
      </c>
      <c r="C211" s="11">
        <f>IF(B211&gt;0,'2 M-A +'!$D$33,0)</f>
        <v>0</v>
      </c>
      <c r="D211" s="11">
        <f>+'2 M-A +'!D26-0.5</f>
        <v>-0.5</v>
      </c>
      <c r="E211" s="960">
        <f>+'2 M-A +'!$D$32-0.5</f>
        <v>-0.5</v>
      </c>
      <c r="F211">
        <f t="shared" si="5"/>
        <v>0</v>
      </c>
      <c r="G211" s="583">
        <f t="shared" si="4"/>
        <v>0</v>
      </c>
    </row>
    <row r="212" spans="2:7" hidden="1" x14ac:dyDescent="0.2">
      <c r="F212">
        <f t="shared" si="5"/>
        <v>0</v>
      </c>
      <c r="G212" s="583">
        <f t="shared" si="4"/>
        <v>0</v>
      </c>
    </row>
    <row r="213" spans="2:7" hidden="1" x14ac:dyDescent="0.2">
      <c r="B213" s="11">
        <f>IF('2 M-A +'!$B$42='2 M-A +'!E15,'2 M-A +'!$C$42,IF('2 M-A +'!$B$43='2 M-A +'!E15,'2 M-A +'!$C$43,0))</f>
        <v>0</v>
      </c>
      <c r="C213" s="11">
        <f>IF(B213&gt;0,'2 M-A +'!$E$33,0)</f>
        <v>0</v>
      </c>
      <c r="D213" s="11">
        <f>+'2 M-A +'!E14-0.5</f>
        <v>-0.5</v>
      </c>
      <c r="E213" s="960">
        <f>+'2 M-A +'!$E$32-0.5</f>
        <v>-0.5</v>
      </c>
      <c r="F213">
        <f t="shared" si="5"/>
        <v>0</v>
      </c>
      <c r="G213" s="583">
        <f t="shared" si="4"/>
        <v>0</v>
      </c>
    </row>
    <row r="214" spans="2:7" hidden="1" x14ac:dyDescent="0.2"/>
    <row r="215" spans="2:7" hidden="1" x14ac:dyDescent="0.2">
      <c r="B215" s="11">
        <f>IF('2 M-A +'!$B$42='2 M-A +'!E17,'2 M-A +'!$C$42,IF('2 M-A +'!$B$43='2 M-A +'!E17,'2 M-A +'!$C$43,0))</f>
        <v>0</v>
      </c>
      <c r="C215" s="11">
        <f>IF(B215&gt;0,'2 M-A +'!$E$33,0)</f>
        <v>0</v>
      </c>
      <c r="D215" s="11">
        <f>+'2 M-A +'!E16-0.5</f>
        <v>-0.5</v>
      </c>
      <c r="E215" s="960">
        <f>+'2 M-A +'!$E$32-0.5</f>
        <v>-0.5</v>
      </c>
      <c r="F215">
        <f>IF(C215&gt;0,((D215*4)+(E215*4))*C215,0)</f>
        <v>0</v>
      </c>
      <c r="G215" s="583">
        <f>IF(C215&gt;0,1,0)</f>
        <v>0</v>
      </c>
    </row>
    <row r="216" spans="2:7" hidden="1" x14ac:dyDescent="0.2"/>
    <row r="217" spans="2:7" hidden="1" x14ac:dyDescent="0.2">
      <c r="B217" s="11">
        <f>IF('2 M-A +'!$B$42='2 M-A +'!E19,'2 M-A +'!$C$42,IF('2 M-A +'!$B$43='2 M-A +'!E19,'2 M-A +'!$C$43,0))</f>
        <v>0</v>
      </c>
      <c r="C217" s="11">
        <f>IF(B217&gt;0,'2 M-A +'!$E$33,0)</f>
        <v>0</v>
      </c>
      <c r="D217" s="11">
        <f>+'2 M-A +'!E18-0.5</f>
        <v>-0.5</v>
      </c>
      <c r="E217" s="960">
        <f>+'2 M-A +'!$E$32-0.5</f>
        <v>-0.5</v>
      </c>
      <c r="F217">
        <f t="shared" si="5"/>
        <v>0</v>
      </c>
      <c r="G217" s="583">
        <f t="shared" si="4"/>
        <v>0</v>
      </c>
    </row>
    <row r="218" spans="2:7" hidden="1" x14ac:dyDescent="0.2">
      <c r="F218">
        <f t="shared" si="5"/>
        <v>0</v>
      </c>
      <c r="G218" s="583">
        <f t="shared" si="4"/>
        <v>0</v>
      </c>
    </row>
    <row r="219" spans="2:7" hidden="1" x14ac:dyDescent="0.2">
      <c r="B219" s="11">
        <f>IF('2 M-A +'!$B$42='2 M-A +'!E21,'2 M-A +'!$C$42,IF('2 M-A +'!$B$43='2 M-A +'!E21,'2 M-A +'!$C$43,0))</f>
        <v>0</v>
      </c>
      <c r="C219" s="11">
        <f>IF(B219&gt;0,'2 M-A +'!$E$33,0)</f>
        <v>0</v>
      </c>
      <c r="D219" s="11">
        <f>+'2 M-A +'!E20-0.5</f>
        <v>-0.5</v>
      </c>
      <c r="E219" s="960">
        <f>+'2 M-A +'!$E$32-0.5</f>
        <v>-0.5</v>
      </c>
      <c r="F219">
        <f t="shared" si="5"/>
        <v>0</v>
      </c>
      <c r="G219" s="583">
        <f t="shared" si="4"/>
        <v>0</v>
      </c>
    </row>
    <row r="220" spans="2:7" hidden="1" x14ac:dyDescent="0.2">
      <c r="F220">
        <f t="shared" si="5"/>
        <v>0</v>
      </c>
      <c r="G220" s="583">
        <f t="shared" si="4"/>
        <v>0</v>
      </c>
    </row>
    <row r="221" spans="2:7" hidden="1" x14ac:dyDescent="0.2">
      <c r="B221" s="11">
        <f>IF('2 M-A +'!$B$42='2 M-A +'!E23,'2 M-A +'!$C$42,IF('2 M-A +'!$B$43='2 M-A +'!E23,'2 M-A +'!$C$43,0))</f>
        <v>0</v>
      </c>
      <c r="C221" s="11">
        <f>IF(B221&gt;0,'2 M-A +'!$E$33,0)</f>
        <v>0</v>
      </c>
      <c r="D221" s="11">
        <f>+'2 M-A +'!E22-0.5</f>
        <v>-0.5</v>
      </c>
      <c r="E221" s="960">
        <f>+'2 M-A +'!$E$32-0.5</f>
        <v>-0.5</v>
      </c>
      <c r="F221">
        <f t="shared" si="5"/>
        <v>0</v>
      </c>
      <c r="G221" s="583">
        <f t="shared" si="4"/>
        <v>0</v>
      </c>
    </row>
    <row r="222" spans="2:7" hidden="1" x14ac:dyDescent="0.2">
      <c r="F222">
        <f t="shared" si="5"/>
        <v>0</v>
      </c>
      <c r="G222" s="583">
        <f t="shared" si="4"/>
        <v>0</v>
      </c>
    </row>
    <row r="223" spans="2:7" hidden="1" x14ac:dyDescent="0.2">
      <c r="B223" s="11">
        <f>IF('2 M-A +'!$B$42='2 M-A +'!E25,'2 M-A +'!$C$42,IF('2 M-A +'!$B$43='2 M-A +'!E25,'2 M-A +'!$C$43,0))</f>
        <v>0</v>
      </c>
      <c r="C223" s="11">
        <f>IF(B223&gt;0,'2 M-A +'!$E$33,0)</f>
        <v>0</v>
      </c>
      <c r="D223" s="11">
        <f>+'2 M-A +'!E24-0.5</f>
        <v>-0.5</v>
      </c>
      <c r="E223" s="960">
        <f>+'2 M-A +'!$E$32-0.5</f>
        <v>-0.5</v>
      </c>
      <c r="F223">
        <f t="shared" si="5"/>
        <v>0</v>
      </c>
      <c r="G223" s="583">
        <f t="shared" si="4"/>
        <v>0</v>
      </c>
    </row>
    <row r="224" spans="2:7" hidden="1" x14ac:dyDescent="0.2">
      <c r="F224">
        <f t="shared" si="5"/>
        <v>0</v>
      </c>
      <c r="G224" s="583">
        <f t="shared" si="4"/>
        <v>0</v>
      </c>
    </row>
    <row r="225" spans="2:7" hidden="1" x14ac:dyDescent="0.2">
      <c r="B225" s="11">
        <f>IF('2 M-A +'!$B$42='2 M-A +'!E27,'2 M-A +'!$C$42,IF('2 M-A +'!$B$43='2 M-A +'!E27,'2 M-A +'!$C$43,0))</f>
        <v>0</v>
      </c>
      <c r="C225" s="11">
        <f>IF(B225&gt;0,'2 M-A +'!$E$33,0)</f>
        <v>0</v>
      </c>
      <c r="D225" s="11">
        <f>+'2 M-A +'!E26-0.5</f>
        <v>-0.5</v>
      </c>
      <c r="E225" s="960">
        <f>+'2 M-A +'!$E$32-0.5</f>
        <v>-0.5</v>
      </c>
      <c r="F225">
        <f t="shared" si="5"/>
        <v>0</v>
      </c>
      <c r="G225" s="583">
        <f t="shared" si="4"/>
        <v>0</v>
      </c>
    </row>
    <row r="226" spans="2:7" hidden="1" x14ac:dyDescent="0.2">
      <c r="F226">
        <f t="shared" si="5"/>
        <v>0</v>
      </c>
      <c r="G226" s="583">
        <f t="shared" si="4"/>
        <v>0</v>
      </c>
    </row>
    <row r="227" spans="2:7" hidden="1" x14ac:dyDescent="0.2">
      <c r="B227" s="11">
        <f>IF('2 M-A +'!$B$42='2 M-A +'!F15,'2 M-A +'!$C$42,IF('2 M-A +'!$B$43='2 M-A +'!F15,'2 M-A +'!$C$43,0))</f>
        <v>0</v>
      </c>
      <c r="C227" s="11">
        <f>IF(B227&gt;0,'2 M-A +'!$F$33,0)</f>
        <v>0</v>
      </c>
      <c r="D227" s="11">
        <f>+'2 M-A +'!F14-0.5</f>
        <v>-0.5</v>
      </c>
      <c r="E227" s="960">
        <f>+'2 M-A +'!$F$32-0.5</f>
        <v>-0.5</v>
      </c>
      <c r="F227">
        <f t="shared" si="5"/>
        <v>0</v>
      </c>
      <c r="G227" s="583">
        <f t="shared" si="4"/>
        <v>0</v>
      </c>
    </row>
    <row r="228" spans="2:7" hidden="1" x14ac:dyDescent="0.2"/>
    <row r="229" spans="2:7" hidden="1" x14ac:dyDescent="0.2">
      <c r="B229" s="11">
        <f>IF('2 M-A +'!$B$42='2 M-A +'!F17,'2 M-A +'!$C$42,IF('2 M-A +'!$B$43='2 M-A +'!F17,'2 M-A +'!$C$43,0))</f>
        <v>0</v>
      </c>
      <c r="C229" s="11">
        <f>IF(B229&gt;0,'2 M-A +'!$F$33,0)</f>
        <v>0</v>
      </c>
      <c r="D229" s="11">
        <f>+'2 M-A +'!F16-0.5</f>
        <v>-0.5</v>
      </c>
      <c r="E229" s="960">
        <f>+'2 M-A +'!$F$32-0.5</f>
        <v>-0.5</v>
      </c>
      <c r="F229">
        <f>IF(C229&gt;0,((D229*4)+(E229*4))*C229,0)</f>
        <v>0</v>
      </c>
      <c r="G229" s="583">
        <f>IF(C229&gt;0,1,0)</f>
        <v>0</v>
      </c>
    </row>
    <row r="230" spans="2:7" hidden="1" x14ac:dyDescent="0.2"/>
    <row r="231" spans="2:7" hidden="1" x14ac:dyDescent="0.2">
      <c r="B231" s="11">
        <f>IF('2 M-A +'!$B$42='2 M-A +'!F19,'2 M-A +'!$C$42,IF('2 M-A +'!$B$43='2 M-A +'!F19,'2 M-A +'!$C$43,0))</f>
        <v>0</v>
      </c>
      <c r="C231" s="11">
        <f>IF(B231&gt;0,'2 M-A +'!$F$33,0)</f>
        <v>0</v>
      </c>
      <c r="D231" s="11">
        <f>+'2 M-A +'!F18-0.5</f>
        <v>-0.5</v>
      </c>
      <c r="E231" s="960">
        <f>+'2 M-A +'!$F$32-0.5</f>
        <v>-0.5</v>
      </c>
      <c r="F231">
        <f t="shared" si="5"/>
        <v>0</v>
      </c>
      <c r="G231" s="583">
        <f t="shared" si="4"/>
        <v>0</v>
      </c>
    </row>
    <row r="232" spans="2:7" hidden="1" x14ac:dyDescent="0.2">
      <c r="F232">
        <f t="shared" si="5"/>
        <v>0</v>
      </c>
      <c r="G232" s="583">
        <f t="shared" si="4"/>
        <v>0</v>
      </c>
    </row>
    <row r="233" spans="2:7" hidden="1" x14ac:dyDescent="0.2">
      <c r="B233" s="11">
        <f>IF('2 M-A +'!$B$42='2 M-A +'!F21,'2 M-A +'!$C$42,IF('2 M-A +'!$B$43='2 M-A +'!F21,'2 M-A +'!$C$43,0))</f>
        <v>0</v>
      </c>
      <c r="C233" s="11">
        <f>IF(B233&gt;0,'2 M-A +'!$F$33,0)</f>
        <v>0</v>
      </c>
      <c r="D233" s="11">
        <f>+'2 M-A +'!F20-0.5</f>
        <v>-0.5</v>
      </c>
      <c r="E233" s="960">
        <f>+'2 M-A +'!$F$32-0.5</f>
        <v>-0.5</v>
      </c>
      <c r="F233">
        <f t="shared" si="5"/>
        <v>0</v>
      </c>
      <c r="G233" s="583">
        <f t="shared" si="4"/>
        <v>0</v>
      </c>
    </row>
    <row r="234" spans="2:7" hidden="1" x14ac:dyDescent="0.2">
      <c r="F234">
        <f t="shared" si="5"/>
        <v>0</v>
      </c>
      <c r="G234" s="583">
        <f t="shared" si="4"/>
        <v>0</v>
      </c>
    </row>
    <row r="235" spans="2:7" hidden="1" x14ac:dyDescent="0.2">
      <c r="B235" s="11">
        <f>IF('2 M-A +'!$B$42='2 M-A +'!F23,'2 M-A +'!$C$42,IF('2 M-A +'!$B$43='2 M-A +'!F23,'2 M-A +'!$C$43,0))</f>
        <v>0</v>
      </c>
      <c r="C235" s="11">
        <f>IF(B235&gt;0,'2 M-A +'!$F$33,0)</f>
        <v>0</v>
      </c>
      <c r="D235" s="11">
        <f>+'2 M-A +'!F22-0.5</f>
        <v>-0.5</v>
      </c>
      <c r="E235" s="960">
        <f>+'2 M-A +'!$F$32-0.5</f>
        <v>-0.5</v>
      </c>
      <c r="F235">
        <f t="shared" si="5"/>
        <v>0</v>
      </c>
      <c r="G235" s="583">
        <f t="shared" si="4"/>
        <v>0</v>
      </c>
    </row>
    <row r="236" spans="2:7" hidden="1" x14ac:dyDescent="0.2">
      <c r="F236">
        <f t="shared" si="5"/>
        <v>0</v>
      </c>
      <c r="G236" s="583">
        <f t="shared" si="4"/>
        <v>0</v>
      </c>
    </row>
    <row r="237" spans="2:7" hidden="1" x14ac:dyDescent="0.2">
      <c r="B237" s="11">
        <f>IF('2 M-A +'!$B$42='2 M-A +'!F25,'2 M-A +'!$C$42,IF('2 M-A +'!$B$43='2 M-A +'!F25,'2 M-A +'!$C$43,0))</f>
        <v>0</v>
      </c>
      <c r="C237" s="11">
        <f>IF(B237&gt;0,'2 M-A +'!$F$33,0)</f>
        <v>0</v>
      </c>
      <c r="D237" s="11">
        <f>+'2 M-A +'!F24-0.5</f>
        <v>-0.5</v>
      </c>
      <c r="E237" s="960">
        <f>+'2 M-A +'!$F$32-0.5</f>
        <v>-0.5</v>
      </c>
      <c r="F237">
        <f t="shared" si="5"/>
        <v>0</v>
      </c>
      <c r="G237" s="583">
        <f t="shared" si="4"/>
        <v>0</v>
      </c>
    </row>
    <row r="238" spans="2:7" hidden="1" x14ac:dyDescent="0.2">
      <c r="F238">
        <f t="shared" si="5"/>
        <v>0</v>
      </c>
      <c r="G238" s="583">
        <f t="shared" si="4"/>
        <v>0</v>
      </c>
    </row>
    <row r="239" spans="2:7" hidden="1" x14ac:dyDescent="0.2">
      <c r="B239" s="11">
        <f>IF('2 M-A +'!$B$42='2 M-A +'!F27,'2 M-A +'!$C$42,IF('2 M-A +'!$B$43='2 M-A +'!F27,'2 M-A +'!$C$43,0))</f>
        <v>0</v>
      </c>
      <c r="C239" s="11">
        <f>IF(B239&gt;0,'2 M-A +'!$F$33,0)</f>
        <v>0</v>
      </c>
      <c r="D239" s="11">
        <f>+'2 M-A +'!F26-0.5</f>
        <v>-0.5</v>
      </c>
      <c r="E239" s="960">
        <f>+'2 M-A +'!$F$32-0.5</f>
        <v>-0.5</v>
      </c>
      <c r="F239">
        <f t="shared" si="5"/>
        <v>0</v>
      </c>
      <c r="G239" s="583">
        <f t="shared" si="4"/>
        <v>0</v>
      </c>
    </row>
    <row r="240" spans="2:7" hidden="1" x14ac:dyDescent="0.2">
      <c r="F240">
        <f t="shared" si="5"/>
        <v>0</v>
      </c>
      <c r="G240" s="583">
        <f t="shared" si="4"/>
        <v>0</v>
      </c>
    </row>
    <row r="241" spans="2:7" hidden="1" x14ac:dyDescent="0.2">
      <c r="B241" s="11">
        <f>IF('2 M-A +'!$B$42='2 M-A +'!G15,'2 M-A +'!$C$42,IF('2 M-A +'!$B$43='2 M-A +'!G15,'2 M-A +'!$C$43,0))</f>
        <v>0</v>
      </c>
      <c r="C241" s="11">
        <f>IF(B241&gt;0,'2 M-A +'!$G$33,0)</f>
        <v>0</v>
      </c>
      <c r="D241" s="11">
        <f>+'2 M-A +'!G14-0.5</f>
        <v>-0.5</v>
      </c>
      <c r="E241" s="960">
        <f>+'2 M-A +'!$G$32-0.5</f>
        <v>-0.5</v>
      </c>
      <c r="F241">
        <f t="shared" si="5"/>
        <v>0</v>
      </c>
      <c r="G241" s="583">
        <f t="shared" si="4"/>
        <v>0</v>
      </c>
    </row>
    <row r="242" spans="2:7" hidden="1" x14ac:dyDescent="0.2"/>
    <row r="243" spans="2:7" hidden="1" x14ac:dyDescent="0.2">
      <c r="B243" s="11">
        <f>IF('2 M-A +'!$B$42='2 M-A +'!G17,'2 M-A +'!$C$42,IF('2 M-A +'!$B$43='2 M-A +'!G17,'2 M-A +'!$C$43,0))</f>
        <v>0</v>
      </c>
      <c r="C243" s="11">
        <f>IF(B243&gt;0,'2 M-A +'!$G$33,0)</f>
        <v>0</v>
      </c>
      <c r="D243" s="11">
        <f>+'2 M-A +'!G16-0.5</f>
        <v>-0.5</v>
      </c>
      <c r="E243" s="960">
        <f>+'2 M-A +'!$G$32-0.5</f>
        <v>-0.5</v>
      </c>
      <c r="F243">
        <f>IF(C243&gt;0,((D243*4)+(E243*4))*C243,0)</f>
        <v>0</v>
      </c>
      <c r="G243" s="583">
        <f>IF(C243&gt;0,1,0)</f>
        <v>0</v>
      </c>
    </row>
    <row r="244" spans="2:7" hidden="1" x14ac:dyDescent="0.2"/>
    <row r="245" spans="2:7" hidden="1" x14ac:dyDescent="0.2">
      <c r="B245" s="11">
        <f>IF('2 M-A +'!$B$42='2 M-A +'!G19,'2 M-A +'!$C$42,IF('2 M-A +'!$B$43='2 M-A +'!G19,'2 M-A +'!$C$43,0))</f>
        <v>0</v>
      </c>
      <c r="C245" s="11">
        <f>IF(B245&gt;0,'2 M-A +'!$G$33,0)</f>
        <v>0</v>
      </c>
      <c r="D245" s="11">
        <f>+'2 M-A +'!G18-0.5</f>
        <v>-0.5</v>
      </c>
      <c r="E245" s="960">
        <f>+'2 M-A +'!$G$32-0.5</f>
        <v>-0.5</v>
      </c>
      <c r="F245">
        <f t="shared" si="5"/>
        <v>0</v>
      </c>
      <c r="G245" s="583">
        <f t="shared" si="4"/>
        <v>0</v>
      </c>
    </row>
    <row r="246" spans="2:7" hidden="1" x14ac:dyDescent="0.2">
      <c r="F246">
        <f t="shared" si="5"/>
        <v>0</v>
      </c>
      <c r="G246" s="583">
        <f t="shared" si="4"/>
        <v>0</v>
      </c>
    </row>
    <row r="247" spans="2:7" hidden="1" x14ac:dyDescent="0.2">
      <c r="B247" s="11">
        <f>IF('2 M-A +'!$B$42='2 M-A +'!G21,'2 M-A +'!$C$42,IF('2 M-A +'!$B$43='2 M-A +'!G21,'2 M-A +'!$C$43,0))</f>
        <v>0</v>
      </c>
      <c r="C247" s="11">
        <f>IF(B247&gt;0,'2 M-A +'!$G$33,0)</f>
        <v>0</v>
      </c>
      <c r="D247" s="11">
        <f>+'2 M-A +'!G20-0.5</f>
        <v>-0.5</v>
      </c>
      <c r="E247" s="960">
        <f>+'2 M-A +'!$G$32-0.5</f>
        <v>-0.5</v>
      </c>
      <c r="F247">
        <f t="shared" si="5"/>
        <v>0</v>
      </c>
      <c r="G247" s="583">
        <f t="shared" si="4"/>
        <v>0</v>
      </c>
    </row>
    <row r="248" spans="2:7" hidden="1" x14ac:dyDescent="0.2">
      <c r="F248">
        <f t="shared" si="5"/>
        <v>0</v>
      </c>
      <c r="G248" s="583">
        <f t="shared" si="4"/>
        <v>0</v>
      </c>
    </row>
    <row r="249" spans="2:7" hidden="1" x14ac:dyDescent="0.2">
      <c r="B249" s="11">
        <f>IF('2 M-A +'!$B$42='2 M-A +'!G23,'2 M-A +'!$C$42,IF('2 M-A +'!$B$43='2 M-A +'!G23,'2 M-A +'!$C$43,0))</f>
        <v>0</v>
      </c>
      <c r="C249" s="11">
        <f>IF(B249&gt;0,'2 M-A +'!$G$33,0)</f>
        <v>0</v>
      </c>
      <c r="D249" s="11">
        <f>+'2 M-A +'!G22-0.5</f>
        <v>-0.5</v>
      </c>
      <c r="E249" s="960">
        <f>+'2 M-A +'!$G$32-0.5</f>
        <v>-0.5</v>
      </c>
      <c r="F249">
        <f t="shared" si="5"/>
        <v>0</v>
      </c>
      <c r="G249" s="583">
        <f t="shared" si="4"/>
        <v>0</v>
      </c>
    </row>
    <row r="250" spans="2:7" hidden="1" x14ac:dyDescent="0.2">
      <c r="F250">
        <f t="shared" si="5"/>
        <v>0</v>
      </c>
      <c r="G250" s="583">
        <f t="shared" si="4"/>
        <v>0</v>
      </c>
    </row>
    <row r="251" spans="2:7" hidden="1" x14ac:dyDescent="0.2">
      <c r="B251" s="11">
        <f>IF('2 M-A +'!$B$42='2 M-A +'!G25,'2 M-A +'!$C$42,IF('2 M-A +'!$B$43='2 M-A +'!G25,'2 M-A +'!$C$43,0))</f>
        <v>0</v>
      </c>
      <c r="C251" s="11">
        <f>IF(B251&gt;0,'2 M-A +'!$G$33,0)</f>
        <v>0</v>
      </c>
      <c r="D251" s="11">
        <f>+'2 M-A +'!G24-0.5</f>
        <v>-0.5</v>
      </c>
      <c r="E251" s="960">
        <f>+'2 M-A +'!$G$32-0.5</f>
        <v>-0.5</v>
      </c>
      <c r="F251">
        <f t="shared" si="5"/>
        <v>0</v>
      </c>
      <c r="G251" s="583">
        <f t="shared" si="4"/>
        <v>0</v>
      </c>
    </row>
    <row r="252" spans="2:7" hidden="1" x14ac:dyDescent="0.2">
      <c r="F252">
        <f t="shared" si="5"/>
        <v>0</v>
      </c>
      <c r="G252" s="583">
        <f t="shared" si="4"/>
        <v>0</v>
      </c>
    </row>
    <row r="253" spans="2:7" hidden="1" x14ac:dyDescent="0.2">
      <c r="B253" s="11">
        <f>IF('2 M-A +'!$B$42='2 M-A +'!G27,'2 M-A +'!$C$42,IF('2 M-A +'!$B$43='2 M-A +'!G27,'2 M-A +'!$C$43,0))</f>
        <v>0</v>
      </c>
      <c r="C253" s="11">
        <f>IF(B253&gt;0,'2 M-A +'!$G$33,0)</f>
        <v>0</v>
      </c>
      <c r="D253" s="11">
        <f>+'2 M-A +'!G26-0.5</f>
        <v>-0.5</v>
      </c>
      <c r="E253" s="960">
        <f>+'2 M-A +'!$G$32-0.5</f>
        <v>-0.5</v>
      </c>
      <c r="F253">
        <f t="shared" si="5"/>
        <v>0</v>
      </c>
      <c r="G253" s="583">
        <f t="shared" si="4"/>
        <v>0</v>
      </c>
    </row>
    <row r="254" spans="2:7" hidden="1" x14ac:dyDescent="0.2">
      <c r="F254">
        <f t="shared" si="5"/>
        <v>0</v>
      </c>
      <c r="G254" s="583">
        <f t="shared" si="4"/>
        <v>0</v>
      </c>
    </row>
    <row r="255" spans="2:7" hidden="1" x14ac:dyDescent="0.2">
      <c r="B255" s="11">
        <f>IF('2 M-A +'!$B$42='2 M-A +'!H15,'2 M-A +'!$C$42,IF('2 M-A +'!$B$43='2 M-A +'!H15,'2 M-A +'!$C$43,0))</f>
        <v>0</v>
      </c>
      <c r="C255" s="11">
        <f>IF(B255&gt;0,'2 M-A +'!$H$33,0)</f>
        <v>0</v>
      </c>
      <c r="D255" s="11">
        <f>+'2 M-A +'!H14-0.5</f>
        <v>-0.5</v>
      </c>
      <c r="E255" s="960">
        <f>+'2 M-A +'!$H$32-0.5</f>
        <v>-0.5</v>
      </c>
      <c r="F255">
        <f t="shared" si="5"/>
        <v>0</v>
      </c>
      <c r="G255" s="583">
        <f t="shared" si="4"/>
        <v>0</v>
      </c>
    </row>
    <row r="256" spans="2:7" hidden="1" x14ac:dyDescent="0.2"/>
    <row r="257" spans="2:7" hidden="1" x14ac:dyDescent="0.2">
      <c r="B257" s="11">
        <f>IF('2 M-A +'!$B$42='2 M-A +'!H17,'2 M-A +'!$C$42,IF('2 M-A +'!$B$43='2 M-A +'!H17,'2 M-A +'!$C$43,0))</f>
        <v>0</v>
      </c>
      <c r="C257" s="11">
        <f>IF(B257&gt;0,'2 M-A +'!$H$33,0)</f>
        <v>0</v>
      </c>
      <c r="D257" s="11">
        <f>+'2 M-A +'!H16-0.5</f>
        <v>-0.5</v>
      </c>
      <c r="E257" s="960">
        <f>+'2 M-A +'!$H$32-0.5</f>
        <v>-0.5</v>
      </c>
      <c r="F257">
        <f>IF(C257&gt;0,((D257*4)+(E257*4))*C257,0)</f>
        <v>0</v>
      </c>
      <c r="G257" s="583">
        <f>IF(C257&gt;0,1,0)</f>
        <v>0</v>
      </c>
    </row>
    <row r="258" spans="2:7" hidden="1" x14ac:dyDescent="0.2"/>
    <row r="259" spans="2:7" hidden="1" x14ac:dyDescent="0.2">
      <c r="B259" s="11">
        <f>IF('2 M-A +'!$B$42='2 M-A +'!H19,'2 M-A +'!$C$42,IF('2 M-A +'!$B$43='2 M-A +'!H19,'2 M-A +'!$C$43,0))</f>
        <v>0</v>
      </c>
      <c r="C259" s="11">
        <f>IF(B259&gt;0,'2 M-A +'!$H$33,0)</f>
        <v>0</v>
      </c>
      <c r="D259" s="11">
        <f>+'2 M-A +'!H18-0.5</f>
        <v>-0.5</v>
      </c>
      <c r="E259" s="960">
        <f>+'2 M-A +'!$H$32-0.5</f>
        <v>-0.5</v>
      </c>
      <c r="F259">
        <f t="shared" si="5"/>
        <v>0</v>
      </c>
      <c r="G259" s="583">
        <f t="shared" si="4"/>
        <v>0</v>
      </c>
    </row>
    <row r="260" spans="2:7" hidden="1" x14ac:dyDescent="0.2">
      <c r="F260">
        <f t="shared" si="5"/>
        <v>0</v>
      </c>
      <c r="G260" s="583">
        <f t="shared" si="4"/>
        <v>0</v>
      </c>
    </row>
    <row r="261" spans="2:7" hidden="1" x14ac:dyDescent="0.2">
      <c r="B261" s="11">
        <f>IF('2 M-A +'!$B$42='2 M-A +'!H21,'2 M-A +'!$C$42,IF('2 M-A +'!$B$43='2 M-A +'!H21,'2 M-A +'!$C$43,0))</f>
        <v>0</v>
      </c>
      <c r="C261" s="11">
        <f>IF(B261&gt;0,'2 M-A +'!$H$33,0)</f>
        <v>0</v>
      </c>
      <c r="D261" s="11">
        <f>+'2 M-A +'!H20-0.5</f>
        <v>-0.5</v>
      </c>
      <c r="E261" s="960">
        <f>+'2 M-A +'!$H$32-0.5</f>
        <v>-0.5</v>
      </c>
      <c r="F261">
        <f t="shared" si="5"/>
        <v>0</v>
      </c>
      <c r="G261" s="583">
        <f t="shared" si="4"/>
        <v>0</v>
      </c>
    </row>
    <row r="262" spans="2:7" hidden="1" x14ac:dyDescent="0.2">
      <c r="F262">
        <f t="shared" si="5"/>
        <v>0</v>
      </c>
      <c r="G262" s="583">
        <f t="shared" si="4"/>
        <v>0</v>
      </c>
    </row>
    <row r="263" spans="2:7" hidden="1" x14ac:dyDescent="0.2">
      <c r="B263" s="11">
        <f>IF('2 M-A +'!$B$42='2 M-A +'!H23,'2 M-A +'!$C$42,IF('2 M-A +'!$B$43='2 M-A +'!H23,'2 M-A +'!$C$43,0))</f>
        <v>0</v>
      </c>
      <c r="C263" s="11">
        <f>IF(B263&gt;0,'2 M-A +'!$H$33,0)</f>
        <v>0</v>
      </c>
      <c r="D263" s="11">
        <f>+'2 M-A +'!H22-0.5</f>
        <v>-0.5</v>
      </c>
      <c r="E263" s="960">
        <f>+'2 M-A +'!$H$32-0.5</f>
        <v>-0.5</v>
      </c>
      <c r="F263">
        <f t="shared" si="5"/>
        <v>0</v>
      </c>
      <c r="G263" s="583">
        <f t="shared" si="4"/>
        <v>0</v>
      </c>
    </row>
    <row r="264" spans="2:7" hidden="1" x14ac:dyDescent="0.2">
      <c r="F264">
        <f t="shared" si="5"/>
        <v>0</v>
      </c>
      <c r="G264" s="583">
        <f t="shared" si="4"/>
        <v>0</v>
      </c>
    </row>
    <row r="265" spans="2:7" hidden="1" x14ac:dyDescent="0.2">
      <c r="B265" s="11">
        <f>IF('2 M-A +'!$B$42='2 M-A +'!H25,'2 M-A +'!$C$42,IF('2 M-A +'!$B$43='2 M-A +'!H25,'2 M-A +'!$C$43,0))</f>
        <v>0</v>
      </c>
      <c r="C265" s="11">
        <f>IF(B265&gt;0,'2 M-A +'!$H$33,0)</f>
        <v>0</v>
      </c>
      <c r="D265" s="11">
        <f>+'2 M-A +'!H24-0.5</f>
        <v>-0.5</v>
      </c>
      <c r="E265" s="960">
        <f>+'2 M-A +'!$H$32-0.5</f>
        <v>-0.5</v>
      </c>
      <c r="F265">
        <f t="shared" si="5"/>
        <v>0</v>
      </c>
      <c r="G265" s="583">
        <f t="shared" si="4"/>
        <v>0</v>
      </c>
    </row>
    <row r="266" spans="2:7" hidden="1" x14ac:dyDescent="0.2">
      <c r="F266">
        <f t="shared" si="5"/>
        <v>0</v>
      </c>
      <c r="G266" s="583">
        <f t="shared" si="4"/>
        <v>0</v>
      </c>
    </row>
    <row r="267" spans="2:7" hidden="1" x14ac:dyDescent="0.2">
      <c r="B267" s="11">
        <f>IF('2 M-A +'!$B$42='2 M-A +'!H27,'2 M-A +'!$C$42,IF('2 M-A +'!$B$43='2 M-A +'!H27,'2 M-A +'!$C$43,0))</f>
        <v>0</v>
      </c>
      <c r="C267" s="11">
        <f>IF(B267&gt;0,'2 M-A +'!$H$33,0)</f>
        <v>0</v>
      </c>
      <c r="D267" s="11">
        <f>+'2 M-A +'!H26-0.5</f>
        <v>-0.5</v>
      </c>
      <c r="E267" s="960">
        <f>+'2 M-A +'!$H$32-0.5</f>
        <v>-0.5</v>
      </c>
      <c r="F267">
        <f t="shared" si="5"/>
        <v>0</v>
      </c>
      <c r="G267" s="583">
        <f t="shared" si="4"/>
        <v>0</v>
      </c>
    </row>
    <row r="268" spans="2:7" hidden="1" x14ac:dyDescent="0.2">
      <c r="F268">
        <f t="shared" si="5"/>
        <v>0</v>
      </c>
      <c r="G268" s="583">
        <f t="shared" si="4"/>
        <v>0</v>
      </c>
    </row>
    <row r="269" spans="2:7" hidden="1" x14ac:dyDescent="0.2">
      <c r="B269" s="11">
        <f>IF('2 M-A +'!$B$42='2 M-A +'!I15,'2 M-A +'!$C$42,IF('2 M-A +'!$B$43='2 M-A +'!I15,'2 M-A +'!$C$43,0))</f>
        <v>0</v>
      </c>
      <c r="C269" s="11">
        <f>IF(B269&gt;0,'2 M-A +'!$I$33,0)</f>
        <v>0</v>
      </c>
      <c r="D269" s="11">
        <f>+'2 M-A +'!I14-0.5</f>
        <v>-0.5</v>
      </c>
      <c r="E269" s="960">
        <f>+'2 M-A +'!$I$32-0.5</f>
        <v>-0.5</v>
      </c>
      <c r="F269">
        <f t="shared" si="5"/>
        <v>0</v>
      </c>
      <c r="G269" s="583">
        <f t="shared" si="4"/>
        <v>0</v>
      </c>
    </row>
    <row r="270" spans="2:7" hidden="1" x14ac:dyDescent="0.2"/>
    <row r="271" spans="2:7" hidden="1" x14ac:dyDescent="0.2">
      <c r="B271" s="11">
        <f>IF('2 M-A +'!$B$42='2 M-A +'!I17,'2 M-A +'!$C$42,IF('2 M-A +'!$B$43='2 M-A +'!I17,'2 M-A +'!$C$43,0))</f>
        <v>0</v>
      </c>
      <c r="C271" s="11">
        <f>IF(B271&gt;0,'2 M-A +'!$I$33,0)</f>
        <v>0</v>
      </c>
      <c r="D271" s="11">
        <f>+'2 M-A +'!I16-0.5</f>
        <v>-0.5</v>
      </c>
      <c r="E271" s="960">
        <f>+'2 M-A +'!$I$32-0.5</f>
        <v>-0.5</v>
      </c>
      <c r="F271">
        <f>IF(C271&gt;0,((D271*4)+(E271*4))*C271,0)</f>
        <v>0</v>
      </c>
      <c r="G271" s="583">
        <f>IF(C271&gt;0,1,0)</f>
        <v>0</v>
      </c>
    </row>
    <row r="272" spans="2:7" hidden="1" x14ac:dyDescent="0.2"/>
    <row r="273" spans="2:7" hidden="1" x14ac:dyDescent="0.2">
      <c r="B273" s="11">
        <f>IF('2 M-A +'!$B$42='2 M-A +'!I19,'2 M-A +'!$C$42,IF('2 M-A +'!$B$43='2 M-A +'!I19,'2 M-A +'!$C$43,0))</f>
        <v>0</v>
      </c>
      <c r="C273" s="11">
        <f>IF(B273&gt;0,'2 M-A +'!$I$33,0)</f>
        <v>0</v>
      </c>
      <c r="D273" s="11">
        <f>+'2 M-A +'!I18-0.5</f>
        <v>-0.5</v>
      </c>
      <c r="E273" s="960">
        <f>+'2 M-A +'!$I$32-0.5</f>
        <v>-0.5</v>
      </c>
      <c r="F273">
        <f t="shared" si="5"/>
        <v>0</v>
      </c>
      <c r="G273" s="583">
        <f t="shared" si="4"/>
        <v>0</v>
      </c>
    </row>
    <row r="274" spans="2:7" hidden="1" x14ac:dyDescent="0.2">
      <c r="F274">
        <f t="shared" si="5"/>
        <v>0</v>
      </c>
      <c r="G274" s="583">
        <f t="shared" si="4"/>
        <v>0</v>
      </c>
    </row>
    <row r="275" spans="2:7" hidden="1" x14ac:dyDescent="0.2">
      <c r="B275" s="11">
        <f>IF('2 M-A +'!$B$42='2 M-A +'!I21,'2 M-A +'!$C$42,IF('2 M-A +'!$B$43='2 M-A +'!I21,'2 M-A +'!$C$43,0))</f>
        <v>0</v>
      </c>
      <c r="C275" s="11">
        <f>IF(B275&gt;0,'2 M-A +'!$I$33,0)</f>
        <v>0</v>
      </c>
      <c r="D275" s="11">
        <f>+'2 M-A +'!I20-0.5</f>
        <v>-0.5</v>
      </c>
      <c r="E275" s="960">
        <f>+'2 M-A +'!$I$32-0.5</f>
        <v>-0.5</v>
      </c>
      <c r="F275">
        <f t="shared" si="5"/>
        <v>0</v>
      </c>
      <c r="G275" s="583">
        <f t="shared" si="4"/>
        <v>0</v>
      </c>
    </row>
    <row r="276" spans="2:7" hidden="1" x14ac:dyDescent="0.2">
      <c r="F276">
        <f t="shared" si="5"/>
        <v>0</v>
      </c>
      <c r="G276" s="583">
        <f t="shared" si="4"/>
        <v>0</v>
      </c>
    </row>
    <row r="277" spans="2:7" hidden="1" x14ac:dyDescent="0.2">
      <c r="B277" s="11">
        <f>IF('2 M-A +'!$B$42='2 M-A +'!I23,'2 M-A +'!$C$42,IF('2 M-A +'!$B$43='2 M-A +'!I23,'2 M-A +'!$C$43,0))</f>
        <v>0</v>
      </c>
      <c r="C277" s="11">
        <f>IF(B277&gt;0,'2 M-A +'!$I$33,0)</f>
        <v>0</v>
      </c>
      <c r="D277" s="11">
        <f>+'2 M-A +'!I22-0.5</f>
        <v>-0.5</v>
      </c>
      <c r="E277" s="960">
        <f>+'2 M-A +'!$I$32-0.5</f>
        <v>-0.5</v>
      </c>
      <c r="F277">
        <f t="shared" si="5"/>
        <v>0</v>
      </c>
      <c r="G277" s="583">
        <f t="shared" si="4"/>
        <v>0</v>
      </c>
    </row>
    <row r="278" spans="2:7" hidden="1" x14ac:dyDescent="0.2">
      <c r="F278">
        <f t="shared" si="5"/>
        <v>0</v>
      </c>
      <c r="G278" s="583">
        <f t="shared" si="4"/>
        <v>0</v>
      </c>
    </row>
    <row r="279" spans="2:7" hidden="1" x14ac:dyDescent="0.2">
      <c r="B279" s="11">
        <f>IF('2 M-A +'!$B$42='2 M-A +'!I25,'2 M-A +'!$C$42,IF('2 M-A +'!$B$43='2 M-A +'!I25,'2 M-A +'!$C$43,0))</f>
        <v>0</v>
      </c>
      <c r="C279" s="11">
        <f>IF(B279&gt;0,'2 M-A +'!$I$33,0)</f>
        <v>0</v>
      </c>
      <c r="D279" s="11">
        <f>+'2 M-A +'!I24-0.5</f>
        <v>-0.5</v>
      </c>
      <c r="E279" s="960">
        <f>+'2 M-A +'!$I$32-0.5</f>
        <v>-0.5</v>
      </c>
      <c r="F279">
        <f t="shared" si="5"/>
        <v>0</v>
      </c>
      <c r="G279" s="583">
        <f t="shared" si="4"/>
        <v>0</v>
      </c>
    </row>
    <row r="280" spans="2:7" hidden="1" x14ac:dyDescent="0.2">
      <c r="F280">
        <f t="shared" si="5"/>
        <v>0</v>
      </c>
      <c r="G280" s="583">
        <f t="shared" si="4"/>
        <v>0</v>
      </c>
    </row>
    <row r="281" spans="2:7" hidden="1" x14ac:dyDescent="0.2">
      <c r="B281" s="11">
        <f>IF('2 M-A +'!$B$42='2 M-A +'!I27,'2 M-A +'!$C$42,IF('2 M-A +'!$B$43='2 M-A +'!I27,'2 M-A +'!$C$43,0))</f>
        <v>0</v>
      </c>
      <c r="C281" s="11">
        <f>IF(B281&gt;0,'2 M-A +'!$I$33,0)</f>
        <v>0</v>
      </c>
      <c r="D281" s="11">
        <f>+'2 M-A +'!I26-0.5</f>
        <v>-0.5</v>
      </c>
      <c r="E281" s="960">
        <f>+'2 M-A +'!$I$32-0.5</f>
        <v>-0.5</v>
      </c>
      <c r="F281">
        <f t="shared" si="5"/>
        <v>0</v>
      </c>
      <c r="G281" s="583">
        <f t="shared" si="4"/>
        <v>0</v>
      </c>
    </row>
    <row r="282" spans="2:7" hidden="1" x14ac:dyDescent="0.2">
      <c r="F282">
        <f t="shared" si="5"/>
        <v>0</v>
      </c>
      <c r="G282" s="583">
        <f t="shared" si="4"/>
        <v>0</v>
      </c>
    </row>
    <row r="283" spans="2:7" hidden="1" x14ac:dyDescent="0.2">
      <c r="B283" s="11">
        <f>IF('2 M-A +'!$B$42='2 M-A +'!J15,'2 M-A +'!$C$42,IF('2 M-A +'!$B$43='2 M-A +'!J15,'2 M-A +'!$C$43,0))</f>
        <v>0</v>
      </c>
      <c r="C283" s="11">
        <f>IF(B283&gt;0,'2 M-A +'!$J$33,0)</f>
        <v>0</v>
      </c>
      <c r="D283" s="11">
        <f>+'2 M-A +'!J14-0.5</f>
        <v>-0.5</v>
      </c>
      <c r="E283" s="960">
        <f>+'2 M-A +'!$J$32-0.5</f>
        <v>-0.5</v>
      </c>
      <c r="F283">
        <f t="shared" si="5"/>
        <v>0</v>
      </c>
      <c r="G283" s="583">
        <f t="shared" si="4"/>
        <v>0</v>
      </c>
    </row>
    <row r="284" spans="2:7" hidden="1" x14ac:dyDescent="0.2"/>
    <row r="285" spans="2:7" hidden="1" x14ac:dyDescent="0.2">
      <c r="B285" s="11">
        <f>IF('2 M-A +'!$B$42='2 M-A +'!J17,'2 M-A +'!$C$42,IF('2 M-A +'!$B$43='2 M-A +'!J17,'2 M-A +'!$C$43,0))</f>
        <v>0</v>
      </c>
      <c r="C285" s="11">
        <f>IF(B285&gt;0,'2 M-A +'!$J$33,0)</f>
        <v>0</v>
      </c>
      <c r="D285" s="11">
        <f>+'2 M-A +'!J16-0.5</f>
        <v>-0.5</v>
      </c>
      <c r="E285" s="960">
        <f>+'2 M-A +'!$J$32-0.5</f>
        <v>-0.5</v>
      </c>
      <c r="F285">
        <f>IF(C285&gt;0,((D285*4)+(E285*4))*C285,0)</f>
        <v>0</v>
      </c>
      <c r="G285" s="583">
        <f>IF(C285&gt;0,1,0)</f>
        <v>0</v>
      </c>
    </row>
    <row r="286" spans="2:7" hidden="1" x14ac:dyDescent="0.2"/>
    <row r="287" spans="2:7" hidden="1" x14ac:dyDescent="0.2">
      <c r="B287" s="11">
        <f>IF('2 M-A +'!$B$42='2 M-A +'!J19,'2 M-A +'!$C$42,IF('2 M-A +'!$B$43='2 M-A +'!J19,'2 M-A +'!$C$43,0))</f>
        <v>0</v>
      </c>
      <c r="C287" s="11">
        <f>IF(B287&gt;0,'2 M-A +'!$J$33,0)</f>
        <v>0</v>
      </c>
      <c r="D287" s="11">
        <f>+'2 M-A +'!J18-0.5</f>
        <v>-0.5</v>
      </c>
      <c r="E287" s="960">
        <f>+'2 M-A +'!$J$32-0.5</f>
        <v>-0.5</v>
      </c>
      <c r="F287">
        <f t="shared" si="5"/>
        <v>0</v>
      </c>
      <c r="G287" s="583">
        <f t="shared" si="4"/>
        <v>0</v>
      </c>
    </row>
    <row r="288" spans="2:7" hidden="1" x14ac:dyDescent="0.2">
      <c r="F288">
        <f t="shared" si="5"/>
        <v>0</v>
      </c>
      <c r="G288" s="583">
        <f t="shared" si="4"/>
        <v>0</v>
      </c>
    </row>
    <row r="289" spans="2:7" hidden="1" x14ac:dyDescent="0.2">
      <c r="B289" s="11">
        <f>IF('2 M-A +'!$B$42='2 M-A +'!J21,'2 M-A +'!$C$42,IF('2 M-A +'!$B$43='2 M-A +'!J21,'2 M-A +'!$C$43,0))</f>
        <v>0</v>
      </c>
      <c r="C289" s="11">
        <f>IF(B289&gt;0,'2 M-A +'!$J$33,0)</f>
        <v>0</v>
      </c>
      <c r="D289" s="11">
        <f>+'2 M-A +'!J20-0.5</f>
        <v>-0.5</v>
      </c>
      <c r="E289" s="960">
        <f>+'2 M-A +'!$J$32-0.5</f>
        <v>-0.5</v>
      </c>
      <c r="F289">
        <f t="shared" si="5"/>
        <v>0</v>
      </c>
      <c r="G289" s="583">
        <f t="shared" ref="G289:G368" si="6">IF(C289&gt;0,1,0)</f>
        <v>0</v>
      </c>
    </row>
    <row r="290" spans="2:7" hidden="1" x14ac:dyDescent="0.2">
      <c r="F290">
        <f t="shared" ref="F290:F369" si="7">IF(C290&gt;0,((D290*4)+(E290*4))*C290,0)</f>
        <v>0</v>
      </c>
      <c r="G290" s="583">
        <f t="shared" si="6"/>
        <v>0</v>
      </c>
    </row>
    <row r="291" spans="2:7" hidden="1" x14ac:dyDescent="0.2">
      <c r="B291" s="11">
        <f>IF('2 M-A +'!$B$42='2 M-A +'!J23,'2 M-A +'!$C$42,IF('2 M-A +'!$B$43='2 M-A +'!J23,'2 M-A +'!$C$43,0))</f>
        <v>0</v>
      </c>
      <c r="C291" s="11">
        <f>IF(B291&gt;0,'2 M-A +'!$J$33,0)</f>
        <v>0</v>
      </c>
      <c r="D291" s="11">
        <f>+'2 M-A +'!J22-0.5</f>
        <v>-0.5</v>
      </c>
      <c r="E291" s="960">
        <f>+'2 M-A +'!$J$32-0.5</f>
        <v>-0.5</v>
      </c>
      <c r="F291">
        <f t="shared" si="7"/>
        <v>0</v>
      </c>
      <c r="G291" s="583">
        <f t="shared" si="6"/>
        <v>0</v>
      </c>
    </row>
    <row r="292" spans="2:7" hidden="1" x14ac:dyDescent="0.2">
      <c r="F292">
        <f t="shared" si="7"/>
        <v>0</v>
      </c>
      <c r="G292" s="583">
        <f t="shared" si="6"/>
        <v>0</v>
      </c>
    </row>
    <row r="293" spans="2:7" hidden="1" x14ac:dyDescent="0.2">
      <c r="B293" s="11">
        <f>IF('2 M-A +'!$B$42='2 M-A +'!J25,'2 M-A +'!$C$42,IF('2 M-A +'!$B$43='2 M-A +'!J25,'2 M-A +'!$C$43,0))</f>
        <v>0</v>
      </c>
      <c r="C293" s="11">
        <f>IF(B293&gt;0,'2 M-A +'!$J$33,0)</f>
        <v>0</v>
      </c>
      <c r="D293" s="11">
        <f>+'2 M-A +'!J24-0.5</f>
        <v>-0.5</v>
      </c>
      <c r="E293" s="960">
        <f>+'2 M-A +'!$J$32-0.5</f>
        <v>-0.5</v>
      </c>
      <c r="F293">
        <f t="shared" si="7"/>
        <v>0</v>
      </c>
      <c r="G293" s="583">
        <f t="shared" si="6"/>
        <v>0</v>
      </c>
    </row>
    <row r="294" spans="2:7" hidden="1" x14ac:dyDescent="0.2">
      <c r="F294">
        <f t="shared" si="7"/>
        <v>0</v>
      </c>
      <c r="G294" s="583">
        <f t="shared" si="6"/>
        <v>0</v>
      </c>
    </row>
    <row r="295" spans="2:7" hidden="1" x14ac:dyDescent="0.2">
      <c r="B295" s="11">
        <f>IF('2 M-A +'!$B$42='2 M-A +'!J27,'2 M-A +'!$C$42,IF('2 M-A +'!$B$43='2 M-A +'!J27,'2 M-A +'!$C$43,0))</f>
        <v>0</v>
      </c>
      <c r="C295" s="11">
        <f>IF(B295&gt;0,'2 M-A +'!$J$33,0)</f>
        <v>0</v>
      </c>
      <c r="D295" s="11">
        <f>+'2 M-A +'!J26-0.5</f>
        <v>-0.5</v>
      </c>
      <c r="E295" s="960">
        <f>+'2 M-A +'!$J$32-0.5</f>
        <v>-0.5</v>
      </c>
      <c r="F295">
        <f t="shared" si="7"/>
        <v>0</v>
      </c>
      <c r="G295" s="583">
        <f t="shared" si="6"/>
        <v>0</v>
      </c>
    </row>
    <row r="296" spans="2:7" hidden="1" x14ac:dyDescent="0.2">
      <c r="F296">
        <f t="shared" si="7"/>
        <v>0</v>
      </c>
      <c r="G296" s="583">
        <f t="shared" si="6"/>
        <v>0</v>
      </c>
    </row>
    <row r="297" spans="2:7" hidden="1" x14ac:dyDescent="0.2">
      <c r="B297" s="11">
        <f>IF('2 M-A +'!$B$42='2 M-A +'!K15,'2 M-A +'!$C$42,IF('2 M-A +'!$B$43='2 M-A +'!K15,'2 M-A +'!$C$43,0))</f>
        <v>0</v>
      </c>
      <c r="C297" s="11">
        <f>IF(B297&gt;0,'2 M-A +'!$K$33,0)</f>
        <v>0</v>
      </c>
      <c r="D297" s="11">
        <f>+'2 M-A +'!K14-0.5</f>
        <v>-0.5</v>
      </c>
      <c r="E297" s="960">
        <f>+'2 M-A +'!$K$32-0.5</f>
        <v>-0.5</v>
      </c>
      <c r="F297">
        <f t="shared" si="7"/>
        <v>0</v>
      </c>
      <c r="G297" s="583">
        <f t="shared" si="6"/>
        <v>0</v>
      </c>
    </row>
    <row r="298" spans="2:7" hidden="1" x14ac:dyDescent="0.2"/>
    <row r="299" spans="2:7" hidden="1" x14ac:dyDescent="0.2">
      <c r="B299" s="11">
        <f>IF('2 M-A +'!$B$42='2 M-A +'!K17,'2 M-A +'!$C$42,IF('2 M-A +'!$B$43='2 M-A +'!K17,'2 M-A +'!$C$43,0))</f>
        <v>0</v>
      </c>
      <c r="C299" s="11">
        <f>IF(B299&gt;0,'2 M-A +'!$K$33,0)</f>
        <v>0</v>
      </c>
      <c r="D299" s="11">
        <f>+'2 M-A +'!K16-0.5</f>
        <v>-0.5</v>
      </c>
      <c r="E299" s="960">
        <f>+'2 M-A +'!$K$32-0.5</f>
        <v>-0.5</v>
      </c>
      <c r="F299">
        <f>IF(C299&gt;0,((D299*4)+(E299*4))*C299,0)</f>
        <v>0</v>
      </c>
      <c r="G299" s="583">
        <f>IF(C299&gt;0,1,0)</f>
        <v>0</v>
      </c>
    </row>
    <row r="300" spans="2:7" hidden="1" x14ac:dyDescent="0.2"/>
    <row r="301" spans="2:7" hidden="1" x14ac:dyDescent="0.2">
      <c r="B301" s="11">
        <f>IF('2 M-A +'!$B$42='2 M-A +'!K19,'2 M-A +'!$C$42,IF('2 M-A +'!$B$43='2 M-A +'!K19,'2 M-A +'!$C$43,0))</f>
        <v>0</v>
      </c>
      <c r="C301" s="11">
        <f>IF(B301&gt;0,'2 M-A +'!$K$33,0)</f>
        <v>0</v>
      </c>
      <c r="D301" s="11">
        <f>+'2 M-A +'!K18-0.5</f>
        <v>-0.5</v>
      </c>
      <c r="E301" s="960">
        <f>+'2 M-A +'!$K$32-0.5</f>
        <v>-0.5</v>
      </c>
      <c r="F301">
        <f t="shared" si="7"/>
        <v>0</v>
      </c>
      <c r="G301" s="583">
        <f t="shared" si="6"/>
        <v>0</v>
      </c>
    </row>
    <row r="302" spans="2:7" hidden="1" x14ac:dyDescent="0.2">
      <c r="F302">
        <f t="shared" si="7"/>
        <v>0</v>
      </c>
      <c r="G302" s="583">
        <f t="shared" si="6"/>
        <v>0</v>
      </c>
    </row>
    <row r="303" spans="2:7" hidden="1" x14ac:dyDescent="0.2">
      <c r="B303" s="11">
        <f>IF('2 M-A +'!$B$42='2 M-A +'!K21,'2 M-A +'!$C$42,IF('2 M-A +'!$B$43='2 M-A +'!K21,'2 M-A +'!$C$43,0))</f>
        <v>0</v>
      </c>
      <c r="C303" s="11">
        <f>IF(B303&gt;0,'2 M-A +'!$K$33,0)</f>
        <v>0</v>
      </c>
      <c r="D303" s="11">
        <f>+'2 M-A +'!K20-0.5</f>
        <v>-0.5</v>
      </c>
      <c r="E303" s="960">
        <f>+'2 M-A +'!$K$32-0.5</f>
        <v>-0.5</v>
      </c>
      <c r="F303">
        <f t="shared" si="7"/>
        <v>0</v>
      </c>
      <c r="G303" s="583">
        <f t="shared" si="6"/>
        <v>0</v>
      </c>
    </row>
    <row r="304" spans="2:7" hidden="1" x14ac:dyDescent="0.2">
      <c r="F304">
        <f t="shared" si="7"/>
        <v>0</v>
      </c>
      <c r="G304" s="583">
        <f t="shared" si="6"/>
        <v>0</v>
      </c>
    </row>
    <row r="305" spans="2:7" hidden="1" x14ac:dyDescent="0.2">
      <c r="B305" s="11">
        <f>IF('2 M-A +'!$B$42='2 M-A +'!K23,'2 M-A +'!$C$42,IF('2 M-A +'!$B$43='2 M-A +'!K23,'2 M-A +'!$C$43,0))</f>
        <v>0</v>
      </c>
      <c r="C305" s="11">
        <f>IF(B305&gt;0,'2 M-A +'!$K$33,0)</f>
        <v>0</v>
      </c>
      <c r="D305" s="11">
        <f>+'2 M-A +'!K22-0.5</f>
        <v>-0.5</v>
      </c>
      <c r="E305" s="960">
        <f>+'2 M-A +'!$K$32-0.5</f>
        <v>-0.5</v>
      </c>
      <c r="F305">
        <f t="shared" si="7"/>
        <v>0</v>
      </c>
      <c r="G305" s="583">
        <f t="shared" si="6"/>
        <v>0</v>
      </c>
    </row>
    <row r="306" spans="2:7" hidden="1" x14ac:dyDescent="0.2">
      <c r="F306">
        <f t="shared" si="7"/>
        <v>0</v>
      </c>
      <c r="G306" s="583">
        <f t="shared" si="6"/>
        <v>0</v>
      </c>
    </row>
    <row r="307" spans="2:7" hidden="1" x14ac:dyDescent="0.2">
      <c r="B307" s="11">
        <f>IF('2 M-A +'!$B$42='2 M-A +'!K25,'2 M-A +'!$C$42,IF('2 M-A +'!$B$43='2 M-A +'!K25,'2 M-A +'!$C$43,0))</f>
        <v>0</v>
      </c>
      <c r="C307" s="11">
        <f>IF(B307&gt;0,'2 M-A +'!$K$33,0)</f>
        <v>0</v>
      </c>
      <c r="D307" s="11">
        <f>+'2 M-A +'!K24-0.5</f>
        <v>-0.5</v>
      </c>
      <c r="E307" s="960">
        <f>+'2 M-A +'!$K$32-0.5</f>
        <v>-0.5</v>
      </c>
      <c r="F307">
        <f t="shared" si="7"/>
        <v>0</v>
      </c>
      <c r="G307" s="583">
        <f t="shared" si="6"/>
        <v>0</v>
      </c>
    </row>
    <row r="308" spans="2:7" hidden="1" x14ac:dyDescent="0.2">
      <c r="F308">
        <f t="shared" si="7"/>
        <v>0</v>
      </c>
      <c r="G308" s="583">
        <f t="shared" si="6"/>
        <v>0</v>
      </c>
    </row>
    <row r="309" spans="2:7" hidden="1" x14ac:dyDescent="0.2">
      <c r="B309" s="11">
        <f>IF('2 M-A +'!$B$42='2 M-A +'!K27,'2 M-A +'!$C$42,IF('2 M-A +'!$B$43='2 M-A +'!K27,'2 M-A +'!$C$43,0))</f>
        <v>0</v>
      </c>
      <c r="C309" s="11">
        <f>IF(B309&gt;0,'2 M-A +'!$K$33,0)</f>
        <v>0</v>
      </c>
      <c r="D309" s="11">
        <f>+'2 M-A +'!K26-0.5</f>
        <v>-0.5</v>
      </c>
      <c r="E309" s="960">
        <f>+'2 M-A +'!$K$32-0.5</f>
        <v>-0.5</v>
      </c>
      <c r="F309">
        <f t="shared" si="7"/>
        <v>0</v>
      </c>
      <c r="G309" s="583">
        <f t="shared" si="6"/>
        <v>0</v>
      </c>
    </row>
    <row r="310" spans="2:7" hidden="1" x14ac:dyDescent="0.2">
      <c r="F310">
        <f t="shared" si="7"/>
        <v>0</v>
      </c>
      <c r="G310" s="583">
        <f t="shared" si="6"/>
        <v>0</v>
      </c>
    </row>
    <row r="311" spans="2:7" hidden="1" x14ac:dyDescent="0.2">
      <c r="B311" s="11">
        <f>IF('2 M-A +'!$B$42='2 M-A +'!L15,'2 M-A +'!$C$42,IF('2 M-A +'!$B$43='2 M-A +'!L15,'2 M-A +'!$C$43,0))</f>
        <v>0</v>
      </c>
      <c r="C311" s="11">
        <f>IF(B311&gt;0,'2 M-A +'!$L$33,0)</f>
        <v>0</v>
      </c>
      <c r="D311" s="11">
        <f>+'2 M-A +'!L14-0.5</f>
        <v>-0.5</v>
      </c>
      <c r="E311" s="960">
        <f>+'2 M-A +'!$L$32-0.5</f>
        <v>-0.5</v>
      </c>
      <c r="F311">
        <f t="shared" si="7"/>
        <v>0</v>
      </c>
      <c r="G311" s="583">
        <f t="shared" si="6"/>
        <v>0</v>
      </c>
    </row>
    <row r="312" spans="2:7" hidden="1" x14ac:dyDescent="0.2"/>
    <row r="313" spans="2:7" hidden="1" x14ac:dyDescent="0.2">
      <c r="B313" s="11">
        <f>IF('2 M-A +'!$B$42='2 M-A +'!L17,'2 M-A +'!$C$42,IF('2 M-A +'!$B$43='2 M-A +'!L17,'2 M-A +'!$C$43,0))</f>
        <v>0</v>
      </c>
      <c r="C313" s="11">
        <f>IF(B313&gt;0,'2 M-A +'!$L$33,0)</f>
        <v>0</v>
      </c>
      <c r="D313" s="11">
        <f>+'2 M-A +'!L16-0.5</f>
        <v>-0.5</v>
      </c>
      <c r="E313" s="960">
        <f>+'2 M-A +'!$L$32-0.5</f>
        <v>-0.5</v>
      </c>
      <c r="F313">
        <f>IF(C313&gt;0,((D313*4)+(E313*4))*C313,0)</f>
        <v>0</v>
      </c>
      <c r="G313" s="583">
        <f>IF(C313&gt;0,1,0)</f>
        <v>0</v>
      </c>
    </row>
    <row r="314" spans="2:7" hidden="1" x14ac:dyDescent="0.2"/>
    <row r="315" spans="2:7" hidden="1" x14ac:dyDescent="0.2">
      <c r="B315" s="11">
        <f>IF('2 M-A +'!$B$42='2 M-A +'!L19,'2 M-A +'!$C$42,IF('2 M-A +'!$B$43='2 M-A +'!L19,'2 M-A +'!$C$43,0))</f>
        <v>0</v>
      </c>
      <c r="C315" s="11">
        <f>IF(B315&gt;0,'2 M-A +'!$L$33,0)</f>
        <v>0</v>
      </c>
      <c r="D315" s="11">
        <f>+'2 M-A +'!L18-0.5</f>
        <v>-0.5</v>
      </c>
      <c r="E315" s="960">
        <f>+'2 M-A +'!$L$32-0.5</f>
        <v>-0.5</v>
      </c>
      <c r="F315">
        <f t="shared" si="7"/>
        <v>0</v>
      </c>
      <c r="G315" s="583">
        <f t="shared" si="6"/>
        <v>0</v>
      </c>
    </row>
    <row r="316" spans="2:7" hidden="1" x14ac:dyDescent="0.2">
      <c r="F316">
        <f t="shared" si="7"/>
        <v>0</v>
      </c>
      <c r="G316" s="583">
        <f t="shared" si="6"/>
        <v>0</v>
      </c>
    </row>
    <row r="317" spans="2:7" hidden="1" x14ac:dyDescent="0.2">
      <c r="B317" s="11">
        <f>IF('2 M-A +'!$B$42='2 M-A +'!L21,'2 M-A +'!$C$42,IF('2 M-A +'!$B$43='2 M-A +'!L21,'2 M-A +'!$C$43,0))</f>
        <v>0</v>
      </c>
      <c r="C317" s="11">
        <f>IF(B317&gt;0,'2 M-A +'!$L$33,0)</f>
        <v>0</v>
      </c>
      <c r="D317" s="11">
        <f>+'2 M-A +'!L20-0.5</f>
        <v>-0.5</v>
      </c>
      <c r="E317" s="960">
        <f>+'2 M-A +'!$L$32-0.5</f>
        <v>-0.5</v>
      </c>
      <c r="F317">
        <f t="shared" si="7"/>
        <v>0</v>
      </c>
      <c r="G317" s="583">
        <f t="shared" si="6"/>
        <v>0</v>
      </c>
    </row>
    <row r="318" spans="2:7" hidden="1" x14ac:dyDescent="0.2">
      <c r="F318">
        <f t="shared" si="7"/>
        <v>0</v>
      </c>
      <c r="G318" s="583">
        <f t="shared" si="6"/>
        <v>0</v>
      </c>
    </row>
    <row r="319" spans="2:7" hidden="1" x14ac:dyDescent="0.2">
      <c r="B319" s="11">
        <f>IF('2 M-A +'!$B$42='2 M-A +'!L23,'2 M-A +'!$C$42,IF('2 M-A +'!$B$43='2 M-A +'!L23,'2 M-A +'!$C$43,0))</f>
        <v>0</v>
      </c>
      <c r="C319" s="11">
        <f>IF(B319&gt;0,'2 M-A +'!$L$33,0)</f>
        <v>0</v>
      </c>
      <c r="D319" s="11">
        <f>+'2 M-A +'!L22-0.5</f>
        <v>-0.5</v>
      </c>
      <c r="E319" s="960">
        <f>+'2 M-A +'!$L$32-0.5</f>
        <v>-0.5</v>
      </c>
      <c r="F319">
        <f t="shared" si="7"/>
        <v>0</v>
      </c>
      <c r="G319" s="583">
        <f t="shared" si="6"/>
        <v>0</v>
      </c>
    </row>
    <row r="320" spans="2:7" hidden="1" x14ac:dyDescent="0.2">
      <c r="F320">
        <f t="shared" si="7"/>
        <v>0</v>
      </c>
      <c r="G320" s="583">
        <f t="shared" si="6"/>
        <v>0</v>
      </c>
    </row>
    <row r="321" spans="2:7" hidden="1" x14ac:dyDescent="0.2">
      <c r="B321" s="11">
        <f>IF('2 M-A +'!$B$42='2 M-A +'!L25,'2 M-A +'!$C$42,IF('2 M-A +'!$B$43='2 M-A +'!L25,'2 M-A +'!$C$43,0))</f>
        <v>0</v>
      </c>
      <c r="C321" s="11">
        <f>IF(B321&gt;0,'2 M-A +'!$L$33,0)</f>
        <v>0</v>
      </c>
      <c r="D321" s="11">
        <f>+'2 M-A +'!L24-0.5</f>
        <v>-0.5</v>
      </c>
      <c r="E321" s="960">
        <f>+'2 M-A +'!$L$32-0.5</f>
        <v>-0.5</v>
      </c>
      <c r="F321">
        <f t="shared" si="7"/>
        <v>0</v>
      </c>
      <c r="G321" s="583">
        <f t="shared" si="6"/>
        <v>0</v>
      </c>
    </row>
    <row r="322" spans="2:7" hidden="1" x14ac:dyDescent="0.2">
      <c r="F322">
        <f t="shared" si="7"/>
        <v>0</v>
      </c>
      <c r="G322" s="583">
        <f t="shared" si="6"/>
        <v>0</v>
      </c>
    </row>
    <row r="323" spans="2:7" hidden="1" x14ac:dyDescent="0.2">
      <c r="B323" s="11">
        <f>IF('2 M-A +'!$B$42='2 M-A +'!L27,'2 M-A +'!$C$42,IF('2 M-A +'!$B$43='2 M-A +'!L27,'2 M-A +'!$C$43,0))</f>
        <v>0</v>
      </c>
      <c r="C323" s="11">
        <f>IF(B323&gt;0,'2 M-A +'!$L$33,0)</f>
        <v>0</v>
      </c>
      <c r="D323" s="11">
        <f>+'2 M-A +'!L26-0.5</f>
        <v>-0.5</v>
      </c>
      <c r="E323" s="960">
        <f>+'2 M-A +'!$L$32-0.5</f>
        <v>-0.5</v>
      </c>
      <c r="F323">
        <f t="shared" si="7"/>
        <v>0</v>
      </c>
      <c r="G323" s="583">
        <f t="shared" si="6"/>
        <v>0</v>
      </c>
    </row>
    <row r="324" spans="2:7" hidden="1" x14ac:dyDescent="0.2">
      <c r="F324">
        <f t="shared" si="7"/>
        <v>0</v>
      </c>
      <c r="G324" s="583">
        <f t="shared" si="6"/>
        <v>0</v>
      </c>
    </row>
    <row r="325" spans="2:7" hidden="1" x14ac:dyDescent="0.2">
      <c r="B325" s="11">
        <f>IF('2 M-A +'!$B$42='2 M-A +'!M15,'2 M-A +'!$C$42,IF('2 M-A +'!$B$43='2 M-A +'!M15,'2 M-A +'!$C$43,0))</f>
        <v>0</v>
      </c>
      <c r="C325" s="11">
        <f>IF(B325&gt;0,'2 M-A +'!$M$33,0)</f>
        <v>0</v>
      </c>
      <c r="D325" s="11">
        <f>+'2 M-A +'!M14-0.5</f>
        <v>-0.5</v>
      </c>
      <c r="E325" s="960">
        <f>+'2 M-A +'!$M$32-0.5</f>
        <v>-0.5</v>
      </c>
      <c r="F325">
        <f t="shared" si="7"/>
        <v>0</v>
      </c>
      <c r="G325" s="583">
        <f t="shared" si="6"/>
        <v>0</v>
      </c>
    </row>
    <row r="326" spans="2:7" hidden="1" x14ac:dyDescent="0.2"/>
    <row r="327" spans="2:7" hidden="1" x14ac:dyDescent="0.2">
      <c r="B327" s="11">
        <f>IF('2 M-A +'!$B$42='2 M-A +'!M17,'2 M-A +'!$C$42,IF('2 M-A +'!$B$43='2 M-A +'!M17,'2 M-A +'!$C$43,0))</f>
        <v>0</v>
      </c>
      <c r="C327" s="11">
        <f>IF(B327&gt;0,'2 M-A +'!$M$33,0)</f>
        <v>0</v>
      </c>
      <c r="D327" s="11">
        <f>+'2 M-A +'!M16-0.5</f>
        <v>-0.5</v>
      </c>
      <c r="E327" s="960">
        <f>+'2 M-A +'!$M$32-0.5</f>
        <v>-0.5</v>
      </c>
      <c r="F327">
        <f>IF(C327&gt;0,((D327*4)+(E327*4))*C327,0)</f>
        <v>0</v>
      </c>
      <c r="G327" s="583">
        <f>IF(C327&gt;0,1,0)</f>
        <v>0</v>
      </c>
    </row>
    <row r="328" spans="2:7" hidden="1" x14ac:dyDescent="0.2"/>
    <row r="329" spans="2:7" hidden="1" x14ac:dyDescent="0.2">
      <c r="B329" s="11">
        <f>IF('2 M-A +'!$B$42='2 M-A +'!M19,'2 M-A +'!$C$42,IF('2 M-A +'!$B$43='2 M-A +'!M19,'2 M-A +'!$C$43,0))</f>
        <v>0</v>
      </c>
      <c r="C329" s="11">
        <f>IF(B329&gt;0,'2 M-A +'!$M$33,0)</f>
        <v>0</v>
      </c>
      <c r="D329" s="11">
        <f>+'2 M-A +'!M18-0.5</f>
        <v>-0.5</v>
      </c>
      <c r="E329" s="960">
        <f>+'2 M-A +'!$M$32-0.5</f>
        <v>-0.5</v>
      </c>
      <c r="F329">
        <f t="shared" si="7"/>
        <v>0</v>
      </c>
      <c r="G329" s="583">
        <f t="shared" si="6"/>
        <v>0</v>
      </c>
    </row>
    <row r="330" spans="2:7" hidden="1" x14ac:dyDescent="0.2">
      <c r="F330">
        <f t="shared" si="7"/>
        <v>0</v>
      </c>
      <c r="G330" s="583">
        <f t="shared" si="6"/>
        <v>0</v>
      </c>
    </row>
    <row r="331" spans="2:7" hidden="1" x14ac:dyDescent="0.2">
      <c r="B331" s="11">
        <f>IF('2 M-A +'!$B$42='2 M-A +'!M21,'2 M-A +'!$C$42,IF('2 M-A +'!$B$43='2 M-A +'!M21,'2 M-A +'!$C$43,0))</f>
        <v>0</v>
      </c>
      <c r="C331" s="11">
        <f>IF(B331&gt;0,'2 M-A +'!$M$33,0)</f>
        <v>0</v>
      </c>
      <c r="D331" s="11">
        <f>+'2 M-A +'!M20-0.5</f>
        <v>-0.5</v>
      </c>
      <c r="E331" s="960">
        <f>+'2 M-A +'!$M$32-0.5</f>
        <v>-0.5</v>
      </c>
      <c r="F331">
        <f t="shared" si="7"/>
        <v>0</v>
      </c>
      <c r="G331" s="583">
        <f t="shared" si="6"/>
        <v>0</v>
      </c>
    </row>
    <row r="332" spans="2:7" hidden="1" x14ac:dyDescent="0.2">
      <c r="F332">
        <f t="shared" si="7"/>
        <v>0</v>
      </c>
      <c r="G332" s="583">
        <f t="shared" si="6"/>
        <v>0</v>
      </c>
    </row>
    <row r="333" spans="2:7" hidden="1" x14ac:dyDescent="0.2">
      <c r="B333" s="11">
        <f>IF('2 M-A +'!$B$42='2 M-A +'!M23,'2 M-A +'!$C$42,IF('2 M-A +'!$B$43='2 M-A +'!M23,'2 M-A +'!$C$43,0))</f>
        <v>0</v>
      </c>
      <c r="C333" s="11">
        <f>IF(B333&gt;0,'2 M-A +'!$M$33,0)</f>
        <v>0</v>
      </c>
      <c r="D333" s="11">
        <f>+'2 M-A +'!M22-0.5</f>
        <v>-0.5</v>
      </c>
      <c r="E333" s="960">
        <f>+'2 M-A +'!$M$32-0.5</f>
        <v>-0.5</v>
      </c>
      <c r="F333">
        <f t="shared" si="7"/>
        <v>0</v>
      </c>
      <c r="G333" s="583">
        <f t="shared" si="6"/>
        <v>0</v>
      </c>
    </row>
    <row r="334" spans="2:7" hidden="1" x14ac:dyDescent="0.2">
      <c r="F334">
        <f t="shared" si="7"/>
        <v>0</v>
      </c>
      <c r="G334" s="583">
        <f t="shared" si="6"/>
        <v>0</v>
      </c>
    </row>
    <row r="335" spans="2:7" hidden="1" x14ac:dyDescent="0.2">
      <c r="B335" s="11">
        <f>IF('2 M-A +'!$B$42='2 M-A +'!M25,'2 M-A +'!$C$42,IF('2 M-A +'!$B$43='2 M-A +'!M25,'2 M-A +'!$C$43,0))</f>
        <v>0</v>
      </c>
      <c r="C335" s="11">
        <f>IF(B335&gt;0,'2 M-A +'!$M$33,0)</f>
        <v>0</v>
      </c>
      <c r="D335" s="11">
        <f>+'2 M-A +'!M24-0.5</f>
        <v>-0.5</v>
      </c>
      <c r="E335" s="960">
        <f>+'2 M-A +'!$M$32-0.5</f>
        <v>-0.5</v>
      </c>
      <c r="F335">
        <f t="shared" si="7"/>
        <v>0</v>
      </c>
      <c r="G335" s="583">
        <f t="shared" si="6"/>
        <v>0</v>
      </c>
    </row>
    <row r="336" spans="2:7" hidden="1" x14ac:dyDescent="0.2">
      <c r="F336">
        <f t="shared" si="7"/>
        <v>0</v>
      </c>
      <c r="G336" s="583">
        <f t="shared" si="6"/>
        <v>0</v>
      </c>
    </row>
    <row r="337" spans="2:7" hidden="1" x14ac:dyDescent="0.2">
      <c r="B337" s="11">
        <f>IF('2 M-A +'!$B$42='2 M-A +'!M27,'2 M-A +'!$C$42,IF('2 M-A +'!$B$43='2 M-A +'!M27,'2 M-A +'!$C$43,0))</f>
        <v>0</v>
      </c>
      <c r="C337" s="11">
        <f>IF(B337&gt;0,'2 M-A +'!$M$33,0)</f>
        <v>0</v>
      </c>
      <c r="D337" s="11">
        <f>+'2 M-A +'!M26-0.5</f>
        <v>-0.5</v>
      </c>
      <c r="E337" s="960">
        <f>+'2 M-A +'!$M$32-0.5</f>
        <v>-0.5</v>
      </c>
      <c r="F337">
        <f t="shared" si="7"/>
        <v>0</v>
      </c>
      <c r="G337" s="583">
        <f t="shared" si="6"/>
        <v>0</v>
      </c>
    </row>
    <row r="338" spans="2:7" hidden="1" x14ac:dyDescent="0.2">
      <c r="F338">
        <f t="shared" si="7"/>
        <v>0</v>
      </c>
      <c r="G338" s="583">
        <f t="shared" si="6"/>
        <v>0</v>
      </c>
    </row>
    <row r="339" spans="2:7" hidden="1" x14ac:dyDescent="0.2">
      <c r="B339" s="11">
        <f>IF('2 M-A +'!$B$42='2 M-A +'!N15,'2 M-A +'!$C$42,IF('2 M-A +'!$B$43='2 M-A +'!N15,'2 M-A +'!$C$43,0))</f>
        <v>0</v>
      </c>
      <c r="C339" s="11">
        <f>IF(B339&gt;0,'2 M-A +'!$N$33,0)</f>
        <v>0</v>
      </c>
      <c r="D339" s="11">
        <f>+'2 M-A +'!N14-0.5</f>
        <v>-0.5</v>
      </c>
      <c r="E339" s="960">
        <f>+'2 M-A +'!$N$32-0.5</f>
        <v>-0.5</v>
      </c>
      <c r="F339">
        <f t="shared" si="7"/>
        <v>0</v>
      </c>
      <c r="G339" s="583">
        <f t="shared" si="6"/>
        <v>0</v>
      </c>
    </row>
    <row r="340" spans="2:7" hidden="1" x14ac:dyDescent="0.2"/>
    <row r="341" spans="2:7" hidden="1" x14ac:dyDescent="0.2">
      <c r="B341" s="11">
        <f>IF('2 M-A +'!$B$42='2 M-A +'!N17,'2 M-A +'!$C$42,IF('2 M-A +'!$B$43='2 M-A +'!N17,'2 M-A +'!$C$43,0))</f>
        <v>0</v>
      </c>
      <c r="C341" s="11">
        <f>IF(B341&gt;0,'2 M-A +'!$N$33,0)</f>
        <v>0</v>
      </c>
      <c r="D341" s="11">
        <f>+'2 M-A +'!N16-0.5</f>
        <v>-0.5</v>
      </c>
      <c r="E341" s="960">
        <f>+'2 M-A +'!$N$32-0.5</f>
        <v>-0.5</v>
      </c>
      <c r="F341">
        <f>IF(C341&gt;0,((D341*4)+(E341*4))*C341,0)</f>
        <v>0</v>
      </c>
      <c r="G341" s="583">
        <f>IF(C341&gt;0,1,0)</f>
        <v>0</v>
      </c>
    </row>
    <row r="342" spans="2:7" hidden="1" x14ac:dyDescent="0.2"/>
    <row r="343" spans="2:7" hidden="1" x14ac:dyDescent="0.2">
      <c r="B343" s="11">
        <f>IF('2 M-A +'!$B$42='2 M-A +'!N19,'2 M-A +'!$C$42,IF('2 M-A +'!$B$43='2 M-A +'!N19,'2 M-A +'!$C$43,0))</f>
        <v>0</v>
      </c>
      <c r="C343" s="11">
        <f>IF(B343&gt;0,'2 M-A +'!$N$33,0)</f>
        <v>0</v>
      </c>
      <c r="D343" s="11">
        <f>+'2 M-A +'!N18-0.5</f>
        <v>-0.5</v>
      </c>
      <c r="E343" s="960">
        <f>+'2 M-A +'!$N$32-0.5</f>
        <v>-0.5</v>
      </c>
      <c r="F343">
        <f t="shared" si="7"/>
        <v>0</v>
      </c>
      <c r="G343" s="583">
        <f t="shared" si="6"/>
        <v>0</v>
      </c>
    </row>
    <row r="344" spans="2:7" hidden="1" x14ac:dyDescent="0.2">
      <c r="F344">
        <f t="shared" si="7"/>
        <v>0</v>
      </c>
      <c r="G344" s="583">
        <f t="shared" si="6"/>
        <v>0</v>
      </c>
    </row>
    <row r="345" spans="2:7" hidden="1" x14ac:dyDescent="0.2">
      <c r="B345" s="11">
        <f>IF('2 M-A +'!$B$42='2 M-A +'!N21,'2 M-A +'!$C$42,IF('2 M-A +'!$B$43='2 M-A +'!N21,'2 M-A +'!$C$43,0))</f>
        <v>0</v>
      </c>
      <c r="C345" s="11">
        <f>IF(B345&gt;0,'2 M-A +'!$N$33,0)</f>
        <v>0</v>
      </c>
      <c r="D345" s="11">
        <f>+'2 M-A +'!N20-0.5</f>
        <v>-0.5</v>
      </c>
      <c r="E345" s="960">
        <f>+'2 M-A +'!$N$32-0.5</f>
        <v>-0.5</v>
      </c>
      <c r="F345">
        <f t="shared" si="7"/>
        <v>0</v>
      </c>
      <c r="G345" s="583">
        <f t="shared" si="6"/>
        <v>0</v>
      </c>
    </row>
    <row r="346" spans="2:7" hidden="1" x14ac:dyDescent="0.2">
      <c r="F346">
        <f t="shared" si="7"/>
        <v>0</v>
      </c>
      <c r="G346" s="583">
        <f t="shared" si="6"/>
        <v>0</v>
      </c>
    </row>
    <row r="347" spans="2:7" hidden="1" x14ac:dyDescent="0.2">
      <c r="B347" s="11">
        <f>IF('2 M-A +'!$B$42='2 M-A +'!N23,'2 M-A +'!$C$42,IF('2 M-A +'!$B$43='2 M-A +'!N23,'2 M-A +'!$C$43,0))</f>
        <v>0</v>
      </c>
      <c r="C347" s="11">
        <f>IF(B347&gt;0,'2 M-A +'!$N$33,0)</f>
        <v>0</v>
      </c>
      <c r="D347" s="11">
        <f>+'2 M-A +'!N22-0.5</f>
        <v>-0.5</v>
      </c>
      <c r="E347" s="960">
        <f>+'2 M-A +'!$N$32-0.5</f>
        <v>-0.5</v>
      </c>
      <c r="F347">
        <f t="shared" si="7"/>
        <v>0</v>
      </c>
      <c r="G347" s="583">
        <f t="shared" si="6"/>
        <v>0</v>
      </c>
    </row>
    <row r="348" spans="2:7" hidden="1" x14ac:dyDescent="0.2">
      <c r="F348">
        <f t="shared" si="7"/>
        <v>0</v>
      </c>
      <c r="G348" s="583">
        <f t="shared" si="6"/>
        <v>0</v>
      </c>
    </row>
    <row r="349" spans="2:7" hidden="1" x14ac:dyDescent="0.2">
      <c r="B349" s="11">
        <f>IF('2 M-A +'!$B$42='2 M-A +'!N25,'2 M-A +'!$C$42,IF('2 M-A +'!$B$43='2 M-A +'!N25,'2 M-A +'!$C$43,0))</f>
        <v>0</v>
      </c>
      <c r="C349" s="11">
        <f>IF(B349&gt;0,'2 M-A +'!$N$33,0)</f>
        <v>0</v>
      </c>
      <c r="D349" s="11">
        <f>+'2 M-A +'!N24-0.5</f>
        <v>-0.5</v>
      </c>
      <c r="E349" s="960">
        <f>+'2 M-A +'!$N$32-0.5</f>
        <v>-0.5</v>
      </c>
      <c r="F349">
        <f t="shared" si="7"/>
        <v>0</v>
      </c>
      <c r="G349" s="583">
        <f t="shared" si="6"/>
        <v>0</v>
      </c>
    </row>
    <row r="350" spans="2:7" hidden="1" x14ac:dyDescent="0.2">
      <c r="F350">
        <f t="shared" si="7"/>
        <v>0</v>
      </c>
      <c r="G350" s="583">
        <f t="shared" si="6"/>
        <v>0</v>
      </c>
    </row>
    <row r="351" spans="2:7" hidden="1" x14ac:dyDescent="0.2">
      <c r="B351" s="11">
        <f>IF('2 M-A +'!$B$42='2 M-A +'!N27,'2 M-A +'!$C$42,IF('2 M-A +'!$B$43='2 M-A +'!N27,'2 M-A +'!$C$43,0))</f>
        <v>0</v>
      </c>
      <c r="C351" s="11">
        <f>IF(B351&gt;0,'2 M-A +'!$N$33,0)</f>
        <v>0</v>
      </c>
      <c r="D351" s="11">
        <f>+'2 M-A +'!N26-0.5</f>
        <v>-0.5</v>
      </c>
      <c r="E351" s="960">
        <f>+'2 M-A +'!$N$32-0.5</f>
        <v>-0.5</v>
      </c>
      <c r="F351">
        <f t="shared" si="7"/>
        <v>0</v>
      </c>
      <c r="G351" s="583">
        <f t="shared" si="6"/>
        <v>0</v>
      </c>
    </row>
    <row r="352" spans="2:7" hidden="1" x14ac:dyDescent="0.2">
      <c r="F352">
        <f t="shared" si="7"/>
        <v>0</v>
      </c>
      <c r="G352" s="583">
        <f t="shared" si="6"/>
        <v>0</v>
      </c>
    </row>
    <row r="353" spans="2:7" hidden="1" x14ac:dyDescent="0.2">
      <c r="B353" s="6">
        <f>IF('1 PISO TECHO'!C$14='1 PISO TECHO'!$B$31,'1 PISO TECHO'!$C$31,IF('1 PISO TECHO'!C$14='1 PISO TECHO'!$B$32,'1 PISO TECHO'!$C$32,0))</f>
        <v>0</v>
      </c>
      <c r="C353" s="11">
        <f>IF(B353&gt;0,'1 PISO TECHO'!C$22,0)</f>
        <v>0</v>
      </c>
      <c r="D353" s="961">
        <f>+'1 PISO TECHO'!C$20-202</f>
        <v>-202</v>
      </c>
      <c r="E353" s="961">
        <f>+'1 PISO TECHO'!C$21-0.5</f>
        <v>-0.5</v>
      </c>
      <c r="F353">
        <f t="shared" si="7"/>
        <v>0</v>
      </c>
      <c r="G353" s="583">
        <f t="shared" si="6"/>
        <v>0</v>
      </c>
    </row>
    <row r="354" spans="2:7" hidden="1" x14ac:dyDescent="0.2">
      <c r="B354" s="6"/>
      <c r="C354" s="11"/>
      <c r="D354" s="961"/>
      <c r="E354" s="961"/>
      <c r="F354">
        <f t="shared" si="7"/>
        <v>0</v>
      </c>
      <c r="G354" s="583">
        <f t="shared" si="6"/>
        <v>0</v>
      </c>
    </row>
    <row r="355" spans="2:7" hidden="1" x14ac:dyDescent="0.2">
      <c r="B355" s="6">
        <f>IF('1 PISO TECHO'!D$14='1 PISO TECHO'!$B$31,'1 PISO TECHO'!$C$31,IF('1 PISO TECHO'!D$14='1 PISO TECHO'!$B$32,'1 PISO TECHO'!$C$32,0))</f>
        <v>0</v>
      </c>
      <c r="C355" s="11">
        <f>IF(B355&gt;0,'1 PISO TECHO'!D$22,0)</f>
        <v>0</v>
      </c>
      <c r="D355" s="961">
        <f>+'1 PISO TECHO'!D$20-202</f>
        <v>-202</v>
      </c>
      <c r="E355" s="961">
        <f>+'1 PISO TECHO'!D$21-0.5</f>
        <v>-0.5</v>
      </c>
      <c r="F355">
        <f t="shared" si="7"/>
        <v>0</v>
      </c>
      <c r="G355" s="583">
        <f t="shared" si="6"/>
        <v>0</v>
      </c>
    </row>
    <row r="356" spans="2:7" hidden="1" x14ac:dyDescent="0.2">
      <c r="B356" s="6"/>
      <c r="C356" s="6"/>
      <c r="D356" s="961"/>
      <c r="E356" s="961"/>
      <c r="F356">
        <f t="shared" si="7"/>
        <v>0</v>
      </c>
      <c r="G356" s="583">
        <f t="shared" si="6"/>
        <v>0</v>
      </c>
    </row>
    <row r="357" spans="2:7" hidden="1" x14ac:dyDescent="0.2">
      <c r="B357" s="6">
        <f>IF('1 PISO TECHO'!E$14='1 PISO TECHO'!$B$31,'1 PISO TECHO'!$C$31,IF('1 PISO TECHO'!E$14='1 PISO TECHO'!$B$32,'1 PISO TECHO'!$C$32,0))</f>
        <v>0</v>
      </c>
      <c r="C357" s="11">
        <f>IF(B357&gt;0,'1 PISO TECHO'!E$22,0)</f>
        <v>0</v>
      </c>
      <c r="D357" s="961">
        <f>+'1 PISO TECHO'!E$20-202</f>
        <v>-202</v>
      </c>
      <c r="E357" s="961">
        <f>+'1 PISO TECHO'!E$21-0.5</f>
        <v>-0.5</v>
      </c>
      <c r="F357">
        <f t="shared" si="7"/>
        <v>0</v>
      </c>
      <c r="G357" s="583">
        <f t="shared" si="6"/>
        <v>0</v>
      </c>
    </row>
    <row r="358" spans="2:7" hidden="1" x14ac:dyDescent="0.2">
      <c r="B358" s="6"/>
      <c r="C358" s="6"/>
      <c r="D358" s="961"/>
      <c r="E358" s="961"/>
      <c r="F358">
        <f t="shared" si="7"/>
        <v>0</v>
      </c>
      <c r="G358" s="583">
        <f t="shared" si="6"/>
        <v>0</v>
      </c>
    </row>
    <row r="359" spans="2:7" hidden="1" x14ac:dyDescent="0.2">
      <c r="B359" s="6">
        <f>IF('1 PISO TECHO'!F$14='1 PISO TECHO'!$B$31,'1 PISO TECHO'!$C$31,IF('1 PISO TECHO'!F$14='1 PISO TECHO'!$B$32,'1 PISO TECHO'!$C$32,0))</f>
        <v>0</v>
      </c>
      <c r="C359" s="11">
        <f>IF(B359&gt;0,'1 PISO TECHO'!F$22,0)</f>
        <v>0</v>
      </c>
      <c r="D359" s="961">
        <f>+'1 PISO TECHO'!F$20-202</f>
        <v>-202</v>
      </c>
      <c r="E359" s="961">
        <f>+'1 PISO TECHO'!F$21-0.5</f>
        <v>-0.5</v>
      </c>
      <c r="F359">
        <f t="shared" si="7"/>
        <v>0</v>
      </c>
      <c r="G359" s="583">
        <f t="shared" si="6"/>
        <v>0</v>
      </c>
    </row>
    <row r="360" spans="2:7" hidden="1" x14ac:dyDescent="0.2">
      <c r="B360" s="6"/>
      <c r="C360" s="6"/>
      <c r="D360" s="961"/>
      <c r="E360" s="961"/>
      <c r="F360">
        <f t="shared" si="7"/>
        <v>0</v>
      </c>
      <c r="G360" s="583">
        <f t="shared" si="6"/>
        <v>0</v>
      </c>
    </row>
    <row r="361" spans="2:7" hidden="1" x14ac:dyDescent="0.2">
      <c r="B361" s="6">
        <f>IF('1 PISO TECHO'!G$14='1 PISO TECHO'!$B$31,'1 PISO TECHO'!$C$31,IF('1 PISO TECHO'!G$14='1 PISO TECHO'!$B$32,'1 PISO TECHO'!$C$32,0))</f>
        <v>0</v>
      </c>
      <c r="C361" s="11">
        <f>IF(B361&gt;0,'1 PISO TECHO'!G$22,0)</f>
        <v>0</v>
      </c>
      <c r="D361" s="961">
        <f>+'1 PISO TECHO'!G$20-202</f>
        <v>-202</v>
      </c>
      <c r="E361" s="961">
        <f>+'1 PISO TECHO'!G$21-0.5</f>
        <v>-0.5</v>
      </c>
      <c r="F361">
        <f t="shared" si="7"/>
        <v>0</v>
      </c>
      <c r="G361" s="583">
        <f t="shared" si="6"/>
        <v>0</v>
      </c>
    </row>
    <row r="362" spans="2:7" hidden="1" x14ac:dyDescent="0.2">
      <c r="B362" s="6"/>
      <c r="C362" s="6"/>
      <c r="D362" s="961"/>
      <c r="E362" s="961"/>
      <c r="F362">
        <f t="shared" si="7"/>
        <v>0</v>
      </c>
      <c r="G362" s="583">
        <f t="shared" si="6"/>
        <v>0</v>
      </c>
    </row>
    <row r="363" spans="2:7" hidden="1" x14ac:dyDescent="0.2">
      <c r="B363" s="6">
        <f>IF('1 PISO TECHO'!H$14='1 PISO TECHO'!$B$31,'1 PISO TECHO'!$C$31,IF('1 PISO TECHO'!H$14='1 PISO TECHO'!$B$32,'1 PISO TECHO'!$C$32,0))</f>
        <v>0</v>
      </c>
      <c r="C363" s="11">
        <f>IF(B363&gt;0,'1 PISO TECHO'!H$22,0)</f>
        <v>0</v>
      </c>
      <c r="D363" s="961">
        <f>+'1 PISO TECHO'!H$20-202</f>
        <v>-202</v>
      </c>
      <c r="E363" s="961">
        <f>+'1 PISO TECHO'!H$21-0.5</f>
        <v>-0.5</v>
      </c>
      <c r="F363">
        <f t="shared" si="7"/>
        <v>0</v>
      </c>
      <c r="G363" s="583">
        <f t="shared" si="6"/>
        <v>0</v>
      </c>
    </row>
    <row r="364" spans="2:7" hidden="1" x14ac:dyDescent="0.2">
      <c r="B364" s="6"/>
      <c r="C364" s="6"/>
      <c r="D364" s="961"/>
      <c r="E364" s="961"/>
      <c r="F364">
        <f t="shared" si="7"/>
        <v>0</v>
      </c>
      <c r="G364" s="583">
        <f t="shared" si="6"/>
        <v>0</v>
      </c>
    </row>
    <row r="365" spans="2:7" hidden="1" x14ac:dyDescent="0.2">
      <c r="B365" s="6">
        <f>IF('1 PISO TECHO'!I$14='1 PISO TECHO'!$B$31,'1 PISO TECHO'!$C$31,IF('1 PISO TECHO'!I$14='1 PISO TECHO'!$B$32,'1 PISO TECHO'!$C$32,0))</f>
        <v>0</v>
      </c>
      <c r="C365" s="11">
        <f>IF(B365&gt;0,'1 PISO TECHO'!I$22,0)</f>
        <v>0</v>
      </c>
      <c r="D365" s="961">
        <f>+'1 PISO TECHO'!I$20-202</f>
        <v>-202</v>
      </c>
      <c r="E365" s="961">
        <f>+'1 PISO TECHO'!I$21-0.5</f>
        <v>-0.5</v>
      </c>
      <c r="F365">
        <f t="shared" si="7"/>
        <v>0</v>
      </c>
      <c r="G365" s="583">
        <f t="shared" si="6"/>
        <v>0</v>
      </c>
    </row>
    <row r="366" spans="2:7" hidden="1" x14ac:dyDescent="0.2">
      <c r="B366" s="6"/>
      <c r="C366" s="6"/>
      <c r="D366" s="961"/>
      <c r="E366" s="961"/>
      <c r="F366">
        <f t="shared" si="7"/>
        <v>0</v>
      </c>
      <c r="G366" s="583">
        <f t="shared" si="6"/>
        <v>0</v>
      </c>
    </row>
    <row r="367" spans="2:7" hidden="1" x14ac:dyDescent="0.2">
      <c r="B367" s="6">
        <f>IF('1 PISO TECHO'!J$14='1 PISO TECHO'!$B$31,'1 PISO TECHO'!$C$31,IF('1 PISO TECHO'!J$14='1 PISO TECHO'!$B$32,'1 PISO TECHO'!$C$32,0))</f>
        <v>0</v>
      </c>
      <c r="C367" s="11">
        <f>IF(B367&gt;0,'1 PISO TECHO'!J$22,0)</f>
        <v>0</v>
      </c>
      <c r="D367" s="961">
        <f>+'1 PISO TECHO'!J$20-202</f>
        <v>-202</v>
      </c>
      <c r="E367" s="961">
        <f>+'1 PISO TECHO'!J$21-0.5</f>
        <v>-0.5</v>
      </c>
      <c r="F367">
        <f t="shared" si="7"/>
        <v>0</v>
      </c>
      <c r="G367" s="583">
        <f t="shared" si="6"/>
        <v>0</v>
      </c>
    </row>
    <row r="368" spans="2:7" hidden="1" x14ac:dyDescent="0.2">
      <c r="B368" s="6"/>
      <c r="C368" s="6"/>
      <c r="D368" s="961"/>
      <c r="E368" s="961"/>
      <c r="F368">
        <f t="shared" si="7"/>
        <v>0</v>
      </c>
      <c r="G368" s="583">
        <f t="shared" si="6"/>
        <v>0</v>
      </c>
    </row>
    <row r="369" spans="2:7" hidden="1" x14ac:dyDescent="0.2">
      <c r="B369" s="6">
        <f>IF('1 PISO TECHO'!K$14='1 PISO TECHO'!$B$31,'1 PISO TECHO'!$C$31,IF('1 PISO TECHO'!K$14='1 PISO TECHO'!$B$32,'1 PISO TECHO'!$C$32,0))</f>
        <v>0</v>
      </c>
      <c r="C369" s="11">
        <f>IF(B369&gt;0,'1 PISO TECHO'!K$22,0)</f>
        <v>0</v>
      </c>
      <c r="D369" s="961">
        <f>+'1 PISO TECHO'!K$20-202</f>
        <v>-202</v>
      </c>
      <c r="E369" s="961">
        <f>+'1 PISO TECHO'!K$21-0.5</f>
        <v>-0.5</v>
      </c>
      <c r="F369">
        <f t="shared" si="7"/>
        <v>0</v>
      </c>
      <c r="G369" s="583">
        <f t="shared" ref="G369:G432" si="8">IF(C369&gt;0,1,0)</f>
        <v>0</v>
      </c>
    </row>
    <row r="370" spans="2:7" hidden="1" x14ac:dyDescent="0.2">
      <c r="B370" s="6"/>
      <c r="C370" s="6"/>
      <c r="D370" s="961"/>
      <c r="E370" s="961"/>
      <c r="F370">
        <f t="shared" ref="F370:F433" si="9">IF(C370&gt;0,((D370*4)+(E370*4))*C370,0)</f>
        <v>0</v>
      </c>
      <c r="G370" s="583">
        <f t="shared" si="8"/>
        <v>0</v>
      </c>
    </row>
    <row r="371" spans="2:7" hidden="1" x14ac:dyDescent="0.2">
      <c r="B371" s="6">
        <f>IF('1 PISO TECHO'!L$14='1 PISO TECHO'!$B$31,'1 PISO TECHO'!$C$31,IF('1 PISO TECHO'!L$14='1 PISO TECHO'!$B$32,'1 PISO TECHO'!$C$32,0))</f>
        <v>0</v>
      </c>
      <c r="C371" s="11">
        <f>IF(B371&gt;0,'1 PISO TECHO'!L$22,0)</f>
        <v>0</v>
      </c>
      <c r="D371" s="961">
        <f>+'1 PISO TECHO'!L$20-202</f>
        <v>-202</v>
      </c>
      <c r="E371" s="961">
        <f>+'1 PISO TECHO'!L$21-0.5</f>
        <v>-0.5</v>
      </c>
      <c r="F371">
        <f t="shared" si="9"/>
        <v>0</v>
      </c>
      <c r="G371" s="583">
        <f t="shared" si="8"/>
        <v>0</v>
      </c>
    </row>
    <row r="372" spans="2:7" hidden="1" x14ac:dyDescent="0.2">
      <c r="B372" s="6"/>
      <c r="C372" s="6"/>
      <c r="D372" s="961"/>
      <c r="E372" s="961"/>
      <c r="F372">
        <f t="shared" si="9"/>
        <v>0</v>
      </c>
      <c r="G372" s="583">
        <f t="shared" si="8"/>
        <v>0</v>
      </c>
    </row>
    <row r="373" spans="2:7" hidden="1" x14ac:dyDescent="0.2">
      <c r="B373" s="6">
        <f>IF('1 PISO TECHO'!M$14='1 PISO TECHO'!$B$31,'1 PISO TECHO'!$C$31,IF('1 PISO TECHO'!M$14='1 PISO TECHO'!$B$32,'1 PISO TECHO'!$C$32,0))</f>
        <v>0</v>
      </c>
      <c r="C373" s="11">
        <f>IF(B373&gt;0,'1 PISO TECHO'!M$22,0)</f>
        <v>0</v>
      </c>
      <c r="D373" s="961">
        <f>+'1 PISO TECHO'!M$20-202</f>
        <v>-202</v>
      </c>
      <c r="E373" s="961">
        <f>+'1 PISO TECHO'!M$21-0.5</f>
        <v>-0.5</v>
      </c>
      <c r="F373">
        <f t="shared" si="9"/>
        <v>0</v>
      </c>
      <c r="G373" s="583">
        <f t="shared" si="8"/>
        <v>0</v>
      </c>
    </row>
    <row r="374" spans="2:7" hidden="1" x14ac:dyDescent="0.2">
      <c r="B374" s="6"/>
      <c r="C374" s="6"/>
      <c r="D374" s="961"/>
      <c r="E374" s="961"/>
      <c r="F374">
        <f t="shared" si="9"/>
        <v>0</v>
      </c>
      <c r="G374" s="583">
        <f t="shared" si="8"/>
        <v>0</v>
      </c>
    </row>
    <row r="375" spans="2:7" hidden="1" x14ac:dyDescent="0.2">
      <c r="B375" s="6">
        <f>IF('1 PISO TECHO'!N$14='1 PISO TECHO'!$B$31,'1 PISO TECHO'!$C$31,IF('1 PISO TECHO'!N$14='1 PISO TECHO'!$B$32,'1 PISO TECHO'!$C$32,0))</f>
        <v>0</v>
      </c>
      <c r="C375" s="11">
        <f>IF(B375&gt;0,'1 PISO TECHO'!N$22,0)</f>
        <v>0</v>
      </c>
      <c r="D375" s="961">
        <f>+'1 PISO TECHO'!N$20-202</f>
        <v>-202</v>
      </c>
      <c r="E375" s="961">
        <f>+'1 PISO TECHO'!N$21-0.5</f>
        <v>-0.5</v>
      </c>
      <c r="F375">
        <f t="shared" si="9"/>
        <v>0</v>
      </c>
      <c r="G375" s="583">
        <f t="shared" si="8"/>
        <v>0</v>
      </c>
    </row>
    <row r="376" spans="2:7" hidden="1" x14ac:dyDescent="0.2">
      <c r="B376" s="6"/>
      <c r="C376" s="6"/>
      <c r="D376" s="961"/>
      <c r="E376" s="961"/>
      <c r="F376">
        <f t="shared" si="9"/>
        <v>0</v>
      </c>
      <c r="G376" s="583">
        <f t="shared" si="8"/>
        <v>0</v>
      </c>
    </row>
    <row r="377" spans="2:7" hidden="1" x14ac:dyDescent="0.2">
      <c r="B377" s="6">
        <f>IF('1 PISO TECHO'!C$15='1 PISO TECHO'!$B$31,'1 PISO TECHO'!$C$31,IF('1 PISO TECHO'!C$15='1 PISO TECHO'!$B$32,'1 PISO TECHO'!$C$32,0))</f>
        <v>0</v>
      </c>
      <c r="C377" s="11">
        <f>IF(D377&gt;0,'1 PISO TECHO'!C$22,0)</f>
        <v>0</v>
      </c>
      <c r="D377" s="961">
        <f>IF('1 PISO TECHO'!C$18="M6",200-'1 PISO TECHO'!$J$26-2,0)</f>
        <v>0</v>
      </c>
      <c r="E377" s="961">
        <f>+'1 PISO TECHO'!C$21-0.5</f>
        <v>-0.5</v>
      </c>
      <c r="F377">
        <f t="shared" si="9"/>
        <v>0</v>
      </c>
      <c r="G377" s="583">
        <f t="shared" si="8"/>
        <v>0</v>
      </c>
    </row>
    <row r="378" spans="2:7" hidden="1" x14ac:dyDescent="0.2">
      <c r="B378" s="6"/>
      <c r="C378" s="11"/>
      <c r="D378" s="961"/>
      <c r="E378" s="961"/>
      <c r="F378">
        <f t="shared" si="9"/>
        <v>0</v>
      </c>
      <c r="G378" s="583">
        <f t="shared" si="8"/>
        <v>0</v>
      </c>
    </row>
    <row r="379" spans="2:7" hidden="1" x14ac:dyDescent="0.2">
      <c r="B379" s="6">
        <f>IF('1 PISO TECHO'!D$15='1 PISO TECHO'!$B$31,'1 PISO TECHO'!$C$31,IF('1 PISO TECHO'!D$15='1 PISO TECHO'!$B$32,'1 PISO TECHO'!$C$32,0))</f>
        <v>0</v>
      </c>
      <c r="C379" s="11">
        <f>IF(D379&gt;0,'1 PISO TECHO'!D$22,0)</f>
        <v>0</v>
      </c>
      <c r="D379" s="961">
        <f>IF('1 PISO TECHO'!D$18="M6",200-'1 PISO TECHO'!$J$26-2,0)</f>
        <v>0</v>
      </c>
      <c r="E379" s="961">
        <f>+'1 PISO TECHO'!D$21-0.5</f>
        <v>-0.5</v>
      </c>
      <c r="F379">
        <f t="shared" si="9"/>
        <v>0</v>
      </c>
      <c r="G379" s="583">
        <f t="shared" si="8"/>
        <v>0</v>
      </c>
    </row>
    <row r="380" spans="2:7" hidden="1" x14ac:dyDescent="0.2">
      <c r="B380" s="6"/>
      <c r="C380" s="6"/>
      <c r="D380" s="961"/>
      <c r="E380" s="961"/>
      <c r="F380">
        <f t="shared" si="9"/>
        <v>0</v>
      </c>
      <c r="G380" s="583">
        <f t="shared" si="8"/>
        <v>0</v>
      </c>
    </row>
    <row r="381" spans="2:7" hidden="1" x14ac:dyDescent="0.2">
      <c r="B381" s="6">
        <f>IF('1 PISO TECHO'!E$15='1 PISO TECHO'!$B$31,'1 PISO TECHO'!$C$31,IF('1 PISO TECHO'!E$15='1 PISO TECHO'!$B$32,'1 PISO TECHO'!$C$32,0))</f>
        <v>0</v>
      </c>
      <c r="C381" s="11">
        <f>IF(D381&gt;0,'1 PISO TECHO'!E$22,0)</f>
        <v>0</v>
      </c>
      <c r="D381" s="961">
        <f>IF('1 PISO TECHO'!E$18="M6",200-'1 PISO TECHO'!$J$26-2,0)</f>
        <v>0</v>
      </c>
      <c r="E381" s="961">
        <f>+'1 PISO TECHO'!E$21-0.5</f>
        <v>-0.5</v>
      </c>
      <c r="F381">
        <f t="shared" si="9"/>
        <v>0</v>
      </c>
      <c r="G381" s="583">
        <f t="shared" si="8"/>
        <v>0</v>
      </c>
    </row>
    <row r="382" spans="2:7" hidden="1" x14ac:dyDescent="0.2">
      <c r="B382" s="6"/>
      <c r="C382" s="6"/>
      <c r="D382" s="961"/>
      <c r="E382" s="961"/>
      <c r="F382">
        <f t="shared" si="9"/>
        <v>0</v>
      </c>
      <c r="G382" s="583">
        <f t="shared" si="8"/>
        <v>0</v>
      </c>
    </row>
    <row r="383" spans="2:7" hidden="1" x14ac:dyDescent="0.2">
      <c r="B383" s="6">
        <f>IF('1 PISO TECHO'!F$15='1 PISO TECHO'!$B$31,'1 PISO TECHO'!$C$31,IF('1 PISO TECHO'!F$15='1 PISO TECHO'!$B$32,'1 PISO TECHO'!$C$32,0))</f>
        <v>0</v>
      </c>
      <c r="C383" s="11">
        <f>IF(D383&gt;0,'1 PISO TECHO'!F$22,0)</f>
        <v>0</v>
      </c>
      <c r="D383" s="961">
        <f>IF('1 PISO TECHO'!F$18="M6",200-'1 PISO TECHO'!$J$26-2,0)</f>
        <v>0</v>
      </c>
      <c r="E383" s="961">
        <f>+'1 PISO TECHO'!F$21-0.5</f>
        <v>-0.5</v>
      </c>
      <c r="F383">
        <f t="shared" si="9"/>
        <v>0</v>
      </c>
      <c r="G383" s="583">
        <f t="shared" si="8"/>
        <v>0</v>
      </c>
    </row>
    <row r="384" spans="2:7" hidden="1" x14ac:dyDescent="0.2">
      <c r="B384" s="6"/>
      <c r="C384" s="6"/>
      <c r="D384" s="961"/>
      <c r="E384" s="961"/>
      <c r="F384">
        <f t="shared" si="9"/>
        <v>0</v>
      </c>
      <c r="G384" s="583">
        <f t="shared" si="8"/>
        <v>0</v>
      </c>
    </row>
    <row r="385" spans="2:7" hidden="1" x14ac:dyDescent="0.2">
      <c r="B385" s="6">
        <f>IF('1 PISO TECHO'!G$15='1 PISO TECHO'!$B$31,'1 PISO TECHO'!$C$31,IF('1 PISO TECHO'!G$15='1 PISO TECHO'!$B$32,'1 PISO TECHO'!$C$32,0))</f>
        <v>0</v>
      </c>
      <c r="C385" s="11">
        <f>IF(D385&gt;0,'1 PISO TECHO'!G$22,0)</f>
        <v>0</v>
      </c>
      <c r="D385" s="961">
        <f>IF('1 PISO TECHO'!G$18="M6",200-'1 PISO TECHO'!$J$26-2,0)</f>
        <v>0</v>
      </c>
      <c r="E385" s="961">
        <f>+'1 PISO TECHO'!G$21-0.5</f>
        <v>-0.5</v>
      </c>
      <c r="F385">
        <f t="shared" si="9"/>
        <v>0</v>
      </c>
      <c r="G385" s="583">
        <f t="shared" si="8"/>
        <v>0</v>
      </c>
    </row>
    <row r="386" spans="2:7" hidden="1" x14ac:dyDescent="0.2">
      <c r="B386" s="6"/>
      <c r="C386" s="6"/>
      <c r="D386" s="961"/>
      <c r="E386" s="961"/>
      <c r="F386">
        <f t="shared" si="9"/>
        <v>0</v>
      </c>
      <c r="G386" s="583">
        <f t="shared" si="8"/>
        <v>0</v>
      </c>
    </row>
    <row r="387" spans="2:7" hidden="1" x14ac:dyDescent="0.2">
      <c r="B387" s="6">
        <f>IF('1 PISO TECHO'!H$15='1 PISO TECHO'!$B$31,'1 PISO TECHO'!$C$31,IF('1 PISO TECHO'!H$15='1 PISO TECHO'!$B$32,'1 PISO TECHO'!$C$32,0))</f>
        <v>0</v>
      </c>
      <c r="C387" s="11">
        <f>IF(D387&gt;0,'1 PISO TECHO'!H$22,0)</f>
        <v>0</v>
      </c>
      <c r="D387" s="961">
        <f>IF('1 PISO TECHO'!H$18="M6",200-'1 PISO TECHO'!$J$26-2,0)</f>
        <v>0</v>
      </c>
      <c r="E387" s="961">
        <f>+'1 PISO TECHO'!H$21-0.5</f>
        <v>-0.5</v>
      </c>
      <c r="F387">
        <f t="shared" si="9"/>
        <v>0</v>
      </c>
      <c r="G387" s="583">
        <f t="shared" si="8"/>
        <v>0</v>
      </c>
    </row>
    <row r="388" spans="2:7" hidden="1" x14ac:dyDescent="0.2">
      <c r="B388" s="6"/>
      <c r="C388" s="6"/>
      <c r="D388" s="961"/>
      <c r="E388" s="961"/>
      <c r="F388">
        <f t="shared" si="9"/>
        <v>0</v>
      </c>
      <c r="G388" s="583">
        <f t="shared" si="8"/>
        <v>0</v>
      </c>
    </row>
    <row r="389" spans="2:7" hidden="1" x14ac:dyDescent="0.2">
      <c r="B389" s="6">
        <f>IF('1 PISO TECHO'!I$15='1 PISO TECHO'!$B$31,'1 PISO TECHO'!$C$31,IF('1 PISO TECHO'!I$15='1 PISO TECHO'!$B$32,'1 PISO TECHO'!$C$32,0))</f>
        <v>0</v>
      </c>
      <c r="C389" s="11">
        <f>IF(D389&gt;0,'1 PISO TECHO'!I$22,0)</f>
        <v>0</v>
      </c>
      <c r="D389" s="961">
        <f>IF('1 PISO TECHO'!I$18="M6",200-'1 PISO TECHO'!$J$26-2,0)</f>
        <v>0</v>
      </c>
      <c r="E389" s="961">
        <f>+'1 PISO TECHO'!I$21-0.5</f>
        <v>-0.5</v>
      </c>
      <c r="F389">
        <f t="shared" si="9"/>
        <v>0</v>
      </c>
      <c r="G389" s="583">
        <f t="shared" si="8"/>
        <v>0</v>
      </c>
    </row>
    <row r="390" spans="2:7" hidden="1" x14ac:dyDescent="0.2">
      <c r="B390" s="6"/>
      <c r="C390" s="6"/>
      <c r="D390" s="961"/>
      <c r="E390" s="961"/>
      <c r="F390">
        <f t="shared" si="9"/>
        <v>0</v>
      </c>
      <c r="G390" s="583">
        <f t="shared" si="8"/>
        <v>0</v>
      </c>
    </row>
    <row r="391" spans="2:7" hidden="1" x14ac:dyDescent="0.2">
      <c r="B391" s="6">
        <f>IF('1 PISO TECHO'!J$15='1 PISO TECHO'!$B$31,'1 PISO TECHO'!$C$31,IF('1 PISO TECHO'!J$15='1 PISO TECHO'!$B$32,'1 PISO TECHO'!$C$32,0))</f>
        <v>0</v>
      </c>
      <c r="C391" s="11">
        <f>IF(D391&gt;0,'1 PISO TECHO'!J$22,0)</f>
        <v>0</v>
      </c>
      <c r="D391" s="961">
        <f>IF('1 PISO TECHO'!J$18="M6",200-'1 PISO TECHO'!$J$26-2,0)</f>
        <v>0</v>
      </c>
      <c r="E391" s="961">
        <f>+'1 PISO TECHO'!J$21-0.5</f>
        <v>-0.5</v>
      </c>
      <c r="F391">
        <f t="shared" si="9"/>
        <v>0</v>
      </c>
      <c r="G391" s="583">
        <f t="shared" si="8"/>
        <v>0</v>
      </c>
    </row>
    <row r="392" spans="2:7" hidden="1" x14ac:dyDescent="0.2">
      <c r="B392" s="6"/>
      <c r="C392" s="6"/>
      <c r="D392" s="961"/>
      <c r="E392" s="961"/>
      <c r="F392">
        <f t="shared" si="9"/>
        <v>0</v>
      </c>
      <c r="G392" s="583">
        <f t="shared" si="8"/>
        <v>0</v>
      </c>
    </row>
    <row r="393" spans="2:7" hidden="1" x14ac:dyDescent="0.2">
      <c r="B393" s="6">
        <f>IF('1 PISO TECHO'!K$15='1 PISO TECHO'!$B$31,'1 PISO TECHO'!$C$31,IF('1 PISO TECHO'!K$15='1 PISO TECHO'!$B$32,'1 PISO TECHO'!$C$32,0))</f>
        <v>0</v>
      </c>
      <c r="C393" s="11">
        <f>IF(D393&gt;0,'1 PISO TECHO'!K$22,0)</f>
        <v>0</v>
      </c>
      <c r="D393" s="961">
        <f>IF('1 PISO TECHO'!K$18="M6",200-'1 PISO TECHO'!$J$26-2,0)</f>
        <v>0</v>
      </c>
      <c r="E393" s="961">
        <f>+'1 PISO TECHO'!K$21-0.5</f>
        <v>-0.5</v>
      </c>
      <c r="F393">
        <f t="shared" si="9"/>
        <v>0</v>
      </c>
      <c r="G393" s="583">
        <f t="shared" si="8"/>
        <v>0</v>
      </c>
    </row>
    <row r="394" spans="2:7" hidden="1" x14ac:dyDescent="0.2">
      <c r="B394" s="6"/>
      <c r="C394" s="6"/>
      <c r="D394" s="961"/>
      <c r="E394" s="961"/>
      <c r="F394">
        <f t="shared" si="9"/>
        <v>0</v>
      </c>
      <c r="G394" s="583">
        <f t="shared" si="8"/>
        <v>0</v>
      </c>
    </row>
    <row r="395" spans="2:7" hidden="1" x14ac:dyDescent="0.2">
      <c r="B395" s="6">
        <f>IF('1 PISO TECHO'!L$15='1 PISO TECHO'!$B$31,'1 PISO TECHO'!$C$31,IF('1 PISO TECHO'!L$15='1 PISO TECHO'!$B$32,'1 PISO TECHO'!$C$32,0))</f>
        <v>0</v>
      </c>
      <c r="C395" s="11">
        <f>IF(D395&gt;0,'1 PISO TECHO'!L$22,0)</f>
        <v>0</v>
      </c>
      <c r="D395" s="961">
        <f>IF('1 PISO TECHO'!L$18="M6",200-'1 PISO TECHO'!$J$26-2,0)</f>
        <v>0</v>
      </c>
      <c r="E395" s="961">
        <f>+'1 PISO TECHO'!L$21-0.5</f>
        <v>-0.5</v>
      </c>
      <c r="F395">
        <f t="shared" si="9"/>
        <v>0</v>
      </c>
      <c r="G395" s="583">
        <f t="shared" si="8"/>
        <v>0</v>
      </c>
    </row>
    <row r="396" spans="2:7" hidden="1" x14ac:dyDescent="0.2">
      <c r="B396" s="6"/>
      <c r="C396" s="6"/>
      <c r="D396" s="961"/>
      <c r="E396" s="961"/>
      <c r="F396">
        <f t="shared" si="9"/>
        <v>0</v>
      </c>
      <c r="G396" s="583">
        <f t="shared" si="8"/>
        <v>0</v>
      </c>
    </row>
    <row r="397" spans="2:7" hidden="1" x14ac:dyDescent="0.2">
      <c r="B397" s="6">
        <f>IF('1 PISO TECHO'!M$15='1 PISO TECHO'!$B$31,'1 PISO TECHO'!$C$31,IF('1 PISO TECHO'!M$15='1 PISO TECHO'!$B$32,'1 PISO TECHO'!$C$32,0))</f>
        <v>0</v>
      </c>
      <c r="C397" s="11">
        <f>IF(D397&gt;0,'1 PISO TECHO'!M$22,0)</f>
        <v>0</v>
      </c>
      <c r="D397" s="961">
        <f>IF('1 PISO TECHO'!M$18="M6",200-'1 PISO TECHO'!$J$26-2,0)</f>
        <v>0</v>
      </c>
      <c r="E397" s="961">
        <f>+'1 PISO TECHO'!M$21-0.5</f>
        <v>-0.5</v>
      </c>
      <c r="F397">
        <f t="shared" si="9"/>
        <v>0</v>
      </c>
      <c r="G397" s="583">
        <f t="shared" si="8"/>
        <v>0</v>
      </c>
    </row>
    <row r="398" spans="2:7" hidden="1" x14ac:dyDescent="0.2">
      <c r="B398" s="6"/>
      <c r="C398" s="6"/>
      <c r="D398" s="961"/>
      <c r="E398" s="961"/>
      <c r="F398">
        <f t="shared" si="9"/>
        <v>0</v>
      </c>
      <c r="G398" s="583">
        <f t="shared" si="8"/>
        <v>0</v>
      </c>
    </row>
    <row r="399" spans="2:7" hidden="1" x14ac:dyDescent="0.2">
      <c r="B399" s="6">
        <f>IF('1 PISO TECHO'!N$15='1 PISO TECHO'!$B$31,'1 PISO TECHO'!$C$31,IF('1 PISO TECHO'!N$15='1 PISO TECHO'!$B$32,'1 PISO TECHO'!$C$32,0))</f>
        <v>0</v>
      </c>
      <c r="C399" s="11">
        <f>IF(D399&gt;0,'1 PISO TECHO'!N$22,0)</f>
        <v>0</v>
      </c>
      <c r="D399" s="961">
        <f>IF('1 PISO TECHO'!N$18="M6",200-'1 PISO TECHO'!$J$26-2,0)</f>
        <v>0</v>
      </c>
      <c r="E399" s="961">
        <f>+'1 PISO TECHO'!N$21-0.5</f>
        <v>-0.5</v>
      </c>
      <c r="F399">
        <f t="shared" si="9"/>
        <v>0</v>
      </c>
      <c r="G399" s="583">
        <f t="shared" si="8"/>
        <v>0</v>
      </c>
    </row>
    <row r="400" spans="2:7" hidden="1" x14ac:dyDescent="0.2">
      <c r="B400" s="6"/>
      <c r="C400" s="6"/>
      <c r="D400" s="961"/>
      <c r="E400" s="961"/>
      <c r="F400">
        <f t="shared" si="9"/>
        <v>0</v>
      </c>
      <c r="G400" s="583">
        <f t="shared" si="8"/>
        <v>0</v>
      </c>
    </row>
    <row r="401" spans="2:7" hidden="1" x14ac:dyDescent="0.2">
      <c r="B401" s="6">
        <f>IF('1 PISO TECHO'!C$15='1 PISO TECHO'!$B$31,'1 PISO TECHO'!$C$31,IF('1 PISO TECHO'!C$15='1 PISO TECHO'!$B$32,'1 PISO TECHO'!$C$32,0))</f>
        <v>0</v>
      </c>
      <c r="C401" s="11">
        <f>IF(D401&gt;0,'1 PISO TECHO'!C$22,0)</f>
        <v>0</v>
      </c>
      <c r="D401" s="961">
        <f>IF('1 PISO TECHO'!C$18="M8",110,0)</f>
        <v>0</v>
      </c>
      <c r="E401" s="961">
        <f>+'1 PISO TECHO'!C$21-0.5</f>
        <v>-0.5</v>
      </c>
      <c r="F401">
        <f t="shared" si="9"/>
        <v>0</v>
      </c>
      <c r="G401" s="583">
        <f t="shared" si="8"/>
        <v>0</v>
      </c>
    </row>
    <row r="402" spans="2:7" hidden="1" x14ac:dyDescent="0.2">
      <c r="B402" s="6"/>
      <c r="C402" s="11"/>
      <c r="D402" s="961"/>
      <c r="E402" s="961"/>
      <c r="F402">
        <f t="shared" si="9"/>
        <v>0</v>
      </c>
      <c r="G402" s="583">
        <f t="shared" si="8"/>
        <v>0</v>
      </c>
    </row>
    <row r="403" spans="2:7" hidden="1" x14ac:dyDescent="0.2">
      <c r="B403" s="6">
        <f>IF('1 PISO TECHO'!D$15='1 PISO TECHO'!$B$31,'1 PISO TECHO'!$C$31,IF('1 PISO TECHO'!D$15='1 PISO TECHO'!$B$32,'1 PISO TECHO'!$C$32,0))</f>
        <v>0</v>
      </c>
      <c r="C403" s="11">
        <f>IF(D403&gt;0,'1 PISO TECHO'!D$22,0)</f>
        <v>0</v>
      </c>
      <c r="D403" s="961">
        <f>IF('1 PISO TECHO'!D$18="M8",110,0)</f>
        <v>0</v>
      </c>
      <c r="E403" s="961">
        <f>+'1 PISO TECHO'!D$21-0.5</f>
        <v>-0.5</v>
      </c>
      <c r="F403">
        <f t="shared" si="9"/>
        <v>0</v>
      </c>
      <c r="G403" s="583">
        <f t="shared" si="8"/>
        <v>0</v>
      </c>
    </row>
    <row r="404" spans="2:7" hidden="1" x14ac:dyDescent="0.2">
      <c r="B404" s="6"/>
      <c r="C404" s="6"/>
      <c r="D404" s="961"/>
      <c r="E404" s="961"/>
      <c r="F404">
        <f t="shared" si="9"/>
        <v>0</v>
      </c>
      <c r="G404" s="583">
        <f t="shared" si="8"/>
        <v>0</v>
      </c>
    </row>
    <row r="405" spans="2:7" hidden="1" x14ac:dyDescent="0.2">
      <c r="B405" s="6">
        <f>IF('1 PISO TECHO'!E$15='1 PISO TECHO'!$B$31,'1 PISO TECHO'!$C$31,IF('1 PISO TECHO'!E$15='1 PISO TECHO'!$B$32,'1 PISO TECHO'!$C$32,0))</f>
        <v>0</v>
      </c>
      <c r="C405" s="11">
        <f>IF(D405&gt;0,'1 PISO TECHO'!E$22,0)</f>
        <v>0</v>
      </c>
      <c r="D405" s="961">
        <f>IF('1 PISO TECHO'!E$18="M8",110,0)</f>
        <v>0</v>
      </c>
      <c r="E405" s="961">
        <f>+'1 PISO TECHO'!E$21-0.5</f>
        <v>-0.5</v>
      </c>
      <c r="F405">
        <f t="shared" si="9"/>
        <v>0</v>
      </c>
      <c r="G405" s="583">
        <f t="shared" si="8"/>
        <v>0</v>
      </c>
    </row>
    <row r="406" spans="2:7" hidden="1" x14ac:dyDescent="0.2">
      <c r="B406" s="6"/>
      <c r="C406" s="6"/>
      <c r="D406" s="961"/>
      <c r="E406" s="961"/>
      <c r="F406">
        <f t="shared" si="9"/>
        <v>0</v>
      </c>
      <c r="G406" s="583">
        <f t="shared" si="8"/>
        <v>0</v>
      </c>
    </row>
    <row r="407" spans="2:7" hidden="1" x14ac:dyDescent="0.2">
      <c r="B407" s="6">
        <f>IF('1 PISO TECHO'!F$15='1 PISO TECHO'!$B$31,'1 PISO TECHO'!$C$31,IF('1 PISO TECHO'!F$15='1 PISO TECHO'!$B$32,'1 PISO TECHO'!$C$32,0))</f>
        <v>0</v>
      </c>
      <c r="C407" s="11">
        <f>IF(D407&gt;0,'1 PISO TECHO'!F$22,0)</f>
        <v>0</v>
      </c>
      <c r="D407" s="961">
        <f>IF('1 PISO TECHO'!F$18="M8",110,0)</f>
        <v>0</v>
      </c>
      <c r="E407" s="961">
        <f>+'1 PISO TECHO'!F$21-0.5</f>
        <v>-0.5</v>
      </c>
      <c r="F407">
        <f t="shared" si="9"/>
        <v>0</v>
      </c>
      <c r="G407" s="583">
        <f t="shared" si="8"/>
        <v>0</v>
      </c>
    </row>
    <row r="408" spans="2:7" hidden="1" x14ac:dyDescent="0.2">
      <c r="B408" s="6"/>
      <c r="C408" s="6"/>
      <c r="D408" s="961"/>
      <c r="E408" s="961"/>
      <c r="F408">
        <f t="shared" si="9"/>
        <v>0</v>
      </c>
      <c r="G408" s="583">
        <f t="shared" si="8"/>
        <v>0</v>
      </c>
    </row>
    <row r="409" spans="2:7" hidden="1" x14ac:dyDescent="0.2">
      <c r="B409" s="6">
        <f>IF('1 PISO TECHO'!G$15='1 PISO TECHO'!$B$31,'1 PISO TECHO'!$C$31,IF('1 PISO TECHO'!G$15='1 PISO TECHO'!$B$32,'1 PISO TECHO'!$C$32,0))</f>
        <v>0</v>
      </c>
      <c r="C409" s="11">
        <f>IF(D409&gt;0,'1 PISO TECHO'!G$22,0)</f>
        <v>0</v>
      </c>
      <c r="D409" s="961">
        <f>IF('1 PISO TECHO'!G$18="M8",110,0)</f>
        <v>0</v>
      </c>
      <c r="E409" s="961">
        <f>+'1 PISO TECHO'!G$21-0.5</f>
        <v>-0.5</v>
      </c>
      <c r="F409">
        <f t="shared" si="9"/>
        <v>0</v>
      </c>
      <c r="G409" s="583">
        <f t="shared" si="8"/>
        <v>0</v>
      </c>
    </row>
    <row r="410" spans="2:7" hidden="1" x14ac:dyDescent="0.2">
      <c r="B410" s="6"/>
      <c r="C410" s="6"/>
      <c r="D410" s="961"/>
      <c r="E410" s="961"/>
      <c r="F410">
        <f t="shared" si="9"/>
        <v>0</v>
      </c>
      <c r="G410" s="583">
        <f t="shared" si="8"/>
        <v>0</v>
      </c>
    </row>
    <row r="411" spans="2:7" hidden="1" x14ac:dyDescent="0.2">
      <c r="B411" s="6">
        <f>IF('1 PISO TECHO'!H$15='1 PISO TECHO'!$B$31,'1 PISO TECHO'!$C$31,IF('1 PISO TECHO'!H$15='1 PISO TECHO'!$B$32,'1 PISO TECHO'!$C$32,0))</f>
        <v>0</v>
      </c>
      <c r="C411" s="11">
        <f>IF(D411&gt;0,'1 PISO TECHO'!H$22,0)</f>
        <v>0</v>
      </c>
      <c r="D411" s="961">
        <f>IF('1 PISO TECHO'!H$18="M8",110,0)</f>
        <v>0</v>
      </c>
      <c r="E411" s="961">
        <f>+'1 PISO TECHO'!H$21-0.5</f>
        <v>-0.5</v>
      </c>
      <c r="F411">
        <f t="shared" si="9"/>
        <v>0</v>
      </c>
      <c r="G411" s="583">
        <f t="shared" si="8"/>
        <v>0</v>
      </c>
    </row>
    <row r="412" spans="2:7" hidden="1" x14ac:dyDescent="0.2">
      <c r="B412" s="6"/>
      <c r="C412" s="6"/>
      <c r="D412" s="961"/>
      <c r="E412" s="961"/>
      <c r="F412">
        <f t="shared" si="9"/>
        <v>0</v>
      </c>
      <c r="G412" s="583">
        <f t="shared" si="8"/>
        <v>0</v>
      </c>
    </row>
    <row r="413" spans="2:7" hidden="1" x14ac:dyDescent="0.2">
      <c r="B413" s="6">
        <f>IF('1 PISO TECHO'!I$15='1 PISO TECHO'!$B$31,'1 PISO TECHO'!$C$31,IF('1 PISO TECHO'!I$15='1 PISO TECHO'!$B$32,'1 PISO TECHO'!$C$32,0))</f>
        <v>0</v>
      </c>
      <c r="C413" s="11">
        <f>IF(D413&gt;0,'1 PISO TECHO'!I$22,0)</f>
        <v>0</v>
      </c>
      <c r="D413" s="961">
        <f>IF('1 PISO TECHO'!I$18="M8",110,0)</f>
        <v>0</v>
      </c>
      <c r="E413" s="961">
        <f>+'1 PISO TECHO'!I$21-0.5</f>
        <v>-0.5</v>
      </c>
      <c r="F413">
        <f t="shared" si="9"/>
        <v>0</v>
      </c>
      <c r="G413" s="583">
        <f t="shared" si="8"/>
        <v>0</v>
      </c>
    </row>
    <row r="414" spans="2:7" hidden="1" x14ac:dyDescent="0.2">
      <c r="B414" s="6"/>
      <c r="C414" s="6"/>
      <c r="D414" s="961"/>
      <c r="E414" s="961"/>
      <c r="F414">
        <f t="shared" si="9"/>
        <v>0</v>
      </c>
      <c r="G414" s="583">
        <f t="shared" si="8"/>
        <v>0</v>
      </c>
    </row>
    <row r="415" spans="2:7" hidden="1" x14ac:dyDescent="0.2">
      <c r="B415" s="6">
        <f>IF('1 PISO TECHO'!J$15='1 PISO TECHO'!$B$31,'1 PISO TECHO'!$C$31,IF('1 PISO TECHO'!J$15='1 PISO TECHO'!$B$32,'1 PISO TECHO'!$C$32,0))</f>
        <v>0</v>
      </c>
      <c r="C415" s="11">
        <f>IF(D415&gt;0,'1 PISO TECHO'!J$22,0)</f>
        <v>0</v>
      </c>
      <c r="D415" s="961">
        <f>IF('1 PISO TECHO'!J$18="M8",110,0)</f>
        <v>0</v>
      </c>
      <c r="E415" s="961">
        <f>+'1 PISO TECHO'!J$21-0.5</f>
        <v>-0.5</v>
      </c>
      <c r="F415">
        <f t="shared" si="9"/>
        <v>0</v>
      </c>
      <c r="G415" s="583">
        <f t="shared" si="8"/>
        <v>0</v>
      </c>
    </row>
    <row r="416" spans="2:7" hidden="1" x14ac:dyDescent="0.2">
      <c r="B416" s="6"/>
      <c r="C416" s="6"/>
      <c r="D416" s="961"/>
      <c r="E416" s="961"/>
      <c r="F416">
        <f t="shared" si="9"/>
        <v>0</v>
      </c>
      <c r="G416" s="583">
        <f t="shared" si="8"/>
        <v>0</v>
      </c>
    </row>
    <row r="417" spans="2:7" hidden="1" x14ac:dyDescent="0.2">
      <c r="B417" s="6">
        <f>IF('1 PISO TECHO'!K$15='1 PISO TECHO'!$B$31,'1 PISO TECHO'!$C$31,IF('1 PISO TECHO'!K$15='1 PISO TECHO'!$B$32,'1 PISO TECHO'!$C$32,0))</f>
        <v>0</v>
      </c>
      <c r="C417" s="11">
        <f>IF(D417&gt;0,'1 PISO TECHO'!K$22,0)</f>
        <v>0</v>
      </c>
      <c r="D417" s="961">
        <f>IF('1 PISO TECHO'!K$18="M8",110,0)</f>
        <v>0</v>
      </c>
      <c r="E417" s="961">
        <f>+'1 PISO TECHO'!K$21-0.5</f>
        <v>-0.5</v>
      </c>
      <c r="F417">
        <f t="shared" si="9"/>
        <v>0</v>
      </c>
      <c r="G417" s="583">
        <f t="shared" si="8"/>
        <v>0</v>
      </c>
    </row>
    <row r="418" spans="2:7" hidden="1" x14ac:dyDescent="0.2">
      <c r="B418" s="6"/>
      <c r="C418" s="6"/>
      <c r="D418" s="961"/>
      <c r="E418" s="961"/>
      <c r="F418">
        <f t="shared" si="9"/>
        <v>0</v>
      </c>
      <c r="G418" s="583">
        <f t="shared" si="8"/>
        <v>0</v>
      </c>
    </row>
    <row r="419" spans="2:7" hidden="1" x14ac:dyDescent="0.2">
      <c r="B419" s="6">
        <f>IF('1 PISO TECHO'!L$15='1 PISO TECHO'!$B$31,'1 PISO TECHO'!$C$31,IF('1 PISO TECHO'!L$15='1 PISO TECHO'!$B$32,'1 PISO TECHO'!$C$32,0))</f>
        <v>0</v>
      </c>
      <c r="C419" s="11">
        <f>IF(D419&gt;0,'1 PISO TECHO'!L$22,0)</f>
        <v>0</v>
      </c>
      <c r="D419" s="961">
        <f>IF('1 PISO TECHO'!L$18="M8",110,0)</f>
        <v>0</v>
      </c>
      <c r="E419" s="961">
        <f>+'1 PISO TECHO'!L$21-0.5</f>
        <v>-0.5</v>
      </c>
      <c r="F419">
        <f t="shared" si="9"/>
        <v>0</v>
      </c>
      <c r="G419" s="583">
        <f t="shared" si="8"/>
        <v>0</v>
      </c>
    </row>
    <row r="420" spans="2:7" hidden="1" x14ac:dyDescent="0.2">
      <c r="B420" s="6"/>
      <c r="C420" s="6"/>
      <c r="D420" s="961"/>
      <c r="E420" s="961"/>
      <c r="F420">
        <f t="shared" si="9"/>
        <v>0</v>
      </c>
      <c r="G420" s="583">
        <f t="shared" si="8"/>
        <v>0</v>
      </c>
    </row>
    <row r="421" spans="2:7" hidden="1" x14ac:dyDescent="0.2">
      <c r="B421" s="6">
        <f>IF('1 PISO TECHO'!M$15='1 PISO TECHO'!$B$31,'1 PISO TECHO'!$C$31,IF('1 PISO TECHO'!M$15='1 PISO TECHO'!$B$32,'1 PISO TECHO'!$C$32,0))</f>
        <v>0</v>
      </c>
      <c r="C421" s="11">
        <f>IF(D421&gt;0,'1 PISO TECHO'!M$22,0)</f>
        <v>0</v>
      </c>
      <c r="D421" s="961">
        <f>IF('1 PISO TECHO'!M$18="M8",110,0)</f>
        <v>0</v>
      </c>
      <c r="E421" s="961">
        <f>+'1 PISO TECHO'!M$21-0.5</f>
        <v>-0.5</v>
      </c>
      <c r="F421">
        <f t="shared" si="9"/>
        <v>0</v>
      </c>
      <c r="G421" s="583">
        <f t="shared" si="8"/>
        <v>0</v>
      </c>
    </row>
    <row r="422" spans="2:7" hidden="1" x14ac:dyDescent="0.2">
      <c r="B422" s="6"/>
      <c r="C422" s="6"/>
      <c r="D422" s="961"/>
      <c r="E422" s="961"/>
      <c r="F422">
        <f t="shared" si="9"/>
        <v>0</v>
      </c>
      <c r="G422" s="583">
        <f t="shared" si="8"/>
        <v>0</v>
      </c>
    </row>
    <row r="423" spans="2:7" hidden="1" x14ac:dyDescent="0.2">
      <c r="B423" s="6">
        <f>IF('1 PISO TECHO'!N$15='1 PISO TECHO'!$B$31,'1 PISO TECHO'!$C$31,IF('1 PISO TECHO'!N$15='1 PISO TECHO'!$B$32,'1 PISO TECHO'!$C$32,0))</f>
        <v>0</v>
      </c>
      <c r="C423" s="11">
        <f>IF(D423&gt;0,'1 PISO TECHO'!N$22,0)</f>
        <v>0</v>
      </c>
      <c r="D423" s="961">
        <f>IF('1 PISO TECHO'!N$18="M8",110,0)</f>
        <v>0</v>
      </c>
      <c r="E423" s="961">
        <f>+'1 PISO TECHO'!N$21-0.5</f>
        <v>-0.5</v>
      </c>
      <c r="F423">
        <f t="shared" si="9"/>
        <v>0</v>
      </c>
      <c r="G423" s="583">
        <f t="shared" si="8"/>
        <v>0</v>
      </c>
    </row>
    <row r="424" spans="2:7" hidden="1" x14ac:dyDescent="0.2">
      <c r="B424" s="6"/>
      <c r="C424" s="6"/>
      <c r="D424" s="961"/>
      <c r="E424" s="961"/>
      <c r="F424">
        <f t="shared" si="9"/>
        <v>0</v>
      </c>
      <c r="G424" s="583">
        <f t="shared" si="8"/>
        <v>0</v>
      </c>
    </row>
    <row r="425" spans="2:7" hidden="1" x14ac:dyDescent="0.2">
      <c r="B425" s="6">
        <f>IF('1 PISO TECHO'!C$15='1 PISO TECHO'!$B$31,'1 PISO TECHO'!$C$31,IF('1 PISO TECHO'!C$15='1 PISO TECHO'!$B$32,'1 PISO TECHO'!$C$32,0))</f>
        <v>0</v>
      </c>
      <c r="C425" s="11">
        <f>IF(D425&gt;0,'1 PISO TECHO'!C$22,0)*2</f>
        <v>0</v>
      </c>
      <c r="D425" s="961">
        <f>IF('1 PISO TECHO'!C$18="V3",43,0)</f>
        <v>0</v>
      </c>
      <c r="E425" s="961">
        <f>+'1 PISO TECHO'!C$21-0.5</f>
        <v>-0.5</v>
      </c>
      <c r="F425">
        <f t="shared" si="9"/>
        <v>0</v>
      </c>
      <c r="G425" s="583">
        <f t="shared" si="8"/>
        <v>0</v>
      </c>
    </row>
    <row r="426" spans="2:7" hidden="1" x14ac:dyDescent="0.2">
      <c r="B426" s="6"/>
      <c r="C426" s="11"/>
      <c r="D426" s="961"/>
      <c r="E426" s="961"/>
      <c r="F426">
        <f t="shared" si="9"/>
        <v>0</v>
      </c>
      <c r="G426" s="583">
        <f t="shared" si="8"/>
        <v>0</v>
      </c>
    </row>
    <row r="427" spans="2:7" hidden="1" x14ac:dyDescent="0.2">
      <c r="B427" s="6">
        <f>IF('1 PISO TECHO'!D$15='1 PISO TECHO'!$B$31,'1 PISO TECHO'!$C$31,IF('1 PISO TECHO'!D$15='1 PISO TECHO'!$B$32,'1 PISO TECHO'!$C$32,0))</f>
        <v>0</v>
      </c>
      <c r="C427" s="11">
        <f>IF(D427&gt;0,'1 PISO TECHO'!D$22,0)*2</f>
        <v>0</v>
      </c>
      <c r="D427" s="961">
        <f>IF('1 PISO TECHO'!D$18="V3",43,0)</f>
        <v>0</v>
      </c>
      <c r="E427" s="961">
        <f>+'1 PISO TECHO'!D$21-0.5</f>
        <v>-0.5</v>
      </c>
      <c r="F427">
        <f t="shared" si="9"/>
        <v>0</v>
      </c>
      <c r="G427" s="583">
        <f t="shared" si="8"/>
        <v>0</v>
      </c>
    </row>
    <row r="428" spans="2:7" hidden="1" x14ac:dyDescent="0.2">
      <c r="B428" s="6"/>
      <c r="C428" s="6"/>
      <c r="D428" s="961"/>
      <c r="E428" s="961"/>
      <c r="F428">
        <f t="shared" si="9"/>
        <v>0</v>
      </c>
      <c r="G428" s="583">
        <f t="shared" si="8"/>
        <v>0</v>
      </c>
    </row>
    <row r="429" spans="2:7" hidden="1" x14ac:dyDescent="0.2">
      <c r="B429" s="6">
        <f>IF('1 PISO TECHO'!E$15='1 PISO TECHO'!$B$31,'1 PISO TECHO'!$C$31,IF('1 PISO TECHO'!E$15='1 PISO TECHO'!$B$32,'1 PISO TECHO'!$C$32,0))</f>
        <v>0</v>
      </c>
      <c r="C429" s="11">
        <f>IF(D429&gt;0,'1 PISO TECHO'!E$22,0)*2</f>
        <v>0</v>
      </c>
      <c r="D429" s="961">
        <f>IF('1 PISO TECHO'!E$18="V3",43,0)</f>
        <v>0</v>
      </c>
      <c r="E429" s="961">
        <f>+'1 PISO TECHO'!E$21-0.5</f>
        <v>-0.5</v>
      </c>
      <c r="F429">
        <f t="shared" si="9"/>
        <v>0</v>
      </c>
      <c r="G429" s="583">
        <f t="shared" si="8"/>
        <v>0</v>
      </c>
    </row>
    <row r="430" spans="2:7" hidden="1" x14ac:dyDescent="0.2">
      <c r="B430" s="6"/>
      <c r="C430" s="6"/>
      <c r="D430" s="961"/>
      <c r="E430" s="961"/>
      <c r="F430">
        <f t="shared" si="9"/>
        <v>0</v>
      </c>
      <c r="G430" s="583">
        <f t="shared" si="8"/>
        <v>0</v>
      </c>
    </row>
    <row r="431" spans="2:7" hidden="1" x14ac:dyDescent="0.2">
      <c r="B431" s="6">
        <f>IF('1 PISO TECHO'!F$15='1 PISO TECHO'!$B$31,'1 PISO TECHO'!$C$31,IF('1 PISO TECHO'!F$15='1 PISO TECHO'!$B$32,'1 PISO TECHO'!$C$32,0))</f>
        <v>0</v>
      </c>
      <c r="C431" s="11">
        <f>IF(D431&gt;0,'1 PISO TECHO'!F$22,0)*2</f>
        <v>0</v>
      </c>
      <c r="D431" s="961">
        <f>IF('1 PISO TECHO'!F$18="V3",43,0)</f>
        <v>0</v>
      </c>
      <c r="E431" s="961">
        <f>+'1 PISO TECHO'!F$21-0.5</f>
        <v>-0.5</v>
      </c>
      <c r="F431">
        <f t="shared" si="9"/>
        <v>0</v>
      </c>
      <c r="G431" s="583">
        <f t="shared" si="8"/>
        <v>0</v>
      </c>
    </row>
    <row r="432" spans="2:7" hidden="1" x14ac:dyDescent="0.2">
      <c r="B432" s="6"/>
      <c r="C432" s="6"/>
      <c r="D432" s="961"/>
      <c r="E432" s="961"/>
      <c r="F432">
        <f t="shared" si="9"/>
        <v>0</v>
      </c>
      <c r="G432" s="583">
        <f t="shared" si="8"/>
        <v>0</v>
      </c>
    </row>
    <row r="433" spans="2:7" hidden="1" x14ac:dyDescent="0.2">
      <c r="B433" s="6">
        <f>IF('1 PISO TECHO'!G$15='1 PISO TECHO'!$B$31,'1 PISO TECHO'!$C$31,IF('1 PISO TECHO'!G$15='1 PISO TECHO'!$B$32,'1 PISO TECHO'!$C$32,0))</f>
        <v>0</v>
      </c>
      <c r="C433" s="11">
        <f>IF(D433&gt;0,'1 PISO TECHO'!G$22,0)*2</f>
        <v>0</v>
      </c>
      <c r="D433" s="961">
        <f>IF('1 PISO TECHO'!G$18="V3",43,0)</f>
        <v>0</v>
      </c>
      <c r="E433" s="961">
        <f>+'1 PISO TECHO'!G$21-0.5</f>
        <v>-0.5</v>
      </c>
      <c r="F433">
        <f t="shared" si="9"/>
        <v>0</v>
      </c>
      <c r="G433" s="583">
        <f t="shared" ref="G433:G496" si="10">IF(C433&gt;0,1,0)</f>
        <v>0</v>
      </c>
    </row>
    <row r="434" spans="2:7" hidden="1" x14ac:dyDescent="0.2">
      <c r="B434" s="6"/>
      <c r="C434" s="6"/>
      <c r="D434" s="961"/>
      <c r="E434" s="961"/>
      <c r="F434">
        <f t="shared" ref="F434:F497" si="11">IF(C434&gt;0,((D434*4)+(E434*4))*C434,0)</f>
        <v>0</v>
      </c>
      <c r="G434" s="583">
        <f t="shared" si="10"/>
        <v>0</v>
      </c>
    </row>
    <row r="435" spans="2:7" hidden="1" x14ac:dyDescent="0.2">
      <c r="B435" s="6">
        <f>IF('1 PISO TECHO'!H$15='1 PISO TECHO'!$B$31,'1 PISO TECHO'!$C$31,IF('1 PISO TECHO'!H$15='1 PISO TECHO'!$B$32,'1 PISO TECHO'!$C$32,0))</f>
        <v>0</v>
      </c>
      <c r="C435" s="11">
        <f>IF(D435&gt;0,'1 PISO TECHO'!H$22,0)*2</f>
        <v>0</v>
      </c>
      <c r="D435" s="961">
        <f>IF('1 PISO TECHO'!H$18="V3",43,0)</f>
        <v>0</v>
      </c>
      <c r="E435" s="961">
        <f>+'1 PISO TECHO'!H$21-0.5</f>
        <v>-0.5</v>
      </c>
      <c r="F435">
        <f t="shared" si="11"/>
        <v>0</v>
      </c>
      <c r="G435" s="583">
        <f t="shared" si="10"/>
        <v>0</v>
      </c>
    </row>
    <row r="436" spans="2:7" hidden="1" x14ac:dyDescent="0.2">
      <c r="B436" s="6"/>
      <c r="C436" s="6"/>
      <c r="D436" s="961"/>
      <c r="E436" s="961"/>
      <c r="F436">
        <f t="shared" si="11"/>
        <v>0</v>
      </c>
      <c r="G436" s="583">
        <f t="shared" si="10"/>
        <v>0</v>
      </c>
    </row>
    <row r="437" spans="2:7" hidden="1" x14ac:dyDescent="0.2">
      <c r="B437" s="6">
        <f>IF('1 PISO TECHO'!I$15='1 PISO TECHO'!$B$31,'1 PISO TECHO'!$C$31,IF('1 PISO TECHO'!I$15='1 PISO TECHO'!$B$32,'1 PISO TECHO'!$C$32,0))</f>
        <v>0</v>
      </c>
      <c r="C437" s="11">
        <f>IF(D437&gt;0,'1 PISO TECHO'!I$22,0)*2</f>
        <v>0</v>
      </c>
      <c r="D437" s="961">
        <f>IF('1 PISO TECHO'!I$18="V3",43,0)</f>
        <v>0</v>
      </c>
      <c r="E437" s="961">
        <f>+'1 PISO TECHO'!I$21-0.5</f>
        <v>-0.5</v>
      </c>
      <c r="F437">
        <f t="shared" si="11"/>
        <v>0</v>
      </c>
      <c r="G437" s="583">
        <f t="shared" si="10"/>
        <v>0</v>
      </c>
    </row>
    <row r="438" spans="2:7" hidden="1" x14ac:dyDescent="0.2">
      <c r="B438" s="6"/>
      <c r="C438" s="6"/>
      <c r="D438" s="961"/>
      <c r="E438" s="961"/>
      <c r="F438">
        <f t="shared" si="11"/>
        <v>0</v>
      </c>
      <c r="G438" s="583">
        <f t="shared" si="10"/>
        <v>0</v>
      </c>
    </row>
    <row r="439" spans="2:7" hidden="1" x14ac:dyDescent="0.2">
      <c r="B439" s="6">
        <f>IF('1 PISO TECHO'!J$15='1 PISO TECHO'!$B$31,'1 PISO TECHO'!$C$31,IF('1 PISO TECHO'!J$15='1 PISO TECHO'!$B$32,'1 PISO TECHO'!$C$32,0))</f>
        <v>0</v>
      </c>
      <c r="C439" s="11">
        <f>IF(D439&gt;0,'1 PISO TECHO'!J$22,0)*2</f>
        <v>0</v>
      </c>
      <c r="D439" s="961">
        <f>IF('1 PISO TECHO'!J$18="V3",43,0)</f>
        <v>0</v>
      </c>
      <c r="E439" s="961">
        <f>+'1 PISO TECHO'!J$21-0.5</f>
        <v>-0.5</v>
      </c>
      <c r="F439">
        <f t="shared" si="11"/>
        <v>0</v>
      </c>
      <c r="G439" s="583">
        <f t="shared" si="10"/>
        <v>0</v>
      </c>
    </row>
    <row r="440" spans="2:7" hidden="1" x14ac:dyDescent="0.2">
      <c r="B440" s="6"/>
      <c r="C440" s="6"/>
      <c r="D440" s="961"/>
      <c r="E440" s="961"/>
      <c r="F440">
        <f t="shared" si="11"/>
        <v>0</v>
      </c>
      <c r="G440" s="583">
        <f t="shared" si="10"/>
        <v>0</v>
      </c>
    </row>
    <row r="441" spans="2:7" hidden="1" x14ac:dyDescent="0.2">
      <c r="B441" s="6">
        <f>IF('1 PISO TECHO'!K$15='1 PISO TECHO'!$B$31,'1 PISO TECHO'!$C$31,IF('1 PISO TECHO'!K$15='1 PISO TECHO'!$B$32,'1 PISO TECHO'!$C$32,0))</f>
        <v>0</v>
      </c>
      <c r="C441" s="11">
        <f>IF(D441&gt;0,'1 PISO TECHO'!K$22,0)*2</f>
        <v>0</v>
      </c>
      <c r="D441" s="961">
        <f>IF('1 PISO TECHO'!K$18="V3",43,0)</f>
        <v>0</v>
      </c>
      <c r="E441" s="961">
        <f>+'1 PISO TECHO'!K$21-0.5</f>
        <v>-0.5</v>
      </c>
      <c r="F441">
        <f t="shared" si="11"/>
        <v>0</v>
      </c>
      <c r="G441" s="583">
        <f t="shared" si="10"/>
        <v>0</v>
      </c>
    </row>
    <row r="442" spans="2:7" hidden="1" x14ac:dyDescent="0.2">
      <c r="B442" s="6"/>
      <c r="C442" s="6"/>
      <c r="D442" s="961"/>
      <c r="E442" s="961"/>
      <c r="F442">
        <f t="shared" si="11"/>
        <v>0</v>
      </c>
      <c r="G442" s="583">
        <f t="shared" si="10"/>
        <v>0</v>
      </c>
    </row>
    <row r="443" spans="2:7" hidden="1" x14ac:dyDescent="0.2">
      <c r="B443" s="6">
        <f>IF('1 PISO TECHO'!L$15='1 PISO TECHO'!$B$31,'1 PISO TECHO'!$C$31,IF('1 PISO TECHO'!L$15='1 PISO TECHO'!$B$32,'1 PISO TECHO'!$C$32,0))</f>
        <v>0</v>
      </c>
      <c r="C443" s="11">
        <f>IF(D443&gt;0,'1 PISO TECHO'!L$22,0)*2</f>
        <v>0</v>
      </c>
      <c r="D443" s="961">
        <f>IF('1 PISO TECHO'!L$18="V3",43,0)</f>
        <v>0</v>
      </c>
      <c r="E443" s="961">
        <f>+'1 PISO TECHO'!L$21-0.5</f>
        <v>-0.5</v>
      </c>
      <c r="F443">
        <f t="shared" si="11"/>
        <v>0</v>
      </c>
      <c r="G443" s="583">
        <f t="shared" si="10"/>
        <v>0</v>
      </c>
    </row>
    <row r="444" spans="2:7" hidden="1" x14ac:dyDescent="0.2">
      <c r="B444" s="6"/>
      <c r="C444" s="6"/>
      <c r="D444" s="961"/>
      <c r="E444" s="961"/>
      <c r="F444">
        <f t="shared" si="11"/>
        <v>0</v>
      </c>
      <c r="G444" s="583">
        <f t="shared" si="10"/>
        <v>0</v>
      </c>
    </row>
    <row r="445" spans="2:7" hidden="1" x14ac:dyDescent="0.2">
      <c r="B445" s="6">
        <f>IF('1 PISO TECHO'!M$15='1 PISO TECHO'!$B$31,'1 PISO TECHO'!$C$31,IF('1 PISO TECHO'!M$15='1 PISO TECHO'!$B$32,'1 PISO TECHO'!$C$32,0))</f>
        <v>0</v>
      </c>
      <c r="C445" s="11">
        <f>IF(D445&gt;0,'1 PISO TECHO'!M$22,0)*2</f>
        <v>0</v>
      </c>
      <c r="D445" s="961">
        <f>IF('1 PISO TECHO'!M$18="V3",43,0)</f>
        <v>0</v>
      </c>
      <c r="E445" s="961">
        <f>+'1 PISO TECHO'!M$21-0.5</f>
        <v>-0.5</v>
      </c>
      <c r="F445">
        <f t="shared" si="11"/>
        <v>0</v>
      </c>
      <c r="G445" s="583">
        <f t="shared" si="10"/>
        <v>0</v>
      </c>
    </row>
    <row r="446" spans="2:7" hidden="1" x14ac:dyDescent="0.2">
      <c r="B446" s="6"/>
      <c r="C446" s="6"/>
      <c r="D446" s="961"/>
      <c r="E446" s="961"/>
      <c r="F446">
        <f t="shared" si="11"/>
        <v>0</v>
      </c>
      <c r="G446" s="583">
        <f t="shared" si="10"/>
        <v>0</v>
      </c>
    </row>
    <row r="447" spans="2:7" hidden="1" x14ac:dyDescent="0.2">
      <c r="B447" s="6">
        <f>IF('1 PISO TECHO'!N$15='1 PISO TECHO'!$B$31,'1 PISO TECHO'!$C$31,IF('1 PISO TECHO'!N$15='1 PISO TECHO'!$B$32,'1 PISO TECHO'!$C$32,0))</f>
        <v>0</v>
      </c>
      <c r="C447" s="11">
        <f>IF(D447&gt;0,'1 PISO TECHO'!N$22,0)*2</f>
        <v>0</v>
      </c>
      <c r="D447" s="961">
        <f>IF('1 PISO TECHO'!N$18="V3",43,0)</f>
        <v>0</v>
      </c>
      <c r="E447" s="961">
        <f>+'1 PISO TECHO'!N$21-0.5</f>
        <v>-0.5</v>
      </c>
      <c r="F447">
        <f t="shared" si="11"/>
        <v>0</v>
      </c>
      <c r="G447" s="583">
        <f t="shared" si="10"/>
        <v>0</v>
      </c>
    </row>
    <row r="448" spans="2:7" hidden="1" x14ac:dyDescent="0.2">
      <c r="B448" s="6"/>
      <c r="C448" s="6"/>
      <c r="D448" s="961"/>
      <c r="E448" s="961"/>
      <c r="F448">
        <f t="shared" si="11"/>
        <v>0</v>
      </c>
      <c r="G448" s="583">
        <f t="shared" si="10"/>
        <v>0</v>
      </c>
    </row>
    <row r="449" spans="2:7" ht="15" hidden="1" x14ac:dyDescent="0.2">
      <c r="B449" s="6">
        <f>+'5 ALMACEN '!V37</f>
        <v>0</v>
      </c>
      <c r="C449" s="6">
        <f>+'5 ALMACEN '!U37</f>
        <v>0</v>
      </c>
      <c r="D449" s="775">
        <v>181.8</v>
      </c>
      <c r="E449" s="775">
        <v>63.8</v>
      </c>
      <c r="G449" s="583">
        <f t="shared" si="10"/>
        <v>0</v>
      </c>
    </row>
    <row r="450" spans="2:7" hidden="1" x14ac:dyDescent="0.2">
      <c r="B450" s="6"/>
      <c r="C450" s="6"/>
      <c r="D450" s="961"/>
      <c r="E450" s="961"/>
      <c r="F450">
        <f t="shared" si="11"/>
        <v>0</v>
      </c>
      <c r="G450" s="583">
        <f t="shared" si="10"/>
        <v>0</v>
      </c>
    </row>
    <row r="451" spans="2:7" hidden="1" x14ac:dyDescent="0.2">
      <c r="B451" s="6">
        <f>IF('1 P-T +'!C$16='1 P-T +'!$B$33,'1 P-T +'!$C$33,IF('1 P-T +'!C$16='1 P-T +'!$B$34,'1 P-T +'!$C$34,0))</f>
        <v>0</v>
      </c>
      <c r="C451" s="11">
        <f>IF(B451&gt;0,'1 P-T +'!C$24,0)</f>
        <v>0</v>
      </c>
      <c r="D451" s="961">
        <f>+'1 P-T +'!C$22-202</f>
        <v>-202</v>
      </c>
      <c r="E451" s="961">
        <f>+'1 P-T +'!C$23-0.5</f>
        <v>-0.5</v>
      </c>
      <c r="F451">
        <f t="shared" si="11"/>
        <v>0</v>
      </c>
      <c r="G451" s="583">
        <f t="shared" si="10"/>
        <v>0</v>
      </c>
    </row>
    <row r="452" spans="2:7" hidden="1" x14ac:dyDescent="0.2">
      <c r="B452" s="6"/>
      <c r="C452" s="11"/>
      <c r="D452" s="961"/>
      <c r="E452" s="961"/>
      <c r="F452">
        <f t="shared" si="11"/>
        <v>0</v>
      </c>
      <c r="G452" s="583">
        <f t="shared" si="10"/>
        <v>0</v>
      </c>
    </row>
    <row r="453" spans="2:7" hidden="1" x14ac:dyDescent="0.2">
      <c r="B453" s="6">
        <f>IF('1 P-T +'!D$16='1 P-T +'!$B$33,'1 P-T +'!$C$33,IF('1 P-T +'!D$16='1 P-T +'!$B$34,'1 P-T +'!$C$34,0))</f>
        <v>0</v>
      </c>
      <c r="C453" s="11">
        <f>IF(B453&gt;0,'1 P-T +'!D$24,0)</f>
        <v>0</v>
      </c>
      <c r="D453" s="961">
        <f>+'1 P-T +'!D$22-202</f>
        <v>-202</v>
      </c>
      <c r="E453" s="961">
        <f>+'1 P-T +'!D$23-0.5</f>
        <v>-0.5</v>
      </c>
      <c r="F453">
        <f t="shared" si="11"/>
        <v>0</v>
      </c>
      <c r="G453" s="583">
        <f t="shared" si="10"/>
        <v>0</v>
      </c>
    </row>
    <row r="454" spans="2:7" hidden="1" x14ac:dyDescent="0.2">
      <c r="B454" s="6"/>
      <c r="C454" s="6"/>
      <c r="D454" s="961"/>
      <c r="E454" s="961"/>
      <c r="F454">
        <f t="shared" si="11"/>
        <v>0</v>
      </c>
      <c r="G454" s="583">
        <f t="shared" si="10"/>
        <v>0</v>
      </c>
    </row>
    <row r="455" spans="2:7" hidden="1" x14ac:dyDescent="0.2">
      <c r="B455" s="6">
        <f>IF('1 P-T +'!E$16='1 P-T +'!$B$33,'1 P-T +'!$C$33,IF('1 P-T +'!E$16='1 P-T +'!$B$34,'1 P-T +'!$C$34,0))</f>
        <v>0</v>
      </c>
      <c r="C455" s="11">
        <f>IF(B455&gt;0,'1 P-T +'!E$24,0)</f>
        <v>0</v>
      </c>
      <c r="D455" s="961">
        <f>+'1 P-T +'!E$22-202</f>
        <v>-202</v>
      </c>
      <c r="E455" s="961">
        <f>+'1 P-T +'!E$23-0.5</f>
        <v>-0.5</v>
      </c>
      <c r="F455">
        <f t="shared" si="11"/>
        <v>0</v>
      </c>
      <c r="G455" s="583">
        <f t="shared" si="10"/>
        <v>0</v>
      </c>
    </row>
    <row r="456" spans="2:7" hidden="1" x14ac:dyDescent="0.2">
      <c r="B456" s="6"/>
      <c r="C456" s="6"/>
      <c r="D456" s="961"/>
      <c r="E456" s="961"/>
      <c r="F456">
        <f t="shared" si="11"/>
        <v>0</v>
      </c>
      <c r="G456" s="583">
        <f t="shared" si="10"/>
        <v>0</v>
      </c>
    </row>
    <row r="457" spans="2:7" hidden="1" x14ac:dyDescent="0.2">
      <c r="B457" s="6">
        <f>IF('1 P-T +'!F$16='1 P-T +'!$B$33,'1 P-T +'!$C$33,IF('1 P-T +'!F$16='1 P-T +'!$B$34,'1 P-T +'!$C$34,0))</f>
        <v>0</v>
      </c>
      <c r="C457" s="11">
        <f>IF(B457&gt;0,'1 P-T +'!F$24,0)</f>
        <v>0</v>
      </c>
      <c r="D457" s="961">
        <f>+'1 P-T +'!F$22-202</f>
        <v>-202</v>
      </c>
      <c r="E457" s="961">
        <f>+'1 P-T +'!F$23-0.5</f>
        <v>-0.5</v>
      </c>
      <c r="F457">
        <f t="shared" si="11"/>
        <v>0</v>
      </c>
      <c r="G457" s="583">
        <f t="shared" si="10"/>
        <v>0</v>
      </c>
    </row>
    <row r="458" spans="2:7" hidden="1" x14ac:dyDescent="0.2">
      <c r="B458" s="6"/>
      <c r="C458" s="6"/>
      <c r="D458" s="961"/>
      <c r="E458" s="961"/>
      <c r="F458">
        <f t="shared" si="11"/>
        <v>0</v>
      </c>
      <c r="G458" s="583">
        <f t="shared" si="10"/>
        <v>0</v>
      </c>
    </row>
    <row r="459" spans="2:7" hidden="1" x14ac:dyDescent="0.2">
      <c r="B459" s="6">
        <f>IF('1 P-T +'!G$16='1 P-T +'!$B$33,'1 P-T +'!$C$33,IF('1 P-T +'!G$16='1 P-T +'!$B$34,'1 P-T +'!$C$34,0))</f>
        <v>0</v>
      </c>
      <c r="C459" s="11">
        <f>IF(B459&gt;0,'1 P-T +'!G$24,0)</f>
        <v>0</v>
      </c>
      <c r="D459" s="961">
        <f>+'1 P-T +'!G$22-202</f>
        <v>-202</v>
      </c>
      <c r="E459" s="961">
        <f>+'1 P-T +'!G$23-0.5</f>
        <v>-0.5</v>
      </c>
      <c r="F459">
        <f t="shared" si="11"/>
        <v>0</v>
      </c>
      <c r="G459" s="583">
        <f t="shared" si="10"/>
        <v>0</v>
      </c>
    </row>
    <row r="460" spans="2:7" hidden="1" x14ac:dyDescent="0.2">
      <c r="B460" s="6"/>
      <c r="C460" s="6"/>
      <c r="D460" s="961"/>
      <c r="E460" s="961"/>
      <c r="F460">
        <f t="shared" si="11"/>
        <v>0</v>
      </c>
      <c r="G460" s="583">
        <f t="shared" si="10"/>
        <v>0</v>
      </c>
    </row>
    <row r="461" spans="2:7" hidden="1" x14ac:dyDescent="0.2">
      <c r="B461" s="6">
        <f>IF('1 P-T +'!H$16='1 P-T +'!$B$33,'1 P-T +'!$C$33,IF('1 P-T +'!H$16='1 P-T +'!$B$34,'1 P-T +'!$C$34,0))</f>
        <v>0</v>
      </c>
      <c r="C461" s="11">
        <f>IF(B461&gt;0,'1 P-T +'!H$24,0)</f>
        <v>0</v>
      </c>
      <c r="D461" s="961">
        <f>+'1 P-T +'!H$22-202</f>
        <v>-202</v>
      </c>
      <c r="E461" s="961">
        <f>+'1 P-T +'!H$23-0.5</f>
        <v>-0.5</v>
      </c>
      <c r="F461">
        <f t="shared" si="11"/>
        <v>0</v>
      </c>
      <c r="G461" s="583">
        <f t="shared" si="10"/>
        <v>0</v>
      </c>
    </row>
    <row r="462" spans="2:7" hidden="1" x14ac:dyDescent="0.2">
      <c r="B462" s="6"/>
      <c r="C462" s="6"/>
      <c r="D462" s="961"/>
      <c r="E462" s="961"/>
      <c r="F462">
        <f t="shared" si="11"/>
        <v>0</v>
      </c>
      <c r="G462" s="583">
        <f t="shared" si="10"/>
        <v>0</v>
      </c>
    </row>
    <row r="463" spans="2:7" hidden="1" x14ac:dyDescent="0.2">
      <c r="B463" s="6">
        <f>IF('1 P-T +'!I$16='1 P-T +'!$B$33,'1 P-T +'!$C$33,IF('1 P-T +'!I$16='1 P-T +'!$B$34,'1 P-T +'!$C$34,0))</f>
        <v>0</v>
      </c>
      <c r="C463" s="11">
        <f>IF(B463&gt;0,'1 P-T +'!I$24,0)</f>
        <v>0</v>
      </c>
      <c r="D463" s="961">
        <f>+'1 P-T +'!I$22-202</f>
        <v>-202</v>
      </c>
      <c r="E463" s="961">
        <f>+'1 P-T +'!I$23-0.5</f>
        <v>-0.5</v>
      </c>
      <c r="F463">
        <f t="shared" si="11"/>
        <v>0</v>
      </c>
      <c r="G463" s="583">
        <f t="shared" si="10"/>
        <v>0</v>
      </c>
    </row>
    <row r="464" spans="2:7" hidden="1" x14ac:dyDescent="0.2">
      <c r="B464" s="6"/>
      <c r="C464" s="6"/>
      <c r="D464" s="961"/>
      <c r="E464" s="961"/>
      <c r="F464">
        <f t="shared" si="11"/>
        <v>0</v>
      </c>
      <c r="G464" s="583">
        <f t="shared" si="10"/>
        <v>0</v>
      </c>
    </row>
    <row r="465" spans="2:7" hidden="1" x14ac:dyDescent="0.2">
      <c r="B465" s="6">
        <f>IF('1 P-T +'!J$16='1 P-T +'!$B$33,'1 P-T +'!$C$33,IF('1 P-T +'!J$16='1 P-T +'!$B$34,'1 P-T +'!$C$34,0))</f>
        <v>0</v>
      </c>
      <c r="C465" s="11">
        <f>IF(B465&gt;0,'1 P-T +'!J$24,0)</f>
        <v>0</v>
      </c>
      <c r="D465" s="961">
        <f>+'1 P-T +'!J$22-202</f>
        <v>-202</v>
      </c>
      <c r="E465" s="961">
        <f>+'1 P-T +'!J$23-0.5</f>
        <v>-0.5</v>
      </c>
      <c r="F465">
        <f t="shared" si="11"/>
        <v>0</v>
      </c>
      <c r="G465" s="583">
        <f t="shared" si="10"/>
        <v>0</v>
      </c>
    </row>
    <row r="466" spans="2:7" hidden="1" x14ac:dyDescent="0.2">
      <c r="B466" s="6"/>
      <c r="C466" s="6"/>
      <c r="D466" s="961"/>
      <c r="E466" s="961"/>
      <c r="F466">
        <f t="shared" si="11"/>
        <v>0</v>
      </c>
      <c r="G466" s="583">
        <f t="shared" si="10"/>
        <v>0</v>
      </c>
    </row>
    <row r="467" spans="2:7" hidden="1" x14ac:dyDescent="0.2">
      <c r="B467" s="6">
        <f>IF('1 P-T +'!K$16='1 P-T +'!$B$33,'1 P-T +'!$C$33,IF('1 P-T +'!K$16='1 P-T +'!$B$34,'1 P-T +'!$C$34,0))</f>
        <v>0</v>
      </c>
      <c r="C467" s="11">
        <f>IF(B467&gt;0,'1 P-T +'!K$24,0)</f>
        <v>0</v>
      </c>
      <c r="D467" s="961">
        <f>+'1 P-T +'!K$22-202</f>
        <v>-202</v>
      </c>
      <c r="E467" s="961">
        <f>+'1 P-T +'!K$23-0.5</f>
        <v>-0.5</v>
      </c>
      <c r="F467">
        <f t="shared" si="11"/>
        <v>0</v>
      </c>
      <c r="G467" s="583">
        <f t="shared" si="10"/>
        <v>0</v>
      </c>
    </row>
    <row r="468" spans="2:7" hidden="1" x14ac:dyDescent="0.2">
      <c r="B468" s="6"/>
      <c r="C468" s="6"/>
      <c r="D468" s="961"/>
      <c r="E468" s="961"/>
      <c r="F468">
        <f t="shared" si="11"/>
        <v>0</v>
      </c>
      <c r="G468" s="583">
        <f t="shared" si="10"/>
        <v>0</v>
      </c>
    </row>
    <row r="469" spans="2:7" hidden="1" x14ac:dyDescent="0.2">
      <c r="B469" s="6">
        <f>IF('1 P-T +'!L$16='1 P-T +'!$B$33,'1 P-T +'!$C$33,IF('1 P-T +'!L$16='1 P-T +'!$B$34,'1 P-T +'!$C$34,0))</f>
        <v>0</v>
      </c>
      <c r="C469" s="11">
        <f>IF(B469&gt;0,'1 P-T +'!L$24,0)</f>
        <v>0</v>
      </c>
      <c r="D469" s="961">
        <f>+'1 P-T +'!L$22-202</f>
        <v>-202</v>
      </c>
      <c r="E469" s="961">
        <f>+'1 P-T +'!L$23-0.5</f>
        <v>-0.5</v>
      </c>
      <c r="F469">
        <f t="shared" si="11"/>
        <v>0</v>
      </c>
      <c r="G469" s="583">
        <f t="shared" si="10"/>
        <v>0</v>
      </c>
    </row>
    <row r="470" spans="2:7" hidden="1" x14ac:dyDescent="0.2">
      <c r="B470" s="6"/>
      <c r="C470" s="6"/>
      <c r="D470" s="961"/>
      <c r="E470" s="961"/>
      <c r="F470">
        <f t="shared" si="11"/>
        <v>0</v>
      </c>
      <c r="G470" s="583">
        <f t="shared" si="10"/>
        <v>0</v>
      </c>
    </row>
    <row r="471" spans="2:7" hidden="1" x14ac:dyDescent="0.2">
      <c r="B471" s="6">
        <f>IF('1 P-T +'!M$16='1 P-T +'!$B$33,'1 P-T +'!$C$33,IF('1 P-T +'!M$16='1 P-T +'!$B$34,'1 P-T +'!$C$34,0))</f>
        <v>0</v>
      </c>
      <c r="C471" s="11">
        <f>IF(B471&gt;0,'1 P-T +'!M$24,0)</f>
        <v>0</v>
      </c>
      <c r="D471" s="961">
        <f>+'1 P-T +'!M$22-202</f>
        <v>-202</v>
      </c>
      <c r="E471" s="961">
        <f>+'1 P-T +'!M$23-0.5</f>
        <v>-0.5</v>
      </c>
      <c r="F471">
        <f t="shared" si="11"/>
        <v>0</v>
      </c>
      <c r="G471" s="583">
        <f t="shared" si="10"/>
        <v>0</v>
      </c>
    </row>
    <row r="472" spans="2:7" hidden="1" x14ac:dyDescent="0.2">
      <c r="B472" s="6"/>
      <c r="C472" s="6"/>
      <c r="D472" s="961"/>
      <c r="E472" s="961"/>
      <c r="F472">
        <f t="shared" si="11"/>
        <v>0</v>
      </c>
      <c r="G472" s="583">
        <f t="shared" si="10"/>
        <v>0</v>
      </c>
    </row>
    <row r="473" spans="2:7" hidden="1" x14ac:dyDescent="0.2">
      <c r="B473" s="6">
        <f>IF('1 P-T +'!N$16='1 P-T +'!$B$33,'1 P-T +'!$C$33,IF('1 P-T +'!N$16='1 P-T +'!$B$34,'1 P-T +'!$C$34,0))</f>
        <v>0</v>
      </c>
      <c r="C473" s="11">
        <f>IF(B473&gt;0,'1 P-T +'!N$24,0)</f>
        <v>0</v>
      </c>
      <c r="D473" s="961">
        <f>+'1 P-T +'!N$22-202</f>
        <v>-202</v>
      </c>
      <c r="E473" s="961">
        <f>+'1 P-T +'!N$23-0.5</f>
        <v>-0.5</v>
      </c>
      <c r="F473">
        <f t="shared" si="11"/>
        <v>0</v>
      </c>
      <c r="G473" s="583">
        <f t="shared" si="10"/>
        <v>0</v>
      </c>
    </row>
    <row r="474" spans="2:7" hidden="1" x14ac:dyDescent="0.2">
      <c r="B474" s="6"/>
      <c r="C474" s="6"/>
      <c r="D474" s="961"/>
      <c r="E474" s="961"/>
      <c r="F474">
        <f t="shared" si="11"/>
        <v>0</v>
      </c>
      <c r="G474" s="583">
        <f t="shared" si="10"/>
        <v>0</v>
      </c>
    </row>
    <row r="475" spans="2:7" hidden="1" x14ac:dyDescent="0.2">
      <c r="B475" s="6">
        <f>IF('1 P-T +'!C$17='1 P-T +'!$B$33,'1 P-T +'!$C$33,IF('1 P-T +'!C$17='1 P-T +'!$B$34,'1 P-T +'!$C$34,0))</f>
        <v>0</v>
      </c>
      <c r="C475" s="11">
        <f>IF(D475&gt;0,'1 P-T +'!C$24,0)</f>
        <v>0</v>
      </c>
      <c r="D475" s="961">
        <f>IF('1 P-T +'!C$20="M6",200-'1 P-T +'!$J$28-2,0)</f>
        <v>0</v>
      </c>
      <c r="E475" s="961">
        <f>+'1 P-T +'!C$23-0.5</f>
        <v>-0.5</v>
      </c>
      <c r="F475">
        <f t="shared" si="11"/>
        <v>0</v>
      </c>
      <c r="G475" s="583">
        <f t="shared" si="10"/>
        <v>0</v>
      </c>
    </row>
    <row r="476" spans="2:7" hidden="1" x14ac:dyDescent="0.2">
      <c r="B476" s="6"/>
      <c r="C476" s="11"/>
      <c r="D476" s="961"/>
      <c r="E476" s="961"/>
      <c r="F476">
        <f t="shared" si="11"/>
        <v>0</v>
      </c>
      <c r="G476" s="583">
        <f t="shared" si="10"/>
        <v>0</v>
      </c>
    </row>
    <row r="477" spans="2:7" hidden="1" x14ac:dyDescent="0.2">
      <c r="B477" s="6">
        <f>IF('1 P-T +'!D$17='1 P-T +'!$B$33,'1 P-T +'!$C$33,IF('1 P-T +'!D$17='1 P-T +'!$B$34,'1 P-T +'!$C$34,0))</f>
        <v>0</v>
      </c>
      <c r="C477" s="11">
        <f>IF(D477&gt;0,'1 P-T +'!D$24,0)</f>
        <v>0</v>
      </c>
      <c r="D477" s="961">
        <f>IF('1 P-T +'!D$20="M6",200-'1 P-T +'!$J$28-2,0)</f>
        <v>0</v>
      </c>
      <c r="E477" s="961">
        <f>+'1 P-T +'!D$23-0.5</f>
        <v>-0.5</v>
      </c>
      <c r="F477">
        <f t="shared" si="11"/>
        <v>0</v>
      </c>
      <c r="G477" s="583">
        <f t="shared" si="10"/>
        <v>0</v>
      </c>
    </row>
    <row r="478" spans="2:7" hidden="1" x14ac:dyDescent="0.2">
      <c r="B478" s="6"/>
      <c r="C478" s="6"/>
      <c r="D478" s="961"/>
      <c r="E478" s="961"/>
      <c r="F478">
        <f t="shared" si="11"/>
        <v>0</v>
      </c>
      <c r="G478" s="583">
        <f t="shared" si="10"/>
        <v>0</v>
      </c>
    </row>
    <row r="479" spans="2:7" hidden="1" x14ac:dyDescent="0.2">
      <c r="B479" s="6">
        <f>IF('1 P-T +'!E$17='1 P-T +'!$B$33,'1 P-T +'!$C$33,IF('1 P-T +'!E$17='1 P-T +'!$B$34,'1 P-T +'!$C$34,0))</f>
        <v>0</v>
      </c>
      <c r="C479" s="11">
        <f>IF(D479&gt;0,'1 P-T +'!E$24,0)</f>
        <v>0</v>
      </c>
      <c r="D479" s="961">
        <f>IF('1 P-T +'!E$20="M6",200-'1 P-T +'!$J$28-2,0)</f>
        <v>0</v>
      </c>
      <c r="E479" s="961">
        <f>+'1 P-T +'!E$23-0.5</f>
        <v>-0.5</v>
      </c>
      <c r="F479">
        <f t="shared" si="11"/>
        <v>0</v>
      </c>
      <c r="G479" s="583">
        <f t="shared" si="10"/>
        <v>0</v>
      </c>
    </row>
    <row r="480" spans="2:7" hidden="1" x14ac:dyDescent="0.2">
      <c r="B480" s="6"/>
      <c r="C480" s="6"/>
      <c r="D480" s="961"/>
      <c r="E480" s="961"/>
      <c r="F480">
        <f t="shared" si="11"/>
        <v>0</v>
      </c>
      <c r="G480" s="583">
        <f t="shared" si="10"/>
        <v>0</v>
      </c>
    </row>
    <row r="481" spans="2:7" hidden="1" x14ac:dyDescent="0.2">
      <c r="B481" s="6">
        <f>IF('1 P-T +'!F$17='1 P-T +'!$B$33,'1 P-T +'!$C$33,IF('1 P-T +'!F$17='1 P-T +'!$B$34,'1 P-T +'!$C$34,0))</f>
        <v>0</v>
      </c>
      <c r="C481" s="11">
        <f>IF(D481&gt;0,'1 P-T +'!F$24,0)</f>
        <v>0</v>
      </c>
      <c r="D481" s="961">
        <f>IF('1 P-T +'!F$20="M6",200-'1 P-T +'!$J$28-2,0)</f>
        <v>0</v>
      </c>
      <c r="E481" s="961">
        <f>+'1 P-T +'!F$23-0.5</f>
        <v>-0.5</v>
      </c>
      <c r="F481">
        <f t="shared" si="11"/>
        <v>0</v>
      </c>
      <c r="G481" s="583">
        <f t="shared" si="10"/>
        <v>0</v>
      </c>
    </row>
    <row r="482" spans="2:7" hidden="1" x14ac:dyDescent="0.2">
      <c r="B482" s="6"/>
      <c r="C482" s="6"/>
      <c r="D482" s="961"/>
      <c r="E482" s="961"/>
      <c r="F482">
        <f t="shared" si="11"/>
        <v>0</v>
      </c>
      <c r="G482" s="583">
        <f t="shared" si="10"/>
        <v>0</v>
      </c>
    </row>
    <row r="483" spans="2:7" hidden="1" x14ac:dyDescent="0.2">
      <c r="B483" s="6">
        <f>IF('1 P-T +'!G$17='1 P-T +'!$B$33,'1 P-T +'!$C$33,IF('1 P-T +'!G$17='1 P-T +'!$B$34,'1 P-T +'!$C$34,0))</f>
        <v>0</v>
      </c>
      <c r="C483" s="11">
        <f>IF(D483&gt;0,'1 P-T +'!G$24,0)</f>
        <v>0</v>
      </c>
      <c r="D483" s="961">
        <f>IF('1 P-T +'!G$20="M6",200-'1 P-T +'!$J$28-2,0)</f>
        <v>0</v>
      </c>
      <c r="E483" s="961">
        <f>+'1 P-T +'!G$23-0.5</f>
        <v>-0.5</v>
      </c>
      <c r="F483">
        <f t="shared" si="11"/>
        <v>0</v>
      </c>
      <c r="G483" s="583">
        <f t="shared" si="10"/>
        <v>0</v>
      </c>
    </row>
    <row r="484" spans="2:7" hidden="1" x14ac:dyDescent="0.2">
      <c r="B484" s="6"/>
      <c r="C484" s="6"/>
      <c r="D484" s="961"/>
      <c r="E484" s="961"/>
      <c r="F484">
        <f t="shared" si="11"/>
        <v>0</v>
      </c>
      <c r="G484" s="583">
        <f t="shared" si="10"/>
        <v>0</v>
      </c>
    </row>
    <row r="485" spans="2:7" hidden="1" x14ac:dyDescent="0.2">
      <c r="B485" s="6">
        <f>IF('1 P-T +'!H$17='1 P-T +'!$B$33,'1 P-T +'!$C$33,IF('1 P-T +'!H$17='1 P-T +'!$B$34,'1 P-T +'!$C$34,0))</f>
        <v>0</v>
      </c>
      <c r="C485" s="11">
        <f>IF(D485&gt;0,'1 P-T +'!H$24,0)</f>
        <v>0</v>
      </c>
      <c r="D485" s="961">
        <f>IF('1 P-T +'!H$20="M6",200-'1 P-T +'!$J$28-2,0)</f>
        <v>0</v>
      </c>
      <c r="E485" s="961">
        <f>+'1 P-T +'!H$23-0.5</f>
        <v>-0.5</v>
      </c>
      <c r="F485">
        <f t="shared" si="11"/>
        <v>0</v>
      </c>
      <c r="G485" s="583">
        <f t="shared" si="10"/>
        <v>0</v>
      </c>
    </row>
    <row r="486" spans="2:7" hidden="1" x14ac:dyDescent="0.2">
      <c r="B486" s="6"/>
      <c r="C486" s="6"/>
      <c r="D486" s="961"/>
      <c r="E486" s="961"/>
      <c r="F486">
        <f t="shared" si="11"/>
        <v>0</v>
      </c>
      <c r="G486" s="583">
        <f t="shared" si="10"/>
        <v>0</v>
      </c>
    </row>
    <row r="487" spans="2:7" hidden="1" x14ac:dyDescent="0.2">
      <c r="B487" s="6">
        <f>IF('1 P-T +'!I$17='1 P-T +'!$B$33,'1 P-T +'!$C$33,IF('1 P-T +'!I$17='1 P-T +'!$B$34,'1 P-T +'!$C$34,0))</f>
        <v>0</v>
      </c>
      <c r="C487" s="11">
        <f>IF(D487&gt;0,'1 P-T +'!I$24,0)</f>
        <v>0</v>
      </c>
      <c r="D487" s="961">
        <f>IF('1 P-T +'!I$20="M6",200-'1 P-T +'!$J$28-2,0)</f>
        <v>0</v>
      </c>
      <c r="E487" s="961">
        <f>+'1 P-T +'!I$23-0.5</f>
        <v>-0.5</v>
      </c>
      <c r="F487">
        <f t="shared" si="11"/>
        <v>0</v>
      </c>
      <c r="G487" s="583">
        <f t="shared" si="10"/>
        <v>0</v>
      </c>
    </row>
    <row r="488" spans="2:7" hidden="1" x14ac:dyDescent="0.2">
      <c r="B488" s="6"/>
      <c r="C488" s="6"/>
      <c r="D488" s="961"/>
      <c r="E488" s="961"/>
      <c r="F488">
        <f t="shared" si="11"/>
        <v>0</v>
      </c>
      <c r="G488" s="583">
        <f t="shared" si="10"/>
        <v>0</v>
      </c>
    </row>
    <row r="489" spans="2:7" hidden="1" x14ac:dyDescent="0.2">
      <c r="B489" s="6">
        <f>IF('1 P-T +'!J$17='1 P-T +'!$B$33,'1 P-T +'!$C$33,IF('1 P-T +'!J$17='1 P-T +'!$B$34,'1 P-T +'!$C$34,0))</f>
        <v>0</v>
      </c>
      <c r="C489" s="11">
        <f>IF(D489&gt;0,'1 P-T +'!J$24,0)</f>
        <v>0</v>
      </c>
      <c r="D489" s="961">
        <f>IF('1 P-T +'!J$20="M6",200-'1 P-T +'!$J$28-2,0)</f>
        <v>0</v>
      </c>
      <c r="E489" s="961">
        <f>+'1 P-T +'!J$23-0.5</f>
        <v>-0.5</v>
      </c>
      <c r="F489">
        <f t="shared" si="11"/>
        <v>0</v>
      </c>
      <c r="G489" s="583">
        <f t="shared" si="10"/>
        <v>0</v>
      </c>
    </row>
    <row r="490" spans="2:7" hidden="1" x14ac:dyDescent="0.2">
      <c r="B490" s="6"/>
      <c r="C490" s="6"/>
      <c r="D490" s="961"/>
      <c r="E490" s="961"/>
      <c r="F490">
        <f t="shared" si="11"/>
        <v>0</v>
      </c>
      <c r="G490" s="583">
        <f t="shared" si="10"/>
        <v>0</v>
      </c>
    </row>
    <row r="491" spans="2:7" hidden="1" x14ac:dyDescent="0.2">
      <c r="B491" s="6">
        <f>IF('1 P-T +'!K$17='1 P-T +'!$B$33,'1 P-T +'!$C$33,IF('1 P-T +'!K$17='1 P-T +'!$B$34,'1 P-T +'!$C$34,0))</f>
        <v>0</v>
      </c>
      <c r="C491" s="11">
        <f>IF(D491&gt;0,'1 P-T +'!K$24,0)</f>
        <v>0</v>
      </c>
      <c r="D491" s="961">
        <f>IF('1 P-T +'!K$20="M6",200-'1 P-T +'!$J$28-2,0)</f>
        <v>0</v>
      </c>
      <c r="E491" s="961">
        <f>+'1 P-T +'!K$23-0.5</f>
        <v>-0.5</v>
      </c>
      <c r="F491">
        <f t="shared" si="11"/>
        <v>0</v>
      </c>
      <c r="G491" s="583">
        <f t="shared" si="10"/>
        <v>0</v>
      </c>
    </row>
    <row r="492" spans="2:7" hidden="1" x14ac:dyDescent="0.2">
      <c r="B492" s="6"/>
      <c r="C492" s="6"/>
      <c r="D492" s="961"/>
      <c r="E492" s="961"/>
      <c r="F492">
        <f t="shared" si="11"/>
        <v>0</v>
      </c>
      <c r="G492" s="583">
        <f t="shared" si="10"/>
        <v>0</v>
      </c>
    </row>
    <row r="493" spans="2:7" hidden="1" x14ac:dyDescent="0.2">
      <c r="B493" s="6">
        <f>IF('1 P-T +'!L$17='1 P-T +'!$B$33,'1 P-T +'!$C$33,IF('1 P-T +'!L$17='1 P-T +'!$B$34,'1 P-T +'!$C$34,0))</f>
        <v>0</v>
      </c>
      <c r="C493" s="11">
        <f>IF(D493&gt;0,'1 P-T +'!L$24,0)</f>
        <v>0</v>
      </c>
      <c r="D493" s="961">
        <f>IF('1 P-T +'!L$20="M6",200-'1 P-T +'!$J$28-2,0)</f>
        <v>0</v>
      </c>
      <c r="E493" s="961">
        <f>+'1 P-T +'!L$23-0.5</f>
        <v>-0.5</v>
      </c>
      <c r="F493">
        <f t="shared" si="11"/>
        <v>0</v>
      </c>
      <c r="G493" s="583">
        <f t="shared" si="10"/>
        <v>0</v>
      </c>
    </row>
    <row r="494" spans="2:7" hidden="1" x14ac:dyDescent="0.2">
      <c r="B494" s="6"/>
      <c r="C494" s="6"/>
      <c r="D494" s="961"/>
      <c r="E494" s="961"/>
      <c r="F494">
        <f t="shared" si="11"/>
        <v>0</v>
      </c>
      <c r="G494" s="583">
        <f t="shared" si="10"/>
        <v>0</v>
      </c>
    </row>
    <row r="495" spans="2:7" hidden="1" x14ac:dyDescent="0.2">
      <c r="B495" s="6">
        <f>IF('1 P-T +'!M$17='1 P-T +'!$B$33,'1 P-T +'!$C$33,IF('1 P-T +'!M$17='1 P-T +'!$B$34,'1 P-T +'!$C$34,0))</f>
        <v>0</v>
      </c>
      <c r="C495" s="11">
        <f>IF(D495&gt;0,'1 P-T +'!M$24,0)</f>
        <v>0</v>
      </c>
      <c r="D495" s="961">
        <f>IF('1 P-T +'!M$20="M6",200-'1 P-T +'!$J$28-2,0)</f>
        <v>0</v>
      </c>
      <c r="E495" s="961">
        <f>+'1 P-T +'!M$23-0.5</f>
        <v>-0.5</v>
      </c>
      <c r="F495">
        <f t="shared" si="11"/>
        <v>0</v>
      </c>
      <c r="G495" s="583">
        <f t="shared" si="10"/>
        <v>0</v>
      </c>
    </row>
    <row r="496" spans="2:7" hidden="1" x14ac:dyDescent="0.2">
      <c r="B496" s="6"/>
      <c r="C496" s="6"/>
      <c r="D496" s="961"/>
      <c r="E496" s="961"/>
      <c r="F496">
        <f t="shared" si="11"/>
        <v>0</v>
      </c>
      <c r="G496" s="583">
        <f t="shared" si="10"/>
        <v>0</v>
      </c>
    </row>
    <row r="497" spans="2:7" hidden="1" x14ac:dyDescent="0.2">
      <c r="B497" s="6">
        <f>IF('1 P-T +'!N$17='1 P-T +'!$B$33,'1 P-T +'!$C$33,IF('1 P-T +'!N$17='1 P-T +'!$B$34,'1 P-T +'!$C$34,0))</f>
        <v>0</v>
      </c>
      <c r="C497" s="11">
        <f>IF(D497&gt;0,'1 P-T +'!N$24,0)</f>
        <v>0</v>
      </c>
      <c r="D497" s="961">
        <f>IF('1 P-T +'!N$20="M6",200-'1 P-T +'!$J$28-2,0)</f>
        <v>0</v>
      </c>
      <c r="E497" s="961">
        <f>+'1 P-T +'!N$23-0.5</f>
        <v>-0.5</v>
      </c>
      <c r="F497">
        <f t="shared" si="11"/>
        <v>0</v>
      </c>
      <c r="G497" s="583">
        <f t="shared" ref="G497:G546" si="12">IF(C497&gt;0,1,0)</f>
        <v>0</v>
      </c>
    </row>
    <row r="498" spans="2:7" hidden="1" x14ac:dyDescent="0.2">
      <c r="B498" s="6"/>
      <c r="C498" s="6"/>
      <c r="D498" s="961"/>
      <c r="E498" s="961"/>
      <c r="F498">
        <f t="shared" ref="F498:F545" si="13">IF(C498&gt;0,((D498*4)+(E498*4))*C498,0)</f>
        <v>0</v>
      </c>
      <c r="G498" s="583">
        <f t="shared" si="12"/>
        <v>0</v>
      </c>
    </row>
    <row r="499" spans="2:7" hidden="1" x14ac:dyDescent="0.2">
      <c r="B499" s="6">
        <f>IF('1 P-T +'!C$17='1 P-T +'!$B$33,'1 P-T +'!$C$33,IF('1 P-T +'!C$17='1 P-T +'!$B$34,'1 P-T +'!$C$34,0))</f>
        <v>0</v>
      </c>
      <c r="C499" s="11">
        <f>IF(D499&gt;0,'1 P-T +'!C$24,0)</f>
        <v>0</v>
      </c>
      <c r="D499" s="961">
        <f>IF('1 P-T +'!C$20="M8",110,0)</f>
        <v>0</v>
      </c>
      <c r="E499" s="961">
        <f>+'1 P-T +'!C$23-0.5</f>
        <v>-0.5</v>
      </c>
      <c r="F499">
        <f t="shared" si="13"/>
        <v>0</v>
      </c>
      <c r="G499" s="583">
        <f t="shared" si="12"/>
        <v>0</v>
      </c>
    </row>
    <row r="500" spans="2:7" hidden="1" x14ac:dyDescent="0.2">
      <c r="B500" s="6"/>
      <c r="C500" s="11"/>
      <c r="D500" s="961"/>
      <c r="E500" s="961"/>
      <c r="F500">
        <f t="shared" si="13"/>
        <v>0</v>
      </c>
      <c r="G500" s="583">
        <f t="shared" si="12"/>
        <v>0</v>
      </c>
    </row>
    <row r="501" spans="2:7" hidden="1" x14ac:dyDescent="0.2">
      <c r="B501" s="6">
        <f>IF('1 P-T +'!D$17='1 P-T +'!$B$33,'1 P-T +'!$C$33,IF('1 P-T +'!D$17='1 P-T +'!$B$34,'1 P-T +'!$C$34,0))</f>
        <v>0</v>
      </c>
      <c r="C501" s="11">
        <f>IF(D501&gt;0,'1 P-T +'!D$24,0)</f>
        <v>0</v>
      </c>
      <c r="D501" s="961">
        <f>IF('1 P-T +'!D$20="M8",110,0)</f>
        <v>0</v>
      </c>
      <c r="E501" s="961">
        <f>+'1 P-T +'!D$23-0.5</f>
        <v>-0.5</v>
      </c>
      <c r="F501">
        <f t="shared" si="13"/>
        <v>0</v>
      </c>
      <c r="G501" s="583">
        <f t="shared" si="12"/>
        <v>0</v>
      </c>
    </row>
    <row r="502" spans="2:7" hidden="1" x14ac:dyDescent="0.2">
      <c r="B502" s="6"/>
      <c r="C502" s="6"/>
      <c r="D502" s="961"/>
      <c r="E502" s="961"/>
      <c r="F502">
        <f t="shared" si="13"/>
        <v>0</v>
      </c>
      <c r="G502" s="583">
        <f t="shared" si="12"/>
        <v>0</v>
      </c>
    </row>
    <row r="503" spans="2:7" hidden="1" x14ac:dyDescent="0.2">
      <c r="B503" s="6">
        <f>IF('1 P-T +'!E$17='1 P-T +'!$B$33,'1 P-T +'!$C$33,IF('1 P-T +'!E$17='1 P-T +'!$B$34,'1 P-T +'!$C$34,0))</f>
        <v>0</v>
      </c>
      <c r="C503" s="11">
        <f>IF(D503&gt;0,'1 P-T +'!E$24,0)</f>
        <v>0</v>
      </c>
      <c r="D503" s="961">
        <f>IF('1 P-T +'!E$20="M8",110,0)</f>
        <v>0</v>
      </c>
      <c r="E503" s="961">
        <f>+'1 P-T +'!E$23-0.5</f>
        <v>-0.5</v>
      </c>
      <c r="F503">
        <f t="shared" si="13"/>
        <v>0</v>
      </c>
      <c r="G503" s="583">
        <f t="shared" si="12"/>
        <v>0</v>
      </c>
    </row>
    <row r="504" spans="2:7" hidden="1" x14ac:dyDescent="0.2">
      <c r="B504" s="6"/>
      <c r="C504" s="6"/>
      <c r="D504" s="961"/>
      <c r="E504" s="961"/>
      <c r="F504">
        <f t="shared" si="13"/>
        <v>0</v>
      </c>
      <c r="G504" s="583">
        <f t="shared" si="12"/>
        <v>0</v>
      </c>
    </row>
    <row r="505" spans="2:7" hidden="1" x14ac:dyDescent="0.2">
      <c r="B505" s="6">
        <f>IF('1 P-T +'!F$17='1 P-T +'!$B$33,'1 P-T +'!$C$33,IF('1 P-T +'!F$17='1 P-T +'!$B$34,'1 P-T +'!$C$34,0))</f>
        <v>0</v>
      </c>
      <c r="C505" s="11">
        <f>IF(D505&gt;0,'1 P-T +'!F$24,0)</f>
        <v>0</v>
      </c>
      <c r="D505" s="961">
        <f>IF('1 P-T +'!F$20="M8",110,0)</f>
        <v>0</v>
      </c>
      <c r="E505" s="961">
        <f>+'1 P-T +'!F$23-0.5</f>
        <v>-0.5</v>
      </c>
      <c r="F505">
        <f t="shared" si="13"/>
        <v>0</v>
      </c>
      <c r="G505" s="583">
        <f t="shared" si="12"/>
        <v>0</v>
      </c>
    </row>
    <row r="506" spans="2:7" hidden="1" x14ac:dyDescent="0.2">
      <c r="B506" s="6"/>
      <c r="C506" s="6"/>
      <c r="D506" s="961"/>
      <c r="E506" s="961"/>
      <c r="F506">
        <f t="shared" si="13"/>
        <v>0</v>
      </c>
      <c r="G506" s="583">
        <f t="shared" si="12"/>
        <v>0</v>
      </c>
    </row>
    <row r="507" spans="2:7" hidden="1" x14ac:dyDescent="0.2">
      <c r="B507" s="6">
        <f>IF('1 P-T +'!G$17='1 P-T +'!$B$33,'1 P-T +'!$C$33,IF('1 P-T +'!G$17='1 P-T +'!$B$34,'1 P-T +'!$C$34,0))</f>
        <v>0</v>
      </c>
      <c r="C507" s="11">
        <f>IF(D507&gt;0,'1 P-T +'!G$24,0)</f>
        <v>0</v>
      </c>
      <c r="D507" s="961">
        <f>IF('1 P-T +'!G$20="M8",110,0)</f>
        <v>0</v>
      </c>
      <c r="E507" s="961">
        <f>+'1 P-T +'!G$23-0.5</f>
        <v>-0.5</v>
      </c>
      <c r="F507">
        <f t="shared" si="13"/>
        <v>0</v>
      </c>
      <c r="G507" s="583">
        <f t="shared" si="12"/>
        <v>0</v>
      </c>
    </row>
    <row r="508" spans="2:7" hidden="1" x14ac:dyDescent="0.2">
      <c r="B508" s="6"/>
      <c r="C508" s="6"/>
      <c r="D508" s="961"/>
      <c r="E508" s="961"/>
      <c r="F508">
        <f t="shared" si="13"/>
        <v>0</v>
      </c>
      <c r="G508" s="583">
        <f t="shared" si="12"/>
        <v>0</v>
      </c>
    </row>
    <row r="509" spans="2:7" hidden="1" x14ac:dyDescent="0.2">
      <c r="B509" s="6">
        <f>IF('1 P-T +'!H$17='1 P-T +'!$B$33,'1 P-T +'!$C$33,IF('1 P-T +'!H$17='1 P-T +'!$B$34,'1 P-T +'!$C$34,0))</f>
        <v>0</v>
      </c>
      <c r="C509" s="11">
        <f>IF(D509&gt;0,'1 P-T +'!H$24,0)</f>
        <v>0</v>
      </c>
      <c r="D509" s="961">
        <f>IF('1 P-T +'!H$20="M8",110,0)</f>
        <v>0</v>
      </c>
      <c r="E509" s="961">
        <f>+'1 P-T +'!H$23-0.5</f>
        <v>-0.5</v>
      </c>
      <c r="F509">
        <f t="shared" si="13"/>
        <v>0</v>
      </c>
      <c r="G509" s="583">
        <f t="shared" si="12"/>
        <v>0</v>
      </c>
    </row>
    <row r="510" spans="2:7" hidden="1" x14ac:dyDescent="0.2">
      <c r="B510" s="6"/>
      <c r="C510" s="6"/>
      <c r="D510" s="961"/>
      <c r="E510" s="961"/>
      <c r="F510">
        <f t="shared" si="13"/>
        <v>0</v>
      </c>
      <c r="G510" s="583">
        <f t="shared" si="12"/>
        <v>0</v>
      </c>
    </row>
    <row r="511" spans="2:7" hidden="1" x14ac:dyDescent="0.2">
      <c r="B511" s="6">
        <f>IF('1 P-T +'!I$17='1 P-T +'!$B$33,'1 P-T +'!$C$33,IF('1 P-T +'!I$17='1 P-T +'!$B$34,'1 P-T +'!$C$34,0))</f>
        <v>0</v>
      </c>
      <c r="C511" s="11">
        <f>IF(D511&gt;0,'1 P-T +'!I$24,0)</f>
        <v>0</v>
      </c>
      <c r="D511" s="961">
        <f>IF('1 P-T +'!I$20="M8",110,0)</f>
        <v>0</v>
      </c>
      <c r="E511" s="961">
        <f>+'1 P-T +'!I$23-0.5</f>
        <v>-0.5</v>
      </c>
      <c r="F511">
        <f t="shared" si="13"/>
        <v>0</v>
      </c>
      <c r="G511" s="583">
        <f t="shared" si="12"/>
        <v>0</v>
      </c>
    </row>
    <row r="512" spans="2:7" hidden="1" x14ac:dyDescent="0.2">
      <c r="B512" s="6"/>
      <c r="C512" s="6"/>
      <c r="D512" s="961"/>
      <c r="E512" s="961"/>
      <c r="F512">
        <f t="shared" si="13"/>
        <v>0</v>
      </c>
      <c r="G512" s="583">
        <f t="shared" si="12"/>
        <v>0</v>
      </c>
    </row>
    <row r="513" spans="2:7" hidden="1" x14ac:dyDescent="0.2">
      <c r="B513" s="6">
        <f>IF('1 P-T +'!J$17='1 P-T +'!$B$33,'1 P-T +'!$C$33,IF('1 P-T +'!J$17='1 P-T +'!$B$34,'1 P-T +'!$C$34,0))</f>
        <v>0</v>
      </c>
      <c r="C513" s="11">
        <f>IF(D513&gt;0,'1 P-T +'!J$24,0)</f>
        <v>0</v>
      </c>
      <c r="D513" s="961">
        <f>IF('1 P-T +'!J$20="M8",110,0)</f>
        <v>0</v>
      </c>
      <c r="E513" s="961">
        <f>+'1 P-T +'!J$23-0.5</f>
        <v>-0.5</v>
      </c>
      <c r="F513">
        <f t="shared" si="13"/>
        <v>0</v>
      </c>
      <c r="G513" s="583">
        <f t="shared" si="12"/>
        <v>0</v>
      </c>
    </row>
    <row r="514" spans="2:7" hidden="1" x14ac:dyDescent="0.2">
      <c r="B514" s="6"/>
      <c r="C514" s="6"/>
      <c r="D514" s="961"/>
      <c r="E514" s="961"/>
      <c r="F514">
        <f t="shared" si="13"/>
        <v>0</v>
      </c>
      <c r="G514" s="583">
        <f t="shared" si="12"/>
        <v>0</v>
      </c>
    </row>
    <row r="515" spans="2:7" hidden="1" x14ac:dyDescent="0.2">
      <c r="B515" s="6">
        <f>IF('1 P-T +'!K$17='1 P-T +'!$B$33,'1 P-T +'!$C$33,IF('1 P-T +'!K$17='1 P-T +'!$B$34,'1 P-T +'!$C$34,0))</f>
        <v>0</v>
      </c>
      <c r="C515" s="11">
        <f>IF(D515&gt;0,'1 P-T +'!K$24,0)</f>
        <v>0</v>
      </c>
      <c r="D515" s="961">
        <f>IF('1 P-T +'!K$20="M8",110,0)</f>
        <v>0</v>
      </c>
      <c r="E515" s="961">
        <f>+'1 P-T +'!K$23-0.5</f>
        <v>-0.5</v>
      </c>
      <c r="F515">
        <f t="shared" si="13"/>
        <v>0</v>
      </c>
      <c r="G515" s="583">
        <f t="shared" si="12"/>
        <v>0</v>
      </c>
    </row>
    <row r="516" spans="2:7" hidden="1" x14ac:dyDescent="0.2">
      <c r="B516" s="6"/>
      <c r="C516" s="6"/>
      <c r="D516" s="961"/>
      <c r="E516" s="961"/>
      <c r="F516">
        <f t="shared" si="13"/>
        <v>0</v>
      </c>
      <c r="G516" s="583">
        <f t="shared" si="12"/>
        <v>0</v>
      </c>
    </row>
    <row r="517" spans="2:7" hidden="1" x14ac:dyDescent="0.2">
      <c r="B517" s="6">
        <f>IF('1 P-T +'!L$17='1 P-T +'!$B$33,'1 P-T +'!$C$33,IF('1 P-T +'!L$17='1 P-T +'!$B$34,'1 P-T +'!$C$34,0))</f>
        <v>0</v>
      </c>
      <c r="C517" s="11">
        <f>IF(D517&gt;0,'1 P-T +'!L$24,0)</f>
        <v>0</v>
      </c>
      <c r="D517" s="961">
        <f>IF('1 P-T +'!L$20="M8",110,0)</f>
        <v>0</v>
      </c>
      <c r="E517" s="961">
        <f>+'1 P-T +'!L$23-0.5</f>
        <v>-0.5</v>
      </c>
      <c r="F517">
        <f t="shared" si="13"/>
        <v>0</v>
      </c>
      <c r="G517" s="583">
        <f t="shared" si="12"/>
        <v>0</v>
      </c>
    </row>
    <row r="518" spans="2:7" hidden="1" x14ac:dyDescent="0.2">
      <c r="B518" s="6"/>
      <c r="C518" s="6"/>
      <c r="D518" s="961"/>
      <c r="E518" s="961"/>
      <c r="F518">
        <f t="shared" si="13"/>
        <v>0</v>
      </c>
      <c r="G518" s="583">
        <f t="shared" si="12"/>
        <v>0</v>
      </c>
    </row>
    <row r="519" spans="2:7" hidden="1" x14ac:dyDescent="0.2">
      <c r="B519" s="6">
        <f>IF('1 P-T +'!M$17='1 P-T +'!$B$33,'1 P-T +'!$C$33,IF('1 P-T +'!M$17='1 P-T +'!$B$34,'1 P-T +'!$C$34,0))</f>
        <v>0</v>
      </c>
      <c r="C519" s="11">
        <f>IF(D519&gt;0,'1 P-T +'!M$24,0)</f>
        <v>0</v>
      </c>
      <c r="D519" s="961">
        <f>IF('1 P-T +'!M$20="M8",110,0)</f>
        <v>0</v>
      </c>
      <c r="E519" s="961">
        <f>+'1 P-T +'!M$23-0.5</f>
        <v>-0.5</v>
      </c>
      <c r="F519">
        <f t="shared" si="13"/>
        <v>0</v>
      </c>
      <c r="G519" s="583">
        <f t="shared" si="12"/>
        <v>0</v>
      </c>
    </row>
    <row r="520" spans="2:7" hidden="1" x14ac:dyDescent="0.2">
      <c r="B520" s="6"/>
      <c r="C520" s="6"/>
      <c r="D520" s="961"/>
      <c r="E520" s="961"/>
      <c r="F520">
        <f t="shared" si="13"/>
        <v>0</v>
      </c>
      <c r="G520" s="583">
        <f t="shared" si="12"/>
        <v>0</v>
      </c>
    </row>
    <row r="521" spans="2:7" hidden="1" x14ac:dyDescent="0.2">
      <c r="B521" s="6">
        <f>IF('1 P-T +'!N$17='1 P-T +'!$B$33,'1 P-T +'!$C$33,IF('1 P-T +'!N$17='1 P-T +'!$B$34,'1 P-T +'!$C$34,0))</f>
        <v>0</v>
      </c>
      <c r="C521" s="11">
        <f>IF(D521&gt;0,'1 P-T +'!N$24,0)</f>
        <v>0</v>
      </c>
      <c r="D521" s="961">
        <f>IF('1 P-T +'!N$20="M8",110,0)</f>
        <v>0</v>
      </c>
      <c r="E521" s="961">
        <f>+'1 P-T +'!N$23-0.5</f>
        <v>-0.5</v>
      </c>
      <c r="F521">
        <f t="shared" si="13"/>
        <v>0</v>
      </c>
      <c r="G521" s="583">
        <f t="shared" si="12"/>
        <v>0</v>
      </c>
    </row>
    <row r="522" spans="2:7" hidden="1" x14ac:dyDescent="0.2">
      <c r="B522" s="6"/>
      <c r="C522" s="6"/>
      <c r="D522" s="961"/>
      <c r="E522" s="961"/>
      <c r="F522">
        <f t="shared" si="13"/>
        <v>0</v>
      </c>
      <c r="G522" s="583">
        <f t="shared" si="12"/>
        <v>0</v>
      </c>
    </row>
    <row r="523" spans="2:7" hidden="1" x14ac:dyDescent="0.2">
      <c r="B523" s="6">
        <f>IF('1 P-T +'!C$17='1 P-T +'!$B$33,'1 P-T +'!$C$33,IF('1 P-T +'!C$17='1 P-T +'!$B$34,'1 P-T +'!$C$34,0))</f>
        <v>0</v>
      </c>
      <c r="C523" s="11">
        <f>IF(D523&gt;0,'1 P-T +'!C$24,0)*2</f>
        <v>0</v>
      </c>
      <c r="D523" s="961">
        <f>IF('1 P-T +'!C$20="V3",43,0)</f>
        <v>0</v>
      </c>
      <c r="E523" s="961">
        <f>+'1 P-T +'!C$23-0.5</f>
        <v>-0.5</v>
      </c>
      <c r="F523">
        <f t="shared" si="13"/>
        <v>0</v>
      </c>
      <c r="G523" s="583">
        <f t="shared" si="12"/>
        <v>0</v>
      </c>
    </row>
    <row r="524" spans="2:7" hidden="1" x14ac:dyDescent="0.2">
      <c r="B524" s="6"/>
      <c r="C524" s="11"/>
      <c r="D524" s="961"/>
      <c r="E524" s="961"/>
      <c r="F524">
        <f t="shared" si="13"/>
        <v>0</v>
      </c>
      <c r="G524" s="583">
        <f t="shared" si="12"/>
        <v>0</v>
      </c>
    </row>
    <row r="525" spans="2:7" hidden="1" x14ac:dyDescent="0.2">
      <c r="B525" s="6">
        <f>IF('1 P-T +'!D$17='1 P-T +'!$B$33,'1 P-T +'!$C$33,IF('1 P-T +'!D$17='1 P-T +'!$B$34,'1 P-T +'!$C$34,0))</f>
        <v>0</v>
      </c>
      <c r="C525" s="11">
        <f>IF(D525&gt;0,'1 P-T +'!D$24,0)*2</f>
        <v>0</v>
      </c>
      <c r="D525" s="961">
        <f>IF('1 P-T +'!D$20="V3",43,0)</f>
        <v>0</v>
      </c>
      <c r="E525" s="961">
        <f>+'1 P-T +'!D$23-0.5</f>
        <v>-0.5</v>
      </c>
      <c r="F525">
        <f t="shared" si="13"/>
        <v>0</v>
      </c>
      <c r="G525" s="583">
        <f t="shared" si="12"/>
        <v>0</v>
      </c>
    </row>
    <row r="526" spans="2:7" hidden="1" x14ac:dyDescent="0.2">
      <c r="B526" s="6"/>
      <c r="C526" s="6"/>
      <c r="D526" s="961"/>
      <c r="E526" s="961"/>
      <c r="F526">
        <f t="shared" si="13"/>
        <v>0</v>
      </c>
      <c r="G526" s="583">
        <f t="shared" si="12"/>
        <v>0</v>
      </c>
    </row>
    <row r="527" spans="2:7" hidden="1" x14ac:dyDescent="0.2">
      <c r="B527" s="6">
        <f>IF('1 P-T +'!E$17='1 P-T +'!$B$33,'1 P-T +'!$C$33,IF('1 P-T +'!E$17='1 P-T +'!$B$34,'1 P-T +'!$C$34,0))</f>
        <v>0</v>
      </c>
      <c r="C527" s="11">
        <f>IF(D527&gt;0,'1 P-T +'!E$24,0)*2</f>
        <v>0</v>
      </c>
      <c r="D527" s="961">
        <f>IF('1 P-T +'!E$20="V3",43,0)</f>
        <v>0</v>
      </c>
      <c r="E527" s="961">
        <f>+'1 P-T +'!E$23-0.5</f>
        <v>-0.5</v>
      </c>
      <c r="F527">
        <f t="shared" si="13"/>
        <v>0</v>
      </c>
      <c r="G527" s="583">
        <f t="shared" si="12"/>
        <v>0</v>
      </c>
    </row>
    <row r="528" spans="2:7" hidden="1" x14ac:dyDescent="0.2">
      <c r="B528" s="6"/>
      <c r="C528" s="6"/>
      <c r="D528" s="961"/>
      <c r="E528" s="961"/>
      <c r="F528">
        <f t="shared" si="13"/>
        <v>0</v>
      </c>
      <c r="G528" s="583">
        <f t="shared" si="12"/>
        <v>0</v>
      </c>
    </row>
    <row r="529" spans="2:7" hidden="1" x14ac:dyDescent="0.2">
      <c r="B529" s="6">
        <f>IF('1 P-T +'!F$17='1 P-T +'!$B$33,'1 P-T +'!$C$33,IF('1 P-T +'!F$17='1 P-T +'!$B$34,'1 P-T +'!$C$34,0))</f>
        <v>0</v>
      </c>
      <c r="C529" s="11">
        <f>IF(D529&gt;0,'1 P-T +'!F$24,0)*2</f>
        <v>0</v>
      </c>
      <c r="D529" s="961">
        <f>IF('1 P-T +'!F$20="V3",43,0)</f>
        <v>0</v>
      </c>
      <c r="E529" s="961">
        <f>+'1 P-T +'!F$23-0.5</f>
        <v>-0.5</v>
      </c>
      <c r="F529">
        <f t="shared" si="13"/>
        <v>0</v>
      </c>
      <c r="G529" s="583">
        <f t="shared" si="12"/>
        <v>0</v>
      </c>
    </row>
    <row r="530" spans="2:7" hidden="1" x14ac:dyDescent="0.2">
      <c r="B530" s="6"/>
      <c r="C530" s="6"/>
      <c r="D530" s="961"/>
      <c r="E530" s="961"/>
      <c r="F530">
        <f t="shared" si="13"/>
        <v>0</v>
      </c>
      <c r="G530" s="583">
        <f t="shared" si="12"/>
        <v>0</v>
      </c>
    </row>
    <row r="531" spans="2:7" hidden="1" x14ac:dyDescent="0.2">
      <c r="B531" s="6">
        <f>IF('1 P-T +'!G$17='1 P-T +'!$B$33,'1 P-T +'!$C$33,IF('1 P-T +'!G$17='1 P-T +'!$B$34,'1 P-T +'!$C$34,0))</f>
        <v>0</v>
      </c>
      <c r="C531" s="11">
        <f>IF(D531&gt;0,'1 P-T +'!G$24,0)*2</f>
        <v>0</v>
      </c>
      <c r="D531" s="961">
        <f>IF('1 P-T +'!G$20="V3",43,0)</f>
        <v>0</v>
      </c>
      <c r="E531" s="961">
        <f>+'1 P-T +'!G$23-0.5</f>
        <v>-0.5</v>
      </c>
      <c r="F531">
        <f t="shared" si="13"/>
        <v>0</v>
      </c>
      <c r="G531" s="583">
        <f t="shared" si="12"/>
        <v>0</v>
      </c>
    </row>
    <row r="532" spans="2:7" hidden="1" x14ac:dyDescent="0.2">
      <c r="B532" s="6"/>
      <c r="C532" s="6"/>
      <c r="D532" s="961"/>
      <c r="E532" s="961"/>
      <c r="F532">
        <f t="shared" si="13"/>
        <v>0</v>
      </c>
      <c r="G532" s="583">
        <f t="shared" si="12"/>
        <v>0</v>
      </c>
    </row>
    <row r="533" spans="2:7" hidden="1" x14ac:dyDescent="0.2">
      <c r="B533" s="6">
        <f>IF('1 P-T +'!H$17='1 P-T +'!$B$33,'1 P-T +'!$C$33,IF('1 P-T +'!H$17='1 P-T +'!$B$34,'1 P-T +'!$C$34,0))</f>
        <v>0</v>
      </c>
      <c r="C533" s="11">
        <f>IF(D533&gt;0,'1 P-T +'!H$24,0)*2</f>
        <v>0</v>
      </c>
      <c r="D533" s="961">
        <f>IF('1 P-T +'!H$20="V3",43,0)</f>
        <v>0</v>
      </c>
      <c r="E533" s="961">
        <f>+'1 P-T +'!H$23-0.5</f>
        <v>-0.5</v>
      </c>
      <c r="F533">
        <f t="shared" si="13"/>
        <v>0</v>
      </c>
      <c r="G533" s="583">
        <f t="shared" si="12"/>
        <v>0</v>
      </c>
    </row>
    <row r="534" spans="2:7" hidden="1" x14ac:dyDescent="0.2">
      <c r="B534" s="6"/>
      <c r="C534" s="6"/>
      <c r="D534" s="961"/>
      <c r="E534" s="961"/>
      <c r="F534">
        <f t="shared" si="13"/>
        <v>0</v>
      </c>
      <c r="G534" s="583">
        <f t="shared" si="12"/>
        <v>0</v>
      </c>
    </row>
    <row r="535" spans="2:7" hidden="1" x14ac:dyDescent="0.2">
      <c r="B535" s="6">
        <f>IF('1 P-T +'!I$17='1 P-T +'!$B$33,'1 P-T +'!$C$33,IF('1 P-T +'!I$17='1 P-T +'!$B$34,'1 P-T +'!$C$34,0))</f>
        <v>0</v>
      </c>
      <c r="C535" s="11">
        <f>IF(D535&gt;0,'1 P-T +'!I$24,0)*2</f>
        <v>0</v>
      </c>
      <c r="D535" s="961">
        <f>IF('1 P-T +'!I$20="V3",43,0)</f>
        <v>0</v>
      </c>
      <c r="E535" s="961">
        <f>+'1 P-T +'!I$23-0.5</f>
        <v>-0.5</v>
      </c>
      <c r="F535">
        <f t="shared" si="13"/>
        <v>0</v>
      </c>
      <c r="G535" s="583">
        <f t="shared" si="12"/>
        <v>0</v>
      </c>
    </row>
    <row r="536" spans="2:7" hidden="1" x14ac:dyDescent="0.2">
      <c r="B536" s="6"/>
      <c r="C536" s="6"/>
      <c r="D536" s="961"/>
      <c r="E536" s="961"/>
      <c r="F536">
        <f t="shared" si="13"/>
        <v>0</v>
      </c>
      <c r="G536" s="583">
        <f t="shared" si="12"/>
        <v>0</v>
      </c>
    </row>
    <row r="537" spans="2:7" hidden="1" x14ac:dyDescent="0.2">
      <c r="B537" s="6">
        <f>IF('1 P-T +'!J$17='1 P-T +'!$B$33,'1 P-T +'!$C$33,IF('1 P-T +'!J$17='1 P-T +'!$B$34,'1 P-T +'!$C$34,0))</f>
        <v>0</v>
      </c>
      <c r="C537" s="11">
        <f>IF(D537&gt;0,'1 P-T +'!J$24,0)*2</f>
        <v>0</v>
      </c>
      <c r="D537" s="961">
        <f>IF('1 P-T +'!J$20="V3",43,0)</f>
        <v>0</v>
      </c>
      <c r="E537" s="961">
        <f>+'1 P-T +'!J$23-0.5</f>
        <v>-0.5</v>
      </c>
      <c r="F537">
        <f t="shared" si="13"/>
        <v>0</v>
      </c>
      <c r="G537" s="583">
        <f t="shared" si="12"/>
        <v>0</v>
      </c>
    </row>
    <row r="538" spans="2:7" hidden="1" x14ac:dyDescent="0.2">
      <c r="B538" s="6"/>
      <c r="C538" s="6"/>
      <c r="D538" s="961"/>
      <c r="E538" s="961"/>
      <c r="F538">
        <f t="shared" si="13"/>
        <v>0</v>
      </c>
      <c r="G538" s="583">
        <f t="shared" si="12"/>
        <v>0</v>
      </c>
    </row>
    <row r="539" spans="2:7" hidden="1" x14ac:dyDescent="0.2">
      <c r="B539" s="6">
        <f>IF('1 P-T +'!K$17='1 P-T +'!$B$33,'1 P-T +'!$C$33,IF('1 P-T +'!K$17='1 P-T +'!$B$34,'1 P-T +'!$C$34,0))</f>
        <v>0</v>
      </c>
      <c r="C539" s="11">
        <f>IF(D539&gt;0,'1 P-T +'!K$24,0)*2</f>
        <v>0</v>
      </c>
      <c r="D539" s="961">
        <f>IF('1 P-T +'!K$20="V3",43,0)</f>
        <v>0</v>
      </c>
      <c r="E539" s="961">
        <f>+'1 P-T +'!K$23-0.5</f>
        <v>-0.5</v>
      </c>
      <c r="F539">
        <f t="shared" si="13"/>
        <v>0</v>
      </c>
      <c r="G539" s="583">
        <f t="shared" si="12"/>
        <v>0</v>
      </c>
    </row>
    <row r="540" spans="2:7" hidden="1" x14ac:dyDescent="0.2">
      <c r="B540" s="6"/>
      <c r="C540" s="6"/>
      <c r="D540" s="961"/>
      <c r="E540" s="961"/>
      <c r="F540">
        <f t="shared" si="13"/>
        <v>0</v>
      </c>
      <c r="G540" s="583">
        <f t="shared" si="12"/>
        <v>0</v>
      </c>
    </row>
    <row r="541" spans="2:7" hidden="1" x14ac:dyDescent="0.2">
      <c r="B541" s="6">
        <f>IF('1 P-T +'!L$17='1 P-T +'!$B$33,'1 P-T +'!$C$33,IF('1 P-T +'!L$17='1 P-T +'!$B$34,'1 P-T +'!$C$34,0))</f>
        <v>0</v>
      </c>
      <c r="C541" s="11">
        <f>IF(D541&gt;0,'1 P-T +'!L$24,0)*2</f>
        <v>0</v>
      </c>
      <c r="D541" s="961">
        <f>IF('1 P-T +'!L$20="V3",43,0)</f>
        <v>0</v>
      </c>
      <c r="E541" s="961">
        <f>+'1 P-T +'!L$23-0.5</f>
        <v>-0.5</v>
      </c>
      <c r="F541">
        <f t="shared" si="13"/>
        <v>0</v>
      </c>
      <c r="G541" s="583">
        <f t="shared" si="12"/>
        <v>0</v>
      </c>
    </row>
    <row r="542" spans="2:7" hidden="1" x14ac:dyDescent="0.2">
      <c r="B542" s="6"/>
      <c r="C542" s="6"/>
      <c r="D542" s="961"/>
      <c r="E542" s="961"/>
      <c r="F542">
        <f t="shared" si="13"/>
        <v>0</v>
      </c>
      <c r="G542" s="583">
        <f t="shared" si="12"/>
        <v>0</v>
      </c>
    </row>
    <row r="543" spans="2:7" hidden="1" x14ac:dyDescent="0.2">
      <c r="B543" s="6">
        <f>IF('1 P-T +'!M$17='1 P-T +'!$B$33,'1 P-T +'!$C$33,IF('1 P-T +'!M$17='1 P-T +'!$B$34,'1 P-T +'!$C$34,0))</f>
        <v>0</v>
      </c>
      <c r="C543" s="11">
        <f>IF(D543&gt;0,'1 P-T +'!M$24,0)*2</f>
        <v>0</v>
      </c>
      <c r="D543" s="961">
        <f>IF('1 P-T +'!M$20="V3",43,0)</f>
        <v>0</v>
      </c>
      <c r="E543" s="961">
        <f>+'1 P-T +'!M$23-0.5</f>
        <v>-0.5</v>
      </c>
      <c r="F543">
        <f t="shared" si="13"/>
        <v>0</v>
      </c>
      <c r="G543" s="583">
        <f t="shared" si="12"/>
        <v>0</v>
      </c>
    </row>
    <row r="544" spans="2:7" hidden="1" x14ac:dyDescent="0.2">
      <c r="B544" s="6"/>
      <c r="C544" s="6"/>
      <c r="D544" s="961"/>
      <c r="E544" s="961"/>
      <c r="F544">
        <f t="shared" si="13"/>
        <v>0</v>
      </c>
      <c r="G544" s="583">
        <f t="shared" si="12"/>
        <v>0</v>
      </c>
    </row>
    <row r="545" spans="2:7" hidden="1" x14ac:dyDescent="0.2">
      <c r="B545" s="6">
        <f>IF('1 P-T +'!N$17='1 P-T +'!$B$33,'1 P-T +'!$C$33,IF('1 P-T +'!N$17='1 P-T +'!$B$34,'1 P-T +'!$C$34,0))</f>
        <v>0</v>
      </c>
      <c r="C545" s="11">
        <f>IF(D545&gt;0,'1 P-T +'!N$24,0)*2</f>
        <v>0</v>
      </c>
      <c r="D545" s="961">
        <f>IF('1 P-T +'!N$20="V3",43,0)</f>
        <v>0</v>
      </c>
      <c r="E545" s="961">
        <f>+'1 P-T +'!N$23-0.5</f>
        <v>-0.5</v>
      </c>
      <c r="F545">
        <f t="shared" si="13"/>
        <v>0</v>
      </c>
      <c r="G545" s="583">
        <f t="shared" si="12"/>
        <v>0</v>
      </c>
    </row>
    <row r="546" spans="2:7" hidden="1" x14ac:dyDescent="0.2">
      <c r="B546" s="6"/>
      <c r="C546" s="6"/>
      <c r="D546" s="961"/>
      <c r="E546" s="961"/>
      <c r="F546">
        <f>SUM(F17:F545)+F45</f>
        <v>0</v>
      </c>
      <c r="G546" s="583">
        <f t="shared" si="12"/>
        <v>0</v>
      </c>
    </row>
    <row r="547" spans="2:7" hidden="1" x14ac:dyDescent="0.2">
      <c r="B547" s="6"/>
      <c r="C547" s="6"/>
      <c r="D547" s="961"/>
      <c r="E547" s="961"/>
    </row>
    <row r="548" spans="2:7" hidden="1" x14ac:dyDescent="0.2">
      <c r="B548" s="6"/>
      <c r="C548" s="6"/>
      <c r="D548" s="961"/>
      <c r="E548" s="961"/>
    </row>
    <row r="549" spans="2:7" hidden="1" x14ac:dyDescent="0.2">
      <c r="B549" s="6"/>
      <c r="C549" s="6"/>
      <c r="D549" s="961"/>
      <c r="E549" s="961"/>
    </row>
    <row r="550" spans="2:7" hidden="1" x14ac:dyDescent="0.2">
      <c r="B550" s="6"/>
      <c r="C550" s="6"/>
      <c r="D550" s="961"/>
      <c r="E550" s="961"/>
    </row>
    <row r="551" spans="2:7" hidden="1" x14ac:dyDescent="0.2">
      <c r="B551" s="6"/>
      <c r="C551" s="6"/>
      <c r="D551" s="961"/>
      <c r="E551" s="961"/>
    </row>
    <row r="552" spans="2:7" hidden="1" x14ac:dyDescent="0.2">
      <c r="B552" s="6"/>
      <c r="C552" s="6"/>
      <c r="D552" s="961"/>
      <c r="E552" s="961"/>
    </row>
    <row r="553" spans="2:7" hidden="1" x14ac:dyDescent="0.2">
      <c r="B553" s="6"/>
      <c r="C553" s="6"/>
      <c r="D553" s="961"/>
      <c r="E553" s="961"/>
    </row>
    <row r="554" spans="2:7" hidden="1" x14ac:dyDescent="0.2">
      <c r="B554" s="6"/>
      <c r="C554" s="6"/>
      <c r="D554" s="961"/>
      <c r="E554" s="961"/>
    </row>
    <row r="555" spans="2:7" hidden="1" x14ac:dyDescent="0.2">
      <c r="B555" s="6"/>
      <c r="C555" s="6"/>
      <c r="D555" s="961"/>
      <c r="E555" s="961"/>
    </row>
    <row r="556" spans="2:7" hidden="1" x14ac:dyDescent="0.2">
      <c r="B556" s="6"/>
      <c r="C556" s="6"/>
      <c r="D556" s="961"/>
      <c r="E556" s="961"/>
    </row>
    <row r="557" spans="2:7" hidden="1" x14ac:dyDescent="0.2">
      <c r="B557" s="6"/>
      <c r="C557" s="6"/>
      <c r="D557" s="961"/>
      <c r="E557" s="961"/>
    </row>
    <row r="558" spans="2:7" hidden="1" x14ac:dyDescent="0.2">
      <c r="B558" s="6"/>
      <c r="C558" s="6"/>
      <c r="D558" s="961"/>
      <c r="E558" s="961"/>
    </row>
    <row r="559" spans="2:7" hidden="1" x14ac:dyDescent="0.2">
      <c r="B559" s="6"/>
      <c r="C559" s="6"/>
      <c r="D559" s="961"/>
      <c r="E559" s="961"/>
    </row>
    <row r="560" spans="2:7" hidden="1" x14ac:dyDescent="0.2">
      <c r="B560" s="6"/>
      <c r="C560" s="6"/>
      <c r="D560" s="961"/>
      <c r="E560" s="961"/>
    </row>
    <row r="561" spans="2:5" hidden="1" x14ac:dyDescent="0.2">
      <c r="B561" s="6"/>
      <c r="C561" s="6"/>
      <c r="D561" s="961"/>
      <c r="E561" s="961"/>
    </row>
    <row r="562" spans="2:5" hidden="1" x14ac:dyDescent="0.2">
      <c r="B562" s="6"/>
      <c r="C562" s="6"/>
      <c r="D562" s="961"/>
      <c r="E562" s="961"/>
    </row>
    <row r="563" spans="2:5" hidden="1" x14ac:dyDescent="0.2">
      <c r="B563" s="6"/>
      <c r="C563" s="6"/>
      <c r="D563" s="961"/>
      <c r="E563" s="961"/>
    </row>
    <row r="564" spans="2:5" hidden="1" x14ac:dyDescent="0.2">
      <c r="B564" s="6"/>
      <c r="C564" s="6"/>
      <c r="D564" s="961"/>
      <c r="E564" s="961"/>
    </row>
    <row r="565" spans="2:5" hidden="1" x14ac:dyDescent="0.2">
      <c r="B565" s="6"/>
      <c r="C565" s="6"/>
      <c r="D565" s="961"/>
      <c r="E565" s="961"/>
    </row>
    <row r="566" spans="2:5" hidden="1" x14ac:dyDescent="0.2">
      <c r="B566" s="6"/>
      <c r="C566" s="6"/>
      <c r="D566" s="961"/>
      <c r="E566" s="961"/>
    </row>
    <row r="567" spans="2:5" hidden="1" x14ac:dyDescent="0.2">
      <c r="B567" s="6"/>
      <c r="C567" s="6"/>
      <c r="D567" s="961"/>
      <c r="E567" s="961"/>
    </row>
    <row r="568" spans="2:5" hidden="1" x14ac:dyDescent="0.2">
      <c r="B568" s="6"/>
      <c r="C568" s="6"/>
      <c r="D568" s="961"/>
      <c r="E568" s="961"/>
    </row>
    <row r="569" spans="2:5" hidden="1" x14ac:dyDescent="0.2">
      <c r="B569" s="6"/>
      <c r="C569" s="6"/>
      <c r="D569" s="961"/>
      <c r="E569" s="961"/>
    </row>
    <row r="570" spans="2:5" hidden="1" x14ac:dyDescent="0.2">
      <c r="B570" s="6"/>
      <c r="C570" s="6"/>
      <c r="D570" s="961"/>
      <c r="E570" s="961"/>
    </row>
    <row r="571" spans="2:5" hidden="1" x14ac:dyDescent="0.2">
      <c r="B571" s="6"/>
      <c r="C571" s="6"/>
      <c r="D571" s="961"/>
      <c r="E571" s="961"/>
    </row>
    <row r="572" spans="2:5" hidden="1" x14ac:dyDescent="0.2">
      <c r="B572" s="6"/>
      <c r="C572" s="6"/>
      <c r="D572" s="961"/>
      <c r="E572" s="961"/>
    </row>
    <row r="573" spans="2:5" hidden="1" x14ac:dyDescent="0.2">
      <c r="B573" s="6"/>
      <c r="C573" s="6"/>
      <c r="D573" s="961"/>
      <c r="E573" s="961"/>
    </row>
    <row r="574" spans="2:5" hidden="1" x14ac:dyDescent="0.2">
      <c r="B574" s="6"/>
      <c r="C574" s="6"/>
      <c r="D574" s="961"/>
      <c r="E574" s="961"/>
    </row>
    <row r="575" spans="2:5" hidden="1" x14ac:dyDescent="0.2">
      <c r="B575" s="6"/>
      <c r="C575" s="6"/>
      <c r="D575" s="961"/>
      <c r="E575" s="961"/>
    </row>
    <row r="576" spans="2:5" hidden="1" x14ac:dyDescent="0.2">
      <c r="B576" s="6"/>
      <c r="C576" s="6"/>
      <c r="D576" s="961"/>
      <c r="E576" s="961"/>
    </row>
    <row r="577" spans="2:5" hidden="1" x14ac:dyDescent="0.2">
      <c r="B577" s="6"/>
      <c r="C577" s="6"/>
      <c r="D577" s="961"/>
      <c r="E577" s="961"/>
    </row>
    <row r="578" spans="2:5" hidden="1" x14ac:dyDescent="0.2">
      <c r="B578" s="6"/>
      <c r="C578" s="6"/>
      <c r="D578" s="961"/>
      <c r="E578" s="961"/>
    </row>
    <row r="579" spans="2:5" hidden="1" x14ac:dyDescent="0.2">
      <c r="B579" s="6"/>
      <c r="C579" s="6"/>
      <c r="D579" s="961"/>
      <c r="E579" s="961"/>
    </row>
    <row r="580" spans="2:5" hidden="1" x14ac:dyDescent="0.2">
      <c r="B580" s="6"/>
      <c r="C580" s="6"/>
      <c r="D580" s="961"/>
      <c r="E580" s="961"/>
    </row>
    <row r="581" spans="2:5" hidden="1" x14ac:dyDescent="0.2">
      <c r="B581" s="6"/>
      <c r="C581" s="6"/>
      <c r="D581" s="961"/>
      <c r="E581" s="961"/>
    </row>
    <row r="582" spans="2:5" hidden="1" x14ac:dyDescent="0.2">
      <c r="B582" s="6"/>
      <c r="C582" s="6"/>
      <c r="D582" s="961"/>
      <c r="E582" s="961"/>
    </row>
    <row r="583" spans="2:5" hidden="1" x14ac:dyDescent="0.2">
      <c r="B583" s="6"/>
      <c r="C583" s="6"/>
      <c r="D583" s="961"/>
      <c r="E583" s="961"/>
    </row>
    <row r="584" spans="2:5" hidden="1" x14ac:dyDescent="0.2">
      <c r="B584" s="6"/>
      <c r="C584" s="6"/>
      <c r="D584" s="961"/>
      <c r="E584" s="961"/>
    </row>
    <row r="585" spans="2:5" hidden="1" x14ac:dyDescent="0.2">
      <c r="B585" s="6"/>
      <c r="C585" s="6"/>
      <c r="D585" s="961"/>
      <c r="E585" s="961"/>
    </row>
    <row r="586" spans="2:5" hidden="1" x14ac:dyDescent="0.2">
      <c r="B586" s="6"/>
      <c r="C586" s="6"/>
      <c r="D586" s="961"/>
      <c r="E586" s="961"/>
    </row>
    <row r="587" spans="2:5" hidden="1" x14ac:dyDescent="0.2">
      <c r="B587" s="6"/>
      <c r="C587" s="6"/>
      <c r="D587" s="961"/>
      <c r="E587" s="961"/>
    </row>
    <row r="588" spans="2:5" hidden="1" x14ac:dyDescent="0.2">
      <c r="B588" s="6"/>
      <c r="C588" s="6"/>
      <c r="D588" s="961"/>
      <c r="E588" s="961"/>
    </row>
    <row r="589" spans="2:5" hidden="1" x14ac:dyDescent="0.2">
      <c r="B589" s="6"/>
      <c r="C589" s="6"/>
      <c r="D589" s="961"/>
      <c r="E589" s="961"/>
    </row>
    <row r="590" spans="2:5" hidden="1" x14ac:dyDescent="0.2">
      <c r="B590" s="6"/>
      <c r="C590" s="6"/>
      <c r="D590" s="961"/>
      <c r="E590" s="961"/>
    </row>
    <row r="591" spans="2:5" hidden="1" x14ac:dyDescent="0.2">
      <c r="B591" s="6"/>
      <c r="C591" s="6"/>
      <c r="D591" s="961"/>
      <c r="E591" s="961"/>
    </row>
    <row r="592" spans="2:5" hidden="1" x14ac:dyDescent="0.2">
      <c r="B592" s="6"/>
      <c r="C592" s="6"/>
      <c r="D592" s="961"/>
      <c r="E592" s="961"/>
    </row>
    <row r="593" spans="2:5" hidden="1" x14ac:dyDescent="0.2">
      <c r="B593" s="6"/>
      <c r="C593" s="6"/>
      <c r="D593" s="961"/>
      <c r="E593" s="961"/>
    </row>
    <row r="594" spans="2:5" hidden="1" x14ac:dyDescent="0.2">
      <c r="B594" s="6"/>
      <c r="C594" s="6"/>
      <c r="D594" s="961"/>
      <c r="E594" s="961"/>
    </row>
    <row r="595" spans="2:5" hidden="1" x14ac:dyDescent="0.2">
      <c r="B595" s="6"/>
      <c r="C595" s="6"/>
      <c r="D595" s="961"/>
      <c r="E595" s="961"/>
    </row>
    <row r="596" spans="2:5" hidden="1" x14ac:dyDescent="0.2">
      <c r="B596" s="6"/>
      <c r="C596" s="6"/>
      <c r="D596" s="961"/>
      <c r="E596" s="961"/>
    </row>
    <row r="597" spans="2:5" hidden="1" x14ac:dyDescent="0.2">
      <c r="B597" s="6"/>
      <c r="C597" s="6"/>
      <c r="D597" s="961"/>
      <c r="E597" s="961"/>
    </row>
    <row r="598" spans="2:5" hidden="1" x14ac:dyDescent="0.2">
      <c r="B598" s="6"/>
      <c r="C598" s="6"/>
      <c r="D598" s="961"/>
      <c r="E598" s="961"/>
    </row>
    <row r="599" spans="2:5" hidden="1" x14ac:dyDescent="0.2">
      <c r="B599" s="6"/>
      <c r="C599" s="6"/>
      <c r="D599" s="961"/>
      <c r="E599" s="961"/>
    </row>
    <row r="600" spans="2:5" hidden="1" x14ac:dyDescent="0.2">
      <c r="B600" s="6"/>
      <c r="C600" s="6"/>
      <c r="D600" s="961"/>
      <c r="E600" s="961"/>
    </row>
    <row r="601" spans="2:5" hidden="1" x14ac:dyDescent="0.2">
      <c r="B601" s="6"/>
      <c r="C601" s="6"/>
      <c r="D601" s="961"/>
      <c r="E601" s="961"/>
    </row>
    <row r="602" spans="2:5" hidden="1" x14ac:dyDescent="0.2">
      <c r="B602" s="6"/>
      <c r="C602" s="6"/>
      <c r="D602" s="961"/>
      <c r="E602" s="961"/>
    </row>
    <row r="603" spans="2:5" hidden="1" x14ac:dyDescent="0.2">
      <c r="B603" s="6"/>
      <c r="C603" s="6"/>
      <c r="D603" s="961"/>
      <c r="E603" s="961"/>
    </row>
    <row r="604" spans="2:5" hidden="1" x14ac:dyDescent="0.2">
      <c r="B604" s="6"/>
      <c r="C604" s="6"/>
      <c r="D604" s="961"/>
      <c r="E604" s="961"/>
    </row>
    <row r="605" spans="2:5" hidden="1" x14ac:dyDescent="0.2">
      <c r="B605" s="6"/>
      <c r="C605" s="6"/>
      <c r="D605" s="961"/>
      <c r="E605" s="961"/>
    </row>
    <row r="606" spans="2:5" hidden="1" x14ac:dyDescent="0.2">
      <c r="B606" s="6"/>
      <c r="C606" s="6"/>
      <c r="D606" s="961"/>
      <c r="E606" s="961"/>
    </row>
    <row r="607" spans="2:5" hidden="1" x14ac:dyDescent="0.2">
      <c r="B607" s="6"/>
      <c r="C607" s="6"/>
      <c r="D607" s="961"/>
      <c r="E607" s="961"/>
    </row>
    <row r="608" spans="2:5" hidden="1" x14ac:dyDescent="0.2">
      <c r="B608" s="6"/>
      <c r="C608" s="6"/>
      <c r="D608" s="961"/>
      <c r="E608" s="961"/>
    </row>
    <row r="609" spans="2:5" hidden="1" x14ac:dyDescent="0.2">
      <c r="B609" s="6"/>
      <c r="C609" s="6"/>
      <c r="D609" s="961"/>
      <c r="E609" s="961"/>
    </row>
    <row r="610" spans="2:5" hidden="1" x14ac:dyDescent="0.2">
      <c r="B610" s="6"/>
      <c r="C610" s="6"/>
      <c r="D610" s="961"/>
      <c r="E610" s="961"/>
    </row>
    <row r="611" spans="2:5" hidden="1" x14ac:dyDescent="0.2">
      <c r="B611" s="6"/>
      <c r="C611" s="6"/>
      <c r="D611" s="961"/>
      <c r="E611" s="961"/>
    </row>
    <row r="612" spans="2:5" hidden="1" x14ac:dyDescent="0.2">
      <c r="B612" s="6"/>
      <c r="C612" s="6"/>
      <c r="D612" s="961"/>
      <c r="E612" s="961"/>
    </row>
    <row r="613" spans="2:5" hidden="1" x14ac:dyDescent="0.2">
      <c r="B613" s="6"/>
      <c r="C613" s="6"/>
      <c r="D613" s="961"/>
      <c r="E613" s="961"/>
    </row>
    <row r="614" spans="2:5" hidden="1" x14ac:dyDescent="0.2">
      <c r="B614" s="6"/>
      <c r="C614" s="6"/>
      <c r="D614" s="961"/>
      <c r="E614" s="961"/>
    </row>
    <row r="615" spans="2:5" hidden="1" x14ac:dyDescent="0.2">
      <c r="B615" s="6"/>
      <c r="C615" s="6"/>
      <c r="D615" s="961"/>
      <c r="E615" s="961"/>
    </row>
    <row r="616" spans="2:5" hidden="1" x14ac:dyDescent="0.2">
      <c r="B616" s="6"/>
      <c r="C616" s="6"/>
      <c r="D616" s="961"/>
      <c r="E616" s="961"/>
    </row>
    <row r="617" spans="2:5" hidden="1" x14ac:dyDescent="0.2">
      <c r="B617" s="6"/>
      <c r="C617" s="6"/>
      <c r="D617" s="961"/>
      <c r="E617" s="961"/>
    </row>
    <row r="618" spans="2:5" hidden="1" x14ac:dyDescent="0.2">
      <c r="B618" s="6"/>
      <c r="C618" s="6"/>
      <c r="D618" s="961"/>
      <c r="E618" s="961"/>
    </row>
    <row r="619" spans="2:5" hidden="1" x14ac:dyDescent="0.2">
      <c r="B619" s="6"/>
      <c r="C619" s="6"/>
      <c r="D619" s="961"/>
      <c r="E619" s="961"/>
    </row>
    <row r="620" spans="2:5" hidden="1" x14ac:dyDescent="0.2">
      <c r="B620" s="6"/>
      <c r="C620" s="6"/>
      <c r="D620" s="961"/>
      <c r="E620" s="961"/>
    </row>
    <row r="621" spans="2:5" hidden="1" x14ac:dyDescent="0.2">
      <c r="B621" s="6"/>
      <c r="C621" s="6"/>
      <c r="D621" s="961"/>
      <c r="E621" s="961"/>
    </row>
    <row r="622" spans="2:5" hidden="1" x14ac:dyDescent="0.2">
      <c r="B622" s="6"/>
      <c r="C622" s="6"/>
      <c r="D622" s="961"/>
      <c r="E622" s="961"/>
    </row>
    <row r="623" spans="2:5" hidden="1" x14ac:dyDescent="0.2">
      <c r="B623" s="6"/>
      <c r="C623" s="6"/>
      <c r="D623" s="961"/>
      <c r="E623" s="961"/>
    </row>
    <row r="624" spans="2:5" hidden="1" x14ac:dyDescent="0.2">
      <c r="B624" s="6"/>
      <c r="C624" s="6"/>
      <c r="D624" s="961"/>
      <c r="E624" s="961"/>
    </row>
    <row r="625" spans="2:5" hidden="1" x14ac:dyDescent="0.2">
      <c r="B625" s="6"/>
      <c r="C625" s="6"/>
      <c r="D625" s="961"/>
      <c r="E625" s="961"/>
    </row>
    <row r="626" spans="2:5" hidden="1" x14ac:dyDescent="0.2">
      <c r="B626" s="6"/>
      <c r="C626" s="6"/>
      <c r="D626" s="961"/>
      <c r="E626" s="961"/>
    </row>
    <row r="627" spans="2:5" hidden="1" x14ac:dyDescent="0.2">
      <c r="B627" s="6"/>
      <c r="C627" s="6"/>
      <c r="D627" s="961"/>
      <c r="E627" s="961"/>
    </row>
    <row r="628" spans="2:5" hidden="1" x14ac:dyDescent="0.2">
      <c r="B628" s="6"/>
      <c r="C628" s="6"/>
      <c r="D628" s="961"/>
      <c r="E628" s="961"/>
    </row>
    <row r="629" spans="2:5" hidden="1" x14ac:dyDescent="0.2">
      <c r="B629" s="6"/>
      <c r="C629" s="6"/>
      <c r="D629" s="961"/>
      <c r="E629" s="961"/>
    </row>
    <row r="630" spans="2:5" hidden="1" x14ac:dyDescent="0.2">
      <c r="B630" s="6"/>
      <c r="C630" s="6"/>
      <c r="D630" s="961"/>
      <c r="E630" s="961"/>
    </row>
    <row r="631" spans="2:5" hidden="1" x14ac:dyDescent="0.2">
      <c r="B631" s="6"/>
      <c r="C631" s="6"/>
      <c r="D631" s="961"/>
      <c r="E631" s="961"/>
    </row>
    <row r="632" spans="2:5" hidden="1" x14ac:dyDescent="0.2">
      <c r="B632" s="6"/>
      <c r="C632" s="6"/>
      <c r="D632" s="961"/>
      <c r="E632" s="961"/>
    </row>
    <row r="633" spans="2:5" hidden="1" x14ac:dyDescent="0.2">
      <c r="B633" s="6"/>
      <c r="C633" s="6"/>
      <c r="D633" s="961"/>
      <c r="E633" s="961"/>
    </row>
    <row r="634" spans="2:5" hidden="1" x14ac:dyDescent="0.2">
      <c r="B634" s="6"/>
      <c r="C634" s="6"/>
      <c r="D634" s="961"/>
      <c r="E634" s="961"/>
    </row>
    <row r="635" spans="2:5" hidden="1" x14ac:dyDescent="0.2">
      <c r="B635" s="6"/>
      <c r="C635" s="6"/>
      <c r="D635" s="961"/>
      <c r="E635" s="961"/>
    </row>
    <row r="636" spans="2:5" hidden="1" x14ac:dyDescent="0.2">
      <c r="B636" s="6"/>
      <c r="C636" s="6"/>
      <c r="D636" s="961"/>
      <c r="E636" s="961"/>
    </row>
    <row r="637" spans="2:5" hidden="1" x14ac:dyDescent="0.2">
      <c r="B637" s="6"/>
      <c r="C637" s="6"/>
      <c r="D637" s="961"/>
      <c r="E637" s="961"/>
    </row>
    <row r="638" spans="2:5" hidden="1" x14ac:dyDescent="0.2">
      <c r="B638" s="6"/>
      <c r="C638" s="6"/>
      <c r="D638" s="961"/>
      <c r="E638" s="961"/>
    </row>
    <row r="639" spans="2:5" hidden="1" x14ac:dyDescent="0.2">
      <c r="B639" s="6"/>
      <c r="C639" s="6"/>
      <c r="D639" s="961"/>
      <c r="E639" s="961"/>
    </row>
    <row r="640" spans="2:5" hidden="1" x14ac:dyDescent="0.2">
      <c r="B640" s="6"/>
      <c r="C640" s="6"/>
      <c r="D640" s="961"/>
      <c r="E640" s="961"/>
    </row>
    <row r="641" spans="2:5" hidden="1" x14ac:dyDescent="0.2">
      <c r="B641" s="6"/>
      <c r="C641" s="6"/>
      <c r="D641" s="961"/>
      <c r="E641" s="961"/>
    </row>
    <row r="642" spans="2:5" hidden="1" x14ac:dyDescent="0.2">
      <c r="B642" s="6"/>
      <c r="C642" s="6"/>
      <c r="D642" s="961"/>
      <c r="E642" s="961"/>
    </row>
    <row r="643" spans="2:5" hidden="1" x14ac:dyDescent="0.2">
      <c r="B643" s="6"/>
      <c r="C643" s="6"/>
      <c r="D643" s="961"/>
      <c r="E643" s="961"/>
    </row>
    <row r="644" spans="2:5" hidden="1" x14ac:dyDescent="0.2">
      <c r="B644" s="6"/>
      <c r="C644" s="6"/>
      <c r="D644" s="961"/>
      <c r="E644" s="961"/>
    </row>
    <row r="645" spans="2:5" hidden="1" x14ac:dyDescent="0.2">
      <c r="B645" s="6"/>
      <c r="C645" s="6"/>
      <c r="D645" s="961"/>
      <c r="E645" s="961"/>
    </row>
    <row r="646" spans="2:5" hidden="1" x14ac:dyDescent="0.2">
      <c r="B646" s="6"/>
      <c r="C646" s="6"/>
      <c r="D646" s="961"/>
      <c r="E646" s="961"/>
    </row>
    <row r="647" spans="2:5" hidden="1" x14ac:dyDescent="0.2">
      <c r="B647" s="6"/>
      <c r="C647" s="6"/>
      <c r="D647" s="961"/>
      <c r="E647" s="961"/>
    </row>
    <row r="648" spans="2:5" hidden="1" x14ac:dyDescent="0.2">
      <c r="B648" s="6"/>
      <c r="C648" s="6"/>
      <c r="D648" s="961"/>
      <c r="E648" s="961"/>
    </row>
    <row r="649" spans="2:5" hidden="1" x14ac:dyDescent="0.2">
      <c r="B649" s="6"/>
      <c r="C649" s="6"/>
      <c r="D649" s="961"/>
      <c r="E649" s="961"/>
    </row>
    <row r="650" spans="2:5" hidden="1" x14ac:dyDescent="0.2">
      <c r="B650" s="6"/>
      <c r="C650" s="6"/>
      <c r="D650" s="961"/>
      <c r="E650" s="961"/>
    </row>
    <row r="651" spans="2:5" hidden="1" x14ac:dyDescent="0.2">
      <c r="B651" s="6"/>
      <c r="C651" s="6"/>
      <c r="D651" s="961"/>
      <c r="E651" s="961"/>
    </row>
    <row r="652" spans="2:5" hidden="1" x14ac:dyDescent="0.2">
      <c r="B652" s="6"/>
      <c r="C652" s="6"/>
      <c r="D652" s="961"/>
      <c r="E652" s="961"/>
    </row>
    <row r="653" spans="2:5" hidden="1" x14ac:dyDescent="0.2">
      <c r="B653" s="6"/>
      <c r="C653" s="6"/>
      <c r="D653" s="961"/>
      <c r="E653" s="961"/>
    </row>
    <row r="654" spans="2:5" hidden="1" x14ac:dyDescent="0.2">
      <c r="B654" s="6"/>
      <c r="C654" s="6"/>
      <c r="D654" s="961"/>
      <c r="E654" s="961"/>
    </row>
    <row r="655" spans="2:5" hidden="1" x14ac:dyDescent="0.2">
      <c r="B655" s="6"/>
      <c r="C655" s="6"/>
      <c r="D655" s="961"/>
      <c r="E655" s="961"/>
    </row>
    <row r="656" spans="2:5" hidden="1" x14ac:dyDescent="0.2">
      <c r="B656" s="6"/>
      <c r="C656" s="6"/>
      <c r="D656" s="961"/>
      <c r="E656" s="961"/>
    </row>
    <row r="657" spans="2:5" hidden="1" x14ac:dyDescent="0.2">
      <c r="B657" s="6"/>
      <c r="C657" s="6"/>
      <c r="D657" s="961"/>
      <c r="E657" s="961"/>
    </row>
    <row r="658" spans="2:5" hidden="1" x14ac:dyDescent="0.2">
      <c r="B658" s="6"/>
      <c r="C658" s="6"/>
      <c r="D658" s="961"/>
      <c r="E658" s="961"/>
    </row>
    <row r="659" spans="2:5" hidden="1" x14ac:dyDescent="0.2">
      <c r="B659" s="6"/>
      <c r="C659" s="6"/>
      <c r="D659" s="961"/>
      <c r="E659" s="961"/>
    </row>
    <row r="660" spans="2:5" hidden="1" x14ac:dyDescent="0.2">
      <c r="B660" s="6"/>
      <c r="C660" s="6"/>
      <c r="D660" s="961"/>
      <c r="E660" s="961"/>
    </row>
    <row r="661" spans="2:5" hidden="1" x14ac:dyDescent="0.2">
      <c r="B661" s="6"/>
      <c r="C661" s="6"/>
      <c r="D661" s="961"/>
      <c r="E661" s="961"/>
    </row>
    <row r="662" spans="2:5" hidden="1" x14ac:dyDescent="0.2">
      <c r="B662" s="6"/>
      <c r="C662" s="6"/>
      <c r="D662" s="961"/>
      <c r="E662" s="961"/>
    </row>
    <row r="663" spans="2:5" hidden="1" x14ac:dyDescent="0.2">
      <c r="B663" s="6"/>
      <c r="C663" s="6"/>
      <c r="D663" s="961"/>
      <c r="E663" s="961"/>
    </row>
    <row r="664" spans="2:5" hidden="1" x14ac:dyDescent="0.2">
      <c r="B664" s="6"/>
      <c r="C664" s="6"/>
      <c r="D664" s="961"/>
      <c r="E664" s="961"/>
    </row>
    <row r="665" spans="2:5" hidden="1" x14ac:dyDescent="0.2">
      <c r="B665" s="6"/>
      <c r="C665" s="6"/>
      <c r="D665" s="961"/>
      <c r="E665" s="961"/>
    </row>
    <row r="666" spans="2:5" hidden="1" x14ac:dyDescent="0.2">
      <c r="B666" s="6"/>
      <c r="C666" s="6"/>
      <c r="D666" s="961"/>
      <c r="E666" s="961"/>
    </row>
    <row r="667" spans="2:5" hidden="1" x14ac:dyDescent="0.2">
      <c r="B667" s="6"/>
      <c r="C667" s="6"/>
      <c r="D667" s="961"/>
      <c r="E667" s="961"/>
    </row>
    <row r="668" spans="2:5" hidden="1" x14ac:dyDescent="0.2">
      <c r="B668" s="6"/>
      <c r="C668" s="6"/>
      <c r="D668" s="961"/>
      <c r="E668" s="961"/>
    </row>
    <row r="669" spans="2:5" hidden="1" x14ac:dyDescent="0.2">
      <c r="B669" s="6"/>
      <c r="C669" s="6"/>
      <c r="D669" s="961"/>
      <c r="E669" s="961"/>
    </row>
    <row r="670" spans="2:5" hidden="1" x14ac:dyDescent="0.2">
      <c r="B670" s="6"/>
      <c r="C670" s="6"/>
      <c r="D670" s="961"/>
      <c r="E670" s="961"/>
    </row>
    <row r="671" spans="2:5" hidden="1" x14ac:dyDescent="0.2">
      <c r="B671" s="6"/>
      <c r="C671" s="6"/>
      <c r="D671" s="961"/>
      <c r="E671" s="961"/>
    </row>
    <row r="672" spans="2:5" hidden="1" x14ac:dyDescent="0.2">
      <c r="B672" s="6"/>
      <c r="C672" s="6"/>
      <c r="D672" s="961"/>
      <c r="E672" s="961"/>
    </row>
    <row r="673" spans="2:5" hidden="1" x14ac:dyDescent="0.2">
      <c r="B673" s="6"/>
      <c r="C673" s="6"/>
      <c r="D673" s="961"/>
      <c r="E673" s="961"/>
    </row>
    <row r="674" spans="2:5" hidden="1" x14ac:dyDescent="0.2">
      <c r="B674" s="6"/>
      <c r="C674" s="6"/>
      <c r="D674" s="961"/>
      <c r="E674" s="961"/>
    </row>
    <row r="675" spans="2:5" hidden="1" x14ac:dyDescent="0.2">
      <c r="B675" s="6"/>
      <c r="C675" s="6"/>
      <c r="D675" s="961"/>
      <c r="E675" s="961"/>
    </row>
    <row r="676" spans="2:5" hidden="1" x14ac:dyDescent="0.2">
      <c r="B676" s="6"/>
      <c r="C676" s="6"/>
      <c r="D676" s="961"/>
      <c r="E676" s="961"/>
    </row>
    <row r="677" spans="2:5" hidden="1" x14ac:dyDescent="0.2">
      <c r="B677" s="6"/>
      <c r="C677" s="6"/>
      <c r="D677" s="961"/>
      <c r="E677" s="961"/>
    </row>
    <row r="678" spans="2:5" hidden="1" x14ac:dyDescent="0.2">
      <c r="B678" s="6"/>
      <c r="C678" s="6"/>
      <c r="D678" s="961"/>
      <c r="E678" s="961"/>
    </row>
    <row r="679" spans="2:5" hidden="1" x14ac:dyDescent="0.2">
      <c r="B679" s="6"/>
      <c r="C679" s="6"/>
      <c r="D679" s="961"/>
      <c r="E679" s="961"/>
    </row>
    <row r="680" spans="2:5" hidden="1" x14ac:dyDescent="0.2">
      <c r="B680" s="6"/>
      <c r="C680" s="6"/>
      <c r="D680" s="961"/>
      <c r="E680" s="961"/>
    </row>
    <row r="681" spans="2:5" hidden="1" x14ac:dyDescent="0.2">
      <c r="B681" s="6"/>
      <c r="C681" s="6"/>
      <c r="D681" s="961"/>
      <c r="E681" s="961"/>
    </row>
    <row r="682" spans="2:5" hidden="1" x14ac:dyDescent="0.2">
      <c r="B682" s="6"/>
      <c r="C682" s="6"/>
      <c r="D682" s="961"/>
      <c r="E682" s="961"/>
    </row>
    <row r="683" spans="2:5" hidden="1" x14ac:dyDescent="0.2">
      <c r="B683" s="6"/>
      <c r="C683" s="6"/>
      <c r="D683" s="961"/>
      <c r="E683" s="961"/>
    </row>
    <row r="684" spans="2:5" hidden="1" x14ac:dyDescent="0.2">
      <c r="B684" s="6"/>
      <c r="C684" s="6"/>
      <c r="D684" s="961"/>
      <c r="E684" s="961"/>
    </row>
    <row r="685" spans="2:5" hidden="1" x14ac:dyDescent="0.2">
      <c r="B685" s="6"/>
      <c r="C685" s="6"/>
      <c r="D685" s="961"/>
      <c r="E685" s="961"/>
    </row>
    <row r="686" spans="2:5" hidden="1" x14ac:dyDescent="0.2">
      <c r="B686" s="6"/>
      <c r="C686" s="6"/>
      <c r="D686" s="961"/>
      <c r="E686" s="961"/>
    </row>
    <row r="687" spans="2:5" hidden="1" x14ac:dyDescent="0.2">
      <c r="B687" s="6"/>
      <c r="C687" s="6"/>
      <c r="D687" s="961"/>
      <c r="E687" s="961"/>
    </row>
    <row r="688" spans="2:5" hidden="1" x14ac:dyDescent="0.2">
      <c r="B688" s="6"/>
      <c r="C688" s="6"/>
      <c r="D688" s="961"/>
      <c r="E688" s="961"/>
    </row>
    <row r="689" spans="2:5" hidden="1" x14ac:dyDescent="0.2">
      <c r="B689" s="6"/>
      <c r="C689" s="6"/>
      <c r="D689" s="961"/>
      <c r="E689" s="961"/>
    </row>
    <row r="690" spans="2:5" hidden="1" x14ac:dyDescent="0.2">
      <c r="B690" s="6"/>
      <c r="C690" s="6"/>
      <c r="D690" s="961"/>
      <c r="E690" s="961"/>
    </row>
    <row r="691" spans="2:5" hidden="1" x14ac:dyDescent="0.2">
      <c r="B691" s="6"/>
      <c r="C691" s="6"/>
      <c r="D691" s="961"/>
      <c r="E691" s="961"/>
    </row>
    <row r="692" spans="2:5" hidden="1" x14ac:dyDescent="0.2">
      <c r="B692" s="6"/>
      <c r="C692" s="6"/>
      <c r="D692" s="961"/>
      <c r="E692" s="961"/>
    </row>
    <row r="693" spans="2:5" hidden="1" x14ac:dyDescent="0.2">
      <c r="B693" s="6"/>
      <c r="C693" s="6"/>
      <c r="D693" s="961"/>
      <c r="E693" s="961"/>
    </row>
    <row r="694" spans="2:5" hidden="1" x14ac:dyDescent="0.2">
      <c r="B694" s="6"/>
      <c r="C694" s="6"/>
      <c r="D694" s="961"/>
      <c r="E694" s="961"/>
    </row>
    <row r="695" spans="2:5" hidden="1" x14ac:dyDescent="0.2">
      <c r="B695" s="6"/>
      <c r="C695" s="6"/>
      <c r="D695" s="961"/>
      <c r="E695" s="961"/>
    </row>
    <row r="696" spans="2:5" hidden="1" x14ac:dyDescent="0.2">
      <c r="B696" s="6"/>
      <c r="C696" s="6"/>
      <c r="D696" s="961"/>
      <c r="E696" s="961"/>
    </row>
    <row r="697" spans="2:5" hidden="1" x14ac:dyDescent="0.2">
      <c r="B697" s="6"/>
      <c r="C697" s="6"/>
      <c r="D697" s="961"/>
      <c r="E697" s="961"/>
    </row>
    <row r="698" spans="2:5" hidden="1" x14ac:dyDescent="0.2">
      <c r="B698" s="6"/>
      <c r="C698" s="6"/>
      <c r="D698" s="961"/>
      <c r="E698" s="961"/>
    </row>
    <row r="699" spans="2:5" hidden="1" x14ac:dyDescent="0.2">
      <c r="B699" s="6"/>
      <c r="C699" s="6"/>
      <c r="D699" s="961"/>
      <c r="E699" s="961"/>
    </row>
    <row r="700" spans="2:5" hidden="1" x14ac:dyDescent="0.2">
      <c r="B700" s="6"/>
      <c r="C700" s="6"/>
      <c r="D700" s="961"/>
      <c r="E700" s="961"/>
    </row>
    <row r="701" spans="2:5" hidden="1" x14ac:dyDescent="0.2">
      <c r="B701" s="6"/>
      <c r="C701" s="6"/>
      <c r="D701" s="961"/>
      <c r="E701" s="961"/>
    </row>
    <row r="702" spans="2:5" hidden="1" x14ac:dyDescent="0.2">
      <c r="B702" s="6"/>
      <c r="C702" s="6"/>
      <c r="D702" s="961"/>
      <c r="E702" s="961"/>
    </row>
    <row r="703" spans="2:5" hidden="1" x14ac:dyDescent="0.2">
      <c r="B703" s="6"/>
      <c r="C703" s="6"/>
      <c r="D703" s="961"/>
      <c r="E703" s="961"/>
    </row>
    <row r="704" spans="2:5" hidden="1" x14ac:dyDescent="0.2">
      <c r="B704" s="6"/>
      <c r="C704" s="6"/>
      <c r="D704" s="961"/>
      <c r="E704" s="961"/>
    </row>
    <row r="705" spans="2:5" hidden="1" x14ac:dyDescent="0.2">
      <c r="B705" s="6"/>
      <c r="C705" s="6"/>
      <c r="D705" s="961"/>
      <c r="E705" s="961"/>
    </row>
    <row r="706" spans="2:5" hidden="1" x14ac:dyDescent="0.2">
      <c r="B706" s="6"/>
      <c r="C706" s="6"/>
      <c r="D706" s="961"/>
      <c r="E706" s="961"/>
    </row>
    <row r="707" spans="2:5" hidden="1" x14ac:dyDescent="0.2">
      <c r="B707" s="6"/>
      <c r="C707" s="6"/>
      <c r="D707" s="961"/>
      <c r="E707" s="961"/>
    </row>
    <row r="708" spans="2:5" hidden="1" x14ac:dyDescent="0.2">
      <c r="B708" s="6"/>
      <c r="C708" s="6"/>
      <c r="D708" s="961"/>
      <c r="E708" s="961"/>
    </row>
    <row r="709" spans="2:5" hidden="1" x14ac:dyDescent="0.2">
      <c r="B709" s="6"/>
      <c r="C709" s="6"/>
      <c r="D709" s="961"/>
      <c r="E709" s="961"/>
    </row>
    <row r="710" spans="2:5" hidden="1" x14ac:dyDescent="0.2">
      <c r="B710" s="6"/>
      <c r="C710" s="6"/>
      <c r="D710" s="961"/>
      <c r="E710" s="961"/>
    </row>
    <row r="711" spans="2:5" hidden="1" x14ac:dyDescent="0.2">
      <c r="B711" s="6"/>
      <c r="C711" s="6"/>
      <c r="D711" s="961"/>
      <c r="E711" s="961"/>
    </row>
    <row r="712" spans="2:5" hidden="1" x14ac:dyDescent="0.2">
      <c r="B712" s="6"/>
      <c r="C712" s="6"/>
      <c r="D712" s="961"/>
      <c r="E712" s="961"/>
    </row>
    <row r="713" spans="2:5" hidden="1" x14ac:dyDescent="0.2">
      <c r="B713" s="6"/>
      <c r="C713" s="6"/>
      <c r="D713" s="961"/>
      <c r="E713" s="961"/>
    </row>
    <row r="714" spans="2:5" hidden="1" x14ac:dyDescent="0.2">
      <c r="B714" s="6"/>
      <c r="C714" s="6"/>
      <c r="D714" s="961"/>
      <c r="E714" s="961"/>
    </row>
    <row r="715" spans="2:5" hidden="1" x14ac:dyDescent="0.2">
      <c r="B715" s="6"/>
      <c r="C715" s="6"/>
      <c r="D715" s="961"/>
      <c r="E715" s="961"/>
    </row>
    <row r="716" spans="2:5" hidden="1" x14ac:dyDescent="0.2">
      <c r="B716" s="6"/>
      <c r="C716" s="6"/>
      <c r="D716" s="961"/>
      <c r="E716" s="961"/>
    </row>
    <row r="717" spans="2:5" hidden="1" x14ac:dyDescent="0.2">
      <c r="B717" s="6"/>
      <c r="C717" s="6"/>
      <c r="D717" s="961"/>
      <c r="E717" s="961"/>
    </row>
    <row r="718" spans="2:5" hidden="1" x14ac:dyDescent="0.2">
      <c r="B718" s="6"/>
      <c r="C718" s="6"/>
      <c r="D718" s="961"/>
      <c r="E718" s="961"/>
    </row>
    <row r="719" spans="2:5" hidden="1" x14ac:dyDescent="0.2">
      <c r="B719" s="6"/>
      <c r="C719" s="6"/>
      <c r="D719" s="961"/>
      <c r="E719" s="961"/>
    </row>
    <row r="720" spans="2:5" hidden="1" x14ac:dyDescent="0.2">
      <c r="B720" s="6"/>
      <c r="C720" s="6"/>
      <c r="D720" s="961"/>
      <c r="E720" s="961"/>
    </row>
    <row r="721" spans="2:5" hidden="1" x14ac:dyDescent="0.2">
      <c r="B721" s="6"/>
      <c r="C721" s="6"/>
      <c r="D721" s="961"/>
      <c r="E721" s="961"/>
    </row>
    <row r="722" spans="2:5" hidden="1" x14ac:dyDescent="0.2">
      <c r="B722" s="6"/>
      <c r="C722" s="6"/>
      <c r="D722" s="961"/>
      <c r="E722" s="961"/>
    </row>
    <row r="723" spans="2:5" hidden="1" x14ac:dyDescent="0.2">
      <c r="B723" s="6"/>
      <c r="C723" s="6"/>
      <c r="D723" s="961"/>
      <c r="E723" s="961"/>
    </row>
    <row r="724" spans="2:5" hidden="1" x14ac:dyDescent="0.2">
      <c r="B724" s="6"/>
      <c r="C724" s="6"/>
      <c r="D724" s="961"/>
      <c r="E724" s="961"/>
    </row>
    <row r="725" spans="2:5" hidden="1" x14ac:dyDescent="0.2">
      <c r="B725" s="6"/>
      <c r="C725" s="6"/>
      <c r="D725" s="961"/>
      <c r="E725" s="961"/>
    </row>
    <row r="726" spans="2:5" hidden="1" x14ac:dyDescent="0.2">
      <c r="B726" s="6"/>
      <c r="C726" s="6"/>
      <c r="D726" s="961"/>
      <c r="E726" s="961"/>
    </row>
    <row r="727" spans="2:5" hidden="1" x14ac:dyDescent="0.2">
      <c r="B727" s="6"/>
      <c r="C727" s="6"/>
      <c r="D727" s="961"/>
      <c r="E727" s="961"/>
    </row>
    <row r="728" spans="2:5" hidden="1" x14ac:dyDescent="0.2">
      <c r="B728" s="6"/>
      <c r="C728" s="6"/>
      <c r="D728" s="961"/>
      <c r="E728" s="961"/>
    </row>
    <row r="729" spans="2:5" hidden="1" x14ac:dyDescent="0.2">
      <c r="B729" s="6"/>
      <c r="C729" s="6"/>
      <c r="D729" s="961"/>
      <c r="E729" s="961"/>
    </row>
    <row r="730" spans="2:5" hidden="1" x14ac:dyDescent="0.2">
      <c r="B730" s="6"/>
      <c r="C730" s="6"/>
      <c r="D730" s="961"/>
      <c r="E730" s="961"/>
    </row>
    <row r="731" spans="2:5" hidden="1" x14ac:dyDescent="0.2">
      <c r="B731" s="6"/>
      <c r="C731" s="6"/>
      <c r="D731" s="961"/>
      <c r="E731" s="961"/>
    </row>
    <row r="732" spans="2:5" hidden="1" x14ac:dyDescent="0.2">
      <c r="B732" s="6"/>
      <c r="C732" s="6"/>
      <c r="D732" s="961"/>
      <c r="E732" s="961"/>
    </row>
    <row r="733" spans="2:5" hidden="1" x14ac:dyDescent="0.2">
      <c r="B733" s="6"/>
      <c r="C733" s="6"/>
      <c r="D733" s="961"/>
      <c r="E733" s="961"/>
    </row>
    <row r="734" spans="2:5" hidden="1" x14ac:dyDescent="0.2">
      <c r="B734" s="6"/>
      <c r="C734" s="6"/>
      <c r="D734" s="961"/>
      <c r="E734" s="961"/>
    </row>
    <row r="735" spans="2:5" hidden="1" x14ac:dyDescent="0.2">
      <c r="B735" s="6"/>
      <c r="C735" s="6"/>
      <c r="D735" s="961"/>
      <c r="E735" s="961"/>
    </row>
    <row r="736" spans="2:5" hidden="1" x14ac:dyDescent="0.2">
      <c r="B736" s="6"/>
      <c r="C736" s="6"/>
      <c r="D736" s="961"/>
      <c r="E736" s="961"/>
    </row>
    <row r="737" spans="2:5" hidden="1" x14ac:dyDescent="0.2">
      <c r="B737" s="6"/>
      <c r="C737" s="6"/>
      <c r="D737" s="961"/>
      <c r="E737" s="961"/>
    </row>
    <row r="738" spans="2:5" hidden="1" x14ac:dyDescent="0.2">
      <c r="B738" s="6"/>
      <c r="C738" s="6"/>
      <c r="D738" s="961"/>
      <c r="E738" s="961"/>
    </row>
    <row r="739" spans="2:5" hidden="1" x14ac:dyDescent="0.2">
      <c r="B739" s="6"/>
      <c r="C739" s="6"/>
      <c r="D739" s="961"/>
      <c r="E739" s="961"/>
    </row>
    <row r="740" spans="2:5" hidden="1" x14ac:dyDescent="0.2">
      <c r="B740" s="6"/>
      <c r="C740" s="6"/>
      <c r="D740" s="961"/>
      <c r="E740" s="961"/>
    </row>
    <row r="741" spans="2:5" hidden="1" x14ac:dyDescent="0.2">
      <c r="B741" s="6"/>
      <c r="C741" s="6"/>
      <c r="D741" s="961"/>
      <c r="E741" s="961"/>
    </row>
    <row r="742" spans="2:5" hidden="1" x14ac:dyDescent="0.2">
      <c r="B742" s="6"/>
      <c r="C742" s="6"/>
      <c r="D742" s="961"/>
      <c r="E742" s="961"/>
    </row>
    <row r="743" spans="2:5" hidden="1" x14ac:dyDescent="0.2">
      <c r="B743" s="6"/>
      <c r="C743" s="6"/>
      <c r="D743" s="961"/>
      <c r="E743" s="961"/>
    </row>
    <row r="744" spans="2:5" hidden="1" x14ac:dyDescent="0.2">
      <c r="B744" s="6"/>
      <c r="C744" s="6"/>
      <c r="D744" s="961"/>
      <c r="E744" s="961"/>
    </row>
    <row r="745" spans="2:5" hidden="1" x14ac:dyDescent="0.2">
      <c r="B745" s="6"/>
      <c r="C745" s="6"/>
      <c r="D745" s="961"/>
      <c r="E745" s="961"/>
    </row>
    <row r="746" spans="2:5" hidden="1" x14ac:dyDescent="0.2">
      <c r="B746" s="6"/>
      <c r="C746" s="6"/>
      <c r="D746" s="961"/>
      <c r="E746" s="961"/>
    </row>
    <row r="747" spans="2:5" hidden="1" x14ac:dyDescent="0.2">
      <c r="B747" s="6"/>
      <c r="C747" s="6"/>
      <c r="D747" s="961"/>
      <c r="E747" s="961"/>
    </row>
    <row r="748" spans="2:5" hidden="1" x14ac:dyDescent="0.2">
      <c r="B748" s="6"/>
      <c r="C748" s="6"/>
      <c r="D748" s="961"/>
      <c r="E748" s="961"/>
    </row>
    <row r="749" spans="2:5" hidden="1" x14ac:dyDescent="0.2">
      <c r="B749" s="6"/>
      <c r="C749" s="6"/>
      <c r="D749" s="961"/>
      <c r="E749" s="961"/>
    </row>
    <row r="750" spans="2:5" hidden="1" x14ac:dyDescent="0.2">
      <c r="B750" s="6"/>
      <c r="C750" s="6"/>
      <c r="D750" s="961"/>
      <c r="E750" s="961"/>
    </row>
    <row r="751" spans="2:5" hidden="1" x14ac:dyDescent="0.2">
      <c r="B751" s="6"/>
      <c r="C751" s="6"/>
      <c r="D751" s="961"/>
      <c r="E751" s="961"/>
    </row>
    <row r="752" spans="2:5" hidden="1" x14ac:dyDescent="0.2">
      <c r="B752" s="6"/>
      <c r="C752" s="6"/>
      <c r="D752" s="961"/>
      <c r="E752" s="961"/>
    </row>
    <row r="753" spans="2:5" hidden="1" x14ac:dyDescent="0.2">
      <c r="B753" s="6"/>
      <c r="C753" s="6"/>
      <c r="D753" s="961"/>
      <c r="E753" s="961"/>
    </row>
    <row r="754" spans="2:5" hidden="1" x14ac:dyDescent="0.2">
      <c r="B754" s="6"/>
      <c r="C754" s="6"/>
      <c r="D754" s="961"/>
      <c r="E754" s="961"/>
    </row>
    <row r="755" spans="2:5" hidden="1" x14ac:dyDescent="0.2">
      <c r="B755" s="6"/>
      <c r="C755" s="6"/>
      <c r="D755" s="961"/>
      <c r="E755" s="961"/>
    </row>
    <row r="756" spans="2:5" hidden="1" x14ac:dyDescent="0.2">
      <c r="B756" s="6"/>
      <c r="C756" s="6"/>
      <c r="D756" s="961"/>
      <c r="E756" s="961"/>
    </row>
    <row r="757" spans="2:5" hidden="1" x14ac:dyDescent="0.2">
      <c r="B757" s="6"/>
      <c r="C757" s="6"/>
      <c r="D757" s="961"/>
      <c r="E757" s="961"/>
    </row>
    <row r="758" spans="2:5" hidden="1" x14ac:dyDescent="0.2">
      <c r="B758" s="6"/>
      <c r="C758" s="6"/>
      <c r="D758" s="961"/>
      <c r="E758" s="961"/>
    </row>
    <row r="759" spans="2:5" hidden="1" x14ac:dyDescent="0.2">
      <c r="B759" s="6"/>
      <c r="C759" s="6"/>
      <c r="D759" s="961"/>
      <c r="E759" s="961"/>
    </row>
    <row r="760" spans="2:5" hidden="1" x14ac:dyDescent="0.2">
      <c r="B760" s="6"/>
      <c r="C760" s="6"/>
      <c r="D760" s="961"/>
      <c r="E760" s="961"/>
    </row>
    <row r="761" spans="2:5" hidden="1" x14ac:dyDescent="0.2">
      <c r="B761" s="6"/>
      <c r="C761" s="6"/>
      <c r="D761" s="961"/>
      <c r="E761" s="961"/>
    </row>
    <row r="762" spans="2:5" hidden="1" x14ac:dyDescent="0.2">
      <c r="B762" s="6"/>
      <c r="C762" s="6"/>
      <c r="D762" s="961"/>
      <c r="E762" s="961"/>
    </row>
    <row r="763" spans="2:5" hidden="1" x14ac:dyDescent="0.2">
      <c r="B763" s="6"/>
      <c r="C763" s="6"/>
      <c r="D763" s="961"/>
      <c r="E763" s="961"/>
    </row>
    <row r="764" spans="2:5" hidden="1" x14ac:dyDescent="0.2">
      <c r="B764" s="6"/>
      <c r="C764" s="6"/>
      <c r="D764" s="961"/>
      <c r="E764" s="961"/>
    </row>
    <row r="765" spans="2:5" hidden="1" x14ac:dyDescent="0.2">
      <c r="B765" s="6"/>
      <c r="C765" s="6"/>
      <c r="D765" s="961"/>
      <c r="E765" s="961"/>
    </row>
    <row r="766" spans="2:5" hidden="1" x14ac:dyDescent="0.2">
      <c r="B766" s="6"/>
      <c r="C766" s="6"/>
      <c r="D766" s="961"/>
      <c r="E766" s="961"/>
    </row>
    <row r="767" spans="2:5" hidden="1" x14ac:dyDescent="0.2">
      <c r="B767" s="6"/>
      <c r="C767" s="6"/>
      <c r="D767" s="961"/>
      <c r="E767" s="961"/>
    </row>
    <row r="768" spans="2:5" hidden="1" x14ac:dyDescent="0.2">
      <c r="B768" s="6"/>
      <c r="C768" s="6"/>
      <c r="D768" s="961"/>
      <c r="E768" s="961"/>
    </row>
    <row r="769" spans="2:5" hidden="1" x14ac:dyDescent="0.2">
      <c r="B769" s="6"/>
      <c r="C769" s="6"/>
      <c r="D769" s="961"/>
      <c r="E769" s="961"/>
    </row>
    <row r="770" spans="2:5" hidden="1" x14ac:dyDescent="0.2">
      <c r="B770" s="6"/>
      <c r="C770" s="6"/>
      <c r="D770" s="961"/>
      <c r="E770" s="961"/>
    </row>
    <row r="771" spans="2:5" hidden="1" x14ac:dyDescent="0.2">
      <c r="B771" s="6"/>
      <c r="C771" s="6"/>
      <c r="D771" s="961"/>
      <c r="E771" s="961"/>
    </row>
    <row r="772" spans="2:5" hidden="1" x14ac:dyDescent="0.2">
      <c r="B772" s="6"/>
      <c r="C772" s="6"/>
      <c r="D772" s="961"/>
      <c r="E772" s="961"/>
    </row>
    <row r="773" spans="2:5" hidden="1" x14ac:dyDescent="0.2">
      <c r="B773" s="6"/>
      <c r="C773" s="6"/>
      <c r="D773" s="961"/>
      <c r="E773" s="961"/>
    </row>
    <row r="774" spans="2:5" hidden="1" x14ac:dyDescent="0.2">
      <c r="B774" s="6"/>
      <c r="C774" s="6"/>
      <c r="D774" s="961"/>
      <c r="E774" s="961"/>
    </row>
    <row r="775" spans="2:5" hidden="1" x14ac:dyDescent="0.2">
      <c r="B775" s="6"/>
      <c r="C775" s="6"/>
      <c r="D775" s="961"/>
      <c r="E775" s="961"/>
    </row>
    <row r="776" spans="2:5" hidden="1" x14ac:dyDescent="0.2">
      <c r="B776" s="6"/>
      <c r="C776" s="6"/>
      <c r="D776" s="961"/>
      <c r="E776" s="961"/>
    </row>
    <row r="777" spans="2:5" hidden="1" x14ac:dyDescent="0.2">
      <c r="B777" s="6"/>
      <c r="C777" s="6"/>
      <c r="D777" s="961"/>
      <c r="E777" s="961"/>
    </row>
    <row r="778" spans="2:5" hidden="1" x14ac:dyDescent="0.2">
      <c r="B778" s="6"/>
      <c r="C778" s="6"/>
      <c r="D778" s="961"/>
      <c r="E778" s="961"/>
    </row>
    <row r="779" spans="2:5" hidden="1" x14ac:dyDescent="0.2">
      <c r="B779" s="6"/>
      <c r="C779" s="6"/>
      <c r="D779" s="961"/>
      <c r="E779" s="961"/>
    </row>
    <row r="780" spans="2:5" hidden="1" x14ac:dyDescent="0.2">
      <c r="B780" s="6"/>
      <c r="C780" s="6"/>
      <c r="D780" s="961"/>
      <c r="E780" s="961"/>
    </row>
    <row r="781" spans="2:5" hidden="1" x14ac:dyDescent="0.2">
      <c r="B781" s="6"/>
      <c r="C781" s="6"/>
      <c r="D781" s="961"/>
      <c r="E781" s="961"/>
    </row>
    <row r="782" spans="2:5" hidden="1" x14ac:dyDescent="0.2">
      <c r="B782" s="6"/>
      <c r="C782" s="6"/>
      <c r="D782" s="961"/>
      <c r="E782" s="961"/>
    </row>
    <row r="783" spans="2:5" hidden="1" x14ac:dyDescent="0.2">
      <c r="B783" s="6"/>
      <c r="C783" s="6"/>
      <c r="D783" s="961"/>
      <c r="E783" s="961"/>
    </row>
    <row r="784" spans="2:5" hidden="1" x14ac:dyDescent="0.2">
      <c r="B784" s="6"/>
      <c r="C784" s="6"/>
      <c r="D784" s="961"/>
      <c r="E784" s="961"/>
    </row>
    <row r="785" spans="2:5" hidden="1" x14ac:dyDescent="0.2">
      <c r="B785" s="6"/>
      <c r="C785" s="6"/>
      <c r="D785" s="961"/>
      <c r="E785" s="961"/>
    </row>
    <row r="786" spans="2:5" hidden="1" x14ac:dyDescent="0.2">
      <c r="B786" s="6"/>
      <c r="C786" s="6"/>
      <c r="D786" s="961"/>
      <c r="E786" s="961"/>
    </row>
    <row r="787" spans="2:5" hidden="1" x14ac:dyDescent="0.2">
      <c r="B787" s="6"/>
      <c r="C787" s="6"/>
      <c r="D787" s="961"/>
      <c r="E787" s="961"/>
    </row>
    <row r="788" spans="2:5" hidden="1" x14ac:dyDescent="0.2">
      <c r="B788" s="6"/>
      <c r="C788" s="6"/>
      <c r="D788" s="961"/>
      <c r="E788" s="961"/>
    </row>
    <row r="789" spans="2:5" hidden="1" x14ac:dyDescent="0.2">
      <c r="B789" s="6"/>
      <c r="C789" s="6"/>
      <c r="D789" s="961"/>
      <c r="E789" s="961"/>
    </row>
    <row r="790" spans="2:5" hidden="1" x14ac:dyDescent="0.2">
      <c r="B790" s="6"/>
      <c r="C790" s="6"/>
      <c r="D790" s="961"/>
      <c r="E790" s="961"/>
    </row>
    <row r="791" spans="2:5" hidden="1" x14ac:dyDescent="0.2">
      <c r="B791" s="6"/>
      <c r="C791" s="6"/>
      <c r="D791" s="961"/>
      <c r="E791" s="961"/>
    </row>
    <row r="792" spans="2:5" hidden="1" x14ac:dyDescent="0.2">
      <c r="B792" s="6"/>
      <c r="C792" s="6"/>
      <c r="D792" s="961"/>
      <c r="E792" s="961"/>
    </row>
    <row r="793" spans="2:5" hidden="1" x14ac:dyDescent="0.2">
      <c r="B793" s="6"/>
      <c r="C793" s="6"/>
      <c r="D793" s="961"/>
      <c r="E793" s="961"/>
    </row>
    <row r="794" spans="2:5" hidden="1" x14ac:dyDescent="0.2">
      <c r="B794" s="6"/>
      <c r="C794" s="6"/>
      <c r="D794" s="961"/>
      <c r="E794" s="961"/>
    </row>
    <row r="795" spans="2:5" hidden="1" x14ac:dyDescent="0.2">
      <c r="B795" s="6"/>
      <c r="C795" s="6"/>
      <c r="D795" s="961"/>
      <c r="E795" s="961"/>
    </row>
    <row r="796" spans="2:5" hidden="1" x14ac:dyDescent="0.2">
      <c r="B796" s="6"/>
      <c r="C796" s="6"/>
      <c r="D796" s="961"/>
      <c r="E796" s="961"/>
    </row>
    <row r="797" spans="2:5" hidden="1" x14ac:dyDescent="0.2">
      <c r="B797" s="6"/>
      <c r="C797" s="6"/>
      <c r="D797" s="961"/>
      <c r="E797" s="961"/>
    </row>
    <row r="798" spans="2:5" hidden="1" x14ac:dyDescent="0.2">
      <c r="B798" s="6"/>
      <c r="C798" s="6"/>
      <c r="D798" s="961"/>
      <c r="E798" s="961"/>
    </row>
    <row r="799" spans="2:5" hidden="1" x14ac:dyDescent="0.2">
      <c r="B799" s="6"/>
      <c r="C799" s="6"/>
      <c r="D799" s="961"/>
      <c r="E799" s="961"/>
    </row>
    <row r="800" spans="2:5" hidden="1" x14ac:dyDescent="0.2">
      <c r="B800" s="6"/>
      <c r="C800" s="6"/>
      <c r="D800" s="961"/>
      <c r="E800" s="961"/>
    </row>
    <row r="801" spans="2:5" hidden="1" x14ac:dyDescent="0.2">
      <c r="B801" s="6"/>
      <c r="C801" s="6"/>
      <c r="D801" s="961"/>
      <c r="E801" s="961"/>
    </row>
    <row r="802" spans="2:5" hidden="1" x14ac:dyDescent="0.2">
      <c r="B802" s="6"/>
      <c r="C802" s="6"/>
      <c r="D802" s="961"/>
      <c r="E802" s="961"/>
    </row>
    <row r="803" spans="2:5" hidden="1" x14ac:dyDescent="0.2">
      <c r="B803" s="6"/>
      <c r="C803" s="6"/>
      <c r="D803" s="961"/>
      <c r="E803" s="961"/>
    </row>
    <row r="804" spans="2:5" hidden="1" x14ac:dyDescent="0.2">
      <c r="B804" s="6"/>
      <c r="C804" s="6"/>
      <c r="D804" s="961"/>
      <c r="E804" s="961"/>
    </row>
    <row r="805" spans="2:5" hidden="1" x14ac:dyDescent="0.2">
      <c r="B805" s="6"/>
      <c r="C805" s="6"/>
      <c r="D805" s="961"/>
      <c r="E805" s="961"/>
    </row>
    <row r="806" spans="2:5" hidden="1" x14ac:dyDescent="0.2">
      <c r="B806" s="6"/>
      <c r="C806" s="6"/>
      <c r="D806" s="961"/>
      <c r="E806" s="961"/>
    </row>
    <row r="807" spans="2:5" hidden="1" x14ac:dyDescent="0.2">
      <c r="B807" s="6"/>
      <c r="C807" s="6"/>
      <c r="D807" s="961"/>
      <c r="E807" s="961"/>
    </row>
    <row r="808" spans="2:5" hidden="1" x14ac:dyDescent="0.2">
      <c r="B808" s="6"/>
      <c r="C808" s="6"/>
      <c r="D808" s="961"/>
      <c r="E808" s="961"/>
    </row>
    <row r="809" spans="2:5" hidden="1" x14ac:dyDescent="0.2">
      <c r="B809" s="6"/>
      <c r="C809" s="6"/>
      <c r="D809" s="961"/>
      <c r="E809" s="961"/>
    </row>
    <row r="810" spans="2:5" hidden="1" x14ac:dyDescent="0.2">
      <c r="B810" s="6"/>
      <c r="C810" s="6"/>
      <c r="D810" s="961"/>
      <c r="E810" s="961"/>
    </row>
    <row r="811" spans="2:5" hidden="1" x14ac:dyDescent="0.2">
      <c r="B811" s="6"/>
      <c r="C811" s="6"/>
      <c r="D811" s="961"/>
      <c r="E811" s="961"/>
    </row>
    <row r="812" spans="2:5" hidden="1" x14ac:dyDescent="0.2">
      <c r="B812" s="6"/>
      <c r="C812" s="6"/>
      <c r="D812" s="961"/>
      <c r="E812" s="961"/>
    </row>
    <row r="813" spans="2:5" hidden="1" x14ac:dyDescent="0.2">
      <c r="B813" s="6"/>
      <c r="C813" s="6"/>
      <c r="D813" s="961"/>
      <c r="E813" s="961"/>
    </row>
    <row r="814" spans="2:5" hidden="1" x14ac:dyDescent="0.2">
      <c r="B814" s="6"/>
      <c r="C814" s="6"/>
      <c r="D814" s="961"/>
      <c r="E814" s="961"/>
    </row>
    <row r="815" spans="2:5" hidden="1" x14ac:dyDescent="0.2">
      <c r="B815" s="6"/>
      <c r="C815" s="6"/>
      <c r="D815" s="961"/>
      <c r="E815" s="961"/>
    </row>
    <row r="816" spans="2:5" hidden="1" x14ac:dyDescent="0.2">
      <c r="B816" s="6"/>
      <c r="C816" s="6"/>
      <c r="D816" s="961"/>
      <c r="E816" s="961"/>
    </row>
    <row r="817" spans="2:5" hidden="1" x14ac:dyDescent="0.2">
      <c r="B817" s="6"/>
      <c r="C817" s="6"/>
      <c r="D817" s="961"/>
      <c r="E817" s="961"/>
    </row>
    <row r="818" spans="2:5" hidden="1" x14ac:dyDescent="0.2">
      <c r="B818" s="6"/>
      <c r="C818" s="6"/>
      <c r="D818" s="961"/>
      <c r="E818" s="961"/>
    </row>
    <row r="819" spans="2:5" hidden="1" x14ac:dyDescent="0.2">
      <c r="B819" s="6"/>
      <c r="C819" s="6"/>
      <c r="D819" s="961"/>
      <c r="E819" s="961"/>
    </row>
    <row r="820" spans="2:5" hidden="1" x14ac:dyDescent="0.2">
      <c r="B820" s="6"/>
      <c r="C820" s="6"/>
      <c r="D820" s="961"/>
      <c r="E820" s="961"/>
    </row>
    <row r="821" spans="2:5" hidden="1" x14ac:dyDescent="0.2">
      <c r="B821" s="6"/>
      <c r="C821" s="6"/>
      <c r="D821" s="961"/>
      <c r="E821" s="961"/>
    </row>
    <row r="822" spans="2:5" hidden="1" x14ac:dyDescent="0.2">
      <c r="B822" s="6"/>
      <c r="C822" s="6"/>
      <c r="D822" s="961"/>
      <c r="E822" s="961"/>
    </row>
    <row r="823" spans="2:5" hidden="1" x14ac:dyDescent="0.2">
      <c r="B823" s="6"/>
      <c r="C823" s="6"/>
      <c r="D823" s="961"/>
      <c r="E823" s="961"/>
    </row>
    <row r="824" spans="2:5" hidden="1" x14ac:dyDescent="0.2">
      <c r="B824" s="6"/>
      <c r="C824" s="6"/>
      <c r="D824" s="961"/>
      <c r="E824" s="961"/>
    </row>
    <row r="825" spans="2:5" hidden="1" x14ac:dyDescent="0.2">
      <c r="D825" s="334"/>
      <c r="E825" s="334"/>
    </row>
    <row r="826" spans="2:5" hidden="1" x14ac:dyDescent="0.2">
      <c r="D826" s="334"/>
      <c r="E826" s="334"/>
    </row>
    <row r="827" spans="2:5" hidden="1" x14ac:dyDescent="0.2">
      <c r="D827" s="334"/>
      <c r="E827" s="334"/>
    </row>
    <row r="828" spans="2:5" hidden="1" x14ac:dyDescent="0.2">
      <c r="D828" s="334"/>
      <c r="E828" s="334"/>
    </row>
    <row r="829" spans="2:5" hidden="1" x14ac:dyDescent="0.2">
      <c r="D829" s="334"/>
      <c r="E829" s="334"/>
    </row>
    <row r="830" spans="2:5" hidden="1" x14ac:dyDescent="0.2">
      <c r="D830" s="334"/>
      <c r="E830" s="334"/>
    </row>
    <row r="831" spans="2:5" hidden="1" x14ac:dyDescent="0.2">
      <c r="D831" s="334"/>
      <c r="E831" s="334"/>
    </row>
    <row r="832" spans="2:5" hidden="1" x14ac:dyDescent="0.2">
      <c r="D832" s="334"/>
      <c r="E832" s="334"/>
    </row>
    <row r="833" spans="4:5" hidden="1" x14ac:dyDescent="0.2">
      <c r="D833" s="334"/>
      <c r="E833" s="334"/>
    </row>
    <row r="834" spans="4:5" hidden="1" x14ac:dyDescent="0.2">
      <c r="D834" s="334"/>
      <c r="E834" s="334"/>
    </row>
    <row r="835" spans="4:5" hidden="1" x14ac:dyDescent="0.2">
      <c r="D835" s="334"/>
      <c r="E835" s="334"/>
    </row>
    <row r="836" spans="4:5" hidden="1" x14ac:dyDescent="0.2">
      <c r="D836" s="334"/>
      <c r="E836" s="334"/>
    </row>
    <row r="837" spans="4:5" hidden="1" x14ac:dyDescent="0.2">
      <c r="D837" s="334"/>
      <c r="E837" s="334"/>
    </row>
    <row r="838" spans="4:5" hidden="1" x14ac:dyDescent="0.2">
      <c r="D838" s="334"/>
      <c r="E838" s="334"/>
    </row>
    <row r="839" spans="4:5" hidden="1" x14ac:dyDescent="0.2">
      <c r="D839" s="334"/>
      <c r="E839" s="334"/>
    </row>
    <row r="840" spans="4:5" hidden="1" x14ac:dyDescent="0.2">
      <c r="D840" s="334"/>
      <c r="E840" s="334"/>
    </row>
    <row r="841" spans="4:5" hidden="1" x14ac:dyDescent="0.2">
      <c r="D841" s="334"/>
      <c r="E841" s="334"/>
    </row>
    <row r="842" spans="4:5" hidden="1" x14ac:dyDescent="0.2">
      <c r="D842" s="334"/>
      <c r="E842" s="334"/>
    </row>
    <row r="843" spans="4:5" hidden="1" x14ac:dyDescent="0.2">
      <c r="D843" s="334"/>
      <c r="E843" s="334"/>
    </row>
    <row r="844" spans="4:5" hidden="1" x14ac:dyDescent="0.2">
      <c r="D844" s="334"/>
      <c r="E844" s="334"/>
    </row>
    <row r="845" spans="4:5" hidden="1" x14ac:dyDescent="0.2">
      <c r="D845" s="334"/>
      <c r="E845" s="334"/>
    </row>
    <row r="846" spans="4:5" hidden="1" x14ac:dyDescent="0.2">
      <c r="D846" s="334"/>
      <c r="E846" s="334"/>
    </row>
    <row r="847" spans="4:5" hidden="1" x14ac:dyDescent="0.2">
      <c r="D847" s="334"/>
      <c r="E847" s="334"/>
    </row>
    <row r="848" spans="4:5" hidden="1" x14ac:dyDescent="0.2">
      <c r="D848" s="334"/>
      <c r="E848" s="334"/>
    </row>
    <row r="849" spans="4:5" hidden="1" x14ac:dyDescent="0.2">
      <c r="D849" s="334"/>
      <c r="E849" s="334"/>
    </row>
    <row r="850" spans="4:5" hidden="1" x14ac:dyDescent="0.2">
      <c r="D850" s="334"/>
      <c r="E850" s="334"/>
    </row>
    <row r="851" spans="4:5" hidden="1" x14ac:dyDescent="0.2">
      <c r="D851" s="334"/>
      <c r="E851" s="334"/>
    </row>
    <row r="852" spans="4:5" hidden="1" x14ac:dyDescent="0.2">
      <c r="D852" s="334"/>
      <c r="E852" s="334"/>
    </row>
    <row r="853" spans="4:5" hidden="1" x14ac:dyDescent="0.2">
      <c r="D853" s="334"/>
      <c r="E853" s="334"/>
    </row>
    <row r="854" spans="4:5" hidden="1" x14ac:dyDescent="0.2">
      <c r="D854" s="334"/>
      <c r="E854" s="334"/>
    </row>
    <row r="855" spans="4:5" hidden="1" x14ac:dyDescent="0.2">
      <c r="D855" s="334"/>
      <c r="E855" s="334"/>
    </row>
    <row r="856" spans="4:5" hidden="1" x14ac:dyDescent="0.2">
      <c r="D856" s="334"/>
      <c r="E856" s="334"/>
    </row>
    <row r="857" spans="4:5" hidden="1" x14ac:dyDescent="0.2">
      <c r="D857" s="334"/>
      <c r="E857" s="334"/>
    </row>
    <row r="858" spans="4:5" hidden="1" x14ac:dyDescent="0.2">
      <c r="D858" s="334"/>
      <c r="E858" s="334"/>
    </row>
    <row r="859" spans="4:5" hidden="1" x14ac:dyDescent="0.2">
      <c r="D859" s="334"/>
      <c r="E859" s="334"/>
    </row>
    <row r="860" spans="4:5" hidden="1" x14ac:dyDescent="0.2">
      <c r="D860" s="334"/>
      <c r="E860" s="334"/>
    </row>
    <row r="861" spans="4:5" hidden="1" x14ac:dyDescent="0.2">
      <c r="D861" s="334"/>
      <c r="E861" s="334"/>
    </row>
    <row r="862" spans="4:5" hidden="1" x14ac:dyDescent="0.2">
      <c r="D862" s="334"/>
      <c r="E862" s="334"/>
    </row>
    <row r="863" spans="4:5" hidden="1" x14ac:dyDescent="0.2">
      <c r="D863" s="334"/>
      <c r="E863" s="334"/>
    </row>
    <row r="864" spans="4:5" hidden="1" x14ac:dyDescent="0.2">
      <c r="D864" s="334"/>
      <c r="E864" s="334"/>
    </row>
    <row r="865" spans="4:5" hidden="1" x14ac:dyDescent="0.2">
      <c r="D865" s="334"/>
      <c r="E865" s="334"/>
    </row>
    <row r="866" spans="4:5" hidden="1" x14ac:dyDescent="0.2">
      <c r="D866" s="334"/>
      <c r="E866" s="334"/>
    </row>
    <row r="867" spans="4:5" hidden="1" x14ac:dyDescent="0.2">
      <c r="D867" s="334"/>
      <c r="E867" s="334"/>
    </row>
    <row r="868" spans="4:5" hidden="1" x14ac:dyDescent="0.2">
      <c r="D868" s="334"/>
      <c r="E868" s="334"/>
    </row>
    <row r="869" spans="4:5" hidden="1" x14ac:dyDescent="0.2">
      <c r="D869" s="334"/>
      <c r="E869" s="334"/>
    </row>
    <row r="870" spans="4:5" hidden="1" x14ac:dyDescent="0.2">
      <c r="D870" s="334"/>
      <c r="E870" s="334"/>
    </row>
    <row r="871" spans="4:5" hidden="1" x14ac:dyDescent="0.2">
      <c r="D871" s="334"/>
      <c r="E871" s="334"/>
    </row>
    <row r="872" spans="4:5" hidden="1" x14ac:dyDescent="0.2">
      <c r="D872" s="334"/>
      <c r="E872" s="334"/>
    </row>
    <row r="873" spans="4:5" hidden="1" x14ac:dyDescent="0.2">
      <c r="D873" s="334"/>
      <c r="E873" s="334"/>
    </row>
    <row r="874" spans="4:5" hidden="1" x14ac:dyDescent="0.2">
      <c r="D874" s="334"/>
      <c r="E874" s="334"/>
    </row>
    <row r="875" spans="4:5" hidden="1" x14ac:dyDescent="0.2">
      <c r="D875" s="334"/>
      <c r="E875" s="334"/>
    </row>
    <row r="876" spans="4:5" hidden="1" x14ac:dyDescent="0.2">
      <c r="D876" s="334"/>
      <c r="E876" s="334"/>
    </row>
    <row r="877" spans="4:5" hidden="1" x14ac:dyDescent="0.2">
      <c r="D877" s="334"/>
      <c r="E877" s="334"/>
    </row>
    <row r="878" spans="4:5" hidden="1" x14ac:dyDescent="0.2">
      <c r="D878" s="334"/>
      <c r="E878" s="334"/>
    </row>
    <row r="879" spans="4:5" hidden="1" x14ac:dyDescent="0.2">
      <c r="D879" s="334"/>
      <c r="E879" s="334"/>
    </row>
    <row r="880" spans="4:5" hidden="1" x14ac:dyDescent="0.2">
      <c r="D880" s="334"/>
      <c r="E880" s="334"/>
    </row>
    <row r="881" spans="4:5" hidden="1" x14ac:dyDescent="0.2">
      <c r="D881" s="334"/>
      <c r="E881" s="334"/>
    </row>
    <row r="882" spans="4:5" hidden="1" x14ac:dyDescent="0.2">
      <c r="D882" s="334"/>
      <c r="E882" s="334"/>
    </row>
    <row r="883" spans="4:5" hidden="1" x14ac:dyDescent="0.2">
      <c r="D883" s="334"/>
      <c r="E883" s="334"/>
    </row>
    <row r="884" spans="4:5" hidden="1" x14ac:dyDescent="0.2">
      <c r="D884" s="334"/>
      <c r="E884" s="334"/>
    </row>
    <row r="885" spans="4:5" hidden="1" x14ac:dyDescent="0.2">
      <c r="D885" s="334"/>
      <c r="E885" s="334"/>
    </row>
    <row r="886" spans="4:5" hidden="1" x14ac:dyDescent="0.2">
      <c r="D886" s="334"/>
      <c r="E886" s="334"/>
    </row>
    <row r="887" spans="4:5" hidden="1" x14ac:dyDescent="0.2">
      <c r="D887" s="334"/>
      <c r="E887" s="334"/>
    </row>
    <row r="888" spans="4:5" hidden="1" x14ac:dyDescent="0.2">
      <c r="D888" s="334"/>
      <c r="E888" s="334"/>
    </row>
    <row r="889" spans="4:5" hidden="1" x14ac:dyDescent="0.2">
      <c r="D889" s="334"/>
      <c r="E889" s="334"/>
    </row>
    <row r="890" spans="4:5" hidden="1" x14ac:dyDescent="0.2">
      <c r="D890" s="334"/>
      <c r="E890" s="334"/>
    </row>
    <row r="891" spans="4:5" hidden="1" x14ac:dyDescent="0.2">
      <c r="D891" s="334"/>
      <c r="E891" s="334"/>
    </row>
    <row r="892" spans="4:5" hidden="1" x14ac:dyDescent="0.2">
      <c r="D892" s="334"/>
      <c r="E892" s="334"/>
    </row>
    <row r="893" spans="4:5" hidden="1" x14ac:dyDescent="0.2">
      <c r="D893" s="334"/>
      <c r="E893" s="334"/>
    </row>
    <row r="894" spans="4:5" hidden="1" x14ac:dyDescent="0.2">
      <c r="D894" s="334"/>
      <c r="E894" s="334"/>
    </row>
    <row r="895" spans="4:5" hidden="1" x14ac:dyDescent="0.2">
      <c r="D895" s="334"/>
      <c r="E895" s="334"/>
    </row>
    <row r="896" spans="4:5" hidden="1" x14ac:dyDescent="0.2">
      <c r="D896" s="334"/>
      <c r="E896" s="334"/>
    </row>
    <row r="897" spans="4:5" hidden="1" x14ac:dyDescent="0.2">
      <c r="D897" s="334"/>
      <c r="E897" s="334"/>
    </row>
    <row r="898" spans="4:5" hidden="1" x14ac:dyDescent="0.2">
      <c r="D898" s="334"/>
      <c r="E898" s="334"/>
    </row>
    <row r="899" spans="4:5" hidden="1" x14ac:dyDescent="0.2">
      <c r="D899" s="334"/>
      <c r="E899" s="334"/>
    </row>
    <row r="900" spans="4:5" hidden="1" x14ac:dyDescent="0.2">
      <c r="D900" s="334"/>
      <c r="E900" s="334"/>
    </row>
    <row r="901" spans="4:5" hidden="1" x14ac:dyDescent="0.2">
      <c r="D901" s="334"/>
      <c r="E901" s="334"/>
    </row>
    <row r="902" spans="4:5" hidden="1" x14ac:dyDescent="0.2">
      <c r="D902" s="334"/>
      <c r="E902" s="334"/>
    </row>
    <row r="903" spans="4:5" hidden="1" x14ac:dyDescent="0.2">
      <c r="D903" s="334"/>
      <c r="E903" s="334"/>
    </row>
    <row r="904" spans="4:5" hidden="1" x14ac:dyDescent="0.2">
      <c r="D904" s="334"/>
      <c r="E904" s="334"/>
    </row>
    <row r="905" spans="4:5" hidden="1" x14ac:dyDescent="0.2">
      <c r="D905" s="334"/>
      <c r="E905" s="334"/>
    </row>
    <row r="906" spans="4:5" hidden="1" x14ac:dyDescent="0.2">
      <c r="D906" s="334"/>
      <c r="E906" s="334"/>
    </row>
    <row r="907" spans="4:5" hidden="1" x14ac:dyDescent="0.2">
      <c r="D907" s="334"/>
      <c r="E907" s="334"/>
    </row>
    <row r="908" spans="4:5" hidden="1" x14ac:dyDescent="0.2">
      <c r="D908" s="334"/>
      <c r="E908" s="334"/>
    </row>
    <row r="909" spans="4:5" hidden="1" x14ac:dyDescent="0.2">
      <c r="D909" s="334"/>
      <c r="E909" s="334"/>
    </row>
    <row r="910" spans="4:5" hidden="1" x14ac:dyDescent="0.2">
      <c r="D910" s="334"/>
      <c r="E910" s="334"/>
    </row>
    <row r="911" spans="4:5" hidden="1" x14ac:dyDescent="0.2">
      <c r="D911" s="334"/>
      <c r="E911" s="334"/>
    </row>
    <row r="912" spans="4:5" hidden="1" x14ac:dyDescent="0.2">
      <c r="D912" s="334"/>
      <c r="E912" s="334"/>
    </row>
    <row r="913" spans="4:5" hidden="1" x14ac:dyDescent="0.2">
      <c r="D913" s="334"/>
      <c r="E913" s="334"/>
    </row>
    <row r="914" spans="4:5" hidden="1" x14ac:dyDescent="0.2">
      <c r="D914" s="334"/>
      <c r="E914" s="334"/>
    </row>
    <row r="915" spans="4:5" hidden="1" x14ac:dyDescent="0.2">
      <c r="D915" s="334"/>
      <c r="E915" s="334"/>
    </row>
    <row r="916" spans="4:5" hidden="1" x14ac:dyDescent="0.2">
      <c r="D916" s="334"/>
      <c r="E916" s="334"/>
    </row>
    <row r="917" spans="4:5" hidden="1" x14ac:dyDescent="0.2">
      <c r="D917" s="334"/>
      <c r="E917" s="334"/>
    </row>
    <row r="918" spans="4:5" hidden="1" x14ac:dyDescent="0.2">
      <c r="D918" s="334"/>
      <c r="E918" s="334"/>
    </row>
    <row r="919" spans="4:5" hidden="1" x14ac:dyDescent="0.2">
      <c r="D919" s="334"/>
      <c r="E919" s="334"/>
    </row>
    <row r="920" spans="4:5" hidden="1" x14ac:dyDescent="0.2">
      <c r="D920" s="334"/>
      <c r="E920" s="334"/>
    </row>
    <row r="921" spans="4:5" hidden="1" x14ac:dyDescent="0.2">
      <c r="D921" s="334"/>
      <c r="E921" s="334"/>
    </row>
    <row r="922" spans="4:5" hidden="1" x14ac:dyDescent="0.2">
      <c r="D922" s="334"/>
      <c r="E922" s="334"/>
    </row>
    <row r="923" spans="4:5" hidden="1" x14ac:dyDescent="0.2">
      <c r="D923" s="334"/>
      <c r="E923" s="334"/>
    </row>
    <row r="924" spans="4:5" hidden="1" x14ac:dyDescent="0.2">
      <c r="D924" s="334"/>
      <c r="E924" s="334"/>
    </row>
    <row r="925" spans="4:5" hidden="1" x14ac:dyDescent="0.2">
      <c r="D925" s="334"/>
      <c r="E925" s="334"/>
    </row>
    <row r="926" spans="4:5" hidden="1" x14ac:dyDescent="0.2">
      <c r="D926" s="334"/>
      <c r="E926" s="334"/>
    </row>
    <row r="927" spans="4:5" hidden="1" x14ac:dyDescent="0.2">
      <c r="D927" s="334"/>
      <c r="E927" s="334"/>
    </row>
    <row r="928" spans="4:5" hidden="1" x14ac:dyDescent="0.2">
      <c r="D928" s="334"/>
      <c r="E928" s="334"/>
    </row>
    <row r="929" spans="4:5" hidden="1" x14ac:dyDescent="0.2">
      <c r="D929" s="334"/>
      <c r="E929" s="334"/>
    </row>
    <row r="930" spans="4:5" hidden="1" x14ac:dyDescent="0.2">
      <c r="D930" s="334"/>
      <c r="E930" s="334"/>
    </row>
    <row r="931" spans="4:5" hidden="1" x14ac:dyDescent="0.2">
      <c r="D931" s="334"/>
      <c r="E931" s="334"/>
    </row>
    <row r="932" spans="4:5" hidden="1" x14ac:dyDescent="0.2">
      <c r="D932" s="334"/>
      <c r="E932" s="334"/>
    </row>
    <row r="933" spans="4:5" hidden="1" x14ac:dyDescent="0.2">
      <c r="D933" s="334"/>
      <c r="E933" s="334"/>
    </row>
    <row r="934" spans="4:5" hidden="1" x14ac:dyDescent="0.2">
      <c r="D934" s="334"/>
      <c r="E934" s="334"/>
    </row>
    <row r="935" spans="4:5" hidden="1" x14ac:dyDescent="0.2">
      <c r="D935" s="334"/>
      <c r="E935" s="334"/>
    </row>
    <row r="936" spans="4:5" hidden="1" x14ac:dyDescent="0.2">
      <c r="D936" s="334"/>
      <c r="E936" s="334"/>
    </row>
    <row r="937" spans="4:5" hidden="1" x14ac:dyDescent="0.2">
      <c r="D937" s="334"/>
      <c r="E937" s="334"/>
    </row>
    <row r="938" spans="4:5" hidden="1" x14ac:dyDescent="0.2">
      <c r="D938" s="334"/>
      <c r="E938" s="334"/>
    </row>
    <row r="939" spans="4:5" hidden="1" x14ac:dyDescent="0.2">
      <c r="D939" s="334"/>
      <c r="E939" s="334"/>
    </row>
    <row r="940" spans="4:5" hidden="1" x14ac:dyDescent="0.2">
      <c r="D940" s="334"/>
      <c r="E940" s="334"/>
    </row>
    <row r="941" spans="4:5" hidden="1" x14ac:dyDescent="0.2">
      <c r="D941" s="334"/>
      <c r="E941" s="334"/>
    </row>
    <row r="942" spans="4:5" hidden="1" x14ac:dyDescent="0.2">
      <c r="D942" s="334"/>
      <c r="E942" s="334"/>
    </row>
    <row r="943" spans="4:5" hidden="1" x14ac:dyDescent="0.2">
      <c r="D943" s="334"/>
      <c r="E943" s="334"/>
    </row>
    <row r="944" spans="4:5" hidden="1" x14ac:dyDescent="0.2">
      <c r="D944" s="334"/>
      <c r="E944" s="334"/>
    </row>
    <row r="945" spans="4:5" hidden="1" x14ac:dyDescent="0.2">
      <c r="D945" s="334"/>
      <c r="E945" s="334"/>
    </row>
    <row r="946" spans="4:5" hidden="1" x14ac:dyDescent="0.2">
      <c r="D946" s="334"/>
      <c r="E946" s="334"/>
    </row>
    <row r="947" spans="4:5" hidden="1" x14ac:dyDescent="0.2">
      <c r="D947" s="334"/>
      <c r="E947" s="334"/>
    </row>
    <row r="948" spans="4:5" hidden="1" x14ac:dyDescent="0.2">
      <c r="D948" s="334"/>
      <c r="E948" s="334"/>
    </row>
    <row r="949" spans="4:5" hidden="1" x14ac:dyDescent="0.2">
      <c r="D949" s="334"/>
      <c r="E949" s="334"/>
    </row>
    <row r="950" spans="4:5" hidden="1" x14ac:dyDescent="0.2">
      <c r="D950" s="334"/>
      <c r="E950" s="334"/>
    </row>
    <row r="951" spans="4:5" hidden="1" x14ac:dyDescent="0.2">
      <c r="D951" s="334"/>
      <c r="E951" s="334"/>
    </row>
    <row r="952" spans="4:5" hidden="1" x14ac:dyDescent="0.2">
      <c r="D952" s="334"/>
      <c r="E952" s="334"/>
    </row>
    <row r="953" spans="4:5" hidden="1" x14ac:dyDescent="0.2">
      <c r="D953" s="334"/>
      <c r="E953" s="334"/>
    </row>
    <row r="954" spans="4:5" hidden="1" x14ac:dyDescent="0.2">
      <c r="D954" s="334"/>
      <c r="E954" s="334"/>
    </row>
    <row r="955" spans="4:5" hidden="1" x14ac:dyDescent="0.2">
      <c r="D955" s="334"/>
      <c r="E955" s="334"/>
    </row>
    <row r="956" spans="4:5" hidden="1" x14ac:dyDescent="0.2">
      <c r="D956" s="334"/>
      <c r="E956" s="334"/>
    </row>
    <row r="957" spans="4:5" hidden="1" x14ac:dyDescent="0.2">
      <c r="D957" s="334"/>
      <c r="E957" s="334"/>
    </row>
    <row r="958" spans="4:5" hidden="1" x14ac:dyDescent="0.2">
      <c r="D958" s="334"/>
      <c r="E958" s="334"/>
    </row>
    <row r="959" spans="4:5" hidden="1" x14ac:dyDescent="0.2">
      <c r="D959" s="334"/>
      <c r="E959" s="334"/>
    </row>
    <row r="960" spans="4:5" hidden="1" x14ac:dyDescent="0.2">
      <c r="D960" s="334"/>
      <c r="E960" s="334"/>
    </row>
    <row r="961" spans="4:5" hidden="1" x14ac:dyDescent="0.2">
      <c r="D961" s="334"/>
      <c r="E961" s="334"/>
    </row>
    <row r="962" spans="4:5" hidden="1" x14ac:dyDescent="0.2">
      <c r="D962" s="334"/>
      <c r="E962" s="334"/>
    </row>
    <row r="963" spans="4:5" hidden="1" x14ac:dyDescent="0.2">
      <c r="D963" s="334"/>
      <c r="E963" s="334"/>
    </row>
    <row r="964" spans="4:5" hidden="1" x14ac:dyDescent="0.2">
      <c r="D964" s="334"/>
      <c r="E964" s="334"/>
    </row>
    <row r="965" spans="4:5" hidden="1" x14ac:dyDescent="0.2">
      <c r="D965" s="334"/>
      <c r="E965" s="334"/>
    </row>
    <row r="966" spans="4:5" hidden="1" x14ac:dyDescent="0.2">
      <c r="D966" s="334"/>
      <c r="E966" s="334"/>
    </row>
    <row r="967" spans="4:5" hidden="1" x14ac:dyDescent="0.2">
      <c r="D967" s="334"/>
      <c r="E967" s="334"/>
    </row>
    <row r="968" spans="4:5" hidden="1" x14ac:dyDescent="0.2">
      <c r="D968" s="334"/>
      <c r="E968" s="334"/>
    </row>
    <row r="969" spans="4:5" hidden="1" x14ac:dyDescent="0.2">
      <c r="D969" s="334"/>
      <c r="E969" s="334"/>
    </row>
    <row r="970" spans="4:5" hidden="1" x14ac:dyDescent="0.2">
      <c r="D970" s="334"/>
      <c r="E970" s="334"/>
    </row>
    <row r="971" spans="4:5" hidden="1" x14ac:dyDescent="0.2">
      <c r="D971" s="334"/>
      <c r="E971" s="334"/>
    </row>
    <row r="972" spans="4:5" hidden="1" x14ac:dyDescent="0.2">
      <c r="D972" s="334"/>
      <c r="E972" s="334"/>
    </row>
    <row r="973" spans="4:5" hidden="1" x14ac:dyDescent="0.2">
      <c r="D973" s="334"/>
      <c r="E973" s="334"/>
    </row>
    <row r="974" spans="4:5" hidden="1" x14ac:dyDescent="0.2">
      <c r="D974" s="334"/>
      <c r="E974" s="334"/>
    </row>
    <row r="975" spans="4:5" hidden="1" x14ac:dyDescent="0.2">
      <c r="D975" s="334"/>
      <c r="E975" s="334"/>
    </row>
    <row r="976" spans="4:5" hidden="1" x14ac:dyDescent="0.2">
      <c r="D976" s="334"/>
      <c r="E976" s="334"/>
    </row>
    <row r="977" spans="4:5" hidden="1" x14ac:dyDescent="0.2">
      <c r="D977" s="334"/>
      <c r="E977" s="334"/>
    </row>
    <row r="978" spans="4:5" hidden="1" x14ac:dyDescent="0.2">
      <c r="D978" s="334"/>
      <c r="E978" s="334"/>
    </row>
    <row r="979" spans="4:5" hidden="1" x14ac:dyDescent="0.2">
      <c r="D979" s="334"/>
      <c r="E979" s="334"/>
    </row>
    <row r="980" spans="4:5" hidden="1" x14ac:dyDescent="0.2">
      <c r="D980" s="334"/>
      <c r="E980" s="334"/>
    </row>
    <row r="981" spans="4:5" hidden="1" x14ac:dyDescent="0.2">
      <c r="D981" s="334"/>
      <c r="E981" s="334"/>
    </row>
    <row r="982" spans="4:5" hidden="1" x14ac:dyDescent="0.2">
      <c r="D982" s="334"/>
      <c r="E982" s="334"/>
    </row>
    <row r="983" spans="4:5" hidden="1" x14ac:dyDescent="0.2">
      <c r="D983" s="334"/>
      <c r="E983" s="334"/>
    </row>
    <row r="984" spans="4:5" hidden="1" x14ac:dyDescent="0.2">
      <c r="D984" s="334"/>
      <c r="E984" s="334"/>
    </row>
    <row r="985" spans="4:5" hidden="1" x14ac:dyDescent="0.2">
      <c r="D985" s="334"/>
      <c r="E985" s="334"/>
    </row>
    <row r="986" spans="4:5" hidden="1" x14ac:dyDescent="0.2">
      <c r="D986" s="334"/>
      <c r="E986" s="334"/>
    </row>
    <row r="987" spans="4:5" hidden="1" x14ac:dyDescent="0.2">
      <c r="D987" s="334"/>
      <c r="E987" s="334"/>
    </row>
    <row r="988" spans="4:5" hidden="1" x14ac:dyDescent="0.2">
      <c r="D988" s="334"/>
      <c r="E988" s="334"/>
    </row>
    <row r="989" spans="4:5" hidden="1" x14ac:dyDescent="0.2">
      <c r="D989" s="334"/>
      <c r="E989" s="334"/>
    </row>
    <row r="990" spans="4:5" hidden="1" x14ac:dyDescent="0.2">
      <c r="D990" s="334"/>
      <c r="E990" s="334"/>
    </row>
    <row r="991" spans="4:5" hidden="1" x14ac:dyDescent="0.2">
      <c r="D991" s="334"/>
      <c r="E991" s="334"/>
    </row>
    <row r="992" spans="4:5" hidden="1" x14ac:dyDescent="0.2">
      <c r="D992" s="334"/>
      <c r="E992" s="334"/>
    </row>
    <row r="993" spans="4:5" hidden="1" x14ac:dyDescent="0.2">
      <c r="D993" s="334"/>
      <c r="E993" s="334"/>
    </row>
    <row r="994" spans="4:5" hidden="1" x14ac:dyDescent="0.2">
      <c r="D994" s="334"/>
      <c r="E994" s="334"/>
    </row>
    <row r="995" spans="4:5" hidden="1" x14ac:dyDescent="0.2">
      <c r="D995" s="334"/>
      <c r="E995" s="334"/>
    </row>
    <row r="996" spans="4:5" hidden="1" x14ac:dyDescent="0.2">
      <c r="D996" s="334"/>
      <c r="E996" s="334"/>
    </row>
    <row r="997" spans="4:5" hidden="1" x14ac:dyDescent="0.2">
      <c r="D997" s="334"/>
      <c r="E997" s="334"/>
    </row>
    <row r="998" spans="4:5" hidden="1" x14ac:dyDescent="0.2">
      <c r="D998" s="334"/>
      <c r="E998" s="334"/>
    </row>
    <row r="999" spans="4:5" hidden="1" x14ac:dyDescent="0.2">
      <c r="D999" s="334"/>
      <c r="E999" s="334"/>
    </row>
    <row r="1000" spans="4:5" hidden="1" x14ac:dyDescent="0.2">
      <c r="D1000" s="334"/>
      <c r="E1000" s="334"/>
    </row>
    <row r="1001" spans="4:5" hidden="1" x14ac:dyDescent="0.2">
      <c r="D1001" s="334"/>
      <c r="E1001" s="334"/>
    </row>
    <row r="1002" spans="4:5" hidden="1" x14ac:dyDescent="0.2">
      <c r="D1002" s="334"/>
      <c r="E1002" s="334"/>
    </row>
    <row r="1003" spans="4:5" hidden="1" x14ac:dyDescent="0.2">
      <c r="D1003" s="334"/>
      <c r="E1003" s="334"/>
    </row>
    <row r="1004" spans="4:5" hidden="1" x14ac:dyDescent="0.2">
      <c r="D1004" s="334"/>
      <c r="E1004" s="334"/>
    </row>
    <row r="1005" spans="4:5" hidden="1" x14ac:dyDescent="0.2">
      <c r="D1005" s="334"/>
      <c r="E1005" s="334"/>
    </row>
    <row r="1006" spans="4:5" hidden="1" x14ac:dyDescent="0.2">
      <c r="D1006" s="334"/>
      <c r="E1006" s="334"/>
    </row>
    <row r="1007" spans="4:5" hidden="1" x14ac:dyDescent="0.2">
      <c r="D1007" s="334"/>
      <c r="E1007" s="334"/>
    </row>
    <row r="1008" spans="4:5" hidden="1" x14ac:dyDescent="0.2">
      <c r="D1008" s="334"/>
      <c r="E1008" s="334"/>
    </row>
    <row r="1009" spans="4:5" hidden="1" x14ac:dyDescent="0.2">
      <c r="D1009" s="334"/>
      <c r="E1009" s="334"/>
    </row>
    <row r="1010" spans="4:5" hidden="1" x14ac:dyDescent="0.2">
      <c r="D1010" s="334"/>
      <c r="E1010" s="334"/>
    </row>
    <row r="1011" spans="4:5" hidden="1" x14ac:dyDescent="0.2">
      <c r="D1011" s="334"/>
      <c r="E1011" s="334"/>
    </row>
    <row r="1012" spans="4:5" hidden="1" x14ac:dyDescent="0.2">
      <c r="D1012" s="334"/>
      <c r="E1012" s="334"/>
    </row>
    <row r="1013" spans="4:5" hidden="1" x14ac:dyDescent="0.2">
      <c r="D1013" s="334"/>
      <c r="E1013" s="334"/>
    </row>
    <row r="1014" spans="4:5" hidden="1" x14ac:dyDescent="0.2">
      <c r="D1014" s="334"/>
      <c r="E1014" s="334"/>
    </row>
    <row r="1015" spans="4:5" hidden="1" x14ac:dyDescent="0.2">
      <c r="D1015" s="334"/>
      <c r="E1015" s="334"/>
    </row>
    <row r="1016" spans="4:5" hidden="1" x14ac:dyDescent="0.2">
      <c r="D1016" s="334"/>
      <c r="E1016" s="334"/>
    </row>
    <row r="1017" spans="4:5" hidden="1" x14ac:dyDescent="0.2">
      <c r="D1017" s="334"/>
      <c r="E1017" s="334"/>
    </row>
    <row r="1018" spans="4:5" hidden="1" x14ac:dyDescent="0.2">
      <c r="D1018" s="334"/>
      <c r="E1018" s="334"/>
    </row>
    <row r="1019" spans="4:5" hidden="1" x14ac:dyDescent="0.2">
      <c r="D1019" s="334"/>
      <c r="E1019" s="334"/>
    </row>
    <row r="1020" spans="4:5" hidden="1" x14ac:dyDescent="0.2">
      <c r="D1020" s="334"/>
      <c r="E1020" s="334"/>
    </row>
    <row r="1021" spans="4:5" hidden="1" x14ac:dyDescent="0.2">
      <c r="D1021" s="334"/>
      <c r="E1021" s="334"/>
    </row>
    <row r="1022" spans="4:5" hidden="1" x14ac:dyDescent="0.2">
      <c r="D1022" s="334"/>
      <c r="E1022" s="334"/>
    </row>
    <row r="1023" spans="4:5" hidden="1" x14ac:dyDescent="0.2">
      <c r="D1023" s="334"/>
      <c r="E1023" s="334"/>
    </row>
    <row r="1024" spans="4:5" hidden="1" x14ac:dyDescent="0.2">
      <c r="D1024" s="334"/>
      <c r="E1024" s="334"/>
    </row>
    <row r="1025" spans="4:5" hidden="1" x14ac:dyDescent="0.2">
      <c r="D1025" s="334"/>
      <c r="E1025" s="334"/>
    </row>
    <row r="1026" spans="4:5" hidden="1" x14ac:dyDescent="0.2">
      <c r="D1026" s="334"/>
      <c r="E1026" s="334"/>
    </row>
    <row r="1027" spans="4:5" hidden="1" x14ac:dyDescent="0.2">
      <c r="D1027" s="334"/>
      <c r="E1027" s="334"/>
    </row>
    <row r="1028" spans="4:5" hidden="1" x14ac:dyDescent="0.2">
      <c r="D1028" s="334"/>
      <c r="E1028" s="334"/>
    </row>
    <row r="1029" spans="4:5" hidden="1" x14ac:dyDescent="0.2">
      <c r="D1029" s="334"/>
      <c r="E1029" s="334"/>
    </row>
    <row r="1030" spans="4:5" hidden="1" x14ac:dyDescent="0.2">
      <c r="D1030" s="334"/>
      <c r="E1030" s="334"/>
    </row>
    <row r="1031" spans="4:5" hidden="1" x14ac:dyDescent="0.2">
      <c r="D1031" s="334"/>
      <c r="E1031" s="334"/>
    </row>
    <row r="1032" spans="4:5" hidden="1" x14ac:dyDescent="0.2">
      <c r="D1032" s="334"/>
      <c r="E1032" s="334"/>
    </row>
    <row r="1033" spans="4:5" hidden="1" x14ac:dyDescent="0.2">
      <c r="D1033" s="334"/>
      <c r="E1033" s="334"/>
    </row>
    <row r="1034" spans="4:5" hidden="1" x14ac:dyDescent="0.2">
      <c r="D1034" s="334"/>
      <c r="E1034" s="334"/>
    </row>
    <row r="1035" spans="4:5" hidden="1" x14ac:dyDescent="0.2">
      <c r="D1035" s="334"/>
      <c r="E1035" s="334"/>
    </row>
    <row r="1036" spans="4:5" hidden="1" x14ac:dyDescent="0.2">
      <c r="D1036" s="334"/>
      <c r="E1036" s="334"/>
    </row>
    <row r="1037" spans="4:5" hidden="1" x14ac:dyDescent="0.2">
      <c r="D1037" s="334"/>
      <c r="E1037" s="334"/>
    </row>
    <row r="1038" spans="4:5" hidden="1" x14ac:dyDescent="0.2">
      <c r="D1038" s="334"/>
      <c r="E1038" s="334"/>
    </row>
    <row r="1039" spans="4:5" hidden="1" x14ac:dyDescent="0.2">
      <c r="D1039" s="334"/>
      <c r="E1039" s="334"/>
    </row>
    <row r="1040" spans="4:5" hidden="1" x14ac:dyDescent="0.2">
      <c r="D1040" s="334"/>
      <c r="E1040" s="334"/>
    </row>
    <row r="1041" spans="4:5" hidden="1" x14ac:dyDescent="0.2">
      <c r="D1041" s="334"/>
      <c r="E1041" s="334"/>
    </row>
    <row r="1042" spans="4:5" hidden="1" x14ac:dyDescent="0.2">
      <c r="D1042" s="334"/>
      <c r="E1042" s="334"/>
    </row>
    <row r="1043" spans="4:5" hidden="1" x14ac:dyDescent="0.2">
      <c r="D1043" s="334"/>
      <c r="E1043" s="334"/>
    </row>
    <row r="1044" spans="4:5" hidden="1" x14ac:dyDescent="0.2">
      <c r="D1044" s="334"/>
      <c r="E1044" s="334"/>
    </row>
    <row r="1045" spans="4:5" hidden="1" x14ac:dyDescent="0.2">
      <c r="D1045" s="334"/>
      <c r="E1045" s="334"/>
    </row>
    <row r="1046" spans="4:5" hidden="1" x14ac:dyDescent="0.2">
      <c r="D1046" s="334"/>
      <c r="E1046" s="334"/>
    </row>
    <row r="1047" spans="4:5" hidden="1" x14ac:dyDescent="0.2">
      <c r="D1047" s="334"/>
      <c r="E1047" s="334"/>
    </row>
    <row r="1048" spans="4:5" hidden="1" x14ac:dyDescent="0.2">
      <c r="D1048" s="334"/>
      <c r="E1048" s="334"/>
    </row>
    <row r="1049" spans="4:5" hidden="1" x14ac:dyDescent="0.2">
      <c r="D1049" s="334"/>
      <c r="E1049" s="334"/>
    </row>
    <row r="1050" spans="4:5" hidden="1" x14ac:dyDescent="0.2">
      <c r="D1050" s="334"/>
      <c r="E1050" s="334"/>
    </row>
    <row r="1051" spans="4:5" hidden="1" x14ac:dyDescent="0.2">
      <c r="D1051" s="334"/>
      <c r="E1051" s="334"/>
    </row>
    <row r="1052" spans="4:5" hidden="1" x14ac:dyDescent="0.2">
      <c r="D1052" s="334"/>
      <c r="E1052" s="334"/>
    </row>
    <row r="1053" spans="4:5" hidden="1" x14ac:dyDescent="0.2">
      <c r="D1053" s="334"/>
      <c r="E1053" s="334"/>
    </row>
    <row r="1054" spans="4:5" hidden="1" x14ac:dyDescent="0.2">
      <c r="D1054" s="334"/>
      <c r="E1054" s="334"/>
    </row>
    <row r="1055" spans="4:5" hidden="1" x14ac:dyDescent="0.2">
      <c r="D1055" s="334"/>
      <c r="E1055" s="334"/>
    </row>
    <row r="1056" spans="4:5" hidden="1" x14ac:dyDescent="0.2">
      <c r="D1056" s="334"/>
      <c r="E1056" s="334"/>
    </row>
    <row r="1057" spans="4:5" hidden="1" x14ac:dyDescent="0.2">
      <c r="D1057" s="334"/>
      <c r="E1057" s="334"/>
    </row>
    <row r="1058" spans="4:5" hidden="1" x14ac:dyDescent="0.2">
      <c r="D1058" s="334"/>
      <c r="E1058" s="334"/>
    </row>
    <row r="1059" spans="4:5" hidden="1" x14ac:dyDescent="0.2">
      <c r="D1059" s="334"/>
      <c r="E1059" s="334"/>
    </row>
    <row r="1060" spans="4:5" hidden="1" x14ac:dyDescent="0.2">
      <c r="D1060" s="334"/>
      <c r="E1060" s="334"/>
    </row>
    <row r="1061" spans="4:5" hidden="1" x14ac:dyDescent="0.2">
      <c r="D1061" s="334"/>
      <c r="E1061" s="334"/>
    </row>
    <row r="1062" spans="4:5" hidden="1" x14ac:dyDescent="0.2">
      <c r="D1062" s="334"/>
      <c r="E1062" s="334"/>
    </row>
    <row r="1063" spans="4:5" hidden="1" x14ac:dyDescent="0.2">
      <c r="D1063" s="334"/>
      <c r="E1063" s="334"/>
    </row>
    <row r="1064" spans="4:5" hidden="1" x14ac:dyDescent="0.2">
      <c r="D1064" s="334"/>
      <c r="E1064" s="334"/>
    </row>
    <row r="1065" spans="4:5" hidden="1" x14ac:dyDescent="0.2">
      <c r="D1065" s="334"/>
      <c r="E1065" s="334"/>
    </row>
    <row r="1066" spans="4:5" hidden="1" x14ac:dyDescent="0.2">
      <c r="D1066" s="334"/>
      <c r="E1066" s="334"/>
    </row>
    <row r="1067" spans="4:5" hidden="1" x14ac:dyDescent="0.2">
      <c r="D1067" s="334"/>
      <c r="E1067" s="334"/>
    </row>
    <row r="1068" spans="4:5" hidden="1" x14ac:dyDescent="0.2">
      <c r="D1068" s="334"/>
      <c r="E1068" s="334"/>
    </row>
    <row r="1069" spans="4:5" hidden="1" x14ac:dyDescent="0.2">
      <c r="D1069" s="334"/>
      <c r="E1069" s="334"/>
    </row>
    <row r="1070" spans="4:5" hidden="1" x14ac:dyDescent="0.2">
      <c r="D1070" s="334"/>
      <c r="E1070" s="334"/>
    </row>
    <row r="1071" spans="4:5" hidden="1" x14ac:dyDescent="0.2">
      <c r="D1071" s="334"/>
      <c r="E1071" s="334"/>
    </row>
    <row r="1072" spans="4:5" hidden="1" x14ac:dyDescent="0.2">
      <c r="D1072" s="334"/>
      <c r="E1072" s="334"/>
    </row>
    <row r="1073" spans="4:5" hidden="1" x14ac:dyDescent="0.2">
      <c r="D1073" s="334"/>
      <c r="E1073" s="334"/>
    </row>
    <row r="1074" spans="4:5" hidden="1" x14ac:dyDescent="0.2">
      <c r="D1074" s="334"/>
      <c r="E1074" s="334"/>
    </row>
    <row r="1075" spans="4:5" hidden="1" x14ac:dyDescent="0.2">
      <c r="D1075" s="334"/>
      <c r="E1075" s="334"/>
    </row>
    <row r="1076" spans="4:5" hidden="1" x14ac:dyDescent="0.2">
      <c r="D1076" s="334"/>
      <c r="E1076" s="334"/>
    </row>
    <row r="1077" spans="4:5" hidden="1" x14ac:dyDescent="0.2">
      <c r="D1077" s="334"/>
      <c r="E1077" s="334"/>
    </row>
    <row r="1078" spans="4:5" hidden="1" x14ac:dyDescent="0.2">
      <c r="D1078" s="334"/>
      <c r="E1078" s="334"/>
    </row>
    <row r="1079" spans="4:5" hidden="1" x14ac:dyDescent="0.2">
      <c r="D1079" s="334"/>
      <c r="E1079" s="334"/>
    </row>
    <row r="1080" spans="4:5" hidden="1" x14ac:dyDescent="0.2">
      <c r="D1080" s="334"/>
      <c r="E1080" s="334"/>
    </row>
    <row r="1081" spans="4:5" hidden="1" x14ac:dyDescent="0.2">
      <c r="D1081" s="334"/>
      <c r="E1081" s="334"/>
    </row>
    <row r="1082" spans="4:5" hidden="1" x14ac:dyDescent="0.2">
      <c r="D1082" s="334"/>
      <c r="E1082" s="334"/>
    </row>
    <row r="1083" spans="4:5" hidden="1" x14ac:dyDescent="0.2">
      <c r="D1083" s="334"/>
      <c r="E1083" s="334"/>
    </row>
    <row r="1084" spans="4:5" hidden="1" x14ac:dyDescent="0.2">
      <c r="D1084" s="334"/>
      <c r="E1084" s="334"/>
    </row>
    <row r="1085" spans="4:5" hidden="1" x14ac:dyDescent="0.2">
      <c r="D1085" s="334"/>
      <c r="E1085" s="334"/>
    </row>
    <row r="1086" spans="4:5" hidden="1" x14ac:dyDescent="0.2">
      <c r="D1086" s="334"/>
      <c r="E1086" s="334"/>
    </row>
    <row r="1087" spans="4:5" hidden="1" x14ac:dyDescent="0.2">
      <c r="D1087" s="334"/>
      <c r="E1087" s="334"/>
    </row>
    <row r="1088" spans="4:5" hidden="1" x14ac:dyDescent="0.2">
      <c r="D1088" s="334"/>
      <c r="E1088" s="334"/>
    </row>
    <row r="1089" spans="4:5" hidden="1" x14ac:dyDescent="0.2">
      <c r="D1089" s="334"/>
      <c r="E1089" s="334"/>
    </row>
    <row r="1090" spans="4:5" hidden="1" x14ac:dyDescent="0.2">
      <c r="D1090" s="334"/>
      <c r="E1090" s="334"/>
    </row>
    <row r="1091" spans="4:5" hidden="1" x14ac:dyDescent="0.2">
      <c r="D1091" s="334"/>
      <c r="E1091" s="334"/>
    </row>
    <row r="1092" spans="4:5" hidden="1" x14ac:dyDescent="0.2">
      <c r="D1092" s="334"/>
      <c r="E1092" s="334"/>
    </row>
    <row r="1093" spans="4:5" hidden="1" x14ac:dyDescent="0.2">
      <c r="D1093" s="334"/>
      <c r="E1093" s="334"/>
    </row>
    <row r="1094" spans="4:5" hidden="1" x14ac:dyDescent="0.2">
      <c r="D1094" s="334"/>
      <c r="E1094" s="334"/>
    </row>
    <row r="1095" spans="4:5" hidden="1" x14ac:dyDescent="0.2">
      <c r="D1095" s="334"/>
      <c r="E1095" s="334"/>
    </row>
    <row r="1096" spans="4:5" hidden="1" x14ac:dyDescent="0.2">
      <c r="D1096" s="334"/>
      <c r="E1096" s="334"/>
    </row>
    <row r="1097" spans="4:5" hidden="1" x14ac:dyDescent="0.2">
      <c r="D1097" s="334"/>
      <c r="E1097" s="334"/>
    </row>
    <row r="1098" spans="4:5" hidden="1" x14ac:dyDescent="0.2">
      <c r="D1098" s="334"/>
      <c r="E1098" s="334"/>
    </row>
    <row r="1099" spans="4:5" hidden="1" x14ac:dyDescent="0.2">
      <c r="D1099" s="334"/>
      <c r="E1099" s="334"/>
    </row>
    <row r="1100" spans="4:5" hidden="1" x14ac:dyDescent="0.2">
      <c r="D1100" s="334"/>
      <c r="E1100" s="334"/>
    </row>
    <row r="1101" spans="4:5" hidden="1" x14ac:dyDescent="0.2">
      <c r="D1101" s="334"/>
      <c r="E1101" s="334"/>
    </row>
    <row r="1102" spans="4:5" hidden="1" x14ac:dyDescent="0.2">
      <c r="D1102" s="334"/>
      <c r="E1102" s="334"/>
    </row>
    <row r="1103" spans="4:5" hidden="1" x14ac:dyDescent="0.2">
      <c r="D1103" s="334"/>
      <c r="E1103" s="334"/>
    </row>
    <row r="1104" spans="4:5" hidden="1" x14ac:dyDescent="0.2">
      <c r="D1104" s="334"/>
      <c r="E1104" s="334"/>
    </row>
    <row r="1105" spans="4:5" hidden="1" x14ac:dyDescent="0.2">
      <c r="D1105" s="334"/>
      <c r="E1105" s="334"/>
    </row>
    <row r="1106" spans="4:5" hidden="1" x14ac:dyDescent="0.2">
      <c r="D1106" s="334"/>
      <c r="E1106" s="334"/>
    </row>
    <row r="1107" spans="4:5" hidden="1" x14ac:dyDescent="0.2">
      <c r="D1107" s="334"/>
      <c r="E1107" s="334"/>
    </row>
    <row r="1108" spans="4:5" hidden="1" x14ac:dyDescent="0.2">
      <c r="D1108" s="334"/>
      <c r="E1108" s="334"/>
    </row>
    <row r="1109" spans="4:5" hidden="1" x14ac:dyDescent="0.2">
      <c r="D1109" s="334"/>
      <c r="E1109" s="334"/>
    </row>
    <row r="1110" spans="4:5" hidden="1" x14ac:dyDescent="0.2">
      <c r="D1110" s="334"/>
      <c r="E1110" s="334"/>
    </row>
    <row r="1111" spans="4:5" hidden="1" x14ac:dyDescent="0.2">
      <c r="D1111" s="334"/>
      <c r="E1111" s="334"/>
    </row>
    <row r="1112" spans="4:5" hidden="1" x14ac:dyDescent="0.2">
      <c r="D1112" s="334"/>
      <c r="E1112" s="334"/>
    </row>
    <row r="1113" spans="4:5" hidden="1" x14ac:dyDescent="0.2">
      <c r="D1113" s="334"/>
      <c r="E1113" s="334"/>
    </row>
    <row r="1114" spans="4:5" hidden="1" x14ac:dyDescent="0.2">
      <c r="D1114" s="334"/>
      <c r="E1114" s="334"/>
    </row>
    <row r="1115" spans="4:5" hidden="1" x14ac:dyDescent="0.2">
      <c r="D1115" s="334"/>
      <c r="E1115" s="334"/>
    </row>
    <row r="1116" spans="4:5" hidden="1" x14ac:dyDescent="0.2">
      <c r="D1116" s="334"/>
      <c r="E1116" s="334"/>
    </row>
    <row r="1117" spans="4:5" hidden="1" x14ac:dyDescent="0.2">
      <c r="D1117" s="334"/>
      <c r="E1117" s="334"/>
    </row>
    <row r="1118" spans="4:5" hidden="1" x14ac:dyDescent="0.2">
      <c r="D1118" s="334"/>
      <c r="E1118" s="334"/>
    </row>
    <row r="1119" spans="4:5" hidden="1" x14ac:dyDescent="0.2">
      <c r="D1119" s="334"/>
      <c r="E1119" s="334"/>
    </row>
    <row r="1120" spans="4:5" hidden="1" x14ac:dyDescent="0.2">
      <c r="D1120" s="334"/>
      <c r="E1120" s="334"/>
    </row>
    <row r="1121" spans="4:5" hidden="1" x14ac:dyDescent="0.2">
      <c r="D1121" s="334"/>
      <c r="E1121" s="334"/>
    </row>
    <row r="1122" spans="4:5" hidden="1" x14ac:dyDescent="0.2">
      <c r="D1122" s="334"/>
      <c r="E1122" s="334"/>
    </row>
    <row r="1123" spans="4:5" hidden="1" x14ac:dyDescent="0.2">
      <c r="D1123" s="334"/>
      <c r="E1123" s="334"/>
    </row>
    <row r="1124" spans="4:5" hidden="1" x14ac:dyDescent="0.2">
      <c r="D1124" s="334"/>
      <c r="E1124" s="334"/>
    </row>
    <row r="1125" spans="4:5" hidden="1" x14ac:dyDescent="0.2">
      <c r="D1125" s="334"/>
      <c r="E1125" s="334"/>
    </row>
    <row r="1126" spans="4:5" hidden="1" x14ac:dyDescent="0.2">
      <c r="D1126" s="334"/>
      <c r="E1126" s="334"/>
    </row>
    <row r="1127" spans="4:5" hidden="1" x14ac:dyDescent="0.2">
      <c r="D1127" s="334"/>
      <c r="E1127" s="334"/>
    </row>
    <row r="1128" spans="4:5" hidden="1" x14ac:dyDescent="0.2">
      <c r="D1128" s="334"/>
      <c r="E1128" s="334"/>
    </row>
    <row r="1129" spans="4:5" hidden="1" x14ac:dyDescent="0.2">
      <c r="D1129" s="334"/>
      <c r="E1129" s="334"/>
    </row>
    <row r="1130" spans="4:5" hidden="1" x14ac:dyDescent="0.2">
      <c r="D1130" s="334"/>
      <c r="E1130" s="334"/>
    </row>
    <row r="1131" spans="4:5" hidden="1" x14ac:dyDescent="0.2">
      <c r="D1131" s="334"/>
      <c r="E1131" s="334"/>
    </row>
    <row r="1132" spans="4:5" hidden="1" x14ac:dyDescent="0.2">
      <c r="D1132" s="334"/>
      <c r="E1132" s="334"/>
    </row>
    <row r="1133" spans="4:5" hidden="1" x14ac:dyDescent="0.2">
      <c r="D1133" s="334"/>
      <c r="E1133" s="334"/>
    </row>
    <row r="1134" spans="4:5" hidden="1" x14ac:dyDescent="0.2">
      <c r="D1134" s="334"/>
      <c r="E1134" s="334"/>
    </row>
    <row r="1135" spans="4:5" hidden="1" x14ac:dyDescent="0.2">
      <c r="D1135" s="334"/>
      <c r="E1135" s="334"/>
    </row>
    <row r="1136" spans="4:5" hidden="1" x14ac:dyDescent="0.2">
      <c r="D1136" s="334"/>
      <c r="E1136" s="334"/>
    </row>
    <row r="1137" spans="4:5" hidden="1" x14ac:dyDescent="0.2">
      <c r="D1137" s="334"/>
      <c r="E1137" s="334"/>
    </row>
    <row r="1138" spans="4:5" hidden="1" x14ac:dyDescent="0.2">
      <c r="D1138" s="334"/>
      <c r="E1138" s="334"/>
    </row>
    <row r="1139" spans="4:5" hidden="1" x14ac:dyDescent="0.2">
      <c r="D1139" s="334"/>
      <c r="E1139" s="334"/>
    </row>
    <row r="1140" spans="4:5" hidden="1" x14ac:dyDescent="0.2">
      <c r="D1140" s="334"/>
      <c r="E1140" s="334"/>
    </row>
    <row r="1141" spans="4:5" hidden="1" x14ac:dyDescent="0.2">
      <c r="D1141" s="334"/>
      <c r="E1141" s="334"/>
    </row>
    <row r="1142" spans="4:5" hidden="1" x14ac:dyDescent="0.2">
      <c r="D1142" s="334"/>
      <c r="E1142" s="334"/>
    </row>
    <row r="1143" spans="4:5" hidden="1" x14ac:dyDescent="0.2">
      <c r="D1143" s="334"/>
      <c r="E1143" s="334"/>
    </row>
    <row r="1144" spans="4:5" hidden="1" x14ac:dyDescent="0.2">
      <c r="D1144" s="334"/>
      <c r="E1144" s="334"/>
    </row>
    <row r="1145" spans="4:5" hidden="1" x14ac:dyDescent="0.2">
      <c r="D1145" s="334"/>
      <c r="E1145" s="334"/>
    </row>
    <row r="1146" spans="4:5" hidden="1" x14ac:dyDescent="0.2">
      <c r="D1146" s="334"/>
      <c r="E1146" s="334"/>
    </row>
    <row r="1147" spans="4:5" hidden="1" x14ac:dyDescent="0.2">
      <c r="D1147" s="334"/>
      <c r="E1147" s="334"/>
    </row>
    <row r="1148" spans="4:5" hidden="1" x14ac:dyDescent="0.2">
      <c r="D1148" s="334"/>
      <c r="E1148" s="334"/>
    </row>
    <row r="1149" spans="4:5" hidden="1" x14ac:dyDescent="0.2">
      <c r="D1149" s="334"/>
      <c r="E1149" s="334"/>
    </row>
    <row r="1150" spans="4:5" hidden="1" x14ac:dyDescent="0.2">
      <c r="D1150" s="334"/>
      <c r="E1150" s="334"/>
    </row>
    <row r="1151" spans="4:5" hidden="1" x14ac:dyDescent="0.2">
      <c r="D1151" s="334"/>
      <c r="E1151" s="334"/>
    </row>
    <row r="1152" spans="4:5" hidden="1" x14ac:dyDescent="0.2">
      <c r="D1152" s="334"/>
      <c r="E1152" s="334"/>
    </row>
    <row r="1153" spans="4:5" hidden="1" x14ac:dyDescent="0.2">
      <c r="D1153" s="334"/>
      <c r="E1153" s="334"/>
    </row>
    <row r="1154" spans="4:5" hidden="1" x14ac:dyDescent="0.2">
      <c r="D1154" s="334"/>
      <c r="E1154" s="334"/>
    </row>
    <row r="1155" spans="4:5" hidden="1" x14ac:dyDescent="0.2">
      <c r="D1155" s="334"/>
      <c r="E1155" s="334"/>
    </row>
    <row r="1156" spans="4:5" hidden="1" x14ac:dyDescent="0.2">
      <c r="D1156" s="334"/>
      <c r="E1156" s="334"/>
    </row>
    <row r="1157" spans="4:5" hidden="1" x14ac:dyDescent="0.2">
      <c r="D1157" s="334"/>
      <c r="E1157" s="334"/>
    </row>
    <row r="1158" spans="4:5" hidden="1" x14ac:dyDescent="0.2">
      <c r="D1158" s="334"/>
      <c r="E1158" s="334"/>
    </row>
    <row r="1159" spans="4:5" hidden="1" x14ac:dyDescent="0.2">
      <c r="D1159" s="334"/>
      <c r="E1159" s="334"/>
    </row>
    <row r="1160" spans="4:5" hidden="1" x14ac:dyDescent="0.2">
      <c r="D1160" s="334"/>
      <c r="E1160" s="334"/>
    </row>
    <row r="1161" spans="4:5" hidden="1" x14ac:dyDescent="0.2">
      <c r="D1161" s="334"/>
      <c r="E1161" s="334"/>
    </row>
    <row r="1162" spans="4:5" hidden="1" x14ac:dyDescent="0.2">
      <c r="D1162" s="334"/>
      <c r="E1162" s="334"/>
    </row>
    <row r="1163" spans="4:5" hidden="1" x14ac:dyDescent="0.2">
      <c r="D1163" s="334"/>
      <c r="E1163" s="334"/>
    </row>
    <row r="1164" spans="4:5" hidden="1" x14ac:dyDescent="0.2">
      <c r="D1164" s="334"/>
      <c r="E1164" s="334"/>
    </row>
    <row r="1165" spans="4:5" hidden="1" x14ac:dyDescent="0.2">
      <c r="D1165" s="334"/>
      <c r="E1165" s="334"/>
    </row>
    <row r="1166" spans="4:5" hidden="1" x14ac:dyDescent="0.2">
      <c r="D1166" s="334"/>
      <c r="E1166" s="334"/>
    </row>
    <row r="1167" spans="4:5" hidden="1" x14ac:dyDescent="0.2">
      <c r="D1167" s="334"/>
      <c r="E1167" s="334"/>
    </row>
    <row r="1168" spans="4:5" hidden="1" x14ac:dyDescent="0.2">
      <c r="D1168" s="334"/>
      <c r="E1168" s="334"/>
    </row>
    <row r="1169" spans="4:5" hidden="1" x14ac:dyDescent="0.2">
      <c r="D1169" s="334"/>
      <c r="E1169" s="334"/>
    </row>
    <row r="1170" spans="4:5" hidden="1" x14ac:dyDescent="0.2">
      <c r="D1170" s="334"/>
      <c r="E1170" s="334"/>
    </row>
    <row r="1171" spans="4:5" hidden="1" x14ac:dyDescent="0.2">
      <c r="D1171" s="334"/>
      <c r="E1171" s="334"/>
    </row>
    <row r="1172" spans="4:5" hidden="1" x14ac:dyDescent="0.2">
      <c r="D1172" s="334"/>
      <c r="E1172" s="334"/>
    </row>
    <row r="1173" spans="4:5" hidden="1" x14ac:dyDescent="0.2">
      <c r="D1173" s="334"/>
      <c r="E1173" s="334"/>
    </row>
    <row r="1174" spans="4:5" hidden="1" x14ac:dyDescent="0.2">
      <c r="D1174" s="334"/>
      <c r="E1174" s="334"/>
    </row>
    <row r="1175" spans="4:5" hidden="1" x14ac:dyDescent="0.2">
      <c r="D1175" s="334"/>
      <c r="E1175" s="334"/>
    </row>
    <row r="1176" spans="4:5" hidden="1" x14ac:dyDescent="0.2">
      <c r="D1176" s="334"/>
      <c r="E1176" s="334"/>
    </row>
    <row r="1177" spans="4:5" hidden="1" x14ac:dyDescent="0.2">
      <c r="D1177" s="334"/>
      <c r="E1177" s="334"/>
    </row>
    <row r="1178" spans="4:5" hidden="1" x14ac:dyDescent="0.2">
      <c r="D1178" s="334"/>
      <c r="E1178" s="334"/>
    </row>
    <row r="1179" spans="4:5" hidden="1" x14ac:dyDescent="0.2">
      <c r="D1179" s="334"/>
      <c r="E1179" s="334"/>
    </row>
    <row r="1180" spans="4:5" hidden="1" x14ac:dyDescent="0.2">
      <c r="D1180" s="334"/>
      <c r="E1180" s="334"/>
    </row>
    <row r="1181" spans="4:5" hidden="1" x14ac:dyDescent="0.2">
      <c r="D1181" s="334"/>
      <c r="E1181" s="334"/>
    </row>
  </sheetData>
  <sheetProtection password="AD51" sheet="1"/>
  <autoFilter ref="G1:G546"/>
  <mergeCells count="5">
    <mergeCell ref="B14:E14"/>
    <mergeCell ref="B5:E6"/>
    <mergeCell ref="B13:E13"/>
    <mergeCell ref="B7:E8"/>
    <mergeCell ref="B9:E9"/>
  </mergeCells>
  <phoneticPr fontId="25" type="noConversion"/>
  <dataValidations disablePrompts="1" count="1">
    <dataValidation operator="lessThan" allowBlank="1" showInputMessage="1" showErrorMessage="1" errorTitle="PROTEGIDO" error="Celda bloqueada..............._x000a_Presione ESC para continuar" sqref="E449"/>
  </dataValidations>
  <pageMargins left="0.94488188976377963" right="0.35433070866141736" top="0.59055118110236227" bottom="0.43307086614173229" header="0" footer="0"/>
  <pageSetup orientation="portrait" r:id="rId1"/>
  <headerFooter alignWithMargins="0">
    <oddFooter>&amp;L&amp;A&amp;C&amp;"Arial,Negrita"FAMOC DEPANEL Confidencial&amp;RPágina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 filterMode="1"/>
  <dimension ref="B1:AU49"/>
  <sheetViews>
    <sheetView showGridLines="0" showZeros="0" zoomScale="115" zoomScaleNormal="160" workbookViewId="0">
      <selection activeCell="N1" sqref="N1"/>
    </sheetView>
  </sheetViews>
  <sheetFormatPr baseColWidth="10" defaultColWidth="0" defaultRowHeight="12.75" zeroHeight="1" x14ac:dyDescent="0.2"/>
  <cols>
    <col min="1" max="1" width="5.28515625" customWidth="1"/>
    <col min="2" max="3" width="11.42578125" customWidth="1"/>
    <col min="4" max="4" width="11.5703125" bestFit="1" customWidth="1"/>
    <col min="5" max="5" width="11.42578125" customWidth="1"/>
    <col min="6" max="7" width="4.85546875" customWidth="1"/>
    <col min="8" max="9" width="4.5703125" customWidth="1"/>
    <col min="10" max="10" width="14.7109375" customWidth="1"/>
    <col min="11" max="11" width="13.5703125" customWidth="1"/>
    <col min="12" max="12" width="2.28515625" customWidth="1"/>
    <col min="13" max="13" width="6.140625" style="583" customWidth="1"/>
    <col min="14" max="14" width="2.28515625" customWidth="1"/>
    <col min="15" max="15" width="0" hidden="1" customWidth="1"/>
    <col min="16" max="17" width="11.42578125" hidden="1" customWidth="1"/>
  </cols>
  <sheetData>
    <row r="1" spans="2:43" ht="13.5" thickBot="1" x14ac:dyDescent="0.25">
      <c r="M1" s="583">
        <v>1</v>
      </c>
    </row>
    <row r="2" spans="2:43" x14ac:dyDescent="0.2">
      <c r="B2" s="106"/>
      <c r="C2" s="107"/>
      <c r="D2" s="107"/>
      <c r="E2" s="107"/>
      <c r="F2" s="107"/>
      <c r="G2" s="107"/>
      <c r="H2" s="107"/>
      <c r="I2" s="107"/>
      <c r="J2" s="107"/>
      <c r="K2" s="108"/>
      <c r="M2" s="583">
        <v>1</v>
      </c>
    </row>
    <row r="3" spans="2:43" ht="15.75" x14ac:dyDescent="0.25">
      <c r="B3" s="109"/>
      <c r="C3" s="3"/>
      <c r="D3" s="3"/>
      <c r="E3" s="716" t="s">
        <v>400</v>
      </c>
      <c r="F3" s="716"/>
      <c r="G3" s="716"/>
      <c r="H3" s="3"/>
      <c r="I3" s="717"/>
      <c r="J3" s="717"/>
      <c r="K3" s="110"/>
      <c r="M3" s="583">
        <v>1</v>
      </c>
      <c r="P3" t="s">
        <v>511</v>
      </c>
      <c r="Q3" s="335">
        <f>SUM(D16:D30)</f>
        <v>0</v>
      </c>
    </row>
    <row r="4" spans="2:43" x14ac:dyDescent="0.2">
      <c r="B4" s="109"/>
      <c r="C4" s="3"/>
      <c r="D4" s="3"/>
      <c r="E4" s="3"/>
      <c r="F4" s="3"/>
      <c r="G4" s="3"/>
      <c r="H4" s="3"/>
      <c r="I4" s="1716"/>
      <c r="J4" s="1716"/>
      <c r="K4" s="110"/>
      <c r="M4" s="583">
        <v>1</v>
      </c>
      <c r="P4" t="s">
        <v>1060</v>
      </c>
      <c r="Q4" s="335">
        <f>SUM(D27:D29)</f>
        <v>0</v>
      </c>
    </row>
    <row r="5" spans="2:43" ht="25.5" x14ac:dyDescent="0.35">
      <c r="B5" s="1717">
        <f>+'5 ALMACEN '!D2</f>
        <v>0</v>
      </c>
      <c r="C5" s="1718"/>
      <c r="D5" s="1718"/>
      <c r="E5" s="1718"/>
      <c r="F5" s="1718"/>
      <c r="G5" s="1718"/>
      <c r="H5" s="1718"/>
      <c r="I5" s="1718"/>
      <c r="J5" s="1718"/>
      <c r="K5" s="1719"/>
      <c r="M5" s="583">
        <v>1</v>
      </c>
      <c r="P5" t="s">
        <v>1064</v>
      </c>
      <c r="Q5" s="398">
        <f>SUM(D33:D40)</f>
        <v>0</v>
      </c>
    </row>
    <row r="6" spans="2:43" x14ac:dyDescent="0.2">
      <c r="B6" s="109"/>
      <c r="C6" s="3"/>
      <c r="D6" s="3"/>
      <c r="E6" s="3"/>
      <c r="F6" s="3"/>
      <c r="G6" s="3"/>
      <c r="H6" s="3"/>
      <c r="I6" s="3"/>
      <c r="J6" s="3"/>
      <c r="K6" s="110"/>
      <c r="M6" s="583">
        <v>1</v>
      </c>
    </row>
    <row r="7" spans="2:43" ht="15" x14ac:dyDescent="0.2">
      <c r="B7" s="113" t="s">
        <v>97</v>
      </c>
      <c r="C7" s="114"/>
      <c r="D7" s="1720">
        <f>+'5 ALMACEN '!S2</f>
        <v>0</v>
      </c>
      <c r="E7" s="1720"/>
      <c r="F7" s="1720"/>
      <c r="G7" s="1720"/>
      <c r="H7" s="1720"/>
      <c r="I7" s="1720"/>
      <c r="J7" s="1720"/>
      <c r="K7" s="1721"/>
      <c r="M7" s="583">
        <v>1</v>
      </c>
    </row>
    <row r="8" spans="2:43" x14ac:dyDescent="0.2">
      <c r="B8" s="109"/>
      <c r="C8" s="3"/>
      <c r="D8" s="3"/>
      <c r="E8" s="3"/>
      <c r="F8" s="3"/>
      <c r="G8" s="3"/>
      <c r="H8" s="3"/>
      <c r="I8" s="3"/>
      <c r="J8" s="3"/>
      <c r="K8" s="110"/>
      <c r="M8" s="583">
        <v>1</v>
      </c>
      <c r="AH8" s="710"/>
      <c r="AI8" s="710"/>
      <c r="AJ8" s="710"/>
      <c r="AK8" s="710"/>
      <c r="AL8" s="710"/>
      <c r="AM8" s="3"/>
    </row>
    <row r="9" spans="2:43" ht="15.75" x14ac:dyDescent="0.25">
      <c r="B9" s="113" t="s">
        <v>397</v>
      </c>
      <c r="C9" s="3"/>
      <c r="D9" s="720">
        <f>+'5 ALMACEN '!W1</f>
        <v>0</v>
      </c>
      <c r="E9" s="3"/>
      <c r="F9" s="3"/>
      <c r="G9" s="3"/>
      <c r="H9" s="3"/>
      <c r="I9" s="114" t="s">
        <v>398</v>
      </c>
      <c r="J9" s="3"/>
      <c r="K9" s="233">
        <f ca="1">NOW()</f>
        <v>43392.497064930554</v>
      </c>
      <c r="M9" s="583">
        <v>1</v>
      </c>
      <c r="AH9" s="896"/>
      <c r="AI9" s="896"/>
      <c r="AJ9" s="896"/>
      <c r="AK9" s="896"/>
      <c r="AL9" s="896"/>
      <c r="AM9" s="3"/>
    </row>
    <row r="10" spans="2:43" ht="15" x14ac:dyDescent="0.2">
      <c r="B10" s="109"/>
      <c r="C10" s="718"/>
      <c r="D10" s="718"/>
      <c r="E10" s="718"/>
      <c r="F10" s="718"/>
      <c r="G10" s="718"/>
      <c r="H10" s="718"/>
      <c r="I10" s="3"/>
      <c r="J10" s="3"/>
      <c r="K10" s="110"/>
      <c r="M10" s="583">
        <v>1</v>
      </c>
      <c r="AH10" s="897"/>
      <c r="AI10" s="897"/>
      <c r="AJ10" s="897"/>
      <c r="AK10" s="897"/>
      <c r="AL10" s="897"/>
      <c r="AM10" s="3"/>
    </row>
    <row r="11" spans="2:43" ht="16.5" thickBot="1" x14ac:dyDescent="0.3">
      <c r="B11" s="779" t="s">
        <v>401</v>
      </c>
      <c r="C11" s="115"/>
      <c r="D11" s="780">
        <f>+'3 ALUMINIOS'!A24</f>
        <v>0</v>
      </c>
      <c r="E11" s="115"/>
      <c r="F11" s="115"/>
      <c r="G11" s="115"/>
      <c r="H11" s="781"/>
      <c r="I11" s="782" t="s">
        <v>1027</v>
      </c>
      <c r="J11" s="115"/>
      <c r="K11" s="783">
        <f>+PRODUCCION!B11</f>
        <v>0</v>
      </c>
      <c r="M11" s="583">
        <v>1</v>
      </c>
      <c r="AH11" s="897"/>
      <c r="AI11" s="897"/>
      <c r="AJ11" s="897"/>
      <c r="AK11" s="897"/>
      <c r="AL11" s="897"/>
      <c r="AM11" s="3"/>
    </row>
    <row r="12" spans="2:43" ht="5.25" customHeight="1" x14ac:dyDescent="0.2">
      <c r="B12" s="3"/>
      <c r="C12" s="3"/>
      <c r="D12" s="3"/>
      <c r="E12" s="3"/>
      <c r="F12" s="3"/>
      <c r="G12" s="3"/>
      <c r="H12" s="3"/>
      <c r="I12" s="3"/>
      <c r="J12" s="3"/>
      <c r="K12" s="3"/>
      <c r="M12" s="583">
        <v>1</v>
      </c>
      <c r="AH12" s="897"/>
      <c r="AI12" s="897"/>
      <c r="AJ12" s="897"/>
      <c r="AK12" s="897"/>
      <c r="AL12" s="897"/>
      <c r="AM12" s="3"/>
    </row>
    <row r="13" spans="2:43" ht="3.75" customHeight="1" x14ac:dyDescent="0.2">
      <c r="M13" s="583">
        <v>1</v>
      </c>
      <c r="AH13" s="897"/>
      <c r="AI13" s="897"/>
      <c r="AJ13" s="897"/>
      <c r="AK13" s="897"/>
      <c r="AL13" s="897"/>
      <c r="AM13" s="3"/>
    </row>
    <row r="14" spans="2:43" ht="16.5" hidden="1" thickBot="1" x14ac:dyDescent="0.3">
      <c r="B14" s="1715" t="s">
        <v>511</v>
      </c>
      <c r="C14" s="1715"/>
      <c r="K14" s="710"/>
      <c r="M14" s="583">
        <f>IF(D16+D17+D18+D19+D20+D21+D22+D23+D24&gt;0,1,0)</f>
        <v>0</v>
      </c>
      <c r="AH14" s="897"/>
      <c r="AI14" s="897"/>
      <c r="AJ14" s="897"/>
      <c r="AK14" s="897"/>
      <c r="AL14" s="897"/>
      <c r="AM14" s="3"/>
    </row>
    <row r="15" spans="2:43" ht="12.75" hidden="1" customHeight="1" thickTop="1" x14ac:dyDescent="0.2">
      <c r="B15" s="1724" t="s">
        <v>18</v>
      </c>
      <c r="C15" s="1724"/>
      <c r="D15" s="739" t="s">
        <v>26</v>
      </c>
      <c r="E15" s="740" t="s">
        <v>109</v>
      </c>
      <c r="F15" s="740" t="s">
        <v>984</v>
      </c>
      <c r="G15" s="740" t="s">
        <v>985</v>
      </c>
      <c r="H15" s="740" t="s">
        <v>1028</v>
      </c>
      <c r="I15" s="740" t="s">
        <v>1029</v>
      </c>
      <c r="J15" s="740" t="s">
        <v>227</v>
      </c>
      <c r="K15" s="740" t="s">
        <v>1045</v>
      </c>
      <c r="M15" s="583">
        <f>IF(M14&gt;0,1,0)</f>
        <v>0</v>
      </c>
      <c r="AH15" s="3"/>
      <c r="AI15" s="3"/>
      <c r="AJ15" s="3"/>
      <c r="AK15" s="3"/>
      <c r="AL15" s="3"/>
      <c r="AM15" s="3"/>
    </row>
    <row r="16" spans="2:43" ht="12.75" hidden="1" customHeight="1" x14ac:dyDescent="0.25">
      <c r="B16" s="1722" t="s">
        <v>403</v>
      </c>
      <c r="C16" s="1723"/>
      <c r="D16" s="774">
        <f>TRUNC(FORMULAS!O189+FORMULAS!R207)/599</f>
        <v>0</v>
      </c>
      <c r="E16" s="738" t="s">
        <v>402</v>
      </c>
      <c r="F16" s="118"/>
      <c r="G16" s="118"/>
      <c r="H16" s="738"/>
      <c r="I16" s="738"/>
      <c r="J16" s="958"/>
      <c r="K16" s="743">
        <f t="shared" ref="K16:K21" si="0">+J16*D16</f>
        <v>0</v>
      </c>
      <c r="M16" s="583">
        <f t="shared" ref="M16:M21" si="1">IF(D16&gt;0,1,0)</f>
        <v>0</v>
      </c>
      <c r="N16" s="768"/>
      <c r="AH16" s="3"/>
      <c r="AI16" s="3"/>
      <c r="AJ16" s="3"/>
      <c r="AK16" s="3"/>
      <c r="AL16" s="3"/>
      <c r="AM16" s="3"/>
      <c r="AN16" s="3"/>
      <c r="AO16" s="896"/>
      <c r="AP16" s="3"/>
      <c r="AQ16" s="3"/>
    </row>
    <row r="17" spans="2:43" ht="12.75" hidden="1" customHeight="1" x14ac:dyDescent="0.25">
      <c r="B17" s="1713" t="s">
        <v>70</v>
      </c>
      <c r="C17" s="1714"/>
      <c r="D17" s="774">
        <f>TRUNC(FORMULAS!Q177)/599</f>
        <v>0</v>
      </c>
      <c r="E17" s="738" t="s">
        <v>402</v>
      </c>
      <c r="F17" s="118"/>
      <c r="G17" s="118"/>
      <c r="H17" s="738"/>
      <c r="I17" s="738"/>
      <c r="J17" s="958"/>
      <c r="K17" s="743">
        <f t="shared" si="0"/>
        <v>0</v>
      </c>
      <c r="M17" s="583">
        <f t="shared" si="1"/>
        <v>0</v>
      </c>
      <c r="P17" s="774">
        <f>+(('3 ALUMINIOS'!H18+'3 ALUMINIOS'!I18+'3 ALUMINIOS'!J18)*6)+('3 ALUMINIOS'!B18*'3 ALUMINIOS'!B7)/100+('3 ALUMINIOS'!C18*'3 ALUMINIOS'!C7)/100+('3 ALUMINIOS'!D18*'3 ALUMINIOS'!D7)/100+('3 ALUMINIOS'!E18*'3 ALUMINIOS'!E7)/100+('3 ALUMINIOS'!F18*'3 ALUMINIOS'!F7)/100</f>
        <v>0</v>
      </c>
      <c r="AH17" s="3"/>
      <c r="AI17" s="3"/>
      <c r="AJ17" s="3"/>
      <c r="AK17" s="3"/>
      <c r="AL17" s="3"/>
      <c r="AM17" s="3"/>
      <c r="AN17" s="3"/>
      <c r="AO17" s="3"/>
      <c r="AP17" s="3"/>
      <c r="AQ17" s="3"/>
    </row>
    <row r="18" spans="2:43" ht="12.75" hidden="1" customHeight="1" x14ac:dyDescent="0.25">
      <c r="B18" s="1713" t="s">
        <v>561</v>
      </c>
      <c r="C18" s="1714"/>
      <c r="D18" s="774">
        <f>TRUNC(FORMULAS!Q176)/599</f>
        <v>0</v>
      </c>
      <c r="E18" s="738" t="s">
        <v>402</v>
      </c>
      <c r="F18" s="118"/>
      <c r="G18" s="118"/>
      <c r="H18" s="738"/>
      <c r="I18" s="738"/>
      <c r="J18" s="958"/>
      <c r="K18" s="743">
        <f t="shared" si="0"/>
        <v>0</v>
      </c>
      <c r="M18" s="583">
        <f t="shared" si="1"/>
        <v>0</v>
      </c>
      <c r="P18" s="774">
        <f>+'5 ALMACEN '!U37*6</f>
        <v>0</v>
      </c>
      <c r="AH18" s="550"/>
      <c r="AI18" s="710"/>
      <c r="AJ18" s="550"/>
      <c r="AK18" s="898"/>
      <c r="AL18" s="710"/>
      <c r="AM18" s="3"/>
      <c r="AN18" s="3"/>
      <c r="AO18" s="3"/>
      <c r="AP18" s="3"/>
      <c r="AQ18" s="3"/>
    </row>
    <row r="19" spans="2:43" ht="12.75" hidden="1" customHeight="1" x14ac:dyDescent="0.25">
      <c r="B19" s="1713" t="s">
        <v>87</v>
      </c>
      <c r="C19" s="1714"/>
      <c r="D19" s="774">
        <f>TRUNC(FORMULAS!Y207)/600</f>
        <v>0</v>
      </c>
      <c r="E19" s="738" t="s">
        <v>402</v>
      </c>
      <c r="F19" s="118"/>
      <c r="G19" s="118"/>
      <c r="H19" s="738"/>
      <c r="I19" s="738"/>
      <c r="J19" s="958"/>
      <c r="K19" s="743">
        <f t="shared" si="0"/>
        <v>0</v>
      </c>
      <c r="M19" s="583">
        <f t="shared" si="1"/>
        <v>0</v>
      </c>
      <c r="P19" s="774">
        <f>+P18</f>
        <v>0</v>
      </c>
      <c r="AH19" s="550"/>
      <c r="AI19" s="710"/>
      <c r="AJ19" s="550"/>
      <c r="AK19" s="710"/>
      <c r="AL19" s="710"/>
      <c r="AM19" s="3"/>
      <c r="AN19" s="3"/>
      <c r="AO19" s="3"/>
      <c r="AP19" s="3"/>
      <c r="AQ19" s="3"/>
    </row>
    <row r="20" spans="2:43" ht="12.75" hidden="1" customHeight="1" x14ac:dyDescent="0.25">
      <c r="B20" s="1713" t="s">
        <v>88</v>
      </c>
      <c r="C20" s="1714"/>
      <c r="D20" s="774">
        <f>TRUNC(FORMULAS!Q188+FORMULAS!V207)/599</f>
        <v>0</v>
      </c>
      <c r="E20" s="738" t="s">
        <v>402</v>
      </c>
      <c r="F20" s="118"/>
      <c r="G20" s="118"/>
      <c r="H20" s="738"/>
      <c r="I20" s="738"/>
      <c r="J20" s="958"/>
      <c r="K20" s="743">
        <f t="shared" si="0"/>
        <v>0</v>
      </c>
      <c r="M20" s="583">
        <f t="shared" si="1"/>
        <v>0</v>
      </c>
      <c r="AH20" s="1725"/>
      <c r="AI20" s="1725"/>
      <c r="AJ20" s="1725"/>
      <c r="AK20" s="1725"/>
      <c r="AL20" s="3"/>
      <c r="AM20" s="3"/>
      <c r="AN20" s="3"/>
      <c r="AO20" s="3"/>
      <c r="AP20" s="3"/>
      <c r="AQ20" s="3"/>
    </row>
    <row r="21" spans="2:43" ht="12.75" hidden="1" customHeight="1" x14ac:dyDescent="0.25">
      <c r="B21" s="1713" t="s">
        <v>405</v>
      </c>
      <c r="C21" s="1714"/>
      <c r="D21" s="774">
        <f>TRUNC(FORMULAS!S207)/600</f>
        <v>0</v>
      </c>
      <c r="E21" s="738" t="s">
        <v>402</v>
      </c>
      <c r="F21" s="118"/>
      <c r="G21" s="118"/>
      <c r="H21" s="738"/>
      <c r="I21" s="738"/>
      <c r="J21" s="958"/>
      <c r="K21" s="743">
        <f t="shared" si="0"/>
        <v>0</v>
      </c>
      <c r="M21" s="583">
        <f t="shared" si="1"/>
        <v>0</v>
      </c>
      <c r="AH21" s="1725"/>
      <c r="AI21" s="1725"/>
      <c r="AJ21" s="1725"/>
      <c r="AK21" s="1725"/>
      <c r="AL21" s="3"/>
      <c r="AM21" s="3"/>
      <c r="AN21" s="3"/>
      <c r="AO21" s="3"/>
      <c r="AP21" s="3"/>
      <c r="AQ21" s="3"/>
    </row>
    <row r="22" spans="2:43" ht="12.75" hidden="1" customHeight="1" x14ac:dyDescent="0.25">
      <c r="B22" s="1713" t="s">
        <v>93</v>
      </c>
      <c r="C22" s="1714"/>
      <c r="D22" s="774">
        <f>TRUNC(P17)/6</f>
        <v>0</v>
      </c>
      <c r="E22" s="738" t="s">
        <v>402</v>
      </c>
      <c r="F22" s="118"/>
      <c r="G22" s="118"/>
      <c r="H22" s="738"/>
      <c r="I22" s="738"/>
      <c r="J22" s="958"/>
      <c r="K22" s="743">
        <f>+J22*P17</f>
        <v>0</v>
      </c>
      <c r="M22" s="583">
        <f>IF(P17&gt;0,1,0)</f>
        <v>0</v>
      </c>
      <c r="AH22" s="1725"/>
      <c r="AI22" s="1725"/>
      <c r="AJ22" s="1725"/>
      <c r="AK22" s="1725"/>
      <c r="AL22" s="3"/>
      <c r="AM22" s="3"/>
      <c r="AN22" s="3"/>
      <c r="AO22" s="3"/>
      <c r="AP22" s="3"/>
      <c r="AQ22" s="3"/>
    </row>
    <row r="23" spans="2:43" ht="12.75" hidden="1" customHeight="1" x14ac:dyDescent="0.25">
      <c r="B23" s="1713" t="s">
        <v>406</v>
      </c>
      <c r="C23" s="1714"/>
      <c r="D23" s="774">
        <f>TRUNC(P18)/6</f>
        <v>0</v>
      </c>
      <c r="E23" s="738" t="s">
        <v>402</v>
      </c>
      <c r="F23" s="118"/>
      <c r="G23" s="118"/>
      <c r="H23" s="738"/>
      <c r="I23" s="738"/>
      <c r="J23" s="958"/>
      <c r="K23" s="743">
        <f>+J23*P18</f>
        <v>0</v>
      </c>
      <c r="M23" s="583">
        <f>IF(P18&gt;0,1,0)</f>
        <v>0</v>
      </c>
      <c r="AH23" s="1725"/>
      <c r="AI23" s="1725"/>
      <c r="AJ23" s="1725"/>
      <c r="AK23" s="1725"/>
      <c r="AL23" s="3"/>
      <c r="AM23" s="3"/>
      <c r="AN23" s="3"/>
      <c r="AO23" s="3"/>
      <c r="AP23" s="3"/>
      <c r="AQ23" s="3"/>
    </row>
    <row r="24" spans="2:43" ht="12.75" hidden="1" customHeight="1" x14ac:dyDescent="0.25">
      <c r="B24" s="1713" t="s">
        <v>407</v>
      </c>
      <c r="C24" s="1714"/>
      <c r="D24" s="774">
        <f>TRUNC(P19)/6</f>
        <v>0</v>
      </c>
      <c r="E24" s="738" t="s">
        <v>402</v>
      </c>
      <c r="F24" s="118"/>
      <c r="G24" s="118"/>
      <c r="H24" s="738"/>
      <c r="I24" s="738"/>
      <c r="J24" s="958"/>
      <c r="K24" s="743">
        <f>+J24*P19</f>
        <v>0</v>
      </c>
      <c r="M24" s="583">
        <f>IF(P19&gt;0,1,0)</f>
        <v>0</v>
      </c>
      <c r="AH24" s="1725"/>
      <c r="AI24" s="1725"/>
      <c r="AJ24" s="1725"/>
      <c r="AK24" s="1725"/>
      <c r="AL24" s="3"/>
      <c r="AM24" s="3"/>
      <c r="AN24" s="3"/>
      <c r="AO24" s="3"/>
      <c r="AP24" s="3"/>
      <c r="AQ24" s="3"/>
    </row>
    <row r="25" spans="2:43" ht="16.5" hidden="1" thickBot="1" x14ac:dyDescent="0.3">
      <c r="B25" s="1715" t="s">
        <v>1060</v>
      </c>
      <c r="C25" s="1715"/>
      <c r="M25" s="583">
        <f>IF(D27+D28+D29+D30&gt;0,1,0)</f>
        <v>0</v>
      </c>
      <c r="AH25" s="1725"/>
      <c r="AI25" s="1725"/>
      <c r="AJ25" s="1725"/>
      <c r="AK25" s="1725"/>
      <c r="AL25" s="3"/>
      <c r="AM25" s="3"/>
      <c r="AN25" s="3"/>
      <c r="AO25" s="3"/>
      <c r="AP25" s="3"/>
      <c r="AQ25" s="3"/>
    </row>
    <row r="26" spans="2:43" ht="12.75" hidden="1" customHeight="1" thickTop="1" x14ac:dyDescent="0.25">
      <c r="B26" s="1724" t="s">
        <v>18</v>
      </c>
      <c r="C26" s="1724"/>
      <c r="D26" s="739" t="s">
        <v>26</v>
      </c>
      <c r="E26" s="740" t="s">
        <v>109</v>
      </c>
      <c r="F26" s="740" t="s">
        <v>984</v>
      </c>
      <c r="G26" s="740" t="s">
        <v>985</v>
      </c>
      <c r="H26" s="740" t="s">
        <v>1028</v>
      </c>
      <c r="I26" s="740" t="s">
        <v>1029</v>
      </c>
      <c r="J26" s="740" t="s">
        <v>1046</v>
      </c>
      <c r="K26" s="740" t="s">
        <v>1045</v>
      </c>
      <c r="M26" s="583">
        <f>IF(M25&gt;0,1,0)</f>
        <v>0</v>
      </c>
      <c r="AH26" s="1725"/>
      <c r="AI26" s="1725"/>
      <c r="AJ26" s="1725"/>
      <c r="AK26" s="1725"/>
      <c r="AL26" s="3"/>
      <c r="AM26" s="3"/>
      <c r="AN26" s="3"/>
      <c r="AO26" s="3"/>
      <c r="AP26" s="3"/>
      <c r="AQ26" s="3"/>
    </row>
    <row r="27" spans="2:43" ht="12.75" hidden="1" customHeight="1" x14ac:dyDescent="0.25">
      <c r="B27" s="1667" t="s">
        <v>1061</v>
      </c>
      <c r="C27" s="1667"/>
      <c r="D27" s="771">
        <f>TRUNC(FORMULAS!Q183)/460</f>
        <v>0</v>
      </c>
      <c r="E27" s="738" t="s">
        <v>402</v>
      </c>
      <c r="F27" s="118"/>
      <c r="G27" s="118"/>
      <c r="H27" s="737"/>
      <c r="I27" s="737"/>
      <c r="J27" s="958"/>
      <c r="K27" s="743">
        <f>+J27*D27</f>
        <v>0</v>
      </c>
      <c r="M27" s="583">
        <f>IF(D27&gt;0,1,0)</f>
        <v>0</v>
      </c>
      <c r="AH27" s="3"/>
      <c r="AI27" s="3"/>
      <c r="AJ27" s="3"/>
      <c r="AK27" s="3"/>
      <c r="AL27" s="3"/>
      <c r="AM27" s="3"/>
      <c r="AN27" s="3"/>
      <c r="AO27" s="896"/>
      <c r="AP27" s="3"/>
      <c r="AQ27" s="3"/>
    </row>
    <row r="28" spans="2:43" ht="12.75" hidden="1" customHeight="1" x14ac:dyDescent="0.25">
      <c r="B28" s="1667" t="s">
        <v>1062</v>
      </c>
      <c r="C28" s="1667"/>
      <c r="D28" s="771">
        <f>TRUNC(FORMULAS!Q185)/460</f>
        <v>0</v>
      </c>
      <c r="E28" s="738" t="s">
        <v>402</v>
      </c>
      <c r="F28" s="118"/>
      <c r="G28" s="118"/>
      <c r="H28" s="737"/>
      <c r="I28" s="737"/>
      <c r="J28" s="958"/>
      <c r="K28" s="743">
        <f>+J28*D28</f>
        <v>0</v>
      </c>
      <c r="M28" s="583">
        <f>IF(D28&gt;0,1,0)</f>
        <v>0</v>
      </c>
      <c r="AH28" s="3"/>
      <c r="AI28" s="3"/>
      <c r="AJ28" s="3"/>
      <c r="AK28" s="3"/>
      <c r="AL28" s="3"/>
      <c r="AM28" s="3"/>
      <c r="AN28" s="3"/>
      <c r="AO28" s="896"/>
      <c r="AP28" s="3"/>
      <c r="AQ28" s="3"/>
    </row>
    <row r="29" spans="2:43" ht="12.75" hidden="1" customHeight="1" x14ac:dyDescent="0.25">
      <c r="B29" s="1667" t="s">
        <v>1063</v>
      </c>
      <c r="C29" s="1667"/>
      <c r="D29" s="771">
        <f>TRUNC(FORMULAS!Q184)/460</f>
        <v>0</v>
      </c>
      <c r="E29" s="738" t="s">
        <v>402</v>
      </c>
      <c r="F29" s="118"/>
      <c r="G29" s="118"/>
      <c r="H29" s="737"/>
      <c r="I29" s="737"/>
      <c r="J29" s="958"/>
      <c r="K29" s="743">
        <f>+J29*D29</f>
        <v>0</v>
      </c>
      <c r="M29" s="583">
        <f>IF(D29&gt;0,1,0)</f>
        <v>0</v>
      </c>
      <c r="AH29" s="3"/>
      <c r="AI29" s="3"/>
      <c r="AJ29" s="3"/>
      <c r="AK29" s="3"/>
      <c r="AL29" s="3"/>
      <c r="AM29" s="3"/>
      <c r="AN29" s="3"/>
      <c r="AO29" s="896"/>
      <c r="AP29" s="3"/>
      <c r="AQ29" s="3"/>
    </row>
    <row r="30" spans="2:43" ht="12.75" hidden="1" customHeight="1" x14ac:dyDescent="0.25">
      <c r="B30" s="1729" t="s">
        <v>63</v>
      </c>
      <c r="C30" s="1730"/>
      <c r="D30" s="771">
        <f>(FORMULAS!Q180)/100+('2 MEDIA ALTURA'!O29)*1</f>
        <v>0</v>
      </c>
      <c r="E30" s="93" t="s">
        <v>1140</v>
      </c>
      <c r="F30" s="118"/>
      <c r="G30" s="118"/>
      <c r="H30" s="737"/>
      <c r="I30" s="737"/>
      <c r="J30" s="958"/>
      <c r="K30" s="743">
        <f>+J30*D30</f>
        <v>0</v>
      </c>
      <c r="M30" s="583">
        <f>IF(D30&gt;0,1,0)</f>
        <v>0</v>
      </c>
      <c r="AH30" s="3"/>
      <c r="AI30" s="3"/>
      <c r="AJ30" s="3"/>
      <c r="AK30" s="3"/>
      <c r="AL30" s="3"/>
      <c r="AM30" s="3"/>
      <c r="AN30" s="3"/>
      <c r="AO30" s="896"/>
      <c r="AP30" s="3"/>
      <c r="AQ30" s="3"/>
    </row>
    <row r="31" spans="2:43" ht="15.75" hidden="1" thickBot="1" x14ac:dyDescent="0.3">
      <c r="B31" s="1715" t="s">
        <v>1064</v>
      </c>
      <c r="C31" s="1715"/>
      <c r="M31" s="583">
        <f>IF(Q5&gt;0,1,0)</f>
        <v>0</v>
      </c>
      <c r="AH31" s="575"/>
      <c r="AI31" s="577"/>
      <c r="AJ31" s="577"/>
      <c r="AK31" s="588"/>
      <c r="AL31" s="899"/>
      <c r="AM31" s="3"/>
      <c r="AN31" s="3"/>
      <c r="AO31" s="3"/>
      <c r="AP31" s="3"/>
      <c r="AQ31" s="3"/>
    </row>
    <row r="32" spans="2:43" hidden="1" x14ac:dyDescent="0.2">
      <c r="B32" s="1724" t="s">
        <v>18</v>
      </c>
      <c r="C32" s="1724"/>
      <c r="D32" s="739" t="s">
        <v>26</v>
      </c>
      <c r="E32" s="740" t="s">
        <v>109</v>
      </c>
      <c r="F32" s="740" t="s">
        <v>984</v>
      </c>
      <c r="G32" s="740" t="s">
        <v>985</v>
      </c>
      <c r="H32" s="740" t="s">
        <v>1028</v>
      </c>
      <c r="I32" s="740" t="s">
        <v>1029</v>
      </c>
      <c r="J32" s="740" t="s">
        <v>1046</v>
      </c>
      <c r="K32" s="740" t="s">
        <v>1045</v>
      </c>
      <c r="M32" s="583">
        <f>IF(M31&gt;0,1,0)</f>
        <v>0</v>
      </c>
      <c r="AH32" s="575"/>
      <c r="AI32" s="577"/>
      <c r="AJ32" s="577"/>
      <c r="AK32" s="588"/>
      <c r="AL32" s="3"/>
      <c r="AM32" s="3"/>
      <c r="AN32" s="3"/>
      <c r="AO32" s="3"/>
      <c r="AP32" s="3"/>
      <c r="AQ32" s="3"/>
    </row>
    <row r="33" spans="2:47" ht="12.75" hidden="1" customHeight="1" x14ac:dyDescent="0.25">
      <c r="B33" s="1728" t="s">
        <v>813</v>
      </c>
      <c r="C33" s="1728"/>
      <c r="D33" s="772">
        <f>SUM(ALUMINIOS!D38)</f>
        <v>0</v>
      </c>
      <c r="E33" s="738" t="s">
        <v>998</v>
      </c>
      <c r="F33" s="118"/>
      <c r="G33" s="118"/>
      <c r="H33" s="737"/>
      <c r="I33" s="737"/>
      <c r="J33" s="958"/>
      <c r="K33" s="743">
        <f t="shared" ref="K33:K42" si="2">+J33*D33</f>
        <v>0</v>
      </c>
      <c r="M33" s="583">
        <f t="shared" ref="M33:M42" si="3">IF(D33&gt;0,1,0)</f>
        <v>0</v>
      </c>
      <c r="AH33" s="575"/>
      <c r="AI33" s="577"/>
      <c r="AJ33" s="577"/>
      <c r="AK33" s="588"/>
      <c r="AL33" s="3"/>
      <c r="AM33" s="3"/>
      <c r="AN33" s="3"/>
      <c r="AO33" s="3"/>
      <c r="AP33" s="3"/>
      <c r="AQ33" s="3"/>
    </row>
    <row r="34" spans="2:47" ht="12.75" hidden="1" customHeight="1" x14ac:dyDescent="0.25">
      <c r="B34" s="1728" t="s">
        <v>827</v>
      </c>
      <c r="C34" s="1728"/>
      <c r="D34" s="772">
        <f>SUM(ALUMINIOS!D39)</f>
        <v>0</v>
      </c>
      <c r="E34" s="738" t="s">
        <v>998</v>
      </c>
      <c r="F34" s="118"/>
      <c r="G34" s="118"/>
      <c r="H34" s="737"/>
      <c r="I34" s="737"/>
      <c r="J34" s="958"/>
      <c r="K34" s="743">
        <f t="shared" si="2"/>
        <v>0</v>
      </c>
      <c r="M34" s="583">
        <f t="shared" si="3"/>
        <v>0</v>
      </c>
      <c r="AH34" s="575"/>
      <c r="AI34" s="577"/>
      <c r="AJ34" s="577"/>
      <c r="AK34" s="749"/>
      <c r="AL34" s="3"/>
      <c r="AM34" s="3"/>
      <c r="AN34" s="3"/>
      <c r="AO34" s="3"/>
      <c r="AP34" s="3"/>
      <c r="AQ34" s="3"/>
    </row>
    <row r="35" spans="2:47" ht="12.75" hidden="1" customHeight="1" x14ac:dyDescent="0.25">
      <c r="B35" s="1726" t="s">
        <v>1067</v>
      </c>
      <c r="C35" s="1727"/>
      <c r="D35" s="773">
        <f>SUM(ALUMINIOS!D34,'3 ALUMINIOS'!H9:J9)*4</f>
        <v>0</v>
      </c>
      <c r="E35" s="738" t="s">
        <v>998</v>
      </c>
      <c r="F35" s="118"/>
      <c r="G35" s="118"/>
      <c r="H35" s="737"/>
      <c r="I35" s="737"/>
      <c r="J35" s="958"/>
      <c r="K35" s="743">
        <f t="shared" si="2"/>
        <v>0</v>
      </c>
      <c r="M35" s="583">
        <f t="shared" si="3"/>
        <v>0</v>
      </c>
      <c r="AH35" s="575"/>
      <c r="AI35" s="577"/>
      <c r="AJ35" s="577"/>
      <c r="AK35" s="749"/>
      <c r="AL35" s="3"/>
      <c r="AM35" s="3"/>
      <c r="AN35" s="3"/>
      <c r="AO35" s="3"/>
      <c r="AP35" s="3"/>
      <c r="AQ35" s="3"/>
      <c r="AR35" s="3"/>
      <c r="AS35" s="3"/>
      <c r="AT35" s="3"/>
      <c r="AU35" s="3"/>
    </row>
    <row r="36" spans="2:47" ht="12.75" hidden="1" customHeight="1" x14ac:dyDescent="0.25">
      <c r="B36" s="1728" t="s">
        <v>825</v>
      </c>
      <c r="C36" s="1728"/>
      <c r="D36" s="772">
        <f>SUM('3 ALUMINIOS'!B11:F11,'3 ALUMINIOS'!H11:J11)</f>
        <v>0</v>
      </c>
      <c r="E36" s="738" t="s">
        <v>998</v>
      </c>
      <c r="F36" s="118"/>
      <c r="G36" s="118"/>
      <c r="H36" s="741"/>
      <c r="I36" s="742"/>
      <c r="J36" s="958"/>
      <c r="K36" s="743">
        <f t="shared" si="2"/>
        <v>0</v>
      </c>
      <c r="M36" s="583">
        <f t="shared" si="3"/>
        <v>0</v>
      </c>
      <c r="AH36" s="746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</row>
    <row r="37" spans="2:47" ht="12.75" hidden="1" customHeight="1" x14ac:dyDescent="0.25">
      <c r="B37" s="1728" t="s">
        <v>826</v>
      </c>
      <c r="C37" s="1728"/>
      <c r="D37" s="772">
        <f>SUM('3 ALUMINIOS'!B12:F12,'3 ALUMINIOS'!H12:J12,'3 ALUMINIOS'!B13:F13,'3 ALUMINIOS'!H13:J13,'3 ALUMINIOS'!H10:J10)</f>
        <v>0</v>
      </c>
      <c r="E37" s="738" t="s">
        <v>998</v>
      </c>
      <c r="F37" s="118"/>
      <c r="G37" s="118"/>
      <c r="H37" s="737"/>
      <c r="I37" s="742"/>
      <c r="J37" s="958"/>
      <c r="K37" s="743">
        <f t="shared" si="2"/>
        <v>0</v>
      </c>
      <c r="M37" s="583">
        <f t="shared" si="3"/>
        <v>0</v>
      </c>
      <c r="AH37" s="575"/>
      <c r="AI37" s="577"/>
      <c r="AJ37" s="577"/>
      <c r="AK37" s="749"/>
      <c r="AL37" s="576"/>
      <c r="AM37" s="673"/>
      <c r="AN37" s="673"/>
      <c r="AO37" s="673"/>
      <c r="AP37" s="673"/>
      <c r="AQ37" s="722"/>
      <c r="AR37" s="722"/>
      <c r="AS37" s="3"/>
      <c r="AT37" s="3"/>
      <c r="AU37" s="3"/>
    </row>
    <row r="38" spans="2:47" ht="12.75" hidden="1" customHeight="1" x14ac:dyDescent="0.25">
      <c r="B38" s="1728" t="s">
        <v>824</v>
      </c>
      <c r="C38" s="1728"/>
      <c r="D38" s="772">
        <f>SUM('3 ALUMINIOS'!B8:F8)</f>
        <v>0</v>
      </c>
      <c r="E38" s="738" t="s">
        <v>998</v>
      </c>
      <c r="F38" s="118"/>
      <c r="G38" s="118"/>
      <c r="H38" s="737"/>
      <c r="I38" s="742"/>
      <c r="J38" s="958"/>
      <c r="K38" s="743">
        <f t="shared" si="2"/>
        <v>0</v>
      </c>
      <c r="M38" s="583">
        <f t="shared" si="3"/>
        <v>0</v>
      </c>
      <c r="AH38" s="575"/>
      <c r="AI38" s="577"/>
      <c r="AJ38" s="577"/>
      <c r="AK38" s="749"/>
      <c r="AL38" s="576"/>
      <c r="AM38" s="673"/>
      <c r="AN38" s="673"/>
      <c r="AO38" s="673"/>
      <c r="AP38" s="673"/>
      <c r="AQ38" s="722"/>
      <c r="AR38" s="722"/>
      <c r="AS38" s="3"/>
      <c r="AT38" s="3"/>
      <c r="AU38" s="3"/>
    </row>
    <row r="39" spans="2:47" ht="12.75" hidden="1" customHeight="1" x14ac:dyDescent="0.25">
      <c r="B39" s="1728" t="s">
        <v>1065</v>
      </c>
      <c r="C39" s="1728"/>
      <c r="D39" s="772">
        <f>SUM('3 ALUMINIOS'!B9:F9)</f>
        <v>0</v>
      </c>
      <c r="E39" s="738" t="s">
        <v>998</v>
      </c>
      <c r="F39" s="118"/>
      <c r="G39" s="118"/>
      <c r="H39" s="737"/>
      <c r="I39" s="737"/>
      <c r="J39" s="958"/>
      <c r="K39" s="743">
        <f t="shared" si="2"/>
        <v>0</v>
      </c>
      <c r="M39" s="583">
        <f t="shared" si="3"/>
        <v>0</v>
      </c>
      <c r="AH39" s="575"/>
      <c r="AI39" s="577"/>
      <c r="AJ39" s="577"/>
      <c r="AK39" s="749"/>
      <c r="AL39" s="576"/>
      <c r="AM39" s="673"/>
      <c r="AN39" s="673"/>
      <c r="AO39" s="673"/>
      <c r="AP39" s="673"/>
      <c r="AQ39" s="722"/>
      <c r="AR39" s="722"/>
      <c r="AS39" s="3"/>
      <c r="AT39" s="3"/>
      <c r="AU39" s="3"/>
    </row>
    <row r="40" spans="2:47" ht="12.75" hidden="1" customHeight="1" x14ac:dyDescent="0.25">
      <c r="B40" s="1728" t="s">
        <v>823</v>
      </c>
      <c r="C40" s="1728"/>
      <c r="D40" s="772">
        <f>+'3 ALUMINIOS'!B10+'3 ALUMINIOS'!C10+'3 ALUMINIOS'!D10+'3 ALUMINIOS'!E10+'3 ALUMINIOS'!F10</f>
        <v>0</v>
      </c>
      <c r="E40" s="738" t="s">
        <v>998</v>
      </c>
      <c r="F40" s="118"/>
      <c r="G40" s="118"/>
      <c r="H40" s="737"/>
      <c r="I40" s="737"/>
      <c r="J40" s="958"/>
      <c r="K40" s="743">
        <f t="shared" si="2"/>
        <v>0</v>
      </c>
      <c r="M40" s="583">
        <f t="shared" si="3"/>
        <v>0</v>
      </c>
      <c r="AH40" s="575"/>
      <c r="AI40" s="577"/>
      <c r="AJ40" s="577"/>
      <c r="AK40" s="3"/>
      <c r="AL40" s="576"/>
      <c r="AM40" s="673"/>
      <c r="AN40" s="673"/>
      <c r="AO40" s="673"/>
      <c r="AP40" s="673"/>
      <c r="AQ40" s="722"/>
      <c r="AR40" s="722"/>
      <c r="AS40" s="3"/>
      <c r="AT40" s="3"/>
      <c r="AU40" s="3"/>
    </row>
    <row r="41" spans="2:47" ht="12.75" hidden="1" customHeight="1" x14ac:dyDescent="0.25">
      <c r="B41" s="1726" t="s">
        <v>1097</v>
      </c>
      <c r="C41" s="1727"/>
      <c r="D41" s="772">
        <f>+D39+D38+D37+D36</f>
        <v>0</v>
      </c>
      <c r="E41" s="738" t="s">
        <v>998</v>
      </c>
      <c r="F41" s="118"/>
      <c r="G41" s="118"/>
      <c r="H41" s="737"/>
      <c r="I41" s="737"/>
      <c r="J41" s="958"/>
      <c r="K41" s="743">
        <f>+J41*D41</f>
        <v>0</v>
      </c>
      <c r="M41" s="583">
        <f t="shared" si="3"/>
        <v>0</v>
      </c>
      <c r="AH41" s="575"/>
      <c r="AI41" s="577"/>
      <c r="AJ41" s="577"/>
      <c r="AK41" s="3"/>
      <c r="AL41" s="576"/>
      <c r="AM41" s="673"/>
      <c r="AN41" s="673"/>
      <c r="AO41" s="673"/>
      <c r="AP41" s="673"/>
      <c r="AQ41" s="722"/>
      <c r="AR41" s="722"/>
      <c r="AS41" s="3"/>
      <c r="AT41" s="3"/>
      <c r="AU41" s="3"/>
    </row>
    <row r="42" spans="2:47" ht="12.75" hidden="1" customHeight="1" x14ac:dyDescent="0.2">
      <c r="B42" s="1731" t="s">
        <v>1066</v>
      </c>
      <c r="C42" s="1732"/>
      <c r="D42" s="892">
        <f>(D40*2.5)/600</f>
        <v>0</v>
      </c>
      <c r="E42" s="745" t="s">
        <v>402</v>
      </c>
      <c r="F42" s="737"/>
      <c r="G42" s="737"/>
      <c r="H42" s="737"/>
      <c r="I42" s="737"/>
      <c r="J42" s="958"/>
      <c r="K42" s="743">
        <f t="shared" si="2"/>
        <v>0</v>
      </c>
      <c r="M42" s="583">
        <f t="shared" si="3"/>
        <v>0</v>
      </c>
      <c r="AN42" s="3"/>
      <c r="AO42" s="3"/>
      <c r="AP42" s="3"/>
      <c r="AQ42" s="3"/>
      <c r="AR42" s="3"/>
      <c r="AS42" s="3"/>
      <c r="AT42" s="3"/>
      <c r="AU42" s="3"/>
    </row>
    <row r="43" spans="2:47" ht="15.75" x14ac:dyDescent="0.25">
      <c r="J43" t="s">
        <v>393</v>
      </c>
      <c r="K43" s="744">
        <f>+K16+K17+K18+K19+K20+K21+K22+K23+K24+K30+K27+K28+K29+K33+K34+K35+K36+K37+K38+K39+K40+K42</f>
        <v>0</v>
      </c>
      <c r="M43" s="583">
        <v>1</v>
      </c>
    </row>
    <row r="44" spans="2:47" x14ac:dyDescent="0.2"/>
    <row r="45" spans="2:47" hidden="1" x14ac:dyDescent="0.2">
      <c r="E45" s="335"/>
    </row>
    <row r="46" spans="2:47" hidden="1" x14ac:dyDescent="0.2"/>
    <row r="47" spans="2:47" x14ac:dyDescent="0.2"/>
    <row r="48" spans="2:47" x14ac:dyDescent="0.2"/>
    <row r="49" x14ac:dyDescent="0.2"/>
  </sheetData>
  <sheetProtection password="CECF" sheet="1"/>
  <autoFilter ref="M1:M43">
    <filterColumn colId="0">
      <filters>
        <filter val="1"/>
      </filters>
    </filterColumn>
  </autoFilter>
  <mergeCells count="44">
    <mergeCell ref="B42:C42"/>
    <mergeCell ref="AH26:AK26"/>
    <mergeCell ref="B39:C39"/>
    <mergeCell ref="B38:C38"/>
    <mergeCell ref="B37:C37"/>
    <mergeCell ref="B34:C34"/>
    <mergeCell ref="B40:C40"/>
    <mergeCell ref="AJ22:AK22"/>
    <mergeCell ref="AH21:AI21"/>
    <mergeCell ref="AH22:AI22"/>
    <mergeCell ref="AJ21:AK21"/>
    <mergeCell ref="AH24:AI24"/>
    <mergeCell ref="AH23:AI23"/>
    <mergeCell ref="AJ23:AK23"/>
    <mergeCell ref="AJ24:AK24"/>
    <mergeCell ref="B41:C41"/>
    <mergeCell ref="AH25:AK25"/>
    <mergeCell ref="B36:C36"/>
    <mergeCell ref="B35:C35"/>
    <mergeCell ref="B29:C29"/>
    <mergeCell ref="B27:C27"/>
    <mergeCell ref="B32:C32"/>
    <mergeCell ref="B31:C31"/>
    <mergeCell ref="B33:C33"/>
    <mergeCell ref="B30:C30"/>
    <mergeCell ref="B28:C28"/>
    <mergeCell ref="B26:C26"/>
    <mergeCell ref="B17:C17"/>
    <mergeCell ref="B18:C18"/>
    <mergeCell ref="B19:C19"/>
    <mergeCell ref="AJ20:AK20"/>
    <mergeCell ref="AH20:AI20"/>
    <mergeCell ref="I4:J4"/>
    <mergeCell ref="B5:K5"/>
    <mergeCell ref="D7:K7"/>
    <mergeCell ref="B16:C16"/>
    <mergeCell ref="B14:C14"/>
    <mergeCell ref="B15:C15"/>
    <mergeCell ref="B24:C24"/>
    <mergeCell ref="B25:C25"/>
    <mergeCell ref="B22:C22"/>
    <mergeCell ref="B23:C23"/>
    <mergeCell ref="B20:C20"/>
    <mergeCell ref="B21:C21"/>
  </mergeCells>
  <phoneticPr fontId="25" type="noConversion"/>
  <dataValidations count="1">
    <dataValidation operator="lessThan" allowBlank="1" showInputMessage="1" showErrorMessage="1" errorTitle="PROTEGIDO" error="Celda bloqueada..............._x000a_Presione ESC para continuar" sqref="D30:E30 AH31:AK35 D33:D41 B33:B41 AK37:AK39 AL37:AR41 AH37:AJ41 D27:D29 B27:B30"/>
  </dataValidations>
  <printOptions horizontalCentered="1"/>
  <pageMargins left="0.23622047244094491" right="0.39370078740157483" top="0.98425196850393704" bottom="0.43307086614173229" header="0" footer="0"/>
  <pageSetup paperSize="9" scale="85" orientation="portrait" r:id="rId1"/>
  <headerFooter alignWithMargins="0">
    <oddFooter>&amp;LROLANDO A.&amp;C&amp;"Arial,Negrita"FAMOC DEPANEL Confidencial&amp;RPágina &amp;P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2:AF1075"/>
  <sheetViews>
    <sheetView topLeftCell="A497" workbookViewId="0">
      <selection activeCell="J533" sqref="J533"/>
    </sheetView>
  </sheetViews>
  <sheetFormatPr baseColWidth="10" defaultColWidth="11.5703125" defaultRowHeight="12.75" x14ac:dyDescent="0.2"/>
  <cols>
    <col min="1" max="1" width="14" style="83" customWidth="1"/>
    <col min="2" max="2" width="54.7109375" style="236" customWidth="1"/>
    <col min="3" max="3" width="6.140625" style="237" customWidth="1"/>
    <col min="4" max="4" width="14.140625" style="225" customWidth="1"/>
    <col min="5" max="5" width="6.5703125" style="239" customWidth="1"/>
    <col min="6" max="6" width="13.140625" style="225" customWidth="1"/>
    <col min="7" max="7" width="6.7109375" style="225" customWidth="1"/>
    <col min="8" max="8" width="2.7109375" style="225" customWidth="1"/>
    <col min="9" max="9" width="11.5703125" style="225" customWidth="1"/>
    <col min="10" max="10" width="13.140625" style="225" customWidth="1"/>
    <col min="11" max="11" width="7.85546875" style="225" customWidth="1"/>
    <col min="12" max="12" width="11.5703125" style="225" customWidth="1"/>
    <col min="13" max="13" width="6.85546875" style="225" customWidth="1"/>
    <col min="14" max="14" width="11.5703125" style="225" customWidth="1"/>
    <col min="15" max="15" width="7" style="225" customWidth="1"/>
    <col min="16" max="17" width="11.5703125" style="225" customWidth="1"/>
    <col min="18" max="18" width="2.42578125" style="225" customWidth="1"/>
    <col min="19" max="19" width="11.5703125" style="225" customWidth="1"/>
    <col min="20" max="20" width="49.28515625" style="225" customWidth="1"/>
    <col min="21" max="24" width="11.5703125" style="225" customWidth="1"/>
    <col min="25" max="25" width="53.28515625" style="225" customWidth="1"/>
    <col min="26" max="27" width="11.5703125" style="225" customWidth="1"/>
    <col min="28" max="28" width="2.7109375" style="225" customWidth="1"/>
    <col min="29" max="29" width="11.5703125" style="225" customWidth="1"/>
    <col min="30" max="30" width="49.28515625" style="225" customWidth="1"/>
    <col min="31" max="16384" width="11.5703125" style="225"/>
  </cols>
  <sheetData>
    <row r="2" spans="1:32" ht="18" x14ac:dyDescent="0.25">
      <c r="A2" s="235"/>
      <c r="B2" s="236">
        <v>0</v>
      </c>
      <c r="D2" s="238"/>
      <c r="F2" s="238"/>
      <c r="G2" s="238"/>
      <c r="J2" s="240"/>
      <c r="O2" s="236"/>
      <c r="P2" s="237"/>
      <c r="Q2" s="238"/>
      <c r="Y2" s="236"/>
      <c r="Z2" s="237"/>
      <c r="AA2" s="238"/>
    </row>
    <row r="3" spans="1:32" x14ac:dyDescent="0.2">
      <c r="A3" s="83" t="s">
        <v>563</v>
      </c>
      <c r="B3" s="236" t="s">
        <v>564</v>
      </c>
      <c r="C3" s="237" t="s">
        <v>45</v>
      </c>
      <c r="P3" s="237"/>
      <c r="Y3" s="236"/>
      <c r="Z3" s="237"/>
    </row>
    <row r="4" spans="1:32" x14ac:dyDescent="0.2">
      <c r="A4" s="83">
        <v>1075500</v>
      </c>
      <c r="B4" s="241" t="s">
        <v>122</v>
      </c>
      <c r="C4" s="242">
        <f>+Cant.!BK12</f>
        <v>0</v>
      </c>
      <c r="D4" s="241" t="s">
        <v>565</v>
      </c>
      <c r="F4" s="241"/>
      <c r="G4" s="243"/>
      <c r="J4" s="241"/>
      <c r="K4" s="244"/>
      <c r="P4" s="237"/>
      <c r="Q4" s="241"/>
      <c r="S4" s="245"/>
      <c r="T4" s="246"/>
      <c r="V4" s="241"/>
      <c r="X4" s="245"/>
      <c r="Y4" s="236"/>
      <c r="Z4" s="237"/>
      <c r="AA4" s="241"/>
      <c r="AC4" s="245"/>
      <c r="AD4" s="246"/>
      <c r="AF4" s="241"/>
    </row>
    <row r="5" spans="1:32" x14ac:dyDescent="0.2">
      <c r="A5" s="83">
        <v>1075501</v>
      </c>
      <c r="B5" s="241" t="s">
        <v>123</v>
      </c>
      <c r="C5" s="242">
        <f>+Cant.!BK13</f>
        <v>0</v>
      </c>
      <c r="D5" s="241" t="s">
        <v>565</v>
      </c>
      <c r="F5" s="241"/>
      <c r="G5" s="243"/>
      <c r="H5" s="83"/>
      <c r="J5" s="241"/>
      <c r="K5" s="244"/>
      <c r="P5" s="237"/>
      <c r="Q5" s="241"/>
      <c r="R5" s="83"/>
      <c r="V5" s="241"/>
      <c r="X5" s="245"/>
      <c r="Y5" s="236"/>
      <c r="Z5" s="237"/>
      <c r="AA5" s="241"/>
      <c r="AB5" s="83"/>
      <c r="AF5" s="241"/>
    </row>
    <row r="6" spans="1:32" x14ac:dyDescent="0.2">
      <c r="A6" s="83">
        <v>1075502</v>
      </c>
      <c r="B6" s="241" t="s">
        <v>124</v>
      </c>
      <c r="C6" s="242">
        <f>+Cant.!BK14</f>
        <v>0</v>
      </c>
      <c r="D6" s="241" t="s">
        <v>565</v>
      </c>
      <c r="F6" s="241"/>
      <c r="G6" s="243"/>
      <c r="J6" s="241"/>
      <c r="K6" s="244"/>
      <c r="P6" s="237"/>
      <c r="Q6" s="241"/>
      <c r="V6" s="241"/>
      <c r="X6" s="245"/>
      <c r="Y6" s="236"/>
      <c r="Z6" s="237"/>
      <c r="AA6" s="241"/>
      <c r="AF6" s="241"/>
    </row>
    <row r="7" spans="1:32" x14ac:dyDescent="0.2">
      <c r="A7" s="83">
        <v>1075503</v>
      </c>
      <c r="B7" s="241" t="s">
        <v>125</v>
      </c>
      <c r="C7" s="242">
        <f>+Cant.!BK15</f>
        <v>0</v>
      </c>
      <c r="D7" s="241" t="s">
        <v>565</v>
      </c>
      <c r="F7" s="241"/>
      <c r="G7" s="243"/>
      <c r="H7" s="247"/>
      <c r="J7" s="241"/>
      <c r="K7" s="244"/>
      <c r="P7" s="237"/>
      <c r="Q7" s="241"/>
      <c r="R7" s="247"/>
      <c r="V7" s="241"/>
      <c r="X7" s="245"/>
      <c r="Y7" s="236"/>
      <c r="Z7" s="237"/>
      <c r="AA7" s="241"/>
      <c r="AB7" s="247"/>
      <c r="AF7" s="241"/>
    </row>
    <row r="8" spans="1:32" x14ac:dyDescent="0.2">
      <c r="A8" s="83">
        <v>1075504</v>
      </c>
      <c r="B8" s="241" t="s">
        <v>126</v>
      </c>
      <c r="C8" s="242">
        <f>+Cant.!BK16</f>
        <v>0</v>
      </c>
      <c r="D8" s="241" t="s">
        <v>565</v>
      </c>
      <c r="F8" s="241"/>
      <c r="G8" s="243"/>
      <c r="H8" s="248"/>
      <c r="J8" s="241"/>
      <c r="K8" s="244"/>
      <c r="P8" s="237"/>
      <c r="Q8" s="241"/>
      <c r="R8" s="248"/>
      <c r="V8" s="241"/>
      <c r="X8" s="245"/>
      <c r="Y8" s="246"/>
      <c r="Z8" s="237"/>
      <c r="AA8" s="241"/>
      <c r="AB8" s="248"/>
      <c r="AF8" s="241"/>
    </row>
    <row r="9" spans="1:32" x14ac:dyDescent="0.2">
      <c r="A9" s="83">
        <v>1075505</v>
      </c>
      <c r="B9" s="241" t="s">
        <v>127</v>
      </c>
      <c r="C9" s="242">
        <f>+Cant.!BK17</f>
        <v>0</v>
      </c>
      <c r="D9" s="241" t="s">
        <v>565</v>
      </c>
      <c r="E9" s="239">
        <v>1</v>
      </c>
      <c r="F9" s="241"/>
      <c r="G9" s="243"/>
      <c r="H9" s="247"/>
      <c r="J9" s="241"/>
      <c r="K9" s="244"/>
      <c r="P9" s="237"/>
      <c r="Q9" s="241"/>
      <c r="R9" s="247"/>
      <c r="V9" s="241"/>
      <c r="X9" s="245"/>
      <c r="Y9" s="246"/>
      <c r="Z9" s="237"/>
      <c r="AA9" s="241"/>
      <c r="AB9" s="247"/>
      <c r="AF9" s="241"/>
    </row>
    <row r="10" spans="1:32" x14ac:dyDescent="0.2">
      <c r="A10" s="83">
        <v>1075507</v>
      </c>
      <c r="B10" s="241" t="s">
        <v>128</v>
      </c>
      <c r="C10" s="242">
        <f>+Cant.!BK18</f>
        <v>0</v>
      </c>
      <c r="D10" s="241" t="s">
        <v>565</v>
      </c>
      <c r="F10" s="241"/>
      <c r="G10" s="243"/>
      <c r="H10" s="248"/>
      <c r="J10" s="241"/>
      <c r="K10" s="244"/>
      <c r="P10" s="237"/>
      <c r="Q10" s="241"/>
      <c r="R10" s="248"/>
      <c r="T10" s="246"/>
      <c r="V10" s="241"/>
      <c r="X10" s="245"/>
      <c r="Y10" s="246"/>
      <c r="Z10" s="237"/>
      <c r="AA10" s="241"/>
      <c r="AB10" s="248"/>
      <c r="AD10" s="246"/>
      <c r="AF10" s="241"/>
    </row>
    <row r="11" spans="1:32" x14ac:dyDescent="0.2">
      <c r="A11" s="83">
        <v>1075508</v>
      </c>
      <c r="B11" s="241" t="s">
        <v>129</v>
      </c>
      <c r="C11" s="242">
        <f>+Cant.!BK19</f>
        <v>0</v>
      </c>
      <c r="D11" s="241" t="s">
        <v>565</v>
      </c>
      <c r="F11" s="241"/>
      <c r="G11" s="243"/>
      <c r="H11" s="247"/>
      <c r="J11" s="241"/>
      <c r="K11" s="244"/>
      <c r="P11" s="237"/>
      <c r="Q11" s="241"/>
      <c r="R11" s="247"/>
      <c r="V11" s="241"/>
      <c r="X11" s="245"/>
      <c r="Y11" s="246"/>
      <c r="Z11" s="237"/>
      <c r="AA11" s="241"/>
      <c r="AB11" s="247"/>
      <c r="AF11" s="241"/>
    </row>
    <row r="12" spans="1:32" x14ac:dyDescent="0.2">
      <c r="A12" s="83">
        <v>1075509</v>
      </c>
      <c r="B12" s="241" t="s">
        <v>130</v>
      </c>
      <c r="C12" s="242">
        <f>+Cant.!BK20</f>
        <v>0</v>
      </c>
      <c r="D12" s="241" t="s">
        <v>565</v>
      </c>
      <c r="F12" s="241"/>
      <c r="G12" s="243"/>
      <c r="H12" s="248"/>
      <c r="J12" s="241"/>
      <c r="K12" s="244"/>
      <c r="P12" s="237"/>
      <c r="Q12" s="241"/>
      <c r="R12" s="248"/>
      <c r="V12" s="241"/>
      <c r="X12" s="245"/>
      <c r="Y12" s="236"/>
      <c r="Z12" s="237"/>
      <c r="AA12" s="241"/>
      <c r="AB12" s="248"/>
      <c r="AF12" s="241"/>
    </row>
    <row r="13" spans="1:32" x14ac:dyDescent="0.2">
      <c r="A13" s="83">
        <v>1075510</v>
      </c>
      <c r="B13" s="241" t="s">
        <v>131</v>
      </c>
      <c r="C13" s="242">
        <f>+Cant.!BK21</f>
        <v>0</v>
      </c>
      <c r="D13" s="241" t="s">
        <v>565</v>
      </c>
      <c r="F13" s="241"/>
      <c r="G13" s="243"/>
      <c r="H13" s="247"/>
      <c r="J13" s="241"/>
      <c r="K13" s="244"/>
      <c r="P13" s="237"/>
      <c r="Q13" s="241"/>
      <c r="R13" s="247"/>
      <c r="V13" s="241"/>
      <c r="X13" s="245"/>
      <c r="Y13" s="236"/>
      <c r="Z13" s="237"/>
      <c r="AA13" s="241"/>
      <c r="AB13" s="247"/>
      <c r="AF13" s="241"/>
    </row>
    <row r="14" spans="1:32" x14ac:dyDescent="0.2">
      <c r="A14" s="83">
        <v>1075511</v>
      </c>
      <c r="B14" s="241" t="s">
        <v>134</v>
      </c>
      <c r="C14" s="242">
        <f>+Cant.!BK22</f>
        <v>0</v>
      </c>
      <c r="D14" s="241" t="s">
        <v>565</v>
      </c>
      <c r="F14" s="241"/>
      <c r="G14" s="243"/>
      <c r="J14" s="241"/>
      <c r="K14" s="244"/>
      <c r="P14" s="237"/>
      <c r="Q14" s="241"/>
      <c r="V14" s="241"/>
      <c r="X14" s="245"/>
      <c r="Y14" s="236"/>
      <c r="Z14" s="237"/>
      <c r="AA14" s="241"/>
      <c r="AF14" s="241"/>
    </row>
    <row r="15" spans="1:32" x14ac:dyDescent="0.2">
      <c r="A15" s="83">
        <v>1075512</v>
      </c>
      <c r="B15" s="241" t="s">
        <v>135</v>
      </c>
      <c r="C15" s="242">
        <f>+Cant.!BK23</f>
        <v>0</v>
      </c>
      <c r="D15" s="241" t="s">
        <v>565</v>
      </c>
      <c r="F15" s="241"/>
      <c r="G15" s="243"/>
      <c r="H15" s="247"/>
      <c r="J15" s="241"/>
      <c r="K15" s="244"/>
      <c r="P15" s="237"/>
      <c r="Q15" s="241"/>
      <c r="R15" s="247"/>
      <c r="V15" s="241"/>
      <c r="X15" s="245"/>
      <c r="Y15" s="236"/>
      <c r="Z15" s="237"/>
      <c r="AA15" s="241"/>
      <c r="AB15" s="247"/>
      <c r="AF15" s="241"/>
    </row>
    <row r="16" spans="1:32" x14ac:dyDescent="0.2">
      <c r="A16" s="83">
        <v>1075513</v>
      </c>
      <c r="B16" s="241" t="s">
        <v>136</v>
      </c>
      <c r="C16" s="242">
        <f>+Cant.!BK24</f>
        <v>0</v>
      </c>
      <c r="D16" s="241" t="s">
        <v>565</v>
      </c>
      <c r="F16" s="241"/>
      <c r="G16" s="243"/>
      <c r="H16" s="248"/>
      <c r="J16" s="241"/>
      <c r="K16" s="244"/>
      <c r="P16" s="237"/>
      <c r="Q16" s="241"/>
      <c r="R16" s="248"/>
      <c r="T16" s="246"/>
      <c r="V16" s="241"/>
      <c r="X16" s="245"/>
      <c r="Y16" s="246"/>
      <c r="Z16" s="237"/>
      <c r="AA16" s="241"/>
      <c r="AB16" s="248"/>
      <c r="AD16" s="246"/>
      <c r="AF16" s="241"/>
    </row>
    <row r="17" spans="1:32" x14ac:dyDescent="0.2">
      <c r="A17" s="83">
        <v>1075515</v>
      </c>
      <c r="B17" s="241" t="s">
        <v>137</v>
      </c>
      <c r="C17" s="242">
        <f>+Cant.!BK25</f>
        <v>0</v>
      </c>
      <c r="D17" s="241" t="s">
        <v>565</v>
      </c>
      <c r="F17" s="241"/>
      <c r="G17" s="243"/>
      <c r="H17" s="247"/>
      <c r="J17" s="241"/>
      <c r="K17" s="244"/>
      <c r="P17" s="237"/>
      <c r="Q17" s="241"/>
      <c r="R17" s="247"/>
      <c r="V17" s="241"/>
      <c r="X17" s="245"/>
      <c r="Y17" s="246"/>
      <c r="Z17" s="237"/>
      <c r="AA17" s="241"/>
      <c r="AB17" s="247"/>
      <c r="AF17" s="241"/>
    </row>
    <row r="18" spans="1:32" x14ac:dyDescent="0.2">
      <c r="A18" s="83">
        <v>1075516</v>
      </c>
      <c r="B18" s="241" t="s">
        <v>138</v>
      </c>
      <c r="C18" s="242">
        <f>+Cant.!BK26</f>
        <v>0</v>
      </c>
      <c r="D18" s="241" t="s">
        <v>565</v>
      </c>
      <c r="F18" s="241"/>
      <c r="G18" s="243"/>
      <c r="H18" s="248"/>
      <c r="J18" s="241"/>
      <c r="K18" s="244"/>
      <c r="P18" s="237"/>
      <c r="Q18" s="241"/>
      <c r="R18" s="248"/>
      <c r="V18" s="241"/>
      <c r="X18" s="245"/>
      <c r="Y18" s="246"/>
      <c r="Z18" s="237"/>
      <c r="AA18" s="241"/>
      <c r="AB18" s="248"/>
      <c r="AF18" s="241"/>
    </row>
    <row r="19" spans="1:32" x14ac:dyDescent="0.2">
      <c r="A19" s="83">
        <v>1075517</v>
      </c>
      <c r="B19" s="241" t="s">
        <v>139</v>
      </c>
      <c r="C19" s="242">
        <f>+Cant.!BK27</f>
        <v>0</v>
      </c>
      <c r="D19" s="241" t="s">
        <v>565</v>
      </c>
      <c r="F19" s="241"/>
      <c r="G19" s="243"/>
      <c r="H19" s="247"/>
      <c r="J19" s="241"/>
      <c r="K19" s="244"/>
      <c r="P19" s="237"/>
      <c r="Q19" s="241"/>
      <c r="R19" s="247"/>
      <c r="V19" s="241"/>
      <c r="X19" s="245"/>
      <c r="Y19" s="246"/>
      <c r="Z19" s="237"/>
      <c r="AA19" s="241"/>
      <c r="AB19" s="247"/>
      <c r="AF19" s="241"/>
    </row>
    <row r="20" spans="1:32" x14ac:dyDescent="0.2">
      <c r="A20" s="83">
        <v>1075518</v>
      </c>
      <c r="B20" s="241" t="s">
        <v>140</v>
      </c>
      <c r="C20" s="242">
        <f>+Cant.!BK28</f>
        <v>0</v>
      </c>
      <c r="D20" s="241" t="s">
        <v>565</v>
      </c>
      <c r="F20" s="241"/>
      <c r="G20" s="243"/>
      <c r="H20" s="248"/>
      <c r="J20" s="241"/>
      <c r="K20" s="244"/>
      <c r="P20" s="237"/>
      <c r="Q20" s="241"/>
      <c r="R20" s="248"/>
      <c r="V20" s="241"/>
      <c r="X20" s="245"/>
      <c r="Y20" s="236"/>
      <c r="Z20" s="237"/>
      <c r="AA20" s="241"/>
      <c r="AB20" s="248"/>
      <c r="AF20" s="241"/>
    </row>
    <row r="21" spans="1:32" x14ac:dyDescent="0.2">
      <c r="A21" s="83">
        <v>1075519</v>
      </c>
      <c r="B21" s="241" t="s">
        <v>141</v>
      </c>
      <c r="C21" s="242">
        <f>+Cant.!BK29</f>
        <v>0</v>
      </c>
      <c r="D21" s="241" t="s">
        <v>565</v>
      </c>
      <c r="F21" s="241"/>
      <c r="G21" s="243"/>
      <c r="H21" s="247"/>
      <c r="J21" s="241"/>
      <c r="K21" s="244"/>
      <c r="P21" s="237"/>
      <c r="Q21" s="241"/>
      <c r="R21" s="247"/>
      <c r="V21" s="241"/>
      <c r="X21" s="245"/>
      <c r="Y21" s="236"/>
      <c r="Z21" s="237"/>
      <c r="AA21" s="241"/>
      <c r="AB21" s="247"/>
      <c r="AF21" s="241"/>
    </row>
    <row r="22" spans="1:32" x14ac:dyDescent="0.2">
      <c r="A22" s="83">
        <v>1075520</v>
      </c>
      <c r="B22" s="241" t="s">
        <v>142</v>
      </c>
      <c r="C22" s="242">
        <f>+Cant.!BK30</f>
        <v>0</v>
      </c>
      <c r="D22" s="241" t="s">
        <v>565</v>
      </c>
      <c r="F22" s="241"/>
      <c r="G22" s="243"/>
      <c r="J22" s="241"/>
      <c r="K22" s="244"/>
      <c r="P22" s="237"/>
      <c r="Q22" s="241"/>
      <c r="V22" s="241"/>
      <c r="X22" s="245"/>
      <c r="Y22" s="236"/>
      <c r="Z22" s="237"/>
      <c r="AA22" s="241"/>
      <c r="AF22" s="241"/>
    </row>
    <row r="23" spans="1:32" x14ac:dyDescent="0.2">
      <c r="A23" s="83">
        <v>1075521</v>
      </c>
      <c r="B23" s="241" t="s">
        <v>143</v>
      </c>
      <c r="C23" s="242">
        <f>+Cant.!BK31</f>
        <v>0</v>
      </c>
      <c r="D23" s="241" t="s">
        <v>565</v>
      </c>
      <c r="F23" s="241"/>
      <c r="G23" s="243"/>
      <c r="H23" s="247"/>
      <c r="J23" s="241"/>
      <c r="K23" s="244"/>
      <c r="P23" s="237"/>
      <c r="Q23" s="241"/>
      <c r="R23" s="247"/>
      <c r="V23" s="241"/>
      <c r="X23" s="245"/>
      <c r="Y23" s="236"/>
      <c r="Z23" s="237"/>
      <c r="AA23" s="241"/>
      <c r="AB23" s="247"/>
      <c r="AF23" s="241"/>
    </row>
    <row r="24" spans="1:32" x14ac:dyDescent="0.2">
      <c r="A24" s="83">
        <v>1075523</v>
      </c>
      <c r="B24" s="241" t="s">
        <v>144</v>
      </c>
      <c r="C24" s="242">
        <f>+Cant.!BK32</f>
        <v>0</v>
      </c>
      <c r="D24" s="241" t="s">
        <v>565</v>
      </c>
      <c r="F24" s="241"/>
      <c r="G24" s="243"/>
      <c r="H24" s="246"/>
      <c r="J24" s="241"/>
      <c r="K24" s="244"/>
      <c r="P24" s="237"/>
      <c r="Q24" s="241"/>
      <c r="R24" s="246"/>
      <c r="V24" s="241"/>
      <c r="X24" s="245"/>
      <c r="Y24" s="246"/>
      <c r="Z24" s="237"/>
      <c r="AA24" s="241"/>
      <c r="AB24" s="246"/>
      <c r="AF24" s="241"/>
    </row>
    <row r="25" spans="1:32" x14ac:dyDescent="0.2">
      <c r="A25" s="83">
        <v>1075524</v>
      </c>
      <c r="B25" s="241" t="s">
        <v>145</v>
      </c>
      <c r="C25" s="242">
        <f>+Cant.!BK33</f>
        <v>0</v>
      </c>
      <c r="D25" s="241" t="s">
        <v>565</v>
      </c>
      <c r="F25" s="241"/>
      <c r="G25" s="243"/>
      <c r="H25" s="247"/>
      <c r="J25" s="241"/>
      <c r="K25" s="244"/>
      <c r="P25" s="237"/>
      <c r="Q25" s="241"/>
      <c r="R25" s="247"/>
      <c r="V25" s="241"/>
      <c r="X25" s="245"/>
      <c r="Y25" s="246"/>
      <c r="Z25" s="237"/>
      <c r="AA25" s="241"/>
      <c r="AB25" s="247"/>
      <c r="AF25" s="241"/>
    </row>
    <row r="26" spans="1:32" x14ac:dyDescent="0.2">
      <c r="A26" s="83">
        <v>1075525</v>
      </c>
      <c r="B26" s="241" t="s">
        <v>146</v>
      </c>
      <c r="C26" s="242">
        <f>+Cant.!BK34</f>
        <v>0</v>
      </c>
      <c r="D26" s="241" t="s">
        <v>565</v>
      </c>
      <c r="F26" s="241"/>
      <c r="G26" s="243"/>
      <c r="H26" s="248"/>
      <c r="J26" s="241"/>
      <c r="K26" s="244"/>
      <c r="P26" s="237"/>
      <c r="Q26" s="241"/>
      <c r="R26" s="248"/>
      <c r="V26" s="241"/>
      <c r="X26" s="245"/>
      <c r="Y26" s="246"/>
      <c r="Z26" s="237"/>
      <c r="AA26" s="241"/>
      <c r="AB26" s="248"/>
      <c r="AF26" s="241"/>
    </row>
    <row r="27" spans="1:32" x14ac:dyDescent="0.2">
      <c r="A27" s="83">
        <v>1075526</v>
      </c>
      <c r="B27" s="241" t="s">
        <v>147</v>
      </c>
      <c r="C27" s="242">
        <f>+Cant.!BK35</f>
        <v>0</v>
      </c>
      <c r="D27" s="241" t="s">
        <v>565</v>
      </c>
      <c r="F27" s="241"/>
      <c r="G27" s="243"/>
      <c r="H27" s="247"/>
      <c r="J27" s="241"/>
      <c r="K27" s="244"/>
      <c r="P27" s="237"/>
      <c r="Q27" s="241"/>
      <c r="R27" s="247"/>
      <c r="V27" s="241"/>
      <c r="X27" s="245"/>
      <c r="Y27" s="246"/>
      <c r="Z27" s="237"/>
      <c r="AA27" s="241"/>
      <c r="AB27" s="247"/>
      <c r="AF27" s="241"/>
    </row>
    <row r="28" spans="1:32" x14ac:dyDescent="0.2">
      <c r="A28" s="83">
        <v>1075527</v>
      </c>
      <c r="B28" s="241" t="s">
        <v>148</v>
      </c>
      <c r="C28" s="242">
        <f>+Cant.!BK37</f>
        <v>0</v>
      </c>
      <c r="D28" s="241" t="s">
        <v>565</v>
      </c>
      <c r="F28" s="241"/>
      <c r="G28" s="243"/>
      <c r="H28" s="248"/>
      <c r="J28" s="241"/>
      <c r="K28" s="244"/>
      <c r="P28" s="237"/>
      <c r="Q28" s="241"/>
      <c r="R28" s="248"/>
      <c r="V28" s="241"/>
      <c r="X28" s="245"/>
      <c r="Y28" s="246"/>
      <c r="Z28" s="237"/>
      <c r="AA28" s="241"/>
      <c r="AB28" s="248"/>
      <c r="AF28" s="241"/>
    </row>
    <row r="29" spans="1:32" x14ac:dyDescent="0.2">
      <c r="A29" s="83">
        <v>1075528</v>
      </c>
      <c r="B29" s="241" t="s">
        <v>149</v>
      </c>
      <c r="C29" s="242">
        <f>+Cant.!BK38</f>
        <v>0</v>
      </c>
      <c r="D29" s="241" t="s">
        <v>565</v>
      </c>
      <c r="F29" s="241"/>
      <c r="G29" s="243"/>
      <c r="H29" s="247"/>
      <c r="J29" s="241"/>
      <c r="K29" s="244"/>
      <c r="P29" s="237"/>
      <c r="Q29" s="241"/>
      <c r="R29" s="247"/>
      <c r="V29" s="241"/>
      <c r="X29" s="245"/>
      <c r="Y29" s="246"/>
      <c r="Z29" s="237"/>
      <c r="AA29" s="241"/>
      <c r="AB29" s="247"/>
      <c r="AF29" s="241"/>
    </row>
    <row r="30" spans="1:32" x14ac:dyDescent="0.2">
      <c r="A30" s="83">
        <v>1075529</v>
      </c>
      <c r="B30" s="241" t="s">
        <v>150</v>
      </c>
      <c r="C30" s="242">
        <f>+Cant.!BK39</f>
        <v>0</v>
      </c>
      <c r="D30" s="241" t="s">
        <v>565</v>
      </c>
      <c r="F30" s="241"/>
      <c r="G30" s="243"/>
      <c r="H30" s="248"/>
      <c r="J30" s="241"/>
      <c r="K30" s="244"/>
      <c r="P30" s="237"/>
      <c r="Q30" s="241"/>
      <c r="R30" s="248"/>
      <c r="V30" s="241"/>
      <c r="X30" s="245"/>
      <c r="Y30" s="246"/>
      <c r="Z30" s="237"/>
      <c r="AA30" s="241"/>
      <c r="AB30" s="248"/>
      <c r="AF30" s="241"/>
    </row>
    <row r="31" spans="1:32" x14ac:dyDescent="0.2">
      <c r="A31" s="83">
        <v>1075530</v>
      </c>
      <c r="B31" s="241" t="s">
        <v>151</v>
      </c>
      <c r="C31" s="242">
        <f>+Cant.!BK40</f>
        <v>0</v>
      </c>
      <c r="D31" s="241" t="s">
        <v>565</v>
      </c>
      <c r="F31" s="241"/>
      <c r="G31" s="243"/>
      <c r="H31" s="247"/>
      <c r="J31" s="241"/>
      <c r="K31" s="244"/>
      <c r="P31" s="237"/>
      <c r="Q31" s="241"/>
      <c r="R31" s="247"/>
      <c r="V31" s="241"/>
      <c r="X31" s="245"/>
      <c r="Y31" s="246"/>
      <c r="Z31" s="237"/>
      <c r="AA31" s="241"/>
      <c r="AB31" s="247"/>
      <c r="AF31" s="241"/>
    </row>
    <row r="32" spans="1:32" x14ac:dyDescent="0.2">
      <c r="A32" s="83">
        <v>1075531</v>
      </c>
      <c r="B32" s="241" t="s">
        <v>152</v>
      </c>
      <c r="C32" s="242">
        <f>+Cant.!BK41</f>
        <v>0</v>
      </c>
      <c r="D32" s="241" t="s">
        <v>565</v>
      </c>
      <c r="F32" s="241"/>
      <c r="G32" s="243"/>
      <c r="H32" s="248"/>
      <c r="J32" s="241"/>
      <c r="K32" s="244"/>
      <c r="P32" s="237"/>
      <c r="Q32" s="241"/>
      <c r="R32" s="248"/>
      <c r="V32" s="241"/>
      <c r="X32" s="245"/>
      <c r="Y32" s="246"/>
      <c r="Z32" s="237"/>
      <c r="AA32" s="241"/>
      <c r="AB32" s="248"/>
      <c r="AF32" s="241"/>
    </row>
    <row r="33" spans="1:32" x14ac:dyDescent="0.2">
      <c r="A33" s="83">
        <v>1075532</v>
      </c>
      <c r="B33" s="241" t="s">
        <v>153</v>
      </c>
      <c r="C33" s="242">
        <f>+Cant.!BK42</f>
        <v>0</v>
      </c>
      <c r="D33" s="241" t="s">
        <v>565</v>
      </c>
      <c r="F33" s="241"/>
      <c r="G33" s="243"/>
      <c r="H33" s="247"/>
      <c r="J33" s="241"/>
      <c r="K33" s="244"/>
      <c r="P33" s="237"/>
      <c r="Q33" s="241"/>
      <c r="R33" s="247"/>
      <c r="V33" s="241"/>
      <c r="X33" s="245"/>
      <c r="Y33" s="246"/>
      <c r="Z33" s="237"/>
      <c r="AA33" s="241"/>
      <c r="AB33" s="247"/>
      <c r="AF33" s="241"/>
    </row>
    <row r="34" spans="1:32" x14ac:dyDescent="0.2">
      <c r="A34" s="83">
        <v>1075533</v>
      </c>
      <c r="B34" s="241" t="s">
        <v>155</v>
      </c>
      <c r="C34" s="242">
        <f>+Cant.!BK43</f>
        <v>0</v>
      </c>
      <c r="D34" s="241" t="s">
        <v>565</v>
      </c>
      <c r="F34" s="241"/>
      <c r="G34" s="243"/>
      <c r="H34" s="248"/>
      <c r="J34" s="241"/>
      <c r="K34" s="244"/>
      <c r="P34" s="237"/>
      <c r="Q34" s="241"/>
      <c r="R34" s="248"/>
      <c r="V34" s="241"/>
      <c r="X34" s="245"/>
      <c r="Y34" s="246"/>
      <c r="Z34" s="237"/>
      <c r="AA34" s="241"/>
      <c r="AB34" s="248"/>
      <c r="AF34" s="241"/>
    </row>
    <row r="35" spans="1:32" x14ac:dyDescent="0.2">
      <c r="A35" s="83">
        <v>1075534</v>
      </c>
      <c r="B35" s="241" t="s">
        <v>156</v>
      </c>
      <c r="C35" s="242">
        <f>+Cant.!BK44</f>
        <v>0</v>
      </c>
      <c r="D35" s="241" t="s">
        <v>565</v>
      </c>
      <c r="F35" s="241"/>
      <c r="G35" s="243"/>
      <c r="H35" s="247"/>
      <c r="J35" s="241"/>
      <c r="K35" s="244"/>
      <c r="P35" s="237"/>
      <c r="Q35" s="241"/>
      <c r="R35" s="247"/>
      <c r="V35" s="241"/>
      <c r="X35" s="245"/>
      <c r="Y35" s="246"/>
      <c r="Z35" s="237"/>
      <c r="AA35" s="241"/>
      <c r="AB35" s="247"/>
      <c r="AF35" s="241"/>
    </row>
    <row r="36" spans="1:32" x14ac:dyDescent="0.2">
      <c r="A36" s="83">
        <v>1120113</v>
      </c>
      <c r="B36" s="241" t="s">
        <v>157</v>
      </c>
      <c r="C36" s="242">
        <f>+Cant.!BK45</f>
        <v>0</v>
      </c>
      <c r="D36" s="241" t="s">
        <v>565</v>
      </c>
      <c r="F36" s="241"/>
      <c r="G36" s="243"/>
      <c r="H36" s="248"/>
      <c r="J36" s="241"/>
      <c r="K36" s="244"/>
      <c r="P36" s="237"/>
      <c r="Q36" s="241"/>
      <c r="R36" s="248"/>
      <c r="V36" s="241"/>
      <c r="X36" s="245"/>
      <c r="Y36" s="246"/>
      <c r="Z36" s="237"/>
      <c r="AA36" s="241"/>
      <c r="AB36" s="248"/>
      <c r="AF36" s="241"/>
    </row>
    <row r="37" spans="1:32" x14ac:dyDescent="0.2">
      <c r="A37" s="83">
        <v>1075563</v>
      </c>
      <c r="B37" s="241" t="s">
        <v>158</v>
      </c>
      <c r="C37" s="242">
        <f>+Cant.!BK46</f>
        <v>0</v>
      </c>
      <c r="D37" s="241" t="s">
        <v>565</v>
      </c>
      <c r="F37" s="241"/>
      <c r="G37" s="243"/>
      <c r="H37" s="247"/>
      <c r="J37" s="241"/>
      <c r="K37" s="244"/>
      <c r="P37" s="237"/>
      <c r="Q37" s="241"/>
      <c r="R37" s="247"/>
      <c r="V37" s="241"/>
      <c r="X37" s="245"/>
      <c r="Y37" s="246"/>
      <c r="Z37" s="237"/>
      <c r="AA37" s="241"/>
      <c r="AB37" s="247"/>
      <c r="AF37" s="241"/>
    </row>
    <row r="38" spans="1:32" x14ac:dyDescent="0.2">
      <c r="A38" s="83">
        <v>1075565</v>
      </c>
      <c r="B38" s="241" t="s">
        <v>159</v>
      </c>
      <c r="C38" s="242">
        <f>+Cant.!BK47</f>
        <v>0</v>
      </c>
      <c r="D38" s="241" t="s">
        <v>565</v>
      </c>
      <c r="F38" s="241"/>
      <c r="G38" s="243"/>
      <c r="H38" s="248"/>
      <c r="J38" s="241"/>
      <c r="K38" s="244"/>
      <c r="P38" s="237"/>
      <c r="Q38" s="241"/>
      <c r="R38" s="248"/>
      <c r="V38" s="241"/>
      <c r="X38" s="245"/>
      <c r="Y38" s="246"/>
      <c r="Z38" s="237"/>
      <c r="AA38" s="241"/>
      <c r="AB38" s="248"/>
      <c r="AF38" s="241"/>
    </row>
    <row r="39" spans="1:32" x14ac:dyDescent="0.2">
      <c r="A39" s="83">
        <v>1075572</v>
      </c>
      <c r="B39" s="241" t="s">
        <v>160</v>
      </c>
      <c r="C39" s="242">
        <f>+Cant.!BK48</f>
        <v>0</v>
      </c>
      <c r="D39" s="241" t="s">
        <v>565</v>
      </c>
      <c r="F39" s="241"/>
      <c r="G39" s="243"/>
      <c r="H39" s="247"/>
      <c r="J39" s="241"/>
      <c r="K39" s="244"/>
      <c r="P39" s="237"/>
      <c r="Q39" s="241"/>
      <c r="R39" s="247"/>
      <c r="V39" s="241"/>
      <c r="X39" s="245"/>
      <c r="Y39" s="246"/>
      <c r="Z39" s="237"/>
      <c r="AA39" s="241"/>
      <c r="AB39" s="247"/>
      <c r="AF39" s="241"/>
    </row>
    <row r="40" spans="1:32" x14ac:dyDescent="0.2">
      <c r="A40" s="83">
        <v>1075573</v>
      </c>
      <c r="B40" s="241" t="s">
        <v>161</v>
      </c>
      <c r="C40" s="242">
        <f>+Cant.!BK49</f>
        <v>0</v>
      </c>
      <c r="D40" s="241" t="s">
        <v>565</v>
      </c>
      <c r="F40" s="241"/>
      <c r="G40" s="243"/>
      <c r="H40" s="248"/>
      <c r="J40" s="241"/>
      <c r="K40" s="244"/>
      <c r="P40" s="237"/>
      <c r="Q40" s="241"/>
      <c r="R40" s="248"/>
      <c r="V40" s="241"/>
      <c r="X40" s="245"/>
      <c r="Y40" s="246"/>
      <c r="Z40" s="237"/>
      <c r="AA40" s="241"/>
      <c r="AB40" s="248"/>
      <c r="AF40" s="241"/>
    </row>
    <row r="41" spans="1:32" x14ac:dyDescent="0.2">
      <c r="A41" s="83">
        <v>1075574</v>
      </c>
      <c r="B41" s="241" t="s">
        <v>162</v>
      </c>
      <c r="C41" s="242">
        <f>+Cant.!BK50</f>
        <v>0</v>
      </c>
      <c r="D41" s="241" t="s">
        <v>565</v>
      </c>
      <c r="F41" s="241"/>
      <c r="G41" s="243"/>
      <c r="H41" s="247"/>
      <c r="J41" s="241"/>
      <c r="K41" s="244"/>
      <c r="P41" s="237"/>
      <c r="Q41" s="241"/>
      <c r="R41" s="247"/>
      <c r="V41" s="241"/>
      <c r="X41" s="245"/>
      <c r="Y41" s="246"/>
      <c r="Z41" s="237"/>
      <c r="AA41" s="241"/>
      <c r="AB41" s="247"/>
      <c r="AF41" s="241"/>
    </row>
    <row r="42" spans="1:32" x14ac:dyDescent="0.2">
      <c r="A42" s="83">
        <v>1075575</v>
      </c>
      <c r="B42" s="241" t="s">
        <v>163</v>
      </c>
      <c r="C42" s="242">
        <f>+Cant.!BK51</f>
        <v>0</v>
      </c>
      <c r="D42" s="241" t="s">
        <v>565</v>
      </c>
      <c r="F42" s="241"/>
      <c r="G42" s="243"/>
      <c r="H42" s="247"/>
      <c r="J42" s="241"/>
      <c r="K42" s="244"/>
      <c r="P42" s="237"/>
      <c r="Q42" s="241"/>
      <c r="R42" s="247"/>
      <c r="V42" s="241"/>
      <c r="X42" s="245"/>
      <c r="Y42" s="246"/>
      <c r="Z42" s="237"/>
      <c r="AA42" s="241"/>
      <c r="AB42" s="247"/>
      <c r="AF42" s="241"/>
    </row>
    <row r="43" spans="1:32" x14ac:dyDescent="0.2">
      <c r="A43" s="83">
        <v>1075576</v>
      </c>
      <c r="B43" s="241" t="s">
        <v>164</v>
      </c>
      <c r="C43" s="242">
        <f>+Cant.!BK52</f>
        <v>0</v>
      </c>
      <c r="D43" s="241" t="s">
        <v>565</v>
      </c>
      <c r="F43" s="241"/>
      <c r="G43" s="243"/>
      <c r="H43" s="247"/>
      <c r="J43" s="241"/>
      <c r="K43" s="244"/>
      <c r="P43" s="237"/>
      <c r="Q43" s="241"/>
      <c r="R43" s="247"/>
      <c r="V43" s="241"/>
      <c r="X43" s="245"/>
      <c r="Y43" s="246"/>
      <c r="Z43" s="237"/>
      <c r="AA43" s="241"/>
      <c r="AB43" s="247"/>
      <c r="AF43" s="241"/>
    </row>
    <row r="44" spans="1:32" x14ac:dyDescent="0.2">
      <c r="A44" s="83">
        <v>1075577</v>
      </c>
      <c r="B44" s="241" t="s">
        <v>165</v>
      </c>
      <c r="C44" s="242">
        <f>+Cant.!BK53</f>
        <v>0</v>
      </c>
      <c r="D44" s="241" t="s">
        <v>565</v>
      </c>
      <c r="F44" s="241"/>
      <c r="G44" s="243"/>
      <c r="H44" s="247"/>
      <c r="J44" s="241"/>
      <c r="K44" s="244"/>
      <c r="P44" s="237"/>
      <c r="Q44" s="241"/>
      <c r="R44" s="247"/>
      <c r="V44" s="241"/>
      <c r="Y44" s="236"/>
      <c r="Z44" s="237"/>
      <c r="AA44" s="241"/>
      <c r="AB44" s="247"/>
      <c r="AF44" s="241"/>
    </row>
    <row r="45" spans="1:32" x14ac:dyDescent="0.2">
      <c r="A45" s="83">
        <v>1075592</v>
      </c>
      <c r="B45" s="241" t="s">
        <v>166</v>
      </c>
      <c r="C45" s="242">
        <f>+Cant.!BK54</f>
        <v>0</v>
      </c>
      <c r="D45" s="241" t="s">
        <v>565</v>
      </c>
      <c r="F45" s="241"/>
      <c r="G45" s="243"/>
      <c r="H45" s="247"/>
      <c r="J45" s="241"/>
      <c r="K45" s="244"/>
      <c r="P45" s="237"/>
      <c r="Q45" s="241"/>
      <c r="R45" s="247"/>
      <c r="V45" s="241"/>
      <c r="X45" s="245"/>
      <c r="Y45" s="236"/>
      <c r="Z45" s="237"/>
      <c r="AA45" s="241"/>
      <c r="AB45" s="247"/>
      <c r="AF45" s="241"/>
    </row>
    <row r="46" spans="1:32" x14ac:dyDescent="0.2">
      <c r="A46" s="83">
        <v>1075593</v>
      </c>
      <c r="B46" s="241" t="s">
        <v>167</v>
      </c>
      <c r="C46" s="242">
        <f>+Cant.!BK55</f>
        <v>0</v>
      </c>
      <c r="D46" s="241" t="s">
        <v>565</v>
      </c>
      <c r="F46" s="241"/>
      <c r="G46" s="243"/>
      <c r="H46" s="247"/>
      <c r="J46" s="241"/>
      <c r="K46" s="244"/>
      <c r="P46" s="237"/>
      <c r="Q46" s="241"/>
      <c r="R46" s="247"/>
      <c r="V46" s="241"/>
      <c r="X46" s="245"/>
      <c r="Y46" s="249"/>
      <c r="Z46" s="237"/>
      <c r="AA46" s="241"/>
      <c r="AB46" s="247"/>
      <c r="AF46" s="241"/>
    </row>
    <row r="47" spans="1:32" x14ac:dyDescent="0.2">
      <c r="A47" s="83">
        <v>1075594</v>
      </c>
      <c r="B47" s="241" t="s">
        <v>168</v>
      </c>
      <c r="C47" s="242">
        <f>+Cant.!BK56</f>
        <v>0</v>
      </c>
      <c r="D47" s="241" t="s">
        <v>565</v>
      </c>
      <c r="F47" s="241"/>
      <c r="G47" s="243"/>
      <c r="H47" s="247"/>
      <c r="J47" s="241"/>
      <c r="K47" s="244"/>
      <c r="P47" s="237"/>
      <c r="Q47" s="241"/>
      <c r="R47" s="247"/>
      <c r="V47" s="241"/>
      <c r="X47" s="245"/>
      <c r="Y47" s="236"/>
      <c r="Z47" s="237"/>
      <c r="AA47" s="241"/>
      <c r="AB47" s="247"/>
      <c r="AF47" s="241"/>
    </row>
    <row r="48" spans="1:32" x14ac:dyDescent="0.2">
      <c r="A48" s="83">
        <v>1099915</v>
      </c>
      <c r="B48" s="241" t="s">
        <v>169</v>
      </c>
      <c r="C48" s="242">
        <f>+Cant.!BK57</f>
        <v>0</v>
      </c>
      <c r="D48" s="241" t="s">
        <v>565</v>
      </c>
      <c r="F48" s="241"/>
      <c r="G48" s="243"/>
      <c r="H48" s="247"/>
      <c r="J48" s="241"/>
      <c r="K48" s="244"/>
      <c r="P48" s="237"/>
      <c r="Q48" s="241"/>
      <c r="R48" s="247"/>
      <c r="V48" s="241"/>
      <c r="X48" s="245"/>
      <c r="Y48" s="249"/>
      <c r="Z48" s="237"/>
      <c r="AA48" s="241"/>
      <c r="AB48" s="247"/>
      <c r="AF48" s="241"/>
    </row>
    <row r="49" spans="1:32" x14ac:dyDescent="0.2">
      <c r="A49" s="83">
        <v>1075558</v>
      </c>
      <c r="B49" s="241" t="s">
        <v>170</v>
      </c>
      <c r="C49" s="242">
        <f>+Cant.!BK58</f>
        <v>0</v>
      </c>
      <c r="D49" s="241" t="s">
        <v>565</v>
      </c>
      <c r="F49" s="241"/>
      <c r="G49" s="243"/>
      <c r="H49" s="247"/>
      <c r="J49" s="241"/>
      <c r="K49" s="244"/>
      <c r="P49" s="237"/>
      <c r="Q49" s="241"/>
      <c r="R49" s="247"/>
      <c r="V49" s="241"/>
      <c r="X49" s="245"/>
      <c r="Y49" s="236"/>
      <c r="Z49" s="237"/>
      <c r="AA49" s="241"/>
      <c r="AB49" s="247"/>
      <c r="AF49" s="241"/>
    </row>
    <row r="50" spans="1:32" x14ac:dyDescent="0.2">
      <c r="A50" s="83">
        <v>1075535</v>
      </c>
      <c r="B50" s="241" t="s">
        <v>171</v>
      </c>
      <c r="C50" s="242">
        <f>+Cant.!BK59</f>
        <v>0</v>
      </c>
      <c r="D50" s="241" t="s">
        <v>565</v>
      </c>
      <c r="F50" s="241"/>
      <c r="G50" s="243"/>
      <c r="H50" s="247"/>
      <c r="J50" s="241"/>
      <c r="K50" s="244"/>
      <c r="P50" s="237"/>
      <c r="Q50" s="241"/>
      <c r="R50" s="247"/>
      <c r="V50" s="241"/>
      <c r="X50" s="245"/>
      <c r="Y50" s="249"/>
      <c r="Z50" s="237"/>
      <c r="AA50" s="241"/>
      <c r="AB50" s="247"/>
      <c r="AF50" s="241"/>
    </row>
    <row r="51" spans="1:32" x14ac:dyDescent="0.2">
      <c r="A51" s="83">
        <v>1075536</v>
      </c>
      <c r="B51" s="241" t="s">
        <v>172</v>
      </c>
      <c r="C51" s="242">
        <f>+Cant.!BK60</f>
        <v>0</v>
      </c>
      <c r="D51" s="241" t="s">
        <v>565</v>
      </c>
      <c r="F51" s="241"/>
      <c r="G51" s="243"/>
      <c r="H51" s="247"/>
      <c r="J51" s="241"/>
      <c r="K51" s="244"/>
    </row>
    <row r="52" spans="1:32" x14ac:dyDescent="0.2">
      <c r="A52" s="83">
        <v>1075537</v>
      </c>
      <c r="B52" s="241" t="s">
        <v>173</v>
      </c>
      <c r="C52" s="242">
        <f>+Cant.!BK61</f>
        <v>0</v>
      </c>
      <c r="D52" s="225" t="s">
        <v>565</v>
      </c>
      <c r="E52" s="225"/>
      <c r="G52" s="236"/>
      <c r="H52" s="247"/>
      <c r="K52" s="244"/>
    </row>
    <row r="53" spans="1:32" x14ac:dyDescent="0.2">
      <c r="A53" s="83">
        <v>1075538</v>
      </c>
      <c r="B53" s="241" t="s">
        <v>174</v>
      </c>
      <c r="C53" s="242">
        <f>+Cant.!BK62</f>
        <v>0</v>
      </c>
      <c r="D53" s="241" t="s">
        <v>565</v>
      </c>
      <c r="F53" s="241"/>
      <c r="G53" s="243"/>
      <c r="H53" s="248"/>
      <c r="J53" s="241"/>
      <c r="K53" s="244"/>
    </row>
    <row r="54" spans="1:32" x14ac:dyDescent="0.2">
      <c r="A54" s="83">
        <v>1075539</v>
      </c>
      <c r="B54" s="241" t="s">
        <v>175</v>
      </c>
      <c r="C54" s="242">
        <f>+Cant.!BK63</f>
        <v>0</v>
      </c>
      <c r="D54" s="241" t="s">
        <v>565</v>
      </c>
      <c r="F54" s="241"/>
      <c r="G54" s="243"/>
      <c r="H54" s="247"/>
      <c r="J54" s="241"/>
      <c r="K54" s="244"/>
    </row>
    <row r="55" spans="1:32" x14ac:dyDescent="0.2">
      <c r="A55" s="83">
        <v>1075540</v>
      </c>
      <c r="B55" s="241" t="s">
        <v>176</v>
      </c>
      <c r="C55" s="242">
        <f>+Cant.!BK64</f>
        <v>0</v>
      </c>
      <c r="D55" s="241" t="s">
        <v>565</v>
      </c>
      <c r="F55" s="241"/>
      <c r="G55" s="243"/>
      <c r="H55" s="247"/>
      <c r="J55" s="241"/>
      <c r="K55" s="244"/>
    </row>
    <row r="56" spans="1:32" x14ac:dyDescent="0.2">
      <c r="A56" s="83">
        <v>1075541</v>
      </c>
      <c r="B56" s="241" t="s">
        <v>177</v>
      </c>
      <c r="C56" s="242">
        <f>+Cant.!BK65</f>
        <v>0</v>
      </c>
      <c r="D56" s="241" t="s">
        <v>565</v>
      </c>
      <c r="F56" s="241"/>
      <c r="G56" s="243"/>
      <c r="H56" s="248"/>
      <c r="J56" s="241"/>
      <c r="K56" s="244"/>
    </row>
    <row r="57" spans="1:32" x14ac:dyDescent="0.2">
      <c r="A57" s="83">
        <v>1075542</v>
      </c>
      <c r="B57" s="241" t="s">
        <v>178</v>
      </c>
      <c r="C57" s="242">
        <f>+Cant.!BK66</f>
        <v>0</v>
      </c>
      <c r="D57" s="241" t="s">
        <v>565</v>
      </c>
      <c r="F57" s="241"/>
      <c r="G57" s="243"/>
      <c r="H57" s="247"/>
      <c r="J57" s="241"/>
      <c r="K57" s="244"/>
    </row>
    <row r="58" spans="1:32" x14ac:dyDescent="0.2">
      <c r="A58" s="83">
        <v>1075543</v>
      </c>
      <c r="B58" s="241" t="s">
        <v>179</v>
      </c>
      <c r="C58" s="242">
        <f>+Cant.!BK67</f>
        <v>0</v>
      </c>
      <c r="D58" s="241" t="s">
        <v>565</v>
      </c>
      <c r="F58" s="241"/>
      <c r="G58" s="243"/>
      <c r="H58" s="247"/>
      <c r="J58" s="241"/>
      <c r="K58" s="244"/>
    </row>
    <row r="59" spans="1:32" x14ac:dyDescent="0.2">
      <c r="A59" s="83">
        <v>1075544</v>
      </c>
      <c r="B59" s="241" t="s">
        <v>180</v>
      </c>
      <c r="C59" s="242">
        <f>+Cant.!BK68</f>
        <v>0</v>
      </c>
      <c r="D59" s="241" t="s">
        <v>565</v>
      </c>
      <c r="F59" s="241"/>
      <c r="G59" s="243"/>
      <c r="H59" s="247"/>
      <c r="J59" s="241"/>
      <c r="K59" s="244"/>
    </row>
    <row r="60" spans="1:32" x14ac:dyDescent="0.2">
      <c r="A60" s="83">
        <v>1075545</v>
      </c>
      <c r="B60" s="241" t="s">
        <v>181</v>
      </c>
      <c r="C60" s="242">
        <f>+Cant.!BK69</f>
        <v>0</v>
      </c>
      <c r="D60" s="241" t="s">
        <v>565</v>
      </c>
      <c r="F60" s="241"/>
      <c r="G60" s="243"/>
      <c r="H60" s="248"/>
      <c r="J60" s="241"/>
      <c r="K60" s="244"/>
    </row>
    <row r="61" spans="1:32" x14ac:dyDescent="0.2">
      <c r="A61" s="83">
        <v>1075546</v>
      </c>
      <c r="B61" s="241" t="s">
        <v>182</v>
      </c>
      <c r="C61" s="242">
        <f>+Cant.!BK70</f>
        <v>0</v>
      </c>
      <c r="D61" s="241" t="s">
        <v>565</v>
      </c>
      <c r="F61" s="241"/>
      <c r="G61" s="243"/>
      <c r="H61" s="247"/>
      <c r="J61" s="241"/>
      <c r="K61" s="244"/>
    </row>
    <row r="62" spans="1:32" x14ac:dyDescent="0.2">
      <c r="A62" s="83">
        <v>1075547</v>
      </c>
      <c r="B62" s="241" t="s">
        <v>183</v>
      </c>
      <c r="C62" s="242">
        <f>+Cant.!BK71</f>
        <v>0</v>
      </c>
      <c r="D62" s="241" t="s">
        <v>565</v>
      </c>
      <c r="F62" s="241"/>
      <c r="G62" s="243"/>
      <c r="H62" s="247"/>
      <c r="J62" s="241"/>
      <c r="K62" s="244"/>
    </row>
    <row r="63" spans="1:32" x14ac:dyDescent="0.2">
      <c r="A63" s="83">
        <v>1075548</v>
      </c>
      <c r="B63" s="241" t="s">
        <v>184</v>
      </c>
      <c r="C63" s="242">
        <f>+Cant.!BK72</f>
        <v>0</v>
      </c>
      <c r="D63" s="241" t="s">
        <v>565</v>
      </c>
      <c r="F63" s="241"/>
      <c r="G63" s="243"/>
      <c r="H63" s="248"/>
      <c r="J63" s="241"/>
      <c r="K63" s="244"/>
    </row>
    <row r="64" spans="1:32" x14ac:dyDescent="0.2">
      <c r="A64" s="83">
        <v>1075549</v>
      </c>
      <c r="B64" s="241" t="s">
        <v>185</v>
      </c>
      <c r="C64" s="242">
        <f>+Cant.!BK73</f>
        <v>0</v>
      </c>
      <c r="D64" s="241" t="s">
        <v>565</v>
      </c>
      <c r="F64" s="241"/>
      <c r="G64" s="243"/>
      <c r="H64" s="247"/>
      <c r="J64" s="241"/>
      <c r="K64" s="244"/>
    </row>
    <row r="65" spans="1:11" x14ac:dyDescent="0.2">
      <c r="A65" s="83">
        <v>1075550</v>
      </c>
      <c r="B65" s="241" t="s">
        <v>186</v>
      </c>
      <c r="C65" s="242">
        <f>+Cant.!BK74</f>
        <v>0</v>
      </c>
      <c r="D65" s="241" t="s">
        <v>565</v>
      </c>
      <c r="F65" s="241"/>
      <c r="G65" s="243"/>
      <c r="H65" s="247"/>
      <c r="J65" s="241"/>
      <c r="K65" s="244"/>
    </row>
    <row r="66" spans="1:11" x14ac:dyDescent="0.2">
      <c r="A66" s="83">
        <v>1075551</v>
      </c>
      <c r="B66" s="241" t="s">
        <v>187</v>
      </c>
      <c r="C66" s="242">
        <f>+Cant.!BK75</f>
        <v>0</v>
      </c>
      <c r="D66" s="241" t="s">
        <v>565</v>
      </c>
      <c r="F66" s="241"/>
      <c r="G66" s="243"/>
      <c r="H66" s="247"/>
      <c r="J66" s="241"/>
      <c r="K66" s="244"/>
    </row>
    <row r="67" spans="1:11" x14ac:dyDescent="0.2">
      <c r="A67" s="83">
        <v>1075552</v>
      </c>
      <c r="B67" s="241" t="s">
        <v>188</v>
      </c>
      <c r="C67" s="242">
        <f>+Cant.!BK76</f>
        <v>0</v>
      </c>
      <c r="D67" s="241" t="s">
        <v>565</v>
      </c>
      <c r="F67" s="241"/>
      <c r="G67" s="243"/>
      <c r="J67" s="241"/>
      <c r="K67" s="244"/>
    </row>
    <row r="68" spans="1:11" x14ac:dyDescent="0.2">
      <c r="A68" s="83">
        <v>1075553</v>
      </c>
      <c r="B68" s="241" t="s">
        <v>189</v>
      </c>
      <c r="C68" s="242">
        <f>+Cant.!BK77</f>
        <v>0</v>
      </c>
      <c r="D68" s="241" t="s">
        <v>565</v>
      </c>
      <c r="F68" s="241"/>
      <c r="G68" s="243"/>
      <c r="J68" s="241"/>
      <c r="K68" s="244"/>
    </row>
    <row r="69" spans="1:11" x14ac:dyDescent="0.2">
      <c r="A69" s="83">
        <v>1075554</v>
      </c>
      <c r="B69" s="241" t="s">
        <v>190</v>
      </c>
      <c r="C69" s="242">
        <f>+Cant.!BK78</f>
        <v>0</v>
      </c>
      <c r="D69" s="241" t="s">
        <v>565</v>
      </c>
      <c r="F69" s="241"/>
      <c r="G69" s="243"/>
      <c r="J69" s="241"/>
      <c r="K69" s="244"/>
    </row>
    <row r="70" spans="1:11" x14ac:dyDescent="0.2">
      <c r="A70" s="83">
        <v>1075555</v>
      </c>
      <c r="B70" s="241" t="s">
        <v>191</v>
      </c>
      <c r="C70" s="242">
        <f>+Cant.!BK79</f>
        <v>0</v>
      </c>
      <c r="D70" s="241" t="s">
        <v>565</v>
      </c>
      <c r="F70" s="241"/>
      <c r="G70" s="243"/>
      <c r="J70" s="241"/>
      <c r="K70" s="244"/>
    </row>
    <row r="71" spans="1:11" x14ac:dyDescent="0.2">
      <c r="A71" s="83">
        <v>1075556</v>
      </c>
      <c r="B71" s="241" t="s">
        <v>192</v>
      </c>
      <c r="C71" s="242">
        <f>+Cant.!BK80</f>
        <v>0</v>
      </c>
      <c r="D71" s="241" t="s">
        <v>565</v>
      </c>
      <c r="F71" s="241"/>
      <c r="G71" s="243"/>
      <c r="J71" s="241"/>
      <c r="K71" s="244"/>
    </row>
    <row r="72" spans="1:11" x14ac:dyDescent="0.2">
      <c r="A72" s="83">
        <v>1075557</v>
      </c>
      <c r="B72" s="241" t="s">
        <v>193</v>
      </c>
      <c r="C72" s="242">
        <f>+Cant.!BK81</f>
        <v>0</v>
      </c>
      <c r="D72" s="241" t="s">
        <v>565</v>
      </c>
      <c r="F72" s="241"/>
      <c r="G72" s="243"/>
      <c r="J72" s="241"/>
      <c r="K72" s="244"/>
    </row>
    <row r="73" spans="1:11" x14ac:dyDescent="0.2">
      <c r="A73" s="83">
        <v>1075559</v>
      </c>
      <c r="B73" s="241" t="s">
        <v>194</v>
      </c>
      <c r="C73" s="242">
        <f>+Cant.!BK82</f>
        <v>0</v>
      </c>
      <c r="D73" s="241" t="s">
        <v>565</v>
      </c>
      <c r="F73" s="241"/>
      <c r="G73" s="243"/>
      <c r="J73" s="241"/>
      <c r="K73" s="244"/>
    </row>
    <row r="74" spans="1:11" x14ac:dyDescent="0.2">
      <c r="A74" s="83">
        <v>1075560</v>
      </c>
      <c r="B74" s="241" t="s">
        <v>195</v>
      </c>
      <c r="C74" s="242">
        <f>+Cant.!BK83</f>
        <v>0</v>
      </c>
      <c r="D74" s="241" t="s">
        <v>565</v>
      </c>
      <c r="F74" s="241"/>
      <c r="G74" s="243"/>
      <c r="J74" s="241"/>
      <c r="K74" s="244"/>
    </row>
    <row r="75" spans="1:11" x14ac:dyDescent="0.2">
      <c r="A75" s="83">
        <v>1075561</v>
      </c>
      <c r="B75" s="241" t="s">
        <v>196</v>
      </c>
      <c r="C75" s="242">
        <f>+Cant.!BK84</f>
        <v>0</v>
      </c>
      <c r="D75" s="241" t="s">
        <v>565</v>
      </c>
      <c r="F75" s="241"/>
      <c r="G75" s="243"/>
      <c r="J75" s="241"/>
      <c r="K75" s="244"/>
    </row>
    <row r="76" spans="1:11" x14ac:dyDescent="0.2">
      <c r="A76" s="83">
        <v>1075562</v>
      </c>
      <c r="B76" s="250" t="s">
        <v>197</v>
      </c>
      <c r="C76" s="242">
        <f>+Cant.!BK85</f>
        <v>0</v>
      </c>
      <c r="D76" s="241" t="s">
        <v>565</v>
      </c>
      <c r="F76" s="241"/>
      <c r="G76" s="243"/>
      <c r="J76" s="241"/>
      <c r="K76" s="244"/>
    </row>
    <row r="77" spans="1:11" x14ac:dyDescent="0.2">
      <c r="A77" s="83">
        <v>1075578</v>
      </c>
      <c r="B77" s="241" t="s">
        <v>198</v>
      </c>
      <c r="C77" s="242">
        <f>+Cant.!BK86</f>
        <v>0</v>
      </c>
      <c r="D77" s="241" t="s">
        <v>565</v>
      </c>
      <c r="F77" s="241"/>
      <c r="G77" s="243"/>
      <c r="J77" s="241"/>
      <c r="K77" s="244"/>
    </row>
    <row r="78" spans="1:11" x14ac:dyDescent="0.2">
      <c r="A78" s="83">
        <v>1075579</v>
      </c>
      <c r="B78" s="241" t="s">
        <v>199</v>
      </c>
      <c r="C78" s="242">
        <f>+Cant.!BK87</f>
        <v>0</v>
      </c>
      <c r="D78" s="241" t="s">
        <v>565</v>
      </c>
      <c r="F78" s="241"/>
      <c r="G78" s="243"/>
      <c r="J78" s="241"/>
      <c r="K78" s="244"/>
    </row>
    <row r="79" spans="1:11" x14ac:dyDescent="0.2">
      <c r="A79" s="83">
        <v>1075580</v>
      </c>
      <c r="B79" s="241" t="s">
        <v>200</v>
      </c>
      <c r="C79" s="242">
        <f>+Cant.!BK88</f>
        <v>0</v>
      </c>
      <c r="D79" s="241" t="s">
        <v>565</v>
      </c>
      <c r="F79" s="241"/>
      <c r="G79" s="243"/>
      <c r="J79" s="241"/>
      <c r="K79" s="244"/>
    </row>
    <row r="80" spans="1:11" x14ac:dyDescent="0.2">
      <c r="A80" s="83">
        <v>1075581</v>
      </c>
      <c r="B80" s="241" t="s">
        <v>28</v>
      </c>
      <c r="C80" s="242">
        <f>+Cant.!BK89</f>
        <v>0</v>
      </c>
      <c r="D80" s="241" t="s">
        <v>565</v>
      </c>
      <c r="F80" s="241"/>
      <c r="G80" s="243"/>
      <c r="J80" s="241"/>
      <c r="K80" s="244"/>
    </row>
    <row r="81" spans="1:11" x14ac:dyDescent="0.2">
      <c r="A81" s="83">
        <v>1075582</v>
      </c>
      <c r="B81" s="241" t="s">
        <v>201</v>
      </c>
      <c r="C81" s="242">
        <f>+Cant.!BK90</f>
        <v>0</v>
      </c>
      <c r="D81" s="241" t="s">
        <v>565</v>
      </c>
      <c r="F81" s="241"/>
      <c r="G81" s="243"/>
      <c r="J81" s="241"/>
      <c r="K81" s="244"/>
    </row>
    <row r="82" spans="1:11" x14ac:dyDescent="0.2">
      <c r="A82" s="83">
        <v>1075587</v>
      </c>
      <c r="B82" s="241" t="s">
        <v>202</v>
      </c>
      <c r="C82" s="242">
        <f>+Cant.!BK91</f>
        <v>0</v>
      </c>
      <c r="D82" s="241" t="s">
        <v>565</v>
      </c>
      <c r="F82" s="241"/>
      <c r="G82" s="243"/>
      <c r="J82" s="241"/>
      <c r="K82" s="244"/>
    </row>
    <row r="83" spans="1:11" x14ac:dyDescent="0.2">
      <c r="A83" s="83">
        <v>1075588</v>
      </c>
      <c r="B83" s="241" t="s">
        <v>203</v>
      </c>
      <c r="C83" s="242">
        <f>+Cant.!BK92</f>
        <v>0</v>
      </c>
      <c r="D83" s="241" t="s">
        <v>565</v>
      </c>
      <c r="F83" s="241"/>
      <c r="G83" s="243"/>
      <c r="J83" s="241"/>
      <c r="K83" s="244"/>
    </row>
    <row r="84" spans="1:11" x14ac:dyDescent="0.2">
      <c r="A84" s="83">
        <v>1075589</v>
      </c>
      <c r="B84" s="241" t="s">
        <v>204</v>
      </c>
      <c r="C84" s="242">
        <f>+Cant.!BK93</f>
        <v>0</v>
      </c>
      <c r="D84" s="241" t="s">
        <v>566</v>
      </c>
      <c r="F84" s="241"/>
      <c r="G84" s="243"/>
      <c r="J84" s="241"/>
      <c r="K84" s="244"/>
    </row>
    <row r="85" spans="1:11" x14ac:dyDescent="0.2">
      <c r="A85" s="83">
        <v>1075590</v>
      </c>
      <c r="B85" s="241" t="s">
        <v>205</v>
      </c>
      <c r="C85" s="242">
        <f>+Cant.!BK94</f>
        <v>0</v>
      </c>
      <c r="D85" s="241" t="s">
        <v>566</v>
      </c>
      <c r="F85" s="241"/>
      <c r="G85" s="243"/>
      <c r="J85" s="241"/>
      <c r="K85" s="244"/>
    </row>
    <row r="86" spans="1:11" x14ac:dyDescent="0.2">
      <c r="A86" s="83">
        <v>1075591</v>
      </c>
      <c r="B86" s="241" t="s">
        <v>206</v>
      </c>
      <c r="C86" s="242">
        <f>+Cant.!BK95</f>
        <v>0</v>
      </c>
      <c r="D86" s="241" t="s">
        <v>566</v>
      </c>
      <c r="F86" s="241"/>
      <c r="G86" s="243"/>
      <c r="J86" s="241"/>
      <c r="K86" s="244"/>
    </row>
    <row r="87" spans="1:11" x14ac:dyDescent="0.2">
      <c r="A87" s="83">
        <v>1075982</v>
      </c>
      <c r="B87" s="241" t="s">
        <v>207</v>
      </c>
      <c r="C87" s="242">
        <f>+Cant.!BK96</f>
        <v>0</v>
      </c>
      <c r="D87" s="241" t="s">
        <v>565</v>
      </c>
      <c r="F87" s="241"/>
      <c r="G87" s="243"/>
      <c r="J87" s="241"/>
      <c r="K87" s="244"/>
    </row>
    <row r="88" spans="1:11" x14ac:dyDescent="0.2">
      <c r="A88" s="83">
        <v>1075983</v>
      </c>
      <c r="B88" s="241" t="s">
        <v>208</v>
      </c>
      <c r="C88" s="242">
        <f>+Cant.!BK97</f>
        <v>0</v>
      </c>
      <c r="D88" s="241" t="s">
        <v>566</v>
      </c>
      <c r="F88" s="241"/>
      <c r="G88" s="243"/>
      <c r="J88" s="241"/>
      <c r="K88" s="244"/>
    </row>
    <row r="89" spans="1:11" x14ac:dyDescent="0.2">
      <c r="A89" s="83">
        <v>1075985</v>
      </c>
      <c r="B89" s="241" t="s">
        <v>209</v>
      </c>
      <c r="C89" s="242">
        <f>+Cant.!BK98</f>
        <v>0</v>
      </c>
      <c r="D89" s="241" t="s">
        <v>566</v>
      </c>
      <c r="F89" s="241"/>
      <c r="G89" s="243"/>
      <c r="J89" s="241"/>
      <c r="K89" s="244"/>
    </row>
    <row r="90" spans="1:11" x14ac:dyDescent="0.2">
      <c r="A90" s="83">
        <v>1075986</v>
      </c>
      <c r="B90" s="241" t="s">
        <v>210</v>
      </c>
      <c r="C90" s="242">
        <f>+Cant.!BK99</f>
        <v>0</v>
      </c>
      <c r="D90" s="241" t="s">
        <v>566</v>
      </c>
      <c r="F90" s="241"/>
      <c r="G90" s="243"/>
      <c r="J90" s="241"/>
      <c r="K90" s="244"/>
    </row>
    <row r="91" spans="1:11" x14ac:dyDescent="0.2">
      <c r="A91" s="83">
        <v>1075987</v>
      </c>
      <c r="B91" s="241" t="s">
        <v>211</v>
      </c>
      <c r="C91" s="242">
        <f>+Cant.!BK100</f>
        <v>0</v>
      </c>
      <c r="D91" s="241" t="s">
        <v>566</v>
      </c>
      <c r="F91" s="241"/>
      <c r="G91" s="243"/>
      <c r="J91" s="241"/>
      <c r="K91" s="244"/>
    </row>
    <row r="92" spans="1:11" x14ac:dyDescent="0.2">
      <c r="A92" s="83">
        <v>1075988</v>
      </c>
      <c r="B92" s="241" t="s">
        <v>212</v>
      </c>
      <c r="C92" s="242">
        <f>+Cant.!BK101</f>
        <v>0</v>
      </c>
      <c r="D92" s="241" t="s">
        <v>566</v>
      </c>
      <c r="F92" s="241"/>
      <c r="G92" s="243"/>
      <c r="J92" s="241"/>
      <c r="K92" s="244"/>
    </row>
    <row r="93" spans="1:11" x14ac:dyDescent="0.2">
      <c r="A93" s="83">
        <v>1075989</v>
      </c>
      <c r="B93" s="241" t="s">
        <v>213</v>
      </c>
      <c r="C93" s="242">
        <f>+Cant.!BK102</f>
        <v>0</v>
      </c>
      <c r="D93" s="241" t="s">
        <v>566</v>
      </c>
      <c r="F93" s="241"/>
      <c r="G93" s="243"/>
      <c r="J93" s="241"/>
      <c r="K93" s="244"/>
    </row>
    <row r="94" spans="1:11" x14ac:dyDescent="0.2">
      <c r="A94" s="83">
        <v>1075990</v>
      </c>
      <c r="B94" s="241" t="s">
        <v>214</v>
      </c>
      <c r="C94" s="242">
        <f>+Cant.!BK103</f>
        <v>0</v>
      </c>
      <c r="D94" s="241" t="s">
        <v>566</v>
      </c>
      <c r="F94" s="241"/>
      <c r="G94" s="243"/>
      <c r="J94" s="241"/>
      <c r="K94" s="244"/>
    </row>
    <row r="95" spans="1:11" x14ac:dyDescent="0.2">
      <c r="A95" s="83">
        <v>1075991</v>
      </c>
      <c r="B95" s="241" t="s">
        <v>215</v>
      </c>
      <c r="C95" s="242">
        <f>+Cant.!BK104</f>
        <v>0</v>
      </c>
      <c r="D95" s="241" t="s">
        <v>566</v>
      </c>
      <c r="F95" s="241"/>
      <c r="G95" s="243"/>
      <c r="J95" s="241"/>
      <c r="K95" s="244"/>
    </row>
    <row r="96" spans="1:11" x14ac:dyDescent="0.2">
      <c r="A96" s="83">
        <v>1075992</v>
      </c>
      <c r="B96" s="241" t="s">
        <v>216</v>
      </c>
      <c r="C96" s="242">
        <f>+Cant.!BK105</f>
        <v>0</v>
      </c>
      <c r="D96" s="241" t="s">
        <v>566</v>
      </c>
      <c r="F96" s="241"/>
      <c r="G96" s="243"/>
      <c r="J96" s="241"/>
      <c r="K96" s="244"/>
    </row>
    <row r="97" spans="1:11" x14ac:dyDescent="0.2">
      <c r="A97" s="83">
        <v>1075993</v>
      </c>
      <c r="B97" s="241" t="s">
        <v>217</v>
      </c>
      <c r="C97" s="242">
        <f>+Cant.!BK106</f>
        <v>0</v>
      </c>
      <c r="D97" s="241" t="s">
        <v>566</v>
      </c>
      <c r="F97" s="241"/>
      <c r="G97" s="243"/>
      <c r="J97" s="241"/>
      <c r="K97" s="244"/>
    </row>
    <row r="98" spans="1:11" x14ac:dyDescent="0.2">
      <c r="A98" s="83">
        <v>1075995</v>
      </c>
      <c r="B98" s="241" t="s">
        <v>218</v>
      </c>
      <c r="C98" s="242">
        <f>+Cant.!BK107</f>
        <v>0</v>
      </c>
      <c r="D98" s="241" t="s">
        <v>566</v>
      </c>
      <c r="F98" s="241"/>
      <c r="G98" s="243"/>
      <c r="J98" s="241"/>
      <c r="K98" s="244"/>
    </row>
    <row r="99" spans="1:11" x14ac:dyDescent="0.2">
      <c r="A99" s="83">
        <v>1075996</v>
      </c>
      <c r="B99" s="241" t="s">
        <v>219</v>
      </c>
      <c r="C99" s="242">
        <f>+Cant.!BK108</f>
        <v>0</v>
      </c>
      <c r="D99" s="241" t="s">
        <v>566</v>
      </c>
      <c r="F99" s="241"/>
      <c r="G99" s="243"/>
      <c r="J99" s="241"/>
      <c r="K99" s="244"/>
    </row>
    <row r="100" spans="1:11" x14ac:dyDescent="0.2">
      <c r="A100" s="83">
        <v>1075997</v>
      </c>
      <c r="B100" s="241" t="s">
        <v>220</v>
      </c>
      <c r="C100" s="242">
        <f>+Cant.!BK109</f>
        <v>0</v>
      </c>
      <c r="D100" s="241" t="s">
        <v>566</v>
      </c>
      <c r="F100" s="241"/>
      <c r="G100" s="243"/>
      <c r="J100" s="241"/>
      <c r="K100" s="244"/>
    </row>
    <row r="101" spans="1:11" x14ac:dyDescent="0.2">
      <c r="A101" s="83">
        <v>1075998</v>
      </c>
      <c r="B101" s="241" t="s">
        <v>221</v>
      </c>
      <c r="C101" s="242">
        <f>+Cant.!BK110</f>
        <v>0</v>
      </c>
      <c r="D101" s="241" t="s">
        <v>566</v>
      </c>
      <c r="F101" s="241"/>
      <c r="G101" s="243"/>
      <c r="J101" s="241"/>
      <c r="K101" s="244"/>
    </row>
    <row r="102" spans="1:11" x14ac:dyDescent="0.2">
      <c r="A102" s="83">
        <v>1075826</v>
      </c>
      <c r="B102" s="241" t="s">
        <v>222</v>
      </c>
      <c r="C102" s="242">
        <f>+Cant.!BK111</f>
        <v>0</v>
      </c>
      <c r="D102" s="241" t="s">
        <v>565</v>
      </c>
      <c r="F102" s="241"/>
      <c r="G102" s="243"/>
      <c r="J102" s="241"/>
      <c r="K102" s="244"/>
    </row>
    <row r="103" spans="1:11" x14ac:dyDescent="0.2">
      <c r="A103" s="83">
        <v>1075827</v>
      </c>
      <c r="B103" s="241" t="s">
        <v>223</v>
      </c>
      <c r="C103" s="242">
        <f>+Cant.!BK112</f>
        <v>0</v>
      </c>
      <c r="D103" s="241" t="s">
        <v>565</v>
      </c>
      <c r="F103" s="241"/>
      <c r="G103" s="243"/>
      <c r="J103" s="241"/>
      <c r="K103" s="244"/>
    </row>
    <row r="104" spans="1:11" x14ac:dyDescent="0.2">
      <c r="A104" s="83">
        <v>1075828</v>
      </c>
      <c r="B104" s="241" t="s">
        <v>224</v>
      </c>
      <c r="C104" s="242">
        <f>+Cant.!BK113</f>
        <v>0</v>
      </c>
      <c r="D104" s="241" t="s">
        <v>565</v>
      </c>
      <c r="F104" s="241"/>
      <c r="G104" s="243"/>
      <c r="J104" s="241"/>
      <c r="K104" s="244"/>
    </row>
    <row r="105" spans="1:11" x14ac:dyDescent="0.2">
      <c r="A105" s="83">
        <v>1075829</v>
      </c>
      <c r="B105" s="241" t="s">
        <v>225</v>
      </c>
      <c r="C105" s="242">
        <f>+Cant.!BK114</f>
        <v>0</v>
      </c>
      <c r="D105" s="241" t="s">
        <v>565</v>
      </c>
      <c r="F105" s="241"/>
      <c r="G105" s="243"/>
      <c r="J105" s="241"/>
      <c r="K105" s="244"/>
    </row>
    <row r="106" spans="1:11" x14ac:dyDescent="0.2">
      <c r="A106" s="83">
        <v>1075830</v>
      </c>
      <c r="B106" s="241" t="s">
        <v>237</v>
      </c>
      <c r="C106" s="242">
        <f>+Cant.!BK115</f>
        <v>0</v>
      </c>
      <c r="D106" s="241" t="s">
        <v>565</v>
      </c>
      <c r="F106" s="241"/>
      <c r="G106" s="243"/>
      <c r="J106" s="241"/>
      <c r="K106" s="244"/>
    </row>
    <row r="107" spans="1:11" x14ac:dyDescent="0.2">
      <c r="A107" s="83">
        <v>1075831</v>
      </c>
      <c r="B107" s="241" t="s">
        <v>238</v>
      </c>
      <c r="C107" s="242">
        <f>+Cant.!BK116</f>
        <v>0</v>
      </c>
      <c r="D107" s="241" t="s">
        <v>565</v>
      </c>
      <c r="F107" s="241"/>
      <c r="G107" s="243"/>
      <c r="J107" s="241"/>
      <c r="K107" s="244"/>
    </row>
    <row r="108" spans="1:11" x14ac:dyDescent="0.2">
      <c r="A108" s="83">
        <v>0</v>
      </c>
      <c r="B108" s="241">
        <v>0</v>
      </c>
      <c r="D108" s="241"/>
      <c r="F108" s="241"/>
      <c r="G108" s="243"/>
      <c r="J108" s="241"/>
      <c r="K108" s="244"/>
    </row>
    <row r="109" spans="1:11" x14ac:dyDescent="0.2">
      <c r="A109" s="251">
        <v>0</v>
      </c>
      <c r="B109" s="252">
        <v>0</v>
      </c>
      <c r="C109" s="253"/>
      <c r="D109" s="241"/>
      <c r="F109" s="241"/>
      <c r="G109" s="243"/>
      <c r="J109" s="241"/>
      <c r="K109" s="244"/>
    </row>
    <row r="110" spans="1:11" x14ac:dyDescent="0.2">
      <c r="A110" s="83">
        <v>0</v>
      </c>
      <c r="B110" s="241">
        <v>0</v>
      </c>
      <c r="D110" s="241"/>
      <c r="F110" s="241"/>
      <c r="G110" s="243"/>
      <c r="J110" s="241"/>
      <c r="K110" s="244"/>
    </row>
    <row r="111" spans="1:11" x14ac:dyDescent="0.2">
      <c r="A111" s="83">
        <v>0</v>
      </c>
      <c r="B111" s="225">
        <v>0</v>
      </c>
      <c r="C111" s="225"/>
      <c r="D111" s="241"/>
      <c r="F111" s="241"/>
      <c r="G111" s="243"/>
      <c r="J111" s="241"/>
      <c r="K111" s="244"/>
    </row>
    <row r="112" spans="1:11" x14ac:dyDescent="0.2">
      <c r="A112" s="83">
        <v>0</v>
      </c>
      <c r="B112" s="241">
        <v>0</v>
      </c>
      <c r="C112" s="225"/>
      <c r="D112" s="241"/>
      <c r="F112" s="241"/>
      <c r="G112" s="243"/>
    </row>
    <row r="113" spans="1:12" x14ac:dyDescent="0.2">
      <c r="A113" s="254">
        <v>1075500</v>
      </c>
      <c r="B113" s="255" t="s">
        <v>122</v>
      </c>
      <c r="C113" s="256"/>
      <c r="D113" s="257">
        <f>+C4</f>
        <v>0</v>
      </c>
      <c r="F113" s="241"/>
      <c r="G113" s="243"/>
      <c r="H113" s="241"/>
      <c r="I113" s="241"/>
      <c r="J113" s="241"/>
      <c r="K113" s="258"/>
      <c r="L113" s="241"/>
    </row>
    <row r="114" spans="1:12" x14ac:dyDescent="0.2">
      <c r="A114" s="83">
        <v>1075538</v>
      </c>
      <c r="B114" s="241" t="s">
        <v>174</v>
      </c>
      <c r="C114" s="83">
        <v>1</v>
      </c>
      <c r="D114" s="259">
        <f>+$D113*C114</f>
        <v>0</v>
      </c>
      <c r="F114" s="241"/>
      <c r="G114" s="243"/>
      <c r="K114" s="260"/>
    </row>
    <row r="115" spans="1:12" x14ac:dyDescent="0.2">
      <c r="A115" s="83">
        <v>1075535</v>
      </c>
      <c r="B115" s="241" t="s">
        <v>171</v>
      </c>
      <c r="C115" s="83">
        <v>1</v>
      </c>
      <c r="D115" s="259">
        <f>+$D113*C115</f>
        <v>0</v>
      </c>
      <c r="F115" s="241"/>
      <c r="G115" s="243"/>
      <c r="K115" s="260"/>
    </row>
    <row r="116" spans="1:12" x14ac:dyDescent="0.2">
      <c r="A116" s="83">
        <v>1075539</v>
      </c>
      <c r="B116" s="241" t="s">
        <v>175</v>
      </c>
      <c r="C116" s="83">
        <v>1</v>
      </c>
      <c r="D116" s="259">
        <f>+$D113*C116</f>
        <v>0</v>
      </c>
      <c r="F116" s="241"/>
      <c r="G116" s="243"/>
      <c r="K116" s="260"/>
    </row>
    <row r="117" spans="1:12" x14ac:dyDescent="0.2">
      <c r="A117" s="83">
        <v>1075540</v>
      </c>
      <c r="B117" s="241" t="s">
        <v>176</v>
      </c>
      <c r="C117" s="83">
        <v>1</v>
      </c>
      <c r="D117" s="259">
        <f>+$D113*C117</f>
        <v>0</v>
      </c>
      <c r="F117" s="241"/>
      <c r="G117" s="243"/>
    </row>
    <row r="118" spans="1:12" x14ac:dyDescent="0.2">
      <c r="A118" s="83">
        <v>1075998</v>
      </c>
      <c r="B118" s="241" t="s">
        <v>221</v>
      </c>
      <c r="C118" s="83">
        <v>1</v>
      </c>
      <c r="D118" s="259">
        <f>+$D113*C118</f>
        <v>0</v>
      </c>
      <c r="F118" s="241"/>
      <c r="G118" s="243"/>
    </row>
    <row r="119" spans="1:12" x14ac:dyDescent="0.2">
      <c r="A119" s="83">
        <v>0</v>
      </c>
      <c r="B119" s="241">
        <v>0</v>
      </c>
      <c r="C119" s="241"/>
      <c r="D119" s="241"/>
      <c r="F119" s="241"/>
      <c r="G119" s="243"/>
    </row>
    <row r="120" spans="1:12" x14ac:dyDescent="0.2">
      <c r="A120" s="83">
        <v>0</v>
      </c>
      <c r="B120" s="241">
        <v>0</v>
      </c>
      <c r="C120" s="241"/>
      <c r="D120" s="241"/>
      <c r="F120" s="241"/>
      <c r="G120" s="243"/>
    </row>
    <row r="121" spans="1:12" x14ac:dyDescent="0.2">
      <c r="A121" s="254">
        <v>1075501</v>
      </c>
      <c r="B121" s="255" t="s">
        <v>123</v>
      </c>
      <c r="C121" s="256"/>
      <c r="D121" s="257">
        <f>+C5</f>
        <v>0</v>
      </c>
      <c r="F121" s="241"/>
      <c r="G121" s="243"/>
    </row>
    <row r="122" spans="1:12" x14ac:dyDescent="0.2">
      <c r="A122" s="83">
        <v>1075538</v>
      </c>
      <c r="B122" s="241" t="s">
        <v>174</v>
      </c>
      <c r="C122" s="83">
        <v>1</v>
      </c>
      <c r="D122" s="259">
        <f>+$D121*C122</f>
        <v>0</v>
      </c>
      <c r="F122" s="241"/>
      <c r="G122" s="243"/>
    </row>
    <row r="123" spans="1:12" x14ac:dyDescent="0.2">
      <c r="A123" s="83">
        <v>1075536</v>
      </c>
      <c r="B123" s="241" t="s">
        <v>172</v>
      </c>
      <c r="C123" s="83">
        <v>1</v>
      </c>
      <c r="D123" s="259">
        <f>+$D121*C123</f>
        <v>0</v>
      </c>
      <c r="F123" s="241"/>
      <c r="G123" s="243"/>
    </row>
    <row r="124" spans="1:12" x14ac:dyDescent="0.2">
      <c r="A124" s="83">
        <v>1075541</v>
      </c>
      <c r="B124" s="241" t="s">
        <v>177</v>
      </c>
      <c r="C124" s="83">
        <v>1</v>
      </c>
      <c r="D124" s="259">
        <f>+$D121*C124</f>
        <v>0</v>
      </c>
      <c r="F124" s="241"/>
      <c r="G124" s="243"/>
    </row>
    <row r="125" spans="1:12" x14ac:dyDescent="0.2">
      <c r="A125" s="83">
        <v>1075998</v>
      </c>
      <c r="B125" s="241" t="s">
        <v>221</v>
      </c>
      <c r="C125" s="83">
        <v>1</v>
      </c>
      <c r="D125" s="259">
        <f>+$D121*C125</f>
        <v>0</v>
      </c>
      <c r="F125" s="241"/>
      <c r="G125" s="243"/>
    </row>
    <row r="126" spans="1:12" x14ac:dyDescent="0.2">
      <c r="A126" s="83">
        <v>0</v>
      </c>
      <c r="B126" s="241">
        <v>0</v>
      </c>
      <c r="C126" s="241"/>
      <c r="D126" s="241"/>
      <c r="F126" s="241"/>
      <c r="G126" s="243"/>
    </row>
    <row r="127" spans="1:12" x14ac:dyDescent="0.2">
      <c r="A127" s="83">
        <v>0</v>
      </c>
      <c r="B127" s="241">
        <v>0</v>
      </c>
      <c r="C127" s="241"/>
      <c r="D127" s="241"/>
      <c r="F127" s="241"/>
      <c r="G127" s="243"/>
    </row>
    <row r="128" spans="1:12" x14ac:dyDescent="0.2">
      <c r="A128" s="254">
        <v>1075502</v>
      </c>
      <c r="B128" s="255" t="s">
        <v>124</v>
      </c>
      <c r="C128" s="256"/>
      <c r="D128" s="257">
        <f>+C6</f>
        <v>0</v>
      </c>
      <c r="F128" s="241"/>
      <c r="G128" s="243"/>
    </row>
    <row r="129" spans="1:7" x14ac:dyDescent="0.2">
      <c r="A129" s="83">
        <v>1075538</v>
      </c>
      <c r="B129" s="241" t="s">
        <v>174</v>
      </c>
      <c r="C129" s="83">
        <v>1</v>
      </c>
      <c r="D129" s="259">
        <f>+$D128*C129</f>
        <v>0</v>
      </c>
      <c r="F129" s="241"/>
      <c r="G129" s="243"/>
    </row>
    <row r="130" spans="1:7" x14ac:dyDescent="0.2">
      <c r="A130" s="83">
        <v>1075537</v>
      </c>
      <c r="B130" s="241" t="s">
        <v>173</v>
      </c>
      <c r="C130" s="83">
        <v>1</v>
      </c>
      <c r="D130" s="259">
        <f>+$D128*C130</f>
        <v>0</v>
      </c>
      <c r="F130" s="241"/>
      <c r="G130" s="243"/>
    </row>
    <row r="131" spans="1:7" x14ac:dyDescent="0.2">
      <c r="A131" s="83">
        <v>1075542</v>
      </c>
      <c r="B131" s="241" t="s">
        <v>178</v>
      </c>
      <c r="C131" s="83">
        <v>1</v>
      </c>
      <c r="D131" s="259">
        <f>+$D128*C131</f>
        <v>0</v>
      </c>
      <c r="F131" s="241"/>
      <c r="G131" s="243"/>
    </row>
    <row r="132" spans="1:7" x14ac:dyDescent="0.2">
      <c r="A132" s="83">
        <v>1075998</v>
      </c>
      <c r="B132" s="241" t="s">
        <v>221</v>
      </c>
      <c r="C132" s="83">
        <v>1</v>
      </c>
      <c r="D132" s="259">
        <f>+$D128*C132</f>
        <v>0</v>
      </c>
      <c r="F132" s="241"/>
      <c r="G132" s="243"/>
    </row>
    <row r="133" spans="1:7" x14ac:dyDescent="0.2">
      <c r="A133" s="83">
        <v>0</v>
      </c>
      <c r="B133" s="241">
        <v>0</v>
      </c>
      <c r="C133" s="241"/>
      <c r="D133" s="241"/>
      <c r="F133" s="241"/>
      <c r="G133" s="243"/>
    </row>
    <row r="134" spans="1:7" x14ac:dyDescent="0.2">
      <c r="A134" s="83">
        <v>0</v>
      </c>
      <c r="B134" s="241">
        <v>0</v>
      </c>
      <c r="C134" s="241"/>
      <c r="D134" s="241"/>
      <c r="F134" s="241"/>
      <c r="G134" s="243"/>
    </row>
    <row r="135" spans="1:7" x14ac:dyDescent="0.2">
      <c r="A135" s="254">
        <v>1075503</v>
      </c>
      <c r="B135" s="255" t="s">
        <v>125</v>
      </c>
      <c r="C135" s="256"/>
      <c r="D135" s="257">
        <f>+C7</f>
        <v>0</v>
      </c>
    </row>
    <row r="136" spans="1:7" x14ac:dyDescent="0.2">
      <c r="A136" s="83">
        <v>1075538</v>
      </c>
      <c r="B136" s="241" t="s">
        <v>174</v>
      </c>
      <c r="C136" s="83">
        <v>1</v>
      </c>
      <c r="D136" s="259">
        <f>+$D135*C136</f>
        <v>0</v>
      </c>
    </row>
    <row r="137" spans="1:7" x14ac:dyDescent="0.2">
      <c r="A137" s="83">
        <v>1075537</v>
      </c>
      <c r="B137" s="241" t="s">
        <v>173</v>
      </c>
      <c r="C137" s="83">
        <v>1</v>
      </c>
      <c r="D137" s="259">
        <f>+$D135*C137</f>
        <v>0</v>
      </c>
    </row>
    <row r="138" spans="1:7" x14ac:dyDescent="0.2">
      <c r="A138" s="83">
        <v>1075543</v>
      </c>
      <c r="B138" s="241" t="s">
        <v>179</v>
      </c>
      <c r="C138" s="83">
        <v>1</v>
      </c>
      <c r="D138" s="259">
        <f>+$D135*C138</f>
        <v>0</v>
      </c>
    </row>
    <row r="139" spans="1:7" x14ac:dyDescent="0.2">
      <c r="A139" s="83">
        <v>1075998</v>
      </c>
      <c r="B139" s="241" t="s">
        <v>221</v>
      </c>
      <c r="C139" s="83">
        <v>1</v>
      </c>
      <c r="D139" s="259">
        <f>+$D135*C139</f>
        <v>0</v>
      </c>
    </row>
    <row r="140" spans="1:7" x14ac:dyDescent="0.2">
      <c r="A140" s="83">
        <v>0</v>
      </c>
      <c r="B140" s="236">
        <v>0</v>
      </c>
    </row>
    <row r="141" spans="1:7" x14ac:dyDescent="0.2">
      <c r="A141" s="83">
        <v>0</v>
      </c>
      <c r="B141" s="236">
        <v>0</v>
      </c>
    </row>
    <row r="142" spans="1:7" x14ac:dyDescent="0.2">
      <c r="A142" s="254">
        <v>1075504</v>
      </c>
      <c r="B142" s="255" t="s">
        <v>126</v>
      </c>
      <c r="C142" s="256"/>
      <c r="D142" s="257">
        <f>+C8</f>
        <v>0</v>
      </c>
    </row>
    <row r="143" spans="1:7" x14ac:dyDescent="0.2">
      <c r="A143" s="83">
        <v>1075538</v>
      </c>
      <c r="B143" s="241" t="s">
        <v>174</v>
      </c>
      <c r="C143" s="83">
        <v>1</v>
      </c>
      <c r="D143" s="259">
        <f>+$D142*C143</f>
        <v>0</v>
      </c>
    </row>
    <row r="144" spans="1:7" x14ac:dyDescent="0.2">
      <c r="A144" s="83">
        <v>1075537</v>
      </c>
      <c r="B144" s="241" t="s">
        <v>173</v>
      </c>
      <c r="C144" s="83">
        <v>1</v>
      </c>
      <c r="D144" s="259">
        <f>+$D142*C144</f>
        <v>0</v>
      </c>
    </row>
    <row r="145" spans="1:4" x14ac:dyDescent="0.2">
      <c r="A145" s="83">
        <v>1075544</v>
      </c>
      <c r="B145" s="241" t="s">
        <v>180</v>
      </c>
      <c r="C145" s="83">
        <v>1</v>
      </c>
      <c r="D145" s="259">
        <f>+$D142*C145</f>
        <v>0</v>
      </c>
    </row>
    <row r="146" spans="1:4" x14ac:dyDescent="0.2">
      <c r="A146" s="83">
        <v>1075998</v>
      </c>
      <c r="B146" s="241" t="s">
        <v>221</v>
      </c>
      <c r="C146" s="83">
        <v>1</v>
      </c>
      <c r="D146" s="259">
        <f>+$D142*C146</f>
        <v>0</v>
      </c>
    </row>
    <row r="147" spans="1:4" x14ac:dyDescent="0.2">
      <c r="A147" s="83">
        <v>0</v>
      </c>
      <c r="B147" s="236">
        <v>0</v>
      </c>
    </row>
    <row r="148" spans="1:4" x14ac:dyDescent="0.2">
      <c r="A148" s="83">
        <v>0</v>
      </c>
      <c r="B148" s="236">
        <v>0</v>
      </c>
    </row>
    <row r="149" spans="1:4" x14ac:dyDescent="0.2">
      <c r="A149" s="254">
        <v>1075505</v>
      </c>
      <c r="B149" s="255" t="s">
        <v>127</v>
      </c>
      <c r="C149" s="256"/>
      <c r="D149" s="257">
        <f>+C9</f>
        <v>0</v>
      </c>
    </row>
    <row r="150" spans="1:4" x14ac:dyDescent="0.2">
      <c r="A150" s="83">
        <v>1075545</v>
      </c>
      <c r="B150" s="241" t="s">
        <v>181</v>
      </c>
      <c r="C150" s="83">
        <v>1</v>
      </c>
      <c r="D150" s="259">
        <f>+$D149*C150</f>
        <v>0</v>
      </c>
    </row>
    <row r="151" spans="1:4" x14ac:dyDescent="0.2">
      <c r="A151" s="83" t="s">
        <v>567</v>
      </c>
      <c r="B151" s="261" t="s">
        <v>257</v>
      </c>
      <c r="C151" s="83">
        <v>1</v>
      </c>
      <c r="D151" s="259">
        <f>+$D149*C151</f>
        <v>0</v>
      </c>
    </row>
    <row r="152" spans="1:4" x14ac:dyDescent="0.2">
      <c r="A152" s="83" t="s">
        <v>567</v>
      </c>
      <c r="B152" s="261" t="s">
        <v>250</v>
      </c>
      <c r="C152" s="83">
        <v>1</v>
      </c>
      <c r="D152" s="259">
        <f>+$D149*C152</f>
        <v>0</v>
      </c>
    </row>
    <row r="153" spans="1:4" x14ac:dyDescent="0.2">
      <c r="A153" s="83" t="s">
        <v>567</v>
      </c>
      <c r="B153" s="261" t="s">
        <v>255</v>
      </c>
      <c r="C153" s="83">
        <v>1</v>
      </c>
      <c r="D153" s="259">
        <f>+$D149*C153</f>
        <v>0</v>
      </c>
    </row>
    <row r="154" spans="1:4" x14ac:dyDescent="0.2">
      <c r="A154" s="83">
        <v>0</v>
      </c>
      <c r="B154" s="236">
        <v>0</v>
      </c>
    </row>
    <row r="155" spans="1:4" x14ac:dyDescent="0.2">
      <c r="A155" s="83">
        <v>0</v>
      </c>
      <c r="B155" s="236">
        <v>0</v>
      </c>
    </row>
    <row r="156" spans="1:4" x14ac:dyDescent="0.2">
      <c r="A156" s="254">
        <v>1075507</v>
      </c>
      <c r="B156" s="255" t="s">
        <v>128</v>
      </c>
      <c r="C156" s="256"/>
      <c r="D156" s="257">
        <f>+C10</f>
        <v>0</v>
      </c>
    </row>
    <row r="157" spans="1:4" x14ac:dyDescent="0.2">
      <c r="A157" s="83">
        <v>1075545</v>
      </c>
      <c r="B157" s="241" t="s">
        <v>181</v>
      </c>
      <c r="C157" s="83">
        <v>1</v>
      </c>
      <c r="D157" s="259">
        <f>+$D156*C157</f>
        <v>0</v>
      </c>
    </row>
    <row r="158" spans="1:4" x14ac:dyDescent="0.2">
      <c r="A158" s="83">
        <v>1075998</v>
      </c>
      <c r="B158" s="241" t="s">
        <v>221</v>
      </c>
      <c r="C158" s="83">
        <v>1</v>
      </c>
      <c r="D158" s="259">
        <f>+$D156*C158</f>
        <v>0</v>
      </c>
    </row>
    <row r="159" spans="1:4" x14ac:dyDescent="0.2">
      <c r="A159" s="83" t="s">
        <v>567</v>
      </c>
      <c r="B159" s="261" t="s">
        <v>251</v>
      </c>
      <c r="C159" s="83">
        <v>1</v>
      </c>
      <c r="D159" s="259">
        <f>+$D156*C159</f>
        <v>0</v>
      </c>
    </row>
    <row r="160" spans="1:4" x14ac:dyDescent="0.2">
      <c r="A160" s="83" t="s">
        <v>567</v>
      </c>
      <c r="B160" s="261" t="s">
        <v>250</v>
      </c>
      <c r="C160" s="83">
        <v>1</v>
      </c>
      <c r="D160" s="259">
        <f>+$D156*C160</f>
        <v>0</v>
      </c>
    </row>
    <row r="161" spans="1:4" x14ac:dyDescent="0.2">
      <c r="A161" s="83" t="s">
        <v>567</v>
      </c>
      <c r="B161" s="261" t="s">
        <v>254</v>
      </c>
      <c r="C161" s="83">
        <v>1</v>
      </c>
      <c r="D161" s="259">
        <f>+$D156*C161</f>
        <v>0</v>
      </c>
    </row>
    <row r="162" spans="1:4" x14ac:dyDescent="0.2">
      <c r="A162" s="83" t="s">
        <v>567</v>
      </c>
      <c r="B162" s="261" t="s">
        <v>255</v>
      </c>
      <c r="C162" s="83">
        <v>1</v>
      </c>
      <c r="D162" s="259">
        <f>+$D156*C162</f>
        <v>0</v>
      </c>
    </row>
    <row r="163" spans="1:4" x14ac:dyDescent="0.2">
      <c r="A163" s="83">
        <v>0</v>
      </c>
      <c r="B163" s="236">
        <v>0</v>
      </c>
    </row>
    <row r="164" spans="1:4" x14ac:dyDescent="0.2">
      <c r="A164" s="83">
        <v>0</v>
      </c>
      <c r="B164" s="236">
        <v>0</v>
      </c>
    </row>
    <row r="165" spans="1:4" x14ac:dyDescent="0.2">
      <c r="A165" s="254">
        <v>1075508</v>
      </c>
      <c r="B165" s="255" t="s">
        <v>129</v>
      </c>
      <c r="C165" s="256"/>
      <c r="D165" s="257">
        <f>+C11</f>
        <v>0</v>
      </c>
    </row>
    <row r="166" spans="1:4" x14ac:dyDescent="0.2">
      <c r="A166" s="83">
        <v>1075538</v>
      </c>
      <c r="B166" s="241" t="s">
        <v>174</v>
      </c>
      <c r="C166" s="83">
        <v>1</v>
      </c>
      <c r="D166" s="259">
        <f>+$D165*C166</f>
        <v>0</v>
      </c>
    </row>
    <row r="167" spans="1:4" x14ac:dyDescent="0.2">
      <c r="A167" s="83">
        <v>1075535</v>
      </c>
      <c r="B167" s="241" t="s">
        <v>171</v>
      </c>
      <c r="C167" s="83">
        <v>1</v>
      </c>
      <c r="D167" s="259">
        <f>+$D165*C167</f>
        <v>0</v>
      </c>
    </row>
    <row r="168" spans="1:4" x14ac:dyDescent="0.2">
      <c r="A168" s="83">
        <v>1075539</v>
      </c>
      <c r="B168" s="241" t="s">
        <v>175</v>
      </c>
      <c r="C168" s="83">
        <v>1</v>
      </c>
      <c r="D168" s="259">
        <f>+$D165*C168</f>
        <v>0</v>
      </c>
    </row>
    <row r="169" spans="1:4" x14ac:dyDescent="0.2">
      <c r="A169" s="83">
        <v>1075546</v>
      </c>
      <c r="B169" s="241" t="s">
        <v>182</v>
      </c>
      <c r="C169" s="83">
        <v>1</v>
      </c>
      <c r="D169" s="259">
        <f>+$D165*C169</f>
        <v>0</v>
      </c>
    </row>
    <row r="170" spans="1:4" x14ac:dyDescent="0.2">
      <c r="A170" s="83">
        <v>1075998</v>
      </c>
      <c r="B170" s="241" t="s">
        <v>221</v>
      </c>
      <c r="C170" s="83">
        <v>1</v>
      </c>
      <c r="D170" s="259">
        <f>+$D165*C170</f>
        <v>0</v>
      </c>
    </row>
    <row r="171" spans="1:4" x14ac:dyDescent="0.2">
      <c r="A171" s="83">
        <v>0</v>
      </c>
      <c r="B171" s="241">
        <v>0</v>
      </c>
      <c r="C171" s="241"/>
      <c r="D171" s="241"/>
    </row>
    <row r="172" spans="1:4" x14ac:dyDescent="0.2">
      <c r="A172" s="83">
        <v>0</v>
      </c>
      <c r="B172" s="241">
        <v>0</v>
      </c>
      <c r="C172" s="241"/>
      <c r="D172" s="241"/>
    </row>
    <row r="173" spans="1:4" x14ac:dyDescent="0.2">
      <c r="A173" s="254">
        <v>1075509</v>
      </c>
      <c r="B173" s="255" t="s">
        <v>130</v>
      </c>
      <c r="C173" s="256"/>
      <c r="D173" s="257">
        <f>+C12</f>
        <v>0</v>
      </c>
    </row>
    <row r="174" spans="1:4" x14ac:dyDescent="0.2">
      <c r="A174" s="83">
        <v>1075538</v>
      </c>
      <c r="B174" s="241" t="s">
        <v>174</v>
      </c>
      <c r="C174" s="83">
        <v>1</v>
      </c>
      <c r="D174" s="259">
        <f>+$D173*C174</f>
        <v>0</v>
      </c>
    </row>
    <row r="175" spans="1:4" x14ac:dyDescent="0.2">
      <c r="A175" s="83">
        <v>1075536</v>
      </c>
      <c r="B175" s="241" t="s">
        <v>172</v>
      </c>
      <c r="C175" s="83">
        <v>1</v>
      </c>
      <c r="D175" s="259">
        <f>+$D173*C175</f>
        <v>0</v>
      </c>
    </row>
    <row r="176" spans="1:4" x14ac:dyDescent="0.2">
      <c r="A176" s="83">
        <v>1075547</v>
      </c>
      <c r="B176" s="241" t="s">
        <v>183</v>
      </c>
      <c r="C176" s="83">
        <v>1</v>
      </c>
      <c r="D176" s="259">
        <f>+$D173*C176</f>
        <v>0</v>
      </c>
    </row>
    <row r="177" spans="1:4" x14ac:dyDescent="0.2">
      <c r="A177" s="83">
        <v>1075998</v>
      </c>
      <c r="B177" s="241" t="s">
        <v>221</v>
      </c>
      <c r="C177" s="83">
        <v>1</v>
      </c>
      <c r="D177" s="259">
        <f>+$D173*C177</f>
        <v>0</v>
      </c>
    </row>
    <row r="178" spans="1:4" x14ac:dyDescent="0.2">
      <c r="A178" s="83">
        <v>0</v>
      </c>
      <c r="B178" s="241">
        <v>0</v>
      </c>
      <c r="C178" s="241"/>
      <c r="D178" s="241"/>
    </row>
    <row r="179" spans="1:4" x14ac:dyDescent="0.2">
      <c r="A179" s="83">
        <v>0</v>
      </c>
      <c r="B179" s="241">
        <v>0</v>
      </c>
      <c r="C179" s="241"/>
      <c r="D179" s="241"/>
    </row>
    <row r="180" spans="1:4" x14ac:dyDescent="0.2">
      <c r="A180" s="254">
        <v>1075510</v>
      </c>
      <c r="B180" s="255" t="s">
        <v>131</v>
      </c>
      <c r="C180" s="256"/>
      <c r="D180" s="257">
        <f>+C13</f>
        <v>0</v>
      </c>
    </row>
    <row r="181" spans="1:4" x14ac:dyDescent="0.2">
      <c r="A181" s="83">
        <v>1075538</v>
      </c>
      <c r="B181" s="241" t="s">
        <v>174</v>
      </c>
      <c r="C181" s="83">
        <v>1</v>
      </c>
      <c r="D181" s="259">
        <f>+$D180*C181</f>
        <v>0</v>
      </c>
    </row>
    <row r="182" spans="1:4" x14ac:dyDescent="0.2">
      <c r="A182" s="83">
        <v>1075537</v>
      </c>
      <c r="B182" s="241" t="s">
        <v>173</v>
      </c>
      <c r="C182" s="83">
        <v>1</v>
      </c>
      <c r="D182" s="259">
        <f>+$D180*C182</f>
        <v>0</v>
      </c>
    </row>
    <row r="183" spans="1:4" x14ac:dyDescent="0.2">
      <c r="A183" s="83">
        <v>1075548</v>
      </c>
      <c r="B183" s="241" t="s">
        <v>184</v>
      </c>
      <c r="C183" s="83">
        <v>1</v>
      </c>
      <c r="D183" s="259">
        <f>+$D180*C183</f>
        <v>0</v>
      </c>
    </row>
    <row r="184" spans="1:4" x14ac:dyDescent="0.2">
      <c r="A184" s="83">
        <v>1075998</v>
      </c>
      <c r="B184" s="241" t="s">
        <v>221</v>
      </c>
      <c r="C184" s="83">
        <v>1</v>
      </c>
      <c r="D184" s="259">
        <f>+$D180*C184</f>
        <v>0</v>
      </c>
    </row>
    <row r="185" spans="1:4" x14ac:dyDescent="0.2">
      <c r="A185" s="83">
        <v>0</v>
      </c>
      <c r="B185" s="241">
        <v>0</v>
      </c>
      <c r="C185" s="241"/>
      <c r="D185" s="241"/>
    </row>
    <row r="186" spans="1:4" x14ac:dyDescent="0.2">
      <c r="A186" s="83">
        <v>0</v>
      </c>
      <c r="B186" s="241">
        <v>0</v>
      </c>
      <c r="C186" s="241"/>
      <c r="D186" s="241"/>
    </row>
    <row r="187" spans="1:4" x14ac:dyDescent="0.2">
      <c r="A187" s="254">
        <v>1075511</v>
      </c>
      <c r="B187" s="255" t="s">
        <v>134</v>
      </c>
      <c r="C187" s="256"/>
      <c r="D187" s="257">
        <f>+C14</f>
        <v>0</v>
      </c>
    </row>
    <row r="188" spans="1:4" x14ac:dyDescent="0.2">
      <c r="A188" s="83">
        <v>1075538</v>
      </c>
      <c r="B188" s="241" t="s">
        <v>174</v>
      </c>
      <c r="C188" s="83">
        <v>1</v>
      </c>
      <c r="D188" s="259">
        <f>+$D187*C188</f>
        <v>0</v>
      </c>
    </row>
    <row r="189" spans="1:4" x14ac:dyDescent="0.2">
      <c r="A189" s="83">
        <v>1075537</v>
      </c>
      <c r="B189" s="241" t="s">
        <v>173</v>
      </c>
      <c r="C189" s="83">
        <v>1</v>
      </c>
      <c r="D189" s="259">
        <f>+$D187*C189</f>
        <v>0</v>
      </c>
    </row>
    <row r="190" spans="1:4" x14ac:dyDescent="0.2">
      <c r="A190" s="83">
        <v>1075549</v>
      </c>
      <c r="B190" s="241" t="s">
        <v>185</v>
      </c>
      <c r="C190" s="83">
        <v>1</v>
      </c>
      <c r="D190" s="259">
        <f>+$D187*C190</f>
        <v>0</v>
      </c>
    </row>
    <row r="191" spans="1:4" x14ac:dyDescent="0.2">
      <c r="A191" s="83">
        <v>1075998</v>
      </c>
      <c r="B191" s="241" t="s">
        <v>221</v>
      </c>
      <c r="C191" s="83">
        <v>1</v>
      </c>
      <c r="D191" s="259">
        <f>+$D187*C191</f>
        <v>0</v>
      </c>
    </row>
    <row r="192" spans="1:4" x14ac:dyDescent="0.2">
      <c r="A192" s="83">
        <v>0</v>
      </c>
      <c r="B192" s="236">
        <v>0</v>
      </c>
    </row>
    <row r="193" spans="1:4" x14ac:dyDescent="0.2">
      <c r="A193" s="83">
        <v>0</v>
      </c>
      <c r="B193" s="236">
        <v>0</v>
      </c>
    </row>
    <row r="194" spans="1:4" x14ac:dyDescent="0.2">
      <c r="A194" s="254">
        <v>1075512</v>
      </c>
      <c r="B194" s="255" t="s">
        <v>135</v>
      </c>
      <c r="C194" s="256"/>
      <c r="D194" s="257">
        <f>+C15</f>
        <v>0</v>
      </c>
    </row>
    <row r="195" spans="1:4" x14ac:dyDescent="0.2">
      <c r="A195" s="83">
        <v>1075538</v>
      </c>
      <c r="B195" s="241" t="s">
        <v>174</v>
      </c>
      <c r="C195" s="83">
        <v>1</v>
      </c>
      <c r="D195" s="259">
        <f>+$D194*C195</f>
        <v>0</v>
      </c>
    </row>
    <row r="196" spans="1:4" x14ac:dyDescent="0.2">
      <c r="A196" s="83">
        <v>1075537</v>
      </c>
      <c r="B196" s="241" t="s">
        <v>173</v>
      </c>
      <c r="C196" s="83">
        <v>1</v>
      </c>
      <c r="D196" s="259">
        <f>+$D194*C196</f>
        <v>0</v>
      </c>
    </row>
    <row r="197" spans="1:4" x14ac:dyDescent="0.2">
      <c r="A197" s="83">
        <v>1075550</v>
      </c>
      <c r="B197" s="241" t="s">
        <v>186</v>
      </c>
      <c r="C197" s="83">
        <v>1</v>
      </c>
      <c r="D197" s="259">
        <f>+$D194*C197</f>
        <v>0</v>
      </c>
    </row>
    <row r="198" spans="1:4" x14ac:dyDescent="0.2">
      <c r="A198" s="83">
        <v>1075998</v>
      </c>
      <c r="B198" s="241" t="s">
        <v>221</v>
      </c>
      <c r="C198" s="83">
        <v>1</v>
      </c>
      <c r="D198" s="259">
        <f>+$D194*C198</f>
        <v>0</v>
      </c>
    </row>
    <row r="199" spans="1:4" x14ac:dyDescent="0.2">
      <c r="A199" s="83">
        <v>0</v>
      </c>
      <c r="B199" s="236">
        <v>0</v>
      </c>
    </row>
    <row r="200" spans="1:4" x14ac:dyDescent="0.2">
      <c r="A200" s="83">
        <v>0</v>
      </c>
      <c r="B200" s="236">
        <v>0</v>
      </c>
    </row>
    <row r="201" spans="1:4" x14ac:dyDescent="0.2">
      <c r="A201" s="254">
        <v>1075513</v>
      </c>
      <c r="B201" s="255" t="s">
        <v>136</v>
      </c>
      <c r="C201" s="256"/>
      <c r="D201" s="257">
        <f>+C16</f>
        <v>0</v>
      </c>
    </row>
    <row r="202" spans="1:4" x14ac:dyDescent="0.2">
      <c r="A202" s="83">
        <v>1075551</v>
      </c>
      <c r="B202" s="241" t="s">
        <v>187</v>
      </c>
      <c r="C202" s="83">
        <v>1</v>
      </c>
      <c r="D202" s="259">
        <f>+$D201*C202</f>
        <v>0</v>
      </c>
    </row>
    <row r="203" spans="1:4" x14ac:dyDescent="0.2">
      <c r="A203" s="83" t="s">
        <v>567</v>
      </c>
      <c r="B203" s="261" t="s">
        <v>257</v>
      </c>
      <c r="C203" s="83">
        <v>1</v>
      </c>
      <c r="D203" s="259">
        <f>+$D201*C203</f>
        <v>0</v>
      </c>
    </row>
    <row r="204" spans="1:4" x14ac:dyDescent="0.2">
      <c r="A204" s="83" t="s">
        <v>567</v>
      </c>
      <c r="B204" s="261" t="s">
        <v>250</v>
      </c>
      <c r="C204" s="83">
        <v>1</v>
      </c>
      <c r="D204" s="259">
        <f>+$D201*C204</f>
        <v>0</v>
      </c>
    </row>
    <row r="205" spans="1:4" x14ac:dyDescent="0.2">
      <c r="A205" s="83" t="s">
        <v>567</v>
      </c>
      <c r="B205" s="261" t="s">
        <v>255</v>
      </c>
      <c r="C205" s="83">
        <v>1</v>
      </c>
      <c r="D205" s="259">
        <f>+$D201*C205</f>
        <v>0</v>
      </c>
    </row>
    <row r="206" spans="1:4" x14ac:dyDescent="0.2">
      <c r="B206" s="236">
        <v>0</v>
      </c>
    </row>
    <row r="207" spans="1:4" x14ac:dyDescent="0.2">
      <c r="B207" s="236">
        <v>0</v>
      </c>
    </row>
    <row r="208" spans="1:4" x14ac:dyDescent="0.2">
      <c r="A208" s="254">
        <v>1075515</v>
      </c>
      <c r="B208" s="255" t="s">
        <v>137</v>
      </c>
      <c r="C208" s="256"/>
      <c r="D208" s="257">
        <f>+C17</f>
        <v>0</v>
      </c>
    </row>
    <row r="209" spans="1:4" x14ac:dyDescent="0.2">
      <c r="A209" s="83">
        <v>1075551</v>
      </c>
      <c r="B209" s="241" t="s">
        <v>187</v>
      </c>
      <c r="C209" s="83">
        <v>1</v>
      </c>
      <c r="D209" s="259">
        <f>+$D208*C209</f>
        <v>0</v>
      </c>
    </row>
    <row r="210" spans="1:4" x14ac:dyDescent="0.2">
      <c r="A210" s="83">
        <v>1075998</v>
      </c>
      <c r="B210" s="241" t="s">
        <v>221</v>
      </c>
      <c r="C210" s="83">
        <v>1</v>
      </c>
      <c r="D210" s="259">
        <f>+$D208*C210</f>
        <v>0</v>
      </c>
    </row>
    <row r="211" spans="1:4" x14ac:dyDescent="0.2">
      <c r="A211" s="83" t="s">
        <v>567</v>
      </c>
      <c r="B211" s="261" t="s">
        <v>251</v>
      </c>
      <c r="C211" s="83">
        <v>1</v>
      </c>
      <c r="D211" s="259">
        <f>+$D208*C211</f>
        <v>0</v>
      </c>
    </row>
    <row r="212" spans="1:4" x14ac:dyDescent="0.2">
      <c r="A212" s="83" t="s">
        <v>567</v>
      </c>
      <c r="B212" s="261" t="s">
        <v>250</v>
      </c>
      <c r="C212" s="83">
        <v>1</v>
      </c>
      <c r="D212" s="259">
        <f>+$D208*C212</f>
        <v>0</v>
      </c>
    </row>
    <row r="213" spans="1:4" x14ac:dyDescent="0.2">
      <c r="A213" s="83" t="s">
        <v>567</v>
      </c>
      <c r="B213" s="261" t="s">
        <v>254</v>
      </c>
      <c r="C213" s="83">
        <v>1</v>
      </c>
      <c r="D213" s="259">
        <f>+$D208*C213</f>
        <v>0</v>
      </c>
    </row>
    <row r="214" spans="1:4" x14ac:dyDescent="0.2">
      <c r="A214" s="83" t="s">
        <v>567</v>
      </c>
      <c r="B214" s="261" t="s">
        <v>255</v>
      </c>
      <c r="C214" s="83">
        <v>1</v>
      </c>
      <c r="D214" s="259">
        <f>+$D208*C214</f>
        <v>0</v>
      </c>
    </row>
    <row r="215" spans="1:4" x14ac:dyDescent="0.2">
      <c r="B215" s="236">
        <v>0</v>
      </c>
    </row>
    <row r="216" spans="1:4" x14ac:dyDescent="0.2">
      <c r="B216" s="236">
        <v>0</v>
      </c>
    </row>
    <row r="217" spans="1:4" x14ac:dyDescent="0.2">
      <c r="A217" s="254">
        <v>1075516</v>
      </c>
      <c r="B217" s="255" t="s">
        <v>138</v>
      </c>
      <c r="C217" s="256"/>
      <c r="D217" s="257">
        <f>+C18</f>
        <v>0</v>
      </c>
    </row>
    <row r="218" spans="1:4" x14ac:dyDescent="0.2">
      <c r="A218" s="83">
        <v>1075538</v>
      </c>
      <c r="B218" s="241" t="s">
        <v>174</v>
      </c>
      <c r="C218" s="83">
        <v>1</v>
      </c>
      <c r="D218" s="259">
        <f>+$D217*C218</f>
        <v>0</v>
      </c>
    </row>
    <row r="219" spans="1:4" x14ac:dyDescent="0.2">
      <c r="A219" s="83">
        <v>1075535</v>
      </c>
      <c r="B219" s="241" t="s">
        <v>171</v>
      </c>
      <c r="C219" s="83">
        <v>1</v>
      </c>
      <c r="D219" s="259">
        <f>+$D217*C219</f>
        <v>0</v>
      </c>
    </row>
    <row r="220" spans="1:4" x14ac:dyDescent="0.2">
      <c r="A220" s="83">
        <v>1075539</v>
      </c>
      <c r="B220" s="241" t="s">
        <v>175</v>
      </c>
      <c r="C220" s="83">
        <v>1</v>
      </c>
      <c r="D220" s="259">
        <f>+$D217*C220</f>
        <v>0</v>
      </c>
    </row>
    <row r="221" spans="1:4" x14ac:dyDescent="0.2">
      <c r="A221" s="83">
        <v>1075552</v>
      </c>
      <c r="B221" s="241" t="s">
        <v>188</v>
      </c>
      <c r="C221" s="83">
        <v>1</v>
      </c>
      <c r="D221" s="259">
        <f>+$D217*C221</f>
        <v>0</v>
      </c>
    </row>
    <row r="222" spans="1:4" x14ac:dyDescent="0.2">
      <c r="A222" s="83">
        <v>1075998</v>
      </c>
      <c r="B222" s="241" t="s">
        <v>221</v>
      </c>
      <c r="C222" s="83">
        <v>1</v>
      </c>
      <c r="D222" s="259">
        <f>+$D217*C222</f>
        <v>0</v>
      </c>
    </row>
    <row r="223" spans="1:4" x14ac:dyDescent="0.2">
      <c r="B223" s="241">
        <v>0</v>
      </c>
      <c r="C223" s="241"/>
      <c r="D223" s="241"/>
    </row>
    <row r="224" spans="1:4" x14ac:dyDescent="0.2">
      <c r="B224" s="241">
        <v>0</v>
      </c>
      <c r="C224" s="241"/>
      <c r="D224" s="241"/>
    </row>
    <row r="225" spans="1:4" x14ac:dyDescent="0.2">
      <c r="A225" s="254">
        <v>1075517</v>
      </c>
      <c r="B225" s="255" t="s">
        <v>139</v>
      </c>
      <c r="C225" s="256"/>
      <c r="D225" s="257">
        <f>+C19</f>
        <v>0</v>
      </c>
    </row>
    <row r="226" spans="1:4" x14ac:dyDescent="0.2">
      <c r="A226" s="83">
        <v>1075538</v>
      </c>
      <c r="B226" s="241" t="s">
        <v>174</v>
      </c>
      <c r="C226" s="83">
        <v>1</v>
      </c>
      <c r="D226" s="259">
        <f>+$D225*C226</f>
        <v>0</v>
      </c>
    </row>
    <row r="227" spans="1:4" x14ac:dyDescent="0.2">
      <c r="A227" s="83">
        <v>1075536</v>
      </c>
      <c r="B227" s="241" t="s">
        <v>172</v>
      </c>
      <c r="C227" s="83">
        <v>1</v>
      </c>
      <c r="D227" s="259">
        <f>+$D225*C227</f>
        <v>0</v>
      </c>
    </row>
    <row r="228" spans="1:4" x14ac:dyDescent="0.2">
      <c r="A228" s="83">
        <v>1075553</v>
      </c>
      <c r="B228" s="241" t="s">
        <v>189</v>
      </c>
      <c r="C228" s="83">
        <v>1</v>
      </c>
      <c r="D228" s="259">
        <f>+$D225*C228</f>
        <v>0</v>
      </c>
    </row>
    <row r="229" spans="1:4" x14ac:dyDescent="0.2">
      <c r="A229" s="83">
        <v>1075998</v>
      </c>
      <c r="B229" s="241" t="s">
        <v>221</v>
      </c>
      <c r="C229" s="83">
        <v>1</v>
      </c>
      <c r="D229" s="259">
        <f>+$D225*C229</f>
        <v>0</v>
      </c>
    </row>
    <row r="230" spans="1:4" x14ac:dyDescent="0.2">
      <c r="B230" s="241">
        <v>0</v>
      </c>
      <c r="C230" s="241"/>
      <c r="D230" s="241"/>
    </row>
    <row r="231" spans="1:4" x14ac:dyDescent="0.2">
      <c r="B231" s="241">
        <v>0</v>
      </c>
      <c r="C231" s="241"/>
      <c r="D231" s="241"/>
    </row>
    <row r="232" spans="1:4" x14ac:dyDescent="0.2">
      <c r="A232" s="254">
        <v>1075518</v>
      </c>
      <c r="B232" s="255" t="s">
        <v>140</v>
      </c>
      <c r="C232" s="256"/>
      <c r="D232" s="257">
        <f>+C20</f>
        <v>0</v>
      </c>
    </row>
    <row r="233" spans="1:4" x14ac:dyDescent="0.2">
      <c r="A233" s="83">
        <v>1075538</v>
      </c>
      <c r="B233" s="241" t="s">
        <v>174</v>
      </c>
      <c r="C233" s="83">
        <v>1</v>
      </c>
      <c r="D233" s="259">
        <f>+$D232*C233</f>
        <v>0</v>
      </c>
    </row>
    <row r="234" spans="1:4" x14ac:dyDescent="0.2">
      <c r="A234" s="83">
        <v>1075537</v>
      </c>
      <c r="B234" s="241" t="s">
        <v>173</v>
      </c>
      <c r="C234" s="83">
        <v>1</v>
      </c>
      <c r="D234" s="259">
        <f>+$D232*C234</f>
        <v>0</v>
      </c>
    </row>
    <row r="235" spans="1:4" x14ac:dyDescent="0.2">
      <c r="A235" s="83">
        <v>1075554</v>
      </c>
      <c r="B235" s="241" t="s">
        <v>190</v>
      </c>
      <c r="C235" s="83">
        <v>1</v>
      </c>
      <c r="D235" s="259">
        <f>+$D232*C235</f>
        <v>0</v>
      </c>
    </row>
    <row r="236" spans="1:4" x14ac:dyDescent="0.2">
      <c r="A236" s="83">
        <v>1075998</v>
      </c>
      <c r="B236" s="241" t="s">
        <v>221</v>
      </c>
      <c r="C236" s="83">
        <v>1</v>
      </c>
      <c r="D236" s="259">
        <f>+$D232*C236</f>
        <v>0</v>
      </c>
    </row>
    <row r="237" spans="1:4" x14ac:dyDescent="0.2">
      <c r="B237" s="241">
        <v>0</v>
      </c>
      <c r="C237" s="241"/>
      <c r="D237" s="241"/>
    </row>
    <row r="238" spans="1:4" x14ac:dyDescent="0.2">
      <c r="B238" s="241">
        <v>0</v>
      </c>
      <c r="C238" s="241"/>
      <c r="D238" s="241"/>
    </row>
    <row r="239" spans="1:4" x14ac:dyDescent="0.2">
      <c r="A239" s="254">
        <v>1075519</v>
      </c>
      <c r="B239" s="255" t="s">
        <v>141</v>
      </c>
      <c r="C239" s="256"/>
      <c r="D239" s="257">
        <f>+C21</f>
        <v>0</v>
      </c>
    </row>
    <row r="240" spans="1:4" x14ac:dyDescent="0.2">
      <c r="A240" s="83">
        <v>1075538</v>
      </c>
      <c r="B240" s="241" t="s">
        <v>174</v>
      </c>
      <c r="C240" s="83">
        <v>1</v>
      </c>
      <c r="D240" s="259">
        <f>+$D239*C240</f>
        <v>0</v>
      </c>
    </row>
    <row r="241" spans="1:4" x14ac:dyDescent="0.2">
      <c r="A241" s="83">
        <v>1075537</v>
      </c>
      <c r="B241" s="241" t="s">
        <v>173</v>
      </c>
      <c r="C241" s="83">
        <v>1</v>
      </c>
      <c r="D241" s="259">
        <f>+$D239*C241</f>
        <v>0</v>
      </c>
    </row>
    <row r="242" spans="1:4" x14ac:dyDescent="0.2">
      <c r="A242" s="83">
        <v>1075555</v>
      </c>
      <c r="B242" s="241" t="s">
        <v>191</v>
      </c>
      <c r="C242" s="83">
        <v>1</v>
      </c>
      <c r="D242" s="259">
        <f>+$D239*C242</f>
        <v>0</v>
      </c>
    </row>
    <row r="243" spans="1:4" x14ac:dyDescent="0.2">
      <c r="A243" s="83">
        <v>1075998</v>
      </c>
      <c r="B243" s="241" t="s">
        <v>221</v>
      </c>
      <c r="C243" s="83">
        <v>1</v>
      </c>
      <c r="D243" s="259">
        <f>+$D239*C243</f>
        <v>0</v>
      </c>
    </row>
    <row r="244" spans="1:4" x14ac:dyDescent="0.2">
      <c r="B244" s="236">
        <v>0</v>
      </c>
    </row>
    <row r="245" spans="1:4" x14ac:dyDescent="0.2">
      <c r="B245" s="236">
        <v>0</v>
      </c>
    </row>
    <row r="246" spans="1:4" x14ac:dyDescent="0.2">
      <c r="A246" s="254">
        <v>1075520</v>
      </c>
      <c r="B246" s="255" t="s">
        <v>142</v>
      </c>
      <c r="C246" s="256"/>
      <c r="D246" s="257">
        <f>+C22</f>
        <v>0</v>
      </c>
    </row>
    <row r="247" spans="1:4" x14ac:dyDescent="0.2">
      <c r="A247" s="83">
        <v>1075538</v>
      </c>
      <c r="B247" s="241" t="s">
        <v>174</v>
      </c>
      <c r="C247" s="83">
        <v>1</v>
      </c>
      <c r="D247" s="259">
        <f>+$D246*C247</f>
        <v>0</v>
      </c>
    </row>
    <row r="248" spans="1:4" x14ac:dyDescent="0.2">
      <c r="A248" s="83">
        <v>1075537</v>
      </c>
      <c r="B248" s="241" t="s">
        <v>173</v>
      </c>
      <c r="C248" s="83">
        <v>1</v>
      </c>
      <c r="D248" s="259">
        <f>+$D246*C248</f>
        <v>0</v>
      </c>
    </row>
    <row r="249" spans="1:4" x14ac:dyDescent="0.2">
      <c r="A249" s="83">
        <v>1075556</v>
      </c>
      <c r="B249" s="241" t="s">
        <v>192</v>
      </c>
      <c r="C249" s="83">
        <v>1</v>
      </c>
      <c r="D249" s="259">
        <f>+$D246*C249</f>
        <v>0</v>
      </c>
    </row>
    <row r="250" spans="1:4" x14ac:dyDescent="0.2">
      <c r="A250" s="83">
        <v>1075998</v>
      </c>
      <c r="B250" s="241" t="s">
        <v>221</v>
      </c>
      <c r="C250" s="83">
        <v>1</v>
      </c>
      <c r="D250" s="259">
        <f>+$D246*C250</f>
        <v>0</v>
      </c>
    </row>
    <row r="251" spans="1:4" x14ac:dyDescent="0.2">
      <c r="B251" s="236">
        <v>0</v>
      </c>
    </row>
    <row r="252" spans="1:4" x14ac:dyDescent="0.2">
      <c r="B252" s="236">
        <v>0</v>
      </c>
    </row>
    <row r="253" spans="1:4" x14ac:dyDescent="0.2">
      <c r="A253" s="254">
        <v>1075521</v>
      </c>
      <c r="B253" s="255" t="s">
        <v>143</v>
      </c>
      <c r="C253" s="256"/>
      <c r="D253" s="257">
        <f>+C23</f>
        <v>0</v>
      </c>
    </row>
    <row r="254" spans="1:4" x14ac:dyDescent="0.2">
      <c r="A254" s="83">
        <v>1075557</v>
      </c>
      <c r="B254" s="241" t="s">
        <v>193</v>
      </c>
      <c r="C254" s="83">
        <v>1</v>
      </c>
      <c r="D254" s="259">
        <f>+$D253*C254</f>
        <v>0</v>
      </c>
    </row>
    <row r="255" spans="1:4" x14ac:dyDescent="0.2">
      <c r="A255" s="83" t="s">
        <v>567</v>
      </c>
      <c r="B255" s="261" t="s">
        <v>257</v>
      </c>
      <c r="C255" s="83">
        <v>1</v>
      </c>
      <c r="D255" s="259">
        <f>+$D253*C255</f>
        <v>0</v>
      </c>
    </row>
    <row r="256" spans="1:4" x14ac:dyDescent="0.2">
      <c r="A256" s="83" t="s">
        <v>567</v>
      </c>
      <c r="B256" s="261" t="s">
        <v>250</v>
      </c>
      <c r="C256" s="83">
        <v>1</v>
      </c>
      <c r="D256" s="259">
        <f>+$D253*C256</f>
        <v>0</v>
      </c>
    </row>
    <row r="257" spans="1:4" x14ac:dyDescent="0.2">
      <c r="A257" s="83" t="s">
        <v>567</v>
      </c>
      <c r="B257" s="261" t="s">
        <v>255</v>
      </c>
      <c r="C257" s="83">
        <v>1</v>
      </c>
      <c r="D257" s="259">
        <f>+$D253*C257</f>
        <v>0</v>
      </c>
    </row>
    <row r="258" spans="1:4" x14ac:dyDescent="0.2">
      <c r="B258" s="236">
        <v>0</v>
      </c>
    </row>
    <row r="259" spans="1:4" x14ac:dyDescent="0.2">
      <c r="B259" s="236">
        <v>0</v>
      </c>
    </row>
    <row r="260" spans="1:4" x14ac:dyDescent="0.2">
      <c r="A260" s="254">
        <v>1075523</v>
      </c>
      <c r="B260" s="255" t="s">
        <v>144</v>
      </c>
      <c r="C260" s="256"/>
      <c r="D260" s="257">
        <f>+C24</f>
        <v>0</v>
      </c>
    </row>
    <row r="261" spans="1:4" x14ac:dyDescent="0.2">
      <c r="A261" s="83">
        <v>1075557</v>
      </c>
      <c r="B261" s="241" t="s">
        <v>193</v>
      </c>
      <c r="C261" s="83">
        <v>1</v>
      </c>
      <c r="D261" s="259">
        <f>+$D260*C261</f>
        <v>0</v>
      </c>
    </row>
    <row r="262" spans="1:4" x14ac:dyDescent="0.2">
      <c r="A262" s="83">
        <v>1075998</v>
      </c>
      <c r="B262" s="241" t="s">
        <v>221</v>
      </c>
      <c r="C262" s="83">
        <v>1</v>
      </c>
      <c r="D262" s="259">
        <f>+$D260*C262</f>
        <v>0</v>
      </c>
    </row>
    <row r="263" spans="1:4" x14ac:dyDescent="0.2">
      <c r="A263" s="83" t="s">
        <v>567</v>
      </c>
      <c r="B263" s="261" t="s">
        <v>251</v>
      </c>
      <c r="C263" s="83">
        <v>1</v>
      </c>
      <c r="D263" s="259">
        <f>+$D260*C263</f>
        <v>0</v>
      </c>
    </row>
    <row r="264" spans="1:4" x14ac:dyDescent="0.2">
      <c r="A264" s="83" t="s">
        <v>567</v>
      </c>
      <c r="B264" s="261" t="s">
        <v>250</v>
      </c>
      <c r="C264" s="83">
        <v>1</v>
      </c>
      <c r="D264" s="259">
        <f>+$D260*C264</f>
        <v>0</v>
      </c>
    </row>
    <row r="265" spans="1:4" x14ac:dyDescent="0.2">
      <c r="A265" s="83" t="s">
        <v>567</v>
      </c>
      <c r="B265" s="261" t="s">
        <v>254</v>
      </c>
      <c r="C265" s="83">
        <v>1</v>
      </c>
      <c r="D265" s="259">
        <f>+$D260*C265</f>
        <v>0</v>
      </c>
    </row>
    <row r="266" spans="1:4" x14ac:dyDescent="0.2">
      <c r="A266" s="83" t="s">
        <v>567</v>
      </c>
      <c r="B266" s="261" t="s">
        <v>255</v>
      </c>
      <c r="C266" s="83">
        <v>1</v>
      </c>
      <c r="D266" s="259">
        <f>+$D260*C266</f>
        <v>0</v>
      </c>
    </row>
    <row r="267" spans="1:4" x14ac:dyDescent="0.2">
      <c r="B267" s="262"/>
      <c r="C267" s="83"/>
      <c r="D267" s="259"/>
    </row>
    <row r="268" spans="1:4" x14ac:dyDescent="0.2">
      <c r="B268" s="262"/>
      <c r="C268" s="83"/>
      <c r="D268" s="259"/>
    </row>
    <row r="269" spans="1:4" x14ac:dyDescent="0.2">
      <c r="A269" s="254">
        <v>1075578</v>
      </c>
      <c r="B269" s="255" t="s">
        <v>198</v>
      </c>
      <c r="C269" s="263"/>
      <c r="D269" s="257">
        <f>+C77</f>
        <v>0</v>
      </c>
    </row>
    <row r="270" spans="1:4" x14ac:dyDescent="0.2">
      <c r="A270" s="83" t="s">
        <v>567</v>
      </c>
      <c r="B270" s="261" t="s">
        <v>171</v>
      </c>
      <c r="C270" s="261">
        <v>1</v>
      </c>
      <c r="D270" s="259">
        <f>+$D269*C270</f>
        <v>0</v>
      </c>
    </row>
    <row r="271" spans="1:4" x14ac:dyDescent="0.2">
      <c r="A271" s="83" t="s">
        <v>567</v>
      </c>
      <c r="B271" s="261" t="s">
        <v>174</v>
      </c>
      <c r="C271" s="261">
        <v>1</v>
      </c>
      <c r="D271" s="259">
        <f>+$D269*C271</f>
        <v>0</v>
      </c>
    </row>
    <row r="272" spans="1:4" x14ac:dyDescent="0.2">
      <c r="A272" s="83" t="s">
        <v>567</v>
      </c>
      <c r="B272" s="264" t="s">
        <v>221</v>
      </c>
      <c r="C272" s="261">
        <v>1</v>
      </c>
      <c r="D272" s="259">
        <f>+$D269*C272</f>
        <v>0</v>
      </c>
    </row>
    <row r="273" spans="1:4" x14ac:dyDescent="0.2">
      <c r="B273" s="236">
        <v>0</v>
      </c>
    </row>
    <row r="274" spans="1:4" x14ac:dyDescent="0.2">
      <c r="B274" s="236">
        <v>0</v>
      </c>
    </row>
    <row r="275" spans="1:4" x14ac:dyDescent="0.2">
      <c r="A275" s="254">
        <v>1075579</v>
      </c>
      <c r="B275" s="255" t="s">
        <v>199</v>
      </c>
      <c r="C275" s="263"/>
      <c r="D275" s="257">
        <f>+C78</f>
        <v>0</v>
      </c>
    </row>
    <row r="276" spans="1:4" x14ac:dyDescent="0.2">
      <c r="A276" s="83" t="s">
        <v>567</v>
      </c>
      <c r="B276" s="261" t="s">
        <v>172</v>
      </c>
      <c r="C276" s="261">
        <v>1</v>
      </c>
      <c r="D276" s="259">
        <f>+$D275*C276</f>
        <v>0</v>
      </c>
    </row>
    <row r="277" spans="1:4" x14ac:dyDescent="0.2">
      <c r="A277" s="83" t="s">
        <v>567</v>
      </c>
      <c r="B277" s="261" t="s">
        <v>174</v>
      </c>
      <c r="C277" s="261">
        <v>1</v>
      </c>
      <c r="D277" s="259">
        <f>+$D275*C277</f>
        <v>0</v>
      </c>
    </row>
    <row r="278" spans="1:4" x14ac:dyDescent="0.2">
      <c r="A278" s="83" t="s">
        <v>567</v>
      </c>
      <c r="B278" s="264" t="s">
        <v>221</v>
      </c>
      <c r="C278" s="261">
        <v>1</v>
      </c>
      <c r="D278" s="259">
        <f>+$D275*C278</f>
        <v>0</v>
      </c>
    </row>
    <row r="279" spans="1:4" x14ac:dyDescent="0.2">
      <c r="B279" s="236">
        <v>0</v>
      </c>
    </row>
    <row r="280" spans="1:4" x14ac:dyDescent="0.2">
      <c r="B280" s="236">
        <v>0</v>
      </c>
    </row>
    <row r="281" spans="1:4" x14ac:dyDescent="0.2">
      <c r="A281" s="254">
        <v>1075580</v>
      </c>
      <c r="B281" s="255" t="s">
        <v>200</v>
      </c>
      <c r="C281" s="263"/>
      <c r="D281" s="257">
        <f>+C79</f>
        <v>0</v>
      </c>
    </row>
    <row r="282" spans="1:4" x14ac:dyDescent="0.2">
      <c r="A282" s="83" t="s">
        <v>567</v>
      </c>
      <c r="B282" s="261" t="s">
        <v>173</v>
      </c>
      <c r="C282" s="261">
        <v>1</v>
      </c>
      <c r="D282" s="259">
        <f>+$D281*C282</f>
        <v>0</v>
      </c>
    </row>
    <row r="283" spans="1:4" x14ac:dyDescent="0.2">
      <c r="A283" s="83" t="s">
        <v>567</v>
      </c>
      <c r="B283" s="261" t="s">
        <v>174</v>
      </c>
      <c r="C283" s="261">
        <v>1</v>
      </c>
      <c r="D283" s="259">
        <f>+$D281*C283</f>
        <v>0</v>
      </c>
    </row>
    <row r="284" spans="1:4" x14ac:dyDescent="0.2">
      <c r="A284" s="83" t="s">
        <v>567</v>
      </c>
      <c r="B284" s="264" t="s">
        <v>221</v>
      </c>
      <c r="C284" s="261">
        <v>1</v>
      </c>
      <c r="D284" s="259">
        <f>+$D281*C284</f>
        <v>0</v>
      </c>
    </row>
    <row r="285" spans="1:4" x14ac:dyDescent="0.2">
      <c r="B285" s="236">
        <v>0</v>
      </c>
    </row>
    <row r="286" spans="1:4" x14ac:dyDescent="0.2">
      <c r="B286" s="236">
        <v>0</v>
      </c>
    </row>
    <row r="287" spans="1:4" x14ac:dyDescent="0.2">
      <c r="A287" s="254">
        <v>1075581</v>
      </c>
      <c r="B287" s="255" t="s">
        <v>28</v>
      </c>
      <c r="C287" s="263"/>
      <c r="D287" s="257">
        <f>+C80</f>
        <v>0</v>
      </c>
    </row>
    <row r="288" spans="1:4" x14ac:dyDescent="0.2">
      <c r="A288" s="83" t="s">
        <v>567</v>
      </c>
      <c r="B288" s="261" t="s">
        <v>257</v>
      </c>
      <c r="C288" s="261">
        <v>1</v>
      </c>
      <c r="D288" s="259">
        <f>+$D287*C288</f>
        <v>0</v>
      </c>
    </row>
    <row r="289" spans="1:4" x14ac:dyDescent="0.2">
      <c r="A289" s="83" t="s">
        <v>567</v>
      </c>
      <c r="B289" s="261" t="s">
        <v>250</v>
      </c>
      <c r="C289" s="261">
        <v>1</v>
      </c>
      <c r="D289" s="259">
        <f>+$D287*C289</f>
        <v>0</v>
      </c>
    </row>
    <row r="290" spans="1:4" x14ac:dyDescent="0.2">
      <c r="A290" s="83" t="s">
        <v>567</v>
      </c>
      <c r="B290" s="261" t="s">
        <v>255</v>
      </c>
      <c r="C290" s="261">
        <v>1</v>
      </c>
      <c r="D290" s="259">
        <f>+$D287*C290</f>
        <v>0</v>
      </c>
    </row>
    <row r="291" spans="1:4" x14ac:dyDescent="0.2">
      <c r="A291" s="83">
        <v>0</v>
      </c>
      <c r="B291" s="261">
        <v>0</v>
      </c>
      <c r="C291" s="261">
        <v>0</v>
      </c>
      <c r="D291" s="259">
        <v>0</v>
      </c>
    </row>
    <row r="292" spans="1:4" x14ac:dyDescent="0.2">
      <c r="B292" s="236">
        <v>0</v>
      </c>
    </row>
    <row r="293" spans="1:4" x14ac:dyDescent="0.2">
      <c r="B293" s="236">
        <v>0</v>
      </c>
    </row>
    <row r="294" spans="1:4" x14ac:dyDescent="0.2">
      <c r="A294" s="254">
        <v>1075582</v>
      </c>
      <c r="B294" s="255" t="s">
        <v>201</v>
      </c>
      <c r="C294" s="263"/>
      <c r="D294" s="257">
        <f>+C81</f>
        <v>0</v>
      </c>
    </row>
    <row r="295" spans="1:4" x14ac:dyDescent="0.2">
      <c r="A295" s="83" t="s">
        <v>567</v>
      </c>
      <c r="B295" s="261" t="s">
        <v>251</v>
      </c>
      <c r="C295" s="261">
        <v>1</v>
      </c>
      <c r="D295" s="259">
        <f>+$D294*C295</f>
        <v>0</v>
      </c>
    </row>
    <row r="296" spans="1:4" x14ac:dyDescent="0.2">
      <c r="A296" s="83" t="s">
        <v>567</v>
      </c>
      <c r="B296" s="261" t="s">
        <v>250</v>
      </c>
      <c r="C296" s="261">
        <v>1</v>
      </c>
      <c r="D296" s="259">
        <f>+$D294*C296</f>
        <v>0</v>
      </c>
    </row>
    <row r="297" spans="1:4" x14ac:dyDescent="0.2">
      <c r="A297" s="83" t="s">
        <v>567</v>
      </c>
      <c r="B297" s="261" t="s">
        <v>254</v>
      </c>
      <c r="C297" s="261">
        <v>1</v>
      </c>
      <c r="D297" s="259">
        <f>+$D294*C297</f>
        <v>0</v>
      </c>
    </row>
    <row r="298" spans="1:4" x14ac:dyDescent="0.2">
      <c r="A298" s="83" t="s">
        <v>567</v>
      </c>
      <c r="B298" s="261" t="s">
        <v>255</v>
      </c>
      <c r="C298" s="261">
        <v>1</v>
      </c>
      <c r="D298" s="259">
        <f>+$D294*C298</f>
        <v>0</v>
      </c>
    </row>
    <row r="299" spans="1:4" x14ac:dyDescent="0.2">
      <c r="B299" s="262"/>
      <c r="C299" s="83"/>
      <c r="D299" s="259"/>
    </row>
    <row r="300" spans="1:4" x14ac:dyDescent="0.2">
      <c r="B300" s="262"/>
      <c r="C300" s="83"/>
      <c r="D300" s="259"/>
    </row>
    <row r="301" spans="1:4" x14ac:dyDescent="0.2">
      <c r="A301" s="254">
        <v>1075826</v>
      </c>
      <c r="B301" s="255" t="s">
        <v>222</v>
      </c>
      <c r="C301" s="263"/>
      <c r="D301" s="257">
        <f>+C102</f>
        <v>0</v>
      </c>
    </row>
    <row r="302" spans="1:4" x14ac:dyDescent="0.2">
      <c r="A302" s="83" t="s">
        <v>568</v>
      </c>
      <c r="B302" s="261" t="s">
        <v>175</v>
      </c>
      <c r="C302" s="265">
        <v>1</v>
      </c>
      <c r="D302" s="259">
        <f>+$D301*C302</f>
        <v>0</v>
      </c>
    </row>
    <row r="303" spans="1:4" x14ac:dyDescent="0.2">
      <c r="A303" s="83" t="s">
        <v>567</v>
      </c>
      <c r="B303" s="261" t="s">
        <v>174</v>
      </c>
      <c r="C303" s="265">
        <v>1</v>
      </c>
      <c r="D303" s="259">
        <f>+$D301*C303</f>
        <v>0</v>
      </c>
    </row>
    <row r="304" spans="1:4" x14ac:dyDescent="0.2">
      <c r="A304" s="83" t="s">
        <v>568</v>
      </c>
      <c r="B304" s="261" t="s">
        <v>207</v>
      </c>
      <c r="C304" s="265">
        <v>1</v>
      </c>
      <c r="D304" s="259">
        <f>+$D301*C304</f>
        <v>0</v>
      </c>
    </row>
    <row r="305" spans="1:4" x14ac:dyDescent="0.2">
      <c r="A305" s="83" t="s">
        <v>568</v>
      </c>
      <c r="B305" s="261" t="s">
        <v>211</v>
      </c>
      <c r="C305" s="265">
        <v>4</v>
      </c>
      <c r="D305" s="259">
        <f>+$D301*C305</f>
        <v>0</v>
      </c>
    </row>
    <row r="306" spans="1:4" x14ac:dyDescent="0.2">
      <c r="A306" s="83" t="s">
        <v>568</v>
      </c>
      <c r="B306" s="261" t="s">
        <v>212</v>
      </c>
      <c r="C306" s="265">
        <v>4</v>
      </c>
      <c r="D306" s="259">
        <f>+$D301*C306</f>
        <v>0</v>
      </c>
    </row>
    <row r="307" spans="1:4" x14ac:dyDescent="0.2">
      <c r="A307" s="83" t="s">
        <v>567</v>
      </c>
      <c r="B307" s="261" t="s">
        <v>171</v>
      </c>
      <c r="C307" s="237">
        <v>1</v>
      </c>
      <c r="D307" s="259">
        <f>+$D301*C307</f>
        <v>0</v>
      </c>
    </row>
    <row r="308" spans="1:4" x14ac:dyDescent="0.2">
      <c r="A308" s="83" t="s">
        <v>567</v>
      </c>
      <c r="B308" s="264" t="s">
        <v>221</v>
      </c>
      <c r="C308" s="237">
        <v>1</v>
      </c>
      <c r="D308" s="259">
        <f>+$D301*C308</f>
        <v>0</v>
      </c>
    </row>
    <row r="309" spans="1:4" x14ac:dyDescent="0.2">
      <c r="B309" s="262">
        <v>0</v>
      </c>
    </row>
    <row r="310" spans="1:4" x14ac:dyDescent="0.2">
      <c r="B310" s="236">
        <v>0</v>
      </c>
    </row>
    <row r="311" spans="1:4" x14ac:dyDescent="0.2">
      <c r="A311" s="254">
        <v>1075827</v>
      </c>
      <c r="B311" s="255" t="s">
        <v>223</v>
      </c>
      <c r="C311" s="263"/>
      <c r="D311" s="257">
        <f>+C103</f>
        <v>0</v>
      </c>
    </row>
    <row r="312" spans="1:4" x14ac:dyDescent="0.2">
      <c r="A312" s="83" t="s">
        <v>568</v>
      </c>
      <c r="B312" s="261" t="s">
        <v>207</v>
      </c>
      <c r="C312" s="265">
        <v>1</v>
      </c>
      <c r="D312" s="259">
        <f>+$D311*C312</f>
        <v>0</v>
      </c>
    </row>
    <row r="313" spans="1:4" x14ac:dyDescent="0.2">
      <c r="A313" s="83" t="s">
        <v>568</v>
      </c>
      <c r="B313" s="261" t="s">
        <v>211</v>
      </c>
      <c r="C313" s="265">
        <v>4</v>
      </c>
      <c r="D313" s="259">
        <f>+$D311*C313</f>
        <v>0</v>
      </c>
    </row>
    <row r="314" spans="1:4" x14ac:dyDescent="0.2">
      <c r="A314" s="83" t="s">
        <v>568</v>
      </c>
      <c r="B314" s="261" t="s">
        <v>212</v>
      </c>
      <c r="C314" s="265">
        <v>4</v>
      </c>
      <c r="D314" s="259">
        <f>+$D311*C314</f>
        <v>0</v>
      </c>
    </row>
    <row r="315" spans="1:4" x14ac:dyDescent="0.2">
      <c r="A315" s="83" t="s">
        <v>567</v>
      </c>
      <c r="B315" s="261" t="s">
        <v>172</v>
      </c>
      <c r="C315" s="266">
        <v>1</v>
      </c>
      <c r="D315" s="259">
        <f>+$D311*C315</f>
        <v>0</v>
      </c>
    </row>
    <row r="316" spans="1:4" x14ac:dyDescent="0.2">
      <c r="A316" s="83" t="s">
        <v>567</v>
      </c>
      <c r="B316" s="261" t="s">
        <v>174</v>
      </c>
      <c r="C316" s="266">
        <v>1</v>
      </c>
      <c r="D316" s="259">
        <f>+$D311*C316</f>
        <v>0</v>
      </c>
    </row>
    <row r="317" spans="1:4" x14ac:dyDescent="0.2">
      <c r="A317" s="83" t="s">
        <v>567</v>
      </c>
      <c r="B317" s="264" t="s">
        <v>221</v>
      </c>
      <c r="C317" s="266">
        <v>1</v>
      </c>
      <c r="D317" s="259">
        <f>+$D311*C317</f>
        <v>0</v>
      </c>
    </row>
    <row r="318" spans="1:4" x14ac:dyDescent="0.2">
      <c r="B318" s="236">
        <v>0</v>
      </c>
      <c r="D318" s="237"/>
    </row>
    <row r="319" spans="1:4" x14ac:dyDescent="0.2">
      <c r="B319" s="236">
        <v>0</v>
      </c>
    </row>
    <row r="320" spans="1:4" x14ac:dyDescent="0.2">
      <c r="A320" s="254">
        <v>1075828</v>
      </c>
      <c r="B320" s="255" t="s">
        <v>224</v>
      </c>
      <c r="C320" s="263"/>
      <c r="D320" s="257">
        <f>+C104</f>
        <v>0</v>
      </c>
    </row>
    <row r="321" spans="1:4" x14ac:dyDescent="0.2">
      <c r="A321" s="83" t="s">
        <v>568</v>
      </c>
      <c r="B321" s="261" t="s">
        <v>208</v>
      </c>
      <c r="C321" s="265">
        <v>1</v>
      </c>
      <c r="D321" s="259">
        <f>+$D320*C321</f>
        <v>0</v>
      </c>
    </row>
    <row r="322" spans="1:4" x14ac:dyDescent="0.2">
      <c r="A322" s="83" t="s">
        <v>568</v>
      </c>
      <c r="B322" s="261" t="s">
        <v>211</v>
      </c>
      <c r="C322" s="265">
        <v>4</v>
      </c>
      <c r="D322" s="259">
        <f>+$D320*C322</f>
        <v>0</v>
      </c>
    </row>
    <row r="323" spans="1:4" x14ac:dyDescent="0.2">
      <c r="A323" s="83" t="s">
        <v>568</v>
      </c>
      <c r="B323" s="261" t="s">
        <v>212</v>
      </c>
      <c r="C323" s="265">
        <v>4</v>
      </c>
      <c r="D323" s="259">
        <f>+$D320*C323</f>
        <v>0</v>
      </c>
    </row>
    <row r="324" spans="1:4" x14ac:dyDescent="0.2">
      <c r="A324" s="83" t="s">
        <v>567</v>
      </c>
      <c r="B324" s="261" t="s">
        <v>173</v>
      </c>
      <c r="C324" s="266">
        <v>1</v>
      </c>
      <c r="D324" s="259">
        <f>+$D320*C324</f>
        <v>0</v>
      </c>
    </row>
    <row r="325" spans="1:4" x14ac:dyDescent="0.2">
      <c r="A325" s="83" t="s">
        <v>567</v>
      </c>
      <c r="B325" s="261" t="s">
        <v>174</v>
      </c>
      <c r="C325" s="266">
        <v>1</v>
      </c>
      <c r="D325" s="259">
        <f>+$D320*C325</f>
        <v>0</v>
      </c>
    </row>
    <row r="326" spans="1:4" x14ac:dyDescent="0.2">
      <c r="A326" s="83" t="s">
        <v>567</v>
      </c>
      <c r="B326" s="264" t="s">
        <v>221</v>
      </c>
      <c r="C326" s="266">
        <v>1</v>
      </c>
      <c r="D326" s="259">
        <f>+$D320*C326</f>
        <v>0</v>
      </c>
    </row>
    <row r="327" spans="1:4" x14ac:dyDescent="0.2">
      <c r="B327" s="236">
        <v>0</v>
      </c>
    </row>
    <row r="328" spans="1:4" x14ac:dyDescent="0.2">
      <c r="B328" s="236">
        <v>0</v>
      </c>
    </row>
    <row r="329" spans="1:4" x14ac:dyDescent="0.2">
      <c r="A329" s="254">
        <v>1075829</v>
      </c>
      <c r="B329" s="255" t="s">
        <v>225</v>
      </c>
      <c r="C329" s="263"/>
      <c r="D329" s="257">
        <f>+C105</f>
        <v>0</v>
      </c>
    </row>
    <row r="330" spans="1:4" x14ac:dyDescent="0.2">
      <c r="A330" s="83" t="s">
        <v>568</v>
      </c>
      <c r="B330" s="261" t="s">
        <v>208</v>
      </c>
      <c r="C330" s="265">
        <v>2</v>
      </c>
      <c r="D330" s="259">
        <f>+$D329*C330</f>
        <v>0</v>
      </c>
    </row>
    <row r="331" spans="1:4" x14ac:dyDescent="0.2">
      <c r="A331" s="83" t="s">
        <v>568</v>
      </c>
      <c r="B331" s="261" t="s">
        <v>211</v>
      </c>
      <c r="C331" s="265">
        <v>4</v>
      </c>
      <c r="D331" s="259">
        <f>+$D329*C331</f>
        <v>0</v>
      </c>
    </row>
    <row r="332" spans="1:4" x14ac:dyDescent="0.2">
      <c r="A332" s="83" t="s">
        <v>568</v>
      </c>
      <c r="B332" s="261" t="s">
        <v>212</v>
      </c>
      <c r="C332" s="265">
        <v>4</v>
      </c>
      <c r="D332" s="259">
        <f>+$D329*C332</f>
        <v>0</v>
      </c>
    </row>
    <row r="333" spans="1:4" x14ac:dyDescent="0.2">
      <c r="A333" s="83" t="s">
        <v>567</v>
      </c>
      <c r="B333" s="261" t="s">
        <v>173</v>
      </c>
      <c r="C333" s="266">
        <v>1</v>
      </c>
      <c r="D333" s="259">
        <f>+$D329*C333</f>
        <v>0</v>
      </c>
    </row>
    <row r="334" spans="1:4" x14ac:dyDescent="0.2">
      <c r="A334" s="83" t="s">
        <v>567</v>
      </c>
      <c r="B334" s="261" t="s">
        <v>174</v>
      </c>
      <c r="C334" s="266">
        <v>1</v>
      </c>
      <c r="D334" s="259">
        <f>+$D329*C334</f>
        <v>0</v>
      </c>
    </row>
    <row r="335" spans="1:4" x14ac:dyDescent="0.2">
      <c r="A335" s="83" t="s">
        <v>567</v>
      </c>
      <c r="B335" s="264" t="s">
        <v>221</v>
      </c>
      <c r="C335" s="266">
        <v>1</v>
      </c>
      <c r="D335" s="259">
        <f>+$D329*C335</f>
        <v>0</v>
      </c>
    </row>
    <row r="336" spans="1:4" x14ac:dyDescent="0.2">
      <c r="B336" s="236">
        <v>0</v>
      </c>
    </row>
    <row r="337" spans="1:4" x14ac:dyDescent="0.2">
      <c r="B337" s="236">
        <v>0</v>
      </c>
    </row>
    <row r="338" spans="1:4" x14ac:dyDescent="0.2">
      <c r="A338" s="254">
        <v>1075830</v>
      </c>
      <c r="B338" s="255" t="s">
        <v>237</v>
      </c>
      <c r="C338" s="263"/>
      <c r="D338" s="257">
        <f>+C106</f>
        <v>0</v>
      </c>
    </row>
    <row r="339" spans="1:4" x14ac:dyDescent="0.2">
      <c r="A339" s="83" t="s">
        <v>568</v>
      </c>
      <c r="B339" s="261" t="s">
        <v>212</v>
      </c>
      <c r="C339" s="265">
        <v>8</v>
      </c>
      <c r="D339" s="259">
        <f>+$D338*C339</f>
        <v>0</v>
      </c>
    </row>
    <row r="340" spans="1:4" x14ac:dyDescent="0.2">
      <c r="A340" s="83" t="s">
        <v>568</v>
      </c>
      <c r="B340" s="261" t="s">
        <v>218</v>
      </c>
      <c r="C340" s="265">
        <v>8</v>
      </c>
      <c r="D340" s="259">
        <f>+$D338*C340</f>
        <v>0</v>
      </c>
    </row>
    <row r="341" spans="1:4" x14ac:dyDescent="0.2">
      <c r="A341" s="83" t="s">
        <v>567</v>
      </c>
      <c r="B341" s="261" t="s">
        <v>257</v>
      </c>
      <c r="C341" s="266">
        <v>1</v>
      </c>
      <c r="D341" s="259">
        <f>+$D338*C341</f>
        <v>0</v>
      </c>
    </row>
    <row r="342" spans="1:4" x14ac:dyDescent="0.2">
      <c r="A342" s="83" t="s">
        <v>567</v>
      </c>
      <c r="B342" s="261" t="s">
        <v>250</v>
      </c>
      <c r="C342" s="266">
        <v>1</v>
      </c>
      <c r="D342" s="259">
        <f>+$D338*C342</f>
        <v>0</v>
      </c>
    </row>
    <row r="343" spans="1:4" x14ac:dyDescent="0.2">
      <c r="A343" s="83" t="s">
        <v>567</v>
      </c>
      <c r="B343" s="261" t="s">
        <v>255</v>
      </c>
      <c r="C343" s="266">
        <v>1</v>
      </c>
      <c r="D343" s="259">
        <f>+$D338*C343</f>
        <v>0</v>
      </c>
    </row>
    <row r="344" spans="1:4" x14ac:dyDescent="0.2">
      <c r="B344" s="236">
        <v>0</v>
      </c>
    </row>
    <row r="345" spans="1:4" x14ac:dyDescent="0.2">
      <c r="B345" s="236">
        <v>0</v>
      </c>
    </row>
    <row r="346" spans="1:4" x14ac:dyDescent="0.2">
      <c r="A346" s="254">
        <v>1075831</v>
      </c>
      <c r="B346" s="255" t="s">
        <v>238</v>
      </c>
      <c r="C346" s="263"/>
      <c r="D346" s="257">
        <f>+C107</f>
        <v>0</v>
      </c>
    </row>
    <row r="347" spans="1:4" x14ac:dyDescent="0.2">
      <c r="A347" s="83" t="s">
        <v>568</v>
      </c>
      <c r="B347" s="261" t="s">
        <v>212</v>
      </c>
      <c r="C347" s="261">
        <v>8</v>
      </c>
      <c r="D347" s="259">
        <f>+$D346*C347</f>
        <v>0</v>
      </c>
    </row>
    <row r="348" spans="1:4" x14ac:dyDescent="0.2">
      <c r="A348" s="83" t="s">
        <v>568</v>
      </c>
      <c r="B348" s="261" t="s">
        <v>218</v>
      </c>
      <c r="C348" s="261">
        <v>8</v>
      </c>
      <c r="D348" s="259">
        <f>+$D346*C348</f>
        <v>0</v>
      </c>
    </row>
    <row r="349" spans="1:4" x14ac:dyDescent="0.2">
      <c r="A349" s="83" t="s">
        <v>567</v>
      </c>
      <c r="B349" s="261" t="s">
        <v>251</v>
      </c>
      <c r="C349" s="262">
        <v>1</v>
      </c>
      <c r="D349" s="259">
        <f>+$D346*C349</f>
        <v>0</v>
      </c>
    </row>
    <row r="350" spans="1:4" x14ac:dyDescent="0.2">
      <c r="A350" s="83" t="s">
        <v>567</v>
      </c>
      <c r="B350" s="261" t="s">
        <v>250</v>
      </c>
      <c r="C350" s="262">
        <v>1</v>
      </c>
      <c r="D350" s="259">
        <f>+$D346*C350</f>
        <v>0</v>
      </c>
    </row>
    <row r="351" spans="1:4" x14ac:dyDescent="0.2">
      <c r="A351" s="83" t="s">
        <v>567</v>
      </c>
      <c r="B351" s="261" t="s">
        <v>254</v>
      </c>
      <c r="C351" s="262">
        <v>1</v>
      </c>
      <c r="D351" s="259">
        <f>+$D346*C351</f>
        <v>0</v>
      </c>
    </row>
    <row r="352" spans="1:4" x14ac:dyDescent="0.2">
      <c r="A352" s="83" t="s">
        <v>567</v>
      </c>
      <c r="B352" s="261" t="s">
        <v>255</v>
      </c>
      <c r="C352" s="262">
        <v>1</v>
      </c>
      <c r="D352" s="259">
        <f>+$D346*C352</f>
        <v>0</v>
      </c>
    </row>
    <row r="353" spans="1:4" x14ac:dyDescent="0.2">
      <c r="B353" s="262">
        <v>0</v>
      </c>
      <c r="C353" s="83"/>
      <c r="D353" s="259"/>
    </row>
    <row r="354" spans="1:4" x14ac:dyDescent="0.2">
      <c r="B354" s="236">
        <v>0</v>
      </c>
    </row>
    <row r="355" spans="1:4" x14ac:dyDescent="0.2">
      <c r="B355" s="236">
        <v>0</v>
      </c>
    </row>
    <row r="356" spans="1:4" x14ac:dyDescent="0.2">
      <c r="A356" s="254">
        <v>1075524</v>
      </c>
      <c r="B356" s="255" t="s">
        <v>145</v>
      </c>
      <c r="C356" s="267"/>
      <c r="D356" s="257">
        <f>+C25</f>
        <v>0</v>
      </c>
    </row>
    <row r="357" spans="1:4" x14ac:dyDescent="0.2">
      <c r="A357" s="83" t="s">
        <v>569</v>
      </c>
      <c r="B357" s="261" t="s">
        <v>283</v>
      </c>
      <c r="C357" s="261">
        <v>1.1000000000000001</v>
      </c>
      <c r="D357" s="259">
        <f>+$D356*C357</f>
        <v>0</v>
      </c>
    </row>
    <row r="358" spans="1:4" x14ac:dyDescent="0.2">
      <c r="A358" s="83" t="s">
        <v>569</v>
      </c>
      <c r="B358" s="261" t="s">
        <v>282</v>
      </c>
      <c r="C358" s="261">
        <v>1.1000000000000001</v>
      </c>
      <c r="D358" s="259">
        <f>+$D356*C358</f>
        <v>0</v>
      </c>
    </row>
    <row r="359" spans="1:4" x14ac:dyDescent="0.2">
      <c r="A359" s="83" t="s">
        <v>569</v>
      </c>
      <c r="B359" s="261" t="s">
        <v>215</v>
      </c>
      <c r="C359" s="261">
        <v>2</v>
      </c>
      <c r="D359" s="259">
        <f>+$D356*C359</f>
        <v>0</v>
      </c>
    </row>
    <row r="360" spans="1:4" x14ac:dyDescent="0.2">
      <c r="A360" s="83" t="s">
        <v>569</v>
      </c>
      <c r="B360" s="261" t="s">
        <v>220</v>
      </c>
      <c r="C360" s="261">
        <v>8</v>
      </c>
      <c r="D360" s="259">
        <f>+$D356*C360</f>
        <v>0</v>
      </c>
    </row>
    <row r="361" spans="1:4" x14ac:dyDescent="0.2">
      <c r="A361" s="83" t="s">
        <v>569</v>
      </c>
      <c r="B361" s="261" t="s">
        <v>284</v>
      </c>
      <c r="C361" s="261">
        <v>0.2</v>
      </c>
      <c r="D361" s="259">
        <f>+$D356*C361</f>
        <v>0</v>
      </c>
    </row>
    <row r="362" spans="1:4" x14ac:dyDescent="0.2">
      <c r="A362" s="83" t="s">
        <v>569</v>
      </c>
      <c r="B362" s="261" t="s">
        <v>213</v>
      </c>
      <c r="C362" s="261">
        <v>2</v>
      </c>
      <c r="D362" s="259">
        <f>+$D356*C362</f>
        <v>0</v>
      </c>
    </row>
    <row r="363" spans="1:4" x14ac:dyDescent="0.2">
      <c r="A363" s="83" t="s">
        <v>569</v>
      </c>
      <c r="B363" s="261" t="s">
        <v>214</v>
      </c>
      <c r="C363" s="261">
        <v>2</v>
      </c>
      <c r="D363" s="259">
        <f>+$D356*C363</f>
        <v>0</v>
      </c>
    </row>
    <row r="364" spans="1:4" x14ac:dyDescent="0.2">
      <c r="A364" s="83" t="s">
        <v>569</v>
      </c>
      <c r="B364" s="261" t="s">
        <v>209</v>
      </c>
      <c r="C364" s="261">
        <v>2</v>
      </c>
      <c r="D364" s="259">
        <f>+$D356*C364</f>
        <v>0</v>
      </c>
    </row>
    <row r="365" spans="1:4" x14ac:dyDescent="0.2">
      <c r="B365" s="236">
        <v>0</v>
      </c>
    </row>
    <row r="366" spans="1:4" x14ac:dyDescent="0.2">
      <c r="B366" s="236">
        <v>0</v>
      </c>
    </row>
    <row r="367" spans="1:4" x14ac:dyDescent="0.2">
      <c r="A367" s="254">
        <v>1075525</v>
      </c>
      <c r="B367" s="255" t="s">
        <v>146</v>
      </c>
      <c r="C367" s="267"/>
      <c r="D367" s="257">
        <f>+C26</f>
        <v>0</v>
      </c>
    </row>
    <row r="368" spans="1:4" x14ac:dyDescent="0.2">
      <c r="A368" s="83" t="s">
        <v>569</v>
      </c>
      <c r="B368" s="261" t="s">
        <v>283</v>
      </c>
      <c r="C368" s="261">
        <v>0.73</v>
      </c>
      <c r="D368" s="259">
        <f>+$D367*C368</f>
        <v>0</v>
      </c>
    </row>
    <row r="369" spans="1:4" x14ac:dyDescent="0.2">
      <c r="A369" s="83" t="s">
        <v>569</v>
      </c>
      <c r="B369" s="261" t="s">
        <v>282</v>
      </c>
      <c r="C369" s="261">
        <v>0.73</v>
      </c>
      <c r="D369" s="259">
        <f>+$D367*C369</f>
        <v>0</v>
      </c>
    </row>
    <row r="370" spans="1:4" x14ac:dyDescent="0.2">
      <c r="A370" s="83" t="s">
        <v>569</v>
      </c>
      <c r="B370" s="261" t="s">
        <v>215</v>
      </c>
      <c r="C370" s="261">
        <v>2</v>
      </c>
      <c r="D370" s="259">
        <f>+$D367*C370</f>
        <v>0</v>
      </c>
    </row>
    <row r="371" spans="1:4" x14ac:dyDescent="0.2">
      <c r="A371" s="83" t="s">
        <v>569</v>
      </c>
      <c r="B371" s="261" t="s">
        <v>220</v>
      </c>
      <c r="C371" s="261">
        <v>8</v>
      </c>
      <c r="D371" s="259">
        <f>+$D367*C371</f>
        <v>0</v>
      </c>
    </row>
    <row r="372" spans="1:4" x14ac:dyDescent="0.2">
      <c r="A372" s="83" t="s">
        <v>569</v>
      </c>
      <c r="B372" s="261" t="s">
        <v>284</v>
      </c>
      <c r="C372" s="261">
        <v>0.16</v>
      </c>
      <c r="D372" s="259">
        <f>+$D367*C372</f>
        <v>0</v>
      </c>
    </row>
    <row r="373" spans="1:4" x14ac:dyDescent="0.2">
      <c r="A373" s="83" t="s">
        <v>569</v>
      </c>
      <c r="B373" s="261" t="s">
        <v>213</v>
      </c>
      <c r="C373" s="261">
        <v>2</v>
      </c>
      <c r="D373" s="259">
        <f>+$D367*C373</f>
        <v>0</v>
      </c>
    </row>
    <row r="374" spans="1:4" x14ac:dyDescent="0.2">
      <c r="A374" s="83" t="s">
        <v>569</v>
      </c>
      <c r="B374" s="261" t="s">
        <v>214</v>
      </c>
      <c r="C374" s="261">
        <v>2</v>
      </c>
      <c r="D374" s="259">
        <f>+$D367*C374</f>
        <v>0</v>
      </c>
    </row>
    <row r="375" spans="1:4" x14ac:dyDescent="0.2">
      <c r="A375" s="83" t="s">
        <v>569</v>
      </c>
      <c r="B375" s="261" t="s">
        <v>209</v>
      </c>
      <c r="C375" s="261">
        <v>2</v>
      </c>
      <c r="D375" s="259">
        <f>+$D367*C375</f>
        <v>0</v>
      </c>
    </row>
    <row r="376" spans="1:4" x14ac:dyDescent="0.2">
      <c r="B376" s="236">
        <v>0</v>
      </c>
    </row>
    <row r="377" spans="1:4" x14ac:dyDescent="0.2">
      <c r="B377" s="236">
        <v>0</v>
      </c>
    </row>
    <row r="378" spans="1:4" x14ac:dyDescent="0.2">
      <c r="A378" s="254">
        <v>1075526</v>
      </c>
      <c r="B378" s="255" t="s">
        <v>147</v>
      </c>
      <c r="C378" s="267"/>
      <c r="D378" s="257">
        <f>+C27</f>
        <v>0</v>
      </c>
    </row>
    <row r="379" spans="1:4" x14ac:dyDescent="0.2">
      <c r="A379" s="83" t="s">
        <v>569</v>
      </c>
      <c r="B379" s="261" t="s">
        <v>283</v>
      </c>
      <c r="C379" s="261">
        <v>0.4</v>
      </c>
      <c r="D379" s="259">
        <f>+$D378*C379</f>
        <v>0</v>
      </c>
    </row>
    <row r="380" spans="1:4" x14ac:dyDescent="0.2">
      <c r="A380" s="83" t="s">
        <v>569</v>
      </c>
      <c r="B380" s="261" t="s">
        <v>282</v>
      </c>
      <c r="C380" s="261">
        <v>0.4</v>
      </c>
      <c r="D380" s="259">
        <f>+$D378*C380</f>
        <v>0</v>
      </c>
    </row>
    <row r="381" spans="1:4" x14ac:dyDescent="0.2">
      <c r="A381" s="83" t="s">
        <v>569</v>
      </c>
      <c r="B381" s="261" t="s">
        <v>215</v>
      </c>
      <c r="C381" s="261">
        <v>2</v>
      </c>
      <c r="D381" s="259">
        <f>+$D378*C381</f>
        <v>0</v>
      </c>
    </row>
    <row r="382" spans="1:4" x14ac:dyDescent="0.2">
      <c r="A382" s="83" t="s">
        <v>569</v>
      </c>
      <c r="B382" s="261" t="s">
        <v>220</v>
      </c>
      <c r="C382" s="261">
        <v>8</v>
      </c>
      <c r="D382" s="259">
        <f>+$D378*C382</f>
        <v>0</v>
      </c>
    </row>
    <row r="383" spans="1:4" x14ac:dyDescent="0.2">
      <c r="A383" s="83" t="s">
        <v>569</v>
      </c>
      <c r="B383" s="261" t="s">
        <v>284</v>
      </c>
      <c r="C383" s="261">
        <v>7.0000000000000007E-2</v>
      </c>
      <c r="D383" s="259">
        <f>+$D378*C383</f>
        <v>0</v>
      </c>
    </row>
    <row r="384" spans="1:4" x14ac:dyDescent="0.2">
      <c r="A384" s="83" t="s">
        <v>569</v>
      </c>
      <c r="B384" s="261" t="s">
        <v>213</v>
      </c>
      <c r="C384" s="261">
        <v>2</v>
      </c>
      <c r="D384" s="259">
        <f>+$D378*C384</f>
        <v>0</v>
      </c>
    </row>
    <row r="385" spans="1:4" x14ac:dyDescent="0.2">
      <c r="A385" s="83" t="s">
        <v>569</v>
      </c>
      <c r="B385" s="261" t="s">
        <v>214</v>
      </c>
      <c r="C385" s="261">
        <v>2</v>
      </c>
      <c r="D385" s="259">
        <f>+$D378*C385</f>
        <v>0</v>
      </c>
    </row>
    <row r="386" spans="1:4" x14ac:dyDescent="0.2">
      <c r="A386" s="83" t="s">
        <v>569</v>
      </c>
      <c r="B386" s="261" t="s">
        <v>209</v>
      </c>
      <c r="C386" s="261">
        <v>2</v>
      </c>
      <c r="D386" s="259">
        <f>+$D378*C386</f>
        <v>0</v>
      </c>
    </row>
    <row r="387" spans="1:4" x14ac:dyDescent="0.2">
      <c r="B387" s="236">
        <v>0</v>
      </c>
    </row>
    <row r="388" spans="1:4" x14ac:dyDescent="0.2">
      <c r="B388" s="236">
        <v>0</v>
      </c>
    </row>
    <row r="389" spans="1:4" x14ac:dyDescent="0.2">
      <c r="A389" s="254">
        <v>1075527</v>
      </c>
      <c r="B389" s="255" t="s">
        <v>148</v>
      </c>
      <c r="C389" s="267"/>
      <c r="D389" s="257">
        <f>+C28</f>
        <v>0</v>
      </c>
    </row>
    <row r="390" spans="1:4" x14ac:dyDescent="0.2">
      <c r="A390" s="83" t="s">
        <v>569</v>
      </c>
      <c r="B390" s="261" t="s">
        <v>280</v>
      </c>
      <c r="C390" s="261">
        <v>1</v>
      </c>
      <c r="D390" s="259">
        <f>+$D389*C390</f>
        <v>0</v>
      </c>
    </row>
    <row r="391" spans="1:4" x14ac:dyDescent="0.2">
      <c r="A391" s="83" t="s">
        <v>569</v>
      </c>
      <c r="B391" s="261" t="s">
        <v>283</v>
      </c>
      <c r="C391" s="261">
        <v>0.7</v>
      </c>
      <c r="D391" s="259">
        <f>+$D389*C391</f>
        <v>0</v>
      </c>
    </row>
    <row r="392" spans="1:4" x14ac:dyDescent="0.2">
      <c r="A392" s="83" t="s">
        <v>569</v>
      </c>
      <c r="B392" s="261" t="s">
        <v>282</v>
      </c>
      <c r="C392" s="261">
        <v>0.7</v>
      </c>
      <c r="D392" s="259">
        <f>+$D389*C392</f>
        <v>0</v>
      </c>
    </row>
    <row r="393" spans="1:4" x14ac:dyDescent="0.2">
      <c r="A393" s="83" t="s">
        <v>569</v>
      </c>
      <c r="B393" s="261" t="s">
        <v>215</v>
      </c>
      <c r="C393" s="261">
        <v>2</v>
      </c>
      <c r="D393" s="259">
        <f>+$D389*C393</f>
        <v>0</v>
      </c>
    </row>
    <row r="394" spans="1:4" x14ac:dyDescent="0.2">
      <c r="A394" s="83" t="s">
        <v>569</v>
      </c>
      <c r="B394" s="261" t="s">
        <v>220</v>
      </c>
      <c r="C394" s="261">
        <v>8</v>
      </c>
      <c r="D394" s="259">
        <f>+$D389*C394</f>
        <v>0</v>
      </c>
    </row>
    <row r="395" spans="1:4" x14ac:dyDescent="0.2">
      <c r="A395" s="83" t="s">
        <v>569</v>
      </c>
      <c r="B395" s="261" t="s">
        <v>213</v>
      </c>
      <c r="C395" s="261">
        <v>2</v>
      </c>
      <c r="D395" s="259">
        <f>+$D389*C395</f>
        <v>0</v>
      </c>
    </row>
    <row r="396" spans="1:4" x14ac:dyDescent="0.2">
      <c r="A396" s="83" t="s">
        <v>569</v>
      </c>
      <c r="B396" s="261" t="s">
        <v>214</v>
      </c>
      <c r="C396" s="261">
        <v>2</v>
      </c>
      <c r="D396" s="259">
        <f>+$D389*C396</f>
        <v>0</v>
      </c>
    </row>
    <row r="397" spans="1:4" x14ac:dyDescent="0.2">
      <c r="A397" s="83" t="s">
        <v>569</v>
      </c>
      <c r="B397" s="261" t="s">
        <v>209</v>
      </c>
      <c r="C397" s="261">
        <v>2</v>
      </c>
      <c r="D397" s="259">
        <f>+$D389*C397</f>
        <v>0</v>
      </c>
    </row>
    <row r="398" spans="1:4" x14ac:dyDescent="0.2">
      <c r="B398" s="236">
        <v>0</v>
      </c>
    </row>
    <row r="399" spans="1:4" x14ac:dyDescent="0.2">
      <c r="B399" s="236">
        <v>0</v>
      </c>
    </row>
    <row r="400" spans="1:4" x14ac:dyDescent="0.2">
      <c r="A400" s="254">
        <v>1075528</v>
      </c>
      <c r="B400" s="255" t="s">
        <v>149</v>
      </c>
      <c r="D400" s="257">
        <f>+C29</f>
        <v>0</v>
      </c>
    </row>
    <row r="401" spans="1:4" x14ac:dyDescent="0.2">
      <c r="A401" s="83" t="s">
        <v>569</v>
      </c>
      <c r="B401" s="261" t="s">
        <v>215</v>
      </c>
      <c r="C401" s="261">
        <v>2</v>
      </c>
      <c r="D401" s="259">
        <f>+$D400*C401</f>
        <v>0</v>
      </c>
    </row>
    <row r="402" spans="1:4" x14ac:dyDescent="0.2">
      <c r="A402" s="83" t="s">
        <v>569</v>
      </c>
      <c r="B402" s="261" t="s">
        <v>220</v>
      </c>
      <c r="C402" s="261">
        <v>8</v>
      </c>
      <c r="D402" s="259">
        <f>+$D400*C402</f>
        <v>0</v>
      </c>
    </row>
    <row r="403" spans="1:4" x14ac:dyDescent="0.2">
      <c r="A403" s="83" t="s">
        <v>569</v>
      </c>
      <c r="B403" s="261" t="s">
        <v>281</v>
      </c>
      <c r="C403" s="261">
        <v>1.1000000000000001</v>
      </c>
      <c r="D403" s="259">
        <f>+$D400*C403</f>
        <v>0</v>
      </c>
    </row>
    <row r="404" spans="1:4" x14ac:dyDescent="0.2">
      <c r="A404" s="83" t="s">
        <v>569</v>
      </c>
      <c r="B404" s="261" t="s">
        <v>284</v>
      </c>
      <c r="C404" s="261">
        <v>0.2</v>
      </c>
      <c r="D404" s="259">
        <f>+$D400*C404</f>
        <v>0</v>
      </c>
    </row>
    <row r="405" spans="1:4" x14ac:dyDescent="0.2">
      <c r="A405" s="83" t="s">
        <v>569</v>
      </c>
      <c r="B405" s="261" t="s">
        <v>213</v>
      </c>
      <c r="C405" s="261">
        <v>2</v>
      </c>
      <c r="D405" s="259">
        <f>+$D400*C405</f>
        <v>0</v>
      </c>
    </row>
    <row r="406" spans="1:4" x14ac:dyDescent="0.2">
      <c r="A406" s="83" t="s">
        <v>569</v>
      </c>
      <c r="B406" s="261" t="s">
        <v>214</v>
      </c>
      <c r="C406" s="261">
        <v>2</v>
      </c>
      <c r="D406" s="259">
        <f>+$D400*C406</f>
        <v>0</v>
      </c>
    </row>
    <row r="407" spans="1:4" x14ac:dyDescent="0.2">
      <c r="A407" s="83" t="s">
        <v>569</v>
      </c>
      <c r="B407" s="261" t="s">
        <v>209</v>
      </c>
      <c r="C407" s="261">
        <v>2</v>
      </c>
      <c r="D407" s="259">
        <f>+$D400*C407</f>
        <v>0</v>
      </c>
    </row>
    <row r="408" spans="1:4" x14ac:dyDescent="0.2">
      <c r="B408" s="236">
        <v>0</v>
      </c>
      <c r="D408" s="237"/>
    </row>
    <row r="409" spans="1:4" x14ac:dyDescent="0.2">
      <c r="B409" s="236">
        <v>0</v>
      </c>
    </row>
    <row r="410" spans="1:4" x14ac:dyDescent="0.2">
      <c r="A410" s="254">
        <v>1075529</v>
      </c>
      <c r="B410" s="255" t="s">
        <v>150</v>
      </c>
      <c r="D410" s="257">
        <f>+C30</f>
        <v>0</v>
      </c>
    </row>
    <row r="411" spans="1:4" x14ac:dyDescent="0.2">
      <c r="A411" s="83" t="s">
        <v>569</v>
      </c>
      <c r="B411" s="261" t="s">
        <v>215</v>
      </c>
      <c r="C411" s="261">
        <v>2</v>
      </c>
      <c r="D411" s="259">
        <f>+$D410*C411</f>
        <v>0</v>
      </c>
    </row>
    <row r="412" spans="1:4" x14ac:dyDescent="0.2">
      <c r="A412" s="83" t="s">
        <v>569</v>
      </c>
      <c r="B412" s="261" t="s">
        <v>220</v>
      </c>
      <c r="C412" s="261">
        <v>8</v>
      </c>
      <c r="D412" s="259">
        <f>+$D410*C412</f>
        <v>0</v>
      </c>
    </row>
    <row r="413" spans="1:4" x14ac:dyDescent="0.2">
      <c r="A413" s="83" t="s">
        <v>569</v>
      </c>
      <c r="B413" s="261" t="s">
        <v>281</v>
      </c>
      <c r="C413" s="261">
        <v>0.73</v>
      </c>
      <c r="D413" s="259">
        <f>+$D410*C413</f>
        <v>0</v>
      </c>
    </row>
    <row r="414" spans="1:4" x14ac:dyDescent="0.2">
      <c r="A414" s="83" t="s">
        <v>569</v>
      </c>
      <c r="B414" s="261" t="s">
        <v>284</v>
      </c>
      <c r="C414" s="261">
        <v>0.16</v>
      </c>
      <c r="D414" s="259">
        <f>+$D410*C414</f>
        <v>0</v>
      </c>
    </row>
    <row r="415" spans="1:4" x14ac:dyDescent="0.2">
      <c r="A415" s="83" t="s">
        <v>569</v>
      </c>
      <c r="B415" s="261" t="s">
        <v>570</v>
      </c>
      <c r="C415" s="261">
        <v>0.1</v>
      </c>
      <c r="D415" s="259">
        <f>+$D410*C415</f>
        <v>0</v>
      </c>
    </row>
    <row r="416" spans="1:4" x14ac:dyDescent="0.2">
      <c r="A416" s="83" t="s">
        <v>569</v>
      </c>
      <c r="B416" s="261" t="s">
        <v>213</v>
      </c>
      <c r="C416" s="261">
        <v>2</v>
      </c>
      <c r="D416" s="259">
        <f>+$D410*C416</f>
        <v>0</v>
      </c>
    </row>
    <row r="417" spans="1:4" x14ac:dyDescent="0.2">
      <c r="A417" s="83" t="s">
        <v>569</v>
      </c>
      <c r="B417" s="261" t="s">
        <v>214</v>
      </c>
      <c r="C417" s="261">
        <v>2</v>
      </c>
      <c r="D417" s="259">
        <f>+$D410*C417</f>
        <v>0</v>
      </c>
    </row>
    <row r="418" spans="1:4" x14ac:dyDescent="0.2">
      <c r="A418" s="83" t="s">
        <v>569</v>
      </c>
      <c r="B418" s="261" t="s">
        <v>209</v>
      </c>
      <c r="C418" s="261">
        <v>2</v>
      </c>
      <c r="D418" s="259">
        <f>+$D410*C418</f>
        <v>0</v>
      </c>
    </row>
    <row r="419" spans="1:4" x14ac:dyDescent="0.2">
      <c r="B419" s="236">
        <v>0</v>
      </c>
    </row>
    <row r="420" spans="1:4" x14ac:dyDescent="0.2">
      <c r="B420" s="236">
        <v>0</v>
      </c>
    </row>
    <row r="421" spans="1:4" x14ac:dyDescent="0.2">
      <c r="A421" s="254">
        <v>1075530</v>
      </c>
      <c r="B421" s="255" t="s">
        <v>151</v>
      </c>
      <c r="C421" s="267"/>
      <c r="D421" s="257">
        <f>+C31</f>
        <v>0</v>
      </c>
    </row>
    <row r="422" spans="1:4" x14ac:dyDescent="0.2">
      <c r="A422" s="83" t="s">
        <v>569</v>
      </c>
      <c r="B422" s="261" t="s">
        <v>215</v>
      </c>
      <c r="C422" s="261">
        <v>2</v>
      </c>
      <c r="D422" s="259">
        <f>+$D421*C422</f>
        <v>0</v>
      </c>
    </row>
    <row r="423" spans="1:4" x14ac:dyDescent="0.2">
      <c r="A423" s="83" t="s">
        <v>569</v>
      </c>
      <c r="B423" s="261" t="s">
        <v>220</v>
      </c>
      <c r="C423" s="261">
        <v>8</v>
      </c>
      <c r="D423" s="259">
        <f>+$D421*C423</f>
        <v>0</v>
      </c>
    </row>
    <row r="424" spans="1:4" x14ac:dyDescent="0.2">
      <c r="A424" s="83" t="s">
        <v>569</v>
      </c>
      <c r="B424" s="261" t="s">
        <v>281</v>
      </c>
      <c r="C424" s="261">
        <v>0.4</v>
      </c>
      <c r="D424" s="259">
        <f>+$D421*C424</f>
        <v>0</v>
      </c>
    </row>
    <row r="425" spans="1:4" x14ac:dyDescent="0.2">
      <c r="A425" s="83" t="s">
        <v>569</v>
      </c>
      <c r="B425" s="261" t="s">
        <v>284</v>
      </c>
      <c r="C425" s="261">
        <v>7.0000000000000007E-2</v>
      </c>
      <c r="D425" s="259">
        <f>+$D421*C425</f>
        <v>0</v>
      </c>
    </row>
    <row r="426" spans="1:4" x14ac:dyDescent="0.2">
      <c r="A426" s="83" t="s">
        <v>569</v>
      </c>
      <c r="B426" s="261" t="s">
        <v>570</v>
      </c>
      <c r="C426" s="261">
        <v>0.1</v>
      </c>
      <c r="D426" s="259">
        <f>+$D421*C426</f>
        <v>0</v>
      </c>
    </row>
    <row r="427" spans="1:4" x14ac:dyDescent="0.2">
      <c r="A427" s="83" t="s">
        <v>569</v>
      </c>
      <c r="B427" s="261" t="s">
        <v>213</v>
      </c>
      <c r="C427" s="261">
        <v>2</v>
      </c>
      <c r="D427" s="259">
        <f>+$D421*C427</f>
        <v>0</v>
      </c>
    </row>
    <row r="428" spans="1:4" x14ac:dyDescent="0.2">
      <c r="A428" s="83" t="s">
        <v>569</v>
      </c>
      <c r="B428" s="261" t="s">
        <v>214</v>
      </c>
      <c r="C428" s="261">
        <v>2</v>
      </c>
      <c r="D428" s="259">
        <f>+$D421*C428</f>
        <v>0</v>
      </c>
    </row>
    <row r="429" spans="1:4" x14ac:dyDescent="0.2">
      <c r="A429" s="83" t="s">
        <v>569</v>
      </c>
      <c r="B429" s="261" t="s">
        <v>209</v>
      </c>
      <c r="C429" s="261">
        <v>2</v>
      </c>
      <c r="D429" s="259">
        <f>+$D421*C429</f>
        <v>0</v>
      </c>
    </row>
    <row r="430" spans="1:4" x14ac:dyDescent="0.2">
      <c r="B430" s="236">
        <v>0</v>
      </c>
    </row>
    <row r="431" spans="1:4" x14ac:dyDescent="0.2">
      <c r="B431" s="236">
        <v>0</v>
      </c>
    </row>
    <row r="432" spans="1:4" x14ac:dyDescent="0.2">
      <c r="A432" s="254">
        <v>1075531</v>
      </c>
      <c r="B432" s="255" t="s">
        <v>152</v>
      </c>
      <c r="C432" s="267"/>
      <c r="D432" s="257">
        <f>+C32</f>
        <v>0</v>
      </c>
    </row>
    <row r="433" spans="1:4" x14ac:dyDescent="0.2">
      <c r="A433" s="83" t="s">
        <v>569</v>
      </c>
      <c r="B433" s="261" t="s">
        <v>280</v>
      </c>
      <c r="C433" s="261">
        <v>1</v>
      </c>
      <c r="D433" s="259">
        <f>+$D432*C433</f>
        <v>0</v>
      </c>
    </row>
    <row r="434" spans="1:4" x14ac:dyDescent="0.2">
      <c r="A434" s="83" t="s">
        <v>569</v>
      </c>
      <c r="B434" s="261" t="s">
        <v>215</v>
      </c>
      <c r="C434" s="261">
        <v>2</v>
      </c>
      <c r="D434" s="259">
        <f>+$D432*C434</f>
        <v>0</v>
      </c>
    </row>
    <row r="435" spans="1:4" x14ac:dyDescent="0.2">
      <c r="A435" s="83" t="s">
        <v>569</v>
      </c>
      <c r="B435" s="261" t="s">
        <v>220</v>
      </c>
      <c r="C435" s="261">
        <v>8</v>
      </c>
      <c r="D435" s="259">
        <f>+$D432*C435</f>
        <v>0</v>
      </c>
    </row>
    <row r="436" spans="1:4" x14ac:dyDescent="0.2">
      <c r="A436" s="83" t="s">
        <v>569</v>
      </c>
      <c r="B436" s="261" t="s">
        <v>281</v>
      </c>
      <c r="C436" s="261">
        <v>0.7</v>
      </c>
      <c r="D436" s="259">
        <f>+$D432*C436</f>
        <v>0</v>
      </c>
    </row>
    <row r="437" spans="1:4" x14ac:dyDescent="0.2">
      <c r="A437" s="83" t="s">
        <v>569</v>
      </c>
      <c r="B437" s="261" t="s">
        <v>213</v>
      </c>
      <c r="C437" s="261">
        <v>2</v>
      </c>
      <c r="D437" s="259">
        <f>+$D432*C437</f>
        <v>0</v>
      </c>
    </row>
    <row r="438" spans="1:4" x14ac:dyDescent="0.2">
      <c r="A438" s="83" t="s">
        <v>569</v>
      </c>
      <c r="B438" s="261" t="s">
        <v>214</v>
      </c>
      <c r="C438" s="261">
        <v>2</v>
      </c>
      <c r="D438" s="259">
        <f>+$D432*C438</f>
        <v>0</v>
      </c>
    </row>
    <row r="439" spans="1:4" x14ac:dyDescent="0.2">
      <c r="A439" s="83" t="s">
        <v>569</v>
      </c>
      <c r="B439" s="261" t="s">
        <v>209</v>
      </c>
      <c r="C439" s="261">
        <v>2</v>
      </c>
      <c r="D439" s="259">
        <f>+$D432*C439</f>
        <v>0</v>
      </c>
    </row>
    <row r="440" spans="1:4" x14ac:dyDescent="0.2">
      <c r="B440" s="236">
        <v>0</v>
      </c>
      <c r="D440" s="237"/>
    </row>
    <row r="441" spans="1:4" x14ac:dyDescent="0.2">
      <c r="B441" s="236">
        <v>0</v>
      </c>
    </row>
    <row r="442" spans="1:4" x14ac:dyDescent="0.2">
      <c r="A442" s="254">
        <v>1075532</v>
      </c>
      <c r="B442" s="255" t="s">
        <v>153</v>
      </c>
      <c r="C442" s="267"/>
      <c r="D442" s="257">
        <f>+C33</f>
        <v>0</v>
      </c>
    </row>
    <row r="443" spans="1:4" x14ac:dyDescent="0.2">
      <c r="A443" s="83" t="s">
        <v>571</v>
      </c>
      <c r="B443" s="261" t="s">
        <v>264</v>
      </c>
      <c r="C443" s="261">
        <v>0.25</v>
      </c>
      <c r="D443" s="259">
        <f>+$D442*C443</f>
        <v>0</v>
      </c>
    </row>
    <row r="444" spans="1:4" x14ac:dyDescent="0.2">
      <c r="A444" s="83" t="s">
        <v>571</v>
      </c>
      <c r="B444" s="261" t="s">
        <v>215</v>
      </c>
      <c r="C444" s="261">
        <v>2</v>
      </c>
      <c r="D444" s="259">
        <f>+$D442*C444</f>
        <v>0</v>
      </c>
    </row>
    <row r="445" spans="1:4" x14ac:dyDescent="0.2">
      <c r="A445" s="83" t="s">
        <v>571</v>
      </c>
      <c r="B445" s="261" t="s">
        <v>247</v>
      </c>
      <c r="C445" s="261">
        <v>0.1</v>
      </c>
      <c r="D445" s="259">
        <f>+$D442*C445</f>
        <v>0</v>
      </c>
    </row>
    <row r="446" spans="1:4" x14ac:dyDescent="0.2">
      <c r="A446" s="83" t="s">
        <v>571</v>
      </c>
      <c r="B446" s="261" t="s">
        <v>209</v>
      </c>
      <c r="C446" s="261">
        <v>2</v>
      </c>
      <c r="D446" s="259">
        <f>+$D442*C446</f>
        <v>0</v>
      </c>
    </row>
    <row r="447" spans="1:4" x14ac:dyDescent="0.2">
      <c r="A447" s="83" t="s">
        <v>571</v>
      </c>
      <c r="B447" s="261" t="s">
        <v>203</v>
      </c>
      <c r="C447" s="262">
        <v>1</v>
      </c>
      <c r="D447" s="259">
        <f>+$D442*C447</f>
        <v>0</v>
      </c>
    </row>
    <row r="448" spans="1:4" x14ac:dyDescent="0.2">
      <c r="B448" s="236">
        <v>0</v>
      </c>
    </row>
    <row r="449" spans="1:4" x14ac:dyDescent="0.2">
      <c r="B449" s="236">
        <v>0</v>
      </c>
    </row>
    <row r="450" spans="1:4" x14ac:dyDescent="0.2">
      <c r="A450" s="254">
        <v>1075533</v>
      </c>
      <c r="B450" s="255" t="s">
        <v>155</v>
      </c>
      <c r="C450" s="267"/>
      <c r="D450" s="257">
        <f>+C34</f>
        <v>0</v>
      </c>
    </row>
    <row r="451" spans="1:4" x14ac:dyDescent="0.2">
      <c r="A451" s="83" t="s">
        <v>572</v>
      </c>
      <c r="B451" s="261" t="s">
        <v>202</v>
      </c>
      <c r="C451" s="261">
        <v>1</v>
      </c>
      <c r="D451" s="259">
        <f>+$D450*C451</f>
        <v>0</v>
      </c>
    </row>
    <row r="452" spans="1:4" x14ac:dyDescent="0.2">
      <c r="A452" s="83" t="s">
        <v>572</v>
      </c>
      <c r="B452" s="268" t="s">
        <v>264</v>
      </c>
      <c r="C452" s="261">
        <v>0.03</v>
      </c>
      <c r="D452" s="259">
        <f>+$D450*C452</f>
        <v>0</v>
      </c>
    </row>
    <row r="453" spans="1:4" x14ac:dyDescent="0.2">
      <c r="A453" s="83" t="s">
        <v>572</v>
      </c>
      <c r="B453" s="261" t="s">
        <v>215</v>
      </c>
      <c r="C453" s="261">
        <v>1</v>
      </c>
      <c r="D453" s="259">
        <f>+$D450*C453</f>
        <v>0</v>
      </c>
    </row>
    <row r="454" spans="1:4" x14ac:dyDescent="0.2">
      <c r="A454" s="83" t="s">
        <v>572</v>
      </c>
      <c r="B454" s="261" t="s">
        <v>265</v>
      </c>
      <c r="C454" s="261">
        <v>4</v>
      </c>
      <c r="D454" s="259">
        <f>+$D450*C454</f>
        <v>0</v>
      </c>
    </row>
    <row r="455" spans="1:4" x14ac:dyDescent="0.2">
      <c r="A455" s="83" t="s">
        <v>572</v>
      </c>
      <c r="B455" s="261" t="s">
        <v>272</v>
      </c>
      <c r="C455" s="261">
        <v>1.5</v>
      </c>
      <c r="D455" s="259">
        <f>+$D450*C455</f>
        <v>0</v>
      </c>
    </row>
    <row r="456" spans="1:4" x14ac:dyDescent="0.2">
      <c r="A456" s="83" t="s">
        <v>572</v>
      </c>
      <c r="B456" s="261" t="s">
        <v>273</v>
      </c>
      <c r="C456" s="261">
        <v>0.03</v>
      </c>
      <c r="D456" s="259">
        <f>+$D450*C456</f>
        <v>0</v>
      </c>
    </row>
    <row r="457" spans="1:4" x14ac:dyDescent="0.2">
      <c r="A457" s="83" t="s">
        <v>572</v>
      </c>
      <c r="B457" s="261" t="s">
        <v>570</v>
      </c>
      <c r="C457" s="261">
        <v>0.05</v>
      </c>
      <c r="D457" s="259">
        <f>+$D450*C457</f>
        <v>0</v>
      </c>
    </row>
    <row r="458" spans="1:4" x14ac:dyDescent="0.2">
      <c r="A458" s="83" t="s">
        <v>572</v>
      </c>
      <c r="B458" s="261" t="s">
        <v>214</v>
      </c>
      <c r="C458" s="261">
        <v>1</v>
      </c>
      <c r="D458" s="259">
        <f>+$D450*C458</f>
        <v>0</v>
      </c>
    </row>
    <row r="459" spans="1:4" x14ac:dyDescent="0.2">
      <c r="A459" s="83" t="s">
        <v>572</v>
      </c>
      <c r="B459" s="261" t="s">
        <v>209</v>
      </c>
      <c r="C459" s="261">
        <v>1</v>
      </c>
      <c r="D459" s="259">
        <f>+$D450*C459</f>
        <v>0</v>
      </c>
    </row>
    <row r="460" spans="1:4" x14ac:dyDescent="0.2">
      <c r="B460" s="236">
        <v>0</v>
      </c>
    </row>
    <row r="461" spans="1:4" x14ac:dyDescent="0.2">
      <c r="B461" s="236">
        <v>0</v>
      </c>
    </row>
    <row r="462" spans="1:4" x14ac:dyDescent="0.2">
      <c r="A462" s="254">
        <v>1075534</v>
      </c>
      <c r="B462" s="241" t="s">
        <v>156</v>
      </c>
      <c r="C462" s="267"/>
      <c r="D462" s="257">
        <f>+C35</f>
        <v>0</v>
      </c>
    </row>
    <row r="463" spans="1:4" x14ac:dyDescent="0.2">
      <c r="A463" s="83" t="s">
        <v>573</v>
      </c>
      <c r="B463" s="261" t="s">
        <v>259</v>
      </c>
      <c r="C463" s="261">
        <v>1</v>
      </c>
      <c r="D463" s="259">
        <f>+$D462*C463</f>
        <v>0</v>
      </c>
    </row>
    <row r="464" spans="1:4" x14ac:dyDescent="0.2">
      <c r="A464" s="83" t="s">
        <v>573</v>
      </c>
      <c r="B464" s="261" t="s">
        <v>278</v>
      </c>
      <c r="C464" s="261">
        <v>8</v>
      </c>
      <c r="D464" s="259">
        <f>+$D462*C464</f>
        <v>0</v>
      </c>
    </row>
    <row r="465" spans="1:4" x14ac:dyDescent="0.2">
      <c r="A465" s="83" t="s">
        <v>573</v>
      </c>
      <c r="B465" s="261" t="s">
        <v>263</v>
      </c>
      <c r="C465" s="261">
        <v>0.6</v>
      </c>
      <c r="D465" s="259">
        <f>+$D462*C465</f>
        <v>0</v>
      </c>
    </row>
    <row r="466" spans="1:4" x14ac:dyDescent="0.2">
      <c r="B466" s="236">
        <v>0</v>
      </c>
      <c r="D466" s="237"/>
    </row>
    <row r="467" spans="1:4" x14ac:dyDescent="0.2">
      <c r="B467" s="236">
        <v>0</v>
      </c>
      <c r="D467" s="237"/>
    </row>
    <row r="468" spans="1:4" x14ac:dyDescent="0.2">
      <c r="A468" s="254">
        <v>1120113</v>
      </c>
      <c r="B468" s="255" t="s">
        <v>157</v>
      </c>
      <c r="C468" s="267"/>
      <c r="D468" s="257">
        <f>+C36</f>
        <v>0</v>
      </c>
    </row>
    <row r="469" spans="1:4" x14ac:dyDescent="0.2">
      <c r="A469" s="83">
        <v>1120113</v>
      </c>
      <c r="B469" s="241" t="s">
        <v>157</v>
      </c>
      <c r="C469" s="237">
        <v>1</v>
      </c>
      <c r="D469" s="259">
        <f>+$D468*C469</f>
        <v>0</v>
      </c>
    </row>
    <row r="470" spans="1:4" x14ac:dyDescent="0.2">
      <c r="B470" s="241">
        <v>0</v>
      </c>
      <c r="D470" s="237"/>
    </row>
    <row r="471" spans="1:4" x14ac:dyDescent="0.2">
      <c r="B471" s="236">
        <v>0</v>
      </c>
      <c r="D471" s="237"/>
    </row>
    <row r="472" spans="1:4" x14ac:dyDescent="0.2">
      <c r="A472" s="254">
        <v>1075563</v>
      </c>
      <c r="B472" s="255" t="s">
        <v>158</v>
      </c>
      <c r="C472" s="267"/>
      <c r="D472" s="257">
        <f>+C37</f>
        <v>0</v>
      </c>
    </row>
    <row r="473" spans="1:4" x14ac:dyDescent="0.2">
      <c r="A473" s="83" t="s">
        <v>574</v>
      </c>
      <c r="B473" s="261" t="s">
        <v>266</v>
      </c>
      <c r="C473" s="261">
        <v>0.02</v>
      </c>
      <c r="D473" s="259">
        <f>+$D472*C473</f>
        <v>0</v>
      </c>
    </row>
    <row r="474" spans="1:4" x14ac:dyDescent="0.2">
      <c r="A474" s="83" t="s">
        <v>574</v>
      </c>
      <c r="B474" s="261" t="s">
        <v>263</v>
      </c>
      <c r="C474" s="261">
        <v>0.05</v>
      </c>
      <c r="D474" s="259">
        <f>+$D472*C474</f>
        <v>0</v>
      </c>
    </row>
    <row r="475" spans="1:4" x14ac:dyDescent="0.2">
      <c r="A475" s="83" t="s">
        <v>574</v>
      </c>
      <c r="B475" s="261" t="s">
        <v>269</v>
      </c>
      <c r="C475" s="261">
        <v>0.01</v>
      </c>
      <c r="D475" s="259">
        <f>+$D472*C475</f>
        <v>0</v>
      </c>
    </row>
    <row r="476" spans="1:4" x14ac:dyDescent="0.2">
      <c r="A476" s="83" t="s">
        <v>574</v>
      </c>
      <c r="B476" s="261" t="s">
        <v>158</v>
      </c>
      <c r="C476" s="261">
        <v>1</v>
      </c>
      <c r="D476" s="259">
        <f>+$D472*C476</f>
        <v>0</v>
      </c>
    </row>
    <row r="477" spans="1:4" x14ac:dyDescent="0.2">
      <c r="B477" s="236">
        <v>0</v>
      </c>
    </row>
    <row r="478" spans="1:4" x14ac:dyDescent="0.2">
      <c r="B478" s="236">
        <v>0</v>
      </c>
    </row>
    <row r="479" spans="1:4" x14ac:dyDescent="0.2">
      <c r="A479" s="254">
        <v>1075565</v>
      </c>
      <c r="B479" s="255" t="s">
        <v>159</v>
      </c>
      <c r="C479" s="267"/>
      <c r="D479" s="257">
        <f>+C38</f>
        <v>0</v>
      </c>
    </row>
    <row r="480" spans="1:4" x14ac:dyDescent="0.2">
      <c r="A480" s="83" t="s">
        <v>575</v>
      </c>
      <c r="B480" s="261" t="s">
        <v>289</v>
      </c>
      <c r="C480" s="261">
        <v>1</v>
      </c>
      <c r="D480" s="259">
        <f>+$D479*C480</f>
        <v>0</v>
      </c>
    </row>
    <row r="481" spans="1:4" x14ac:dyDescent="0.2">
      <c r="B481" s="236">
        <v>0</v>
      </c>
    </row>
    <row r="482" spans="1:4" x14ac:dyDescent="0.2">
      <c r="B482" s="236">
        <v>0</v>
      </c>
    </row>
    <row r="483" spans="1:4" x14ac:dyDescent="0.2">
      <c r="A483" s="254">
        <v>1075572</v>
      </c>
      <c r="B483" s="255" t="s">
        <v>160</v>
      </c>
      <c r="C483" s="267"/>
      <c r="D483" s="257">
        <f>+C39</f>
        <v>0</v>
      </c>
    </row>
    <row r="484" spans="1:4" x14ac:dyDescent="0.2">
      <c r="A484" s="83" t="s">
        <v>576</v>
      </c>
      <c r="B484" s="261" t="s">
        <v>287</v>
      </c>
      <c r="C484" s="261">
        <v>5</v>
      </c>
      <c r="D484" s="259">
        <f>+$D483*C484</f>
        <v>0</v>
      </c>
    </row>
    <row r="485" spans="1:4" x14ac:dyDescent="0.2">
      <c r="A485" s="83" t="s">
        <v>576</v>
      </c>
      <c r="B485" s="261" t="s">
        <v>290</v>
      </c>
      <c r="C485" s="261">
        <v>1.4</v>
      </c>
      <c r="D485" s="259">
        <f>+$D483*C485</f>
        <v>0</v>
      </c>
    </row>
    <row r="486" spans="1:4" x14ac:dyDescent="0.2">
      <c r="B486" s="236">
        <v>0</v>
      </c>
    </row>
    <row r="487" spans="1:4" x14ac:dyDescent="0.2">
      <c r="B487" s="236">
        <v>0</v>
      </c>
    </row>
    <row r="488" spans="1:4" x14ac:dyDescent="0.2">
      <c r="A488" s="254">
        <v>1075573</v>
      </c>
      <c r="B488" s="255" t="s">
        <v>161</v>
      </c>
      <c r="C488" s="267"/>
      <c r="D488" s="257">
        <f>+C40</f>
        <v>0</v>
      </c>
    </row>
    <row r="489" spans="1:4" x14ac:dyDescent="0.2">
      <c r="A489" s="83" t="s">
        <v>576</v>
      </c>
      <c r="B489" s="261" t="s">
        <v>287</v>
      </c>
      <c r="C489" s="261">
        <v>4</v>
      </c>
      <c r="D489" s="259">
        <f>+$D488*C489</f>
        <v>0</v>
      </c>
    </row>
    <row r="490" spans="1:4" x14ac:dyDescent="0.2">
      <c r="A490" s="83" t="s">
        <v>576</v>
      </c>
      <c r="B490" s="261" t="s">
        <v>290</v>
      </c>
      <c r="C490" s="261">
        <v>1.1499999999999999</v>
      </c>
      <c r="D490" s="259">
        <f>+$D488*C490</f>
        <v>0</v>
      </c>
    </row>
    <row r="491" spans="1:4" x14ac:dyDescent="0.2">
      <c r="B491" s="236">
        <v>0</v>
      </c>
    </row>
    <row r="492" spans="1:4" x14ac:dyDescent="0.2">
      <c r="B492" s="236">
        <v>0</v>
      </c>
    </row>
    <row r="493" spans="1:4" x14ac:dyDescent="0.2">
      <c r="A493" s="254">
        <v>1075574</v>
      </c>
      <c r="B493" s="255" t="s">
        <v>162</v>
      </c>
      <c r="C493" s="267"/>
      <c r="D493" s="257">
        <f>+C41</f>
        <v>0</v>
      </c>
    </row>
    <row r="494" spans="1:4" x14ac:dyDescent="0.2">
      <c r="A494" s="83" t="s">
        <v>576</v>
      </c>
      <c r="B494" s="261" t="s">
        <v>287</v>
      </c>
      <c r="C494" s="261">
        <v>4</v>
      </c>
      <c r="D494" s="259">
        <f>+$D493*C494</f>
        <v>0</v>
      </c>
    </row>
    <row r="495" spans="1:4" x14ac:dyDescent="0.2">
      <c r="A495" s="83" t="s">
        <v>576</v>
      </c>
      <c r="B495" s="261" t="s">
        <v>290</v>
      </c>
      <c r="C495" s="261">
        <v>0.4</v>
      </c>
      <c r="D495" s="259">
        <f>+$D493*C495</f>
        <v>0</v>
      </c>
    </row>
    <row r="496" spans="1:4" x14ac:dyDescent="0.2">
      <c r="B496" s="236">
        <v>0</v>
      </c>
    </row>
    <row r="497" spans="1:4" x14ac:dyDescent="0.2">
      <c r="B497" s="236">
        <v>0</v>
      </c>
    </row>
    <row r="498" spans="1:4" x14ac:dyDescent="0.2">
      <c r="A498" s="254">
        <v>1075575</v>
      </c>
      <c r="B498" s="255" t="s">
        <v>163</v>
      </c>
      <c r="C498" s="267"/>
      <c r="D498" s="257">
        <f>+C42</f>
        <v>0</v>
      </c>
    </row>
    <row r="499" spans="1:4" x14ac:dyDescent="0.2">
      <c r="A499" s="83" t="s">
        <v>576</v>
      </c>
      <c r="B499" s="261" t="s">
        <v>290</v>
      </c>
      <c r="C499" s="261">
        <v>0.3</v>
      </c>
      <c r="D499" s="259">
        <f>+$D498*C499</f>
        <v>0</v>
      </c>
    </row>
    <row r="500" spans="1:4" x14ac:dyDescent="0.2">
      <c r="A500" s="83" t="s">
        <v>576</v>
      </c>
      <c r="B500" s="261" t="s">
        <v>291</v>
      </c>
      <c r="C500" s="261">
        <v>0.8</v>
      </c>
      <c r="D500" s="259">
        <f>+$D498*C500</f>
        <v>0</v>
      </c>
    </row>
    <row r="501" spans="1:4" x14ac:dyDescent="0.2">
      <c r="A501" s="83" t="s">
        <v>576</v>
      </c>
      <c r="B501" s="261" t="s">
        <v>288</v>
      </c>
      <c r="C501" s="261">
        <v>14</v>
      </c>
      <c r="D501" s="259">
        <f>+$D498*C501</f>
        <v>0</v>
      </c>
    </row>
    <row r="502" spans="1:4" x14ac:dyDescent="0.2">
      <c r="B502" s="236">
        <v>0</v>
      </c>
    </row>
    <row r="503" spans="1:4" x14ac:dyDescent="0.2">
      <c r="B503" s="236">
        <v>0</v>
      </c>
    </row>
    <row r="504" spans="1:4" x14ac:dyDescent="0.2">
      <c r="A504" s="254">
        <v>1075576</v>
      </c>
      <c r="B504" s="255" t="s">
        <v>164</v>
      </c>
      <c r="C504" s="267"/>
      <c r="D504" s="257">
        <f>+C43</f>
        <v>0</v>
      </c>
    </row>
    <row r="505" spans="1:4" x14ac:dyDescent="0.2">
      <c r="A505" s="83" t="s">
        <v>576</v>
      </c>
      <c r="B505" s="261" t="s">
        <v>287</v>
      </c>
      <c r="C505" s="261">
        <v>4</v>
      </c>
      <c r="D505" s="259">
        <f>+$D504*C505</f>
        <v>0</v>
      </c>
    </row>
    <row r="506" spans="1:4" x14ac:dyDescent="0.2">
      <c r="A506" s="83" t="s">
        <v>576</v>
      </c>
      <c r="B506" s="261" t="s">
        <v>290</v>
      </c>
      <c r="C506" s="261">
        <v>0.7</v>
      </c>
      <c r="D506" s="259">
        <f>+$D504*C506</f>
        <v>0</v>
      </c>
    </row>
    <row r="507" spans="1:4" x14ac:dyDescent="0.2">
      <c r="A507" s="83" t="s">
        <v>576</v>
      </c>
      <c r="B507" s="261" t="s">
        <v>276</v>
      </c>
      <c r="C507" s="261">
        <v>2</v>
      </c>
      <c r="D507" s="259">
        <f>+$D504*C507</f>
        <v>0</v>
      </c>
    </row>
    <row r="508" spans="1:4" x14ac:dyDescent="0.2">
      <c r="A508" s="83" t="s">
        <v>576</v>
      </c>
      <c r="B508" s="261" t="s">
        <v>291</v>
      </c>
      <c r="C508" s="261">
        <v>1.8</v>
      </c>
      <c r="D508" s="259">
        <f>+$D504*C508</f>
        <v>0</v>
      </c>
    </row>
    <row r="509" spans="1:4" x14ac:dyDescent="0.2">
      <c r="A509" s="83" t="s">
        <v>576</v>
      </c>
      <c r="B509" s="261" t="s">
        <v>288</v>
      </c>
      <c r="C509" s="261">
        <v>40</v>
      </c>
      <c r="D509" s="259">
        <f>+$D504*C509</f>
        <v>0</v>
      </c>
    </row>
    <row r="510" spans="1:4" x14ac:dyDescent="0.2">
      <c r="A510" s="83" t="s">
        <v>576</v>
      </c>
      <c r="B510" s="261" t="s">
        <v>286</v>
      </c>
      <c r="C510" s="261">
        <v>1</v>
      </c>
      <c r="D510" s="259">
        <f>+$D504*C510</f>
        <v>0</v>
      </c>
    </row>
    <row r="511" spans="1:4" x14ac:dyDescent="0.2">
      <c r="B511" s="236">
        <v>0</v>
      </c>
    </row>
    <row r="512" spans="1:4" x14ac:dyDescent="0.2">
      <c r="B512" s="236">
        <v>0</v>
      </c>
    </row>
    <row r="513" spans="1:4" x14ac:dyDescent="0.2">
      <c r="A513" s="254">
        <v>1075577</v>
      </c>
      <c r="B513" s="255" t="s">
        <v>165</v>
      </c>
      <c r="C513" s="267"/>
      <c r="D513" s="257">
        <f>+C44</f>
        <v>0</v>
      </c>
    </row>
    <row r="514" spans="1:4" x14ac:dyDescent="0.2">
      <c r="A514" s="83" t="s">
        <v>577</v>
      </c>
      <c r="B514" s="261" t="s">
        <v>578</v>
      </c>
      <c r="C514" s="261">
        <v>2</v>
      </c>
      <c r="D514" s="259">
        <f>+$D513*C514</f>
        <v>0</v>
      </c>
    </row>
    <row r="515" spans="1:4" x14ac:dyDescent="0.2">
      <c r="B515" s="236">
        <v>0</v>
      </c>
    </row>
    <row r="516" spans="1:4" x14ac:dyDescent="0.2">
      <c r="B516" s="236">
        <v>0</v>
      </c>
    </row>
    <row r="517" spans="1:4" x14ac:dyDescent="0.2">
      <c r="A517" s="254">
        <v>1075592</v>
      </c>
      <c r="B517" s="255" t="s">
        <v>166</v>
      </c>
      <c r="C517" s="267"/>
      <c r="D517" s="257">
        <f>+C45</f>
        <v>0</v>
      </c>
    </row>
    <row r="518" spans="1:4" x14ac:dyDescent="0.2">
      <c r="A518" s="83" t="s">
        <v>579</v>
      </c>
      <c r="B518" s="261" t="s">
        <v>275</v>
      </c>
      <c r="C518" s="261">
        <v>4</v>
      </c>
      <c r="D518" s="259">
        <f>+$D517*C518</f>
        <v>0</v>
      </c>
    </row>
    <row r="519" spans="1:4" x14ac:dyDescent="0.2">
      <c r="A519" s="83" t="s">
        <v>579</v>
      </c>
      <c r="B519" s="241" t="s">
        <v>204</v>
      </c>
      <c r="C519" s="261">
        <v>1</v>
      </c>
      <c r="D519" s="259">
        <f>+$D517*C519</f>
        <v>0</v>
      </c>
    </row>
    <row r="520" spans="1:4" x14ac:dyDescent="0.2">
      <c r="A520" s="83" t="s">
        <v>579</v>
      </c>
      <c r="B520" s="261" t="s">
        <v>267</v>
      </c>
      <c r="C520" s="261">
        <v>0.17</v>
      </c>
      <c r="D520" s="259">
        <f>+$D517*C520</f>
        <v>0</v>
      </c>
    </row>
    <row r="521" spans="1:4" x14ac:dyDescent="0.2">
      <c r="B521" s="236">
        <v>0</v>
      </c>
    </row>
    <row r="522" spans="1:4" x14ac:dyDescent="0.2">
      <c r="B522" s="236">
        <v>0</v>
      </c>
    </row>
    <row r="523" spans="1:4" x14ac:dyDescent="0.2">
      <c r="A523" s="254">
        <v>1075593</v>
      </c>
      <c r="B523" s="255" t="s">
        <v>167</v>
      </c>
      <c r="C523" s="267"/>
      <c r="D523" s="257">
        <f>+C46</f>
        <v>0</v>
      </c>
    </row>
    <row r="524" spans="1:4" x14ac:dyDescent="0.2">
      <c r="A524" s="83" t="s">
        <v>579</v>
      </c>
      <c r="B524" s="261" t="s">
        <v>275</v>
      </c>
      <c r="C524" s="261">
        <v>4</v>
      </c>
      <c r="D524" s="259">
        <f>+$D523*C524</f>
        <v>0</v>
      </c>
    </row>
    <row r="525" spans="1:4" x14ac:dyDescent="0.2">
      <c r="A525" s="83" t="s">
        <v>579</v>
      </c>
      <c r="B525" s="241" t="s">
        <v>205</v>
      </c>
      <c r="C525" s="261">
        <v>1</v>
      </c>
      <c r="D525" s="259">
        <f>+$D523*C525</f>
        <v>0</v>
      </c>
    </row>
    <row r="526" spans="1:4" x14ac:dyDescent="0.2">
      <c r="A526" s="83" t="s">
        <v>579</v>
      </c>
      <c r="B526" s="261" t="s">
        <v>267</v>
      </c>
      <c r="C526" s="261">
        <v>0.14000000000000001</v>
      </c>
      <c r="D526" s="259">
        <f>+$D523*C526</f>
        <v>0</v>
      </c>
    </row>
    <row r="527" spans="1:4" x14ac:dyDescent="0.2">
      <c r="B527" s="236">
        <v>0</v>
      </c>
    </row>
    <row r="528" spans="1:4" x14ac:dyDescent="0.2">
      <c r="B528" s="236">
        <v>0</v>
      </c>
    </row>
    <row r="529" spans="1:4" x14ac:dyDescent="0.2">
      <c r="A529" s="254">
        <v>1075594</v>
      </c>
      <c r="B529" s="255" t="s">
        <v>168</v>
      </c>
      <c r="C529" s="267"/>
      <c r="D529" s="257">
        <f>+C47</f>
        <v>0</v>
      </c>
    </row>
    <row r="530" spans="1:4" x14ac:dyDescent="0.2">
      <c r="A530" s="83" t="s">
        <v>579</v>
      </c>
      <c r="B530" s="261" t="s">
        <v>275</v>
      </c>
      <c r="C530" s="261">
        <v>4</v>
      </c>
      <c r="D530" s="259">
        <f>+$D529*C530</f>
        <v>0</v>
      </c>
    </row>
    <row r="531" spans="1:4" x14ac:dyDescent="0.2">
      <c r="A531" s="83" t="s">
        <v>579</v>
      </c>
      <c r="B531" s="241" t="s">
        <v>206</v>
      </c>
      <c r="C531" s="261">
        <v>1</v>
      </c>
      <c r="D531" s="259">
        <f>+$D529*C531</f>
        <v>0</v>
      </c>
    </row>
    <row r="532" spans="1:4" x14ac:dyDescent="0.2">
      <c r="A532" s="83" t="s">
        <v>579</v>
      </c>
      <c r="B532" s="261" t="s">
        <v>267</v>
      </c>
      <c r="C532" s="261">
        <v>0.08</v>
      </c>
      <c r="D532" s="259">
        <f>+$D529*C532</f>
        <v>0</v>
      </c>
    </row>
    <row r="533" spans="1:4" x14ac:dyDescent="0.2">
      <c r="B533" s="236">
        <v>0</v>
      </c>
    </row>
    <row r="534" spans="1:4" x14ac:dyDescent="0.2">
      <c r="B534" s="236">
        <v>0</v>
      </c>
    </row>
    <row r="535" spans="1:4" x14ac:dyDescent="0.2">
      <c r="A535" s="254">
        <v>1099915</v>
      </c>
      <c r="B535" s="255" t="s">
        <v>169</v>
      </c>
      <c r="C535" s="267"/>
      <c r="D535" s="257">
        <f>+C48</f>
        <v>0</v>
      </c>
    </row>
    <row r="536" spans="1:4" x14ac:dyDescent="0.2">
      <c r="A536" s="83">
        <v>1099915</v>
      </c>
      <c r="B536" s="241" t="s">
        <v>169</v>
      </c>
      <c r="C536" s="237">
        <v>1</v>
      </c>
      <c r="D536" s="259">
        <f>+$D535*C536</f>
        <v>0</v>
      </c>
    </row>
    <row r="537" spans="1:4" x14ac:dyDescent="0.2">
      <c r="B537" s="236">
        <v>0</v>
      </c>
    </row>
    <row r="538" spans="1:4" x14ac:dyDescent="0.2">
      <c r="B538" s="236">
        <v>0</v>
      </c>
    </row>
    <row r="539" spans="1:4" x14ac:dyDescent="0.2">
      <c r="A539" s="254">
        <v>1075558</v>
      </c>
      <c r="B539" s="255" t="s">
        <v>170</v>
      </c>
      <c r="C539" s="267"/>
      <c r="D539" s="257">
        <f>+C49</f>
        <v>0</v>
      </c>
    </row>
    <row r="540" spans="1:4" x14ac:dyDescent="0.2">
      <c r="A540" s="83" t="s">
        <v>580</v>
      </c>
      <c r="B540" s="255" t="s">
        <v>194</v>
      </c>
      <c r="C540" s="261">
        <v>1</v>
      </c>
      <c r="D540" s="259">
        <f>+$D539*C540</f>
        <v>0</v>
      </c>
    </row>
    <row r="541" spans="1:4" x14ac:dyDescent="0.2">
      <c r="A541" s="83" t="s">
        <v>580</v>
      </c>
      <c r="B541" s="255" t="s">
        <v>260</v>
      </c>
      <c r="C541" s="261">
        <v>1</v>
      </c>
      <c r="D541" s="259">
        <f>+$D539*C541</f>
        <v>0</v>
      </c>
    </row>
    <row r="542" spans="1:4" x14ac:dyDescent="0.2">
      <c r="A542" s="83" t="s">
        <v>580</v>
      </c>
      <c r="B542" s="269" t="s">
        <v>196</v>
      </c>
      <c r="C542" s="261">
        <v>1</v>
      </c>
      <c r="D542" s="259">
        <f>+$D539*C542</f>
        <v>0</v>
      </c>
    </row>
    <row r="543" spans="1:4" x14ac:dyDescent="0.2">
      <c r="A543" s="83" t="s">
        <v>580</v>
      </c>
      <c r="B543" s="250" t="s">
        <v>197</v>
      </c>
      <c r="C543" s="261">
        <v>1</v>
      </c>
      <c r="D543" s="259">
        <f>+$D539*C543</f>
        <v>0</v>
      </c>
    </row>
    <row r="544" spans="1:4" x14ac:dyDescent="0.2">
      <c r="A544" s="83" t="s">
        <v>580</v>
      </c>
      <c r="B544" s="261" t="s">
        <v>215</v>
      </c>
      <c r="C544" s="261">
        <v>2</v>
      </c>
      <c r="D544" s="259">
        <f>+$D539*C544</f>
        <v>0</v>
      </c>
    </row>
    <row r="545" spans="1:4" x14ac:dyDescent="0.2">
      <c r="A545" s="83" t="s">
        <v>580</v>
      </c>
      <c r="B545" s="261" t="s">
        <v>276</v>
      </c>
      <c r="C545" s="261">
        <v>4</v>
      </c>
      <c r="D545" s="259">
        <f>+$D539*C545</f>
        <v>0</v>
      </c>
    </row>
    <row r="546" spans="1:4" x14ac:dyDescent="0.2">
      <c r="A546" s="83" t="s">
        <v>580</v>
      </c>
      <c r="B546" s="261" t="s">
        <v>271</v>
      </c>
      <c r="C546" s="261">
        <v>22</v>
      </c>
      <c r="D546" s="259">
        <f>+$D539*C546</f>
        <v>0</v>
      </c>
    </row>
    <row r="547" spans="1:4" x14ac:dyDescent="0.2">
      <c r="A547" s="83" t="s">
        <v>580</v>
      </c>
      <c r="B547" s="261" t="s">
        <v>274</v>
      </c>
      <c r="C547" s="261">
        <v>2</v>
      </c>
      <c r="D547" s="259">
        <f>+$D539*C547</f>
        <v>0</v>
      </c>
    </row>
    <row r="548" spans="1:4" x14ac:dyDescent="0.2">
      <c r="A548" s="83" t="s">
        <v>580</v>
      </c>
      <c r="B548" s="261" t="s">
        <v>570</v>
      </c>
      <c r="C548" s="261">
        <v>0.04</v>
      </c>
      <c r="D548" s="259">
        <f>+$D539*C548</f>
        <v>0</v>
      </c>
    </row>
    <row r="549" spans="1:4" x14ac:dyDescent="0.2">
      <c r="A549" s="83" t="s">
        <v>580</v>
      </c>
      <c r="B549" s="261" t="s">
        <v>214</v>
      </c>
      <c r="C549" s="261">
        <v>2</v>
      </c>
      <c r="D549" s="259">
        <f>+$D539*C549</f>
        <v>0</v>
      </c>
    </row>
    <row r="550" spans="1:4" x14ac:dyDescent="0.2">
      <c r="A550" s="83" t="s">
        <v>580</v>
      </c>
      <c r="B550" s="261" t="s">
        <v>209</v>
      </c>
      <c r="C550" s="261">
        <v>2</v>
      </c>
      <c r="D550" s="259">
        <f>+$D539*C550</f>
        <v>0</v>
      </c>
    </row>
    <row r="551" spans="1:4" x14ac:dyDescent="0.2">
      <c r="B551" s="236">
        <v>0</v>
      </c>
    </row>
    <row r="552" spans="1:4" x14ac:dyDescent="0.2">
      <c r="B552" s="236">
        <v>0</v>
      </c>
    </row>
    <row r="553" spans="1:4" x14ac:dyDescent="0.2">
      <c r="A553" s="254">
        <v>1075535</v>
      </c>
      <c r="B553" s="255" t="s">
        <v>171</v>
      </c>
      <c r="C553" s="267"/>
      <c r="D553" s="257">
        <f>+C50+D115+D167+D219+D270+D307</f>
        <v>0</v>
      </c>
    </row>
    <row r="554" spans="1:4" x14ac:dyDescent="0.2">
      <c r="A554" s="83" t="s">
        <v>581</v>
      </c>
      <c r="B554" s="261" t="s">
        <v>252</v>
      </c>
      <c r="C554" s="261">
        <v>3.3</v>
      </c>
      <c r="D554" s="259">
        <f>+$D553*C554</f>
        <v>0</v>
      </c>
    </row>
    <row r="555" spans="1:4" x14ac:dyDescent="0.2">
      <c r="A555" s="83" t="s">
        <v>581</v>
      </c>
      <c r="B555" s="261" t="s">
        <v>256</v>
      </c>
      <c r="C555" s="261">
        <v>4</v>
      </c>
      <c r="D555" s="259">
        <f>+$D553*C555</f>
        <v>0</v>
      </c>
    </row>
    <row r="556" spans="1:4" x14ac:dyDescent="0.2">
      <c r="A556" s="83" t="s">
        <v>581</v>
      </c>
      <c r="B556" s="261" t="s">
        <v>217</v>
      </c>
      <c r="C556" s="261">
        <v>4</v>
      </c>
      <c r="D556" s="259">
        <f>+$D553*C556</f>
        <v>0</v>
      </c>
    </row>
    <row r="557" spans="1:4" x14ac:dyDescent="0.2">
      <c r="A557" s="83" t="s">
        <v>581</v>
      </c>
      <c r="B557" s="261" t="s">
        <v>253</v>
      </c>
      <c r="C557" s="261">
        <v>0.17</v>
      </c>
      <c r="D557" s="259">
        <f>+$D553*C557</f>
        <v>0</v>
      </c>
    </row>
    <row r="558" spans="1:4" x14ac:dyDescent="0.2">
      <c r="B558" s="236">
        <v>0</v>
      </c>
      <c r="D558" s="237"/>
    </row>
    <row r="559" spans="1:4" x14ac:dyDescent="0.2">
      <c r="B559" s="236">
        <v>0</v>
      </c>
      <c r="D559" s="237"/>
    </row>
    <row r="560" spans="1:4" x14ac:dyDescent="0.2">
      <c r="A560" s="254">
        <v>1075536</v>
      </c>
      <c r="B560" s="255" t="s">
        <v>172</v>
      </c>
      <c r="C560" s="267"/>
      <c r="D560" s="257">
        <f>+C51+D123+D175+D227+D276+D315</f>
        <v>0</v>
      </c>
    </row>
    <row r="561" spans="1:4" x14ac:dyDescent="0.2">
      <c r="A561" s="83" t="s">
        <v>581</v>
      </c>
      <c r="B561" s="261" t="s">
        <v>252</v>
      </c>
      <c r="C561" s="261">
        <v>2.8</v>
      </c>
      <c r="D561" s="259">
        <f>+$D560*C561</f>
        <v>0</v>
      </c>
    </row>
    <row r="562" spans="1:4" x14ac:dyDescent="0.2">
      <c r="A562" s="83" t="s">
        <v>581</v>
      </c>
      <c r="B562" s="261" t="s">
        <v>256</v>
      </c>
      <c r="C562" s="261">
        <v>4</v>
      </c>
      <c r="D562" s="259">
        <f>+$D560*C562</f>
        <v>0</v>
      </c>
    </row>
    <row r="563" spans="1:4" x14ac:dyDescent="0.2">
      <c r="A563" s="83" t="s">
        <v>581</v>
      </c>
      <c r="B563" s="261" t="s">
        <v>217</v>
      </c>
      <c r="C563" s="261">
        <v>4</v>
      </c>
      <c r="D563" s="259">
        <f>+$D560*C563</f>
        <v>0</v>
      </c>
    </row>
    <row r="564" spans="1:4" x14ac:dyDescent="0.2">
      <c r="A564" s="83" t="s">
        <v>581</v>
      </c>
      <c r="B564" s="261" t="s">
        <v>253</v>
      </c>
      <c r="C564" s="261">
        <v>0.15</v>
      </c>
      <c r="D564" s="259">
        <f>+$D560*C564</f>
        <v>0</v>
      </c>
    </row>
    <row r="565" spans="1:4" x14ac:dyDescent="0.2">
      <c r="B565" s="236">
        <v>0</v>
      </c>
    </row>
    <row r="566" spans="1:4" x14ac:dyDescent="0.2">
      <c r="B566" s="236">
        <v>0</v>
      </c>
    </row>
    <row r="567" spans="1:4" x14ac:dyDescent="0.2">
      <c r="A567" s="254">
        <v>1075537</v>
      </c>
      <c r="B567" s="255" t="s">
        <v>173</v>
      </c>
      <c r="C567" s="267"/>
      <c r="D567" s="257">
        <f>+C52+D130+D137+D144+D182+D189+D196+D234+D241+D248+D282+D324+D333</f>
        <v>0</v>
      </c>
    </row>
    <row r="568" spans="1:4" x14ac:dyDescent="0.2">
      <c r="A568" s="83" t="s">
        <v>581</v>
      </c>
      <c r="B568" s="261" t="s">
        <v>252</v>
      </c>
      <c r="C568" s="261">
        <v>1.9</v>
      </c>
      <c r="D568" s="259">
        <f>+$D567*C568</f>
        <v>0</v>
      </c>
    </row>
    <row r="569" spans="1:4" x14ac:dyDescent="0.2">
      <c r="A569" s="83" t="s">
        <v>581</v>
      </c>
      <c r="B569" s="261" t="s">
        <v>256</v>
      </c>
      <c r="C569" s="261">
        <v>4</v>
      </c>
      <c r="D569" s="259">
        <f>+$D567*C569</f>
        <v>0</v>
      </c>
    </row>
    <row r="570" spans="1:4" x14ac:dyDescent="0.2">
      <c r="A570" s="83" t="s">
        <v>581</v>
      </c>
      <c r="B570" s="261" t="s">
        <v>217</v>
      </c>
      <c r="C570" s="261">
        <v>4</v>
      </c>
      <c r="D570" s="259">
        <f>+$D567*C570</f>
        <v>0</v>
      </c>
    </row>
    <row r="571" spans="1:4" x14ac:dyDescent="0.2">
      <c r="A571" s="83" t="s">
        <v>581</v>
      </c>
      <c r="B571" s="261" t="s">
        <v>253</v>
      </c>
      <c r="C571" s="261">
        <v>0.09</v>
      </c>
      <c r="D571" s="259">
        <f>+$D567*C571</f>
        <v>0</v>
      </c>
    </row>
    <row r="572" spans="1:4" x14ac:dyDescent="0.2">
      <c r="B572" s="236">
        <v>0</v>
      </c>
    </row>
    <row r="573" spans="1:4" x14ac:dyDescent="0.2">
      <c r="B573" s="236">
        <v>0</v>
      </c>
    </row>
    <row r="574" spans="1:4" x14ac:dyDescent="0.2">
      <c r="A574" s="254">
        <v>1075538</v>
      </c>
      <c r="B574" s="255" t="s">
        <v>174</v>
      </c>
      <c r="C574" s="267"/>
      <c r="D574" s="257">
        <f>+C53+D114+D122+D129+D136+D143+D166+D174+D181+D188+D195+D218+D226+D233+D240+D247+D271+D277+D283+D303+D316+D325+D334</f>
        <v>0</v>
      </c>
    </row>
    <row r="575" spans="1:4" x14ac:dyDescent="0.2">
      <c r="A575" s="83" t="s">
        <v>582</v>
      </c>
      <c r="B575" s="261" t="s">
        <v>583</v>
      </c>
      <c r="C575" s="261">
        <v>2</v>
      </c>
      <c r="D575" s="259">
        <f>+$D574*C575</f>
        <v>0</v>
      </c>
    </row>
    <row r="576" spans="1:4" x14ac:dyDescent="0.2">
      <c r="A576" s="83" t="s">
        <v>582</v>
      </c>
      <c r="B576" s="261" t="s">
        <v>219</v>
      </c>
      <c r="C576" s="261">
        <v>4</v>
      </c>
      <c r="D576" s="259">
        <f>+$D574*C576</f>
        <v>0</v>
      </c>
    </row>
    <row r="577" spans="1:4" x14ac:dyDescent="0.2">
      <c r="A577" s="83" t="s">
        <v>582</v>
      </c>
      <c r="B577" s="261" t="s">
        <v>216</v>
      </c>
      <c r="C577" s="261">
        <v>4</v>
      </c>
      <c r="D577" s="259">
        <f>+$D574*C577</f>
        <v>0</v>
      </c>
    </row>
    <row r="578" spans="1:4" x14ac:dyDescent="0.2">
      <c r="A578" s="83" t="s">
        <v>582</v>
      </c>
      <c r="B578" s="261" t="s">
        <v>248</v>
      </c>
      <c r="C578" s="261">
        <v>4</v>
      </c>
      <c r="D578" s="259">
        <f>+$D574*C578</f>
        <v>0</v>
      </c>
    </row>
    <row r="579" spans="1:4" x14ac:dyDescent="0.2">
      <c r="B579" s="236">
        <v>0</v>
      </c>
    </row>
    <row r="580" spans="1:4" x14ac:dyDescent="0.2">
      <c r="B580" s="236">
        <v>0</v>
      </c>
    </row>
    <row r="581" spans="1:4" x14ac:dyDescent="0.2">
      <c r="A581" s="254">
        <v>1075539</v>
      </c>
      <c r="B581" s="255" t="s">
        <v>175</v>
      </c>
      <c r="C581" s="267"/>
      <c r="D581" s="257">
        <f>+C54+D116+D168+D220+D302</f>
        <v>0</v>
      </c>
    </row>
    <row r="582" spans="1:4" x14ac:dyDescent="0.2">
      <c r="A582" s="83" t="s">
        <v>584</v>
      </c>
      <c r="B582" s="261" t="s">
        <v>240</v>
      </c>
      <c r="C582" s="261">
        <v>1</v>
      </c>
      <c r="D582" s="259">
        <f>+$D581*C582</f>
        <v>0</v>
      </c>
    </row>
    <row r="583" spans="1:4" x14ac:dyDescent="0.2">
      <c r="A583" s="83" t="s">
        <v>584</v>
      </c>
      <c r="B583" s="261" t="s">
        <v>241</v>
      </c>
      <c r="C583" s="261">
        <v>0.4</v>
      </c>
      <c r="D583" s="259">
        <f>+$D581*C583</f>
        <v>0</v>
      </c>
    </row>
    <row r="584" spans="1:4" x14ac:dyDescent="0.2">
      <c r="B584" s="236">
        <v>0</v>
      </c>
      <c r="D584" s="237"/>
    </row>
    <row r="585" spans="1:4" x14ac:dyDescent="0.2">
      <c r="B585" s="236">
        <v>0</v>
      </c>
      <c r="D585" s="237"/>
    </row>
    <row r="586" spans="1:4" x14ac:dyDescent="0.2">
      <c r="A586" s="254">
        <v>1075540</v>
      </c>
      <c r="B586" s="255" t="s">
        <v>176</v>
      </c>
      <c r="C586" s="267"/>
      <c r="D586" s="257">
        <f>+C55+D117</f>
        <v>0</v>
      </c>
    </row>
    <row r="587" spans="1:4" x14ac:dyDescent="0.2">
      <c r="A587" s="83" t="s">
        <v>585</v>
      </c>
      <c r="B587" s="261" t="s">
        <v>246</v>
      </c>
      <c r="C587" s="261">
        <v>5</v>
      </c>
      <c r="D587" s="259">
        <f>+$D586*C587</f>
        <v>0</v>
      </c>
    </row>
    <row r="588" spans="1:4" x14ac:dyDescent="0.2">
      <c r="A588" s="83" t="s">
        <v>585</v>
      </c>
      <c r="B588" s="261" t="s">
        <v>243</v>
      </c>
      <c r="C588" s="261">
        <v>4</v>
      </c>
      <c r="D588" s="259">
        <f>+$D586*C588</f>
        <v>0</v>
      </c>
    </row>
    <row r="589" spans="1:4" x14ac:dyDescent="0.2">
      <c r="A589" s="83" t="s">
        <v>585</v>
      </c>
      <c r="B589" s="261" t="s">
        <v>244</v>
      </c>
      <c r="C589" s="261">
        <v>4</v>
      </c>
      <c r="D589" s="259">
        <f>+$D586*C589</f>
        <v>0</v>
      </c>
    </row>
    <row r="590" spans="1:4" x14ac:dyDescent="0.2">
      <c r="A590" s="83" t="s">
        <v>585</v>
      </c>
      <c r="B590" s="261" t="s">
        <v>245</v>
      </c>
      <c r="C590" s="261">
        <v>0.38</v>
      </c>
      <c r="D590" s="259">
        <f>+$D586*C590</f>
        <v>0</v>
      </c>
    </row>
    <row r="591" spans="1:4" x14ac:dyDescent="0.2">
      <c r="B591" s="236">
        <v>0</v>
      </c>
    </row>
    <row r="592" spans="1:4" x14ac:dyDescent="0.2">
      <c r="B592" s="236">
        <v>0</v>
      </c>
    </row>
    <row r="593" spans="1:4" x14ac:dyDescent="0.2">
      <c r="A593" s="254">
        <v>1075541</v>
      </c>
      <c r="B593" s="255" t="s">
        <v>177</v>
      </c>
      <c r="C593" s="267"/>
      <c r="D593" s="257">
        <f>+C56+D124</f>
        <v>0</v>
      </c>
    </row>
    <row r="594" spans="1:4" x14ac:dyDescent="0.2">
      <c r="A594" s="83" t="s">
        <v>585</v>
      </c>
      <c r="B594" s="261" t="s">
        <v>246</v>
      </c>
      <c r="C594" s="261">
        <v>4.3</v>
      </c>
      <c r="D594" s="259">
        <f>+$D593*C594</f>
        <v>0</v>
      </c>
    </row>
    <row r="595" spans="1:4" x14ac:dyDescent="0.2">
      <c r="A595" s="83" t="s">
        <v>585</v>
      </c>
      <c r="B595" s="261" t="s">
        <v>243</v>
      </c>
      <c r="C595" s="261">
        <v>4</v>
      </c>
      <c r="D595" s="259">
        <f>+$D593*C595</f>
        <v>0</v>
      </c>
    </row>
    <row r="596" spans="1:4" x14ac:dyDescent="0.2">
      <c r="A596" s="83" t="s">
        <v>585</v>
      </c>
      <c r="B596" s="261" t="s">
        <v>244</v>
      </c>
      <c r="C596" s="261">
        <v>4</v>
      </c>
      <c r="D596" s="259">
        <f>+$D593*C596</f>
        <v>0</v>
      </c>
    </row>
    <row r="597" spans="1:4" x14ac:dyDescent="0.2">
      <c r="A597" s="83" t="s">
        <v>585</v>
      </c>
      <c r="B597" s="261" t="s">
        <v>245</v>
      </c>
      <c r="C597" s="261">
        <v>0.25</v>
      </c>
      <c r="D597" s="259">
        <f>+$D593*C597</f>
        <v>0</v>
      </c>
    </row>
    <row r="598" spans="1:4" x14ac:dyDescent="0.2">
      <c r="B598" s="236">
        <v>0</v>
      </c>
    </row>
    <row r="599" spans="1:4" x14ac:dyDescent="0.2">
      <c r="B599" s="236">
        <v>0</v>
      </c>
    </row>
    <row r="600" spans="1:4" x14ac:dyDescent="0.2">
      <c r="A600" s="254">
        <v>1075542</v>
      </c>
      <c r="B600" s="255" t="s">
        <v>178</v>
      </c>
      <c r="C600" s="267"/>
      <c r="D600" s="257">
        <f>+C57+D131</f>
        <v>0</v>
      </c>
    </row>
    <row r="601" spans="1:4" x14ac:dyDescent="0.2">
      <c r="A601" s="83" t="s">
        <v>585</v>
      </c>
      <c r="B601" s="261" t="s">
        <v>208</v>
      </c>
      <c r="C601" s="261">
        <v>1</v>
      </c>
      <c r="D601" s="259">
        <f>+$D600*C601</f>
        <v>0</v>
      </c>
    </row>
    <row r="602" spans="1:4" x14ac:dyDescent="0.2">
      <c r="A602" s="83" t="s">
        <v>585</v>
      </c>
      <c r="B602" s="261" t="s">
        <v>246</v>
      </c>
      <c r="C602" s="261">
        <v>3.3</v>
      </c>
      <c r="D602" s="259">
        <f>+$D600*C602</f>
        <v>0</v>
      </c>
    </row>
    <row r="603" spans="1:4" x14ac:dyDescent="0.2">
      <c r="A603" s="83" t="s">
        <v>585</v>
      </c>
      <c r="B603" s="261" t="s">
        <v>243</v>
      </c>
      <c r="C603" s="261">
        <v>4</v>
      </c>
      <c r="D603" s="259">
        <f>+$D600*C603</f>
        <v>0</v>
      </c>
    </row>
    <row r="604" spans="1:4" x14ac:dyDescent="0.2">
      <c r="A604" s="83" t="s">
        <v>585</v>
      </c>
      <c r="B604" s="261" t="s">
        <v>244</v>
      </c>
      <c r="C604" s="261">
        <v>4</v>
      </c>
      <c r="D604" s="259">
        <f>+$D600*C604</f>
        <v>0</v>
      </c>
    </row>
    <row r="605" spans="1:4" x14ac:dyDescent="0.2">
      <c r="A605" s="83" t="s">
        <v>585</v>
      </c>
      <c r="B605" s="261" t="s">
        <v>245</v>
      </c>
      <c r="C605" s="261">
        <v>0.17</v>
      </c>
      <c r="D605" s="259">
        <f>+$D600*C605</f>
        <v>0</v>
      </c>
    </row>
    <row r="606" spans="1:4" x14ac:dyDescent="0.2">
      <c r="B606" s="236">
        <v>0</v>
      </c>
    </row>
    <row r="607" spans="1:4" x14ac:dyDescent="0.2">
      <c r="B607" s="236">
        <v>0</v>
      </c>
    </row>
    <row r="608" spans="1:4" x14ac:dyDescent="0.2">
      <c r="A608" s="254">
        <v>1075543</v>
      </c>
      <c r="B608" s="255" t="s">
        <v>179</v>
      </c>
      <c r="C608" s="267"/>
      <c r="D608" s="257">
        <f>+C58+D138</f>
        <v>0</v>
      </c>
    </row>
    <row r="609" spans="1:4" x14ac:dyDescent="0.2">
      <c r="A609" s="83" t="s">
        <v>585</v>
      </c>
      <c r="B609" s="261" t="s">
        <v>208</v>
      </c>
      <c r="C609" s="265">
        <v>1</v>
      </c>
      <c r="D609" s="259">
        <f>+$D608*C609</f>
        <v>0</v>
      </c>
    </row>
    <row r="610" spans="1:4" x14ac:dyDescent="0.2">
      <c r="A610" s="83" t="s">
        <v>585</v>
      </c>
      <c r="B610" s="261" t="s">
        <v>246</v>
      </c>
      <c r="C610" s="265">
        <v>3.1</v>
      </c>
      <c r="D610" s="259">
        <f>+$D608*C610</f>
        <v>0</v>
      </c>
    </row>
    <row r="611" spans="1:4" x14ac:dyDescent="0.2">
      <c r="A611" s="83" t="s">
        <v>585</v>
      </c>
      <c r="B611" s="261" t="s">
        <v>243</v>
      </c>
      <c r="C611" s="265">
        <v>4</v>
      </c>
      <c r="D611" s="259">
        <f>+$D608*C611</f>
        <v>0</v>
      </c>
    </row>
    <row r="612" spans="1:4" x14ac:dyDescent="0.2">
      <c r="A612" s="83" t="s">
        <v>585</v>
      </c>
      <c r="B612" s="261" t="s">
        <v>244</v>
      </c>
      <c r="C612" s="265">
        <v>4</v>
      </c>
      <c r="D612" s="259">
        <f>+$D608*C612</f>
        <v>0</v>
      </c>
    </row>
    <row r="613" spans="1:4" x14ac:dyDescent="0.2">
      <c r="A613" s="83" t="s">
        <v>585</v>
      </c>
      <c r="B613" s="261" t="s">
        <v>245</v>
      </c>
      <c r="C613" s="265">
        <v>0.17</v>
      </c>
      <c r="D613" s="259">
        <f>+$D608*C613</f>
        <v>0</v>
      </c>
    </row>
    <row r="614" spans="1:4" x14ac:dyDescent="0.2">
      <c r="B614" s="236">
        <v>0</v>
      </c>
    </row>
    <row r="615" spans="1:4" x14ac:dyDescent="0.2">
      <c r="B615" s="236">
        <v>0</v>
      </c>
    </row>
    <row r="616" spans="1:4" x14ac:dyDescent="0.2">
      <c r="A616" s="254">
        <v>1075544</v>
      </c>
      <c r="B616" s="255" t="s">
        <v>180</v>
      </c>
      <c r="C616" s="267"/>
      <c r="D616" s="257">
        <f>+C59+D145</f>
        <v>0</v>
      </c>
    </row>
    <row r="617" spans="1:4" x14ac:dyDescent="0.2">
      <c r="A617" s="83" t="s">
        <v>585</v>
      </c>
      <c r="B617" s="261" t="s">
        <v>208</v>
      </c>
      <c r="C617" s="265">
        <v>1</v>
      </c>
      <c r="D617" s="259">
        <f>+$D616*C617</f>
        <v>0</v>
      </c>
    </row>
    <row r="618" spans="1:4" x14ac:dyDescent="0.2">
      <c r="A618" s="83" t="s">
        <v>585</v>
      </c>
      <c r="B618" s="261" t="s">
        <v>246</v>
      </c>
      <c r="C618" s="265">
        <v>3.1</v>
      </c>
      <c r="D618" s="259">
        <f>+$D616*C618</f>
        <v>0</v>
      </c>
    </row>
    <row r="619" spans="1:4" x14ac:dyDescent="0.2">
      <c r="A619" s="83" t="s">
        <v>585</v>
      </c>
      <c r="B619" s="261" t="s">
        <v>243</v>
      </c>
      <c r="C619" s="265">
        <v>4</v>
      </c>
      <c r="D619" s="259">
        <f>+$D616*C619</f>
        <v>0</v>
      </c>
    </row>
    <row r="620" spans="1:4" x14ac:dyDescent="0.2">
      <c r="A620" s="83" t="s">
        <v>585</v>
      </c>
      <c r="B620" s="261" t="s">
        <v>244</v>
      </c>
      <c r="C620" s="265">
        <v>4</v>
      </c>
      <c r="D620" s="259">
        <f>+$D616*C620</f>
        <v>0</v>
      </c>
    </row>
    <row r="621" spans="1:4" x14ac:dyDescent="0.2">
      <c r="A621" s="83" t="s">
        <v>585</v>
      </c>
      <c r="B621" s="261" t="s">
        <v>245</v>
      </c>
      <c r="C621" s="265">
        <v>0.17</v>
      </c>
      <c r="D621" s="259">
        <f>+$D616*C621</f>
        <v>0</v>
      </c>
    </row>
    <row r="622" spans="1:4" x14ac:dyDescent="0.2">
      <c r="B622" s="236">
        <v>0</v>
      </c>
    </row>
    <row r="623" spans="1:4" x14ac:dyDescent="0.2">
      <c r="B623" s="236">
        <v>0</v>
      </c>
    </row>
    <row r="624" spans="1:4" x14ac:dyDescent="0.2">
      <c r="A624" s="254">
        <v>1075545</v>
      </c>
      <c r="B624" s="255" t="s">
        <v>181</v>
      </c>
      <c r="C624" s="267"/>
      <c r="D624" s="257">
        <f>+C60+D150+D157</f>
        <v>0</v>
      </c>
    </row>
    <row r="625" spans="1:4" x14ac:dyDescent="0.2">
      <c r="A625" s="83" t="s">
        <v>585</v>
      </c>
      <c r="B625" s="261" t="s">
        <v>246</v>
      </c>
      <c r="C625" s="265">
        <v>2.9</v>
      </c>
      <c r="D625" s="259">
        <f>+$D624*C625</f>
        <v>0</v>
      </c>
    </row>
    <row r="626" spans="1:4" x14ac:dyDescent="0.2">
      <c r="A626" s="83" t="s">
        <v>585</v>
      </c>
      <c r="B626" s="261" t="s">
        <v>243</v>
      </c>
      <c r="C626" s="265">
        <v>8</v>
      </c>
      <c r="D626" s="259">
        <f>+$D624*C626</f>
        <v>0</v>
      </c>
    </row>
    <row r="627" spans="1:4" x14ac:dyDescent="0.2">
      <c r="A627" s="83" t="s">
        <v>585</v>
      </c>
      <c r="B627" s="261" t="s">
        <v>248</v>
      </c>
      <c r="C627" s="265">
        <v>8</v>
      </c>
      <c r="D627" s="259">
        <f>+$D624*C627</f>
        <v>0</v>
      </c>
    </row>
    <row r="628" spans="1:4" x14ac:dyDescent="0.2">
      <c r="A628" s="83" t="s">
        <v>585</v>
      </c>
      <c r="B628" s="261" t="s">
        <v>245</v>
      </c>
      <c r="C628" s="265">
        <v>0.25</v>
      </c>
      <c r="D628" s="259">
        <f>+$D624*C628</f>
        <v>0</v>
      </c>
    </row>
    <row r="629" spans="1:4" x14ac:dyDescent="0.2">
      <c r="B629" s="236">
        <v>0</v>
      </c>
      <c r="D629" s="237"/>
    </row>
    <row r="630" spans="1:4" x14ac:dyDescent="0.2">
      <c r="B630" s="236">
        <v>0</v>
      </c>
    </row>
    <row r="631" spans="1:4" x14ac:dyDescent="0.2">
      <c r="A631" s="254">
        <v>1075546</v>
      </c>
      <c r="B631" s="255" t="s">
        <v>182</v>
      </c>
      <c r="C631" s="267"/>
      <c r="D631" s="257">
        <f>+C61+D169</f>
        <v>0</v>
      </c>
    </row>
    <row r="632" spans="1:4" x14ac:dyDescent="0.2">
      <c r="A632" s="83" t="s">
        <v>585</v>
      </c>
      <c r="B632" s="261" t="s">
        <v>239</v>
      </c>
      <c r="C632" s="265">
        <v>0.5</v>
      </c>
      <c r="D632" s="259">
        <f>+$D631*C632</f>
        <v>0</v>
      </c>
    </row>
    <row r="633" spans="1:4" x14ac:dyDescent="0.2">
      <c r="A633" s="83" t="s">
        <v>585</v>
      </c>
      <c r="B633" s="261" t="s">
        <v>242</v>
      </c>
      <c r="C633" s="265">
        <v>0.6</v>
      </c>
      <c r="D633" s="259">
        <f>+$D631*C633</f>
        <v>0</v>
      </c>
    </row>
    <row r="634" spans="1:4" x14ac:dyDescent="0.2">
      <c r="A634" s="83" t="s">
        <v>585</v>
      </c>
      <c r="B634" s="261" t="s">
        <v>246</v>
      </c>
      <c r="C634" s="265">
        <v>5</v>
      </c>
      <c r="D634" s="259">
        <f>+$D631*C634</f>
        <v>0</v>
      </c>
    </row>
    <row r="635" spans="1:4" x14ac:dyDescent="0.2">
      <c r="A635" s="83" t="s">
        <v>585</v>
      </c>
      <c r="B635" s="261" t="s">
        <v>243</v>
      </c>
      <c r="C635" s="265">
        <v>4</v>
      </c>
      <c r="D635" s="259">
        <f>+$D631*C635</f>
        <v>0</v>
      </c>
    </row>
    <row r="636" spans="1:4" x14ac:dyDescent="0.2">
      <c r="A636" s="83" t="s">
        <v>585</v>
      </c>
      <c r="B636" s="261" t="s">
        <v>244</v>
      </c>
      <c r="C636" s="265">
        <v>4</v>
      </c>
      <c r="D636" s="259">
        <f>+$D631*C636</f>
        <v>0</v>
      </c>
    </row>
    <row r="637" spans="1:4" x14ac:dyDescent="0.2">
      <c r="A637" s="83" t="s">
        <v>585</v>
      </c>
      <c r="B637" s="261" t="s">
        <v>247</v>
      </c>
      <c r="C637" s="265">
        <v>0.38</v>
      </c>
      <c r="D637" s="259">
        <f>+$D631*C637</f>
        <v>0</v>
      </c>
    </row>
    <row r="638" spans="1:4" x14ac:dyDescent="0.2">
      <c r="B638" s="236">
        <v>0</v>
      </c>
    </row>
    <row r="639" spans="1:4" x14ac:dyDescent="0.2">
      <c r="B639" s="236">
        <v>0</v>
      </c>
    </row>
    <row r="640" spans="1:4" x14ac:dyDescent="0.2">
      <c r="A640" s="254">
        <v>1075547</v>
      </c>
      <c r="B640" s="255" t="s">
        <v>183</v>
      </c>
      <c r="C640" s="267"/>
      <c r="D640" s="257">
        <f>+C62+D176</f>
        <v>0</v>
      </c>
    </row>
    <row r="641" spans="1:4" x14ac:dyDescent="0.2">
      <c r="A641" s="83" t="s">
        <v>585</v>
      </c>
      <c r="B641" s="261" t="s">
        <v>239</v>
      </c>
      <c r="C641" s="265">
        <v>0.33</v>
      </c>
      <c r="D641" s="259">
        <f>+$D640*C641</f>
        <v>0</v>
      </c>
    </row>
    <row r="642" spans="1:4" x14ac:dyDescent="0.2">
      <c r="A642" s="83" t="s">
        <v>585</v>
      </c>
      <c r="B642" s="261" t="s">
        <v>242</v>
      </c>
      <c r="C642" s="265">
        <v>0.33</v>
      </c>
      <c r="D642" s="259">
        <f>+$D640*C642</f>
        <v>0</v>
      </c>
    </row>
    <row r="643" spans="1:4" x14ac:dyDescent="0.2">
      <c r="A643" s="83" t="s">
        <v>585</v>
      </c>
      <c r="B643" s="261" t="s">
        <v>246</v>
      </c>
      <c r="C643" s="265">
        <v>4.3</v>
      </c>
      <c r="D643" s="259">
        <f>+$D640*C643</f>
        <v>0</v>
      </c>
    </row>
    <row r="644" spans="1:4" x14ac:dyDescent="0.2">
      <c r="A644" s="83" t="s">
        <v>585</v>
      </c>
      <c r="B644" s="261" t="s">
        <v>243</v>
      </c>
      <c r="C644" s="265">
        <v>4</v>
      </c>
      <c r="D644" s="259">
        <f>+$D640*C644</f>
        <v>0</v>
      </c>
    </row>
    <row r="645" spans="1:4" x14ac:dyDescent="0.2">
      <c r="A645" s="83" t="s">
        <v>585</v>
      </c>
      <c r="B645" s="261" t="s">
        <v>244</v>
      </c>
      <c r="C645" s="265">
        <v>4</v>
      </c>
      <c r="D645" s="259">
        <f>+$D640*C645</f>
        <v>0</v>
      </c>
    </row>
    <row r="646" spans="1:4" x14ac:dyDescent="0.2">
      <c r="A646" s="83" t="s">
        <v>585</v>
      </c>
      <c r="B646" s="261" t="s">
        <v>247</v>
      </c>
      <c r="C646" s="265">
        <v>0.25</v>
      </c>
      <c r="D646" s="259">
        <f>+$D640*C646</f>
        <v>0</v>
      </c>
    </row>
    <row r="647" spans="1:4" x14ac:dyDescent="0.2">
      <c r="B647" s="236">
        <v>0</v>
      </c>
    </row>
    <row r="648" spans="1:4" x14ac:dyDescent="0.2">
      <c r="B648" s="236">
        <v>0</v>
      </c>
    </row>
    <row r="649" spans="1:4" x14ac:dyDescent="0.2">
      <c r="A649" s="254">
        <v>1075548</v>
      </c>
      <c r="B649" s="255" t="s">
        <v>184</v>
      </c>
      <c r="C649" s="267"/>
      <c r="D649" s="257">
        <f>+C63+D183</f>
        <v>0</v>
      </c>
    </row>
    <row r="650" spans="1:4" x14ac:dyDescent="0.2">
      <c r="A650" s="83" t="s">
        <v>585</v>
      </c>
      <c r="B650" s="261" t="s">
        <v>208</v>
      </c>
      <c r="C650" s="265">
        <v>1</v>
      </c>
      <c r="D650" s="259">
        <f>+$D649*C650</f>
        <v>0</v>
      </c>
    </row>
    <row r="651" spans="1:4" x14ac:dyDescent="0.2">
      <c r="A651" s="83" t="s">
        <v>585</v>
      </c>
      <c r="B651" s="261" t="s">
        <v>239</v>
      </c>
      <c r="C651" s="265">
        <v>0.25</v>
      </c>
      <c r="D651" s="259">
        <f>+$D649*C651</f>
        <v>0</v>
      </c>
    </row>
    <row r="652" spans="1:4" x14ac:dyDescent="0.2">
      <c r="A652" s="83" t="s">
        <v>585</v>
      </c>
      <c r="B652" s="261" t="s">
        <v>242</v>
      </c>
      <c r="C652" s="265">
        <v>0.25</v>
      </c>
      <c r="D652" s="259">
        <f>+$D649*C652</f>
        <v>0</v>
      </c>
    </row>
    <row r="653" spans="1:4" x14ac:dyDescent="0.2">
      <c r="A653" s="83" t="s">
        <v>585</v>
      </c>
      <c r="B653" s="261" t="s">
        <v>246</v>
      </c>
      <c r="C653" s="265">
        <v>3.3</v>
      </c>
      <c r="D653" s="259">
        <f>+$D649*C653</f>
        <v>0</v>
      </c>
    </row>
    <row r="654" spans="1:4" x14ac:dyDescent="0.2">
      <c r="A654" s="83" t="s">
        <v>585</v>
      </c>
      <c r="B654" s="261" t="s">
        <v>243</v>
      </c>
      <c r="C654" s="265">
        <v>4</v>
      </c>
      <c r="D654" s="259">
        <f>+$D649*C654</f>
        <v>0</v>
      </c>
    </row>
    <row r="655" spans="1:4" x14ac:dyDescent="0.2">
      <c r="A655" s="83" t="s">
        <v>585</v>
      </c>
      <c r="B655" s="261" t="s">
        <v>244</v>
      </c>
      <c r="C655" s="265">
        <v>4</v>
      </c>
      <c r="D655" s="259">
        <f>+$D649*C655</f>
        <v>0</v>
      </c>
    </row>
    <row r="656" spans="1:4" x14ac:dyDescent="0.2">
      <c r="A656" s="83" t="s">
        <v>585</v>
      </c>
      <c r="B656" s="261" t="s">
        <v>247</v>
      </c>
      <c r="C656" s="265">
        <v>0.17</v>
      </c>
      <c r="D656" s="259">
        <f>+$D649*C656</f>
        <v>0</v>
      </c>
    </row>
    <row r="657" spans="1:4" x14ac:dyDescent="0.2">
      <c r="B657" s="236">
        <v>0</v>
      </c>
    </row>
    <row r="658" spans="1:4" x14ac:dyDescent="0.2">
      <c r="B658" s="236">
        <v>0</v>
      </c>
    </row>
    <row r="659" spans="1:4" x14ac:dyDescent="0.2">
      <c r="A659" s="254">
        <v>1075549</v>
      </c>
      <c r="B659" s="255" t="s">
        <v>185</v>
      </c>
      <c r="C659" s="267"/>
      <c r="D659" s="257">
        <f>+C64+D190</f>
        <v>0</v>
      </c>
    </row>
    <row r="660" spans="1:4" x14ac:dyDescent="0.2">
      <c r="A660" s="83" t="s">
        <v>585</v>
      </c>
      <c r="B660" s="261" t="s">
        <v>208</v>
      </c>
      <c r="C660" s="265">
        <v>1</v>
      </c>
      <c r="D660" s="259">
        <f>+$D659*C660</f>
        <v>0</v>
      </c>
    </row>
    <row r="661" spans="1:4" x14ac:dyDescent="0.2">
      <c r="A661" s="83" t="s">
        <v>585</v>
      </c>
      <c r="B661" s="261" t="s">
        <v>239</v>
      </c>
      <c r="C661" s="265">
        <v>0.25</v>
      </c>
      <c r="D661" s="259">
        <f>+$D659*C661</f>
        <v>0</v>
      </c>
    </row>
    <row r="662" spans="1:4" x14ac:dyDescent="0.2">
      <c r="A662" s="83" t="s">
        <v>585</v>
      </c>
      <c r="B662" s="261" t="s">
        <v>242</v>
      </c>
      <c r="C662" s="265">
        <v>0.25</v>
      </c>
      <c r="D662" s="259">
        <f>+$D659*C662</f>
        <v>0</v>
      </c>
    </row>
    <row r="663" spans="1:4" x14ac:dyDescent="0.2">
      <c r="A663" s="83" t="s">
        <v>585</v>
      </c>
      <c r="B663" s="261" t="s">
        <v>246</v>
      </c>
      <c r="C663" s="265">
        <v>3.1</v>
      </c>
      <c r="D663" s="259">
        <f>+$D659*C663</f>
        <v>0</v>
      </c>
    </row>
    <row r="664" spans="1:4" x14ac:dyDescent="0.2">
      <c r="A664" s="83" t="s">
        <v>585</v>
      </c>
      <c r="B664" s="261" t="s">
        <v>243</v>
      </c>
      <c r="C664" s="265">
        <v>4</v>
      </c>
      <c r="D664" s="259">
        <f>+$D659*C664</f>
        <v>0</v>
      </c>
    </row>
    <row r="665" spans="1:4" x14ac:dyDescent="0.2">
      <c r="A665" s="83" t="s">
        <v>585</v>
      </c>
      <c r="B665" s="261" t="s">
        <v>244</v>
      </c>
      <c r="C665" s="265">
        <v>4</v>
      </c>
      <c r="D665" s="259">
        <f>+$D659*C665</f>
        <v>0</v>
      </c>
    </row>
    <row r="666" spans="1:4" x14ac:dyDescent="0.2">
      <c r="A666" s="83" t="s">
        <v>585</v>
      </c>
      <c r="B666" s="261" t="s">
        <v>247</v>
      </c>
      <c r="C666" s="265">
        <v>0.17</v>
      </c>
      <c r="D666" s="259">
        <f>+$D659*C666</f>
        <v>0</v>
      </c>
    </row>
    <row r="667" spans="1:4" x14ac:dyDescent="0.2">
      <c r="B667" s="236">
        <v>0</v>
      </c>
    </row>
    <row r="668" spans="1:4" x14ac:dyDescent="0.2">
      <c r="B668" s="236">
        <v>0</v>
      </c>
    </row>
    <row r="669" spans="1:4" x14ac:dyDescent="0.2">
      <c r="A669" s="254">
        <v>1075550</v>
      </c>
      <c r="B669" s="255" t="s">
        <v>186</v>
      </c>
      <c r="C669" s="267"/>
      <c r="D669" s="257">
        <f>+C65+D197</f>
        <v>0</v>
      </c>
    </row>
    <row r="670" spans="1:4" x14ac:dyDescent="0.2">
      <c r="A670" s="83" t="s">
        <v>585</v>
      </c>
      <c r="B670" s="261" t="s">
        <v>208</v>
      </c>
      <c r="C670" s="265">
        <v>1</v>
      </c>
      <c r="D670" s="259">
        <f>+$D669*C670</f>
        <v>0</v>
      </c>
    </row>
    <row r="671" spans="1:4" x14ac:dyDescent="0.2">
      <c r="A671" s="83" t="s">
        <v>585</v>
      </c>
      <c r="B671" s="261" t="s">
        <v>239</v>
      </c>
      <c r="C671" s="265">
        <v>0.25</v>
      </c>
      <c r="D671" s="259">
        <f>+$D669*C671</f>
        <v>0</v>
      </c>
    </row>
    <row r="672" spans="1:4" x14ac:dyDescent="0.2">
      <c r="A672" s="83" t="s">
        <v>585</v>
      </c>
      <c r="B672" s="261" t="s">
        <v>242</v>
      </c>
      <c r="C672" s="265">
        <v>0.25</v>
      </c>
      <c r="D672" s="259">
        <f>+$D669*C672</f>
        <v>0</v>
      </c>
    </row>
    <row r="673" spans="1:4" x14ac:dyDescent="0.2">
      <c r="A673" s="83" t="s">
        <v>585</v>
      </c>
      <c r="B673" s="261" t="s">
        <v>246</v>
      </c>
      <c r="C673" s="265">
        <v>3.1</v>
      </c>
      <c r="D673" s="259">
        <f>+$D669*C673</f>
        <v>0</v>
      </c>
    </row>
    <row r="674" spans="1:4" x14ac:dyDescent="0.2">
      <c r="A674" s="83" t="s">
        <v>585</v>
      </c>
      <c r="B674" s="261" t="s">
        <v>243</v>
      </c>
      <c r="C674" s="265">
        <v>4</v>
      </c>
      <c r="D674" s="259">
        <f>+$D669*C674</f>
        <v>0</v>
      </c>
    </row>
    <row r="675" spans="1:4" x14ac:dyDescent="0.2">
      <c r="A675" s="83" t="s">
        <v>585</v>
      </c>
      <c r="B675" s="261" t="s">
        <v>244</v>
      </c>
      <c r="C675" s="265">
        <v>4</v>
      </c>
      <c r="D675" s="259">
        <f>+$D669*C675</f>
        <v>0</v>
      </c>
    </row>
    <row r="676" spans="1:4" x14ac:dyDescent="0.2">
      <c r="A676" s="83" t="s">
        <v>585</v>
      </c>
      <c r="B676" s="261" t="s">
        <v>247</v>
      </c>
      <c r="C676" s="265">
        <v>0.17</v>
      </c>
      <c r="D676" s="259">
        <f>+$D669*C676</f>
        <v>0</v>
      </c>
    </row>
    <row r="677" spans="1:4" x14ac:dyDescent="0.2">
      <c r="B677" s="236">
        <v>0</v>
      </c>
    </row>
    <row r="678" spans="1:4" x14ac:dyDescent="0.2">
      <c r="B678" s="236">
        <v>0</v>
      </c>
    </row>
    <row r="679" spans="1:4" x14ac:dyDescent="0.2">
      <c r="A679" s="254">
        <v>1075551</v>
      </c>
      <c r="B679" s="255" t="s">
        <v>187</v>
      </c>
      <c r="C679" s="267"/>
      <c r="D679" s="257">
        <f>+C66+D202+D209</f>
        <v>0</v>
      </c>
    </row>
    <row r="680" spans="1:4" x14ac:dyDescent="0.2">
      <c r="A680" s="83" t="s">
        <v>585</v>
      </c>
      <c r="B680" s="261" t="s">
        <v>239</v>
      </c>
      <c r="C680" s="265">
        <v>0.33329999999999999</v>
      </c>
      <c r="D680" s="259">
        <f>+$D679*C680</f>
        <v>0</v>
      </c>
    </row>
    <row r="681" spans="1:4" x14ac:dyDescent="0.2">
      <c r="A681" s="83" t="s">
        <v>585</v>
      </c>
      <c r="B681" s="261" t="s">
        <v>242</v>
      </c>
      <c r="C681" s="265">
        <v>0.33300000000000002</v>
      </c>
      <c r="D681" s="259">
        <f>+$D679*C681</f>
        <v>0</v>
      </c>
    </row>
    <row r="682" spans="1:4" x14ac:dyDescent="0.2">
      <c r="A682" s="83" t="s">
        <v>585</v>
      </c>
      <c r="B682" s="261" t="s">
        <v>246</v>
      </c>
      <c r="C682" s="265">
        <v>2.9</v>
      </c>
      <c r="D682" s="259">
        <f>+$D679*C682</f>
        <v>0</v>
      </c>
    </row>
    <row r="683" spans="1:4" x14ac:dyDescent="0.2">
      <c r="A683" s="83" t="s">
        <v>585</v>
      </c>
      <c r="B683" s="261" t="s">
        <v>243</v>
      </c>
      <c r="C683" s="265">
        <v>8</v>
      </c>
      <c r="D683" s="259">
        <f>+$D679*C683</f>
        <v>0</v>
      </c>
    </row>
    <row r="684" spans="1:4" x14ac:dyDescent="0.2">
      <c r="A684" s="83" t="s">
        <v>585</v>
      </c>
      <c r="B684" s="261" t="s">
        <v>248</v>
      </c>
      <c r="C684" s="265">
        <v>8</v>
      </c>
      <c r="D684" s="259">
        <f>+$D679*C684</f>
        <v>0</v>
      </c>
    </row>
    <row r="685" spans="1:4" x14ac:dyDescent="0.2">
      <c r="A685" s="83" t="s">
        <v>585</v>
      </c>
      <c r="B685" s="261" t="s">
        <v>247</v>
      </c>
      <c r="C685" s="265">
        <v>0.25</v>
      </c>
      <c r="D685" s="259">
        <f>+$D679*C685</f>
        <v>0</v>
      </c>
    </row>
    <row r="686" spans="1:4" x14ac:dyDescent="0.2">
      <c r="B686" s="236">
        <v>0</v>
      </c>
      <c r="D686" s="237"/>
    </row>
    <row r="687" spans="1:4" x14ac:dyDescent="0.2">
      <c r="B687" s="236">
        <v>0</v>
      </c>
    </row>
    <row r="688" spans="1:4" x14ac:dyDescent="0.2">
      <c r="A688" s="254">
        <v>1075552</v>
      </c>
      <c r="B688" s="255" t="s">
        <v>188</v>
      </c>
      <c r="C688" s="267"/>
      <c r="D688" s="257">
        <f>+C67+D221</f>
        <v>0</v>
      </c>
    </row>
    <row r="689" spans="1:4" x14ac:dyDescent="0.2">
      <c r="A689" s="83" t="s">
        <v>585</v>
      </c>
      <c r="B689" s="261" t="s">
        <v>188</v>
      </c>
      <c r="C689" s="265">
        <v>1</v>
      </c>
      <c r="D689" s="259">
        <f>+$D688*C689</f>
        <v>0</v>
      </c>
    </row>
    <row r="690" spans="1:4" x14ac:dyDescent="0.2">
      <c r="A690" s="83" t="s">
        <v>585</v>
      </c>
      <c r="B690" s="261" t="s">
        <v>243</v>
      </c>
      <c r="C690" s="265">
        <v>4</v>
      </c>
      <c r="D690" s="259">
        <f>+$D688*C690</f>
        <v>0</v>
      </c>
    </row>
    <row r="691" spans="1:4" x14ac:dyDescent="0.2">
      <c r="A691" s="83" t="s">
        <v>585</v>
      </c>
      <c r="B691" s="261" t="s">
        <v>244</v>
      </c>
      <c r="C691" s="265">
        <v>4</v>
      </c>
      <c r="D691" s="259">
        <f>+$D688*C691</f>
        <v>0</v>
      </c>
    </row>
    <row r="692" spans="1:4" x14ac:dyDescent="0.2">
      <c r="B692" s="236">
        <v>0</v>
      </c>
    </row>
    <row r="693" spans="1:4" x14ac:dyDescent="0.2">
      <c r="B693" s="236">
        <v>0</v>
      </c>
    </row>
    <row r="694" spans="1:4" x14ac:dyDescent="0.2">
      <c r="A694" s="254">
        <v>1075553</v>
      </c>
      <c r="B694" s="255" t="s">
        <v>189</v>
      </c>
      <c r="C694" s="267"/>
      <c r="D694" s="257">
        <f>+C68+D228</f>
        <v>0</v>
      </c>
    </row>
    <row r="695" spans="1:4" x14ac:dyDescent="0.2">
      <c r="A695" s="83" t="s">
        <v>585</v>
      </c>
      <c r="B695" s="261" t="s">
        <v>189</v>
      </c>
      <c r="C695" s="265">
        <v>1</v>
      </c>
      <c r="D695" s="259">
        <f>+$D694*C695</f>
        <v>0</v>
      </c>
    </row>
    <row r="696" spans="1:4" x14ac:dyDescent="0.2">
      <c r="A696" s="83" t="s">
        <v>585</v>
      </c>
      <c r="B696" s="261" t="s">
        <v>243</v>
      </c>
      <c r="C696" s="265">
        <v>4</v>
      </c>
      <c r="D696" s="259">
        <f>+$D694*C696</f>
        <v>0</v>
      </c>
    </row>
    <row r="697" spans="1:4" x14ac:dyDescent="0.2">
      <c r="A697" s="83" t="s">
        <v>585</v>
      </c>
      <c r="B697" s="261" t="s">
        <v>244</v>
      </c>
      <c r="C697" s="265">
        <v>4</v>
      </c>
      <c r="D697" s="259">
        <f>+$D694*C697</f>
        <v>0</v>
      </c>
    </row>
    <row r="698" spans="1:4" x14ac:dyDescent="0.2">
      <c r="B698" s="236">
        <v>0</v>
      </c>
    </row>
    <row r="699" spans="1:4" x14ac:dyDescent="0.2">
      <c r="B699" s="236">
        <v>0</v>
      </c>
    </row>
    <row r="700" spans="1:4" x14ac:dyDescent="0.2">
      <c r="A700" s="254">
        <v>1075554</v>
      </c>
      <c r="B700" s="255" t="s">
        <v>190</v>
      </c>
      <c r="C700" s="267"/>
      <c r="D700" s="257">
        <f>+C69+D235</f>
        <v>0</v>
      </c>
    </row>
    <row r="701" spans="1:4" x14ac:dyDescent="0.2">
      <c r="A701" s="83" t="s">
        <v>585</v>
      </c>
      <c r="B701" s="261" t="s">
        <v>208</v>
      </c>
      <c r="C701" s="265">
        <v>1</v>
      </c>
      <c r="D701" s="259">
        <f>+$D700*C701</f>
        <v>0</v>
      </c>
    </row>
    <row r="702" spans="1:4" x14ac:dyDescent="0.2">
      <c r="A702" s="83" t="s">
        <v>585</v>
      </c>
      <c r="B702" s="261" t="s">
        <v>190</v>
      </c>
      <c r="C702" s="265">
        <v>1</v>
      </c>
      <c r="D702" s="259">
        <f>+$D700*C702</f>
        <v>0</v>
      </c>
    </row>
    <row r="703" spans="1:4" x14ac:dyDescent="0.2">
      <c r="A703" s="83" t="s">
        <v>585</v>
      </c>
      <c r="B703" s="261" t="s">
        <v>243</v>
      </c>
      <c r="C703" s="265">
        <v>4</v>
      </c>
      <c r="D703" s="259">
        <f>+$D700*C703</f>
        <v>0</v>
      </c>
    </row>
    <row r="704" spans="1:4" x14ac:dyDescent="0.2">
      <c r="A704" s="83" t="s">
        <v>585</v>
      </c>
      <c r="B704" s="261" t="s">
        <v>244</v>
      </c>
      <c r="C704" s="265">
        <v>4</v>
      </c>
      <c r="D704" s="259">
        <f>+$D700*C704</f>
        <v>0</v>
      </c>
    </row>
    <row r="705" spans="1:4" x14ac:dyDescent="0.2">
      <c r="B705" s="236">
        <v>0</v>
      </c>
    </row>
    <row r="706" spans="1:4" x14ac:dyDescent="0.2">
      <c r="B706" s="236">
        <v>0</v>
      </c>
    </row>
    <row r="707" spans="1:4" x14ac:dyDescent="0.2">
      <c r="A707" s="254">
        <v>1075555</v>
      </c>
      <c r="B707" s="255" t="s">
        <v>191</v>
      </c>
      <c r="C707" s="267"/>
      <c r="D707" s="257">
        <f>+C70+D242</f>
        <v>0</v>
      </c>
    </row>
    <row r="708" spans="1:4" x14ac:dyDescent="0.2">
      <c r="A708" s="83" t="s">
        <v>585</v>
      </c>
      <c r="B708" s="261" t="s">
        <v>208</v>
      </c>
      <c r="C708" s="265">
        <v>1</v>
      </c>
      <c r="D708" s="259">
        <f>+$D707*C708</f>
        <v>0</v>
      </c>
    </row>
    <row r="709" spans="1:4" x14ac:dyDescent="0.2">
      <c r="A709" s="83" t="s">
        <v>585</v>
      </c>
      <c r="B709" s="261" t="s">
        <v>191</v>
      </c>
      <c r="C709" s="265">
        <v>1</v>
      </c>
      <c r="D709" s="259">
        <f>+$D707*C709</f>
        <v>0</v>
      </c>
    </row>
    <row r="710" spans="1:4" x14ac:dyDescent="0.2">
      <c r="A710" s="83" t="s">
        <v>585</v>
      </c>
      <c r="B710" s="261" t="s">
        <v>243</v>
      </c>
      <c r="C710" s="265">
        <v>4</v>
      </c>
      <c r="D710" s="259">
        <f>+$D707*C710</f>
        <v>0</v>
      </c>
    </row>
    <row r="711" spans="1:4" x14ac:dyDescent="0.2">
      <c r="A711" s="83" t="s">
        <v>585</v>
      </c>
      <c r="B711" s="261" t="s">
        <v>244</v>
      </c>
      <c r="C711" s="265">
        <v>4</v>
      </c>
      <c r="D711" s="259">
        <f>+$D707*C711</f>
        <v>0</v>
      </c>
    </row>
    <row r="712" spans="1:4" x14ac:dyDescent="0.2">
      <c r="B712" s="236">
        <v>0</v>
      </c>
    </row>
    <row r="713" spans="1:4" x14ac:dyDescent="0.2">
      <c r="B713" s="236">
        <v>0</v>
      </c>
    </row>
    <row r="714" spans="1:4" x14ac:dyDescent="0.2">
      <c r="A714" s="254">
        <v>1075556</v>
      </c>
      <c r="B714" s="255" t="s">
        <v>192</v>
      </c>
      <c r="C714" s="267"/>
      <c r="D714" s="257">
        <f>+C71+D249</f>
        <v>0</v>
      </c>
    </row>
    <row r="715" spans="1:4" x14ac:dyDescent="0.2">
      <c r="A715" s="83" t="s">
        <v>585</v>
      </c>
      <c r="B715" s="261" t="s">
        <v>208</v>
      </c>
      <c r="C715" s="265">
        <v>1</v>
      </c>
      <c r="D715" s="259">
        <f>+$D714*C715</f>
        <v>0</v>
      </c>
    </row>
    <row r="716" spans="1:4" x14ac:dyDescent="0.2">
      <c r="A716" s="83" t="s">
        <v>585</v>
      </c>
      <c r="B716" s="261" t="s">
        <v>192</v>
      </c>
      <c r="C716" s="265">
        <v>1</v>
      </c>
      <c r="D716" s="259">
        <f>+$D714*C716</f>
        <v>0</v>
      </c>
    </row>
    <row r="717" spans="1:4" x14ac:dyDescent="0.2">
      <c r="A717" s="83" t="s">
        <v>585</v>
      </c>
      <c r="B717" s="261" t="s">
        <v>243</v>
      </c>
      <c r="C717" s="265">
        <v>4</v>
      </c>
      <c r="D717" s="259">
        <f>+$D714*C717</f>
        <v>0</v>
      </c>
    </row>
    <row r="718" spans="1:4" x14ac:dyDescent="0.2">
      <c r="A718" s="83" t="s">
        <v>585</v>
      </c>
      <c r="B718" s="261" t="s">
        <v>244</v>
      </c>
      <c r="C718" s="265">
        <v>4</v>
      </c>
      <c r="D718" s="259">
        <f>+$D714*C718</f>
        <v>0</v>
      </c>
    </row>
    <row r="719" spans="1:4" x14ac:dyDescent="0.2">
      <c r="B719" s="236">
        <v>0</v>
      </c>
    </row>
    <row r="720" spans="1:4" x14ac:dyDescent="0.2">
      <c r="B720" s="236">
        <v>0</v>
      </c>
    </row>
    <row r="721" spans="1:4" x14ac:dyDescent="0.2">
      <c r="A721" s="254">
        <v>1075557</v>
      </c>
      <c r="B721" s="255" t="s">
        <v>193</v>
      </c>
      <c r="C721" s="267"/>
      <c r="D721" s="257">
        <f>+C72+D254+D261</f>
        <v>0</v>
      </c>
    </row>
    <row r="722" spans="1:4" x14ac:dyDescent="0.2">
      <c r="A722" s="83" t="s">
        <v>585</v>
      </c>
      <c r="B722" s="261" t="s">
        <v>193</v>
      </c>
      <c r="C722" s="261">
        <v>1</v>
      </c>
      <c r="D722" s="259">
        <f>+$D721*C722</f>
        <v>0</v>
      </c>
    </row>
    <row r="723" spans="1:4" x14ac:dyDescent="0.2">
      <c r="A723" s="83" t="s">
        <v>585</v>
      </c>
      <c r="B723" s="261" t="s">
        <v>243</v>
      </c>
      <c r="C723" s="261">
        <v>8</v>
      </c>
      <c r="D723" s="259">
        <f>+$D721*C723</f>
        <v>0</v>
      </c>
    </row>
    <row r="724" spans="1:4" x14ac:dyDescent="0.2">
      <c r="A724" s="83" t="s">
        <v>585</v>
      </c>
      <c r="B724" s="261" t="s">
        <v>248</v>
      </c>
      <c r="C724" s="261">
        <v>8</v>
      </c>
      <c r="D724" s="259">
        <f>+$D721*C724</f>
        <v>0</v>
      </c>
    </row>
    <row r="725" spans="1:4" x14ac:dyDescent="0.2">
      <c r="B725" s="236">
        <v>0</v>
      </c>
    </row>
    <row r="726" spans="1:4" x14ac:dyDescent="0.2">
      <c r="B726" s="236">
        <v>0</v>
      </c>
    </row>
    <row r="727" spans="1:4" x14ac:dyDescent="0.2">
      <c r="A727" s="254">
        <v>1075559</v>
      </c>
      <c r="B727" s="255" t="s">
        <v>194</v>
      </c>
      <c r="C727" s="267"/>
      <c r="D727" s="257">
        <f>+C73+D540</f>
        <v>0</v>
      </c>
    </row>
    <row r="728" spans="1:4" x14ac:dyDescent="0.2">
      <c r="A728" s="83" t="s">
        <v>586</v>
      </c>
      <c r="B728" s="261" t="s">
        <v>266</v>
      </c>
      <c r="C728" s="261">
        <v>0.02</v>
      </c>
      <c r="D728" s="259">
        <f>+$D727*C728</f>
        <v>0</v>
      </c>
    </row>
    <row r="729" spans="1:4" x14ac:dyDescent="0.2">
      <c r="A729" s="83" t="s">
        <v>586</v>
      </c>
      <c r="B729" s="261" t="s">
        <v>261</v>
      </c>
      <c r="C729" s="261">
        <v>1</v>
      </c>
      <c r="D729" s="259">
        <f>+$D727*C729</f>
        <v>0</v>
      </c>
    </row>
    <row r="730" spans="1:4" x14ac:dyDescent="0.2">
      <c r="B730" s="236">
        <v>0</v>
      </c>
    </row>
    <row r="731" spans="1:4" x14ac:dyDescent="0.2">
      <c r="B731" s="236">
        <v>0</v>
      </c>
    </row>
    <row r="732" spans="1:4" x14ac:dyDescent="0.2">
      <c r="A732" s="254">
        <v>1075560</v>
      </c>
      <c r="B732" s="255" t="s">
        <v>260</v>
      </c>
      <c r="C732" s="267"/>
      <c r="D732" s="257">
        <f>+C74+D541</f>
        <v>0</v>
      </c>
    </row>
    <row r="733" spans="1:4" x14ac:dyDescent="0.2">
      <c r="A733" s="83">
        <v>1075560</v>
      </c>
      <c r="B733" s="255" t="s">
        <v>260</v>
      </c>
      <c r="C733" s="237">
        <v>1</v>
      </c>
      <c r="D733" s="259">
        <f>+$D732*C733</f>
        <v>0</v>
      </c>
    </row>
    <row r="734" spans="1:4" x14ac:dyDescent="0.2">
      <c r="B734" s="236">
        <v>0</v>
      </c>
    </row>
    <row r="735" spans="1:4" x14ac:dyDescent="0.2">
      <c r="B735" s="236">
        <v>0</v>
      </c>
    </row>
    <row r="736" spans="1:4" x14ac:dyDescent="0.2">
      <c r="A736" s="254">
        <v>1075561</v>
      </c>
      <c r="B736" s="269" t="s">
        <v>196</v>
      </c>
      <c r="C736" s="267"/>
      <c r="D736" s="257">
        <f>+C75+D542</f>
        <v>0</v>
      </c>
    </row>
    <row r="737" spans="1:4" x14ac:dyDescent="0.2">
      <c r="A737" s="83">
        <v>1075561</v>
      </c>
      <c r="B737" s="269" t="s">
        <v>196</v>
      </c>
      <c r="C737" s="237">
        <v>1</v>
      </c>
      <c r="D737" s="259">
        <f>+$D736*C737</f>
        <v>0</v>
      </c>
    </row>
    <row r="738" spans="1:4" x14ac:dyDescent="0.2">
      <c r="B738" s="236">
        <v>0</v>
      </c>
    </row>
    <row r="739" spans="1:4" x14ac:dyDescent="0.2">
      <c r="B739" s="236">
        <v>0</v>
      </c>
    </row>
    <row r="740" spans="1:4" x14ac:dyDescent="0.2">
      <c r="A740" s="254">
        <v>1075562</v>
      </c>
      <c r="B740" s="250" t="s">
        <v>197</v>
      </c>
      <c r="C740" s="267"/>
      <c r="D740" s="257">
        <f>+C76+D543</f>
        <v>0</v>
      </c>
    </row>
    <row r="741" spans="1:4" x14ac:dyDescent="0.2">
      <c r="A741" s="83">
        <v>1075562</v>
      </c>
      <c r="B741" s="250" t="s">
        <v>197</v>
      </c>
      <c r="C741" s="237">
        <v>1</v>
      </c>
      <c r="D741" s="259">
        <f>+$D740*C741</f>
        <v>0</v>
      </c>
    </row>
    <row r="742" spans="1:4" x14ac:dyDescent="0.2">
      <c r="B742" s="236">
        <v>0</v>
      </c>
    </row>
    <row r="743" spans="1:4" x14ac:dyDescent="0.2">
      <c r="B743" s="236">
        <v>0</v>
      </c>
    </row>
    <row r="744" spans="1:4" x14ac:dyDescent="0.2">
      <c r="A744" s="254">
        <v>1075587</v>
      </c>
      <c r="B744" s="261" t="s">
        <v>202</v>
      </c>
      <c r="C744" s="267"/>
      <c r="D744" s="257">
        <f>+C82+D451</f>
        <v>0</v>
      </c>
    </row>
    <row r="745" spans="1:4" x14ac:dyDescent="0.2">
      <c r="A745" s="83" t="s">
        <v>587</v>
      </c>
      <c r="B745" s="261" t="s">
        <v>202</v>
      </c>
      <c r="C745" s="261">
        <v>1</v>
      </c>
      <c r="D745" s="259">
        <f>+$D744*C745</f>
        <v>0</v>
      </c>
    </row>
    <row r="746" spans="1:4" x14ac:dyDescent="0.2">
      <c r="A746" s="83" t="s">
        <v>587</v>
      </c>
      <c r="B746" s="261" t="s">
        <v>265</v>
      </c>
      <c r="C746" s="261">
        <v>4</v>
      </c>
      <c r="D746" s="259">
        <f>+$D744*C746</f>
        <v>0</v>
      </c>
    </row>
    <row r="747" spans="1:4" x14ac:dyDescent="0.2">
      <c r="B747" s="236">
        <v>0</v>
      </c>
    </row>
    <row r="748" spans="1:4" x14ac:dyDescent="0.2">
      <c r="B748" s="236">
        <v>0</v>
      </c>
    </row>
    <row r="749" spans="1:4" x14ac:dyDescent="0.2">
      <c r="A749" s="254">
        <v>1075588</v>
      </c>
      <c r="B749" s="255" t="s">
        <v>203</v>
      </c>
      <c r="C749" s="267"/>
      <c r="D749" s="257">
        <f>+D447+C83</f>
        <v>0</v>
      </c>
    </row>
    <row r="750" spans="1:4" x14ac:dyDescent="0.2">
      <c r="A750" s="83" t="s">
        <v>588</v>
      </c>
      <c r="B750" s="241" t="s">
        <v>210</v>
      </c>
      <c r="C750" s="265">
        <v>4</v>
      </c>
      <c r="D750" s="259">
        <f>+$D749*C750</f>
        <v>0</v>
      </c>
    </row>
    <row r="751" spans="1:4" x14ac:dyDescent="0.2">
      <c r="A751" s="83" t="s">
        <v>588</v>
      </c>
      <c r="B751" s="261" t="s">
        <v>276</v>
      </c>
      <c r="C751" s="265">
        <v>4</v>
      </c>
      <c r="D751" s="259">
        <f>+$D749*C751</f>
        <v>0</v>
      </c>
    </row>
    <row r="752" spans="1:4" x14ac:dyDescent="0.2">
      <c r="A752" s="83" t="s">
        <v>588</v>
      </c>
      <c r="B752" s="261" t="s">
        <v>268</v>
      </c>
      <c r="C752" s="265">
        <v>2.3E-2</v>
      </c>
      <c r="D752" s="259">
        <f>+$D749*C752</f>
        <v>0</v>
      </c>
    </row>
    <row r="753" spans="1:4" x14ac:dyDescent="0.2">
      <c r="A753" s="83" t="s">
        <v>588</v>
      </c>
      <c r="B753" s="261" t="s">
        <v>214</v>
      </c>
      <c r="C753" s="265">
        <v>2</v>
      </c>
      <c r="D753" s="259">
        <f>+$D749*C753</f>
        <v>0</v>
      </c>
    </row>
    <row r="754" spans="1:4" x14ac:dyDescent="0.2">
      <c r="A754" s="83" t="s">
        <v>588</v>
      </c>
      <c r="B754" s="261" t="s">
        <v>277</v>
      </c>
      <c r="C754" s="237">
        <v>2</v>
      </c>
      <c r="D754" s="259">
        <f>+$D749*C754</f>
        <v>0</v>
      </c>
    </row>
    <row r="755" spans="1:4" x14ac:dyDescent="0.2">
      <c r="B755" s="236">
        <v>0</v>
      </c>
    </row>
    <row r="756" spans="1:4" x14ac:dyDescent="0.2">
      <c r="A756" s="254">
        <v>1075982</v>
      </c>
      <c r="B756" s="255" t="s">
        <v>207</v>
      </c>
      <c r="C756" s="267"/>
      <c r="D756" s="257">
        <f>+D304+D312</f>
        <v>0</v>
      </c>
    </row>
    <row r="757" spans="1:4" x14ac:dyDescent="0.2">
      <c r="A757" s="83" t="s">
        <v>589</v>
      </c>
      <c r="B757" s="261" t="s">
        <v>265</v>
      </c>
      <c r="C757" s="265">
        <v>4</v>
      </c>
      <c r="D757" s="259">
        <f>+$D756*C757</f>
        <v>0</v>
      </c>
    </row>
    <row r="758" spans="1:4" x14ac:dyDescent="0.2">
      <c r="A758" s="83" t="s">
        <v>589</v>
      </c>
      <c r="B758" s="261" t="s">
        <v>252</v>
      </c>
      <c r="C758" s="265">
        <v>0.3</v>
      </c>
      <c r="D758" s="259">
        <f>+$D756*C758</f>
        <v>0</v>
      </c>
    </row>
    <row r="759" spans="1:4" x14ac:dyDescent="0.2">
      <c r="A759" s="83" t="s">
        <v>589</v>
      </c>
      <c r="B759" s="261" t="s">
        <v>253</v>
      </c>
      <c r="C759" s="265">
        <v>6.0000000000000001E-3</v>
      </c>
      <c r="D759" s="259">
        <f>+$D756*C759</f>
        <v>0</v>
      </c>
    </row>
    <row r="760" spans="1:4" x14ac:dyDescent="0.2">
      <c r="A760" s="83" t="s">
        <v>589</v>
      </c>
      <c r="B760" s="261" t="s">
        <v>262</v>
      </c>
      <c r="C760" s="237">
        <v>1</v>
      </c>
      <c r="D760" s="259">
        <f>+$D756*C760</f>
        <v>0</v>
      </c>
    </row>
    <row r="761" spans="1:4" x14ac:dyDescent="0.2">
      <c r="B761" s="236">
        <v>0</v>
      </c>
    </row>
    <row r="762" spans="1:4" x14ac:dyDescent="0.2">
      <c r="B762" s="236">
        <v>0</v>
      </c>
    </row>
    <row r="763" spans="1:4" x14ac:dyDescent="0.2">
      <c r="A763" s="270"/>
      <c r="B763" s="271">
        <v>0</v>
      </c>
      <c r="C763" s="272"/>
    </row>
    <row r="764" spans="1:4" x14ac:dyDescent="0.2">
      <c r="B764" s="236">
        <v>0</v>
      </c>
    </row>
    <row r="765" spans="1:4" x14ac:dyDescent="0.2">
      <c r="B765" s="236">
        <v>0</v>
      </c>
    </row>
    <row r="766" spans="1:4" x14ac:dyDescent="0.2">
      <c r="B766" s="236">
        <v>0</v>
      </c>
    </row>
    <row r="767" spans="1:4" x14ac:dyDescent="0.2">
      <c r="B767" s="236">
        <v>0</v>
      </c>
    </row>
    <row r="768" spans="1:4" ht="15.75" x14ac:dyDescent="0.25">
      <c r="B768" s="273" t="s">
        <v>3</v>
      </c>
      <c r="C768" s="274">
        <f>SUM(C769:C786)</f>
        <v>0</v>
      </c>
    </row>
    <row r="769" spans="1:3" x14ac:dyDescent="0.2">
      <c r="A769" s="275">
        <v>1075557</v>
      </c>
      <c r="B769" s="276" t="s">
        <v>193</v>
      </c>
      <c r="C769" s="277">
        <f>+D722</f>
        <v>0</v>
      </c>
    </row>
    <row r="770" spans="1:3" x14ac:dyDescent="0.2">
      <c r="A770" s="275">
        <v>1075551</v>
      </c>
      <c r="B770" s="276" t="s">
        <v>187</v>
      </c>
      <c r="C770" s="277">
        <f>+D679</f>
        <v>0</v>
      </c>
    </row>
    <row r="771" spans="1:3" x14ac:dyDescent="0.2">
      <c r="A771" s="275">
        <v>1075545</v>
      </c>
      <c r="B771" s="276" t="s">
        <v>181</v>
      </c>
      <c r="C771" s="277">
        <f>+D624</f>
        <v>0</v>
      </c>
    </row>
    <row r="772" spans="1:3" x14ac:dyDescent="0.2">
      <c r="A772" s="275">
        <v>1075552</v>
      </c>
      <c r="B772" s="276" t="s">
        <v>188</v>
      </c>
      <c r="C772" s="278">
        <f>+D689</f>
        <v>0</v>
      </c>
    </row>
    <row r="773" spans="1:3" x14ac:dyDescent="0.2">
      <c r="A773" s="275">
        <v>1075546</v>
      </c>
      <c r="B773" s="276" t="s">
        <v>182</v>
      </c>
      <c r="C773" s="277">
        <f>+D631</f>
        <v>0</v>
      </c>
    </row>
    <row r="774" spans="1:3" x14ac:dyDescent="0.2">
      <c r="A774" s="275">
        <v>1075540</v>
      </c>
      <c r="B774" s="276" t="s">
        <v>176</v>
      </c>
      <c r="C774" s="277">
        <f>+D586</f>
        <v>0</v>
      </c>
    </row>
    <row r="775" spans="1:3" x14ac:dyDescent="0.2">
      <c r="A775" s="275">
        <v>1075553</v>
      </c>
      <c r="B775" s="276" t="s">
        <v>189</v>
      </c>
      <c r="C775" s="278">
        <f>+D695</f>
        <v>0</v>
      </c>
    </row>
    <row r="776" spans="1:3" x14ac:dyDescent="0.2">
      <c r="A776" s="275">
        <v>1075547</v>
      </c>
      <c r="B776" s="276" t="s">
        <v>183</v>
      </c>
      <c r="C776" s="277">
        <f>+D640</f>
        <v>0</v>
      </c>
    </row>
    <row r="777" spans="1:3" x14ac:dyDescent="0.2">
      <c r="A777" s="275">
        <v>1075541</v>
      </c>
      <c r="B777" s="276" t="s">
        <v>177</v>
      </c>
      <c r="C777" s="277">
        <f>+D593</f>
        <v>0</v>
      </c>
    </row>
    <row r="778" spans="1:3" x14ac:dyDescent="0.2">
      <c r="A778" s="275">
        <v>1075555</v>
      </c>
      <c r="B778" s="276" t="s">
        <v>191</v>
      </c>
      <c r="C778" s="278">
        <f>+D709</f>
        <v>0</v>
      </c>
    </row>
    <row r="779" spans="1:3" x14ac:dyDescent="0.2">
      <c r="A779" s="275">
        <v>1075549</v>
      </c>
      <c r="B779" s="276" t="s">
        <v>185</v>
      </c>
      <c r="C779" s="277">
        <f>+D659</f>
        <v>0</v>
      </c>
    </row>
    <row r="780" spans="1:3" x14ac:dyDescent="0.2">
      <c r="A780" s="275">
        <v>1075543</v>
      </c>
      <c r="B780" s="276" t="s">
        <v>179</v>
      </c>
      <c r="C780" s="277">
        <f>+D608</f>
        <v>0</v>
      </c>
    </row>
    <row r="781" spans="1:3" x14ac:dyDescent="0.2">
      <c r="A781" s="275">
        <v>1075554</v>
      </c>
      <c r="B781" s="276" t="s">
        <v>190</v>
      </c>
      <c r="C781" s="278">
        <f>+D702</f>
        <v>0</v>
      </c>
    </row>
    <row r="782" spans="1:3" x14ac:dyDescent="0.2">
      <c r="A782" s="275">
        <v>1075548</v>
      </c>
      <c r="B782" s="276" t="s">
        <v>184</v>
      </c>
      <c r="C782" s="277">
        <f>+D649</f>
        <v>0</v>
      </c>
    </row>
    <row r="783" spans="1:3" x14ac:dyDescent="0.2">
      <c r="A783" s="275">
        <v>1075542</v>
      </c>
      <c r="B783" s="276" t="s">
        <v>178</v>
      </c>
      <c r="C783" s="277">
        <f>+D600</f>
        <v>0</v>
      </c>
    </row>
    <row r="784" spans="1:3" x14ac:dyDescent="0.2">
      <c r="A784" s="275">
        <v>1075556</v>
      </c>
      <c r="B784" s="276" t="s">
        <v>192</v>
      </c>
      <c r="C784" s="278">
        <f>+D716</f>
        <v>0</v>
      </c>
    </row>
    <row r="785" spans="1:3" x14ac:dyDescent="0.2">
      <c r="A785" s="275">
        <v>1075550</v>
      </c>
      <c r="B785" s="276" t="s">
        <v>186</v>
      </c>
      <c r="C785" s="277">
        <f>+D669</f>
        <v>0</v>
      </c>
    </row>
    <row r="786" spans="1:3" x14ac:dyDescent="0.2">
      <c r="A786" s="275">
        <v>1075544</v>
      </c>
      <c r="B786" s="276" t="s">
        <v>180</v>
      </c>
      <c r="C786" s="277">
        <f>+D616</f>
        <v>0</v>
      </c>
    </row>
    <row r="787" spans="1:3" x14ac:dyDescent="0.2">
      <c r="A787" s="275">
        <v>1075539</v>
      </c>
      <c r="B787" s="276" t="s">
        <v>175</v>
      </c>
      <c r="C787" s="277">
        <f>+D581</f>
        <v>0</v>
      </c>
    </row>
    <row r="788" spans="1:3" x14ac:dyDescent="0.2">
      <c r="A788" s="275" t="s">
        <v>585</v>
      </c>
      <c r="B788" s="279" t="s">
        <v>239</v>
      </c>
      <c r="C788" s="278">
        <f>+D632+D641+D651+D661+D671+D680</f>
        <v>0</v>
      </c>
    </row>
    <row r="789" spans="1:3" x14ac:dyDescent="0.2">
      <c r="A789" s="275" t="s">
        <v>584</v>
      </c>
      <c r="B789" s="279" t="s">
        <v>240</v>
      </c>
      <c r="C789" s="278">
        <f>+D582</f>
        <v>0</v>
      </c>
    </row>
    <row r="790" spans="1:3" x14ac:dyDescent="0.2">
      <c r="A790" s="275" t="s">
        <v>584</v>
      </c>
      <c r="B790" s="279" t="s">
        <v>241</v>
      </c>
      <c r="C790" s="278">
        <f>+D583</f>
        <v>0</v>
      </c>
    </row>
    <row r="791" spans="1:3" x14ac:dyDescent="0.2">
      <c r="A791" s="275" t="s">
        <v>585</v>
      </c>
      <c r="B791" s="279" t="s">
        <v>242</v>
      </c>
      <c r="C791" s="278">
        <f>+D633+D642+D652+D662+D672+D681</f>
        <v>0</v>
      </c>
    </row>
    <row r="792" spans="1:3" x14ac:dyDescent="0.2">
      <c r="A792" s="275" t="s">
        <v>585</v>
      </c>
      <c r="B792" s="279" t="s">
        <v>243</v>
      </c>
      <c r="C792" s="278">
        <f>+D588+D595+D603+D611+D619+D626+D635+D644+D654+D664+D674+D683+D690+D696+D703+D710+D717+D723</f>
        <v>0</v>
      </c>
    </row>
    <row r="793" spans="1:3" x14ac:dyDescent="0.2">
      <c r="A793" s="275" t="s">
        <v>585</v>
      </c>
      <c r="B793" s="279" t="s">
        <v>244</v>
      </c>
      <c r="C793" s="278">
        <f>+D589+D596+D604+D612+D620+D636+D645+D655+D665+D675+D691+D697+D704+D711+D718</f>
        <v>0</v>
      </c>
    </row>
    <row r="794" spans="1:3" x14ac:dyDescent="0.2">
      <c r="A794" s="275" t="s">
        <v>585</v>
      </c>
      <c r="B794" s="279" t="s">
        <v>245</v>
      </c>
      <c r="C794" s="278">
        <f>+D590+D597+D605+D613+D621+D628</f>
        <v>0</v>
      </c>
    </row>
    <row r="795" spans="1:3" x14ac:dyDescent="0.2">
      <c r="A795" s="275" t="s">
        <v>585</v>
      </c>
      <c r="B795" s="279" t="s">
        <v>208</v>
      </c>
      <c r="C795" s="278">
        <f>+C88+D601+D609+D617+D650+D660+D670+D701+D708+D715</f>
        <v>0</v>
      </c>
    </row>
    <row r="796" spans="1:3" x14ac:dyDescent="0.2">
      <c r="A796" s="275" t="s">
        <v>585</v>
      </c>
      <c r="B796" s="279" t="s">
        <v>246</v>
      </c>
      <c r="C796" s="278">
        <f>+D587+D594+D602+D610+D618+D625+D634+D643+D653+D663+D673+D682</f>
        <v>0</v>
      </c>
    </row>
    <row r="797" spans="1:3" x14ac:dyDescent="0.2">
      <c r="A797" s="275" t="s">
        <v>585</v>
      </c>
      <c r="B797" s="279" t="s">
        <v>247</v>
      </c>
      <c r="C797" s="278">
        <f>+D637+D646+D656+D666+D676+D685</f>
        <v>0</v>
      </c>
    </row>
    <row r="798" spans="1:3" x14ac:dyDescent="0.2">
      <c r="A798" s="275" t="s">
        <v>585</v>
      </c>
      <c r="B798" s="280" t="s">
        <v>248</v>
      </c>
      <c r="C798" s="278">
        <f>+D627+D684+D724</f>
        <v>0</v>
      </c>
    </row>
    <row r="799" spans="1:3" ht="15.75" x14ac:dyDescent="0.25">
      <c r="A799" s="275"/>
      <c r="B799" s="281" t="s">
        <v>249</v>
      </c>
      <c r="C799" s="278">
        <f>SUM(C800:C818)</f>
        <v>0</v>
      </c>
    </row>
    <row r="800" spans="1:3" x14ac:dyDescent="0.2">
      <c r="A800" s="282">
        <v>1075538</v>
      </c>
      <c r="B800" s="283" t="s">
        <v>174</v>
      </c>
      <c r="C800" s="277">
        <f>+D574</f>
        <v>0</v>
      </c>
    </row>
    <row r="801" spans="1:3" x14ac:dyDescent="0.2">
      <c r="A801" s="282">
        <v>1075536</v>
      </c>
      <c r="B801" s="283" t="s">
        <v>172</v>
      </c>
      <c r="C801" s="277">
        <f>+D560</f>
        <v>0</v>
      </c>
    </row>
    <row r="802" spans="1:3" x14ac:dyDescent="0.2">
      <c r="A802" s="282">
        <v>1075535</v>
      </c>
      <c r="B802" s="283" t="s">
        <v>171</v>
      </c>
      <c r="C802" s="277">
        <f>+D553</f>
        <v>0</v>
      </c>
    </row>
    <row r="803" spans="1:3" x14ac:dyDescent="0.2">
      <c r="A803" s="282">
        <v>1075537</v>
      </c>
      <c r="B803" s="283" t="s">
        <v>173</v>
      </c>
      <c r="C803" s="277">
        <f>+D567</f>
        <v>0</v>
      </c>
    </row>
    <row r="804" spans="1:3" x14ac:dyDescent="0.2">
      <c r="A804" s="282" t="s">
        <v>567</v>
      </c>
      <c r="B804" s="284" t="s">
        <v>250</v>
      </c>
      <c r="C804" s="278">
        <f>+D152+D160+D204+D212+D256+D264+D289+D296+D342+D350</f>
        <v>0</v>
      </c>
    </row>
    <row r="805" spans="1:3" x14ac:dyDescent="0.2">
      <c r="A805" s="282" t="s">
        <v>567</v>
      </c>
      <c r="B805" s="285" t="s">
        <v>251</v>
      </c>
      <c r="C805" s="278">
        <f>+D159+D211+D263+D295+D349</f>
        <v>0</v>
      </c>
    </row>
    <row r="806" spans="1:3" x14ac:dyDescent="0.2">
      <c r="A806" s="282" t="s">
        <v>581</v>
      </c>
      <c r="B806" s="285" t="s">
        <v>252</v>
      </c>
      <c r="C806" s="278">
        <f>+D554+D561+D568</f>
        <v>0</v>
      </c>
    </row>
    <row r="807" spans="1:3" x14ac:dyDescent="0.2">
      <c r="A807" s="282" t="s">
        <v>568</v>
      </c>
      <c r="B807" s="284" t="s">
        <v>212</v>
      </c>
      <c r="C807" s="278">
        <f>+C92+D306+D314+D323+D332+D339+D347</f>
        <v>0</v>
      </c>
    </row>
    <row r="808" spans="1:3" x14ac:dyDescent="0.2">
      <c r="A808" s="282" t="s">
        <v>568</v>
      </c>
      <c r="B808" s="284" t="s">
        <v>211</v>
      </c>
      <c r="C808" s="278">
        <f>+C91+D305+D313+D322+D331</f>
        <v>0</v>
      </c>
    </row>
    <row r="809" spans="1:3" x14ac:dyDescent="0.2">
      <c r="A809" s="282" t="s">
        <v>567</v>
      </c>
      <c r="B809" s="283" t="s">
        <v>221</v>
      </c>
      <c r="C809" s="278">
        <f>+C101+D118+D125+D132+D139+D146+D158+D170+D177+D184+D191+D198+D210+D222+D229+D236+D243+D250+D262+D272+D278+D284+D308+D317+D326+D335</f>
        <v>0</v>
      </c>
    </row>
    <row r="810" spans="1:3" x14ac:dyDescent="0.2">
      <c r="A810" s="282" t="s">
        <v>581</v>
      </c>
      <c r="B810" s="285" t="s">
        <v>253</v>
      </c>
      <c r="C810" s="278">
        <f>+D557+D564+D571</f>
        <v>0</v>
      </c>
    </row>
    <row r="811" spans="1:3" x14ac:dyDescent="0.2">
      <c r="A811" s="282" t="s">
        <v>568</v>
      </c>
      <c r="B811" s="285" t="s">
        <v>208</v>
      </c>
      <c r="C811" s="278">
        <f>+D321+D330</f>
        <v>0</v>
      </c>
    </row>
    <row r="812" spans="1:3" x14ac:dyDescent="0.2">
      <c r="A812" s="282" t="s">
        <v>567</v>
      </c>
      <c r="B812" s="284" t="s">
        <v>254</v>
      </c>
      <c r="C812" s="278">
        <f>+D161+D213+D265+D297+D351</f>
        <v>0</v>
      </c>
    </row>
    <row r="813" spans="1:3" x14ac:dyDescent="0.2">
      <c r="A813" s="282" t="s">
        <v>567</v>
      </c>
      <c r="B813" s="284" t="s">
        <v>255</v>
      </c>
      <c r="C813" s="278">
        <f>+D153+D162+D205+D214+D257+D266+D290+D298+D343+D352</f>
        <v>0</v>
      </c>
    </row>
    <row r="814" spans="1:3" x14ac:dyDescent="0.2">
      <c r="A814" s="282" t="s">
        <v>568</v>
      </c>
      <c r="B814" s="285" t="s">
        <v>207</v>
      </c>
      <c r="C814" s="278">
        <f>+D756</f>
        <v>0</v>
      </c>
    </row>
    <row r="815" spans="1:3" x14ac:dyDescent="0.2">
      <c r="A815" s="282" t="s">
        <v>581</v>
      </c>
      <c r="B815" s="285" t="s">
        <v>217</v>
      </c>
      <c r="C815" s="278">
        <f>+C97+D556+D563+D570</f>
        <v>0</v>
      </c>
    </row>
    <row r="816" spans="1:3" x14ac:dyDescent="0.2">
      <c r="A816" s="282" t="s">
        <v>568</v>
      </c>
      <c r="B816" s="285" t="s">
        <v>218</v>
      </c>
      <c r="C816" s="278">
        <f>+C98+D340+D348</f>
        <v>0</v>
      </c>
    </row>
    <row r="817" spans="1:3" x14ac:dyDescent="0.2">
      <c r="A817" s="282" t="s">
        <v>581</v>
      </c>
      <c r="B817" s="284" t="s">
        <v>256</v>
      </c>
      <c r="C817" s="278">
        <f>+D555+D562+D569</f>
        <v>0</v>
      </c>
    </row>
    <row r="818" spans="1:3" x14ac:dyDescent="0.2">
      <c r="A818" s="282" t="s">
        <v>567</v>
      </c>
      <c r="B818" s="284" t="s">
        <v>257</v>
      </c>
      <c r="C818" s="278">
        <f>+D151+D203+D255+D288+D341</f>
        <v>0</v>
      </c>
    </row>
    <row r="819" spans="1:3" ht="15.75" x14ac:dyDescent="0.25">
      <c r="A819" s="282"/>
      <c r="B819" s="286" t="s">
        <v>258</v>
      </c>
      <c r="C819" s="278">
        <f>SUM(C820:C869)</f>
        <v>0</v>
      </c>
    </row>
    <row r="820" spans="1:3" x14ac:dyDescent="0.2">
      <c r="A820" s="287">
        <v>1120113</v>
      </c>
      <c r="B820" s="288" t="s">
        <v>157</v>
      </c>
      <c r="C820" s="278">
        <f>+D469</f>
        <v>0</v>
      </c>
    </row>
    <row r="821" spans="1:3" x14ac:dyDescent="0.2">
      <c r="A821" s="287">
        <v>1099915</v>
      </c>
      <c r="B821" s="289" t="s">
        <v>169</v>
      </c>
      <c r="C821" s="278">
        <f>+D536</f>
        <v>0</v>
      </c>
    </row>
    <row r="822" spans="1:3" x14ac:dyDescent="0.2">
      <c r="A822" s="287">
        <v>1075534</v>
      </c>
      <c r="B822" s="290" t="s">
        <v>156</v>
      </c>
      <c r="C822" s="277">
        <f>+D462</f>
        <v>0</v>
      </c>
    </row>
    <row r="823" spans="1:3" x14ac:dyDescent="0.2">
      <c r="A823" s="287" t="s">
        <v>573</v>
      </c>
      <c r="B823" s="290" t="s">
        <v>259</v>
      </c>
      <c r="C823" s="278">
        <f>+D463</f>
        <v>0</v>
      </c>
    </row>
    <row r="824" spans="1:3" x14ac:dyDescent="0.2">
      <c r="A824" s="287">
        <v>1075577</v>
      </c>
      <c r="B824" s="289" t="s">
        <v>165</v>
      </c>
      <c r="C824" s="277">
        <f>+D513</f>
        <v>0</v>
      </c>
    </row>
    <row r="825" spans="1:3" x14ac:dyDescent="0.2">
      <c r="A825" s="287">
        <v>1075593</v>
      </c>
      <c r="B825" s="288" t="s">
        <v>167</v>
      </c>
      <c r="C825" s="277">
        <f>+D523</f>
        <v>0</v>
      </c>
    </row>
    <row r="826" spans="1:3" x14ac:dyDescent="0.2">
      <c r="A826" s="287">
        <v>1075592</v>
      </c>
      <c r="B826" s="289" t="s">
        <v>166</v>
      </c>
      <c r="C826" s="277">
        <f>+D517</f>
        <v>0</v>
      </c>
    </row>
    <row r="827" spans="1:3" x14ac:dyDescent="0.2">
      <c r="A827" s="287">
        <v>1075594</v>
      </c>
      <c r="B827" s="289" t="s">
        <v>168</v>
      </c>
      <c r="C827" s="277">
        <f>+D529</f>
        <v>0</v>
      </c>
    </row>
    <row r="828" spans="1:3" x14ac:dyDescent="0.2">
      <c r="A828" s="287" t="s">
        <v>579</v>
      </c>
      <c r="B828" s="289" t="s">
        <v>204</v>
      </c>
      <c r="C828" s="278">
        <f>+C84+D519</f>
        <v>0</v>
      </c>
    </row>
    <row r="829" spans="1:3" x14ac:dyDescent="0.2">
      <c r="A829" s="287" t="s">
        <v>579</v>
      </c>
      <c r="B829" s="289" t="s">
        <v>205</v>
      </c>
      <c r="C829" s="278">
        <f>+C85+D525</f>
        <v>0</v>
      </c>
    </row>
    <row r="830" spans="1:3" x14ac:dyDescent="0.2">
      <c r="A830" s="287" t="s">
        <v>579</v>
      </c>
      <c r="B830" s="289" t="s">
        <v>206</v>
      </c>
      <c r="C830" s="278">
        <f>+C86+D531</f>
        <v>0</v>
      </c>
    </row>
    <row r="831" spans="1:3" x14ac:dyDescent="0.2">
      <c r="A831" s="287">
        <v>1075532</v>
      </c>
      <c r="B831" s="289" t="s">
        <v>153</v>
      </c>
      <c r="C831" s="277">
        <f>+D442</f>
        <v>0</v>
      </c>
    </row>
    <row r="832" spans="1:3" x14ac:dyDescent="0.2">
      <c r="A832" s="287" t="s">
        <v>571</v>
      </c>
      <c r="B832" s="291" t="s">
        <v>203</v>
      </c>
      <c r="C832" s="277">
        <f>+D749</f>
        <v>0</v>
      </c>
    </row>
    <row r="833" spans="1:3" x14ac:dyDescent="0.2">
      <c r="A833" s="287">
        <v>1075563</v>
      </c>
      <c r="B833" s="289" t="s">
        <v>158</v>
      </c>
      <c r="C833" s="278">
        <f>+D476</f>
        <v>0</v>
      </c>
    </row>
    <row r="834" spans="1:3" x14ac:dyDescent="0.2">
      <c r="A834" s="287">
        <v>1075533</v>
      </c>
      <c r="B834" s="289" t="s">
        <v>155</v>
      </c>
      <c r="C834" s="277">
        <f>+D450</f>
        <v>0</v>
      </c>
    </row>
    <row r="835" spans="1:3" x14ac:dyDescent="0.2">
      <c r="A835" s="287" t="s">
        <v>590</v>
      </c>
      <c r="B835" s="290" t="s">
        <v>202</v>
      </c>
      <c r="C835" s="278">
        <f>+D745</f>
        <v>0</v>
      </c>
    </row>
    <row r="836" spans="1:3" x14ac:dyDescent="0.2">
      <c r="A836" s="287">
        <v>1075558</v>
      </c>
      <c r="B836" s="289" t="s">
        <v>170</v>
      </c>
      <c r="C836" s="277">
        <f>+D539</f>
        <v>0</v>
      </c>
    </row>
    <row r="837" spans="1:3" x14ac:dyDescent="0.2">
      <c r="A837" s="287">
        <v>1075560</v>
      </c>
      <c r="B837" s="289" t="s">
        <v>260</v>
      </c>
      <c r="C837" s="278">
        <f>+D733</f>
        <v>0</v>
      </c>
    </row>
    <row r="838" spans="1:3" x14ac:dyDescent="0.2">
      <c r="A838" s="287">
        <v>1075561</v>
      </c>
      <c r="B838" s="289" t="s">
        <v>196</v>
      </c>
      <c r="C838" s="278">
        <f>+D737</f>
        <v>0</v>
      </c>
    </row>
    <row r="839" spans="1:3" x14ac:dyDescent="0.2">
      <c r="A839" s="287">
        <v>1075559</v>
      </c>
      <c r="B839" s="289" t="s">
        <v>194</v>
      </c>
      <c r="C839" s="277">
        <f>+D727</f>
        <v>0</v>
      </c>
    </row>
    <row r="840" spans="1:3" x14ac:dyDescent="0.2">
      <c r="A840" s="287">
        <v>1075562</v>
      </c>
      <c r="B840" s="291" t="s">
        <v>197</v>
      </c>
      <c r="C840" s="278">
        <f>+D741</f>
        <v>0</v>
      </c>
    </row>
    <row r="841" spans="1:3" x14ac:dyDescent="0.2">
      <c r="A841" s="287" t="s">
        <v>586</v>
      </c>
      <c r="B841" s="290" t="s">
        <v>261</v>
      </c>
      <c r="C841" s="278">
        <f>+D729</f>
        <v>0</v>
      </c>
    </row>
    <row r="842" spans="1:3" x14ac:dyDescent="0.2">
      <c r="A842" s="287">
        <v>1075982</v>
      </c>
      <c r="B842" s="288" t="s">
        <v>207</v>
      </c>
      <c r="C842" s="277">
        <f>+C87</f>
        <v>0</v>
      </c>
    </row>
    <row r="843" spans="1:3" x14ac:dyDescent="0.2">
      <c r="A843" s="287" t="s">
        <v>589</v>
      </c>
      <c r="B843" s="292" t="s">
        <v>262</v>
      </c>
      <c r="C843" s="277">
        <f>+D760</f>
        <v>0</v>
      </c>
    </row>
    <row r="844" spans="1:3" x14ac:dyDescent="0.2">
      <c r="A844" s="287" t="s">
        <v>573</v>
      </c>
      <c r="B844" s="290" t="s">
        <v>263</v>
      </c>
      <c r="C844" s="278">
        <f>+D465+D474</f>
        <v>0</v>
      </c>
    </row>
    <row r="845" spans="1:3" x14ac:dyDescent="0.2">
      <c r="A845" s="287" t="s">
        <v>589</v>
      </c>
      <c r="B845" s="291" t="s">
        <v>252</v>
      </c>
      <c r="C845" s="278">
        <f>+D758</f>
        <v>0</v>
      </c>
    </row>
    <row r="846" spans="1:3" x14ac:dyDescent="0.2">
      <c r="A846" s="287" t="s">
        <v>571</v>
      </c>
      <c r="B846" s="290" t="s">
        <v>264</v>
      </c>
      <c r="C846" s="278">
        <f>+D443+D452</f>
        <v>0</v>
      </c>
    </row>
    <row r="847" spans="1:3" x14ac:dyDescent="0.2">
      <c r="A847" s="287" t="s">
        <v>588</v>
      </c>
      <c r="B847" s="290" t="s">
        <v>210</v>
      </c>
      <c r="C847" s="278">
        <f>+C90+D750</f>
        <v>0</v>
      </c>
    </row>
    <row r="848" spans="1:3" x14ac:dyDescent="0.2">
      <c r="A848" s="287" t="s">
        <v>589</v>
      </c>
      <c r="B848" s="290" t="s">
        <v>265</v>
      </c>
      <c r="C848" s="278">
        <f>+D746+D757</f>
        <v>0</v>
      </c>
    </row>
    <row r="849" spans="1:3" x14ac:dyDescent="0.2">
      <c r="A849" s="287" t="s">
        <v>574</v>
      </c>
      <c r="B849" s="290" t="s">
        <v>266</v>
      </c>
      <c r="C849" s="278">
        <f>+D473+D728</f>
        <v>0</v>
      </c>
    </row>
    <row r="850" spans="1:3" x14ac:dyDescent="0.2">
      <c r="A850" s="287" t="s">
        <v>589</v>
      </c>
      <c r="B850" s="290" t="s">
        <v>253</v>
      </c>
      <c r="C850" s="278">
        <f>+D759</f>
        <v>0</v>
      </c>
    </row>
    <row r="851" spans="1:3" x14ac:dyDescent="0.2">
      <c r="A851" s="287" t="s">
        <v>579</v>
      </c>
      <c r="B851" s="291" t="s">
        <v>267</v>
      </c>
      <c r="C851" s="278">
        <f>+D520+D526+D532</f>
        <v>0</v>
      </c>
    </row>
    <row r="852" spans="1:3" x14ac:dyDescent="0.2">
      <c r="A852" s="287" t="s">
        <v>588</v>
      </c>
      <c r="B852" s="291" t="s">
        <v>268</v>
      </c>
      <c r="C852" s="278">
        <f>+D752</f>
        <v>0</v>
      </c>
    </row>
    <row r="853" spans="1:3" x14ac:dyDescent="0.2">
      <c r="A853" s="287" t="s">
        <v>590</v>
      </c>
      <c r="B853" s="291" t="s">
        <v>214</v>
      </c>
      <c r="C853" s="278">
        <f>+D458+D549+D753</f>
        <v>0</v>
      </c>
    </row>
    <row r="854" spans="1:3" x14ac:dyDescent="0.2">
      <c r="A854" s="287" t="s">
        <v>574</v>
      </c>
      <c r="B854" s="291" t="s">
        <v>269</v>
      </c>
      <c r="C854" s="278">
        <f>+D475</f>
        <v>0</v>
      </c>
    </row>
    <row r="855" spans="1:3" x14ac:dyDescent="0.2">
      <c r="A855" s="287" t="s">
        <v>571</v>
      </c>
      <c r="B855" s="291" t="s">
        <v>215</v>
      </c>
      <c r="C855" s="278">
        <f>+D444+D453+D544</f>
        <v>0</v>
      </c>
    </row>
    <row r="856" spans="1:3" x14ac:dyDescent="0.2">
      <c r="A856" s="287" t="s">
        <v>582</v>
      </c>
      <c r="B856" s="291" t="s">
        <v>216</v>
      </c>
      <c r="C856" s="278">
        <f>+D577+C96</f>
        <v>0</v>
      </c>
    </row>
    <row r="857" spans="1:3" x14ac:dyDescent="0.2">
      <c r="A857" s="287" t="s">
        <v>580</v>
      </c>
      <c r="B857" s="291" t="s">
        <v>271</v>
      </c>
      <c r="C857" s="278">
        <f>+D546</f>
        <v>0</v>
      </c>
    </row>
    <row r="858" spans="1:3" x14ac:dyDescent="0.2">
      <c r="A858" s="287" t="s">
        <v>571</v>
      </c>
      <c r="B858" s="290" t="s">
        <v>209</v>
      </c>
      <c r="C858" s="278">
        <f>+D446+D459+D550</f>
        <v>0</v>
      </c>
    </row>
    <row r="859" spans="1:3" x14ac:dyDescent="0.2">
      <c r="A859" s="287" t="s">
        <v>590</v>
      </c>
      <c r="B859" s="290" t="s">
        <v>272</v>
      </c>
      <c r="C859" s="278">
        <f>+D455</f>
        <v>0</v>
      </c>
    </row>
    <row r="860" spans="1:3" x14ac:dyDescent="0.2">
      <c r="A860" s="287" t="s">
        <v>590</v>
      </c>
      <c r="B860" s="291" t="s">
        <v>273</v>
      </c>
      <c r="C860" s="278">
        <f>+D456</f>
        <v>0</v>
      </c>
    </row>
    <row r="861" spans="1:3" x14ac:dyDescent="0.2">
      <c r="A861" s="287" t="s">
        <v>571</v>
      </c>
      <c r="B861" s="291" t="s">
        <v>247</v>
      </c>
      <c r="C861" s="278">
        <f>+D445</f>
        <v>0</v>
      </c>
    </row>
    <row r="862" spans="1:3" x14ac:dyDescent="0.2">
      <c r="A862" s="287" t="s">
        <v>580</v>
      </c>
      <c r="B862" s="291" t="s">
        <v>274</v>
      </c>
      <c r="C862" s="278">
        <f>+D547</f>
        <v>0</v>
      </c>
    </row>
    <row r="863" spans="1:3" x14ac:dyDescent="0.2">
      <c r="A863" s="287" t="s">
        <v>579</v>
      </c>
      <c r="B863" s="290" t="s">
        <v>275</v>
      </c>
      <c r="C863" s="278">
        <f>+D518+D524+D530</f>
        <v>0</v>
      </c>
    </row>
    <row r="864" spans="1:3" x14ac:dyDescent="0.2">
      <c r="A864" s="287" t="s">
        <v>590</v>
      </c>
      <c r="B864" s="291" t="s">
        <v>265</v>
      </c>
      <c r="C864" s="278">
        <f>+D454</f>
        <v>0</v>
      </c>
    </row>
    <row r="865" spans="1:3" x14ac:dyDescent="0.2">
      <c r="A865" s="287" t="s">
        <v>582</v>
      </c>
      <c r="B865" s="291" t="s">
        <v>248</v>
      </c>
      <c r="C865" s="278">
        <f>+D578</f>
        <v>0</v>
      </c>
    </row>
    <row r="866" spans="1:3" x14ac:dyDescent="0.2">
      <c r="A866" s="287" t="s">
        <v>582</v>
      </c>
      <c r="B866" s="291" t="s">
        <v>219</v>
      </c>
      <c r="C866" s="278">
        <f>+D576+C99</f>
        <v>0</v>
      </c>
    </row>
    <row r="867" spans="1:3" x14ac:dyDescent="0.2">
      <c r="A867" s="287" t="s">
        <v>580</v>
      </c>
      <c r="B867" s="290" t="s">
        <v>276</v>
      </c>
      <c r="C867" s="278">
        <f>+D545+D751</f>
        <v>0</v>
      </c>
    </row>
    <row r="868" spans="1:3" x14ac:dyDescent="0.2">
      <c r="A868" s="287" t="s">
        <v>588</v>
      </c>
      <c r="B868" s="290" t="s">
        <v>277</v>
      </c>
      <c r="C868" s="278">
        <f>+D754</f>
        <v>0</v>
      </c>
    </row>
    <row r="869" spans="1:3" x14ac:dyDescent="0.2">
      <c r="A869" s="287" t="s">
        <v>573</v>
      </c>
      <c r="B869" s="290" t="s">
        <v>278</v>
      </c>
      <c r="C869" s="278">
        <f>+D464</f>
        <v>0</v>
      </c>
    </row>
    <row r="870" spans="1:3" x14ac:dyDescent="0.2">
      <c r="A870" s="287"/>
      <c r="B870" s="293" t="s">
        <v>279</v>
      </c>
      <c r="C870" s="278">
        <f>SUM(C871:C888)</f>
        <v>0</v>
      </c>
    </row>
    <row r="871" spans="1:3" x14ac:dyDescent="0.2">
      <c r="A871" s="294">
        <v>1075531</v>
      </c>
      <c r="B871" s="295" t="s">
        <v>152</v>
      </c>
      <c r="C871" s="277">
        <f>+D432</f>
        <v>0</v>
      </c>
    </row>
    <row r="872" spans="1:3" x14ac:dyDescent="0.2">
      <c r="A872" s="294">
        <v>1075527</v>
      </c>
      <c r="B872" s="295" t="s">
        <v>148</v>
      </c>
      <c r="C872" s="277">
        <f>+D389</f>
        <v>0</v>
      </c>
    </row>
    <row r="873" spans="1:3" x14ac:dyDescent="0.2">
      <c r="A873" s="294" t="s">
        <v>569</v>
      </c>
      <c r="B873" s="296" t="s">
        <v>280</v>
      </c>
      <c r="C873" s="278">
        <f>+D390+D433</f>
        <v>0</v>
      </c>
    </row>
    <row r="874" spans="1:3" x14ac:dyDescent="0.2">
      <c r="A874" s="294">
        <v>1075529</v>
      </c>
      <c r="B874" s="297" t="s">
        <v>150</v>
      </c>
      <c r="C874" s="277">
        <f>+D410</f>
        <v>0</v>
      </c>
    </row>
    <row r="875" spans="1:3" x14ac:dyDescent="0.2">
      <c r="A875" s="294">
        <v>1075525</v>
      </c>
      <c r="B875" s="295" t="s">
        <v>146</v>
      </c>
      <c r="C875" s="277">
        <f>+D367</f>
        <v>0</v>
      </c>
    </row>
    <row r="876" spans="1:3" x14ac:dyDescent="0.2">
      <c r="A876" s="294">
        <v>1075528</v>
      </c>
      <c r="B876" s="297" t="s">
        <v>149</v>
      </c>
      <c r="C876" s="277">
        <f>+D400</f>
        <v>0</v>
      </c>
    </row>
    <row r="877" spans="1:3" x14ac:dyDescent="0.2">
      <c r="A877" s="294">
        <v>1075524</v>
      </c>
      <c r="B877" s="297" t="s">
        <v>145</v>
      </c>
      <c r="C877" s="277">
        <f>+D356</f>
        <v>0</v>
      </c>
    </row>
    <row r="878" spans="1:3" x14ac:dyDescent="0.2">
      <c r="A878" s="294">
        <v>1075530</v>
      </c>
      <c r="B878" s="297" t="s">
        <v>151</v>
      </c>
      <c r="C878" s="277">
        <f>+D421</f>
        <v>0</v>
      </c>
    </row>
    <row r="879" spans="1:3" x14ac:dyDescent="0.2">
      <c r="A879" s="294">
        <v>1075526</v>
      </c>
      <c r="B879" s="295" t="s">
        <v>147</v>
      </c>
      <c r="C879" s="277">
        <f>+D378</f>
        <v>0</v>
      </c>
    </row>
    <row r="880" spans="1:3" x14ac:dyDescent="0.2">
      <c r="A880" s="294" t="s">
        <v>569</v>
      </c>
      <c r="B880" s="296" t="s">
        <v>281</v>
      </c>
      <c r="C880" s="278">
        <f>+D403+D413+D424+D436</f>
        <v>0</v>
      </c>
    </row>
    <row r="881" spans="1:3" x14ac:dyDescent="0.2">
      <c r="A881" s="294" t="s">
        <v>569</v>
      </c>
      <c r="B881" s="296" t="s">
        <v>282</v>
      </c>
      <c r="C881" s="278">
        <f>+D358+D369+D380+D392</f>
        <v>0</v>
      </c>
    </row>
    <row r="882" spans="1:3" x14ac:dyDescent="0.2">
      <c r="A882" s="294" t="s">
        <v>569</v>
      </c>
      <c r="B882" s="296" t="s">
        <v>283</v>
      </c>
      <c r="C882" s="278">
        <f>+D357+D368+D379+D391</f>
        <v>0</v>
      </c>
    </row>
    <row r="883" spans="1:3" x14ac:dyDescent="0.2">
      <c r="A883" s="294" t="s">
        <v>569</v>
      </c>
      <c r="B883" s="298" t="s">
        <v>214</v>
      </c>
      <c r="C883" s="278">
        <f>+C94+D363+D374+D385+D396+D406+D417+D428+D438</f>
        <v>0</v>
      </c>
    </row>
    <row r="884" spans="1:3" x14ac:dyDescent="0.2">
      <c r="A884" s="294" t="s">
        <v>569</v>
      </c>
      <c r="B884" s="298" t="s">
        <v>213</v>
      </c>
      <c r="C884" s="278">
        <f>+C93+D362+D373+D384+D395+D405+D416+D427+D437</f>
        <v>0</v>
      </c>
    </row>
    <row r="885" spans="1:3" x14ac:dyDescent="0.2">
      <c r="A885" s="294" t="s">
        <v>569</v>
      </c>
      <c r="B885" s="296" t="s">
        <v>215</v>
      </c>
      <c r="C885" s="278">
        <f>+C95+D359+D370+D381+D393+D401+D411+D422+D434</f>
        <v>0</v>
      </c>
    </row>
    <row r="886" spans="1:3" x14ac:dyDescent="0.2">
      <c r="A886" s="294" t="s">
        <v>569</v>
      </c>
      <c r="B886" s="296" t="s">
        <v>209</v>
      </c>
      <c r="C886" s="278">
        <f>+C89+D364+D375+D386+D397+D407+D418+D429+D439</f>
        <v>0</v>
      </c>
    </row>
    <row r="887" spans="1:3" x14ac:dyDescent="0.2">
      <c r="A887" s="294" t="s">
        <v>569</v>
      </c>
      <c r="B887" s="296" t="s">
        <v>284</v>
      </c>
      <c r="C887" s="278">
        <f>+D361+D372+D383+D404+D414+D425</f>
        <v>0</v>
      </c>
    </row>
    <row r="888" spans="1:3" x14ac:dyDescent="0.2">
      <c r="A888" s="294" t="s">
        <v>569</v>
      </c>
      <c r="B888" s="298" t="s">
        <v>220</v>
      </c>
      <c r="C888" s="278">
        <f>+C100+D360+D371+D382+D394+D402+D412+D423+D435</f>
        <v>0</v>
      </c>
    </row>
    <row r="889" spans="1:3" ht="15.75" x14ac:dyDescent="0.25">
      <c r="A889" s="294"/>
      <c r="B889" s="299" t="s">
        <v>285</v>
      </c>
      <c r="C889" s="278">
        <f>SUM(C890:C902)</f>
        <v>0</v>
      </c>
    </row>
    <row r="890" spans="1:3" x14ac:dyDescent="0.2">
      <c r="A890" s="300">
        <v>1075573</v>
      </c>
      <c r="B890" s="301" t="s">
        <v>161</v>
      </c>
      <c r="C890" s="277">
        <f>+D488</f>
        <v>0</v>
      </c>
    </row>
    <row r="891" spans="1:3" x14ac:dyDescent="0.2">
      <c r="A891" s="300">
        <v>1075572</v>
      </c>
      <c r="B891" s="302" t="s">
        <v>160</v>
      </c>
      <c r="C891" s="277">
        <f>+D483</f>
        <v>0</v>
      </c>
    </row>
    <row r="892" spans="1:3" x14ac:dyDescent="0.2">
      <c r="A892" s="300">
        <v>1075574</v>
      </c>
      <c r="B892" s="302" t="s">
        <v>162</v>
      </c>
      <c r="C892" s="277">
        <f>+D493</f>
        <v>0</v>
      </c>
    </row>
    <row r="893" spans="1:3" x14ac:dyDescent="0.2">
      <c r="A893" s="300">
        <v>1075575</v>
      </c>
      <c r="B893" s="302" t="s">
        <v>163</v>
      </c>
      <c r="C893" s="277">
        <f>+D498</f>
        <v>0</v>
      </c>
    </row>
    <row r="894" spans="1:3" x14ac:dyDescent="0.2">
      <c r="A894" s="300">
        <v>1075576</v>
      </c>
      <c r="B894" s="301" t="s">
        <v>164</v>
      </c>
      <c r="C894" s="277">
        <f>+D504</f>
        <v>0</v>
      </c>
    </row>
    <row r="895" spans="1:3" x14ac:dyDescent="0.2">
      <c r="A895" s="300">
        <v>1075565</v>
      </c>
      <c r="B895" s="301" t="s">
        <v>159</v>
      </c>
      <c r="C895" s="277">
        <f>+D479</f>
        <v>0</v>
      </c>
    </row>
    <row r="896" spans="1:3" x14ac:dyDescent="0.2">
      <c r="A896" s="300" t="s">
        <v>576</v>
      </c>
      <c r="B896" s="303" t="s">
        <v>286</v>
      </c>
      <c r="C896" s="278">
        <f>+D510</f>
        <v>0</v>
      </c>
    </row>
    <row r="897" spans="1:3" x14ac:dyDescent="0.2">
      <c r="A897" s="300" t="s">
        <v>576</v>
      </c>
      <c r="B897" s="304" t="s">
        <v>287</v>
      </c>
      <c r="C897" s="278">
        <f>+D484+D489+D494+D505</f>
        <v>0</v>
      </c>
    </row>
    <row r="898" spans="1:3" x14ac:dyDescent="0.2">
      <c r="A898" s="300" t="s">
        <v>576</v>
      </c>
      <c r="B898" s="304" t="s">
        <v>288</v>
      </c>
      <c r="C898" s="278">
        <f>+D501+D509</f>
        <v>0</v>
      </c>
    </row>
    <row r="899" spans="1:3" x14ac:dyDescent="0.2">
      <c r="A899" s="300" t="s">
        <v>575</v>
      </c>
      <c r="B899" s="304" t="s">
        <v>289</v>
      </c>
      <c r="C899" s="278">
        <f>+D480</f>
        <v>0</v>
      </c>
    </row>
    <row r="900" spans="1:3" x14ac:dyDescent="0.2">
      <c r="A900" s="300" t="s">
        <v>576</v>
      </c>
      <c r="B900" s="303" t="s">
        <v>290</v>
      </c>
      <c r="C900" s="278">
        <f>+D485+D490+D495+D499+D506</f>
        <v>0</v>
      </c>
    </row>
    <row r="901" spans="1:3" x14ac:dyDescent="0.2">
      <c r="A901" s="300" t="s">
        <v>576</v>
      </c>
      <c r="B901" s="303" t="s">
        <v>291</v>
      </c>
      <c r="C901" s="278">
        <f>+D500+D508</f>
        <v>0</v>
      </c>
    </row>
    <row r="902" spans="1:3" x14ac:dyDescent="0.2">
      <c r="A902" s="300" t="s">
        <v>576</v>
      </c>
      <c r="B902" s="304" t="s">
        <v>276</v>
      </c>
      <c r="C902" s="278">
        <f>+D507</f>
        <v>0</v>
      </c>
    </row>
    <row r="903" spans="1:3" ht="15.75" x14ac:dyDescent="0.25">
      <c r="A903" s="300"/>
      <c r="B903" s="305" t="s">
        <v>121</v>
      </c>
      <c r="C903" s="278">
        <f>SUM(C904:C1007)</f>
        <v>0</v>
      </c>
    </row>
    <row r="904" spans="1:3" x14ac:dyDescent="0.2">
      <c r="A904" s="306">
        <f t="shared" ref="A904:C919" si="0">+A4</f>
        <v>1075500</v>
      </c>
      <c r="B904" s="307" t="str">
        <f t="shared" si="0"/>
        <v>UNIDAD PRINCIPAL BADE MADECOR</v>
      </c>
      <c r="C904" s="251">
        <f t="shared" si="0"/>
        <v>0</v>
      </c>
    </row>
    <row r="905" spans="1:3" x14ac:dyDescent="0.2">
      <c r="A905" s="306">
        <f t="shared" si="0"/>
        <v>1075501</v>
      </c>
      <c r="B905" s="307" t="str">
        <f t="shared" si="0"/>
        <v>UNIDAD PRINCIPAL  MADECOR</v>
      </c>
      <c r="C905" s="251">
        <f t="shared" si="0"/>
        <v>0</v>
      </c>
    </row>
    <row r="906" spans="1:3" x14ac:dyDescent="0.2">
      <c r="A906" s="306">
        <f t="shared" si="0"/>
        <v>1075502</v>
      </c>
      <c r="B906" s="307" t="str">
        <f t="shared" si="0"/>
        <v>UNIDAD RETORNO DOBLE CURVA MADECOR</v>
      </c>
      <c r="C906" s="251">
        <f t="shared" si="0"/>
        <v>0</v>
      </c>
    </row>
    <row r="907" spans="1:3" x14ac:dyDescent="0.2">
      <c r="A907" s="306">
        <f t="shared" si="0"/>
        <v>1075503</v>
      </c>
      <c r="B907" s="307" t="str">
        <f t="shared" si="0"/>
        <v>UNIDAD RETORNO DERECHA  MADECOR</v>
      </c>
      <c r="C907" s="251">
        <f t="shared" si="0"/>
        <v>0</v>
      </c>
    </row>
    <row r="908" spans="1:3" x14ac:dyDescent="0.2">
      <c r="A908" s="306">
        <f t="shared" si="0"/>
        <v>1075504</v>
      </c>
      <c r="B908" s="307" t="str">
        <f t="shared" si="0"/>
        <v>UNIDAD RETORNO IZQUIERDA  MADECOR</v>
      </c>
      <c r="C908" s="251">
        <f t="shared" si="0"/>
        <v>0</v>
      </c>
    </row>
    <row r="909" spans="1:3" x14ac:dyDescent="0.2">
      <c r="A909" s="306">
        <f t="shared" si="0"/>
        <v>1075505</v>
      </c>
      <c r="B909" s="307" t="str">
        <f t="shared" si="0"/>
        <v>UNIDAD OVAL  MADECOR</v>
      </c>
      <c r="C909" s="251">
        <f t="shared" si="0"/>
        <v>0</v>
      </c>
    </row>
    <row r="910" spans="1:3" x14ac:dyDescent="0.2">
      <c r="A910" s="306">
        <f t="shared" si="0"/>
        <v>1075507</v>
      </c>
      <c r="B910" s="307" t="str">
        <f t="shared" si="0"/>
        <v>UNIDAD OVAL  NEUMATICA  MADECOR</v>
      </c>
      <c r="C910" s="251">
        <f t="shared" si="0"/>
        <v>0</v>
      </c>
    </row>
    <row r="911" spans="1:3" x14ac:dyDescent="0.2">
      <c r="A911" s="306">
        <f t="shared" si="0"/>
        <v>1075508</v>
      </c>
      <c r="B911" s="307" t="str">
        <f t="shared" si="0"/>
        <v>UNIDAD PRINCIPAL BADE FORMICA</v>
      </c>
      <c r="C911" s="251">
        <f t="shared" si="0"/>
        <v>0</v>
      </c>
    </row>
    <row r="912" spans="1:3" x14ac:dyDescent="0.2">
      <c r="A912" s="306">
        <f t="shared" si="0"/>
        <v>1075509</v>
      </c>
      <c r="B912" s="307" t="str">
        <f t="shared" si="0"/>
        <v>UNIDAD PRINCIPAL  FORMICA</v>
      </c>
      <c r="C912" s="251">
        <f t="shared" si="0"/>
        <v>0</v>
      </c>
    </row>
    <row r="913" spans="1:3" x14ac:dyDescent="0.2">
      <c r="A913" s="306">
        <f t="shared" si="0"/>
        <v>1075510</v>
      </c>
      <c r="B913" s="307" t="str">
        <f t="shared" si="0"/>
        <v>UNIDAD RETONO DOBLE CURVA FORMICA</v>
      </c>
      <c r="C913" s="251">
        <f t="shared" si="0"/>
        <v>0</v>
      </c>
    </row>
    <row r="914" spans="1:3" x14ac:dyDescent="0.2">
      <c r="A914" s="306">
        <f t="shared" si="0"/>
        <v>1075511</v>
      </c>
      <c r="B914" s="307" t="str">
        <f t="shared" si="0"/>
        <v>UNIDAD RETORNO DERECHA  FORMICA</v>
      </c>
      <c r="C914" s="251">
        <f t="shared" si="0"/>
        <v>0</v>
      </c>
    </row>
    <row r="915" spans="1:3" x14ac:dyDescent="0.2">
      <c r="A915" s="306">
        <f t="shared" si="0"/>
        <v>1075512</v>
      </c>
      <c r="B915" s="307" t="str">
        <f t="shared" si="0"/>
        <v>UNIDAD RETORNO IZQUIERDA  FORMICA</v>
      </c>
      <c r="C915" s="251">
        <f t="shared" si="0"/>
        <v>0</v>
      </c>
    </row>
    <row r="916" spans="1:3" x14ac:dyDescent="0.2">
      <c r="A916" s="306">
        <f t="shared" si="0"/>
        <v>1075513</v>
      </c>
      <c r="B916" s="307" t="str">
        <f t="shared" si="0"/>
        <v>UNIDAD OVAL  FORMICA</v>
      </c>
      <c r="C916" s="251">
        <f t="shared" si="0"/>
        <v>0</v>
      </c>
    </row>
    <row r="917" spans="1:3" x14ac:dyDescent="0.2">
      <c r="A917" s="306">
        <f t="shared" si="0"/>
        <v>1075515</v>
      </c>
      <c r="B917" s="307" t="str">
        <f t="shared" si="0"/>
        <v>UNIDAD OVAL NEUMATICA FORMICA</v>
      </c>
      <c r="C917" s="251">
        <f t="shared" si="0"/>
        <v>0</v>
      </c>
    </row>
    <row r="918" spans="1:3" x14ac:dyDescent="0.2">
      <c r="A918" s="306">
        <f t="shared" si="0"/>
        <v>1075516</v>
      </c>
      <c r="B918" s="307" t="str">
        <f t="shared" si="0"/>
        <v>UNIDAD PRINCIPAL BADE CHAPILLA</v>
      </c>
      <c r="C918" s="251">
        <f t="shared" si="0"/>
        <v>0</v>
      </c>
    </row>
    <row r="919" spans="1:3" x14ac:dyDescent="0.2">
      <c r="A919" s="306">
        <f t="shared" si="0"/>
        <v>1075517</v>
      </c>
      <c r="B919" s="307" t="str">
        <f t="shared" si="0"/>
        <v>UNIDAD PRINCIPAL  CHAPILLA</v>
      </c>
      <c r="C919" s="251">
        <f t="shared" si="0"/>
        <v>0</v>
      </c>
    </row>
    <row r="920" spans="1:3" x14ac:dyDescent="0.2">
      <c r="A920" s="306">
        <f t="shared" ref="A920:C935" si="1">+A20</f>
        <v>1075518</v>
      </c>
      <c r="B920" s="307" t="str">
        <f t="shared" si="1"/>
        <v>UNIDAD RETORNO DOBLE CURVA CHAPILLA</v>
      </c>
      <c r="C920" s="251">
        <f t="shared" si="1"/>
        <v>0</v>
      </c>
    </row>
    <row r="921" spans="1:3" x14ac:dyDescent="0.2">
      <c r="A921" s="306">
        <f t="shared" si="1"/>
        <v>1075519</v>
      </c>
      <c r="B921" s="307" t="str">
        <f t="shared" si="1"/>
        <v>UNIDAD RETORNO DERECHA  CHAPILLA</v>
      </c>
      <c r="C921" s="251">
        <f t="shared" si="1"/>
        <v>0</v>
      </c>
    </row>
    <row r="922" spans="1:3" x14ac:dyDescent="0.2">
      <c r="A922" s="306">
        <f t="shared" si="1"/>
        <v>1075520</v>
      </c>
      <c r="B922" s="307" t="str">
        <f t="shared" si="1"/>
        <v>UNIDAD RETORNO IZQUIERDA  CHAPILLA</v>
      </c>
      <c r="C922" s="251">
        <f t="shared" si="1"/>
        <v>0</v>
      </c>
    </row>
    <row r="923" spans="1:3" x14ac:dyDescent="0.2">
      <c r="A923" s="306">
        <f t="shared" si="1"/>
        <v>1075521</v>
      </c>
      <c r="B923" s="307" t="str">
        <f t="shared" si="1"/>
        <v>UNIDAD OVAL  CHAPILLA</v>
      </c>
      <c r="C923" s="251">
        <f t="shared" si="1"/>
        <v>0</v>
      </c>
    </row>
    <row r="924" spans="1:3" x14ac:dyDescent="0.2">
      <c r="A924" s="306">
        <f t="shared" si="1"/>
        <v>1075523</v>
      </c>
      <c r="B924" s="307" t="str">
        <f t="shared" si="1"/>
        <v>UNIDAD OVAL  NEUMATICA  CHAPILLA</v>
      </c>
      <c r="C924" s="251">
        <f t="shared" si="1"/>
        <v>0</v>
      </c>
    </row>
    <row r="925" spans="1:3" x14ac:dyDescent="0.2">
      <c r="A925" s="306">
        <f t="shared" si="1"/>
        <v>1075524</v>
      </c>
      <c r="B925" s="307" t="str">
        <f t="shared" si="1"/>
        <v>PANTALLA PLANA DE 140 X 50 PAÑO</v>
      </c>
      <c r="C925" s="251">
        <f t="shared" si="1"/>
        <v>0</v>
      </c>
    </row>
    <row r="926" spans="1:3" x14ac:dyDescent="0.2">
      <c r="A926" s="306">
        <f t="shared" si="1"/>
        <v>1075525</v>
      </c>
      <c r="B926" s="307" t="str">
        <f t="shared" si="1"/>
        <v>PANTALLA PLANA DE 100 X 50 PAÑO</v>
      </c>
      <c r="C926" s="251">
        <f t="shared" si="1"/>
        <v>0</v>
      </c>
    </row>
    <row r="927" spans="1:3" x14ac:dyDescent="0.2">
      <c r="A927" s="306">
        <f t="shared" si="1"/>
        <v>1075526</v>
      </c>
      <c r="B927" s="307" t="str">
        <f t="shared" si="1"/>
        <v>PANTALLA PLANA DE 45 X 50 PAÑO</v>
      </c>
      <c r="C927" s="251">
        <f t="shared" si="1"/>
        <v>0</v>
      </c>
    </row>
    <row r="928" spans="1:3" x14ac:dyDescent="0.2">
      <c r="A928" s="306">
        <f t="shared" si="1"/>
        <v>1075527</v>
      </c>
      <c r="B928" s="307" t="str">
        <f t="shared" si="1"/>
        <v>PANTALLA CURVA DE 78 X 50 PAÑO</v>
      </c>
      <c r="C928" s="251">
        <f t="shared" si="1"/>
        <v>0</v>
      </c>
    </row>
    <row r="929" spans="1:3" x14ac:dyDescent="0.2">
      <c r="A929" s="306">
        <f t="shared" si="1"/>
        <v>1075528</v>
      </c>
      <c r="B929" s="307" t="str">
        <f t="shared" si="1"/>
        <v>PANTALLA PLANA DE 140 X 50 CORDOBAN NEGRO</v>
      </c>
      <c r="C929" s="251">
        <f t="shared" si="1"/>
        <v>0</v>
      </c>
    </row>
    <row r="930" spans="1:3" x14ac:dyDescent="0.2">
      <c r="A930" s="306">
        <f t="shared" si="1"/>
        <v>1075529</v>
      </c>
      <c r="B930" s="307" t="str">
        <f t="shared" si="1"/>
        <v>PANTALLA PLANA DE 100 X 50 CORDOBAN NEGRO</v>
      </c>
      <c r="C930" s="251">
        <f t="shared" si="1"/>
        <v>0</v>
      </c>
    </row>
    <row r="931" spans="1:3" x14ac:dyDescent="0.2">
      <c r="A931" s="306">
        <f t="shared" si="1"/>
        <v>1075530</v>
      </c>
      <c r="B931" s="307" t="str">
        <f t="shared" si="1"/>
        <v>PANTALLA PLANA DE 45 X 50 CORDOBAN NEGRO</v>
      </c>
      <c r="C931" s="251">
        <f t="shared" si="1"/>
        <v>0</v>
      </c>
    </row>
    <row r="932" spans="1:3" x14ac:dyDescent="0.2">
      <c r="A932" s="306">
        <f t="shared" si="1"/>
        <v>1075531</v>
      </c>
      <c r="B932" s="307" t="str">
        <f t="shared" si="1"/>
        <v>PANTALLA CURVA DE 78 X 50 CORDOBAN NEGRO</v>
      </c>
      <c r="C932" s="251">
        <f t="shared" si="1"/>
        <v>0</v>
      </c>
    </row>
    <row r="933" spans="1:3" x14ac:dyDescent="0.2">
      <c r="A933" s="306">
        <f t="shared" si="1"/>
        <v>1075532</v>
      </c>
      <c r="B933" s="307" t="str">
        <f t="shared" si="1"/>
        <v>MOSTRADOR FORMICA</v>
      </c>
      <c r="C933" s="251">
        <f t="shared" si="1"/>
        <v>0</v>
      </c>
    </row>
    <row r="934" spans="1:3" x14ac:dyDescent="0.2">
      <c r="A934" s="306">
        <f t="shared" si="1"/>
        <v>1075533</v>
      </c>
      <c r="B934" s="307" t="str">
        <f t="shared" si="1"/>
        <v>REPISA FORMICA</v>
      </c>
      <c r="C934" s="251">
        <f t="shared" si="1"/>
        <v>0</v>
      </c>
    </row>
    <row r="935" spans="1:3" x14ac:dyDescent="0.2">
      <c r="A935" s="306">
        <f t="shared" si="1"/>
        <v>1075534</v>
      </c>
      <c r="B935" s="307" t="str">
        <f t="shared" si="1"/>
        <v>CUBIERTA COSTADO CHAPILLA PAR</v>
      </c>
      <c r="C935" s="251">
        <f t="shared" si="1"/>
        <v>0</v>
      </c>
    </row>
    <row r="936" spans="1:3" x14ac:dyDescent="0.2">
      <c r="A936" s="306">
        <f t="shared" ref="A936:C951" si="2">+A36</f>
        <v>1120113</v>
      </c>
      <c r="B936" s="307" t="str">
        <f t="shared" si="2"/>
        <v>ARCHIVADOR MADERA PLANO  B12 RED PORTA</v>
      </c>
      <c r="C936" s="251">
        <f t="shared" si="2"/>
        <v>0</v>
      </c>
    </row>
    <row r="937" spans="1:3" x14ac:dyDescent="0.2">
      <c r="A937" s="306">
        <f t="shared" si="2"/>
        <v>1075563</v>
      </c>
      <c r="B937" s="307" t="str">
        <f t="shared" si="2"/>
        <v>PORTA C.P.U. PORTA</v>
      </c>
      <c r="C937" s="251">
        <f t="shared" si="2"/>
        <v>0</v>
      </c>
    </row>
    <row r="938" spans="1:3" x14ac:dyDescent="0.2">
      <c r="A938" s="306">
        <f t="shared" si="2"/>
        <v>1075565</v>
      </c>
      <c r="B938" s="307" t="str">
        <f t="shared" si="2"/>
        <v>MULTITOMA SIN TOMAS</v>
      </c>
      <c r="C938" s="251">
        <f t="shared" si="2"/>
        <v>0</v>
      </c>
    </row>
    <row r="939" spans="1:3" x14ac:dyDescent="0.2">
      <c r="A939" s="306">
        <f t="shared" si="2"/>
        <v>1075572</v>
      </c>
      <c r="B939" s="307" t="str">
        <f t="shared" si="2"/>
        <v>ORGANIZADOR DE CABLES DE 137 PORTA</v>
      </c>
      <c r="C939" s="251">
        <f t="shared" si="2"/>
        <v>0</v>
      </c>
    </row>
    <row r="940" spans="1:3" x14ac:dyDescent="0.2">
      <c r="A940" s="306">
        <f t="shared" si="2"/>
        <v>1075573</v>
      </c>
      <c r="B940" s="307" t="str">
        <f t="shared" si="2"/>
        <v>ORGANIZADOR DE CABLES DE 110 PORTA</v>
      </c>
      <c r="C940" s="251">
        <f t="shared" si="2"/>
        <v>0</v>
      </c>
    </row>
    <row r="941" spans="1:3" x14ac:dyDescent="0.2">
      <c r="A941" s="306">
        <f t="shared" si="2"/>
        <v>1075574</v>
      </c>
      <c r="B941" s="307" t="str">
        <f t="shared" si="2"/>
        <v>ORGANIZADOR DE CABLES RETORNO 20 (2) PORTA</v>
      </c>
      <c r="C941" s="251">
        <f t="shared" si="2"/>
        <v>0</v>
      </c>
    </row>
    <row r="942" spans="1:3" x14ac:dyDescent="0.2">
      <c r="A942" s="306">
        <f t="shared" si="2"/>
        <v>1075575</v>
      </c>
      <c r="B942" s="307" t="str">
        <f t="shared" si="2"/>
        <v>CONEXIÓN A DUCTOS PORTA</v>
      </c>
      <c r="C942" s="251">
        <f t="shared" si="2"/>
        <v>0</v>
      </c>
    </row>
    <row r="943" spans="1:3" x14ac:dyDescent="0.2">
      <c r="A943" s="306">
        <f t="shared" si="2"/>
        <v>1075576</v>
      </c>
      <c r="B943" s="307" t="str">
        <f t="shared" si="2"/>
        <v>DUCTO A PISO PORTA</v>
      </c>
      <c r="C943" s="251">
        <f t="shared" si="2"/>
        <v>0</v>
      </c>
    </row>
    <row r="944" spans="1:3" x14ac:dyDescent="0.2">
      <c r="A944" s="306">
        <f t="shared" si="2"/>
        <v>1075577</v>
      </c>
      <c r="B944" s="307" t="str">
        <f t="shared" si="2"/>
        <v>CUBIERTA COSTADO MALLA PAR</v>
      </c>
      <c r="C944" s="251">
        <f t="shared" si="2"/>
        <v>0</v>
      </c>
    </row>
    <row r="945" spans="1:3" x14ac:dyDescent="0.2">
      <c r="A945" s="306">
        <f t="shared" si="2"/>
        <v>1075592</v>
      </c>
      <c r="B945" s="307" t="str">
        <f t="shared" si="2"/>
        <v>CUBIERTA VIGA 134</v>
      </c>
      <c r="C945" s="251">
        <f t="shared" si="2"/>
        <v>0</v>
      </c>
    </row>
    <row r="946" spans="1:3" x14ac:dyDescent="0.2">
      <c r="A946" s="306">
        <f t="shared" si="2"/>
        <v>1075593</v>
      </c>
      <c r="B946" s="307" t="str">
        <f t="shared" si="2"/>
        <v>CUBIERTA VIGA 107</v>
      </c>
      <c r="C946" s="251">
        <f t="shared" si="2"/>
        <v>0</v>
      </c>
    </row>
    <row r="947" spans="1:3" x14ac:dyDescent="0.2">
      <c r="A947" s="306">
        <f t="shared" si="2"/>
        <v>1075594</v>
      </c>
      <c r="B947" s="307" t="str">
        <f t="shared" si="2"/>
        <v>CUBIERTA VIGA 64</v>
      </c>
      <c r="C947" s="251">
        <f t="shared" si="2"/>
        <v>0</v>
      </c>
    </row>
    <row r="948" spans="1:3" x14ac:dyDescent="0.2">
      <c r="A948" s="306">
        <f t="shared" si="2"/>
        <v>1099915</v>
      </c>
      <c r="B948" s="307" t="str">
        <f t="shared" si="2"/>
        <v>PORTATECLADO CURVO</v>
      </c>
      <c r="C948" s="251">
        <f t="shared" si="2"/>
        <v>0</v>
      </c>
    </row>
    <row r="949" spans="1:3" x14ac:dyDescent="0.2">
      <c r="A949" s="306">
        <f t="shared" si="2"/>
        <v>1075558</v>
      </c>
      <c r="B949" s="307" t="str">
        <f t="shared" si="2"/>
        <v>RIEL DE ACCESORIOS + 4 ACCESORIOS</v>
      </c>
      <c r="C949" s="251">
        <f t="shared" si="2"/>
        <v>0</v>
      </c>
    </row>
    <row r="950" spans="1:3" x14ac:dyDescent="0.2">
      <c r="A950" s="306">
        <f t="shared" si="2"/>
        <v>1075535</v>
      </c>
      <c r="B950" s="307" t="str">
        <f t="shared" si="2"/>
        <v>FALDA PORTA 144</v>
      </c>
      <c r="C950" s="251">
        <f t="shared" si="2"/>
        <v>0</v>
      </c>
    </row>
    <row r="951" spans="1:3" x14ac:dyDescent="0.2">
      <c r="A951" s="306">
        <f t="shared" si="2"/>
        <v>1075536</v>
      </c>
      <c r="B951" s="307" t="str">
        <f t="shared" si="2"/>
        <v>FALDA PORTA 117</v>
      </c>
      <c r="C951" s="251">
        <f t="shared" si="2"/>
        <v>0</v>
      </c>
    </row>
    <row r="952" spans="1:3" x14ac:dyDescent="0.2">
      <c r="A952" s="306">
        <f t="shared" ref="A952:C967" si="3">+A52</f>
        <v>1075537</v>
      </c>
      <c r="B952" s="307" t="str">
        <f t="shared" si="3"/>
        <v>FALDA PORTA 74</v>
      </c>
      <c r="C952" s="251">
        <f t="shared" si="3"/>
        <v>0</v>
      </c>
    </row>
    <row r="953" spans="1:3" x14ac:dyDescent="0.2">
      <c r="A953" s="306">
        <f t="shared" si="3"/>
        <v>1075538</v>
      </c>
      <c r="B953" s="307" t="str">
        <f t="shared" si="3"/>
        <v>COSTADO TUBO PAR</v>
      </c>
      <c r="C953" s="251">
        <f t="shared" si="3"/>
        <v>0</v>
      </c>
    </row>
    <row r="954" spans="1:3" x14ac:dyDescent="0.2">
      <c r="A954" s="306">
        <f t="shared" si="3"/>
        <v>1075539</v>
      </c>
      <c r="B954" s="307" t="str">
        <f t="shared" si="3"/>
        <v>BADE PORTA</v>
      </c>
      <c r="C954" s="251">
        <f t="shared" si="3"/>
        <v>0</v>
      </c>
    </row>
    <row r="955" spans="1:3" x14ac:dyDescent="0.2">
      <c r="A955" s="306">
        <f t="shared" si="3"/>
        <v>1075540</v>
      </c>
      <c r="B955" s="307" t="str">
        <f t="shared" si="3"/>
        <v>SUPERFICIE PRINCIPAL BADE MADECOR</v>
      </c>
      <c r="C955" s="251">
        <f t="shared" si="3"/>
        <v>0</v>
      </c>
    </row>
    <row r="956" spans="1:3" x14ac:dyDescent="0.2">
      <c r="A956" s="306">
        <f t="shared" si="3"/>
        <v>1075541</v>
      </c>
      <c r="B956" s="307" t="str">
        <f t="shared" si="3"/>
        <v>SUPERFICIE PRINCIPAL MADECOR</v>
      </c>
      <c r="C956" s="251">
        <f t="shared" si="3"/>
        <v>0</v>
      </c>
    </row>
    <row r="957" spans="1:3" x14ac:dyDescent="0.2">
      <c r="A957" s="306">
        <f t="shared" si="3"/>
        <v>1075542</v>
      </c>
      <c r="B957" s="307" t="str">
        <f t="shared" si="3"/>
        <v>SUPERFICIE RETORNO DOBLE CURVA MADECOR</v>
      </c>
      <c r="C957" s="251">
        <f t="shared" si="3"/>
        <v>0</v>
      </c>
    </row>
    <row r="958" spans="1:3" x14ac:dyDescent="0.2">
      <c r="A958" s="306">
        <f t="shared" si="3"/>
        <v>1075543</v>
      </c>
      <c r="B958" s="307" t="str">
        <f t="shared" si="3"/>
        <v>SUPERFICIE RETORNO DERECHA MADECOR</v>
      </c>
      <c r="C958" s="251">
        <f t="shared" si="3"/>
        <v>0</v>
      </c>
    </row>
    <row r="959" spans="1:3" x14ac:dyDescent="0.2">
      <c r="A959" s="306">
        <f t="shared" si="3"/>
        <v>1075544</v>
      </c>
      <c r="B959" s="307" t="str">
        <f t="shared" si="3"/>
        <v>SUPERFICIE RETORNO IZQUIERDA MADECOR</v>
      </c>
      <c r="C959" s="251">
        <f t="shared" si="3"/>
        <v>0</v>
      </c>
    </row>
    <row r="960" spans="1:3" x14ac:dyDescent="0.2">
      <c r="A960" s="306">
        <f t="shared" si="3"/>
        <v>1075545</v>
      </c>
      <c r="B960" s="307" t="str">
        <f t="shared" si="3"/>
        <v>SUPERFICIE OVAL MADECOR</v>
      </c>
      <c r="C960" s="251">
        <f t="shared" si="3"/>
        <v>0</v>
      </c>
    </row>
    <row r="961" spans="1:3" x14ac:dyDescent="0.2">
      <c r="A961" s="306">
        <f t="shared" si="3"/>
        <v>1075546</v>
      </c>
      <c r="B961" s="307" t="str">
        <f t="shared" si="3"/>
        <v>SUPERFICIE PRINCIPAL BADE FORMICA</v>
      </c>
      <c r="C961" s="251">
        <f t="shared" si="3"/>
        <v>0</v>
      </c>
    </row>
    <row r="962" spans="1:3" x14ac:dyDescent="0.2">
      <c r="A962" s="306">
        <f t="shared" si="3"/>
        <v>1075547</v>
      </c>
      <c r="B962" s="307" t="str">
        <f t="shared" si="3"/>
        <v>SUPERFICIE PRINCIPAL FORMICA</v>
      </c>
      <c r="C962" s="251">
        <f t="shared" si="3"/>
        <v>0</v>
      </c>
    </row>
    <row r="963" spans="1:3" x14ac:dyDescent="0.2">
      <c r="A963" s="306">
        <f t="shared" si="3"/>
        <v>1075548</v>
      </c>
      <c r="B963" s="307" t="str">
        <f t="shared" si="3"/>
        <v>SUPERFICIE RETORNO DOBLE CURVA FORMICA</v>
      </c>
      <c r="C963" s="251">
        <f t="shared" si="3"/>
        <v>0</v>
      </c>
    </row>
    <row r="964" spans="1:3" x14ac:dyDescent="0.2">
      <c r="A964" s="306">
        <f t="shared" si="3"/>
        <v>1075549</v>
      </c>
      <c r="B964" s="307" t="str">
        <f t="shared" si="3"/>
        <v>SUPERFICIE RETORNO DERECHA FORMICA</v>
      </c>
      <c r="C964" s="251">
        <f t="shared" si="3"/>
        <v>0</v>
      </c>
    </row>
    <row r="965" spans="1:3" x14ac:dyDescent="0.2">
      <c r="A965" s="306">
        <f t="shared" si="3"/>
        <v>1075550</v>
      </c>
      <c r="B965" s="307" t="str">
        <f t="shared" si="3"/>
        <v>SUPERFICIE RETORNO IZQUIERDA FORMICA</v>
      </c>
      <c r="C965" s="251">
        <f t="shared" si="3"/>
        <v>0</v>
      </c>
    </row>
    <row r="966" spans="1:3" x14ac:dyDescent="0.2">
      <c r="A966" s="306">
        <f t="shared" si="3"/>
        <v>1075551</v>
      </c>
      <c r="B966" s="307" t="str">
        <f t="shared" si="3"/>
        <v>SUPERFICIE OVAL FORMICA</v>
      </c>
      <c r="C966" s="251">
        <f t="shared" si="3"/>
        <v>0</v>
      </c>
    </row>
    <row r="967" spans="1:3" x14ac:dyDescent="0.2">
      <c r="A967" s="306">
        <f t="shared" si="3"/>
        <v>1075552</v>
      </c>
      <c r="B967" s="307" t="str">
        <f t="shared" si="3"/>
        <v>SUPERFICIE PRINCIPAL BADE CHAPILLA</v>
      </c>
      <c r="C967" s="251">
        <f t="shared" si="3"/>
        <v>0</v>
      </c>
    </row>
    <row r="968" spans="1:3" x14ac:dyDescent="0.2">
      <c r="A968" s="306">
        <f t="shared" ref="A968:C983" si="4">+A68</f>
        <v>1075553</v>
      </c>
      <c r="B968" s="307" t="str">
        <f t="shared" si="4"/>
        <v>SUPERFICIE PRINCIPAL CHAPILLA</v>
      </c>
      <c r="C968" s="251">
        <f t="shared" si="4"/>
        <v>0</v>
      </c>
    </row>
    <row r="969" spans="1:3" x14ac:dyDescent="0.2">
      <c r="A969" s="306">
        <f t="shared" si="4"/>
        <v>1075554</v>
      </c>
      <c r="B969" s="307" t="str">
        <f t="shared" si="4"/>
        <v>SUPERFICIE RETORNO DOBLE CURVA CHAPILLA</v>
      </c>
      <c r="C969" s="251">
        <f t="shared" si="4"/>
        <v>0</v>
      </c>
    </row>
    <row r="970" spans="1:3" x14ac:dyDescent="0.2">
      <c r="A970" s="306">
        <f t="shared" si="4"/>
        <v>1075555</v>
      </c>
      <c r="B970" s="307" t="str">
        <f t="shared" si="4"/>
        <v>SUPERFICIE RETORNO DERECHA CHAPILLA</v>
      </c>
      <c r="C970" s="251">
        <f t="shared" si="4"/>
        <v>0</v>
      </c>
    </row>
    <row r="971" spans="1:3" x14ac:dyDescent="0.2">
      <c r="A971" s="306">
        <f t="shared" si="4"/>
        <v>1075556</v>
      </c>
      <c r="B971" s="307" t="str">
        <f t="shared" si="4"/>
        <v>SUPERFICIE RETORNO IZQUIERDA CHAPILLA</v>
      </c>
      <c r="C971" s="251">
        <f t="shared" si="4"/>
        <v>0</v>
      </c>
    </row>
    <row r="972" spans="1:3" x14ac:dyDescent="0.2">
      <c r="A972" s="306">
        <f t="shared" si="4"/>
        <v>1075557</v>
      </c>
      <c r="B972" s="307" t="str">
        <f t="shared" si="4"/>
        <v>SUPERFICIE OVAL CHAPILLA</v>
      </c>
      <c r="C972" s="251">
        <f t="shared" si="4"/>
        <v>0</v>
      </c>
    </row>
    <row r="973" spans="1:3" x14ac:dyDescent="0.2">
      <c r="A973" s="306">
        <f t="shared" si="4"/>
        <v>1075559</v>
      </c>
      <c r="B973" s="307" t="str">
        <f t="shared" si="4"/>
        <v>ACCESORIO TABLERO AFICHABLE</v>
      </c>
      <c r="C973" s="251">
        <f t="shared" si="4"/>
        <v>0</v>
      </c>
    </row>
    <row r="974" spans="1:3" x14ac:dyDescent="0.2">
      <c r="A974" s="306">
        <f t="shared" si="4"/>
        <v>1075560</v>
      </c>
      <c r="B974" s="307" t="str">
        <f t="shared" si="4"/>
        <v>ACCESORIO PORTA  LAPIZ</v>
      </c>
      <c r="C974" s="251">
        <f t="shared" si="4"/>
        <v>0</v>
      </c>
    </row>
    <row r="975" spans="1:3" x14ac:dyDescent="0.2">
      <c r="A975" s="306">
        <f t="shared" si="4"/>
        <v>1075561</v>
      </c>
      <c r="B975" s="307" t="str">
        <f t="shared" si="4"/>
        <v>ACCESORIO REPISA  DISQUETTES</v>
      </c>
      <c r="C975" s="251">
        <f t="shared" si="4"/>
        <v>0</v>
      </c>
    </row>
    <row r="976" spans="1:3" x14ac:dyDescent="0.2">
      <c r="A976" s="306">
        <f t="shared" si="4"/>
        <v>1075562</v>
      </c>
      <c r="B976" s="307" t="str">
        <f t="shared" si="4"/>
        <v>ACCESORIO ARCHIVADOR ZIGZAG</v>
      </c>
      <c r="C976" s="251">
        <f t="shared" si="4"/>
        <v>0</v>
      </c>
    </row>
    <row r="977" spans="1:3" x14ac:dyDescent="0.2">
      <c r="A977" s="306">
        <f t="shared" si="4"/>
        <v>1075578</v>
      </c>
      <c r="B977" s="307" t="str">
        <f t="shared" si="4"/>
        <v>ESTRUCTURA PRINCIPAL BADE</v>
      </c>
      <c r="C977" s="251">
        <f t="shared" si="4"/>
        <v>0</v>
      </c>
    </row>
    <row r="978" spans="1:3" x14ac:dyDescent="0.2">
      <c r="A978" s="306">
        <f t="shared" si="4"/>
        <v>1075579</v>
      </c>
      <c r="B978" s="307" t="str">
        <f t="shared" si="4"/>
        <v>ESTRUCTURA PRINCIPAL</v>
      </c>
      <c r="C978" s="251">
        <f t="shared" si="4"/>
        <v>0</v>
      </c>
    </row>
    <row r="979" spans="1:3" x14ac:dyDescent="0.2">
      <c r="A979" s="306">
        <f t="shared" si="4"/>
        <v>1075580</v>
      </c>
      <c r="B979" s="307" t="str">
        <f t="shared" si="4"/>
        <v>ESTRUCTURA RETORNOS</v>
      </c>
      <c r="C979" s="251">
        <f t="shared" si="4"/>
        <v>0</v>
      </c>
    </row>
    <row r="980" spans="1:3" x14ac:dyDescent="0.2">
      <c r="A980" s="306">
        <f t="shared" si="4"/>
        <v>1075581</v>
      </c>
      <c r="B980" s="307" t="str">
        <f t="shared" si="4"/>
        <v>BASE DIAMETRO 90</v>
      </c>
      <c r="C980" s="251">
        <f t="shared" si="4"/>
        <v>0</v>
      </c>
    </row>
    <row r="981" spans="1:3" x14ac:dyDescent="0.2">
      <c r="A981" s="306">
        <f t="shared" si="4"/>
        <v>1075582</v>
      </c>
      <c r="B981" s="307" t="str">
        <f t="shared" si="4"/>
        <v>BASE DIAMETRO NEUMATICA</v>
      </c>
      <c r="C981" s="251">
        <f t="shared" si="4"/>
        <v>0</v>
      </c>
    </row>
    <row r="982" spans="1:3" x14ac:dyDescent="0.2">
      <c r="A982" s="306">
        <f t="shared" si="4"/>
        <v>1075587</v>
      </c>
      <c r="B982" s="307" t="str">
        <f t="shared" si="4"/>
        <v>SOPORTE REPISA</v>
      </c>
      <c r="C982" s="251">
        <f t="shared" si="4"/>
        <v>0</v>
      </c>
    </row>
    <row r="983" spans="1:3" x14ac:dyDescent="0.2">
      <c r="A983" s="306">
        <f t="shared" si="4"/>
        <v>1075588</v>
      </c>
      <c r="B983" s="307" t="str">
        <f t="shared" si="4"/>
        <v>SOPORTE MOSTRADOR PAR</v>
      </c>
      <c r="C983" s="251">
        <f t="shared" si="4"/>
        <v>0</v>
      </c>
    </row>
    <row r="984" spans="1:3" x14ac:dyDescent="0.2">
      <c r="A984" s="306">
        <f t="shared" ref="A984:C999" si="5">+A84</f>
        <v>1075589</v>
      </c>
      <c r="B984" s="307" t="str">
        <f t="shared" si="5"/>
        <v>CANALETA CUBIERTA VIGA 124</v>
      </c>
      <c r="C984" s="251">
        <f t="shared" si="5"/>
        <v>0</v>
      </c>
    </row>
    <row r="985" spans="1:3" x14ac:dyDescent="0.2">
      <c r="A985" s="306">
        <f t="shared" si="5"/>
        <v>1075590</v>
      </c>
      <c r="B985" s="307" t="str">
        <f t="shared" si="5"/>
        <v>CANALETA CUBIERTA VIGA 97</v>
      </c>
      <c r="C985" s="251">
        <f t="shared" si="5"/>
        <v>0</v>
      </c>
    </row>
    <row r="986" spans="1:3" x14ac:dyDescent="0.2">
      <c r="A986" s="306">
        <f t="shared" si="5"/>
        <v>1075591</v>
      </c>
      <c r="B986" s="307" t="str">
        <f t="shared" si="5"/>
        <v>CANALETA CUBIERTA VIGA 54</v>
      </c>
      <c r="C986" s="251">
        <f t="shared" si="5"/>
        <v>0</v>
      </c>
    </row>
    <row r="987" spans="1:3" x14ac:dyDescent="0.2">
      <c r="A987" s="306">
        <f t="shared" si="5"/>
        <v>1075982</v>
      </c>
      <c r="B987" s="307" t="str">
        <f t="shared" si="5"/>
        <v>SOPORTE CENTRAL</v>
      </c>
      <c r="C987" s="251">
        <f t="shared" si="5"/>
        <v>0</v>
      </c>
    </row>
    <row r="988" spans="1:3" x14ac:dyDescent="0.2">
      <c r="A988" s="306">
        <f t="shared" si="5"/>
        <v>1075983</v>
      </c>
      <c r="B988" s="307" t="str">
        <f t="shared" si="5"/>
        <v>PASACABLES PORTA 25MM.</v>
      </c>
      <c r="C988" s="251">
        <f t="shared" si="5"/>
        <v>0</v>
      </c>
    </row>
    <row r="989" spans="1:3" x14ac:dyDescent="0.2">
      <c r="A989" s="306">
        <f t="shared" si="5"/>
        <v>1075985</v>
      </c>
      <c r="B989" s="307" t="str">
        <f t="shared" si="5"/>
        <v>SUPLEMENTO PRENSA PORTA</v>
      </c>
      <c r="C989" s="251">
        <f t="shared" si="5"/>
        <v>0</v>
      </c>
    </row>
    <row r="990" spans="1:3" x14ac:dyDescent="0.2">
      <c r="A990" s="306">
        <f t="shared" si="5"/>
        <v>1075986</v>
      </c>
      <c r="B990" s="307" t="str">
        <f t="shared" si="5"/>
        <v>HERRAJE PLINARES</v>
      </c>
      <c r="C990" s="251">
        <f t="shared" si="5"/>
        <v>0</v>
      </c>
    </row>
    <row r="991" spans="1:3" x14ac:dyDescent="0.2">
      <c r="A991" s="306">
        <f t="shared" si="5"/>
        <v>1075987</v>
      </c>
      <c r="B991" s="307" t="str">
        <f t="shared" si="5"/>
        <v>INSERTO METALICO / TECLADO 5/32"</v>
      </c>
      <c r="C991" s="251">
        <f t="shared" si="5"/>
        <v>0</v>
      </c>
    </row>
    <row r="992" spans="1:3" x14ac:dyDescent="0.2">
      <c r="A992" s="306">
        <f t="shared" si="5"/>
        <v>1075988</v>
      </c>
      <c r="B992" s="307" t="str">
        <f t="shared" si="5"/>
        <v>INSERTO METALICO / COSTADO 1/4"</v>
      </c>
      <c r="C992" s="251">
        <f t="shared" si="5"/>
        <v>0</v>
      </c>
    </row>
    <row r="993" spans="1:3" x14ac:dyDescent="0.2">
      <c r="A993" s="306">
        <f t="shared" si="5"/>
        <v>1075989</v>
      </c>
      <c r="B993" s="307" t="str">
        <f t="shared" si="5"/>
        <v>PATIN VERTICAL</v>
      </c>
      <c r="C993" s="251">
        <f t="shared" si="5"/>
        <v>0</v>
      </c>
    </row>
    <row r="994" spans="1:3" x14ac:dyDescent="0.2">
      <c r="A994" s="306">
        <f t="shared" si="5"/>
        <v>1075990</v>
      </c>
      <c r="B994" s="307" t="str">
        <f t="shared" si="5"/>
        <v>PATIN HORIZONTAL</v>
      </c>
      <c r="C994" s="251">
        <f t="shared" si="5"/>
        <v>0</v>
      </c>
    </row>
    <row r="995" spans="1:3" x14ac:dyDescent="0.2">
      <c r="A995" s="306">
        <f t="shared" si="5"/>
        <v>1075991</v>
      </c>
      <c r="B995" s="307" t="str">
        <f t="shared" si="5"/>
        <v>PRENSA</v>
      </c>
      <c r="C995" s="251">
        <f t="shared" si="5"/>
        <v>0</v>
      </c>
    </row>
    <row r="996" spans="1:3" x14ac:dyDescent="0.2">
      <c r="A996" s="306">
        <f t="shared" si="5"/>
        <v>1075992</v>
      </c>
      <c r="B996" s="307" t="str">
        <f t="shared" si="5"/>
        <v>PUNTERA PLASTICA</v>
      </c>
      <c r="C996" s="251">
        <f t="shared" si="5"/>
        <v>0</v>
      </c>
    </row>
    <row r="997" spans="1:3" x14ac:dyDescent="0.2">
      <c r="A997" s="306">
        <f t="shared" si="5"/>
        <v>1075993</v>
      </c>
      <c r="B997" s="307" t="str">
        <f t="shared" si="5"/>
        <v>TIRAFONDOS</v>
      </c>
      <c r="C997" s="251">
        <f t="shared" si="5"/>
        <v>0</v>
      </c>
    </row>
    <row r="998" spans="1:3" x14ac:dyDescent="0.2">
      <c r="A998" s="306">
        <f t="shared" si="5"/>
        <v>1075995</v>
      </c>
      <c r="B998" s="307" t="str">
        <f t="shared" si="5"/>
        <v>TORNILLO BRISTOL 3/4  1/4 R.O.</v>
      </c>
      <c r="C998" s="251">
        <f t="shared" si="5"/>
        <v>0</v>
      </c>
    </row>
    <row r="999" spans="1:3" x14ac:dyDescent="0.2">
      <c r="A999" s="306">
        <f t="shared" si="5"/>
        <v>1075996</v>
      </c>
      <c r="B999" s="307" t="str">
        <f t="shared" si="5"/>
        <v>TORNILLO NIVELADOR 5/16</v>
      </c>
      <c r="C999" s="251">
        <f t="shared" si="5"/>
        <v>0</v>
      </c>
    </row>
    <row r="1000" spans="1:3" x14ac:dyDescent="0.2">
      <c r="A1000" s="306">
        <f t="shared" ref="A1000:C1007" si="6">+A100</f>
        <v>1075997</v>
      </c>
      <c r="B1000" s="307" t="str">
        <f t="shared" si="6"/>
        <v>TORNILLO PHILLIPS DE 8 X 5/8 AVEL</v>
      </c>
      <c r="C1000" s="251">
        <f t="shared" si="6"/>
        <v>0</v>
      </c>
    </row>
    <row r="1001" spans="1:3" x14ac:dyDescent="0.2">
      <c r="A1001" s="306">
        <f t="shared" si="6"/>
        <v>1075998</v>
      </c>
      <c r="B1001" s="307" t="str">
        <f t="shared" si="6"/>
        <v>LLAVE BRISTOL 3/16</v>
      </c>
      <c r="C1001" s="251">
        <f t="shared" si="6"/>
        <v>0</v>
      </c>
    </row>
    <row r="1002" spans="1:3" x14ac:dyDescent="0.2">
      <c r="A1002" s="306">
        <f t="shared" si="6"/>
        <v>1075826</v>
      </c>
      <c r="B1002" s="307" t="str">
        <f t="shared" si="6"/>
        <v>KIT ESTRUCTURA PRINCIPAL BADE</v>
      </c>
      <c r="C1002" s="251">
        <f t="shared" si="6"/>
        <v>0</v>
      </c>
    </row>
    <row r="1003" spans="1:3" x14ac:dyDescent="0.2">
      <c r="A1003" s="306">
        <f t="shared" si="6"/>
        <v>1075827</v>
      </c>
      <c r="B1003" s="307" t="str">
        <f t="shared" si="6"/>
        <v>KIT ESTRUCTURA PRINCIPAL</v>
      </c>
      <c r="C1003" s="251">
        <f t="shared" si="6"/>
        <v>0</v>
      </c>
    </row>
    <row r="1004" spans="1:3" x14ac:dyDescent="0.2">
      <c r="A1004" s="306">
        <f t="shared" si="6"/>
        <v>1075828</v>
      </c>
      <c r="B1004" s="307" t="str">
        <f t="shared" si="6"/>
        <v>KIT ESTRUCTURA RETORNO RECTO CURVO</v>
      </c>
      <c r="C1004" s="251">
        <f t="shared" si="6"/>
        <v>0</v>
      </c>
    </row>
    <row r="1005" spans="1:3" x14ac:dyDescent="0.2">
      <c r="A1005" s="306">
        <f t="shared" si="6"/>
        <v>1075829</v>
      </c>
      <c r="B1005" s="307" t="str">
        <f t="shared" si="6"/>
        <v>KIT ESTRUCTURA RETORNO CURVO CURVO</v>
      </c>
      <c r="C1005" s="251">
        <f t="shared" si="6"/>
        <v>0</v>
      </c>
    </row>
    <row r="1006" spans="1:3" x14ac:dyDescent="0.2">
      <c r="A1006" s="306">
        <f t="shared" si="6"/>
        <v>1075830</v>
      </c>
      <c r="B1006" s="307" t="str">
        <f t="shared" si="6"/>
        <v>KIT ESTRUCTURA OVAL FIJO</v>
      </c>
      <c r="C1006" s="251">
        <f t="shared" si="6"/>
        <v>0</v>
      </c>
    </row>
    <row r="1007" spans="1:3" x14ac:dyDescent="0.2">
      <c r="A1007" s="306">
        <f t="shared" si="6"/>
        <v>1075831</v>
      </c>
      <c r="B1007" s="307" t="str">
        <f t="shared" si="6"/>
        <v>KIT ESTRUCTURA OVAL NEUMATICO</v>
      </c>
      <c r="C1007" s="251">
        <f t="shared" si="6"/>
        <v>0</v>
      </c>
    </row>
    <row r="1008" spans="1:3" x14ac:dyDescent="0.2">
      <c r="B1008" s="308"/>
    </row>
    <row r="1009" spans="2:2" x14ac:dyDescent="0.2">
      <c r="B1009" s="308"/>
    </row>
    <row r="1013" spans="2:2" x14ac:dyDescent="0.2">
      <c r="B1013" s="308"/>
    </row>
    <row r="1014" spans="2:2" x14ac:dyDescent="0.2">
      <c r="B1014" s="308"/>
    </row>
    <row r="1015" spans="2:2" x14ac:dyDescent="0.2">
      <c r="B1015" s="308"/>
    </row>
    <row r="1016" spans="2:2" x14ac:dyDescent="0.2">
      <c r="B1016" s="308"/>
    </row>
    <row r="1020" spans="2:2" x14ac:dyDescent="0.2">
      <c r="B1020" s="308"/>
    </row>
    <row r="1021" spans="2:2" x14ac:dyDescent="0.2">
      <c r="B1021" s="308"/>
    </row>
    <row r="1025" spans="2:2" x14ac:dyDescent="0.2">
      <c r="B1025" s="308"/>
    </row>
    <row r="1026" spans="2:2" x14ac:dyDescent="0.2">
      <c r="B1026" s="308"/>
    </row>
    <row r="1027" spans="2:2" x14ac:dyDescent="0.2">
      <c r="B1027" s="308"/>
    </row>
    <row r="1028" spans="2:2" x14ac:dyDescent="0.2">
      <c r="B1028" s="308"/>
    </row>
    <row r="1032" spans="2:2" x14ac:dyDescent="0.2">
      <c r="B1032" s="308"/>
    </row>
    <row r="1033" spans="2:2" x14ac:dyDescent="0.2">
      <c r="B1033" s="308"/>
    </row>
    <row r="1034" spans="2:2" x14ac:dyDescent="0.2">
      <c r="B1034" s="308"/>
    </row>
    <row r="1038" spans="2:2" x14ac:dyDescent="0.2">
      <c r="B1038" s="308"/>
    </row>
    <row r="1039" spans="2:2" x14ac:dyDescent="0.2">
      <c r="B1039" s="308"/>
    </row>
    <row r="1040" spans="2:2" x14ac:dyDescent="0.2">
      <c r="B1040" s="308"/>
    </row>
    <row r="1041" spans="2:2" x14ac:dyDescent="0.2">
      <c r="B1041" s="308"/>
    </row>
    <row r="1042" spans="2:2" x14ac:dyDescent="0.2">
      <c r="B1042" s="308"/>
    </row>
    <row r="1046" spans="2:2" x14ac:dyDescent="0.2">
      <c r="B1046" s="308"/>
    </row>
    <row r="1047" spans="2:2" x14ac:dyDescent="0.2">
      <c r="B1047" s="308"/>
    </row>
    <row r="1048" spans="2:2" x14ac:dyDescent="0.2">
      <c r="B1048" s="308"/>
    </row>
    <row r="1049" spans="2:2" x14ac:dyDescent="0.2">
      <c r="B1049" s="308"/>
    </row>
    <row r="1053" spans="2:2" x14ac:dyDescent="0.2">
      <c r="B1053" s="308"/>
    </row>
    <row r="1054" spans="2:2" x14ac:dyDescent="0.2">
      <c r="B1054" s="308"/>
    </row>
    <row r="1055" spans="2:2" x14ac:dyDescent="0.2">
      <c r="B1055" s="308"/>
    </row>
    <row r="1056" spans="2:2" x14ac:dyDescent="0.2">
      <c r="B1056" s="308"/>
    </row>
    <row r="1060" spans="2:2" x14ac:dyDescent="0.2">
      <c r="B1060" s="308"/>
    </row>
    <row r="1061" spans="2:2" x14ac:dyDescent="0.2">
      <c r="B1061" s="308"/>
    </row>
    <row r="1062" spans="2:2" x14ac:dyDescent="0.2">
      <c r="B1062" s="308"/>
    </row>
    <row r="1063" spans="2:2" x14ac:dyDescent="0.2">
      <c r="B1063" s="308"/>
    </row>
    <row r="1067" spans="2:2" x14ac:dyDescent="0.2">
      <c r="B1067" s="308"/>
    </row>
    <row r="1068" spans="2:2" x14ac:dyDescent="0.2">
      <c r="B1068" s="308"/>
    </row>
    <row r="1069" spans="2:2" x14ac:dyDescent="0.2">
      <c r="B1069" s="308"/>
    </row>
    <row r="1073" spans="2:2" x14ac:dyDescent="0.2">
      <c r="B1073" s="308"/>
    </row>
    <row r="1074" spans="2:2" x14ac:dyDescent="0.2">
      <c r="B1074" s="308"/>
    </row>
    <row r="1075" spans="2:2" x14ac:dyDescent="0.2">
      <c r="B1075" s="308"/>
    </row>
  </sheetData>
  <sheetProtection password="9291" sheet="1" objects="1" scenarios="1"/>
  <phoneticPr fontId="25" type="noConversion"/>
  <pageMargins left="0.75" right="0.75" top="1" bottom="1" header="0" footer="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 enableFormatConditionsCalculation="0">
    <tabColor indexed="22"/>
  </sheetPr>
  <dimension ref="A1:GD70"/>
  <sheetViews>
    <sheetView showGridLines="0" showZeros="0" view="pageLayout" zoomScale="60" zoomScaleNormal="80" zoomScalePageLayoutView="60" workbookViewId="0">
      <selection activeCell="L28" sqref="L28:N29"/>
    </sheetView>
  </sheetViews>
  <sheetFormatPr baseColWidth="10" defaultColWidth="0" defaultRowHeight="25.5" zeroHeight="1" x14ac:dyDescent="0.35"/>
  <cols>
    <col min="1" max="2" width="6.140625" customWidth="1"/>
    <col min="3" max="7" width="11.7109375" customWidth="1"/>
    <col min="8" max="8" width="11.7109375" style="7" customWidth="1"/>
    <col min="9" max="14" width="11.7109375" customWidth="1"/>
    <col min="15" max="15" width="0.140625" style="50" customWidth="1"/>
    <col min="16" max="16" width="10.85546875" style="701" hidden="1" customWidth="1"/>
    <col min="17" max="36" width="7.7109375" style="702" hidden="1" customWidth="1"/>
    <col min="37" max="41" width="10.85546875" style="702" hidden="1" customWidth="1"/>
    <col min="42" max="42" width="3.7109375" style="701" hidden="1" customWidth="1"/>
    <col min="43" max="43" width="10.85546875" style="701" hidden="1" customWidth="1"/>
    <col min="44" max="44" width="3.7109375" style="701" hidden="1" customWidth="1"/>
    <col min="45" max="45" width="10.85546875" style="701" hidden="1" customWidth="1"/>
    <col min="46" max="46" width="3.7109375" style="701" hidden="1" customWidth="1"/>
    <col min="47" max="47" width="10.85546875" style="701" hidden="1" customWidth="1"/>
    <col min="48" max="48" width="3.7109375" style="701" hidden="1" customWidth="1"/>
    <col min="49" max="49" width="10.85546875" style="701" hidden="1" customWidth="1"/>
    <col min="50" max="50" width="3.7109375" style="701" hidden="1" customWidth="1"/>
    <col min="51" max="51" width="10.85546875" style="701" hidden="1" customWidth="1"/>
    <col min="52" max="52" width="3.7109375" style="701" hidden="1" customWidth="1"/>
    <col min="53" max="53" width="10.85546875" style="701" hidden="1" customWidth="1"/>
    <col min="54" max="54" width="3.7109375" style="701" hidden="1" customWidth="1"/>
    <col min="55" max="55" width="10.85546875" style="701" hidden="1" customWidth="1"/>
    <col min="56" max="56" width="3.7109375" style="701" hidden="1" customWidth="1"/>
    <col min="57" max="57" width="10.85546875" style="701" hidden="1" customWidth="1"/>
    <col min="58" max="58" width="3.7109375" style="701" hidden="1" customWidth="1"/>
    <col min="59" max="59" width="10.85546875" style="701" hidden="1" customWidth="1"/>
    <col min="60" max="60" width="3.7109375" style="701" hidden="1" customWidth="1"/>
    <col min="61" max="61" width="10.85546875" style="701" hidden="1" customWidth="1"/>
    <col min="62" max="62" width="3.7109375" style="701" hidden="1" customWidth="1"/>
    <col min="63" max="63" width="10.85546875" style="701" hidden="1" customWidth="1"/>
    <col min="64" max="66" width="10.85546875" style="50" hidden="1" customWidth="1"/>
    <col min="67" max="67" width="14.7109375" style="50" hidden="1" customWidth="1"/>
    <col min="68" max="114" width="10.85546875" style="50" hidden="1" customWidth="1"/>
    <col min="115" max="115" width="14.85546875" style="50" hidden="1" customWidth="1"/>
    <col min="116" max="186" width="10.85546875" style="50" hidden="1" customWidth="1"/>
    <col min="187" max="16384" width="0" style="7" hidden="1"/>
  </cols>
  <sheetData>
    <row r="1" spans="1:63" ht="23.25" customHeight="1" x14ac:dyDescent="0.35">
      <c r="A1" s="1343"/>
      <c r="B1" s="1343"/>
      <c r="C1" s="1343"/>
      <c r="D1" s="1343"/>
      <c r="E1" s="1343"/>
      <c r="F1" s="1337" t="s">
        <v>1305</v>
      </c>
      <c r="G1" s="1338"/>
      <c r="H1" s="1338"/>
      <c r="I1" s="1338"/>
      <c r="J1" s="1338"/>
      <c r="K1" s="1338"/>
      <c r="L1" s="1338"/>
      <c r="M1" s="1338"/>
      <c r="N1" s="1339"/>
    </row>
    <row r="2" spans="1:63" ht="30.75" customHeight="1" x14ac:dyDescent="0.35">
      <c r="A2" s="1343"/>
      <c r="B2" s="1343"/>
      <c r="C2" s="1343"/>
      <c r="D2" s="1343"/>
      <c r="E2" s="1343"/>
      <c r="F2" s="1340"/>
      <c r="G2" s="1341"/>
      <c r="H2" s="1341"/>
      <c r="I2" s="1341"/>
      <c r="J2" s="1341"/>
      <c r="K2" s="1341"/>
      <c r="L2" s="1341"/>
      <c r="M2" s="1341"/>
      <c r="N2" s="1342"/>
    </row>
    <row r="3" spans="1:63" ht="18" customHeight="1" x14ac:dyDescent="0.35">
      <c r="A3" s="1336" t="s">
        <v>1306</v>
      </c>
      <c r="B3" s="1336"/>
      <c r="C3" s="1284"/>
      <c r="D3" s="1352"/>
      <c r="E3" s="1352"/>
      <c r="F3" s="1352"/>
      <c r="G3" s="1352"/>
      <c r="H3" s="1352"/>
      <c r="I3" s="1069" t="s">
        <v>465</v>
      </c>
      <c r="J3" s="1287"/>
      <c r="K3" s="1288"/>
      <c r="L3" s="1280">
        <f>+'2 MEDIA ALTURA'!J3</f>
        <v>0</v>
      </c>
      <c r="M3" s="1281"/>
      <c r="N3" s="1282"/>
    </row>
    <row r="4" spans="1:63" ht="27" customHeight="1" x14ac:dyDescent="0.35">
      <c r="A4" s="1283" t="s">
        <v>1307</v>
      </c>
      <c r="B4" s="30"/>
      <c r="C4" s="1285"/>
      <c r="D4" s="1353">
        <f>+'5 ALMACEN '!D2</f>
        <v>0</v>
      </c>
      <c r="E4" s="1353"/>
      <c r="F4" s="1353"/>
      <c r="G4" s="1353"/>
      <c r="H4" s="1353"/>
      <c r="I4" s="1051" t="s">
        <v>1308</v>
      </c>
      <c r="J4" s="1286"/>
      <c r="K4" s="1286"/>
      <c r="L4" s="1286"/>
      <c r="M4" s="1286"/>
      <c r="N4" s="1286"/>
    </row>
    <row r="5" spans="1:63" ht="3" customHeight="1" thickBot="1" x14ac:dyDescent="0.4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</row>
    <row r="6" spans="1:63" s="570" customFormat="1" ht="16.5" customHeight="1" x14ac:dyDescent="0.2">
      <c r="A6" s="1354" t="s">
        <v>0</v>
      </c>
      <c r="B6" s="1355"/>
      <c r="C6" s="1355"/>
      <c r="D6" s="1355"/>
      <c r="E6" s="1355"/>
      <c r="F6" s="1355"/>
      <c r="G6" s="1355"/>
      <c r="H6" s="1355"/>
      <c r="I6" s="1355"/>
      <c r="J6" s="1355"/>
      <c r="K6" s="1355"/>
      <c r="L6" s="1355"/>
      <c r="M6" s="1355"/>
      <c r="N6" s="1356"/>
      <c r="P6" s="703"/>
      <c r="Q6" s="703"/>
      <c r="R6" s="703"/>
      <c r="S6" s="703"/>
      <c r="T6" s="703"/>
      <c r="U6" s="703"/>
      <c r="V6" s="703"/>
      <c r="W6" s="703"/>
      <c r="X6" s="703"/>
      <c r="Y6" s="703"/>
      <c r="Z6" s="703"/>
      <c r="AA6" s="703"/>
      <c r="AB6" s="703"/>
      <c r="AC6" s="703"/>
      <c r="AD6" s="703"/>
      <c r="AE6" s="703"/>
      <c r="AF6" s="703"/>
      <c r="AG6" s="703"/>
      <c r="AH6" s="703"/>
      <c r="AI6" s="703"/>
      <c r="AJ6" s="703"/>
      <c r="AK6" s="703"/>
      <c r="AL6" s="703"/>
      <c r="AM6" s="703"/>
      <c r="AN6" s="703"/>
      <c r="AO6" s="703"/>
      <c r="AP6" s="703"/>
      <c r="AQ6" s="703"/>
      <c r="AR6" s="703"/>
      <c r="AS6" s="703"/>
      <c r="AT6" s="703"/>
      <c r="AU6" s="703"/>
      <c r="AV6" s="703"/>
      <c r="AW6" s="703"/>
      <c r="AX6" s="703"/>
      <c r="AY6" s="703"/>
      <c r="AZ6" s="703"/>
      <c r="BA6" s="703"/>
      <c r="BB6" s="703"/>
      <c r="BC6" s="703"/>
      <c r="BD6" s="703"/>
      <c r="BE6" s="703"/>
      <c r="BF6" s="703"/>
      <c r="BG6" s="703"/>
      <c r="BH6" s="703"/>
      <c r="BI6" s="703"/>
      <c r="BJ6" s="703"/>
      <c r="BK6" s="703"/>
    </row>
    <row r="7" spans="1:63" ht="8.1" hidden="1" customHeight="1" x14ac:dyDescent="0.4">
      <c r="A7" s="1361" t="s">
        <v>1118</v>
      </c>
      <c r="B7" s="1317"/>
      <c r="C7" s="1059">
        <f t="shared" ref="C7:N7" si="0">+$B$29</f>
        <v>0</v>
      </c>
      <c r="D7" s="1059">
        <f t="shared" si="0"/>
        <v>0</v>
      </c>
      <c r="E7" s="1059">
        <f t="shared" si="0"/>
        <v>0</v>
      </c>
      <c r="F7" s="1059">
        <f t="shared" si="0"/>
        <v>0</v>
      </c>
      <c r="G7" s="1059">
        <f t="shared" si="0"/>
        <v>0</v>
      </c>
      <c r="H7" s="1059">
        <f t="shared" si="0"/>
        <v>0</v>
      </c>
      <c r="I7" s="1059">
        <f t="shared" si="0"/>
        <v>0</v>
      </c>
      <c r="J7" s="1059">
        <f t="shared" si="0"/>
        <v>0</v>
      </c>
      <c r="K7" s="1059">
        <f t="shared" si="0"/>
        <v>0</v>
      </c>
      <c r="L7" s="1059">
        <f t="shared" si="0"/>
        <v>0</v>
      </c>
      <c r="M7" s="1059">
        <f t="shared" si="0"/>
        <v>0</v>
      </c>
      <c r="N7" s="1270">
        <f t="shared" si="0"/>
        <v>0</v>
      </c>
    </row>
    <row r="8" spans="1:63" ht="8.1" hidden="1" customHeight="1" x14ac:dyDescent="0.4">
      <c r="A8" s="1362"/>
      <c r="B8" s="1319"/>
      <c r="C8" s="1059">
        <f t="shared" ref="C8:N8" si="1">+$B$30</f>
        <v>0</v>
      </c>
      <c r="D8" s="1059">
        <f t="shared" si="1"/>
        <v>0</v>
      </c>
      <c r="E8" s="1059">
        <f t="shared" si="1"/>
        <v>0</v>
      </c>
      <c r="F8" s="1059">
        <f t="shared" si="1"/>
        <v>0</v>
      </c>
      <c r="G8" s="1059">
        <f t="shared" si="1"/>
        <v>0</v>
      </c>
      <c r="H8" s="1059">
        <f t="shared" si="1"/>
        <v>0</v>
      </c>
      <c r="I8" s="1059">
        <f t="shared" si="1"/>
        <v>0</v>
      </c>
      <c r="J8" s="1059">
        <f t="shared" si="1"/>
        <v>0</v>
      </c>
      <c r="K8" s="1059">
        <f t="shared" si="1"/>
        <v>0</v>
      </c>
      <c r="L8" s="1059">
        <f t="shared" si="1"/>
        <v>0</v>
      </c>
      <c r="M8" s="1059">
        <f t="shared" si="1"/>
        <v>0</v>
      </c>
      <c r="N8" s="1270">
        <f t="shared" si="1"/>
        <v>0</v>
      </c>
    </row>
    <row r="9" spans="1:63" ht="8.1" hidden="1" customHeight="1" x14ac:dyDescent="0.4">
      <c r="A9" s="1362"/>
      <c r="B9" s="1319"/>
      <c r="C9" s="1059">
        <f t="shared" ref="C9:N9" si="2">+$B$31</f>
        <v>0</v>
      </c>
      <c r="D9" s="1059">
        <f t="shared" si="2"/>
        <v>0</v>
      </c>
      <c r="E9" s="1059">
        <f t="shared" si="2"/>
        <v>0</v>
      </c>
      <c r="F9" s="1059">
        <f t="shared" si="2"/>
        <v>0</v>
      </c>
      <c r="G9" s="1059">
        <f t="shared" si="2"/>
        <v>0</v>
      </c>
      <c r="H9" s="1059">
        <f t="shared" si="2"/>
        <v>0</v>
      </c>
      <c r="I9" s="1059">
        <f t="shared" si="2"/>
        <v>0</v>
      </c>
      <c r="J9" s="1059">
        <f t="shared" si="2"/>
        <v>0</v>
      </c>
      <c r="K9" s="1059">
        <f t="shared" si="2"/>
        <v>0</v>
      </c>
      <c r="L9" s="1059">
        <f t="shared" si="2"/>
        <v>0</v>
      </c>
      <c r="M9" s="1059">
        <f t="shared" si="2"/>
        <v>0</v>
      </c>
      <c r="N9" s="1270">
        <f t="shared" si="2"/>
        <v>0</v>
      </c>
    </row>
    <row r="10" spans="1:63" ht="8.1" hidden="1" customHeight="1" x14ac:dyDescent="0.4">
      <c r="A10" s="1362"/>
      <c r="B10" s="1319"/>
      <c r="C10" s="1059">
        <f t="shared" ref="C10:N10" si="3">+$B$32</f>
        <v>0</v>
      </c>
      <c r="D10" s="1059">
        <f t="shared" si="3"/>
        <v>0</v>
      </c>
      <c r="E10" s="1059">
        <f t="shared" si="3"/>
        <v>0</v>
      </c>
      <c r="F10" s="1059">
        <f t="shared" si="3"/>
        <v>0</v>
      </c>
      <c r="G10" s="1059">
        <f t="shared" si="3"/>
        <v>0</v>
      </c>
      <c r="H10" s="1059">
        <f t="shared" si="3"/>
        <v>0</v>
      </c>
      <c r="I10" s="1059">
        <f t="shared" si="3"/>
        <v>0</v>
      </c>
      <c r="J10" s="1059">
        <f t="shared" si="3"/>
        <v>0</v>
      </c>
      <c r="K10" s="1059">
        <f t="shared" si="3"/>
        <v>0</v>
      </c>
      <c r="L10" s="1059">
        <f t="shared" si="3"/>
        <v>0</v>
      </c>
      <c r="M10" s="1059">
        <f t="shared" si="3"/>
        <v>0</v>
      </c>
      <c r="N10" s="1270">
        <f t="shared" si="3"/>
        <v>0</v>
      </c>
    </row>
    <row r="11" spans="1:63" ht="8.1" hidden="1" customHeight="1" x14ac:dyDescent="0.4">
      <c r="A11" s="1362"/>
      <c r="B11" s="1319"/>
      <c r="C11" s="1059">
        <f t="shared" ref="C11:N11" si="4">+$B$33</f>
        <v>0</v>
      </c>
      <c r="D11" s="1059">
        <f t="shared" si="4"/>
        <v>0</v>
      </c>
      <c r="E11" s="1059">
        <f t="shared" si="4"/>
        <v>0</v>
      </c>
      <c r="F11" s="1059">
        <f t="shared" si="4"/>
        <v>0</v>
      </c>
      <c r="G11" s="1059">
        <f t="shared" si="4"/>
        <v>0</v>
      </c>
      <c r="H11" s="1059">
        <f t="shared" si="4"/>
        <v>0</v>
      </c>
      <c r="I11" s="1059">
        <f t="shared" si="4"/>
        <v>0</v>
      </c>
      <c r="J11" s="1059">
        <f t="shared" si="4"/>
        <v>0</v>
      </c>
      <c r="K11" s="1059">
        <f t="shared" si="4"/>
        <v>0</v>
      </c>
      <c r="L11" s="1059">
        <f t="shared" si="4"/>
        <v>0</v>
      </c>
      <c r="M11" s="1059">
        <f t="shared" si="4"/>
        <v>0</v>
      </c>
      <c r="N11" s="1270">
        <f t="shared" si="4"/>
        <v>0</v>
      </c>
    </row>
    <row r="12" spans="1:63" ht="8.1" hidden="1" customHeight="1" x14ac:dyDescent="0.4">
      <c r="A12" s="1362"/>
      <c r="B12" s="1319"/>
      <c r="C12" s="1059">
        <f t="shared" ref="C12:N12" si="5">+$B$34</f>
        <v>0</v>
      </c>
      <c r="D12" s="1059">
        <f t="shared" si="5"/>
        <v>0</v>
      </c>
      <c r="E12" s="1059">
        <f t="shared" si="5"/>
        <v>0</v>
      </c>
      <c r="F12" s="1059">
        <f t="shared" si="5"/>
        <v>0</v>
      </c>
      <c r="G12" s="1059">
        <f t="shared" si="5"/>
        <v>0</v>
      </c>
      <c r="H12" s="1059">
        <f t="shared" si="5"/>
        <v>0</v>
      </c>
      <c r="I12" s="1059">
        <f t="shared" si="5"/>
        <v>0</v>
      </c>
      <c r="J12" s="1059">
        <f t="shared" si="5"/>
        <v>0</v>
      </c>
      <c r="K12" s="1059">
        <f t="shared" si="5"/>
        <v>0</v>
      </c>
      <c r="L12" s="1059">
        <f t="shared" si="5"/>
        <v>0</v>
      </c>
      <c r="M12" s="1059">
        <f t="shared" si="5"/>
        <v>0</v>
      </c>
      <c r="N12" s="1270">
        <f t="shared" si="5"/>
        <v>0</v>
      </c>
    </row>
    <row r="13" spans="1:63" ht="8.1" hidden="1" customHeight="1" x14ac:dyDescent="0.4">
      <c r="A13" s="1362"/>
      <c r="B13" s="1319"/>
      <c r="C13" s="1059">
        <f t="shared" ref="C13:N13" si="6">+$B$35</f>
        <v>0</v>
      </c>
      <c r="D13" s="1059">
        <f t="shared" si="6"/>
        <v>0</v>
      </c>
      <c r="E13" s="1059">
        <f t="shared" si="6"/>
        <v>0</v>
      </c>
      <c r="F13" s="1059">
        <f t="shared" si="6"/>
        <v>0</v>
      </c>
      <c r="G13" s="1059">
        <f t="shared" si="6"/>
        <v>0</v>
      </c>
      <c r="H13" s="1059">
        <f t="shared" si="6"/>
        <v>0</v>
      </c>
      <c r="I13" s="1059">
        <f t="shared" si="6"/>
        <v>0</v>
      </c>
      <c r="J13" s="1059">
        <f t="shared" si="6"/>
        <v>0</v>
      </c>
      <c r="K13" s="1059">
        <f t="shared" si="6"/>
        <v>0</v>
      </c>
      <c r="L13" s="1059">
        <f t="shared" si="6"/>
        <v>0</v>
      </c>
      <c r="M13" s="1059">
        <f t="shared" si="6"/>
        <v>0</v>
      </c>
      <c r="N13" s="1270">
        <f t="shared" si="6"/>
        <v>0</v>
      </c>
    </row>
    <row r="14" spans="1:63" ht="8.1" hidden="1" customHeight="1" x14ac:dyDescent="0.4">
      <c r="A14" s="1362"/>
      <c r="B14" s="1319"/>
      <c r="C14" s="1059">
        <f t="shared" ref="C14:N14" si="7">+$B$36</f>
        <v>0</v>
      </c>
      <c r="D14" s="1059">
        <f t="shared" si="7"/>
        <v>0</v>
      </c>
      <c r="E14" s="1059">
        <f t="shared" si="7"/>
        <v>0</v>
      </c>
      <c r="F14" s="1059">
        <f t="shared" si="7"/>
        <v>0</v>
      </c>
      <c r="G14" s="1059">
        <f t="shared" si="7"/>
        <v>0</v>
      </c>
      <c r="H14" s="1059">
        <f t="shared" si="7"/>
        <v>0</v>
      </c>
      <c r="I14" s="1059">
        <f t="shared" si="7"/>
        <v>0</v>
      </c>
      <c r="J14" s="1059">
        <f t="shared" si="7"/>
        <v>0</v>
      </c>
      <c r="K14" s="1059">
        <f t="shared" si="7"/>
        <v>0</v>
      </c>
      <c r="L14" s="1059">
        <f t="shared" si="7"/>
        <v>0</v>
      </c>
      <c r="M14" s="1059">
        <f t="shared" si="7"/>
        <v>0</v>
      </c>
      <c r="N14" s="1270">
        <f t="shared" si="7"/>
        <v>0</v>
      </c>
    </row>
    <row r="15" spans="1:63" ht="8.1" hidden="1" customHeight="1" x14ac:dyDescent="0.4">
      <c r="A15" s="1363"/>
      <c r="B15" s="1364"/>
      <c r="C15" s="1059">
        <f t="shared" ref="C15:N15" si="8">+$B$37</f>
        <v>0</v>
      </c>
      <c r="D15" s="1059">
        <f t="shared" si="8"/>
        <v>0</v>
      </c>
      <c r="E15" s="1059">
        <f t="shared" si="8"/>
        <v>0</v>
      </c>
      <c r="F15" s="1059">
        <f t="shared" si="8"/>
        <v>0</v>
      </c>
      <c r="G15" s="1059">
        <f t="shared" si="8"/>
        <v>0</v>
      </c>
      <c r="H15" s="1059">
        <f t="shared" si="8"/>
        <v>0</v>
      </c>
      <c r="I15" s="1059">
        <f t="shared" si="8"/>
        <v>0</v>
      </c>
      <c r="J15" s="1059">
        <f t="shared" si="8"/>
        <v>0</v>
      </c>
      <c r="K15" s="1059">
        <f t="shared" si="8"/>
        <v>0</v>
      </c>
      <c r="L15" s="1059">
        <f t="shared" si="8"/>
        <v>0</v>
      </c>
      <c r="M15" s="1059">
        <f t="shared" si="8"/>
        <v>0</v>
      </c>
      <c r="N15" s="1270">
        <f t="shared" si="8"/>
        <v>0</v>
      </c>
    </row>
    <row r="16" spans="1:63" ht="43.5" customHeight="1" x14ac:dyDescent="0.35">
      <c r="A16" s="1348" t="s">
        <v>106</v>
      </c>
      <c r="B16" s="1349"/>
      <c r="C16" s="1177"/>
      <c r="D16" s="1177"/>
      <c r="E16" s="1177"/>
      <c r="F16" s="1177"/>
      <c r="G16" s="1177"/>
      <c r="H16" s="1177"/>
      <c r="I16" s="1177"/>
      <c r="J16" s="1177"/>
      <c r="K16" s="1177"/>
      <c r="L16" s="1177"/>
      <c r="M16" s="1177"/>
      <c r="N16" s="1271"/>
      <c r="AN16" s="701"/>
    </row>
    <row r="17" spans="1:186" ht="45" customHeight="1" x14ac:dyDescent="0.35">
      <c r="A17" s="1348" t="s">
        <v>104</v>
      </c>
      <c r="B17" s="1349"/>
      <c r="C17" s="1063"/>
      <c r="D17" s="1063"/>
      <c r="E17" s="1063"/>
      <c r="F17" s="1063"/>
      <c r="G17" s="1063"/>
      <c r="H17" s="1063"/>
      <c r="I17" s="1063"/>
      <c r="J17" s="1063"/>
      <c r="K17" s="1063"/>
      <c r="L17" s="1063"/>
      <c r="M17" s="1063"/>
      <c r="N17" s="1272"/>
      <c r="Q17" s="701"/>
      <c r="R17" s="701"/>
      <c r="S17" s="701"/>
      <c r="T17" s="701"/>
      <c r="U17" s="701"/>
      <c r="V17" s="701"/>
      <c r="W17" s="701"/>
      <c r="X17" s="701"/>
      <c r="Y17" s="701"/>
      <c r="Z17" s="701"/>
      <c r="AA17" s="701"/>
      <c r="AB17" s="701"/>
      <c r="AC17" s="701"/>
      <c r="AD17" s="701"/>
      <c r="AE17" s="701"/>
      <c r="AF17" s="701"/>
      <c r="AG17" s="701"/>
      <c r="AH17" s="701"/>
      <c r="AI17" s="701"/>
      <c r="AJ17" s="701"/>
      <c r="AK17" s="701"/>
      <c r="AL17" s="701"/>
      <c r="AN17" s="701"/>
    </row>
    <row r="18" spans="1:186" ht="76.5" customHeight="1" thickBot="1" x14ac:dyDescent="0.4">
      <c r="A18" s="1350" t="s">
        <v>105</v>
      </c>
      <c r="B18" s="1351"/>
      <c r="C18" s="1273"/>
      <c r="D18" s="1273"/>
      <c r="E18" s="1273"/>
      <c r="F18" s="1273"/>
      <c r="G18" s="1273"/>
      <c r="H18" s="1273"/>
      <c r="I18" s="1273"/>
      <c r="J18" s="1273"/>
      <c r="K18" s="1273"/>
      <c r="L18" s="1273"/>
      <c r="M18" s="1273"/>
      <c r="N18" s="1274"/>
      <c r="Q18" s="701"/>
      <c r="R18" s="701"/>
      <c r="S18" s="701"/>
      <c r="T18" s="701"/>
      <c r="U18" s="701"/>
      <c r="V18" s="701"/>
      <c r="W18" s="701"/>
      <c r="X18" s="701"/>
      <c r="Y18" s="701"/>
      <c r="Z18" s="701"/>
      <c r="AA18" s="701"/>
      <c r="AB18" s="701"/>
      <c r="AC18" s="701"/>
      <c r="AD18" s="701"/>
      <c r="AE18" s="701"/>
      <c r="AF18" s="701"/>
      <c r="AG18" s="701"/>
      <c r="AH18" s="701"/>
      <c r="AI18" s="701"/>
      <c r="AJ18" s="701"/>
      <c r="AK18" s="701"/>
      <c r="AL18" s="701"/>
      <c r="AN18" s="701"/>
    </row>
    <row r="19" spans="1:186" s="14" customFormat="1" ht="5.25" customHeight="1" x14ac:dyDescent="0.35">
      <c r="A19" s="1269"/>
      <c r="B19" s="1269"/>
      <c r="C19" s="1003"/>
      <c r="D19" s="1003"/>
      <c r="E19" s="1003"/>
      <c r="F19" s="1003"/>
      <c r="G19" s="1004"/>
      <c r="H19" s="1003"/>
      <c r="I19" s="1003"/>
      <c r="J19" s="1004"/>
      <c r="K19" s="1004"/>
      <c r="L19" s="1004"/>
      <c r="M19" s="1004"/>
      <c r="N19" s="1004"/>
      <c r="O19" s="36"/>
      <c r="P19" s="701"/>
      <c r="Q19" s="701"/>
      <c r="R19" s="701"/>
      <c r="S19" s="701"/>
      <c r="T19" s="701"/>
      <c r="U19" s="701"/>
      <c r="V19" s="701"/>
      <c r="W19" s="701"/>
      <c r="X19" s="701"/>
      <c r="Y19" s="701"/>
      <c r="Z19" s="701"/>
      <c r="AA19" s="701"/>
      <c r="AB19" s="701"/>
      <c r="AC19" s="701"/>
      <c r="AD19" s="701"/>
      <c r="AE19" s="701"/>
      <c r="AF19" s="701"/>
      <c r="AG19" s="701"/>
      <c r="AH19" s="701"/>
      <c r="AI19" s="701"/>
      <c r="AJ19" s="701"/>
      <c r="AK19" s="701"/>
      <c r="AL19" s="701"/>
      <c r="AM19" s="702"/>
      <c r="AN19" s="701"/>
      <c r="AO19" s="701"/>
      <c r="AP19" s="701"/>
      <c r="AQ19" s="701"/>
      <c r="AR19" s="701"/>
      <c r="AS19" s="701"/>
      <c r="AT19" s="701"/>
      <c r="AU19" s="701"/>
      <c r="AV19" s="701"/>
      <c r="AW19" s="701"/>
      <c r="AX19" s="701"/>
      <c r="AY19" s="701"/>
      <c r="AZ19" s="701"/>
      <c r="BA19" s="701"/>
      <c r="BB19" s="701"/>
      <c r="BC19" s="701"/>
      <c r="BD19" s="701"/>
      <c r="BE19" s="701"/>
      <c r="BF19" s="701"/>
      <c r="BG19" s="701"/>
      <c r="BH19" s="701"/>
      <c r="BI19" s="701"/>
      <c r="BJ19" s="701"/>
      <c r="BK19" s="701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  <c r="EH19" s="36"/>
      <c r="EI19" s="36"/>
      <c r="EJ19" s="36"/>
      <c r="EK19" s="36"/>
      <c r="EL19" s="36"/>
      <c r="EM19" s="36"/>
      <c r="EN19" s="36"/>
      <c r="EO19" s="36"/>
      <c r="EP19" s="36"/>
      <c r="EQ19" s="36"/>
      <c r="ER19" s="36"/>
      <c r="ES19" s="36"/>
      <c r="ET19" s="36"/>
      <c r="EU19" s="36"/>
      <c r="EV19" s="36"/>
      <c r="EW19" s="36"/>
      <c r="EX19" s="36"/>
      <c r="EY19" s="36"/>
      <c r="EZ19" s="36"/>
      <c r="FA19" s="36"/>
      <c r="FB19" s="36"/>
      <c r="FC19" s="36"/>
      <c r="FD19" s="36"/>
      <c r="FE19" s="36"/>
      <c r="FF19" s="36"/>
      <c r="FG19" s="36"/>
      <c r="FH19" s="36"/>
      <c r="FI19" s="36"/>
      <c r="FJ19" s="36"/>
      <c r="FK19" s="36"/>
      <c r="FL19" s="36"/>
      <c r="FM19" s="36"/>
      <c r="FN19" s="36"/>
      <c r="FO19" s="36"/>
      <c r="FP19" s="36"/>
      <c r="FQ19" s="36"/>
      <c r="FR19" s="36"/>
      <c r="FS19" s="36"/>
      <c r="FT19" s="36"/>
      <c r="FU19" s="36"/>
      <c r="FV19" s="36"/>
      <c r="FW19" s="36"/>
      <c r="FX19" s="36"/>
      <c r="FY19" s="36"/>
      <c r="FZ19" s="36"/>
      <c r="GA19" s="36"/>
      <c r="GB19" s="36"/>
      <c r="GC19" s="36"/>
      <c r="GD19" s="36"/>
    </row>
    <row r="20" spans="1:186" s="708" customFormat="1" ht="23.25" customHeight="1" x14ac:dyDescent="0.35">
      <c r="A20" s="1344" t="s">
        <v>12</v>
      </c>
      <c r="B20" s="1344"/>
      <c r="C20" s="1053"/>
      <c r="D20" s="1053"/>
      <c r="E20" s="1053"/>
      <c r="F20" s="1053"/>
      <c r="G20" s="1053"/>
      <c r="H20" s="1053"/>
      <c r="I20" s="1053"/>
      <c r="J20" s="1053"/>
      <c r="K20" s="1053"/>
      <c r="L20" s="1053"/>
      <c r="M20" s="1053"/>
      <c r="N20" s="933"/>
      <c r="O20" s="590"/>
      <c r="P20" s="701"/>
      <c r="Q20" s="701"/>
      <c r="R20" s="701"/>
      <c r="S20" s="701"/>
      <c r="T20" s="701"/>
      <c r="U20" s="701"/>
      <c r="V20" s="701"/>
      <c r="W20" s="701"/>
      <c r="X20" s="701"/>
      <c r="Y20" s="701"/>
      <c r="Z20" s="701"/>
      <c r="AA20" s="701"/>
      <c r="AB20" s="701"/>
      <c r="AC20" s="701"/>
      <c r="AD20" s="701"/>
      <c r="AE20" s="701"/>
      <c r="AF20" s="701"/>
      <c r="AG20" s="701"/>
      <c r="AH20" s="701"/>
      <c r="AI20" s="701"/>
      <c r="AJ20" s="701"/>
      <c r="AK20" s="701"/>
      <c r="AL20" s="701"/>
      <c r="AM20" s="702"/>
      <c r="AN20" s="701"/>
      <c r="AO20" s="701"/>
      <c r="AP20" s="701"/>
      <c r="AQ20" s="701"/>
      <c r="AR20" s="701"/>
      <c r="AS20" s="701"/>
      <c r="AT20" s="701"/>
      <c r="AU20" s="701"/>
      <c r="AV20" s="701"/>
      <c r="AW20" s="701"/>
      <c r="AX20" s="701"/>
      <c r="AY20" s="701"/>
      <c r="AZ20" s="701"/>
      <c r="BA20" s="701"/>
      <c r="BB20" s="701"/>
      <c r="BC20" s="701"/>
      <c r="BD20" s="701"/>
      <c r="BE20" s="701"/>
      <c r="BF20" s="701"/>
      <c r="BG20" s="701"/>
      <c r="BH20" s="701"/>
      <c r="BI20" s="701"/>
      <c r="BJ20" s="701"/>
      <c r="BK20" s="701"/>
    </row>
    <row r="21" spans="1:186" s="590" customFormat="1" ht="23.25" customHeight="1" x14ac:dyDescent="0.35">
      <c r="A21" s="1344" t="s">
        <v>85</v>
      </c>
      <c r="B21" s="1344"/>
      <c r="C21" s="1166"/>
      <c r="D21" s="1052"/>
      <c r="E21" s="1052"/>
      <c r="F21" s="1052"/>
      <c r="G21" s="1052"/>
      <c r="H21" s="1052"/>
      <c r="I21" s="1052"/>
      <c r="J21" s="1052"/>
      <c r="K21" s="1052"/>
      <c r="L21" s="1052"/>
      <c r="M21" s="1052"/>
      <c r="N21" s="1061"/>
      <c r="P21" s="701"/>
      <c r="Q21" s="701"/>
      <c r="R21" s="701"/>
      <c r="S21" s="701"/>
      <c r="T21" s="701"/>
      <c r="U21" s="701"/>
      <c r="V21" s="701"/>
      <c r="W21" s="701"/>
      <c r="X21" s="701"/>
      <c r="Y21" s="701"/>
      <c r="Z21" s="701"/>
      <c r="AA21" s="701"/>
      <c r="AB21" s="701"/>
      <c r="AC21" s="701"/>
      <c r="AD21" s="701"/>
      <c r="AE21" s="701"/>
      <c r="AF21" s="701"/>
      <c r="AG21" s="701"/>
      <c r="AH21" s="701"/>
      <c r="AI21" s="701"/>
      <c r="AJ21" s="701"/>
      <c r="AK21" s="701"/>
      <c r="AL21" s="701"/>
      <c r="AM21" s="701"/>
    </row>
    <row r="22" spans="1:186" ht="23.25" customHeight="1" x14ac:dyDescent="0.35">
      <c r="A22" s="1344" t="s">
        <v>1129</v>
      </c>
      <c r="B22" s="1344"/>
      <c r="C22" s="1167"/>
      <c r="D22" s="1054"/>
      <c r="E22" s="1054"/>
      <c r="F22" s="1054"/>
      <c r="G22" s="1054"/>
      <c r="H22" s="1054"/>
      <c r="I22" s="1054"/>
      <c r="J22" s="1054"/>
      <c r="K22" s="1054"/>
      <c r="L22" s="1054"/>
      <c r="M22" s="1054"/>
      <c r="N22" s="1062"/>
      <c r="AN22" s="701"/>
    </row>
    <row r="23" spans="1:186" s="570" customFormat="1" ht="23.25" customHeight="1" x14ac:dyDescent="0.2">
      <c r="A23" s="1345" t="s">
        <v>8</v>
      </c>
      <c r="B23" s="1345"/>
      <c r="C23" s="1167"/>
      <c r="D23" s="1054"/>
      <c r="E23" s="1054"/>
      <c r="F23" s="1054"/>
      <c r="G23" s="1054"/>
      <c r="H23" s="1054"/>
      <c r="I23" s="1054"/>
      <c r="J23" s="1054"/>
      <c r="K23" s="1054"/>
      <c r="L23" s="1054"/>
      <c r="M23" s="1054"/>
      <c r="N23" s="1062"/>
      <c r="P23" s="703"/>
      <c r="Q23" s="703"/>
      <c r="R23" s="703"/>
      <c r="S23" s="703"/>
      <c r="T23" s="703"/>
      <c r="U23" s="703"/>
      <c r="V23" s="703"/>
      <c r="W23" s="703"/>
      <c r="X23" s="703"/>
      <c r="Y23" s="703"/>
      <c r="Z23" s="703"/>
      <c r="AA23" s="703"/>
      <c r="AB23" s="703"/>
      <c r="AC23" s="703"/>
      <c r="AD23" s="703"/>
      <c r="AE23" s="703"/>
      <c r="AF23" s="703"/>
      <c r="AG23" s="703"/>
      <c r="AH23" s="703"/>
      <c r="AI23" s="703"/>
      <c r="AJ23" s="703"/>
      <c r="AK23" s="703"/>
      <c r="AL23" s="703"/>
      <c r="AM23" s="703"/>
      <c r="AN23" s="703"/>
      <c r="AO23" s="703"/>
      <c r="AP23" s="703"/>
      <c r="AQ23" s="703"/>
      <c r="AR23" s="703"/>
      <c r="AS23" s="703"/>
      <c r="AT23" s="703"/>
      <c r="AU23" s="703"/>
      <c r="AV23" s="703"/>
      <c r="AW23" s="703"/>
      <c r="AX23" s="703"/>
      <c r="AY23" s="703"/>
      <c r="AZ23" s="703"/>
      <c r="BA23" s="703"/>
      <c r="BB23" s="703"/>
      <c r="BC23" s="703"/>
      <c r="BD23" s="703"/>
      <c r="BE23" s="703"/>
      <c r="BF23" s="703"/>
      <c r="BG23" s="703"/>
      <c r="BH23" s="703"/>
      <c r="BI23" s="703"/>
      <c r="BJ23" s="703"/>
      <c r="BK23" s="703"/>
    </row>
    <row r="24" spans="1:186" s="590" customFormat="1" ht="23.25" customHeight="1" x14ac:dyDescent="0.35">
      <c r="A24" s="1344" t="s">
        <v>2</v>
      </c>
      <c r="B24" s="1344"/>
      <c r="C24" s="1167"/>
      <c r="D24" s="1054"/>
      <c r="E24" s="1054"/>
      <c r="F24" s="1054"/>
      <c r="G24" s="1054"/>
      <c r="H24" s="1054"/>
      <c r="I24" s="1054"/>
      <c r="J24" s="1054"/>
      <c r="K24" s="1054"/>
      <c r="L24" s="1054"/>
      <c r="M24" s="1054"/>
      <c r="N24" s="1062"/>
      <c r="P24" s="701"/>
      <c r="Q24" s="701"/>
      <c r="R24" s="701"/>
      <c r="S24" s="701"/>
      <c r="T24" s="701"/>
      <c r="U24" s="701"/>
      <c r="V24" s="701"/>
      <c r="W24" s="701"/>
      <c r="X24" s="701"/>
      <c r="Y24" s="701"/>
      <c r="Z24" s="701"/>
      <c r="AA24" s="701"/>
      <c r="AB24" s="701"/>
      <c r="AC24" s="701"/>
      <c r="AD24" s="701"/>
      <c r="AE24" s="701"/>
      <c r="AF24" s="701"/>
      <c r="AG24" s="701"/>
      <c r="AH24" s="701"/>
      <c r="AI24" s="701"/>
      <c r="AJ24" s="701"/>
      <c r="AK24" s="701"/>
      <c r="AL24" s="701"/>
      <c r="AM24" s="701"/>
      <c r="AN24" s="701"/>
      <c r="AO24" s="701"/>
      <c r="AP24" s="701"/>
      <c r="AQ24" s="701"/>
      <c r="AR24" s="701"/>
      <c r="AS24" s="701"/>
      <c r="AT24" s="701"/>
      <c r="AU24" s="701"/>
      <c r="AV24" s="701"/>
      <c r="AW24" s="701"/>
      <c r="AX24" s="701"/>
      <c r="AY24" s="701"/>
      <c r="AZ24" s="701"/>
      <c r="BA24" s="701"/>
      <c r="BB24" s="701"/>
      <c r="BC24" s="701"/>
      <c r="BD24" s="701"/>
      <c r="BE24" s="701"/>
      <c r="BF24" s="701"/>
      <c r="BG24" s="701"/>
      <c r="BH24" s="701"/>
      <c r="BI24" s="701"/>
      <c r="BJ24" s="701"/>
      <c r="BK24" s="701"/>
    </row>
    <row r="25" spans="1:186" ht="5.25" customHeight="1" x14ac:dyDescent="0.35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38"/>
      <c r="N25" s="38"/>
    </row>
    <row r="26" spans="1:186" ht="15" customHeight="1" x14ac:dyDescent="0.35">
      <c r="B26" s="1322" t="s">
        <v>94</v>
      </c>
      <c r="C26" s="1322"/>
      <c r="D26" s="1322"/>
      <c r="E26" s="1322"/>
      <c r="F26" s="1322"/>
      <c r="G26" s="540"/>
      <c r="H26" s="1322" t="s">
        <v>11</v>
      </c>
      <c r="I26" s="1322"/>
      <c r="J26" s="1322"/>
      <c r="K26" s="1322"/>
      <c r="L26" s="1322"/>
      <c r="M26" s="1322"/>
      <c r="N26" s="1322"/>
    </row>
    <row r="27" spans="1:186" ht="4.3499999999999996" customHeight="1" x14ac:dyDescent="0.4">
      <c r="B27" s="1357" t="s">
        <v>7</v>
      </c>
      <c r="C27" s="1357" t="s">
        <v>1</v>
      </c>
      <c r="D27" s="1359"/>
      <c r="E27" s="1359"/>
      <c r="F27" s="1359"/>
      <c r="G27" s="18"/>
      <c r="H27" s="519"/>
      <c r="I27" s="1060"/>
      <c r="J27" s="1320"/>
      <c r="K27" s="1320"/>
      <c r="L27" s="1320"/>
      <c r="M27" s="1320"/>
      <c r="N27" s="1321"/>
    </row>
    <row r="28" spans="1:186" ht="16.5" customHeight="1" x14ac:dyDescent="0.35">
      <c r="B28" s="1358"/>
      <c r="C28" s="1358"/>
      <c r="D28" s="1360"/>
      <c r="E28" s="1360"/>
      <c r="F28" s="1360"/>
      <c r="G28" s="22"/>
      <c r="H28" s="1073" t="s">
        <v>1158</v>
      </c>
      <c r="I28" s="38"/>
      <c r="J28" s="904">
        <f>+'1 PISO TECHO'!J26</f>
        <v>0</v>
      </c>
      <c r="K28" s="1279" t="s">
        <v>1303</v>
      </c>
      <c r="L28" s="1334" t="s">
        <v>1304</v>
      </c>
      <c r="M28" s="1334"/>
      <c r="N28" s="1335"/>
    </row>
    <row r="29" spans="1:186" ht="12" customHeight="1" x14ac:dyDescent="0.4">
      <c r="A29" s="1275" t="s">
        <v>768</v>
      </c>
      <c r="B29" s="1103">
        <f>+'1 PISO TECHO'!B27</f>
        <v>0</v>
      </c>
      <c r="C29" s="1308">
        <f>+'1 PISO TECHO'!C27:F27</f>
        <v>0</v>
      </c>
      <c r="D29" s="1309"/>
      <c r="E29" s="1309"/>
      <c r="F29" s="1309"/>
      <c r="G29" s="25"/>
      <c r="H29" s="909"/>
      <c r="I29" s="910"/>
      <c r="J29" s="910"/>
      <c r="K29" s="910"/>
      <c r="L29" s="1334"/>
      <c r="M29" s="1334"/>
      <c r="N29" s="1335"/>
    </row>
    <row r="30" spans="1:186" ht="12" customHeight="1" x14ac:dyDescent="0.4">
      <c r="A30" s="1275" t="s">
        <v>769</v>
      </c>
      <c r="B30" s="1103">
        <f>+'1 PISO TECHO'!B28:B28</f>
        <v>0</v>
      </c>
      <c r="C30" s="1308">
        <f>+'1 PISO TECHO'!C28:F28</f>
        <v>0</v>
      </c>
      <c r="D30" s="1309"/>
      <c r="E30" s="1309"/>
      <c r="F30" s="1309"/>
      <c r="G30" s="25"/>
      <c r="H30" s="909"/>
      <c r="I30" s="910"/>
      <c r="J30" s="910"/>
      <c r="K30" s="910"/>
      <c r="L30" s="910"/>
      <c r="M30" s="910"/>
      <c r="N30" s="911"/>
    </row>
    <row r="31" spans="1:186" ht="12" customHeight="1" x14ac:dyDescent="0.4">
      <c r="A31" s="1275" t="s">
        <v>770</v>
      </c>
      <c r="B31" s="1103">
        <f>+'1 PISO TECHO'!B29:B29</f>
        <v>0</v>
      </c>
      <c r="C31" s="1308">
        <f>+'1 PISO TECHO'!C29:F29</f>
        <v>0</v>
      </c>
      <c r="D31" s="1309"/>
      <c r="E31" s="1309"/>
      <c r="F31" s="1309"/>
      <c r="G31" s="25"/>
      <c r="H31" s="909"/>
      <c r="I31" s="910"/>
      <c r="J31" s="910"/>
      <c r="K31" s="910"/>
      <c r="L31" s="910"/>
      <c r="M31" s="910"/>
      <c r="N31" s="911"/>
    </row>
    <row r="32" spans="1:186" ht="12" customHeight="1" x14ac:dyDescent="0.4">
      <c r="A32" s="1275" t="s">
        <v>771</v>
      </c>
      <c r="B32" s="1103">
        <f>+'1 PISO TECHO'!B30:B30</f>
        <v>0</v>
      </c>
      <c r="C32" s="1308">
        <f>+'1 PISO TECHO'!C30:F30</f>
        <v>0</v>
      </c>
      <c r="D32" s="1309"/>
      <c r="E32" s="1309"/>
      <c r="F32" s="1309"/>
      <c r="G32" s="25"/>
      <c r="H32" s="909"/>
      <c r="I32" s="910"/>
      <c r="J32" s="910"/>
      <c r="K32" s="910"/>
      <c r="L32" s="910"/>
      <c r="M32" s="910"/>
      <c r="N32" s="911"/>
    </row>
    <row r="33" spans="1:15" ht="12" customHeight="1" x14ac:dyDescent="0.4">
      <c r="A33" s="1346" t="s">
        <v>775</v>
      </c>
      <c r="B33" s="1103">
        <f>+'1 PISO TECHO'!B31:B31</f>
        <v>0</v>
      </c>
      <c r="C33" s="1308">
        <f>+'1 PISO TECHO'!C31:F31</f>
        <v>0</v>
      </c>
      <c r="D33" s="1309"/>
      <c r="E33" s="1309"/>
      <c r="F33" s="1309"/>
      <c r="G33" s="25"/>
      <c r="H33" s="909"/>
      <c r="I33" s="910"/>
      <c r="J33" s="910"/>
      <c r="K33" s="910"/>
      <c r="L33" s="910"/>
      <c r="M33" s="910"/>
      <c r="N33" s="911"/>
    </row>
    <row r="34" spans="1:15" ht="12" customHeight="1" x14ac:dyDescent="0.35">
      <c r="A34" s="1347"/>
      <c r="B34" s="1103">
        <f>+'1 PISO TECHO'!B32:B32</f>
        <v>0</v>
      </c>
      <c r="C34" s="1308">
        <f>+'1 PISO TECHO'!C32:F32</f>
        <v>0</v>
      </c>
      <c r="D34" s="1309"/>
      <c r="E34" s="1309"/>
      <c r="F34" s="1309"/>
      <c r="G34" s="26"/>
      <c r="H34" s="905"/>
      <c r="I34" s="906"/>
      <c r="J34" s="910"/>
      <c r="K34" s="910"/>
      <c r="L34" s="910"/>
      <c r="M34" s="910"/>
      <c r="N34" s="911"/>
    </row>
    <row r="35" spans="1:15" ht="12" customHeight="1" x14ac:dyDescent="0.35">
      <c r="A35" s="1276" t="s">
        <v>114</v>
      </c>
      <c r="B35" s="1103">
        <f>+'1 PISO TECHO'!B33:B33</f>
        <v>0</v>
      </c>
      <c r="C35" s="1308">
        <f>+'1 PISO TECHO'!C33:F33</f>
        <v>0</v>
      </c>
      <c r="D35" s="1309"/>
      <c r="E35" s="1309"/>
      <c r="F35" s="1309"/>
      <c r="G35" s="26"/>
      <c r="H35" s="905"/>
      <c r="I35" s="906"/>
      <c r="J35" s="910"/>
      <c r="K35" s="910"/>
      <c r="L35" s="910"/>
      <c r="M35" s="910"/>
      <c r="N35" s="911"/>
    </row>
    <row r="36" spans="1:15" ht="12" customHeight="1" x14ac:dyDescent="0.35">
      <c r="A36" s="1346" t="s">
        <v>1110</v>
      </c>
      <c r="B36" s="1103">
        <f>+'1 PISO TECHO'!B34:B34</f>
        <v>0</v>
      </c>
      <c r="C36" s="1308">
        <f>+'1 PISO TECHO'!C34:F34</f>
        <v>0</v>
      </c>
      <c r="D36" s="1309"/>
      <c r="E36" s="1309"/>
      <c r="F36" s="1309"/>
      <c r="G36" s="27"/>
      <c r="H36" s="905"/>
      <c r="I36" s="906"/>
      <c r="J36" s="910"/>
      <c r="K36" s="910"/>
      <c r="L36" s="910"/>
      <c r="M36" s="910"/>
      <c r="N36" s="911"/>
    </row>
    <row r="37" spans="1:15" ht="12" customHeight="1" x14ac:dyDescent="0.35">
      <c r="A37" s="1347"/>
      <c r="B37" s="1103">
        <f>+'1 PISO TECHO'!B35:B35</f>
        <v>0</v>
      </c>
      <c r="C37" s="1308">
        <f>+'1 PISO TECHO'!C35:F35</f>
        <v>0</v>
      </c>
      <c r="D37" s="1309"/>
      <c r="E37" s="1309"/>
      <c r="F37" s="1309"/>
      <c r="G37" s="27"/>
      <c r="H37" s="905"/>
      <c r="I37" s="906"/>
      <c r="J37" s="910"/>
      <c r="K37" s="910"/>
      <c r="L37" s="910"/>
      <c r="M37" s="910"/>
      <c r="N37" s="911"/>
    </row>
    <row r="38" spans="1:15" ht="12" customHeight="1" x14ac:dyDescent="0.4">
      <c r="A38" s="1330" t="s">
        <v>1301</v>
      </c>
      <c r="B38" s="1331"/>
      <c r="C38" s="1277"/>
      <c r="D38" s="1277"/>
      <c r="E38" s="1277"/>
      <c r="F38" s="1278"/>
      <c r="G38" s="28"/>
      <c r="H38" s="905"/>
      <c r="I38" s="906"/>
      <c r="J38" s="910"/>
      <c r="K38" s="910"/>
      <c r="L38" s="910"/>
      <c r="M38" s="910"/>
      <c r="N38" s="911"/>
    </row>
    <row r="39" spans="1:15" ht="12" customHeight="1" x14ac:dyDescent="0.4">
      <c r="A39" s="541"/>
      <c r="E39" s="16"/>
      <c r="F39" s="16"/>
      <c r="G39" s="13"/>
      <c r="H39" s="905"/>
      <c r="I39" s="906"/>
      <c r="J39" s="910"/>
      <c r="K39" s="910"/>
      <c r="L39" s="910"/>
      <c r="M39" s="910"/>
      <c r="N39" s="911"/>
    </row>
    <row r="40" spans="1:15" ht="12" customHeight="1" x14ac:dyDescent="0.4">
      <c r="A40" s="1332" t="s">
        <v>1302</v>
      </c>
      <c r="B40" s="1333"/>
      <c r="C40" s="1333"/>
      <c r="D40" s="1333"/>
      <c r="E40" s="1333"/>
      <c r="F40" s="1333"/>
      <c r="G40" s="21"/>
      <c r="H40" s="909"/>
      <c r="I40" s="910"/>
      <c r="J40" s="910"/>
      <c r="K40" s="910"/>
      <c r="L40" s="910"/>
      <c r="M40" s="910"/>
      <c r="N40" s="911"/>
    </row>
    <row r="41" spans="1:15" ht="12" customHeight="1" x14ac:dyDescent="0.4">
      <c r="A41" s="1333"/>
      <c r="B41" s="1333"/>
      <c r="C41" s="1333"/>
      <c r="D41" s="1333"/>
      <c r="E41" s="1333"/>
      <c r="F41" s="1333"/>
      <c r="G41" s="21"/>
      <c r="H41" s="909"/>
      <c r="I41" s="910"/>
      <c r="J41" s="910"/>
      <c r="K41" s="910"/>
      <c r="L41" s="910"/>
      <c r="M41" s="910"/>
      <c r="N41" s="911"/>
    </row>
    <row r="42" spans="1:15" ht="12" customHeight="1" x14ac:dyDescent="0.4">
      <c r="A42" s="1333"/>
      <c r="B42" s="1333"/>
      <c r="C42" s="1333"/>
      <c r="D42" s="1333"/>
      <c r="E42" s="1333"/>
      <c r="F42" s="1333"/>
      <c r="G42" s="21"/>
      <c r="H42" s="909"/>
      <c r="I42" s="910"/>
      <c r="J42" s="910"/>
      <c r="K42" s="910"/>
      <c r="L42" s="910"/>
      <c r="M42" s="910"/>
      <c r="N42" s="911"/>
    </row>
    <row r="43" spans="1:15" ht="12" customHeight="1" x14ac:dyDescent="0.4">
      <c r="A43" s="1333"/>
      <c r="B43" s="1333"/>
      <c r="C43" s="1333"/>
      <c r="D43" s="1333"/>
      <c r="E43" s="1333"/>
      <c r="F43" s="1333"/>
      <c r="G43" s="21"/>
      <c r="H43" s="909"/>
      <c r="I43" s="910"/>
      <c r="J43" s="910"/>
      <c r="K43" s="910"/>
      <c r="L43" s="910"/>
      <c r="M43" s="910"/>
      <c r="N43" s="911"/>
    </row>
    <row r="44" spans="1:15" ht="12" customHeight="1" x14ac:dyDescent="0.4">
      <c r="B44" s="24"/>
      <c r="F44" s="3"/>
      <c r="G44" s="21"/>
      <c r="H44" s="909"/>
      <c r="I44" s="910"/>
      <c r="J44" s="910"/>
      <c r="K44" s="910"/>
      <c r="L44" s="910"/>
      <c r="M44" s="910"/>
      <c r="N44" s="911"/>
    </row>
    <row r="45" spans="1:15" ht="12" customHeight="1" x14ac:dyDescent="0.4">
      <c r="B45" s="24"/>
      <c r="C45" s="144" t="s">
        <v>1309</v>
      </c>
      <c r="D45" s="1261"/>
      <c r="E45" s="1261"/>
      <c r="F45" s="1261"/>
      <c r="G45" s="21"/>
      <c r="H45" s="909"/>
      <c r="I45" s="910"/>
      <c r="J45" s="910"/>
      <c r="K45" s="910"/>
      <c r="L45" s="910"/>
      <c r="M45" s="910"/>
      <c r="N45" s="911"/>
    </row>
    <row r="46" spans="1:15" ht="12" customHeight="1" x14ac:dyDescent="0.4">
      <c r="B46" s="24"/>
      <c r="F46" s="3"/>
      <c r="G46" s="21"/>
      <c r="H46" s="909"/>
      <c r="I46" s="910"/>
      <c r="J46" s="910"/>
      <c r="K46" s="910"/>
      <c r="L46" s="910"/>
      <c r="M46" s="910"/>
      <c r="N46" s="911"/>
      <c r="O46" s="49"/>
    </row>
    <row r="47" spans="1:15" ht="12" customHeight="1" x14ac:dyDescent="0.4">
      <c r="A47" s="24" t="s">
        <v>89</v>
      </c>
      <c r="B47" s="24"/>
      <c r="C47" s="3"/>
      <c r="D47" s="3"/>
      <c r="E47" s="3"/>
      <c r="F47" s="3"/>
      <c r="G47" s="21"/>
      <c r="H47" s="909"/>
      <c r="I47" s="910"/>
      <c r="J47" s="910"/>
      <c r="K47" s="910"/>
      <c r="L47" s="910"/>
      <c r="M47" s="910"/>
      <c r="N47" s="911"/>
    </row>
    <row r="48" spans="1:15" ht="12" customHeight="1" x14ac:dyDescent="0.4">
      <c r="A48" s="24"/>
      <c r="B48" s="24"/>
      <c r="C48" s="16"/>
      <c r="D48" s="23"/>
      <c r="E48" s="23"/>
      <c r="F48" s="23"/>
      <c r="G48" s="13"/>
      <c r="H48" s="912"/>
      <c r="I48" s="913"/>
      <c r="J48" s="913"/>
      <c r="K48" s="913"/>
      <c r="L48" s="913"/>
      <c r="M48" s="914"/>
      <c r="N48" s="907"/>
    </row>
    <row r="49" spans="1:14" ht="4.5" customHeight="1" x14ac:dyDescent="0.35">
      <c r="A49" s="51"/>
      <c r="B49" s="51"/>
      <c r="C49" s="41"/>
      <c r="D49" s="41"/>
      <c r="E49" s="41"/>
      <c r="F49" s="41"/>
      <c r="G49" s="48"/>
      <c r="H49" s="53"/>
      <c r="I49" s="53"/>
      <c r="J49" s="53"/>
      <c r="K49" s="53"/>
      <c r="L49" s="53"/>
      <c r="M49" s="30"/>
      <c r="N49" s="30"/>
    </row>
    <row r="50" spans="1:14" hidden="1" x14ac:dyDescent="0.35">
      <c r="A50" s="17"/>
      <c r="B50" s="17"/>
      <c r="C50" s="12"/>
      <c r="D50" s="12"/>
      <c r="E50" s="12"/>
      <c r="F50" s="12"/>
      <c r="G50" s="12"/>
      <c r="H50" s="12"/>
      <c r="I50" s="12"/>
      <c r="J50" s="12"/>
      <c r="K50" s="12"/>
      <c r="L50" s="12"/>
    </row>
    <row r="51" spans="1:14" hidden="1" x14ac:dyDescent="0.35"/>
    <row r="52" spans="1:14" hidden="1" x14ac:dyDescent="0.35"/>
    <row r="53" spans="1:14" hidden="1" x14ac:dyDescent="0.35"/>
    <row r="54" spans="1:14" hidden="1" x14ac:dyDescent="0.35"/>
    <row r="55" spans="1:14" hidden="1" x14ac:dyDescent="0.35"/>
    <row r="56" spans="1:14" hidden="1" x14ac:dyDescent="0.35"/>
    <row r="57" spans="1:14" hidden="1" x14ac:dyDescent="0.35">
      <c r="C57" s="2"/>
    </row>
    <row r="58" spans="1:14" hidden="1" x14ac:dyDescent="0.35"/>
    <row r="59" spans="1:14" hidden="1" x14ac:dyDescent="0.35">
      <c r="A59">
        <f>+B29</f>
        <v>0</v>
      </c>
    </row>
    <row r="60" spans="1:14" hidden="1" x14ac:dyDescent="0.35">
      <c r="A60">
        <f>+B30</f>
        <v>0</v>
      </c>
    </row>
    <row r="61" spans="1:14" hidden="1" x14ac:dyDescent="0.35">
      <c r="A61">
        <f>+B31</f>
        <v>0</v>
      </c>
    </row>
    <row r="62" spans="1:14" hidden="1" x14ac:dyDescent="0.35">
      <c r="A62">
        <f>+B32</f>
        <v>0</v>
      </c>
    </row>
    <row r="63" spans="1:14" hidden="1" x14ac:dyDescent="0.35">
      <c r="A63" s="24">
        <f>+B35</f>
        <v>0</v>
      </c>
    </row>
    <row r="64" spans="1:14" hidden="1" x14ac:dyDescent="0.35">
      <c r="A64" s="30" t="s">
        <v>1183</v>
      </c>
    </row>
    <row r="65" spans="1:1" hidden="1" x14ac:dyDescent="0.35">
      <c r="A65" s="30" t="s">
        <v>1165</v>
      </c>
    </row>
    <row r="66" spans="1:1" hidden="1" x14ac:dyDescent="0.35">
      <c r="A66" s="30" t="s">
        <v>1167</v>
      </c>
    </row>
    <row r="67" spans="1:1" hidden="1" x14ac:dyDescent="0.35">
      <c r="A67" s="30" t="s">
        <v>1164</v>
      </c>
    </row>
    <row r="68" spans="1:1" hidden="1" x14ac:dyDescent="0.35">
      <c r="A68" s="30" t="s">
        <v>1166</v>
      </c>
    </row>
    <row r="69" spans="1:1" hidden="1" x14ac:dyDescent="0.35">
      <c r="A69" s="30" t="s">
        <v>1182</v>
      </c>
    </row>
    <row r="70" spans="1:1" hidden="1" x14ac:dyDescent="0.35"/>
  </sheetData>
  <mergeCells count="34">
    <mergeCell ref="D3:H3"/>
    <mergeCell ref="D4:H4"/>
    <mergeCell ref="A6:N6"/>
    <mergeCell ref="H26:N26"/>
    <mergeCell ref="B27:B28"/>
    <mergeCell ref="C27:F28"/>
    <mergeCell ref="J27:N27"/>
    <mergeCell ref="A7:B15"/>
    <mergeCell ref="C34:F34"/>
    <mergeCell ref="C32:F32"/>
    <mergeCell ref="A16:B16"/>
    <mergeCell ref="A18:B18"/>
    <mergeCell ref="C31:F31"/>
    <mergeCell ref="A17:B17"/>
    <mergeCell ref="B26:F26"/>
    <mergeCell ref="C30:F30"/>
    <mergeCell ref="C29:F29"/>
    <mergeCell ref="A24:B24"/>
    <mergeCell ref="A38:B38"/>
    <mergeCell ref="A40:F43"/>
    <mergeCell ref="L28:N29"/>
    <mergeCell ref="A3:B3"/>
    <mergeCell ref="F1:N2"/>
    <mergeCell ref="A1:E2"/>
    <mergeCell ref="A20:B20"/>
    <mergeCell ref="A21:B21"/>
    <mergeCell ref="A22:B22"/>
    <mergeCell ref="A23:B23"/>
    <mergeCell ref="A36:A37"/>
    <mergeCell ref="C37:F37"/>
    <mergeCell ref="C35:F35"/>
    <mergeCell ref="C36:F36"/>
    <mergeCell ref="A33:A34"/>
    <mergeCell ref="C33:F33"/>
  </mergeCells>
  <phoneticPr fontId="25" type="noConversion"/>
  <conditionalFormatting sqref="C18:N18">
    <cfRule type="expression" dxfId="13" priority="1" stopIfTrue="1">
      <formula>IF(OR(C20="M6",C20="P1",),"VERDADERO","FALSO")</formula>
    </cfRule>
    <cfRule type="expression" dxfId="12" priority="2" stopIfTrue="1">
      <formula>IF(OR(C20="M2",C20="M1",),"VERDADERO","FALSO")</formula>
    </cfRule>
    <cfRule type="expression" dxfId="11" priority="3" stopIfTrue="1">
      <formula>IF(OR(C20="M8",C20="V3",),"VERDADERO","FALSO")</formula>
    </cfRule>
  </conditionalFormatting>
  <conditionalFormatting sqref="C17:N17">
    <cfRule type="expression" dxfId="10" priority="4" stopIfTrue="1">
      <formula>IF(C20="M2","VERDADERO","FALSO")</formula>
    </cfRule>
    <cfRule type="expression" dxfId="9" priority="5" stopIfTrue="1">
      <formula>IF(OR(C20="M6",C20="P1",C20="M8",C20="V3",C20="M2",),"VERDADERO","FALSO")</formula>
    </cfRule>
    <cfRule type="expression" dxfId="8" priority="6" stopIfTrue="1">
      <formula>IF(C20="M1","VERDADERO","FALSO")</formula>
    </cfRule>
  </conditionalFormatting>
  <conditionalFormatting sqref="C16:N16">
    <cfRule type="expression" dxfId="7" priority="7" stopIfTrue="1">
      <formula>IF(OR(C16="M1",C16=$B$33,C16=$B$34,C16=$A$39,),"verdadero","falso")</formula>
    </cfRule>
    <cfRule type="expression" dxfId="6" priority="8" stopIfTrue="1">
      <formula>IF(C20="M1","VERDADERO","FALSO")</formula>
    </cfRule>
  </conditionalFormatting>
  <dataValidations xWindow="556" yWindow="356" count="10">
    <dataValidation allowBlank="1" showInputMessage="1" showErrorMessage="1" promptTitle="NOTA" prompt="DE 12 o 16" sqref="J28"/>
    <dataValidation type="whole" operator="notBetween" allowBlank="1" showInputMessage="1" showErrorMessage="1" errorTitle="ERROR" error="SOLO ACEPTA VALORES NUMERICOS" promptTitle="NOTA" prompt="MEDIDA EN CM" sqref="C22:N22">
      <formula1>1</formula1>
      <formula2>10</formula2>
    </dataValidation>
    <dataValidation type="whole" allowBlank="1" showInputMessage="1" showErrorMessage="1" errorTitle="ERROR" error="SOLO ACEPTA VALORES NUMERICOS Y ANCHOS HASTA 150 CM" promptTitle="ESTANDAR" prompt="28, 56, 70, 84, 112, 140" sqref="C23:N23">
      <formula1>1</formula1>
      <formula2>150</formula2>
    </dataValidation>
    <dataValidation type="textLength" allowBlank="1" showInputMessage="1" showErrorMessage="1" errorTitle="DATOS MUY EXTENSOS" error="INGRESAR NUMEROS _x000a_EN OBSERVACIONES" promptTitle="NOTA" prompt="INGRESAR NUMERO DE PANEL" sqref="C21:N21">
      <formula1>1</formula1>
      <formula2>12</formula2>
    </dataValidation>
    <dataValidation type="list" allowBlank="1" showInputMessage="1" showErrorMessage="1" errorTitle="ERROR" error="INGRESAR SIGLAS PRIMERO EN ACABADOS_x000a_NO SE PERMITEN SIGLAS PARA VIDRIOS" promptTitle="NOTA" prompt="INGRESAR SIGLAS PARA ANTEPECHO" sqref="C18:N18">
      <formula1>$A$59:$A$65</formula1>
    </dataValidation>
    <dataValidation type="list" allowBlank="1" showInputMessage="1" showErrorMessage="1" errorTitle="ERROR" error="NO ES SIGLA DE VIDRIO" promptTitle="NOTA" prompt="INGRESAR SIGLAS PARA EL TIPO DE VIDRIO" sqref="C17:N17">
      <formula1>VPT</formula1>
    </dataValidation>
    <dataValidation allowBlank="1" showInputMessage="1" showErrorMessage="1" errorTitle="ERROR" error="NO COINCIDE" sqref="B29:B37"/>
    <dataValidation type="list" allowBlank="1" showInputMessage="1" showErrorMessage="1" errorTitle="ERROR" error="NO ES UA TIPOLOGIA_x000a_DE PANEL" promptTitle="TIPOLOGIAS" prompt="M1,M2,M6,M8,V3,P1" sqref="C20:N20">
      <formula1>$A$64:$A$69</formula1>
    </dataValidation>
    <dataValidation type="textLength" operator="equal" allowBlank="1" showInputMessage="1" showErrorMessage="1" errorTitle="ERROR" error="INGRESAR DATOS EN HOJA 5" promptTitle="NOTA" prompt="INTRODUCIR EN HOJA 5" sqref="M3:S3 J4:N4 D4:H4">
      <formula1>0</formula1>
    </dataValidation>
    <dataValidation type="list" allowBlank="1" showInputMessage="1" showErrorMessage="1" errorTitle="ERROR" error="NO COINCIDE" promptTitle="NOTA" prompt="INGRESAR SIGLAS PARA EL MONTANTE" sqref="C16:N16">
      <formula1>ACABADOS</formula1>
    </dataValidation>
  </dataValidations>
  <printOptions horizontalCentered="1" verticalCentered="1"/>
  <pageMargins left="0.35433070866141736" right="0.19685039370078741" top="0.23622047244094491" bottom="0.27559055118110237" header="0" footer="0"/>
  <pageSetup scale="86" orientation="landscape" r:id="rId1"/>
  <headerFooter alignWithMargins="0">
    <oddFooter>&amp;L1 PISO TECHO&amp;RPágina &amp;P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AI721"/>
  <sheetViews>
    <sheetView topLeftCell="A214" zoomScale="85" workbookViewId="0">
      <selection activeCell="L226" sqref="L226"/>
    </sheetView>
  </sheetViews>
  <sheetFormatPr baseColWidth="10" defaultColWidth="11.42578125" defaultRowHeight="12.75" x14ac:dyDescent="0.2"/>
  <cols>
    <col min="1" max="1" width="28.5703125" customWidth="1"/>
    <col min="2" max="2" width="5.85546875" customWidth="1"/>
    <col min="3" max="3" width="10.28515625" customWidth="1"/>
    <col min="4" max="4" width="10.140625" customWidth="1"/>
    <col min="5" max="5" width="11.7109375" customWidth="1"/>
    <col min="6" max="6" width="8.85546875" customWidth="1"/>
    <col min="7" max="7" width="10.85546875" customWidth="1"/>
    <col min="8" max="8" width="8" customWidth="1"/>
    <col min="10" max="10" width="4.85546875" style="309" customWidth="1"/>
    <col min="11" max="11" width="16.140625" customWidth="1"/>
    <col min="12" max="12" width="19.85546875" customWidth="1"/>
    <col min="13" max="13" width="7.42578125" customWidth="1"/>
    <col min="14" max="14" width="9.28515625" customWidth="1"/>
    <col min="15" max="15" width="6.42578125" customWidth="1"/>
    <col min="16" max="16" width="9.7109375" customWidth="1"/>
    <col min="17" max="17" width="6.140625" customWidth="1"/>
    <col min="18" max="18" width="10.42578125" customWidth="1"/>
    <col min="19" max="19" width="4.42578125" customWidth="1"/>
    <col min="21" max="21" width="5.5703125" customWidth="1"/>
  </cols>
  <sheetData>
    <row r="1" spans="1:24" x14ac:dyDescent="0.2">
      <c r="A1">
        <v>0</v>
      </c>
      <c r="J1" s="7"/>
    </row>
    <row r="2" spans="1:24" x14ac:dyDescent="0.2">
      <c r="A2" s="7">
        <v>0</v>
      </c>
      <c r="B2" s="7"/>
      <c r="C2" s="7"/>
      <c r="D2" s="7"/>
      <c r="E2" s="7"/>
      <c r="F2" s="7"/>
      <c r="G2" s="7"/>
      <c r="J2" s="7"/>
    </row>
    <row r="3" spans="1:24" x14ac:dyDescent="0.2">
      <c r="A3" s="1733" t="s">
        <v>470</v>
      </c>
      <c r="B3" s="1733"/>
      <c r="C3" s="1733"/>
      <c r="D3" s="1733"/>
      <c r="E3" s="1733"/>
      <c r="F3" s="1733"/>
      <c r="G3" s="1733"/>
      <c r="J3" s="7"/>
    </row>
    <row r="4" spans="1:24" x14ac:dyDescent="0.2">
      <c r="A4" s="1734" t="s">
        <v>418</v>
      </c>
      <c r="B4" s="1734"/>
      <c r="C4" s="1734"/>
      <c r="D4" s="1734"/>
      <c r="E4" s="1734"/>
      <c r="F4" s="1734"/>
      <c r="G4" s="1734"/>
      <c r="J4" s="7"/>
    </row>
    <row r="5" spans="1:24" x14ac:dyDescent="0.2">
      <c r="A5" s="310">
        <v>0</v>
      </c>
      <c r="C5" s="124">
        <v>0.28000000000000003</v>
      </c>
      <c r="D5" s="124">
        <v>0.56000000000000005</v>
      </c>
      <c r="E5" s="124">
        <v>0.7</v>
      </c>
      <c r="F5" s="124">
        <v>0.84</v>
      </c>
      <c r="G5" s="124">
        <v>1.1200000000000001</v>
      </c>
      <c r="H5" s="124">
        <v>1.4</v>
      </c>
      <c r="I5" s="124" t="s">
        <v>591</v>
      </c>
      <c r="J5" s="7"/>
    </row>
    <row r="6" spans="1:24" x14ac:dyDescent="0.2">
      <c r="A6" s="311" t="s">
        <v>480</v>
      </c>
      <c r="C6" s="312">
        <f>+Cant.!C15</f>
        <v>0</v>
      </c>
      <c r="D6" s="312">
        <f>+Cant.!D15</f>
        <v>0</v>
      </c>
      <c r="E6" s="312">
        <f>+Cant.!E15</f>
        <v>0</v>
      </c>
      <c r="F6" s="312">
        <f>+Cant.!F15</f>
        <v>0</v>
      </c>
      <c r="G6" s="312">
        <f>+Cant.!G15</f>
        <v>0</v>
      </c>
      <c r="H6" s="312" t="e">
        <f>+Cant.!H15</f>
        <v>#REF!</v>
      </c>
      <c r="I6" s="312">
        <f>+Cant.!I15</f>
        <v>0</v>
      </c>
      <c r="J6" s="7"/>
    </row>
    <row r="7" spans="1:24" x14ac:dyDescent="0.2">
      <c r="A7" s="311" t="s">
        <v>482</v>
      </c>
      <c r="C7" s="312">
        <f>+Cant.!C16</f>
        <v>0</v>
      </c>
      <c r="D7" s="312">
        <f>+Cant.!D16</f>
        <v>0</v>
      </c>
      <c r="E7" s="312">
        <f>+Cant.!E16</f>
        <v>0</v>
      </c>
      <c r="F7" s="312">
        <f>+Cant.!F16</f>
        <v>0</v>
      </c>
      <c r="G7" s="312">
        <f>+Cant.!G16</f>
        <v>0</v>
      </c>
      <c r="H7" s="312">
        <f>+Cant.!H16</f>
        <v>0</v>
      </c>
      <c r="I7" s="312">
        <f>+Cant.!I16</f>
        <v>0</v>
      </c>
      <c r="J7" s="7"/>
    </row>
    <row r="8" spans="1:24" x14ac:dyDescent="0.2">
      <c r="A8" s="311" t="s">
        <v>484</v>
      </c>
      <c r="C8" s="312" t="e">
        <f>+Cant.!C17</f>
        <v>#REF!</v>
      </c>
      <c r="D8" s="312" t="e">
        <f>+Cant.!D17</f>
        <v>#REF!</v>
      </c>
      <c r="E8" s="312" t="e">
        <f>+Cant.!E17</f>
        <v>#REF!</v>
      </c>
      <c r="F8" s="312" t="e">
        <f>+Cant.!F17</f>
        <v>#REF!</v>
      </c>
      <c r="G8" s="312" t="e">
        <f>+Cant.!G17</f>
        <v>#REF!</v>
      </c>
      <c r="H8" s="312" t="e">
        <f>+Cant.!H17</f>
        <v>#REF!</v>
      </c>
      <c r="I8" s="312">
        <f>+Cant.!I17</f>
        <v>0</v>
      </c>
      <c r="J8" s="7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5"/>
      <c r="W8" s="225"/>
      <c r="X8" s="225"/>
    </row>
    <row r="9" spans="1:24" ht="18" x14ac:dyDescent="0.25">
      <c r="A9" s="311" t="s">
        <v>486</v>
      </c>
      <c r="C9" s="312" t="e">
        <f>+Cant.!C18</f>
        <v>#REF!</v>
      </c>
      <c r="D9" s="312" t="e">
        <f>+Cant.!D18</f>
        <v>#REF!</v>
      </c>
      <c r="E9" s="312" t="e">
        <f>+Cant.!E18</f>
        <v>#REF!</v>
      </c>
      <c r="F9" s="312" t="e">
        <f>+Cant.!F18</f>
        <v>#REF!</v>
      </c>
      <c r="G9" s="312" t="e">
        <f>+Cant.!G18</f>
        <v>#REF!</v>
      </c>
      <c r="H9" s="312" t="e">
        <f>+Cant.!H18</f>
        <v>#REF!</v>
      </c>
      <c r="I9" s="312">
        <f>+Cant.!I18</f>
        <v>0</v>
      </c>
      <c r="J9" s="7"/>
      <c r="L9" s="313"/>
      <c r="M9" s="225"/>
      <c r="N9" s="225"/>
      <c r="O9" s="225"/>
      <c r="P9" s="225"/>
      <c r="Q9" s="225"/>
      <c r="R9" s="225"/>
      <c r="S9" s="225"/>
      <c r="T9" s="225"/>
      <c r="U9" s="225"/>
      <c r="V9" s="225"/>
      <c r="W9" s="225"/>
      <c r="X9" s="225"/>
    </row>
    <row r="10" spans="1:24" x14ac:dyDescent="0.2">
      <c r="A10" s="311" t="s">
        <v>488</v>
      </c>
      <c r="C10" s="312" t="e">
        <f>+Cant.!C19</f>
        <v>#REF!</v>
      </c>
      <c r="D10" s="312" t="e">
        <f>+Cant.!D19</f>
        <v>#REF!</v>
      </c>
      <c r="E10" s="312" t="e">
        <f>+Cant.!E19</f>
        <v>#REF!</v>
      </c>
      <c r="F10" s="312" t="e">
        <f>+Cant.!F19</f>
        <v>#REF!</v>
      </c>
      <c r="G10" s="312" t="e">
        <f>+Cant.!G19</f>
        <v>#REF!</v>
      </c>
      <c r="H10" s="312" t="e">
        <f>+Cant.!H19</f>
        <v>#REF!</v>
      </c>
      <c r="I10" s="312">
        <f>+Cant.!I19</f>
        <v>0</v>
      </c>
      <c r="J10" s="7"/>
      <c r="L10" s="314"/>
      <c r="M10" s="315"/>
      <c r="N10" s="315"/>
      <c r="O10" s="315"/>
      <c r="P10" s="315"/>
      <c r="Q10" s="315"/>
      <c r="R10" s="315"/>
      <c r="S10" s="315"/>
      <c r="T10" s="225"/>
      <c r="U10" s="225"/>
      <c r="V10" s="225"/>
      <c r="W10" s="225"/>
      <c r="X10" s="225"/>
    </row>
    <row r="11" spans="1:24" x14ac:dyDescent="0.2">
      <c r="A11" s="7">
        <v>0</v>
      </c>
      <c r="B11" s="7"/>
      <c r="C11" s="316"/>
      <c r="D11" s="316"/>
      <c r="E11" s="316"/>
      <c r="F11" s="316"/>
      <c r="G11" s="316"/>
      <c r="H11" s="7"/>
      <c r="J11" s="7"/>
      <c r="L11" s="225"/>
      <c r="M11" s="225"/>
      <c r="N11" s="83"/>
      <c r="O11" s="83"/>
      <c r="P11" s="83"/>
      <c r="Q11" s="83"/>
      <c r="R11" s="83"/>
      <c r="S11" s="83"/>
      <c r="T11" s="225"/>
      <c r="U11" s="225"/>
      <c r="V11" s="225"/>
      <c r="W11" s="225"/>
      <c r="X11" s="225"/>
    </row>
    <row r="12" spans="1:24" ht="15.75" x14ac:dyDescent="0.25">
      <c r="A12" s="1733" t="s">
        <v>490</v>
      </c>
      <c r="B12" s="1733"/>
      <c r="C12" s="1733"/>
      <c r="D12" s="1733"/>
      <c r="E12" s="1733"/>
      <c r="F12" s="1733"/>
      <c r="G12" s="1733"/>
      <c r="H12" s="317"/>
      <c r="J12" s="7"/>
      <c r="L12" s="318"/>
      <c r="M12" s="318"/>
      <c r="N12" s="229"/>
      <c r="O12" s="229"/>
      <c r="P12" s="229"/>
      <c r="Q12" s="229"/>
      <c r="R12" s="229"/>
      <c r="S12" s="229"/>
      <c r="T12" s="225"/>
      <c r="U12" s="225"/>
      <c r="V12" s="225"/>
      <c r="W12" s="225"/>
      <c r="X12" s="225"/>
    </row>
    <row r="13" spans="1:24" x14ac:dyDescent="0.2">
      <c r="A13" s="1734" t="s">
        <v>418</v>
      </c>
      <c r="B13" s="1734"/>
      <c r="C13" s="1734"/>
      <c r="D13" s="1734"/>
      <c r="E13" s="1734"/>
      <c r="F13" s="1734"/>
      <c r="G13" s="1734"/>
      <c r="H13" s="319"/>
      <c r="J13" s="7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</row>
    <row r="14" spans="1:24" x14ac:dyDescent="0.2">
      <c r="A14" s="320">
        <v>0</v>
      </c>
      <c r="C14" s="124">
        <v>0.28000000000000003</v>
      </c>
      <c r="D14" s="124">
        <v>0.56000000000000005</v>
      </c>
      <c r="E14" s="124">
        <v>0.7</v>
      </c>
      <c r="F14" s="124">
        <v>0.84</v>
      </c>
      <c r="G14" s="124">
        <v>1.1200000000000001</v>
      </c>
      <c r="H14" s="124">
        <v>1.4</v>
      </c>
      <c r="I14" s="124" t="s">
        <v>591</v>
      </c>
      <c r="J14" s="7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25"/>
    </row>
    <row r="15" spans="1:24" ht="18" x14ac:dyDescent="0.25">
      <c r="A15" s="311" t="s">
        <v>480</v>
      </c>
      <c r="C15" s="312">
        <f>+Cant.!C24</f>
        <v>0</v>
      </c>
      <c r="D15" s="312">
        <f>+Cant.!D24</f>
        <v>0</v>
      </c>
      <c r="E15" s="312">
        <f>+Cant.!E24</f>
        <v>0</v>
      </c>
      <c r="F15" s="312">
        <f>+Cant.!F24</f>
        <v>0</v>
      </c>
      <c r="G15" s="312">
        <f>+Cant.!G24</f>
        <v>0</v>
      </c>
      <c r="H15" s="312">
        <f>+Cant.!H24</f>
        <v>0</v>
      </c>
      <c r="I15" s="312">
        <f>+Cant.!I24</f>
        <v>0</v>
      </c>
      <c r="J15" s="7"/>
      <c r="L15" s="313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</row>
    <row r="16" spans="1:24" x14ac:dyDescent="0.2">
      <c r="A16" s="311" t="s">
        <v>482</v>
      </c>
      <c r="C16" s="312">
        <f>+Cant.!C25</f>
        <v>0</v>
      </c>
      <c r="D16" s="312">
        <f>+Cant.!D25</f>
        <v>0</v>
      </c>
      <c r="E16" s="312">
        <f>+Cant.!E25</f>
        <v>0</v>
      </c>
      <c r="F16" s="312">
        <f>+Cant.!F25</f>
        <v>0</v>
      </c>
      <c r="G16" s="312">
        <f>+Cant.!G25</f>
        <v>0</v>
      </c>
      <c r="H16" s="312">
        <f>+Cant.!H25</f>
        <v>0</v>
      </c>
      <c r="I16" s="312">
        <f>+Cant.!I25</f>
        <v>0</v>
      </c>
      <c r="J16" s="7"/>
      <c r="L16" s="314"/>
      <c r="M16" s="315"/>
      <c r="N16" s="315"/>
      <c r="O16" s="315"/>
      <c r="P16" s="315"/>
      <c r="Q16" s="315"/>
      <c r="R16" s="315"/>
      <c r="S16" s="315"/>
      <c r="T16" s="225"/>
      <c r="U16" s="225"/>
      <c r="V16" s="225"/>
      <c r="W16" s="225"/>
      <c r="X16" s="225"/>
    </row>
    <row r="17" spans="1:24" x14ac:dyDescent="0.2">
      <c r="A17" s="311" t="s">
        <v>484</v>
      </c>
      <c r="C17" s="312">
        <f>+Cant.!C26</f>
        <v>0</v>
      </c>
      <c r="D17" s="312">
        <f>+Cant.!D26</f>
        <v>0</v>
      </c>
      <c r="E17" s="312">
        <f>+Cant.!E26</f>
        <v>0</v>
      </c>
      <c r="F17" s="312">
        <f>+Cant.!F26</f>
        <v>0</v>
      </c>
      <c r="G17" s="312">
        <f>+Cant.!G26</f>
        <v>0</v>
      </c>
      <c r="H17" s="312">
        <f>+Cant.!H26</f>
        <v>0</v>
      </c>
      <c r="I17" s="312">
        <f>+Cant.!I26</f>
        <v>0</v>
      </c>
      <c r="J17" s="7"/>
      <c r="L17" s="225"/>
      <c r="M17" s="225"/>
      <c r="N17" s="83"/>
      <c r="O17" s="83"/>
      <c r="P17" s="83"/>
      <c r="Q17" s="83"/>
      <c r="R17" s="83"/>
      <c r="S17" s="83"/>
      <c r="T17" s="225"/>
      <c r="U17" s="225"/>
      <c r="V17" s="225"/>
      <c r="W17" s="225"/>
      <c r="X17" s="225"/>
    </row>
    <row r="18" spans="1:24" ht="15.75" x14ac:dyDescent="0.25">
      <c r="A18" s="311" t="s">
        <v>486</v>
      </c>
      <c r="C18" s="312">
        <f>+Cant.!C27</f>
        <v>0</v>
      </c>
      <c r="D18" s="312">
        <f>+Cant.!D27</f>
        <v>0</v>
      </c>
      <c r="E18" s="312">
        <f>+Cant.!E27</f>
        <v>0</v>
      </c>
      <c r="F18" s="312">
        <f>+Cant.!F27</f>
        <v>0</v>
      </c>
      <c r="G18" s="312">
        <f>+Cant.!G27</f>
        <v>0</v>
      </c>
      <c r="H18" s="312">
        <f>+Cant.!H27</f>
        <v>0</v>
      </c>
      <c r="I18" s="312">
        <f>+Cant.!I27</f>
        <v>0</v>
      </c>
      <c r="J18" s="7"/>
      <c r="L18" s="318"/>
      <c r="M18" s="318"/>
      <c r="N18" s="229"/>
      <c r="O18" s="229"/>
      <c r="P18" s="229"/>
      <c r="Q18" s="229"/>
      <c r="R18" s="229"/>
      <c r="S18" s="229"/>
      <c r="T18" s="225"/>
      <c r="U18" s="225"/>
      <c r="V18" s="225"/>
      <c r="W18" s="225"/>
      <c r="X18" s="225"/>
    </row>
    <row r="19" spans="1:24" x14ac:dyDescent="0.2">
      <c r="A19" s="311" t="s">
        <v>488</v>
      </c>
      <c r="C19" s="312">
        <f>+Cant.!C28</f>
        <v>0</v>
      </c>
      <c r="D19" s="312">
        <f>+Cant.!D28</f>
        <v>0</v>
      </c>
      <c r="E19" s="312">
        <f>+Cant.!E28</f>
        <v>0</v>
      </c>
      <c r="F19" s="312">
        <f>+Cant.!F28</f>
        <v>0</v>
      </c>
      <c r="G19" s="312">
        <f>+Cant.!G28</f>
        <v>0</v>
      </c>
      <c r="H19" s="312">
        <f>+Cant.!H28</f>
        <v>0</v>
      </c>
      <c r="I19" s="312">
        <f>+Cant.!I28</f>
        <v>0</v>
      </c>
      <c r="J19" s="7"/>
      <c r="L19" s="225"/>
      <c r="M19" s="225"/>
      <c r="N19" s="225"/>
      <c r="O19" s="225"/>
      <c r="P19" s="225"/>
      <c r="Q19" s="225"/>
      <c r="R19" s="225"/>
      <c r="S19" s="225"/>
      <c r="T19" s="225"/>
      <c r="U19" s="225"/>
      <c r="V19" s="225"/>
      <c r="W19" s="225"/>
      <c r="X19" s="225"/>
    </row>
    <row r="20" spans="1:24" x14ac:dyDescent="0.2">
      <c r="A20" s="7">
        <v>0</v>
      </c>
      <c r="B20" s="7"/>
      <c r="C20" s="316"/>
      <c r="D20" s="316"/>
      <c r="E20" s="316"/>
      <c r="F20" s="316"/>
      <c r="G20" s="316"/>
      <c r="H20" s="7"/>
      <c r="J20" s="7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25"/>
    </row>
    <row r="21" spans="1:24" ht="15.75" x14ac:dyDescent="0.25">
      <c r="A21" s="1735"/>
      <c r="B21" s="1735"/>
      <c r="C21" s="1735"/>
      <c r="D21" s="1735"/>
      <c r="E21" s="1735"/>
      <c r="F21" s="1735"/>
      <c r="G21" s="1735"/>
      <c r="H21" s="1129"/>
      <c r="I21" s="14"/>
      <c r="J21" s="7"/>
      <c r="L21" s="318"/>
      <c r="M21" s="225"/>
      <c r="N21" s="225"/>
      <c r="O21" s="225"/>
      <c r="P21" s="225"/>
      <c r="Q21" s="225"/>
      <c r="R21" s="225"/>
      <c r="S21" s="225"/>
      <c r="T21" s="225"/>
      <c r="U21" s="225"/>
      <c r="V21" s="225"/>
      <c r="W21" s="225"/>
      <c r="X21" s="225"/>
    </row>
    <row r="22" spans="1:24" ht="15.75" x14ac:dyDescent="0.25">
      <c r="A22" s="1736"/>
      <c r="B22" s="1736"/>
      <c r="C22" s="1736"/>
      <c r="D22" s="1736"/>
      <c r="E22" s="1736"/>
      <c r="F22" s="1736"/>
      <c r="G22" s="1736"/>
      <c r="H22" s="321"/>
      <c r="I22" s="14"/>
      <c r="J22" s="7"/>
      <c r="L22" s="225"/>
      <c r="M22" s="225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5"/>
    </row>
    <row r="23" spans="1:24" ht="18" x14ac:dyDescent="0.25">
      <c r="A23" s="320"/>
      <c r="B23" s="14"/>
      <c r="C23" s="128"/>
      <c r="D23" s="128"/>
      <c r="E23" s="128"/>
      <c r="F23" s="128"/>
      <c r="G23" s="128"/>
      <c r="H23" s="128"/>
      <c r="I23" s="128"/>
      <c r="J23" s="7"/>
      <c r="L23" s="225"/>
      <c r="M23" s="225"/>
      <c r="N23" s="228"/>
      <c r="O23" s="228"/>
      <c r="P23" s="228"/>
      <c r="Q23" s="228"/>
      <c r="R23" s="228"/>
      <c r="S23" s="228"/>
      <c r="T23" s="228"/>
      <c r="U23" s="228"/>
      <c r="V23" s="228"/>
      <c r="W23" s="228"/>
      <c r="X23" s="225"/>
    </row>
    <row r="24" spans="1:24" x14ac:dyDescent="0.2">
      <c r="A24" s="322"/>
      <c r="B24" s="14"/>
      <c r="C24" s="1130"/>
      <c r="D24" s="1130"/>
      <c r="E24" s="1130"/>
      <c r="F24" s="1130"/>
      <c r="G24" s="1130"/>
      <c r="H24" s="1130"/>
      <c r="I24" s="1130"/>
      <c r="J24" s="7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</row>
    <row r="25" spans="1:24" ht="15.75" x14ac:dyDescent="0.25">
      <c r="A25" s="322"/>
      <c r="B25" s="14"/>
      <c r="C25" s="1130"/>
      <c r="D25" s="1130"/>
      <c r="E25" s="1130"/>
      <c r="F25" s="1130"/>
      <c r="G25" s="1130"/>
      <c r="H25" s="1130"/>
      <c r="I25" s="1130"/>
      <c r="J25" s="7"/>
      <c r="L25" s="318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25"/>
    </row>
    <row r="26" spans="1:24" ht="15.75" x14ac:dyDescent="0.25">
      <c r="A26" s="14">
        <v>0</v>
      </c>
      <c r="B26" s="14"/>
      <c r="C26" s="323"/>
      <c r="D26" s="323"/>
      <c r="E26" s="323"/>
      <c r="F26" s="323"/>
      <c r="G26" s="323"/>
      <c r="H26" s="324"/>
      <c r="I26" s="3"/>
      <c r="J26" s="7"/>
      <c r="L26" s="225"/>
      <c r="M26" s="225"/>
      <c r="N26" s="229"/>
      <c r="O26" s="229"/>
      <c r="P26" s="229"/>
      <c r="Q26" s="229"/>
      <c r="R26" s="229"/>
      <c r="S26" s="229"/>
      <c r="T26" s="229"/>
      <c r="U26" s="229"/>
      <c r="V26" s="229"/>
      <c r="W26" s="225"/>
      <c r="X26" s="225"/>
    </row>
    <row r="27" spans="1:24" ht="18" x14ac:dyDescent="0.25">
      <c r="A27" s="1733" t="s">
        <v>511</v>
      </c>
      <c r="B27" s="1733"/>
      <c r="C27" s="1733"/>
      <c r="D27" s="1733"/>
      <c r="E27" s="1733"/>
      <c r="F27" s="1733"/>
      <c r="G27" s="1733"/>
      <c r="H27" s="324"/>
      <c r="I27" s="3"/>
      <c r="J27" s="7"/>
      <c r="L27" s="225"/>
      <c r="M27" s="225"/>
      <c r="N27" s="228"/>
      <c r="O27" s="228"/>
      <c r="P27" s="228"/>
      <c r="Q27" s="228"/>
      <c r="R27" s="228"/>
      <c r="S27" s="228"/>
      <c r="T27" s="228"/>
      <c r="U27" s="228"/>
      <c r="V27" s="228"/>
      <c r="W27" s="225"/>
      <c r="X27" s="225"/>
    </row>
    <row r="28" spans="1:24" x14ac:dyDescent="0.2">
      <c r="A28" s="325">
        <v>0</v>
      </c>
      <c r="C28" s="124">
        <v>0.95</v>
      </c>
      <c r="D28" s="124">
        <v>1.1499999999999999</v>
      </c>
      <c r="E28" s="124">
        <v>1.35</v>
      </c>
      <c r="F28" s="124">
        <v>1.55</v>
      </c>
      <c r="G28" s="124">
        <v>1.75</v>
      </c>
      <c r="H28" s="324"/>
      <c r="I28" s="3"/>
      <c r="J28" s="7"/>
      <c r="L28" s="225"/>
      <c r="M28" s="225"/>
      <c r="N28" s="225"/>
      <c r="O28" s="225"/>
      <c r="P28" s="225"/>
      <c r="Q28" s="225"/>
      <c r="R28" s="225"/>
      <c r="S28" s="225"/>
      <c r="T28" s="225"/>
      <c r="U28" s="225"/>
      <c r="V28" s="225"/>
      <c r="W28" s="225"/>
      <c r="X28" s="225"/>
    </row>
    <row r="29" spans="1:24" x14ac:dyDescent="0.2">
      <c r="A29" s="311" t="s">
        <v>71</v>
      </c>
      <c r="C29" s="312">
        <f>+Cant.!C39</f>
        <v>0</v>
      </c>
      <c r="D29" s="312">
        <f>+Cant.!D39</f>
        <v>0</v>
      </c>
      <c r="E29" s="312">
        <f>+Cant.!E39</f>
        <v>0</v>
      </c>
      <c r="F29" s="312">
        <f>+Cant.!F39</f>
        <v>0</v>
      </c>
      <c r="G29" s="312">
        <f>+Cant.!G39</f>
        <v>0</v>
      </c>
      <c r="H29" s="120"/>
      <c r="J29" s="7"/>
      <c r="L29" s="225"/>
      <c r="M29" s="225"/>
      <c r="N29" s="225"/>
      <c r="O29" s="225"/>
      <c r="P29" s="225"/>
      <c r="Q29" s="225"/>
      <c r="R29" s="225"/>
      <c r="S29" s="225"/>
      <c r="T29" s="225"/>
      <c r="U29" s="225"/>
      <c r="V29" s="225"/>
      <c r="W29" s="225"/>
      <c r="X29" s="225"/>
    </row>
    <row r="30" spans="1:24" x14ac:dyDescent="0.2">
      <c r="A30" s="311" t="s">
        <v>72</v>
      </c>
      <c r="C30" s="312">
        <f>+Cant.!C40</f>
        <v>0</v>
      </c>
      <c r="D30" s="312">
        <f>+Cant.!D40</f>
        <v>0</v>
      </c>
      <c r="E30" s="312">
        <f>+Cant.!E40</f>
        <v>0</v>
      </c>
      <c r="F30" s="312">
        <f>+Cant.!F40</f>
        <v>0</v>
      </c>
      <c r="G30" s="312">
        <f>+Cant.!G40</f>
        <v>0</v>
      </c>
      <c r="H30" s="120"/>
      <c r="J30" s="7"/>
      <c r="L30" s="225"/>
      <c r="M30" s="225"/>
      <c r="N30" s="225"/>
      <c r="O30" s="225"/>
      <c r="P30" s="225"/>
      <c r="Q30" s="225"/>
      <c r="R30" s="225"/>
      <c r="S30" s="225"/>
      <c r="T30" s="225"/>
      <c r="U30" s="225"/>
      <c r="V30" s="225"/>
      <c r="W30" s="225"/>
      <c r="X30" s="225"/>
    </row>
    <row r="31" spans="1:24" ht="18" x14ac:dyDescent="0.25">
      <c r="A31" s="311" t="s">
        <v>520</v>
      </c>
      <c r="C31" s="312">
        <f>+Cant.!C41</f>
        <v>0</v>
      </c>
      <c r="D31" s="312">
        <f>+Cant.!D41</f>
        <v>0</v>
      </c>
      <c r="E31" s="312">
        <f>+Cant.!E41</f>
        <v>0</v>
      </c>
      <c r="F31" s="312">
        <f>+Cant.!F41</f>
        <v>0</v>
      </c>
      <c r="G31" s="312">
        <f>+Cant.!G41</f>
        <v>0</v>
      </c>
      <c r="H31" s="120"/>
      <c r="J31" s="7"/>
      <c r="L31" s="225"/>
      <c r="M31" s="225"/>
      <c r="N31" s="228"/>
      <c r="O31" s="228"/>
      <c r="P31" s="228"/>
      <c r="Q31" s="228"/>
      <c r="R31" s="228"/>
      <c r="S31" s="228"/>
      <c r="T31" s="228"/>
      <c r="U31" s="228"/>
      <c r="V31" s="228"/>
      <c r="W31" s="326"/>
      <c r="X31" s="228"/>
    </row>
    <row r="32" spans="1:24" ht="15.75" x14ac:dyDescent="0.25">
      <c r="A32" s="311" t="s">
        <v>522</v>
      </c>
      <c r="C32" s="312">
        <f>+Cant.!C42</f>
        <v>0</v>
      </c>
      <c r="D32" s="312">
        <f>+Cant.!D42</f>
        <v>0</v>
      </c>
      <c r="E32" s="312">
        <f>+Cant.!E42</f>
        <v>0</v>
      </c>
      <c r="F32" s="312">
        <f>+Cant.!F42</f>
        <v>0</v>
      </c>
      <c r="G32" s="312">
        <f>+Cant.!G42</f>
        <v>0</v>
      </c>
      <c r="H32" s="120"/>
      <c r="J32" s="7"/>
      <c r="L32" s="225"/>
      <c r="M32" s="225"/>
      <c r="N32" s="229"/>
      <c r="O32" s="229"/>
      <c r="P32" s="229"/>
      <c r="Q32" s="229"/>
      <c r="R32" s="229"/>
      <c r="S32" s="229"/>
      <c r="T32" s="229"/>
      <c r="U32" s="229"/>
      <c r="V32" s="229"/>
      <c r="W32" s="227"/>
      <c r="X32" s="229"/>
    </row>
    <row r="33" spans="1:35" ht="15.75" x14ac:dyDescent="0.25">
      <c r="A33" s="311" t="s">
        <v>524</v>
      </c>
      <c r="C33" s="312">
        <f>+Cant.!C43</f>
        <v>0</v>
      </c>
      <c r="D33" s="312">
        <f>+Cant.!D43</f>
        <v>0</v>
      </c>
      <c r="E33" s="312">
        <f>+Cant.!E43</f>
        <v>0</v>
      </c>
      <c r="F33" s="312">
        <f>+Cant.!F43</f>
        <v>0</v>
      </c>
      <c r="G33" s="312">
        <f>+Cant.!G43</f>
        <v>0</v>
      </c>
      <c r="H33" s="120"/>
      <c r="J33" s="7"/>
      <c r="L33" s="225"/>
      <c r="M33" s="225"/>
      <c r="N33" s="229"/>
      <c r="O33" s="229"/>
      <c r="P33" s="229"/>
      <c r="Q33" s="229"/>
      <c r="R33" s="229"/>
      <c r="S33" s="229"/>
      <c r="T33" s="229"/>
      <c r="U33" s="229"/>
      <c r="V33" s="229"/>
      <c r="W33" s="227"/>
      <c r="X33" s="229"/>
    </row>
    <row r="34" spans="1:35" ht="15.75" x14ac:dyDescent="0.25">
      <c r="A34" s="311" t="s">
        <v>526</v>
      </c>
      <c r="C34" s="312">
        <f>+Cant.!C44</f>
        <v>0</v>
      </c>
      <c r="D34" s="312">
        <f>+Cant.!D44</f>
        <v>0</v>
      </c>
      <c r="E34" s="312">
        <f>+Cant.!E44</f>
        <v>0</v>
      </c>
      <c r="F34" s="312">
        <f>+Cant.!F44</f>
        <v>0</v>
      </c>
      <c r="G34" s="312">
        <f>+Cant.!G44</f>
        <v>0</v>
      </c>
      <c r="H34" s="120"/>
      <c r="J34" s="7"/>
      <c r="L34" s="225"/>
      <c r="M34" s="225"/>
      <c r="N34" s="229"/>
      <c r="O34" s="229"/>
      <c r="P34" s="229"/>
      <c r="Q34" s="229"/>
      <c r="R34" s="229"/>
      <c r="S34" s="229"/>
      <c r="T34" s="229"/>
      <c r="U34" s="229"/>
      <c r="V34" s="229"/>
      <c r="W34" s="227"/>
      <c r="X34" s="229"/>
    </row>
    <row r="35" spans="1:35" ht="15.75" x14ac:dyDescent="0.25">
      <c r="A35" s="120">
        <v>0</v>
      </c>
      <c r="B35" s="327"/>
      <c r="C35" s="327"/>
      <c r="D35" s="327"/>
      <c r="E35" s="327"/>
      <c r="F35" s="327"/>
      <c r="G35" s="328"/>
      <c r="H35" s="120"/>
      <c r="J35" s="7"/>
      <c r="L35" s="225"/>
      <c r="M35" s="225"/>
      <c r="N35" s="229"/>
      <c r="O35" s="229"/>
      <c r="P35" s="229"/>
      <c r="Q35" s="229"/>
      <c r="R35" s="229"/>
      <c r="S35" s="229"/>
      <c r="T35" s="229"/>
      <c r="U35" s="229"/>
      <c r="V35" s="229"/>
      <c r="W35" s="227"/>
      <c r="X35" s="229"/>
    </row>
    <row r="36" spans="1:35" ht="15.75" x14ac:dyDescent="0.25">
      <c r="A36" s="1733" t="s">
        <v>529</v>
      </c>
      <c r="B36" s="1733"/>
      <c r="C36" s="1733"/>
      <c r="D36" s="1733"/>
      <c r="E36" s="1733"/>
      <c r="F36" s="1733"/>
      <c r="G36" s="1733"/>
      <c r="H36" s="1733"/>
      <c r="J36" s="7"/>
      <c r="L36" s="225"/>
      <c r="M36" s="225"/>
      <c r="N36" s="229"/>
      <c r="O36" s="229"/>
      <c r="P36" s="229"/>
      <c r="Q36" s="229"/>
      <c r="R36" s="229"/>
      <c r="S36" s="229"/>
      <c r="T36" s="229"/>
      <c r="U36" s="229"/>
      <c r="V36" s="229"/>
      <c r="W36" s="227"/>
      <c r="X36" s="229"/>
    </row>
    <row r="37" spans="1:35" ht="15.75" x14ac:dyDescent="0.25">
      <c r="A37" s="329"/>
      <c r="C37" s="124">
        <v>0.95</v>
      </c>
      <c r="D37" s="124">
        <v>1.1499999999999999</v>
      </c>
      <c r="E37" s="124">
        <v>1.35</v>
      </c>
      <c r="F37" s="124">
        <v>1.55</v>
      </c>
      <c r="G37" s="124">
        <v>1.75</v>
      </c>
      <c r="H37" s="225"/>
      <c r="J37" s="7"/>
      <c r="L37" s="225"/>
      <c r="M37" s="225"/>
      <c r="N37" s="229"/>
      <c r="O37" s="229"/>
      <c r="P37" s="229"/>
      <c r="Q37" s="229"/>
      <c r="R37" s="229"/>
      <c r="S37" s="229"/>
      <c r="T37" s="229"/>
      <c r="U37" s="229"/>
      <c r="V37" s="229"/>
      <c r="W37" s="227"/>
      <c r="X37" s="229"/>
    </row>
    <row r="38" spans="1:35" x14ac:dyDescent="0.2">
      <c r="A38" s="330" t="s">
        <v>532</v>
      </c>
      <c r="C38" s="312">
        <f>+Cant.!C48</f>
        <v>0</v>
      </c>
      <c r="D38" s="312">
        <f>+Cant.!D48</f>
        <v>0</v>
      </c>
      <c r="E38" s="312">
        <f>+Cant.!E48</f>
        <v>0</v>
      </c>
      <c r="F38" s="312">
        <f>+Cant.!F48</f>
        <v>0</v>
      </c>
      <c r="G38" s="312">
        <f>+Cant.!G48</f>
        <v>0</v>
      </c>
      <c r="H38" s="225"/>
      <c r="J38" s="7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</row>
    <row r="39" spans="1:35" x14ac:dyDescent="0.2">
      <c r="A39" s="330" t="s">
        <v>534</v>
      </c>
      <c r="C39" s="312">
        <f>+Cant.!C49</f>
        <v>0</v>
      </c>
      <c r="D39" s="312">
        <f>+Cant.!D49</f>
        <v>0</v>
      </c>
      <c r="E39" s="312">
        <f>+Cant.!E49</f>
        <v>0</v>
      </c>
      <c r="F39" s="312">
        <f>+Cant.!F49</f>
        <v>0</v>
      </c>
      <c r="G39" s="312">
        <f>+Cant.!G49</f>
        <v>0</v>
      </c>
      <c r="H39" s="120"/>
      <c r="J39" s="7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</row>
    <row r="40" spans="1:35" x14ac:dyDescent="0.2">
      <c r="A40" s="330" t="s">
        <v>536</v>
      </c>
      <c r="C40" s="312">
        <f>+Cant.!C50</f>
        <v>0</v>
      </c>
      <c r="D40" s="312">
        <f>+Cant.!D50</f>
        <v>0</v>
      </c>
      <c r="E40" s="312">
        <f>+Cant.!E50</f>
        <v>0</v>
      </c>
      <c r="F40" s="312">
        <f>+Cant.!F50</f>
        <v>0</v>
      </c>
      <c r="G40" s="312">
        <f>+Cant.!G50</f>
        <v>0</v>
      </c>
      <c r="H40" s="225"/>
      <c r="J40" s="7"/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25"/>
    </row>
    <row r="41" spans="1:35" x14ac:dyDescent="0.2">
      <c r="A41" s="330" t="s">
        <v>538</v>
      </c>
      <c r="C41" s="312">
        <f>+Cant.!C51</f>
        <v>0</v>
      </c>
      <c r="D41" s="312">
        <f>+Cant.!D51</f>
        <v>0</v>
      </c>
      <c r="E41" s="312">
        <f>+Cant.!E51</f>
        <v>0</v>
      </c>
      <c r="F41" s="312">
        <f>+Cant.!F51</f>
        <v>0</v>
      </c>
      <c r="G41" s="312">
        <f>+Cant.!G51</f>
        <v>0</v>
      </c>
      <c r="H41" s="133"/>
      <c r="J41" s="7"/>
      <c r="L41" s="225"/>
      <c r="M41" s="225"/>
      <c r="N41" s="225"/>
      <c r="O41" s="225"/>
      <c r="P41" s="225"/>
      <c r="Q41" s="225"/>
      <c r="R41" s="225"/>
      <c r="S41" s="225"/>
      <c r="T41" s="225"/>
      <c r="U41" s="225"/>
      <c r="V41" s="225"/>
      <c r="W41" s="225"/>
      <c r="X41" s="225"/>
    </row>
    <row r="42" spans="1:35" x14ac:dyDescent="0.2">
      <c r="A42">
        <v>0</v>
      </c>
      <c r="J42" s="7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14"/>
      <c r="AB42" s="225"/>
      <c r="AC42" s="225"/>
      <c r="AD42" s="225"/>
      <c r="AE42" s="225"/>
      <c r="AF42" s="225"/>
      <c r="AG42" s="225"/>
      <c r="AH42" s="225"/>
      <c r="AI42" s="225"/>
    </row>
    <row r="43" spans="1:35" ht="18" x14ac:dyDescent="0.25">
      <c r="A43" s="137" t="s">
        <v>592</v>
      </c>
      <c r="B43" s="138"/>
      <c r="C43" s="138"/>
      <c r="D43" s="138"/>
      <c r="E43" s="138"/>
      <c r="F43" s="138"/>
      <c r="G43" s="138"/>
      <c r="H43" s="138"/>
      <c r="J43" s="7"/>
      <c r="Y43" s="14"/>
      <c r="AB43" s="225"/>
      <c r="AC43" s="228"/>
      <c r="AD43" s="228"/>
      <c r="AE43" s="225"/>
      <c r="AF43" s="225"/>
      <c r="AG43" s="225"/>
      <c r="AH43" s="225"/>
      <c r="AI43" s="225"/>
    </row>
    <row r="44" spans="1:35" ht="15.75" customHeight="1" x14ac:dyDescent="0.25">
      <c r="A44" s="137">
        <v>0</v>
      </c>
      <c r="B44" s="138"/>
      <c r="C44" s="138"/>
      <c r="D44" s="138"/>
      <c r="E44" s="138"/>
      <c r="F44" s="138"/>
      <c r="G44" s="138"/>
      <c r="H44" s="138"/>
      <c r="J44" s="7"/>
      <c r="Y44" s="14"/>
      <c r="AB44" s="225"/>
      <c r="AC44" s="225"/>
      <c r="AD44" s="83"/>
      <c r="AE44" s="83"/>
      <c r="AF44" s="83"/>
      <c r="AG44" s="83"/>
      <c r="AH44" s="225"/>
      <c r="AI44" s="225"/>
    </row>
    <row r="45" spans="1:35" ht="15.75" x14ac:dyDescent="0.25">
      <c r="A45" t="s">
        <v>593</v>
      </c>
      <c r="C45">
        <v>0.31</v>
      </c>
      <c r="D45">
        <v>0.59</v>
      </c>
      <c r="E45">
        <v>0.73</v>
      </c>
      <c r="F45">
        <v>0.87</v>
      </c>
      <c r="G45">
        <v>1.1499999999999999</v>
      </c>
      <c r="H45">
        <v>1.5</v>
      </c>
      <c r="J45" s="7"/>
      <c r="Y45" s="331"/>
      <c r="AB45" s="225"/>
      <c r="AC45" s="83"/>
      <c r="AD45" s="83"/>
      <c r="AE45" s="83"/>
      <c r="AF45" s="83"/>
      <c r="AG45" s="83"/>
      <c r="AH45" s="83"/>
      <c r="AI45" s="229"/>
    </row>
    <row r="46" spans="1:35" x14ac:dyDescent="0.2">
      <c r="A46" t="s">
        <v>445</v>
      </c>
      <c r="C46" s="142">
        <v>0.28000000000000003</v>
      </c>
      <c r="D46" s="142">
        <v>0.56000000000000005</v>
      </c>
      <c r="E46" s="142">
        <v>0.7</v>
      </c>
      <c r="F46" s="142">
        <v>0.84</v>
      </c>
      <c r="G46" s="142">
        <v>1.1200000000000001</v>
      </c>
      <c r="H46">
        <v>1.4</v>
      </c>
      <c r="J46" s="7"/>
      <c r="Y46" s="8"/>
      <c r="AB46" s="225"/>
      <c r="AC46" s="83"/>
      <c r="AD46" s="83"/>
      <c r="AE46" s="83"/>
      <c r="AF46" s="83"/>
      <c r="AG46" s="83"/>
      <c r="AH46" s="83"/>
      <c r="AI46" s="83"/>
    </row>
    <row r="47" spans="1:35" s="139" customFormat="1" ht="15.75" x14ac:dyDescent="0.25">
      <c r="A47" s="139" t="s">
        <v>594</v>
      </c>
      <c r="C47" s="140">
        <f>+C6</f>
        <v>0</v>
      </c>
      <c r="D47" s="140">
        <f>+D6</f>
        <v>0</v>
      </c>
      <c r="E47" s="140">
        <f>+E6</f>
        <v>0</v>
      </c>
      <c r="F47" s="140">
        <f>+F6</f>
        <v>0</v>
      </c>
      <c r="G47" s="140">
        <f>+G6</f>
        <v>0</v>
      </c>
      <c r="H47" s="140"/>
      <c r="I47" s="141" t="s">
        <v>446</v>
      </c>
      <c r="J47" s="822"/>
      <c r="Y47" s="8"/>
      <c r="AB47" s="318"/>
      <c r="AC47" s="83"/>
      <c r="AD47" s="83"/>
      <c r="AE47" s="83"/>
      <c r="AF47" s="83"/>
      <c r="AG47" s="83"/>
      <c r="AH47" s="83"/>
      <c r="AI47" s="83"/>
    </row>
    <row r="48" spans="1:35" x14ac:dyDescent="0.2">
      <c r="A48" t="s">
        <v>595</v>
      </c>
      <c r="B48">
        <v>4</v>
      </c>
      <c r="C48">
        <f>+B48*$C$47</f>
        <v>0</v>
      </c>
      <c r="D48">
        <f>+B48*$D$47</f>
        <v>0</v>
      </c>
      <c r="E48">
        <f>+B48*$E$47</f>
        <v>0</v>
      </c>
      <c r="F48">
        <f>+B48*$F$47</f>
        <v>0</v>
      </c>
      <c r="G48">
        <f>+B48*$G$47</f>
        <v>0</v>
      </c>
      <c r="I48" s="1125"/>
      <c r="J48" s="7"/>
      <c r="Y48" s="333"/>
      <c r="AB48" s="225"/>
      <c r="AC48" s="227"/>
      <c r="AD48" s="227"/>
      <c r="AE48" s="227"/>
      <c r="AF48" s="227"/>
      <c r="AG48" s="227"/>
      <c r="AH48" s="227"/>
      <c r="AI48" s="227"/>
    </row>
    <row r="49" spans="1:35" x14ac:dyDescent="0.2">
      <c r="A49" t="s">
        <v>596</v>
      </c>
      <c r="B49">
        <v>16</v>
      </c>
      <c r="C49">
        <f>+B49*$C$47</f>
        <v>0</v>
      </c>
      <c r="D49">
        <f>+B49*$D$47</f>
        <v>0</v>
      </c>
      <c r="E49">
        <f>+B49*$E$47</f>
        <v>0</v>
      </c>
      <c r="F49">
        <f>+B49*$F$47</f>
        <v>0</v>
      </c>
      <c r="G49">
        <f>+B49*$G$47</f>
        <v>0</v>
      </c>
      <c r="H49">
        <f>+B49*$H$47</f>
        <v>0</v>
      </c>
      <c r="I49" s="1125"/>
      <c r="J49" s="7"/>
      <c r="Y49" s="8"/>
      <c r="AB49" s="225"/>
      <c r="AC49" s="225"/>
      <c r="AD49" s="83"/>
      <c r="AE49" s="83"/>
      <c r="AF49" s="83"/>
      <c r="AG49" s="83"/>
      <c r="AH49" s="225"/>
      <c r="AI49" s="225"/>
    </row>
    <row r="50" spans="1:35" ht="15.75" x14ac:dyDescent="0.25">
      <c r="A50" t="s">
        <v>597</v>
      </c>
      <c r="B50">
        <v>3.2</v>
      </c>
      <c r="C50">
        <f>+B50*$C$47</f>
        <v>0</v>
      </c>
      <c r="D50">
        <f>+B50*$D$47</f>
        <v>0</v>
      </c>
      <c r="E50">
        <f>+B50*$E$47</f>
        <v>0</v>
      </c>
      <c r="F50">
        <f>+B50*$F$47</f>
        <v>0</v>
      </c>
      <c r="G50">
        <f>+B50*$G$47</f>
        <v>0</v>
      </c>
      <c r="I50" s="1125"/>
      <c r="J50" s="7"/>
      <c r="Y50" s="333"/>
      <c r="AB50" s="225"/>
      <c r="AC50" s="83"/>
      <c r="AD50" s="83"/>
      <c r="AE50" s="83"/>
      <c r="AF50" s="83"/>
      <c r="AG50" s="83"/>
      <c r="AH50" s="83"/>
      <c r="AI50" s="229"/>
    </row>
    <row r="51" spans="1:35" x14ac:dyDescent="0.2">
      <c r="A51" t="s">
        <v>598</v>
      </c>
      <c r="B51">
        <v>3</v>
      </c>
      <c r="C51">
        <f>+(B51*$C$47)*C46</f>
        <v>0</v>
      </c>
      <c r="D51">
        <f>+(B51*$D$47)*D46</f>
        <v>0</v>
      </c>
      <c r="E51">
        <f>+(B51*$E$47)*E46</f>
        <v>0</v>
      </c>
      <c r="F51">
        <f>+(B51*$F$47)*F46</f>
        <v>0</v>
      </c>
      <c r="G51">
        <f>+(B51*$G$47)*G46</f>
        <v>0</v>
      </c>
      <c r="I51" s="1125"/>
      <c r="J51" s="7"/>
      <c r="Y51" s="333"/>
      <c r="AB51" s="225"/>
      <c r="AC51" s="83"/>
      <c r="AD51" s="83"/>
      <c r="AE51" s="83"/>
      <c r="AF51" s="83"/>
      <c r="AG51" s="83"/>
      <c r="AH51" s="83"/>
      <c r="AI51" s="83"/>
    </row>
    <row r="52" spans="1:35" x14ac:dyDescent="0.2">
      <c r="A52" s="144" t="s">
        <v>599</v>
      </c>
      <c r="B52">
        <v>1</v>
      </c>
      <c r="C52">
        <f>C46*C47</f>
        <v>0</v>
      </c>
      <c r="D52">
        <f>D46*D47</f>
        <v>0</v>
      </c>
      <c r="E52">
        <f>E46*E47</f>
        <v>0</v>
      </c>
      <c r="F52">
        <f>F46*F47</f>
        <v>0</v>
      </c>
      <c r="G52">
        <f>G46*G47</f>
        <v>0</v>
      </c>
      <c r="I52" s="1125"/>
      <c r="J52" s="7"/>
      <c r="Y52" s="14"/>
      <c r="AB52" s="225"/>
      <c r="AC52" s="227"/>
      <c r="AD52" s="227"/>
      <c r="AE52" s="227"/>
      <c r="AF52" s="227"/>
      <c r="AG52" s="227"/>
      <c r="AH52" s="227"/>
      <c r="AI52" s="227"/>
    </row>
    <row r="53" spans="1:35" x14ac:dyDescent="0.2">
      <c r="A53" t="s">
        <v>600</v>
      </c>
      <c r="B53">
        <v>1</v>
      </c>
      <c r="C53">
        <f>$B53*C47</f>
        <v>0</v>
      </c>
      <c r="D53">
        <f>$B53*D47</f>
        <v>0</v>
      </c>
      <c r="E53">
        <f>$B53*E47</f>
        <v>0</v>
      </c>
      <c r="F53">
        <f>$B53*F47</f>
        <v>0</v>
      </c>
      <c r="G53">
        <f>$B53*G47</f>
        <v>0</v>
      </c>
      <c r="I53" s="1125"/>
      <c r="J53" s="7"/>
      <c r="Y53" s="14"/>
      <c r="AB53" s="225"/>
      <c r="AC53" s="83"/>
      <c r="AD53" s="83"/>
      <c r="AE53" s="83"/>
      <c r="AF53" s="83"/>
      <c r="AG53" s="83"/>
      <c r="AH53" s="83"/>
      <c r="AI53" s="83"/>
    </row>
    <row r="54" spans="1:35" x14ac:dyDescent="0.2">
      <c r="A54">
        <v>0</v>
      </c>
      <c r="I54" s="1125"/>
      <c r="J54" s="7"/>
      <c r="Y54" s="14"/>
      <c r="AB54" s="225"/>
      <c r="AC54" s="83"/>
      <c r="AD54" s="83"/>
      <c r="AE54" s="83"/>
      <c r="AF54" s="83"/>
      <c r="AG54" s="83"/>
      <c r="AH54" s="83"/>
      <c r="AI54" s="83"/>
    </row>
    <row r="55" spans="1:35" ht="18" x14ac:dyDescent="0.25">
      <c r="A55" s="137" t="s">
        <v>601</v>
      </c>
      <c r="B55" s="138"/>
      <c r="C55" s="138"/>
      <c r="D55" s="138"/>
      <c r="E55" s="138"/>
      <c r="F55" s="138"/>
      <c r="G55" s="138"/>
      <c r="I55" s="138"/>
      <c r="J55" s="7"/>
      <c r="Y55" s="331"/>
      <c r="AB55" s="225"/>
      <c r="AC55" s="228"/>
      <c r="AD55" s="228"/>
      <c r="AE55" s="225"/>
      <c r="AF55" s="225"/>
      <c r="AG55" s="225"/>
      <c r="AH55" s="225"/>
      <c r="AI55" s="225"/>
    </row>
    <row r="56" spans="1:35" ht="18" x14ac:dyDescent="0.25">
      <c r="A56" s="137">
        <v>0</v>
      </c>
      <c r="B56" s="138"/>
      <c r="C56" s="138"/>
      <c r="D56" s="138"/>
      <c r="E56" s="138"/>
      <c r="F56" s="138"/>
      <c r="G56" s="138"/>
      <c r="I56" s="138"/>
      <c r="J56" s="7"/>
      <c r="Y56" s="8"/>
      <c r="AB56" s="225"/>
      <c r="AC56" s="225"/>
      <c r="AD56" s="83"/>
      <c r="AE56" s="83"/>
      <c r="AF56" s="83"/>
      <c r="AG56" s="83"/>
      <c r="AH56" s="225"/>
      <c r="AI56" s="225"/>
    </row>
    <row r="57" spans="1:35" ht="15.75" x14ac:dyDescent="0.25">
      <c r="A57" t="s">
        <v>593</v>
      </c>
      <c r="C57">
        <v>0.31</v>
      </c>
      <c r="D57">
        <v>0.59</v>
      </c>
      <c r="E57">
        <v>0.73</v>
      </c>
      <c r="F57">
        <v>0.87</v>
      </c>
      <c r="G57">
        <v>1.1499999999999999</v>
      </c>
      <c r="H57">
        <v>1.5</v>
      </c>
      <c r="J57" s="7"/>
      <c r="Y57" s="8"/>
      <c r="AB57" s="225"/>
      <c r="AC57" s="83"/>
      <c r="AD57" s="83"/>
      <c r="AE57" s="83"/>
      <c r="AF57" s="83"/>
      <c r="AG57" s="83"/>
      <c r="AH57" s="83"/>
      <c r="AI57" s="229"/>
    </row>
    <row r="58" spans="1:35" x14ac:dyDescent="0.2">
      <c r="A58" t="s">
        <v>445</v>
      </c>
      <c r="C58" s="142">
        <v>0.28000000000000003</v>
      </c>
      <c r="D58" s="142">
        <v>0.56000000000000005</v>
      </c>
      <c r="E58" s="142">
        <v>0.7</v>
      </c>
      <c r="F58" s="142">
        <v>0.84</v>
      </c>
      <c r="G58" s="142">
        <v>1.1200000000000001</v>
      </c>
      <c r="H58">
        <v>1.4</v>
      </c>
      <c r="J58" s="7"/>
      <c r="Y58" s="333"/>
      <c r="AB58" s="225"/>
      <c r="AC58" s="83"/>
      <c r="AD58" s="83"/>
      <c r="AE58" s="83"/>
      <c r="AF58" s="83"/>
      <c r="AG58" s="83"/>
      <c r="AH58" s="83"/>
      <c r="AI58" s="83"/>
    </row>
    <row r="59" spans="1:35" ht="15.75" x14ac:dyDescent="0.25">
      <c r="A59" s="139" t="s">
        <v>602</v>
      </c>
      <c r="B59" s="139"/>
      <c r="C59" s="140">
        <f t="shared" ref="C59:H59" si="0">+C7</f>
        <v>0</v>
      </c>
      <c r="D59" s="140">
        <f t="shared" si="0"/>
        <v>0</v>
      </c>
      <c r="E59" s="140">
        <f t="shared" si="0"/>
        <v>0</v>
      </c>
      <c r="F59" s="140">
        <f t="shared" si="0"/>
        <v>0</v>
      </c>
      <c r="G59" s="140">
        <f t="shared" si="0"/>
        <v>0</v>
      </c>
      <c r="H59" s="140">
        <f t="shared" si="0"/>
        <v>0</v>
      </c>
      <c r="I59" s="141" t="s">
        <v>446</v>
      </c>
      <c r="J59" s="7"/>
      <c r="Y59" s="8"/>
      <c r="AB59" s="225"/>
      <c r="AC59" s="83"/>
      <c r="AD59" s="83"/>
      <c r="AE59" s="83"/>
      <c r="AF59" s="83"/>
      <c r="AG59" s="83"/>
      <c r="AH59" s="83"/>
      <c r="AI59" s="83"/>
    </row>
    <row r="60" spans="1:35" x14ac:dyDescent="0.2">
      <c r="A60" t="s">
        <v>595</v>
      </c>
      <c r="B60">
        <v>3</v>
      </c>
      <c r="C60">
        <f t="shared" ref="C60:H60" si="1">+$B$60*C59</f>
        <v>0</v>
      </c>
      <c r="D60">
        <f t="shared" si="1"/>
        <v>0</v>
      </c>
      <c r="E60">
        <f t="shared" si="1"/>
        <v>0</v>
      </c>
      <c r="F60">
        <f t="shared" si="1"/>
        <v>0</v>
      </c>
      <c r="G60">
        <f t="shared" si="1"/>
        <v>0</v>
      </c>
      <c r="H60">
        <f t="shared" si="1"/>
        <v>0</v>
      </c>
      <c r="I60" s="332">
        <f>SUM(C60:H60)</f>
        <v>0</v>
      </c>
      <c r="J60" s="7"/>
      <c r="Y60" s="8"/>
      <c r="AB60" s="225"/>
      <c r="AC60" s="227"/>
      <c r="AD60" s="227"/>
      <c r="AE60" s="227"/>
      <c r="AF60" s="227"/>
      <c r="AG60" s="227"/>
      <c r="AH60" s="227"/>
      <c r="AI60" s="227"/>
    </row>
    <row r="61" spans="1:35" ht="18" x14ac:dyDescent="0.25">
      <c r="A61" t="s">
        <v>603</v>
      </c>
      <c r="B61">
        <v>1</v>
      </c>
      <c r="C61">
        <f t="shared" ref="C61:H61" si="2">+$B$61*C59</f>
        <v>0</v>
      </c>
      <c r="D61">
        <f t="shared" si="2"/>
        <v>0</v>
      </c>
      <c r="E61">
        <f t="shared" si="2"/>
        <v>0</v>
      </c>
      <c r="F61">
        <f t="shared" si="2"/>
        <v>0</v>
      </c>
      <c r="G61">
        <f t="shared" si="2"/>
        <v>0</v>
      </c>
      <c r="H61">
        <f t="shared" si="2"/>
        <v>0</v>
      </c>
      <c r="I61" s="332">
        <f t="shared" ref="I61:I66" si="3">SUM(C61:H61)</f>
        <v>0</v>
      </c>
      <c r="J61" s="7"/>
      <c r="Y61" s="333"/>
      <c r="AB61" s="225"/>
      <c r="AC61" s="228"/>
      <c r="AD61" s="228"/>
      <c r="AE61" s="225"/>
      <c r="AF61" s="225"/>
      <c r="AG61" s="225"/>
      <c r="AH61" s="225"/>
      <c r="AI61" s="225"/>
    </row>
    <row r="62" spans="1:35" x14ac:dyDescent="0.2">
      <c r="A62" t="s">
        <v>596</v>
      </c>
      <c r="B62">
        <v>16</v>
      </c>
      <c r="C62">
        <f t="shared" ref="C62:H62" si="4">+$B$62*C59</f>
        <v>0</v>
      </c>
      <c r="D62">
        <f t="shared" si="4"/>
        <v>0</v>
      </c>
      <c r="E62">
        <f t="shared" si="4"/>
        <v>0</v>
      </c>
      <c r="F62">
        <f t="shared" si="4"/>
        <v>0</v>
      </c>
      <c r="G62" s="334">
        <f t="shared" si="4"/>
        <v>0</v>
      </c>
      <c r="H62" s="334">
        <f t="shared" si="4"/>
        <v>0</v>
      </c>
      <c r="I62" s="332">
        <f t="shared" si="3"/>
        <v>0</v>
      </c>
      <c r="J62" s="823"/>
      <c r="Y62" s="14"/>
      <c r="AB62" s="225"/>
      <c r="AC62" s="83"/>
      <c r="AD62" s="83"/>
      <c r="AE62" s="83"/>
      <c r="AF62" s="83"/>
      <c r="AG62" s="83"/>
      <c r="AH62" s="83"/>
      <c r="AI62" s="83"/>
    </row>
    <row r="63" spans="1:35" x14ac:dyDescent="0.2">
      <c r="A63" t="s">
        <v>597</v>
      </c>
      <c r="B63">
        <v>2.8</v>
      </c>
      <c r="C63">
        <f t="shared" ref="C63:H63" si="5">+$B$63*C59</f>
        <v>0</v>
      </c>
      <c r="D63">
        <f t="shared" si="5"/>
        <v>0</v>
      </c>
      <c r="E63">
        <f t="shared" si="5"/>
        <v>0</v>
      </c>
      <c r="F63">
        <f t="shared" si="5"/>
        <v>0</v>
      </c>
      <c r="G63" s="334">
        <f t="shared" si="5"/>
        <v>0</v>
      </c>
      <c r="H63" s="334">
        <f t="shared" si="5"/>
        <v>0</v>
      </c>
      <c r="I63" s="332">
        <f t="shared" si="3"/>
        <v>0</v>
      </c>
      <c r="J63" s="7"/>
      <c r="Y63" s="14"/>
      <c r="AB63" s="225"/>
      <c r="AC63" s="83"/>
      <c r="AD63" s="83"/>
      <c r="AE63" s="83"/>
      <c r="AF63" s="83"/>
      <c r="AG63" s="83"/>
      <c r="AH63" s="83"/>
      <c r="AI63" s="83"/>
    </row>
    <row r="64" spans="1:35" ht="15.75" x14ac:dyDescent="0.25">
      <c r="A64" t="s">
        <v>598</v>
      </c>
      <c r="B64">
        <v>3</v>
      </c>
      <c r="C64">
        <f t="shared" ref="C64:H64" si="6">+($B$64*C59)*C58</f>
        <v>0</v>
      </c>
      <c r="D64">
        <f t="shared" si="6"/>
        <v>0</v>
      </c>
      <c r="E64">
        <f t="shared" si="6"/>
        <v>0</v>
      </c>
      <c r="F64">
        <f t="shared" si="6"/>
        <v>0</v>
      </c>
      <c r="G64">
        <f t="shared" si="6"/>
        <v>0</v>
      </c>
      <c r="H64">
        <f t="shared" si="6"/>
        <v>0</v>
      </c>
      <c r="I64" s="332">
        <f t="shared" si="3"/>
        <v>0</v>
      </c>
      <c r="J64" s="7"/>
      <c r="Y64" s="331"/>
      <c r="AB64" s="225"/>
      <c r="AC64" s="227"/>
      <c r="AD64" s="227"/>
      <c r="AE64" s="227"/>
      <c r="AF64" s="227"/>
      <c r="AG64" s="227"/>
      <c r="AH64" s="227"/>
      <c r="AI64" s="227"/>
    </row>
    <row r="65" spans="1:25" x14ac:dyDescent="0.2">
      <c r="A65" s="144" t="s">
        <v>599</v>
      </c>
      <c r="B65">
        <v>1</v>
      </c>
      <c r="C65">
        <f t="shared" ref="C65:H65" si="7">+C59*C58</f>
        <v>0</v>
      </c>
      <c r="D65">
        <f t="shared" si="7"/>
        <v>0</v>
      </c>
      <c r="E65">
        <f t="shared" si="7"/>
        <v>0</v>
      </c>
      <c r="F65">
        <f t="shared" si="7"/>
        <v>0</v>
      </c>
      <c r="G65">
        <f t="shared" si="7"/>
        <v>0</v>
      </c>
      <c r="H65">
        <f t="shared" si="7"/>
        <v>0</v>
      </c>
      <c r="I65" s="332">
        <f t="shared" si="3"/>
        <v>0</v>
      </c>
      <c r="J65" s="7"/>
      <c r="Y65" s="8"/>
    </row>
    <row r="66" spans="1:25" x14ac:dyDescent="0.2">
      <c r="A66" t="s">
        <v>600</v>
      </c>
      <c r="B66">
        <v>1</v>
      </c>
      <c r="C66">
        <f t="shared" ref="C66:H66" si="8">+$B66*C59</f>
        <v>0</v>
      </c>
      <c r="D66">
        <f t="shared" si="8"/>
        <v>0</v>
      </c>
      <c r="E66">
        <f t="shared" si="8"/>
        <v>0</v>
      </c>
      <c r="F66">
        <f t="shared" si="8"/>
        <v>0</v>
      </c>
      <c r="G66">
        <f t="shared" si="8"/>
        <v>0</v>
      </c>
      <c r="H66">
        <f t="shared" si="8"/>
        <v>0</v>
      </c>
      <c r="I66" s="332">
        <f t="shared" si="3"/>
        <v>0</v>
      </c>
      <c r="J66" s="7"/>
      <c r="Y66" s="333"/>
    </row>
    <row r="67" spans="1:25" ht="18" x14ac:dyDescent="0.25">
      <c r="A67" s="137">
        <v>0</v>
      </c>
      <c r="B67" s="138"/>
      <c r="C67" s="138"/>
      <c r="D67" s="138"/>
      <c r="E67" s="138"/>
      <c r="F67" s="138"/>
      <c r="G67" s="138"/>
      <c r="I67" s="138"/>
      <c r="J67" s="7"/>
      <c r="Y67" s="8"/>
    </row>
    <row r="68" spans="1:25" ht="18" x14ac:dyDescent="0.25">
      <c r="A68" s="137" t="s">
        <v>604</v>
      </c>
      <c r="B68" s="138"/>
      <c r="C68" s="138"/>
      <c r="D68" s="138"/>
      <c r="E68" s="138"/>
      <c r="F68" s="138"/>
      <c r="G68" s="138"/>
      <c r="I68" s="138"/>
      <c r="J68" s="7"/>
      <c r="Y68" s="8"/>
    </row>
    <row r="69" spans="1:25" ht="18" x14ac:dyDescent="0.25">
      <c r="A69" s="137">
        <v>0</v>
      </c>
      <c r="B69" s="138"/>
      <c r="C69" s="138"/>
      <c r="D69" s="138"/>
      <c r="E69" s="138"/>
      <c r="F69" s="138"/>
      <c r="G69" s="138"/>
      <c r="I69" s="138"/>
      <c r="J69" s="7"/>
      <c r="Y69" s="8"/>
    </row>
    <row r="70" spans="1:25" x14ac:dyDescent="0.2">
      <c r="A70" t="s">
        <v>593</v>
      </c>
      <c r="C70">
        <v>0.31</v>
      </c>
      <c r="D70">
        <v>0.59</v>
      </c>
      <c r="E70">
        <v>0.73</v>
      </c>
      <c r="F70">
        <v>0.87</v>
      </c>
      <c r="G70">
        <v>1.1499999999999999</v>
      </c>
      <c r="H70">
        <v>1.5</v>
      </c>
      <c r="J70" s="7"/>
      <c r="Y70" s="333"/>
    </row>
    <row r="71" spans="1:25" x14ac:dyDescent="0.2">
      <c r="A71" t="s">
        <v>445</v>
      </c>
      <c r="C71" s="142">
        <v>0.28000000000000003</v>
      </c>
      <c r="D71" s="142">
        <v>0.56000000000000005</v>
      </c>
      <c r="E71" s="142">
        <v>0.7</v>
      </c>
      <c r="F71" s="142">
        <v>0.84</v>
      </c>
      <c r="G71" s="142">
        <v>1.1200000000000001</v>
      </c>
      <c r="H71">
        <v>1.4</v>
      </c>
      <c r="J71" s="7"/>
      <c r="Y71" s="333"/>
    </row>
    <row r="72" spans="1:25" ht="15.75" x14ac:dyDescent="0.25">
      <c r="A72" s="139" t="s">
        <v>606</v>
      </c>
      <c r="B72" s="139"/>
      <c r="C72" s="140" t="e">
        <f t="shared" ref="C72:H72" si="9">+C8</f>
        <v>#REF!</v>
      </c>
      <c r="D72" s="140" t="e">
        <f t="shared" si="9"/>
        <v>#REF!</v>
      </c>
      <c r="E72" s="140" t="e">
        <f t="shared" si="9"/>
        <v>#REF!</v>
      </c>
      <c r="F72" s="140" t="e">
        <f t="shared" si="9"/>
        <v>#REF!</v>
      </c>
      <c r="G72" s="140" t="e">
        <f t="shared" si="9"/>
        <v>#REF!</v>
      </c>
      <c r="H72" s="140" t="e">
        <f t="shared" si="9"/>
        <v>#REF!</v>
      </c>
      <c r="I72" s="141" t="s">
        <v>446</v>
      </c>
      <c r="J72" s="7"/>
      <c r="Y72" s="14"/>
    </row>
    <row r="73" spans="1:25" x14ac:dyDescent="0.2">
      <c r="A73" t="s">
        <v>595</v>
      </c>
      <c r="B73">
        <v>3</v>
      </c>
      <c r="C73" t="e">
        <f t="shared" ref="C73:H73" si="10">+$B$73*C72</f>
        <v>#REF!</v>
      </c>
      <c r="D73" t="e">
        <f t="shared" si="10"/>
        <v>#REF!</v>
      </c>
      <c r="E73" t="e">
        <f t="shared" si="10"/>
        <v>#REF!</v>
      </c>
      <c r="F73" t="e">
        <f t="shared" si="10"/>
        <v>#REF!</v>
      </c>
      <c r="G73" t="e">
        <f t="shared" si="10"/>
        <v>#REF!</v>
      </c>
      <c r="H73" t="e">
        <f t="shared" si="10"/>
        <v>#REF!</v>
      </c>
      <c r="I73" s="332" t="e">
        <f>SUM(C73:H73)</f>
        <v>#REF!</v>
      </c>
      <c r="J73" s="7"/>
      <c r="Y73" s="14"/>
    </row>
    <row r="74" spans="1:25" x14ac:dyDescent="0.2">
      <c r="A74" t="s">
        <v>596</v>
      </c>
      <c r="B74">
        <v>12</v>
      </c>
      <c r="C74" t="e">
        <f t="shared" ref="C74:H74" si="11">+$B$74*C72</f>
        <v>#REF!</v>
      </c>
      <c r="D74" t="e">
        <f t="shared" si="11"/>
        <v>#REF!</v>
      </c>
      <c r="E74" t="e">
        <f t="shared" si="11"/>
        <v>#REF!</v>
      </c>
      <c r="F74" t="e">
        <f t="shared" si="11"/>
        <v>#REF!</v>
      </c>
      <c r="G74" t="e">
        <f t="shared" si="11"/>
        <v>#REF!</v>
      </c>
      <c r="H74" t="e">
        <f t="shared" si="11"/>
        <v>#REF!</v>
      </c>
      <c r="I74" s="332" t="e">
        <f>SUM(C74:H74)</f>
        <v>#REF!</v>
      </c>
      <c r="J74" s="7"/>
      <c r="Y74" s="8"/>
    </row>
    <row r="75" spans="1:25" x14ac:dyDescent="0.2">
      <c r="A75" t="s">
        <v>597</v>
      </c>
      <c r="B75">
        <v>2.4</v>
      </c>
      <c r="C75" t="e">
        <f t="shared" ref="C75:H75" si="12">+$B$75*C72</f>
        <v>#REF!</v>
      </c>
      <c r="D75" t="e">
        <f t="shared" si="12"/>
        <v>#REF!</v>
      </c>
      <c r="E75" t="e">
        <f t="shared" si="12"/>
        <v>#REF!</v>
      </c>
      <c r="F75" t="e">
        <f t="shared" si="12"/>
        <v>#REF!</v>
      </c>
      <c r="G75" t="e">
        <f t="shared" si="12"/>
        <v>#REF!</v>
      </c>
      <c r="H75" t="e">
        <f t="shared" si="12"/>
        <v>#REF!</v>
      </c>
      <c r="I75" s="332" t="e">
        <f>SUM(C75:H75)</f>
        <v>#REF!</v>
      </c>
      <c r="J75" s="7"/>
      <c r="Y75" s="8"/>
    </row>
    <row r="76" spans="1:25" x14ac:dyDescent="0.2">
      <c r="A76" t="s">
        <v>598</v>
      </c>
      <c r="B76">
        <v>2</v>
      </c>
      <c r="C76" t="e">
        <f t="shared" ref="C76:H76" si="13">+($B$76*C72)*C71</f>
        <v>#REF!</v>
      </c>
      <c r="D76" t="e">
        <f t="shared" si="13"/>
        <v>#REF!</v>
      </c>
      <c r="E76" t="e">
        <f t="shared" si="13"/>
        <v>#REF!</v>
      </c>
      <c r="F76" t="e">
        <f t="shared" si="13"/>
        <v>#REF!</v>
      </c>
      <c r="G76" t="e">
        <f t="shared" si="13"/>
        <v>#REF!</v>
      </c>
      <c r="H76" t="e">
        <f t="shared" si="13"/>
        <v>#REF!</v>
      </c>
      <c r="I76" s="332" t="e">
        <f>SUM(C76:H76)</f>
        <v>#REF!</v>
      </c>
      <c r="J76" s="7"/>
      <c r="Y76" s="333"/>
    </row>
    <row r="77" spans="1:25" x14ac:dyDescent="0.2">
      <c r="A77" s="144" t="s">
        <v>599</v>
      </c>
      <c r="B77">
        <v>1</v>
      </c>
      <c r="C77" t="e">
        <f t="shared" ref="C77:H77" si="14">+C72*C71</f>
        <v>#REF!</v>
      </c>
      <c r="D77" t="e">
        <f t="shared" si="14"/>
        <v>#REF!</v>
      </c>
      <c r="E77" t="e">
        <f t="shared" si="14"/>
        <v>#REF!</v>
      </c>
      <c r="F77" t="e">
        <f t="shared" si="14"/>
        <v>#REF!</v>
      </c>
      <c r="G77" t="e">
        <f t="shared" si="14"/>
        <v>#REF!</v>
      </c>
      <c r="H77" t="e">
        <f t="shared" si="14"/>
        <v>#REF!</v>
      </c>
      <c r="I77" s="332" t="e">
        <f>SUM(C77:H77)</f>
        <v>#REF!</v>
      </c>
      <c r="J77" s="7"/>
      <c r="Y77" s="8"/>
    </row>
    <row r="78" spans="1:25" x14ac:dyDescent="0.2">
      <c r="A78" t="s">
        <v>600</v>
      </c>
      <c r="B78">
        <v>1</v>
      </c>
      <c r="C78" t="e">
        <f t="shared" ref="C78:H78" si="15">+$B78*C72</f>
        <v>#REF!</v>
      </c>
      <c r="D78" t="e">
        <f t="shared" si="15"/>
        <v>#REF!</v>
      </c>
      <c r="E78" t="e">
        <f t="shared" si="15"/>
        <v>#REF!</v>
      </c>
      <c r="F78" t="e">
        <f t="shared" si="15"/>
        <v>#REF!</v>
      </c>
      <c r="G78" t="e">
        <f t="shared" si="15"/>
        <v>#REF!</v>
      </c>
      <c r="H78" t="e">
        <f t="shared" si="15"/>
        <v>#REF!</v>
      </c>
      <c r="I78" s="332">
        <v>2</v>
      </c>
      <c r="J78" s="7"/>
      <c r="Y78" s="8"/>
    </row>
    <row r="79" spans="1:25" ht="18" x14ac:dyDescent="0.25">
      <c r="A79" s="137" t="s">
        <v>607</v>
      </c>
      <c r="B79" s="138"/>
      <c r="C79" s="138"/>
      <c r="D79" s="138"/>
      <c r="E79" s="138"/>
      <c r="F79" s="138"/>
      <c r="G79" s="138"/>
      <c r="I79" s="138"/>
      <c r="J79" s="7"/>
      <c r="Y79" s="333"/>
    </row>
    <row r="80" spans="1:25" ht="18" x14ac:dyDescent="0.25">
      <c r="A80" s="137">
        <v>0</v>
      </c>
      <c r="B80" s="138"/>
      <c r="C80" s="138"/>
      <c r="D80" s="138"/>
      <c r="E80" s="138"/>
      <c r="F80" s="138"/>
      <c r="G80" s="138"/>
      <c r="I80" s="138"/>
      <c r="J80" s="7"/>
      <c r="Y80" s="333"/>
    </row>
    <row r="81" spans="1:25" x14ac:dyDescent="0.2">
      <c r="A81" t="s">
        <v>593</v>
      </c>
      <c r="C81">
        <v>0.31</v>
      </c>
      <c r="D81">
        <v>0.59</v>
      </c>
      <c r="E81">
        <v>0.73</v>
      </c>
      <c r="F81">
        <v>0.87</v>
      </c>
      <c r="G81">
        <v>1.1499999999999999</v>
      </c>
      <c r="H81">
        <v>1.5</v>
      </c>
      <c r="J81" s="7"/>
      <c r="Y81" s="14"/>
    </row>
    <row r="82" spans="1:25" x14ac:dyDescent="0.2">
      <c r="A82" t="s">
        <v>445</v>
      </c>
      <c r="C82" s="142">
        <v>0.28000000000000003</v>
      </c>
      <c r="D82" s="142">
        <v>0.56000000000000005</v>
      </c>
      <c r="E82" s="142">
        <v>0.7</v>
      </c>
      <c r="F82" s="142">
        <v>0.84</v>
      </c>
      <c r="G82" s="142">
        <v>1.1200000000000001</v>
      </c>
      <c r="H82">
        <v>1.4</v>
      </c>
      <c r="J82" s="7"/>
      <c r="Y82" s="14"/>
    </row>
    <row r="83" spans="1:25" ht="15.75" x14ac:dyDescent="0.25">
      <c r="A83" s="139" t="s">
        <v>608</v>
      </c>
      <c r="B83" s="139"/>
      <c r="C83" s="140" t="e">
        <f t="shared" ref="C83:H83" si="16">+C9</f>
        <v>#REF!</v>
      </c>
      <c r="D83" s="140" t="e">
        <f t="shared" si="16"/>
        <v>#REF!</v>
      </c>
      <c r="E83" s="140" t="e">
        <f t="shared" si="16"/>
        <v>#REF!</v>
      </c>
      <c r="F83" s="140" t="e">
        <f t="shared" si="16"/>
        <v>#REF!</v>
      </c>
      <c r="G83" s="140" t="e">
        <f t="shared" si="16"/>
        <v>#REF!</v>
      </c>
      <c r="H83" s="140" t="e">
        <f t="shared" si="16"/>
        <v>#REF!</v>
      </c>
      <c r="I83" s="141" t="s">
        <v>446</v>
      </c>
      <c r="J83" s="7"/>
      <c r="Y83" s="14"/>
    </row>
    <row r="84" spans="1:25" ht="15.75" x14ac:dyDescent="0.25">
      <c r="A84" t="s">
        <v>595</v>
      </c>
      <c r="B84">
        <v>2</v>
      </c>
      <c r="C84" t="e">
        <f t="shared" ref="C84:H84" si="17">+$B$84*C83</f>
        <v>#REF!</v>
      </c>
      <c r="D84" t="e">
        <f t="shared" si="17"/>
        <v>#REF!</v>
      </c>
      <c r="E84" t="e">
        <f t="shared" si="17"/>
        <v>#REF!</v>
      </c>
      <c r="F84" t="e">
        <f t="shared" si="17"/>
        <v>#REF!</v>
      </c>
      <c r="G84" t="e">
        <f t="shared" si="17"/>
        <v>#REF!</v>
      </c>
      <c r="H84" t="e">
        <f t="shared" si="17"/>
        <v>#REF!</v>
      </c>
      <c r="I84" s="332" t="e">
        <f>SUM(C84:H84)</f>
        <v>#REF!</v>
      </c>
      <c r="J84" s="7"/>
      <c r="Y84" s="331"/>
    </row>
    <row r="85" spans="1:25" x14ac:dyDescent="0.2">
      <c r="A85" t="s">
        <v>603</v>
      </c>
      <c r="B85">
        <v>1</v>
      </c>
      <c r="C85" t="e">
        <f t="shared" ref="C85:H85" si="18">+$B85*C83</f>
        <v>#REF!</v>
      </c>
      <c r="D85" t="e">
        <f t="shared" si="18"/>
        <v>#REF!</v>
      </c>
      <c r="E85" t="e">
        <f t="shared" si="18"/>
        <v>#REF!</v>
      </c>
      <c r="F85" t="e">
        <f t="shared" si="18"/>
        <v>#REF!</v>
      </c>
      <c r="G85" t="e">
        <f t="shared" si="18"/>
        <v>#REF!</v>
      </c>
      <c r="H85" t="e">
        <f t="shared" si="18"/>
        <v>#REF!</v>
      </c>
      <c r="I85" s="332" t="e">
        <f t="shared" ref="I85:I90" si="19">SUM(C85:H85)</f>
        <v>#REF!</v>
      </c>
      <c r="J85" s="7"/>
      <c r="Y85" s="8"/>
    </row>
    <row r="86" spans="1:25" x14ac:dyDescent="0.2">
      <c r="A86" t="s">
        <v>596</v>
      </c>
      <c r="B86">
        <v>12</v>
      </c>
      <c r="C86" t="e">
        <f t="shared" ref="C86:H86" si="20">+$B$86*C83</f>
        <v>#REF!</v>
      </c>
      <c r="D86" t="e">
        <f t="shared" si="20"/>
        <v>#REF!</v>
      </c>
      <c r="E86" t="e">
        <f t="shared" si="20"/>
        <v>#REF!</v>
      </c>
      <c r="F86" t="e">
        <f t="shared" si="20"/>
        <v>#REF!</v>
      </c>
      <c r="G86" t="e">
        <f t="shared" si="20"/>
        <v>#REF!</v>
      </c>
      <c r="H86" t="e">
        <f t="shared" si="20"/>
        <v>#REF!</v>
      </c>
      <c r="I86" s="332" t="e">
        <f t="shared" si="19"/>
        <v>#REF!</v>
      </c>
      <c r="J86" s="7"/>
      <c r="Y86" s="8"/>
    </row>
    <row r="87" spans="1:25" x14ac:dyDescent="0.2">
      <c r="A87" t="s">
        <v>597</v>
      </c>
      <c r="B87">
        <v>2</v>
      </c>
      <c r="C87" t="e">
        <f t="shared" ref="C87:H87" si="21">+$B$87*C83</f>
        <v>#REF!</v>
      </c>
      <c r="D87" t="e">
        <f t="shared" si="21"/>
        <v>#REF!</v>
      </c>
      <c r="E87" t="e">
        <f t="shared" si="21"/>
        <v>#REF!</v>
      </c>
      <c r="F87" t="e">
        <f t="shared" si="21"/>
        <v>#REF!</v>
      </c>
      <c r="G87" t="e">
        <f t="shared" si="21"/>
        <v>#REF!</v>
      </c>
      <c r="H87" t="e">
        <f t="shared" si="21"/>
        <v>#REF!</v>
      </c>
      <c r="I87" s="332" t="e">
        <f t="shared" si="19"/>
        <v>#REF!</v>
      </c>
      <c r="J87" s="7"/>
      <c r="Y87" s="8"/>
    </row>
    <row r="88" spans="1:25" x14ac:dyDescent="0.2">
      <c r="A88" t="s">
        <v>598</v>
      </c>
      <c r="B88">
        <v>2</v>
      </c>
      <c r="C88" t="e">
        <f t="shared" ref="C88:H88" si="22">+($B$88*C83)*C82</f>
        <v>#REF!</v>
      </c>
      <c r="D88" t="e">
        <f t="shared" si="22"/>
        <v>#REF!</v>
      </c>
      <c r="E88" t="e">
        <f t="shared" si="22"/>
        <v>#REF!</v>
      </c>
      <c r="F88" t="e">
        <f t="shared" si="22"/>
        <v>#REF!</v>
      </c>
      <c r="G88" t="e">
        <f t="shared" si="22"/>
        <v>#REF!</v>
      </c>
      <c r="H88" t="e">
        <f t="shared" si="22"/>
        <v>#REF!</v>
      </c>
      <c r="I88" s="332" t="e">
        <f t="shared" si="19"/>
        <v>#REF!</v>
      </c>
      <c r="J88" s="7"/>
      <c r="Y88" s="333"/>
    </row>
    <row r="89" spans="1:25" x14ac:dyDescent="0.2">
      <c r="A89" s="144" t="s">
        <v>599</v>
      </c>
      <c r="B89">
        <v>1</v>
      </c>
      <c r="C89" t="e">
        <f t="shared" ref="C89:H89" si="23">+C83*C82</f>
        <v>#REF!</v>
      </c>
      <c r="D89" t="e">
        <f t="shared" si="23"/>
        <v>#REF!</v>
      </c>
      <c r="E89" t="e">
        <f t="shared" si="23"/>
        <v>#REF!</v>
      </c>
      <c r="F89" t="e">
        <f t="shared" si="23"/>
        <v>#REF!</v>
      </c>
      <c r="G89" t="e">
        <f t="shared" si="23"/>
        <v>#REF!</v>
      </c>
      <c r="H89" t="e">
        <f t="shared" si="23"/>
        <v>#REF!</v>
      </c>
      <c r="I89" s="332" t="e">
        <f t="shared" si="19"/>
        <v>#REF!</v>
      </c>
      <c r="J89" s="7"/>
      <c r="Y89" s="14"/>
    </row>
    <row r="90" spans="1:25" x14ac:dyDescent="0.2">
      <c r="A90" t="s">
        <v>600</v>
      </c>
      <c r="B90">
        <v>1</v>
      </c>
      <c r="C90" t="e">
        <f t="shared" ref="C90:H90" si="24">+$B90*C83</f>
        <v>#REF!</v>
      </c>
      <c r="D90" t="e">
        <f t="shared" si="24"/>
        <v>#REF!</v>
      </c>
      <c r="E90" t="e">
        <f t="shared" si="24"/>
        <v>#REF!</v>
      </c>
      <c r="F90" t="e">
        <f t="shared" si="24"/>
        <v>#REF!</v>
      </c>
      <c r="G90" t="e">
        <f t="shared" si="24"/>
        <v>#REF!</v>
      </c>
      <c r="H90" t="e">
        <f t="shared" si="24"/>
        <v>#REF!</v>
      </c>
      <c r="I90" s="332" t="e">
        <f t="shared" si="19"/>
        <v>#REF!</v>
      </c>
      <c r="J90" s="7"/>
    </row>
    <row r="91" spans="1:25" x14ac:dyDescent="0.2">
      <c r="A91">
        <v>0</v>
      </c>
      <c r="J91" s="7"/>
      <c r="Y91" s="225"/>
    </row>
    <row r="92" spans="1:25" ht="18" x14ac:dyDescent="0.25">
      <c r="A92" s="137" t="s">
        <v>609</v>
      </c>
      <c r="B92" s="138"/>
      <c r="C92" s="138"/>
      <c r="D92" s="138"/>
      <c r="E92" s="138"/>
      <c r="F92" s="138"/>
      <c r="G92" s="138"/>
      <c r="I92" s="138"/>
      <c r="J92" s="7"/>
      <c r="Y92" s="225"/>
    </row>
    <row r="93" spans="1:25" ht="18" x14ac:dyDescent="0.25">
      <c r="A93" s="137">
        <v>0</v>
      </c>
      <c r="B93" s="138"/>
      <c r="C93" s="138"/>
      <c r="D93" s="138"/>
      <c r="E93" s="138"/>
      <c r="F93" s="138"/>
      <c r="G93" s="138"/>
      <c r="I93" s="138"/>
      <c r="J93" s="7"/>
      <c r="Y93" s="229"/>
    </row>
    <row r="94" spans="1:25" x14ac:dyDescent="0.2">
      <c r="A94" t="s">
        <v>593</v>
      </c>
      <c r="C94">
        <v>0.31</v>
      </c>
      <c r="D94">
        <v>0.59</v>
      </c>
      <c r="E94">
        <v>0.73</v>
      </c>
      <c r="F94">
        <v>0.87</v>
      </c>
      <c r="G94">
        <v>1.1499999999999999</v>
      </c>
      <c r="H94">
        <v>1.5</v>
      </c>
      <c r="J94" s="7"/>
      <c r="Y94" s="83"/>
    </row>
    <row r="95" spans="1:25" x14ac:dyDescent="0.2">
      <c r="A95" t="s">
        <v>445</v>
      </c>
      <c r="C95" s="142">
        <v>0.28000000000000003</v>
      </c>
      <c r="D95" s="142">
        <v>0.56000000000000005</v>
      </c>
      <c r="E95" s="142">
        <v>0.7</v>
      </c>
      <c r="F95" s="142">
        <v>0.84</v>
      </c>
      <c r="G95" s="142">
        <v>1.1200000000000001</v>
      </c>
      <c r="H95">
        <v>1.4</v>
      </c>
      <c r="J95" s="7"/>
      <c r="Y95" s="83"/>
    </row>
    <row r="96" spans="1:25" ht="15.75" x14ac:dyDescent="0.25">
      <c r="A96" s="139" t="s">
        <v>610</v>
      </c>
      <c r="B96" s="139"/>
      <c r="C96" s="140" t="e">
        <f t="shared" ref="C96:H96" si="25">+C10</f>
        <v>#REF!</v>
      </c>
      <c r="D96" s="140" t="e">
        <f t="shared" si="25"/>
        <v>#REF!</v>
      </c>
      <c r="E96" s="140" t="e">
        <f t="shared" si="25"/>
        <v>#REF!</v>
      </c>
      <c r="F96" s="140" t="e">
        <f t="shared" si="25"/>
        <v>#REF!</v>
      </c>
      <c r="G96" s="140" t="e">
        <f t="shared" si="25"/>
        <v>#REF!</v>
      </c>
      <c r="H96" s="140" t="e">
        <f t="shared" si="25"/>
        <v>#REF!</v>
      </c>
      <c r="I96" s="141" t="s">
        <v>446</v>
      </c>
      <c r="J96" s="7"/>
      <c r="Y96" s="232"/>
    </row>
    <row r="97" spans="1:25" x14ac:dyDescent="0.2">
      <c r="A97" t="s">
        <v>595</v>
      </c>
      <c r="B97">
        <v>2</v>
      </c>
      <c r="C97" t="e">
        <f t="shared" ref="C97:H97" si="26">+$B$97*C96</f>
        <v>#REF!</v>
      </c>
      <c r="D97" t="e">
        <f t="shared" si="26"/>
        <v>#REF!</v>
      </c>
      <c r="E97" t="e">
        <f t="shared" si="26"/>
        <v>#REF!</v>
      </c>
      <c r="F97" t="e">
        <f t="shared" si="26"/>
        <v>#REF!</v>
      </c>
      <c r="G97" t="e">
        <f t="shared" si="26"/>
        <v>#REF!</v>
      </c>
      <c r="H97" t="e">
        <f t="shared" si="26"/>
        <v>#REF!</v>
      </c>
      <c r="I97" s="332" t="e">
        <f t="shared" ref="I97:I102" si="27">SUM(C97:H97)</f>
        <v>#REF!</v>
      </c>
      <c r="J97" s="7"/>
      <c r="Y97" s="83"/>
    </row>
    <row r="98" spans="1:25" x14ac:dyDescent="0.2">
      <c r="A98" t="s">
        <v>596</v>
      </c>
      <c r="B98">
        <v>8</v>
      </c>
      <c r="C98" t="e">
        <f t="shared" ref="C98:H98" si="28">+$B$98*C96</f>
        <v>#REF!</v>
      </c>
      <c r="D98" t="e">
        <f t="shared" si="28"/>
        <v>#REF!</v>
      </c>
      <c r="E98" t="e">
        <f t="shared" si="28"/>
        <v>#REF!</v>
      </c>
      <c r="F98" t="e">
        <f t="shared" si="28"/>
        <v>#REF!</v>
      </c>
      <c r="G98" t="e">
        <f t="shared" si="28"/>
        <v>#REF!</v>
      </c>
      <c r="H98" t="e">
        <f t="shared" si="28"/>
        <v>#REF!</v>
      </c>
      <c r="I98" s="332" t="e">
        <f t="shared" si="27"/>
        <v>#REF!</v>
      </c>
      <c r="J98" s="7"/>
      <c r="Y98" s="227"/>
    </row>
    <row r="99" spans="1:25" x14ac:dyDescent="0.2">
      <c r="A99" t="s">
        <v>597</v>
      </c>
      <c r="B99">
        <v>1.6</v>
      </c>
      <c r="C99" t="e">
        <f t="shared" ref="C99:H99" si="29">+$B$99*C96</f>
        <v>#REF!</v>
      </c>
      <c r="D99" t="e">
        <f t="shared" si="29"/>
        <v>#REF!</v>
      </c>
      <c r="E99" t="e">
        <f t="shared" si="29"/>
        <v>#REF!</v>
      </c>
      <c r="F99" t="e">
        <f t="shared" si="29"/>
        <v>#REF!</v>
      </c>
      <c r="G99" t="e">
        <f>+$B$99*G96</f>
        <v>#REF!</v>
      </c>
      <c r="H99" t="e">
        <f t="shared" si="29"/>
        <v>#REF!</v>
      </c>
      <c r="I99" s="332" t="e">
        <f t="shared" si="27"/>
        <v>#REF!</v>
      </c>
      <c r="J99" s="7"/>
      <c r="Y99" s="227"/>
    </row>
    <row r="100" spans="1:25" x14ac:dyDescent="0.2">
      <c r="A100" t="s">
        <v>598</v>
      </c>
      <c r="B100">
        <v>1</v>
      </c>
      <c r="C100" s="335" t="e">
        <f t="shared" ref="C100:H100" si="30">+($B$100*C96)*C95</f>
        <v>#REF!</v>
      </c>
      <c r="D100" t="e">
        <f t="shared" si="30"/>
        <v>#REF!</v>
      </c>
      <c r="E100" t="e">
        <f t="shared" si="30"/>
        <v>#REF!</v>
      </c>
      <c r="F100" t="e">
        <f t="shared" si="30"/>
        <v>#REF!</v>
      </c>
      <c r="G100" t="e">
        <f t="shared" si="30"/>
        <v>#REF!</v>
      </c>
      <c r="H100" t="e">
        <f t="shared" si="30"/>
        <v>#REF!</v>
      </c>
      <c r="I100" s="894" t="e">
        <f t="shared" si="27"/>
        <v>#REF!</v>
      </c>
      <c r="J100" s="7"/>
      <c r="Y100" s="225"/>
    </row>
    <row r="101" spans="1:25" x14ac:dyDescent="0.2">
      <c r="A101" s="144" t="s">
        <v>599</v>
      </c>
      <c r="B101">
        <v>1</v>
      </c>
      <c r="C101" s="335" t="e">
        <f t="shared" ref="C101:H101" si="31">+C96*C95</f>
        <v>#REF!</v>
      </c>
      <c r="D101" s="335" t="e">
        <f t="shared" si="31"/>
        <v>#REF!</v>
      </c>
      <c r="E101" s="335" t="e">
        <f t="shared" si="31"/>
        <v>#REF!</v>
      </c>
      <c r="F101" s="335" t="e">
        <f t="shared" si="31"/>
        <v>#REF!</v>
      </c>
      <c r="G101" s="335" t="e">
        <f t="shared" si="31"/>
        <v>#REF!</v>
      </c>
      <c r="H101" s="335" t="e">
        <f t="shared" si="31"/>
        <v>#REF!</v>
      </c>
      <c r="I101" s="332" t="e">
        <f t="shared" si="27"/>
        <v>#REF!</v>
      </c>
      <c r="J101" s="7"/>
    </row>
    <row r="102" spans="1:25" x14ac:dyDescent="0.2">
      <c r="A102" t="s">
        <v>600</v>
      </c>
      <c r="B102">
        <v>1</v>
      </c>
      <c r="C102" t="e">
        <f t="shared" ref="C102:H102" si="32">+$B102*C96</f>
        <v>#REF!</v>
      </c>
      <c r="D102" t="e">
        <f t="shared" si="32"/>
        <v>#REF!</v>
      </c>
      <c r="E102" t="e">
        <f t="shared" si="32"/>
        <v>#REF!</v>
      </c>
      <c r="F102" t="e">
        <f t="shared" si="32"/>
        <v>#REF!</v>
      </c>
      <c r="G102" t="e">
        <f t="shared" si="32"/>
        <v>#REF!</v>
      </c>
      <c r="H102" t="e">
        <f t="shared" si="32"/>
        <v>#REF!</v>
      </c>
      <c r="I102" s="332" t="e">
        <f t="shared" si="27"/>
        <v>#REF!</v>
      </c>
      <c r="J102" s="7"/>
    </row>
    <row r="103" spans="1:25" ht="18" x14ac:dyDescent="0.25">
      <c r="A103" s="336">
        <v>0</v>
      </c>
      <c r="B103" s="337"/>
      <c r="C103" s="337"/>
      <c r="D103" s="337"/>
      <c r="E103" s="132"/>
      <c r="F103" s="132"/>
      <c r="G103" s="1"/>
      <c r="I103" s="1"/>
      <c r="J103" s="7"/>
    </row>
    <row r="104" spans="1:25" ht="18" x14ac:dyDescent="0.25">
      <c r="A104" s="137" t="s">
        <v>611</v>
      </c>
      <c r="B104" s="138"/>
      <c r="C104" s="138"/>
      <c r="D104" s="138"/>
      <c r="E104" s="138"/>
      <c r="F104" s="138"/>
      <c r="G104" s="138"/>
      <c r="I104" s="138"/>
      <c r="J104" s="7"/>
    </row>
    <row r="105" spans="1:25" ht="18" x14ac:dyDescent="0.25">
      <c r="A105" s="137">
        <v>0</v>
      </c>
      <c r="B105" s="138"/>
      <c r="C105" s="138"/>
      <c r="D105" s="138"/>
      <c r="E105" s="138"/>
      <c r="F105" s="138"/>
      <c r="G105" s="138"/>
      <c r="I105" s="138"/>
      <c r="J105" s="7"/>
    </row>
    <row r="106" spans="1:25" x14ac:dyDescent="0.2">
      <c r="A106" t="s">
        <v>593</v>
      </c>
      <c r="C106">
        <v>0.31</v>
      </c>
      <c r="D106">
        <v>0.59</v>
      </c>
      <c r="E106">
        <v>0.73</v>
      </c>
      <c r="F106">
        <v>0.87</v>
      </c>
      <c r="G106">
        <v>1.1499999999999999</v>
      </c>
      <c r="H106">
        <v>1.5</v>
      </c>
      <c r="J106" s="7"/>
    </row>
    <row r="107" spans="1:25" x14ac:dyDescent="0.2">
      <c r="A107" t="s">
        <v>445</v>
      </c>
      <c r="C107" s="142">
        <v>0.28000000000000003</v>
      </c>
      <c r="D107" s="142">
        <v>0.56000000000000005</v>
      </c>
      <c r="E107" s="142">
        <v>0.7</v>
      </c>
      <c r="F107" s="142">
        <v>0.84</v>
      </c>
      <c r="G107" s="142">
        <v>1.1200000000000001</v>
      </c>
      <c r="H107">
        <v>1.4</v>
      </c>
      <c r="J107" s="7"/>
    </row>
    <row r="108" spans="1:25" ht="15.75" x14ac:dyDescent="0.25">
      <c r="A108" s="139" t="s">
        <v>612</v>
      </c>
      <c r="B108" s="139"/>
      <c r="C108" s="140">
        <f t="shared" ref="C108:H108" si="33">+C15</f>
        <v>0</v>
      </c>
      <c r="D108" s="140">
        <f t="shared" si="33"/>
        <v>0</v>
      </c>
      <c r="E108" s="140">
        <f t="shared" si="33"/>
        <v>0</v>
      </c>
      <c r="F108" s="140">
        <f t="shared" si="33"/>
        <v>0</v>
      </c>
      <c r="G108" s="140">
        <f t="shared" si="33"/>
        <v>0</v>
      </c>
      <c r="H108" s="140">
        <f t="shared" si="33"/>
        <v>0</v>
      </c>
      <c r="I108" s="141" t="s">
        <v>446</v>
      </c>
      <c r="J108" s="7"/>
    </row>
    <row r="109" spans="1:25" x14ac:dyDescent="0.2">
      <c r="A109" t="s">
        <v>595</v>
      </c>
      <c r="B109">
        <v>3</v>
      </c>
      <c r="C109">
        <f t="shared" ref="C109:H109" si="34">+$B109*C108</f>
        <v>0</v>
      </c>
      <c r="D109">
        <f t="shared" si="34"/>
        <v>0</v>
      </c>
      <c r="E109">
        <f t="shared" si="34"/>
        <v>0</v>
      </c>
      <c r="F109">
        <f t="shared" si="34"/>
        <v>0</v>
      </c>
      <c r="G109">
        <f t="shared" si="34"/>
        <v>0</v>
      </c>
      <c r="H109">
        <f t="shared" si="34"/>
        <v>0</v>
      </c>
      <c r="I109" s="332">
        <f>SUM(C109:H109)</f>
        <v>0</v>
      </c>
      <c r="J109" s="7"/>
    </row>
    <row r="110" spans="1:25" x14ac:dyDescent="0.2">
      <c r="A110" t="s">
        <v>613</v>
      </c>
      <c r="B110">
        <v>1</v>
      </c>
      <c r="C110">
        <f t="shared" ref="C110:H110" si="35">+$B110*C108</f>
        <v>0</v>
      </c>
      <c r="D110">
        <f t="shared" si="35"/>
        <v>0</v>
      </c>
      <c r="E110">
        <f t="shared" si="35"/>
        <v>0</v>
      </c>
      <c r="F110">
        <f t="shared" si="35"/>
        <v>0</v>
      </c>
      <c r="G110">
        <f t="shared" si="35"/>
        <v>0</v>
      </c>
      <c r="H110">
        <f t="shared" si="35"/>
        <v>0</v>
      </c>
      <c r="I110" s="332">
        <f t="shared" ref="I110:I115" si="36">SUM(C110:H110)</f>
        <v>0</v>
      </c>
      <c r="J110" s="7"/>
    </row>
    <row r="111" spans="1:25" x14ac:dyDescent="0.2">
      <c r="A111" t="s">
        <v>596</v>
      </c>
      <c r="B111">
        <v>16</v>
      </c>
      <c r="C111">
        <f t="shared" ref="C111:H111" si="37">$B111*C108</f>
        <v>0</v>
      </c>
      <c r="D111">
        <f t="shared" si="37"/>
        <v>0</v>
      </c>
      <c r="E111">
        <f t="shared" si="37"/>
        <v>0</v>
      </c>
      <c r="F111">
        <f t="shared" si="37"/>
        <v>0</v>
      </c>
      <c r="G111">
        <f t="shared" si="37"/>
        <v>0</v>
      </c>
      <c r="H111">
        <f t="shared" si="37"/>
        <v>0</v>
      </c>
      <c r="I111" s="332">
        <f t="shared" si="36"/>
        <v>0</v>
      </c>
      <c r="J111" s="7"/>
    </row>
    <row r="112" spans="1:25" x14ac:dyDescent="0.2">
      <c r="A112" t="s">
        <v>597</v>
      </c>
      <c r="B112">
        <v>3.02</v>
      </c>
      <c r="C112">
        <f t="shared" ref="C112:H112" si="38">$B112*C108</f>
        <v>0</v>
      </c>
      <c r="D112">
        <f t="shared" si="38"/>
        <v>0</v>
      </c>
      <c r="E112">
        <f t="shared" si="38"/>
        <v>0</v>
      </c>
      <c r="F112">
        <f t="shared" si="38"/>
        <v>0</v>
      </c>
      <c r="G112">
        <f t="shared" si="38"/>
        <v>0</v>
      </c>
      <c r="H112">
        <f t="shared" si="38"/>
        <v>0</v>
      </c>
      <c r="I112" s="332">
        <f t="shared" si="36"/>
        <v>0</v>
      </c>
      <c r="J112" s="7"/>
    </row>
    <row r="113" spans="1:12" x14ac:dyDescent="0.2">
      <c r="A113" t="s">
        <v>598</v>
      </c>
      <c r="B113">
        <v>3</v>
      </c>
      <c r="C113">
        <f t="shared" ref="C113:H113" si="39">+($B113*C108)*C107</f>
        <v>0</v>
      </c>
      <c r="D113">
        <f t="shared" si="39"/>
        <v>0</v>
      </c>
      <c r="E113">
        <f t="shared" si="39"/>
        <v>0</v>
      </c>
      <c r="F113">
        <f t="shared" si="39"/>
        <v>0</v>
      </c>
      <c r="G113">
        <f t="shared" si="39"/>
        <v>0</v>
      </c>
      <c r="H113">
        <f t="shared" si="39"/>
        <v>0</v>
      </c>
      <c r="I113" s="332">
        <f t="shared" si="36"/>
        <v>0</v>
      </c>
      <c r="J113" s="7"/>
    </row>
    <row r="114" spans="1:12" x14ac:dyDescent="0.2">
      <c r="A114" s="144" t="s">
        <v>599</v>
      </c>
      <c r="B114">
        <v>1</v>
      </c>
      <c r="C114">
        <f t="shared" ref="C114:H114" si="40">C107*C108</f>
        <v>0</v>
      </c>
      <c r="D114">
        <f t="shared" si="40"/>
        <v>0</v>
      </c>
      <c r="E114">
        <f t="shared" si="40"/>
        <v>0</v>
      </c>
      <c r="F114">
        <f t="shared" si="40"/>
        <v>0</v>
      </c>
      <c r="G114">
        <f t="shared" si="40"/>
        <v>0</v>
      </c>
      <c r="H114">
        <f t="shared" si="40"/>
        <v>0</v>
      </c>
      <c r="I114" s="332">
        <f t="shared" si="36"/>
        <v>0</v>
      </c>
      <c r="J114" s="7"/>
    </row>
    <row r="115" spans="1:12" x14ac:dyDescent="0.2">
      <c r="A115" t="s">
        <v>600</v>
      </c>
      <c r="B115">
        <v>2</v>
      </c>
      <c r="C115">
        <f t="shared" ref="C115:H115" si="41">+$B115*C108</f>
        <v>0</v>
      </c>
      <c r="D115">
        <f t="shared" si="41"/>
        <v>0</v>
      </c>
      <c r="E115">
        <f t="shared" si="41"/>
        <v>0</v>
      </c>
      <c r="F115">
        <f t="shared" si="41"/>
        <v>0</v>
      </c>
      <c r="G115">
        <f t="shared" si="41"/>
        <v>0</v>
      </c>
      <c r="H115">
        <f t="shared" si="41"/>
        <v>0</v>
      </c>
      <c r="I115" s="332">
        <f t="shared" si="36"/>
        <v>0</v>
      </c>
      <c r="J115" s="7"/>
    </row>
    <row r="116" spans="1:12" ht="18" x14ac:dyDescent="0.25">
      <c r="A116" s="137" t="s">
        <v>614</v>
      </c>
      <c r="B116" s="138"/>
      <c r="C116" s="138"/>
      <c r="D116" s="138"/>
      <c r="E116" s="138"/>
      <c r="F116" s="138"/>
      <c r="G116" s="138"/>
      <c r="I116" s="138"/>
      <c r="J116" s="7"/>
    </row>
    <row r="117" spans="1:12" ht="18" x14ac:dyDescent="0.25">
      <c r="A117" s="137">
        <v>0</v>
      </c>
      <c r="B117" s="138"/>
      <c r="C117" s="138"/>
      <c r="D117" s="138"/>
      <c r="E117" s="138"/>
      <c r="F117" s="138"/>
      <c r="G117" s="138"/>
      <c r="I117" s="138"/>
      <c r="J117" s="7"/>
    </row>
    <row r="118" spans="1:12" x14ac:dyDescent="0.2">
      <c r="A118" t="s">
        <v>593</v>
      </c>
      <c r="C118">
        <v>0.31</v>
      </c>
      <c r="D118">
        <v>0.59</v>
      </c>
      <c r="E118">
        <v>0.73</v>
      </c>
      <c r="F118">
        <v>0.87</v>
      </c>
      <c r="G118">
        <v>1.1499999999999999</v>
      </c>
      <c r="H118">
        <v>1.5</v>
      </c>
      <c r="J118" s="7"/>
    </row>
    <row r="119" spans="1:12" x14ac:dyDescent="0.2">
      <c r="A119" t="s">
        <v>445</v>
      </c>
      <c r="C119" s="142">
        <v>0.28000000000000003</v>
      </c>
      <c r="D119" s="142">
        <v>0.56000000000000005</v>
      </c>
      <c r="E119" s="142">
        <v>0.7</v>
      </c>
      <c r="F119" s="142">
        <v>0.84</v>
      </c>
      <c r="G119" s="142">
        <v>1.1200000000000001</v>
      </c>
      <c r="H119">
        <v>1.4</v>
      </c>
      <c r="J119" s="7"/>
    </row>
    <row r="120" spans="1:12" ht="15.75" x14ac:dyDescent="0.25">
      <c r="A120" s="139" t="s">
        <v>615</v>
      </c>
      <c r="B120" s="139"/>
      <c r="C120" s="140">
        <f t="shared" ref="C120:H120" si="42">+C16</f>
        <v>0</v>
      </c>
      <c r="D120" s="140">
        <f t="shared" si="42"/>
        <v>0</v>
      </c>
      <c r="E120" s="140">
        <f t="shared" si="42"/>
        <v>0</v>
      </c>
      <c r="F120" s="140">
        <f t="shared" si="42"/>
        <v>0</v>
      </c>
      <c r="G120" s="140">
        <f t="shared" si="42"/>
        <v>0</v>
      </c>
      <c r="H120" s="140">
        <f t="shared" si="42"/>
        <v>0</v>
      </c>
      <c r="I120" s="141" t="s">
        <v>446</v>
      </c>
      <c r="J120" s="7"/>
    </row>
    <row r="121" spans="1:12" x14ac:dyDescent="0.2">
      <c r="A121" t="s">
        <v>595</v>
      </c>
      <c r="B121">
        <v>2</v>
      </c>
      <c r="C121">
        <f t="shared" ref="C121:H121" si="43">+$B121*C120</f>
        <v>0</v>
      </c>
      <c r="D121">
        <f t="shared" si="43"/>
        <v>0</v>
      </c>
      <c r="E121">
        <f t="shared" si="43"/>
        <v>0</v>
      </c>
      <c r="F121">
        <f t="shared" si="43"/>
        <v>0</v>
      </c>
      <c r="G121">
        <f t="shared" si="43"/>
        <v>0</v>
      </c>
      <c r="H121">
        <f t="shared" si="43"/>
        <v>0</v>
      </c>
      <c r="I121" s="332">
        <f>SUM(C121:H121)</f>
        <v>0</v>
      </c>
      <c r="J121" s="7"/>
    </row>
    <row r="122" spans="1:12" x14ac:dyDescent="0.2">
      <c r="A122" t="s">
        <v>613</v>
      </c>
      <c r="B122">
        <v>1</v>
      </c>
      <c r="C122">
        <f t="shared" ref="C122:H122" si="44">+$B122*C120</f>
        <v>0</v>
      </c>
      <c r="D122">
        <f t="shared" si="44"/>
        <v>0</v>
      </c>
      <c r="E122">
        <f t="shared" si="44"/>
        <v>0</v>
      </c>
      <c r="F122">
        <f t="shared" si="44"/>
        <v>0</v>
      </c>
      <c r="G122">
        <f t="shared" si="44"/>
        <v>0</v>
      </c>
      <c r="H122">
        <f t="shared" si="44"/>
        <v>0</v>
      </c>
      <c r="I122" s="332">
        <f t="shared" ref="I122:I128" si="45">SUM(C122:H122)</f>
        <v>0</v>
      </c>
      <c r="J122" s="7"/>
    </row>
    <row r="123" spans="1:12" x14ac:dyDescent="0.2">
      <c r="A123" t="s">
        <v>603</v>
      </c>
      <c r="B123">
        <v>1</v>
      </c>
      <c r="C123">
        <f t="shared" ref="C123:H123" si="46">+$B123*C120</f>
        <v>0</v>
      </c>
      <c r="D123">
        <f t="shared" si="46"/>
        <v>0</v>
      </c>
      <c r="E123">
        <f t="shared" si="46"/>
        <v>0</v>
      </c>
      <c r="F123">
        <f t="shared" si="46"/>
        <v>0</v>
      </c>
      <c r="G123">
        <f t="shared" si="46"/>
        <v>0</v>
      </c>
      <c r="H123">
        <f t="shared" si="46"/>
        <v>0</v>
      </c>
      <c r="I123" s="332">
        <f t="shared" si="45"/>
        <v>0</v>
      </c>
      <c r="J123" s="7"/>
    </row>
    <row r="124" spans="1:12" x14ac:dyDescent="0.2">
      <c r="A124" t="s">
        <v>596</v>
      </c>
      <c r="B124">
        <v>16</v>
      </c>
      <c r="C124">
        <f t="shared" ref="C124:H124" si="47">+$B$124*C120</f>
        <v>0</v>
      </c>
      <c r="D124">
        <f t="shared" si="47"/>
        <v>0</v>
      </c>
      <c r="E124">
        <f t="shared" si="47"/>
        <v>0</v>
      </c>
      <c r="F124">
        <f t="shared" si="47"/>
        <v>0</v>
      </c>
      <c r="G124">
        <f t="shared" si="47"/>
        <v>0</v>
      </c>
      <c r="H124">
        <f t="shared" si="47"/>
        <v>0</v>
      </c>
      <c r="I124" s="332">
        <f t="shared" si="45"/>
        <v>0</v>
      </c>
      <c r="J124" s="7"/>
    </row>
    <row r="125" spans="1:12" x14ac:dyDescent="0.2">
      <c r="A125" t="s">
        <v>597</v>
      </c>
      <c r="B125">
        <v>2.62</v>
      </c>
      <c r="C125">
        <f t="shared" ref="C125:H125" si="48">+$B$125*C120</f>
        <v>0</v>
      </c>
      <c r="D125">
        <f t="shared" si="48"/>
        <v>0</v>
      </c>
      <c r="E125">
        <f t="shared" si="48"/>
        <v>0</v>
      </c>
      <c r="F125">
        <f t="shared" si="48"/>
        <v>0</v>
      </c>
      <c r="G125">
        <f t="shared" si="48"/>
        <v>0</v>
      </c>
      <c r="H125">
        <f t="shared" si="48"/>
        <v>0</v>
      </c>
      <c r="I125" s="332">
        <f t="shared" si="45"/>
        <v>0</v>
      </c>
      <c r="J125" s="7"/>
    </row>
    <row r="126" spans="1:12" x14ac:dyDescent="0.2">
      <c r="A126" t="s">
        <v>598</v>
      </c>
      <c r="B126">
        <v>4</v>
      </c>
      <c r="C126">
        <f t="shared" ref="C126:H126" si="49">+($B$126*C120)*C119</f>
        <v>0</v>
      </c>
      <c r="D126">
        <f t="shared" si="49"/>
        <v>0</v>
      </c>
      <c r="E126">
        <f t="shared" si="49"/>
        <v>0</v>
      </c>
      <c r="F126">
        <f t="shared" si="49"/>
        <v>0</v>
      </c>
      <c r="G126">
        <f t="shared" si="49"/>
        <v>0</v>
      </c>
      <c r="H126">
        <f t="shared" si="49"/>
        <v>0</v>
      </c>
      <c r="I126" s="332">
        <f t="shared" si="45"/>
        <v>0</v>
      </c>
      <c r="J126" s="7"/>
    </row>
    <row r="127" spans="1:12" x14ac:dyDescent="0.2">
      <c r="A127" s="144" t="s">
        <v>599</v>
      </c>
      <c r="B127">
        <v>1</v>
      </c>
      <c r="C127">
        <f t="shared" ref="C127:H127" si="50">+C120*C119</f>
        <v>0</v>
      </c>
      <c r="D127">
        <f t="shared" si="50"/>
        <v>0</v>
      </c>
      <c r="E127">
        <f t="shared" si="50"/>
        <v>0</v>
      </c>
      <c r="F127">
        <f t="shared" si="50"/>
        <v>0</v>
      </c>
      <c r="G127">
        <f t="shared" si="50"/>
        <v>0</v>
      </c>
      <c r="H127">
        <f t="shared" si="50"/>
        <v>0</v>
      </c>
      <c r="I127" s="332">
        <f t="shared" si="45"/>
        <v>0</v>
      </c>
      <c r="J127" s="7"/>
    </row>
    <row r="128" spans="1:12" x14ac:dyDescent="0.2">
      <c r="A128" t="s">
        <v>600</v>
      </c>
      <c r="B128">
        <v>2</v>
      </c>
      <c r="C128">
        <f t="shared" ref="C128:H128" si="51">+$B128*C120</f>
        <v>0</v>
      </c>
      <c r="D128">
        <f t="shared" si="51"/>
        <v>0</v>
      </c>
      <c r="E128">
        <f t="shared" si="51"/>
        <v>0</v>
      </c>
      <c r="F128">
        <f t="shared" si="51"/>
        <v>0</v>
      </c>
      <c r="G128">
        <f t="shared" si="51"/>
        <v>0</v>
      </c>
      <c r="H128">
        <f t="shared" si="51"/>
        <v>0</v>
      </c>
      <c r="I128" s="332">
        <f t="shared" si="45"/>
        <v>0</v>
      </c>
      <c r="J128" s="7"/>
      <c r="L128">
        <v>0</v>
      </c>
    </row>
    <row r="129" spans="1:12" ht="18" x14ac:dyDescent="0.25">
      <c r="A129" s="137">
        <v>0</v>
      </c>
      <c r="B129" s="138"/>
      <c r="C129" s="138"/>
      <c r="D129" s="138"/>
      <c r="E129" s="138"/>
      <c r="F129" s="138"/>
      <c r="G129" s="138"/>
      <c r="I129" s="138"/>
      <c r="J129" s="7"/>
      <c r="L129">
        <v>0</v>
      </c>
    </row>
    <row r="130" spans="1:12" ht="18" x14ac:dyDescent="0.25">
      <c r="A130" s="137" t="s">
        <v>616</v>
      </c>
      <c r="B130" s="138"/>
      <c r="C130" s="138"/>
      <c r="D130" s="138"/>
      <c r="E130" s="138"/>
      <c r="F130" s="138"/>
      <c r="G130" s="138"/>
      <c r="I130" s="138"/>
      <c r="J130" s="7"/>
      <c r="L130">
        <v>0</v>
      </c>
    </row>
    <row r="131" spans="1:12" ht="18" x14ac:dyDescent="0.25">
      <c r="A131" s="137">
        <v>0</v>
      </c>
      <c r="B131" s="138"/>
      <c r="C131" s="138"/>
      <c r="D131" s="138"/>
      <c r="E131" s="138"/>
      <c r="F131" s="138"/>
      <c r="G131" s="138"/>
      <c r="I131" s="138"/>
      <c r="J131" s="7"/>
      <c r="L131">
        <v>0</v>
      </c>
    </row>
    <row r="132" spans="1:12" x14ac:dyDescent="0.2">
      <c r="A132" t="s">
        <v>593</v>
      </c>
      <c r="C132">
        <v>0.31</v>
      </c>
      <c r="D132">
        <v>0.59</v>
      </c>
      <c r="E132">
        <v>0.73</v>
      </c>
      <c r="F132">
        <v>0.87</v>
      </c>
      <c r="G132">
        <v>1.1499999999999999</v>
      </c>
      <c r="H132">
        <v>1.5</v>
      </c>
      <c r="J132" s="7"/>
      <c r="L132">
        <v>0</v>
      </c>
    </row>
    <row r="133" spans="1:12" x14ac:dyDescent="0.2">
      <c r="A133" t="s">
        <v>445</v>
      </c>
      <c r="C133" s="142">
        <v>0.28000000000000003</v>
      </c>
      <c r="D133" s="142">
        <v>0.56000000000000005</v>
      </c>
      <c r="E133" s="142">
        <v>0.7</v>
      </c>
      <c r="F133" s="142">
        <v>0.84</v>
      </c>
      <c r="G133" s="142">
        <v>1.1200000000000001</v>
      </c>
      <c r="H133">
        <v>1.4</v>
      </c>
      <c r="J133" s="7"/>
      <c r="L133">
        <v>0</v>
      </c>
    </row>
    <row r="134" spans="1:12" ht="15.75" x14ac:dyDescent="0.25">
      <c r="A134" s="139" t="s">
        <v>617</v>
      </c>
      <c r="B134" s="139"/>
      <c r="C134" s="140">
        <f t="shared" ref="C134:H134" si="52">+C17</f>
        <v>0</v>
      </c>
      <c r="D134" s="140">
        <f t="shared" si="52"/>
        <v>0</v>
      </c>
      <c r="E134" s="140">
        <f t="shared" si="52"/>
        <v>0</v>
      </c>
      <c r="F134" s="140">
        <f t="shared" si="52"/>
        <v>0</v>
      </c>
      <c r="G134" s="140">
        <f t="shared" si="52"/>
        <v>0</v>
      </c>
      <c r="H134" s="140">
        <f t="shared" si="52"/>
        <v>0</v>
      </c>
      <c r="I134" s="141" t="s">
        <v>446</v>
      </c>
      <c r="J134" s="7"/>
      <c r="L134">
        <v>0</v>
      </c>
    </row>
    <row r="135" spans="1:12" x14ac:dyDescent="0.2">
      <c r="A135" t="s">
        <v>595</v>
      </c>
      <c r="B135">
        <v>2</v>
      </c>
      <c r="C135">
        <f t="shared" ref="C135:H135" si="53">+$B$135*C134</f>
        <v>0</v>
      </c>
      <c r="D135">
        <f t="shared" si="53"/>
        <v>0</v>
      </c>
      <c r="E135">
        <f t="shared" si="53"/>
        <v>0</v>
      </c>
      <c r="F135">
        <f t="shared" si="53"/>
        <v>0</v>
      </c>
      <c r="G135">
        <f t="shared" si="53"/>
        <v>0</v>
      </c>
      <c r="H135">
        <f t="shared" si="53"/>
        <v>0</v>
      </c>
      <c r="I135" s="332">
        <f>SUM(C135:H135)</f>
        <v>0</v>
      </c>
      <c r="J135" s="7"/>
      <c r="L135">
        <v>0</v>
      </c>
    </row>
    <row r="136" spans="1:12" x14ac:dyDescent="0.2">
      <c r="A136" t="s">
        <v>613</v>
      </c>
      <c r="B136">
        <v>1</v>
      </c>
      <c r="C136">
        <f t="shared" ref="C136:H136" si="54">+$B136*C134</f>
        <v>0</v>
      </c>
      <c r="D136">
        <f t="shared" si="54"/>
        <v>0</v>
      </c>
      <c r="E136">
        <f t="shared" si="54"/>
        <v>0</v>
      </c>
      <c r="F136">
        <f t="shared" si="54"/>
        <v>0</v>
      </c>
      <c r="G136">
        <f t="shared" si="54"/>
        <v>0</v>
      </c>
      <c r="H136">
        <f t="shared" si="54"/>
        <v>0</v>
      </c>
      <c r="I136" s="332">
        <f t="shared" ref="I136:I141" si="55">SUM(C136:H136)</f>
        <v>0</v>
      </c>
      <c r="J136" s="7"/>
      <c r="L136">
        <v>0</v>
      </c>
    </row>
    <row r="137" spans="1:12" x14ac:dyDescent="0.2">
      <c r="A137" t="s">
        <v>596</v>
      </c>
      <c r="B137">
        <v>12</v>
      </c>
      <c r="C137">
        <f t="shared" ref="C137:H137" si="56">+$B$137*C134</f>
        <v>0</v>
      </c>
      <c r="D137">
        <f t="shared" si="56"/>
        <v>0</v>
      </c>
      <c r="E137">
        <f t="shared" si="56"/>
        <v>0</v>
      </c>
      <c r="F137">
        <f t="shared" si="56"/>
        <v>0</v>
      </c>
      <c r="G137">
        <f t="shared" si="56"/>
        <v>0</v>
      </c>
      <c r="H137">
        <f t="shared" si="56"/>
        <v>0</v>
      </c>
      <c r="I137" s="332">
        <f t="shared" si="55"/>
        <v>0</v>
      </c>
      <c r="J137" s="7"/>
      <c r="L137">
        <v>0</v>
      </c>
    </row>
    <row r="138" spans="1:12" x14ac:dyDescent="0.2">
      <c r="A138" t="s">
        <v>597</v>
      </c>
      <c r="B138">
        <v>2.2200000000000002</v>
      </c>
      <c r="C138">
        <f t="shared" ref="C138:H138" si="57">+$B$138*C134</f>
        <v>0</v>
      </c>
      <c r="D138">
        <f t="shared" si="57"/>
        <v>0</v>
      </c>
      <c r="E138">
        <f t="shared" si="57"/>
        <v>0</v>
      </c>
      <c r="F138">
        <f t="shared" si="57"/>
        <v>0</v>
      </c>
      <c r="G138">
        <f t="shared" si="57"/>
        <v>0</v>
      </c>
      <c r="H138">
        <f t="shared" si="57"/>
        <v>0</v>
      </c>
      <c r="I138" s="332">
        <f t="shared" si="55"/>
        <v>0</v>
      </c>
      <c r="J138" s="7"/>
      <c r="L138">
        <v>0</v>
      </c>
    </row>
    <row r="139" spans="1:12" x14ac:dyDescent="0.2">
      <c r="A139" t="s">
        <v>598</v>
      </c>
      <c r="B139">
        <v>2</v>
      </c>
      <c r="C139">
        <f t="shared" ref="C139:H139" si="58">+($B$139*C134)*C133</f>
        <v>0</v>
      </c>
      <c r="D139">
        <f t="shared" si="58"/>
        <v>0</v>
      </c>
      <c r="E139">
        <f t="shared" si="58"/>
        <v>0</v>
      </c>
      <c r="F139">
        <f t="shared" si="58"/>
        <v>0</v>
      </c>
      <c r="G139">
        <f t="shared" si="58"/>
        <v>0</v>
      </c>
      <c r="H139">
        <f t="shared" si="58"/>
        <v>0</v>
      </c>
      <c r="I139" s="332">
        <f t="shared" si="55"/>
        <v>0</v>
      </c>
      <c r="J139" s="7"/>
      <c r="L139">
        <v>0</v>
      </c>
    </row>
    <row r="140" spans="1:12" x14ac:dyDescent="0.2">
      <c r="A140" s="144" t="s">
        <v>599</v>
      </c>
      <c r="B140">
        <v>1</v>
      </c>
      <c r="C140">
        <f t="shared" ref="C140:H140" si="59">+C134*C133</f>
        <v>0</v>
      </c>
      <c r="D140">
        <f t="shared" si="59"/>
        <v>0</v>
      </c>
      <c r="E140">
        <f t="shared" si="59"/>
        <v>0</v>
      </c>
      <c r="F140">
        <f t="shared" si="59"/>
        <v>0</v>
      </c>
      <c r="G140">
        <f t="shared" si="59"/>
        <v>0</v>
      </c>
      <c r="H140">
        <f t="shared" si="59"/>
        <v>0</v>
      </c>
      <c r="I140" s="332">
        <f t="shared" si="55"/>
        <v>0</v>
      </c>
      <c r="J140" s="7"/>
      <c r="L140">
        <v>0</v>
      </c>
    </row>
    <row r="141" spans="1:12" x14ac:dyDescent="0.2">
      <c r="A141" t="s">
        <v>600</v>
      </c>
      <c r="B141">
        <v>2</v>
      </c>
      <c r="C141">
        <f t="shared" ref="C141:H141" si="60">+$B141*C134</f>
        <v>0</v>
      </c>
      <c r="D141">
        <f t="shared" si="60"/>
        <v>0</v>
      </c>
      <c r="E141">
        <f t="shared" si="60"/>
        <v>0</v>
      </c>
      <c r="F141">
        <f t="shared" si="60"/>
        <v>0</v>
      </c>
      <c r="G141">
        <f t="shared" si="60"/>
        <v>0</v>
      </c>
      <c r="H141">
        <f t="shared" si="60"/>
        <v>0</v>
      </c>
      <c r="I141" s="332">
        <f t="shared" si="55"/>
        <v>0</v>
      </c>
      <c r="J141" s="7"/>
      <c r="L141">
        <v>0</v>
      </c>
    </row>
    <row r="142" spans="1:12" ht="18" x14ac:dyDescent="0.25">
      <c r="A142" s="137" t="s">
        <v>618</v>
      </c>
      <c r="B142" s="138"/>
      <c r="C142" s="138"/>
      <c r="D142" s="138"/>
      <c r="E142" s="138"/>
      <c r="F142" s="138"/>
      <c r="G142" s="138"/>
      <c r="I142" s="138"/>
      <c r="J142" s="7"/>
      <c r="L142">
        <v>0</v>
      </c>
    </row>
    <row r="143" spans="1:12" ht="18" x14ac:dyDescent="0.25">
      <c r="A143" s="137">
        <v>0</v>
      </c>
      <c r="B143" s="138"/>
      <c r="C143" s="138"/>
      <c r="D143" s="138"/>
      <c r="E143" s="138"/>
      <c r="F143" s="138"/>
      <c r="G143" s="138"/>
      <c r="I143" s="138"/>
      <c r="J143" s="7"/>
      <c r="L143">
        <v>0</v>
      </c>
    </row>
    <row r="144" spans="1:12" x14ac:dyDescent="0.2">
      <c r="A144" t="s">
        <v>593</v>
      </c>
      <c r="C144">
        <v>0.31</v>
      </c>
      <c r="D144">
        <v>0.59</v>
      </c>
      <c r="E144">
        <v>0.73</v>
      </c>
      <c r="F144">
        <v>0.87</v>
      </c>
      <c r="G144">
        <v>1.1499999999999999</v>
      </c>
      <c r="H144">
        <v>1.5</v>
      </c>
      <c r="J144" s="7"/>
      <c r="L144">
        <v>0</v>
      </c>
    </row>
    <row r="145" spans="1:12" x14ac:dyDescent="0.2">
      <c r="A145" t="s">
        <v>445</v>
      </c>
      <c r="C145" s="142">
        <v>0.28000000000000003</v>
      </c>
      <c r="D145" s="142">
        <v>0.56000000000000005</v>
      </c>
      <c r="E145" s="142">
        <v>0.7</v>
      </c>
      <c r="F145" s="142">
        <v>0.84</v>
      </c>
      <c r="G145" s="142">
        <v>1.1200000000000001</v>
      </c>
      <c r="H145">
        <v>1.4</v>
      </c>
      <c r="J145" s="7"/>
      <c r="L145">
        <v>0</v>
      </c>
    </row>
    <row r="146" spans="1:12" ht="15.75" x14ac:dyDescent="0.25">
      <c r="A146" s="139" t="s">
        <v>619</v>
      </c>
      <c r="B146" s="139"/>
      <c r="C146" s="140">
        <f t="shared" ref="C146:H146" si="61">+C18</f>
        <v>0</v>
      </c>
      <c r="D146" s="140">
        <f t="shared" si="61"/>
        <v>0</v>
      </c>
      <c r="E146" s="140">
        <f t="shared" si="61"/>
        <v>0</v>
      </c>
      <c r="F146" s="140">
        <f t="shared" si="61"/>
        <v>0</v>
      </c>
      <c r="G146" s="140">
        <f t="shared" si="61"/>
        <v>0</v>
      </c>
      <c r="H146" s="140">
        <f t="shared" si="61"/>
        <v>0</v>
      </c>
      <c r="I146" s="141" t="s">
        <v>446</v>
      </c>
      <c r="J146" s="7"/>
      <c r="L146">
        <v>0</v>
      </c>
    </row>
    <row r="147" spans="1:12" x14ac:dyDescent="0.2">
      <c r="A147" t="s">
        <v>595</v>
      </c>
      <c r="B147">
        <v>1</v>
      </c>
      <c r="C147">
        <f t="shared" ref="C147:H147" si="62">+$B$147*C146</f>
        <v>0</v>
      </c>
      <c r="D147">
        <f t="shared" si="62"/>
        <v>0</v>
      </c>
      <c r="E147">
        <f t="shared" si="62"/>
        <v>0</v>
      </c>
      <c r="F147">
        <f t="shared" si="62"/>
        <v>0</v>
      </c>
      <c r="G147">
        <f t="shared" si="62"/>
        <v>0</v>
      </c>
      <c r="H147">
        <f t="shared" si="62"/>
        <v>0</v>
      </c>
      <c r="I147" s="332">
        <f>SUM(C147:H147)</f>
        <v>0</v>
      </c>
      <c r="J147" s="7"/>
      <c r="L147">
        <v>0</v>
      </c>
    </row>
    <row r="148" spans="1:12" x14ac:dyDescent="0.2">
      <c r="A148" t="s">
        <v>613</v>
      </c>
      <c r="B148">
        <v>1</v>
      </c>
      <c r="C148">
        <f t="shared" ref="C148:H148" si="63">+$B$148*C146</f>
        <v>0</v>
      </c>
      <c r="D148">
        <f t="shared" si="63"/>
        <v>0</v>
      </c>
      <c r="E148">
        <f t="shared" si="63"/>
        <v>0</v>
      </c>
      <c r="F148">
        <f t="shared" si="63"/>
        <v>0</v>
      </c>
      <c r="G148">
        <f t="shared" si="63"/>
        <v>0</v>
      </c>
      <c r="H148">
        <f t="shared" si="63"/>
        <v>0</v>
      </c>
      <c r="I148" s="332">
        <f t="shared" ref="I148:I154" si="64">SUM(C148:H148)</f>
        <v>0</v>
      </c>
      <c r="J148" s="7"/>
      <c r="L148">
        <v>0</v>
      </c>
    </row>
    <row r="149" spans="1:12" x14ac:dyDescent="0.2">
      <c r="A149" t="s">
        <v>603</v>
      </c>
      <c r="B149">
        <v>1</v>
      </c>
      <c r="C149">
        <f t="shared" ref="C149:H149" si="65">+$B149*C146</f>
        <v>0</v>
      </c>
      <c r="D149">
        <f t="shared" si="65"/>
        <v>0</v>
      </c>
      <c r="E149">
        <f t="shared" si="65"/>
        <v>0</v>
      </c>
      <c r="F149">
        <f t="shared" si="65"/>
        <v>0</v>
      </c>
      <c r="G149">
        <f t="shared" si="65"/>
        <v>0</v>
      </c>
      <c r="H149">
        <f t="shared" si="65"/>
        <v>0</v>
      </c>
      <c r="I149" s="332">
        <f t="shared" si="64"/>
        <v>0</v>
      </c>
      <c r="J149" s="7"/>
      <c r="L149">
        <v>0</v>
      </c>
    </row>
    <row r="150" spans="1:12" x14ac:dyDescent="0.2">
      <c r="A150" t="s">
        <v>596</v>
      </c>
      <c r="B150">
        <v>12</v>
      </c>
      <c r="C150">
        <f t="shared" ref="C150:H150" si="66">+$B150*C146</f>
        <v>0</v>
      </c>
      <c r="D150">
        <f t="shared" si="66"/>
        <v>0</v>
      </c>
      <c r="E150">
        <f t="shared" si="66"/>
        <v>0</v>
      </c>
      <c r="F150">
        <f t="shared" si="66"/>
        <v>0</v>
      </c>
      <c r="G150">
        <f t="shared" si="66"/>
        <v>0</v>
      </c>
      <c r="H150">
        <f t="shared" si="66"/>
        <v>0</v>
      </c>
      <c r="I150" s="332">
        <f t="shared" si="64"/>
        <v>0</v>
      </c>
      <c r="J150" s="7"/>
      <c r="L150">
        <v>0</v>
      </c>
    </row>
    <row r="151" spans="1:12" x14ac:dyDescent="0.2">
      <c r="A151" t="s">
        <v>597</v>
      </c>
      <c r="B151">
        <v>1.82</v>
      </c>
      <c r="C151">
        <f t="shared" ref="C151:H151" si="67">+$B151*C146</f>
        <v>0</v>
      </c>
      <c r="D151">
        <f t="shared" si="67"/>
        <v>0</v>
      </c>
      <c r="E151">
        <f t="shared" si="67"/>
        <v>0</v>
      </c>
      <c r="F151">
        <f t="shared" si="67"/>
        <v>0</v>
      </c>
      <c r="G151">
        <f t="shared" si="67"/>
        <v>0</v>
      </c>
      <c r="H151">
        <f t="shared" si="67"/>
        <v>0</v>
      </c>
      <c r="I151" s="332">
        <f t="shared" si="64"/>
        <v>0</v>
      </c>
      <c r="J151" s="7"/>
      <c r="L151">
        <v>0</v>
      </c>
    </row>
    <row r="152" spans="1:12" x14ac:dyDescent="0.2">
      <c r="A152" t="s">
        <v>598</v>
      </c>
      <c r="B152">
        <v>2</v>
      </c>
      <c r="C152">
        <f t="shared" ref="C152:H152" si="68">+($B152*C146)*C145</f>
        <v>0</v>
      </c>
      <c r="D152">
        <f t="shared" si="68"/>
        <v>0</v>
      </c>
      <c r="E152">
        <f t="shared" si="68"/>
        <v>0</v>
      </c>
      <c r="F152">
        <f t="shared" si="68"/>
        <v>0</v>
      </c>
      <c r="G152">
        <f t="shared" si="68"/>
        <v>0</v>
      </c>
      <c r="H152">
        <f t="shared" si="68"/>
        <v>0</v>
      </c>
      <c r="I152" s="332">
        <f t="shared" si="64"/>
        <v>0</v>
      </c>
      <c r="J152" s="7"/>
      <c r="L152">
        <v>0</v>
      </c>
    </row>
    <row r="153" spans="1:12" x14ac:dyDescent="0.2">
      <c r="A153" s="144" t="s">
        <v>599</v>
      </c>
      <c r="B153">
        <v>1</v>
      </c>
      <c r="C153">
        <f t="shared" ref="C153:H153" si="69">+C146*C145</f>
        <v>0</v>
      </c>
      <c r="D153">
        <f t="shared" si="69"/>
        <v>0</v>
      </c>
      <c r="E153">
        <f t="shared" si="69"/>
        <v>0</v>
      </c>
      <c r="F153">
        <f t="shared" si="69"/>
        <v>0</v>
      </c>
      <c r="G153">
        <f t="shared" si="69"/>
        <v>0</v>
      </c>
      <c r="H153">
        <f t="shared" si="69"/>
        <v>0</v>
      </c>
      <c r="I153" s="332">
        <f t="shared" si="64"/>
        <v>0</v>
      </c>
      <c r="J153" s="7"/>
      <c r="L153">
        <v>0</v>
      </c>
    </row>
    <row r="154" spans="1:12" x14ac:dyDescent="0.2">
      <c r="A154" t="s">
        <v>600</v>
      </c>
      <c r="B154">
        <v>2</v>
      </c>
      <c r="C154">
        <f t="shared" ref="C154:H154" si="70">+$B154*C146</f>
        <v>0</v>
      </c>
      <c r="D154">
        <f t="shared" si="70"/>
        <v>0</v>
      </c>
      <c r="E154">
        <f t="shared" si="70"/>
        <v>0</v>
      </c>
      <c r="F154">
        <f t="shared" si="70"/>
        <v>0</v>
      </c>
      <c r="G154">
        <f t="shared" si="70"/>
        <v>0</v>
      </c>
      <c r="H154">
        <f t="shared" si="70"/>
        <v>0</v>
      </c>
      <c r="I154" s="332">
        <f t="shared" si="64"/>
        <v>0</v>
      </c>
      <c r="J154" s="7"/>
      <c r="L154">
        <v>0</v>
      </c>
    </row>
    <row r="155" spans="1:12" x14ac:dyDescent="0.2">
      <c r="A155">
        <v>0</v>
      </c>
      <c r="J155" s="7"/>
      <c r="L155">
        <v>0</v>
      </c>
    </row>
    <row r="156" spans="1:12" ht="18" x14ac:dyDescent="0.25">
      <c r="A156">
        <v>0</v>
      </c>
      <c r="B156" s="338" t="s">
        <v>620</v>
      </c>
      <c r="C156" s="138"/>
      <c r="D156" s="138"/>
      <c r="E156" s="138"/>
      <c r="F156" s="138"/>
      <c r="G156" s="138"/>
      <c r="I156" s="138"/>
      <c r="J156" s="7"/>
      <c r="L156">
        <v>0</v>
      </c>
    </row>
    <row r="157" spans="1:12" ht="18" x14ac:dyDescent="0.25">
      <c r="A157" s="137">
        <v>0</v>
      </c>
      <c r="B157" s="138"/>
      <c r="C157" s="138"/>
      <c r="D157" s="138"/>
      <c r="E157" s="138"/>
      <c r="F157" s="138"/>
      <c r="G157" s="138"/>
      <c r="I157" s="138"/>
      <c r="J157" s="7"/>
      <c r="L157">
        <v>0</v>
      </c>
    </row>
    <row r="158" spans="1:12" x14ac:dyDescent="0.2">
      <c r="A158" t="s">
        <v>593</v>
      </c>
      <c r="C158">
        <v>0.31</v>
      </c>
      <c r="D158">
        <v>0.59</v>
      </c>
      <c r="E158">
        <v>0.73</v>
      </c>
      <c r="F158">
        <v>0.87</v>
      </c>
      <c r="G158">
        <v>1.1499999999999999</v>
      </c>
      <c r="H158">
        <v>1.5</v>
      </c>
      <c r="J158" s="7"/>
      <c r="L158">
        <v>0</v>
      </c>
    </row>
    <row r="159" spans="1:12" x14ac:dyDescent="0.2">
      <c r="A159" t="s">
        <v>445</v>
      </c>
      <c r="C159" s="142">
        <v>0.28000000000000003</v>
      </c>
      <c r="D159" s="142">
        <v>0.56000000000000005</v>
      </c>
      <c r="E159" s="142">
        <v>0.7</v>
      </c>
      <c r="F159" s="142">
        <v>0.84</v>
      </c>
      <c r="G159" s="142">
        <v>1.1200000000000001</v>
      </c>
      <c r="H159">
        <v>1.4</v>
      </c>
      <c r="J159" s="7"/>
      <c r="L159">
        <v>0</v>
      </c>
    </row>
    <row r="160" spans="1:12" ht="15.75" x14ac:dyDescent="0.25">
      <c r="A160" s="139" t="s">
        <v>621</v>
      </c>
      <c r="B160" s="139"/>
      <c r="C160" s="140">
        <f t="shared" ref="C160:H160" si="71">+C19</f>
        <v>0</v>
      </c>
      <c r="D160" s="140">
        <f t="shared" si="71"/>
        <v>0</v>
      </c>
      <c r="E160" s="140">
        <f t="shared" si="71"/>
        <v>0</v>
      </c>
      <c r="F160" s="140">
        <f t="shared" si="71"/>
        <v>0</v>
      </c>
      <c r="G160" s="140">
        <f t="shared" si="71"/>
        <v>0</v>
      </c>
      <c r="H160" s="140">
        <f t="shared" si="71"/>
        <v>0</v>
      </c>
      <c r="I160" s="141" t="s">
        <v>446</v>
      </c>
      <c r="J160" s="7"/>
      <c r="L160">
        <v>0</v>
      </c>
    </row>
    <row r="161" spans="1:20" x14ac:dyDescent="0.2">
      <c r="A161" t="s">
        <v>613</v>
      </c>
      <c r="B161">
        <v>1</v>
      </c>
      <c r="C161">
        <f t="shared" ref="C161:H161" si="72">+$B161*C160</f>
        <v>0</v>
      </c>
      <c r="D161">
        <f t="shared" si="72"/>
        <v>0</v>
      </c>
      <c r="E161">
        <f t="shared" si="72"/>
        <v>0</v>
      </c>
      <c r="F161">
        <f t="shared" si="72"/>
        <v>0</v>
      </c>
      <c r="G161">
        <f t="shared" si="72"/>
        <v>0</v>
      </c>
      <c r="H161">
        <f t="shared" si="72"/>
        <v>0</v>
      </c>
      <c r="I161" s="332">
        <f>SUM(C161:H161)</f>
        <v>0</v>
      </c>
      <c r="J161" s="7"/>
      <c r="L161">
        <v>0</v>
      </c>
    </row>
    <row r="162" spans="1:20" x14ac:dyDescent="0.2">
      <c r="A162" t="s">
        <v>595</v>
      </c>
      <c r="B162">
        <v>1</v>
      </c>
      <c r="C162">
        <f t="shared" ref="C162:H162" si="73">+$B162*C160</f>
        <v>0</v>
      </c>
      <c r="D162">
        <f t="shared" si="73"/>
        <v>0</v>
      </c>
      <c r="E162">
        <f t="shared" si="73"/>
        <v>0</v>
      </c>
      <c r="F162">
        <f t="shared" si="73"/>
        <v>0</v>
      </c>
      <c r="G162">
        <f t="shared" si="73"/>
        <v>0</v>
      </c>
      <c r="H162">
        <f t="shared" si="73"/>
        <v>0</v>
      </c>
      <c r="I162" s="332">
        <f t="shared" ref="I162:I167" si="74">SUM(C162:H162)</f>
        <v>0</v>
      </c>
      <c r="J162" s="7"/>
      <c r="L162">
        <v>0</v>
      </c>
    </row>
    <row r="163" spans="1:20" x14ac:dyDescent="0.2">
      <c r="A163" t="s">
        <v>596</v>
      </c>
      <c r="B163">
        <v>8</v>
      </c>
      <c r="C163">
        <f t="shared" ref="C163:H163" si="75">+$B163*C160</f>
        <v>0</v>
      </c>
      <c r="D163">
        <f t="shared" si="75"/>
        <v>0</v>
      </c>
      <c r="E163">
        <f t="shared" si="75"/>
        <v>0</v>
      </c>
      <c r="F163">
        <f t="shared" si="75"/>
        <v>0</v>
      </c>
      <c r="G163">
        <f t="shared" si="75"/>
        <v>0</v>
      </c>
      <c r="H163">
        <f t="shared" si="75"/>
        <v>0</v>
      </c>
      <c r="I163" s="332">
        <f t="shared" si="74"/>
        <v>0</v>
      </c>
      <c r="J163" s="7"/>
      <c r="L163">
        <v>0</v>
      </c>
    </row>
    <row r="164" spans="1:20" x14ac:dyDescent="0.2">
      <c r="A164" t="s">
        <v>597</v>
      </c>
      <c r="B164">
        <v>1.42</v>
      </c>
      <c r="C164">
        <f t="shared" ref="C164:H164" si="76">+$B164*C160</f>
        <v>0</v>
      </c>
      <c r="D164">
        <f t="shared" si="76"/>
        <v>0</v>
      </c>
      <c r="E164">
        <f t="shared" si="76"/>
        <v>0</v>
      </c>
      <c r="F164">
        <f t="shared" si="76"/>
        <v>0</v>
      </c>
      <c r="G164">
        <f t="shared" si="76"/>
        <v>0</v>
      </c>
      <c r="H164">
        <f t="shared" si="76"/>
        <v>0</v>
      </c>
      <c r="I164" s="332">
        <f t="shared" si="74"/>
        <v>0</v>
      </c>
      <c r="J164" s="7"/>
      <c r="L164">
        <v>0</v>
      </c>
    </row>
    <row r="165" spans="1:20" x14ac:dyDescent="0.2">
      <c r="A165" t="s">
        <v>598</v>
      </c>
      <c r="B165">
        <v>1</v>
      </c>
      <c r="C165" s="335">
        <f t="shared" ref="C165:H165" si="77">+($B165*C160)*C159</f>
        <v>0</v>
      </c>
      <c r="D165" s="335">
        <f t="shared" si="77"/>
        <v>0</v>
      </c>
      <c r="E165" s="335">
        <f t="shared" si="77"/>
        <v>0</v>
      </c>
      <c r="F165" s="335">
        <f t="shared" si="77"/>
        <v>0</v>
      </c>
      <c r="G165" s="335">
        <f t="shared" si="77"/>
        <v>0</v>
      </c>
      <c r="H165" s="335">
        <f t="shared" si="77"/>
        <v>0</v>
      </c>
      <c r="I165" s="332">
        <f t="shared" si="74"/>
        <v>0</v>
      </c>
      <c r="J165" s="7"/>
      <c r="L165">
        <v>0</v>
      </c>
    </row>
    <row r="166" spans="1:20" x14ac:dyDescent="0.2">
      <c r="A166" s="144" t="s">
        <v>599</v>
      </c>
      <c r="B166">
        <v>1</v>
      </c>
      <c r="C166" s="335">
        <f t="shared" ref="C166:H166" si="78">+C160*C159</f>
        <v>0</v>
      </c>
      <c r="D166" s="335">
        <f t="shared" si="78"/>
        <v>0</v>
      </c>
      <c r="E166" s="335">
        <f t="shared" si="78"/>
        <v>0</v>
      </c>
      <c r="F166" s="335">
        <f t="shared" si="78"/>
        <v>0</v>
      </c>
      <c r="G166" s="335">
        <f t="shared" si="78"/>
        <v>0</v>
      </c>
      <c r="H166" s="335">
        <f t="shared" si="78"/>
        <v>0</v>
      </c>
      <c r="I166" s="332">
        <f t="shared" si="74"/>
        <v>0</v>
      </c>
      <c r="J166" s="7"/>
      <c r="L166">
        <v>0</v>
      </c>
    </row>
    <row r="167" spans="1:20" x14ac:dyDescent="0.2">
      <c r="A167" s="225" t="s">
        <v>600</v>
      </c>
      <c r="B167" s="225">
        <v>2</v>
      </c>
      <c r="C167" s="225">
        <f t="shared" ref="C167:H167" si="79">+$B167*C160</f>
        <v>0</v>
      </c>
      <c r="D167" s="225">
        <f t="shared" si="79"/>
        <v>0</v>
      </c>
      <c r="E167" s="225">
        <f t="shared" si="79"/>
        <v>0</v>
      </c>
      <c r="F167" s="225">
        <f t="shared" si="79"/>
        <v>0</v>
      </c>
      <c r="G167" s="225">
        <f t="shared" si="79"/>
        <v>0</v>
      </c>
      <c r="H167" s="225">
        <f t="shared" si="79"/>
        <v>0</v>
      </c>
      <c r="I167" s="332">
        <f t="shared" si="74"/>
        <v>0</v>
      </c>
      <c r="J167" s="7"/>
      <c r="L167">
        <v>0</v>
      </c>
    </row>
    <row r="168" spans="1:20" ht="18" x14ac:dyDescent="0.25">
      <c r="A168" s="228">
        <v>0</v>
      </c>
      <c r="B168" s="228"/>
      <c r="C168" s="225"/>
      <c r="D168" s="225"/>
      <c r="E168" s="225"/>
      <c r="F168" s="225"/>
      <c r="G168" s="225"/>
      <c r="J168" s="7"/>
      <c r="L168">
        <v>0</v>
      </c>
    </row>
    <row r="169" spans="1:20" ht="18" x14ac:dyDescent="0.25">
      <c r="A169">
        <v>0</v>
      </c>
      <c r="B169" s="338" t="s">
        <v>622</v>
      </c>
      <c r="C169" s="338"/>
      <c r="D169" s="338"/>
      <c r="E169" s="338"/>
      <c r="F169" s="338"/>
      <c r="G169" s="338"/>
      <c r="H169" s="338"/>
      <c r="I169" s="338"/>
      <c r="J169" s="338"/>
      <c r="K169" s="338"/>
      <c r="L169" s="14"/>
      <c r="M169" s="14"/>
    </row>
    <row r="170" spans="1:20" ht="18" x14ac:dyDescent="0.25">
      <c r="A170" s="338">
        <v>0</v>
      </c>
      <c r="B170" s="138"/>
      <c r="C170" s="138"/>
      <c r="D170" s="138"/>
      <c r="E170" s="138"/>
      <c r="F170" s="138"/>
      <c r="G170" s="14"/>
      <c r="H170" s="14"/>
      <c r="I170" s="14"/>
      <c r="J170" s="14"/>
      <c r="K170" s="14"/>
      <c r="L170" s="14"/>
      <c r="M170" s="14"/>
      <c r="N170" s="225"/>
      <c r="O170" s="225"/>
      <c r="P170" s="225"/>
      <c r="Q170" s="225"/>
      <c r="R170" s="225"/>
      <c r="S170" s="225"/>
      <c r="T170" s="225"/>
    </row>
    <row r="171" spans="1:20" x14ac:dyDescent="0.2">
      <c r="A171" s="339">
        <v>0</v>
      </c>
      <c r="C171" s="225"/>
      <c r="D171" s="225"/>
      <c r="E171" s="225"/>
      <c r="F171" s="7"/>
      <c r="G171" s="14"/>
      <c r="H171" s="8"/>
      <c r="I171" s="8"/>
      <c r="J171" s="8"/>
      <c r="K171" s="8"/>
      <c r="L171" s="8"/>
      <c r="M171" s="340"/>
      <c r="N171" s="225"/>
      <c r="O171" s="225"/>
      <c r="P171" s="225"/>
      <c r="Q171" s="225"/>
      <c r="R171" s="225"/>
      <c r="S171" s="225"/>
      <c r="T171" s="225"/>
    </row>
    <row r="172" spans="1:20" ht="18" x14ac:dyDescent="0.25">
      <c r="A172" s="341" t="s">
        <v>623</v>
      </c>
      <c r="C172" s="342">
        <v>0.95</v>
      </c>
      <c r="D172" s="343"/>
      <c r="E172" s="343">
        <v>1.1499999999999999</v>
      </c>
      <c r="F172" s="344"/>
      <c r="G172" s="343">
        <v>1.35</v>
      </c>
      <c r="H172" s="343"/>
      <c r="I172" s="343">
        <v>1.55</v>
      </c>
      <c r="J172" s="343"/>
      <c r="K172" s="343">
        <v>1.75</v>
      </c>
      <c r="L172" s="345" t="s">
        <v>446</v>
      </c>
      <c r="M172" s="8"/>
      <c r="N172" s="225"/>
      <c r="O172" s="225"/>
      <c r="P172" s="225"/>
      <c r="Q172" s="225"/>
      <c r="R172" s="225"/>
      <c r="S172" s="225"/>
      <c r="T172" s="225"/>
    </row>
    <row r="173" spans="1:20" ht="15.75" x14ac:dyDescent="0.25">
      <c r="A173" s="139" t="s">
        <v>624</v>
      </c>
      <c r="B173" s="346"/>
      <c r="C173" s="347">
        <f>+I10</f>
        <v>0</v>
      </c>
      <c r="D173" s="348"/>
      <c r="E173" s="347">
        <f>+I9</f>
        <v>0</v>
      </c>
      <c r="F173" s="234"/>
      <c r="G173" s="347">
        <f>+I8</f>
        <v>0</v>
      </c>
      <c r="H173" s="349"/>
      <c r="I173" s="347">
        <f>+I7</f>
        <v>0</v>
      </c>
      <c r="J173" s="349"/>
      <c r="K173" s="347">
        <f>+I6</f>
        <v>0</v>
      </c>
      <c r="L173" s="350">
        <f>C173+E173+G173+I173+K173</f>
        <v>0</v>
      </c>
      <c r="M173" s="351"/>
      <c r="N173" s="225"/>
      <c r="O173" s="225"/>
      <c r="P173" s="225"/>
      <c r="Q173" s="225"/>
      <c r="R173" s="225"/>
      <c r="S173" s="225"/>
      <c r="T173" s="225"/>
    </row>
    <row r="174" spans="1:20" x14ac:dyDescent="0.2">
      <c r="A174" t="s">
        <v>625</v>
      </c>
      <c r="B174" s="234">
        <v>2</v>
      </c>
      <c r="C174" s="352">
        <f>+B174*C173</f>
        <v>0</v>
      </c>
      <c r="D174" s="348">
        <v>2</v>
      </c>
      <c r="E174" s="352">
        <f t="shared" ref="E174:E183" si="80">+D174*E$173</f>
        <v>0</v>
      </c>
      <c r="F174" s="353">
        <v>3</v>
      </c>
      <c r="G174" s="352">
        <f t="shared" ref="G174:G183" si="81">+F174*G$173</f>
        <v>0</v>
      </c>
      <c r="H174" s="349">
        <v>3</v>
      </c>
      <c r="I174" s="354">
        <f t="shared" ref="I174:I183" si="82">+H174*I$173</f>
        <v>0</v>
      </c>
      <c r="J174" s="349">
        <v>4</v>
      </c>
      <c r="K174" s="354">
        <f t="shared" ref="K174:K183" si="83">+J174*K$173</f>
        <v>0</v>
      </c>
      <c r="L174" s="350">
        <f>C174+E174+G174+I174+K174</f>
        <v>0</v>
      </c>
      <c r="M174" s="333"/>
      <c r="N174" s="225"/>
      <c r="O174" s="225"/>
      <c r="P174" s="225"/>
      <c r="Q174" s="225"/>
      <c r="R174" s="225"/>
      <c r="S174" s="225"/>
      <c r="T174" s="225"/>
    </row>
    <row r="175" spans="1:20" x14ac:dyDescent="0.2">
      <c r="A175" t="s">
        <v>626</v>
      </c>
      <c r="B175" s="234">
        <v>0</v>
      </c>
      <c r="C175" s="352">
        <f>+B175*C173</f>
        <v>0</v>
      </c>
      <c r="D175" s="348">
        <v>1</v>
      </c>
      <c r="E175" s="352">
        <f t="shared" si="80"/>
        <v>0</v>
      </c>
      <c r="F175" s="353"/>
      <c r="G175" s="352">
        <f t="shared" si="81"/>
        <v>0</v>
      </c>
      <c r="H175" s="355">
        <v>1</v>
      </c>
      <c r="I175" s="354">
        <f t="shared" si="82"/>
        <v>0</v>
      </c>
      <c r="J175" s="355">
        <v>0</v>
      </c>
      <c r="K175" s="354">
        <f t="shared" si="83"/>
        <v>0</v>
      </c>
      <c r="L175" s="350">
        <f t="shared" ref="L175:L183" si="84">C175+E175+G175+I175+K175</f>
        <v>0</v>
      </c>
      <c r="M175" s="8"/>
      <c r="N175" s="225"/>
      <c r="O175" s="225"/>
      <c r="P175" s="225"/>
      <c r="Q175" s="225"/>
      <c r="R175" s="225"/>
      <c r="S175" s="225"/>
      <c r="T175" s="225"/>
    </row>
    <row r="176" spans="1:20" x14ac:dyDescent="0.2">
      <c r="A176">
        <v>0</v>
      </c>
      <c r="B176" s="234">
        <v>3</v>
      </c>
      <c r="C176" s="352">
        <f>+B176*C173</f>
        <v>0</v>
      </c>
      <c r="D176" s="348">
        <v>3</v>
      </c>
      <c r="E176" s="352">
        <f t="shared" si="80"/>
        <v>0</v>
      </c>
      <c r="F176" s="356">
        <v>3</v>
      </c>
      <c r="G176" s="352">
        <f t="shared" si="81"/>
        <v>0</v>
      </c>
      <c r="H176" s="355">
        <v>3</v>
      </c>
      <c r="I176" s="354">
        <f t="shared" si="82"/>
        <v>0</v>
      </c>
      <c r="J176" s="355">
        <v>3</v>
      </c>
      <c r="K176" s="354">
        <f t="shared" si="83"/>
        <v>0</v>
      </c>
      <c r="L176" s="350">
        <f t="shared" si="84"/>
        <v>0</v>
      </c>
      <c r="M176" s="351"/>
      <c r="N176" s="225"/>
      <c r="O176" s="225"/>
      <c r="P176" s="225"/>
      <c r="Q176" s="225"/>
      <c r="R176" s="83"/>
      <c r="S176" s="225"/>
      <c r="T176" s="225"/>
    </row>
    <row r="177" spans="1:20" x14ac:dyDescent="0.2">
      <c r="A177" t="s">
        <v>627</v>
      </c>
      <c r="B177" s="234">
        <v>12</v>
      </c>
      <c r="C177" s="352">
        <f>+B177*C173</f>
        <v>0</v>
      </c>
      <c r="D177" s="348">
        <v>12</v>
      </c>
      <c r="E177" s="352">
        <f t="shared" si="80"/>
        <v>0</v>
      </c>
      <c r="F177" s="356">
        <v>12</v>
      </c>
      <c r="G177" s="352">
        <f t="shared" si="81"/>
        <v>0</v>
      </c>
      <c r="H177" s="355">
        <v>12</v>
      </c>
      <c r="I177" s="354">
        <f t="shared" si="82"/>
        <v>0</v>
      </c>
      <c r="J177" s="355">
        <v>12</v>
      </c>
      <c r="K177" s="354">
        <f t="shared" si="83"/>
        <v>0</v>
      </c>
      <c r="L177" s="350">
        <f t="shared" si="84"/>
        <v>0</v>
      </c>
      <c r="M177" s="333"/>
      <c r="N177" s="357"/>
      <c r="O177" s="225"/>
      <c r="P177" s="83"/>
      <c r="Q177" s="225"/>
      <c r="R177" s="357"/>
      <c r="S177" s="225"/>
      <c r="T177" s="225"/>
    </row>
    <row r="178" spans="1:20" x14ac:dyDescent="0.2">
      <c r="A178" t="s">
        <v>596</v>
      </c>
      <c r="B178" s="234">
        <v>8</v>
      </c>
      <c r="C178" s="352">
        <f>+B178*C173</f>
        <v>0</v>
      </c>
      <c r="D178" s="353">
        <v>12</v>
      </c>
      <c r="E178" s="352">
        <f t="shared" si="80"/>
        <v>0</v>
      </c>
      <c r="F178" s="353">
        <v>12</v>
      </c>
      <c r="G178" s="352">
        <f t="shared" si="81"/>
        <v>0</v>
      </c>
      <c r="H178" s="353">
        <v>16</v>
      </c>
      <c r="I178" s="354">
        <f t="shared" si="82"/>
        <v>0</v>
      </c>
      <c r="J178" s="353">
        <v>16</v>
      </c>
      <c r="K178" s="354">
        <f t="shared" si="83"/>
        <v>0</v>
      </c>
      <c r="L178" s="350">
        <f t="shared" si="84"/>
        <v>0</v>
      </c>
      <c r="M178" s="8"/>
      <c r="N178" s="357"/>
      <c r="O178" s="225"/>
      <c r="P178" s="83"/>
      <c r="Q178" s="225"/>
      <c r="R178" s="357"/>
      <c r="S178" s="225"/>
      <c r="T178" s="225"/>
    </row>
    <row r="179" spans="1:20" x14ac:dyDescent="0.2">
      <c r="A179">
        <v>0</v>
      </c>
      <c r="B179" s="234">
        <v>4</v>
      </c>
      <c r="C179" s="352">
        <f>+B179*C173</f>
        <v>0</v>
      </c>
      <c r="D179" s="348">
        <v>4</v>
      </c>
      <c r="E179" s="352">
        <f t="shared" si="80"/>
        <v>0</v>
      </c>
      <c r="F179" s="353">
        <v>4</v>
      </c>
      <c r="G179" s="352">
        <f t="shared" si="81"/>
        <v>0</v>
      </c>
      <c r="H179" s="349">
        <v>4</v>
      </c>
      <c r="I179" s="354">
        <f t="shared" si="82"/>
        <v>0</v>
      </c>
      <c r="J179" s="349">
        <v>4</v>
      </c>
      <c r="K179" s="354">
        <f t="shared" si="83"/>
        <v>0</v>
      </c>
      <c r="L179" s="350">
        <f t="shared" si="84"/>
        <v>0</v>
      </c>
      <c r="M179" s="14"/>
      <c r="N179" s="357"/>
      <c r="O179" s="225"/>
      <c r="P179" s="83"/>
      <c r="Q179" s="225"/>
      <c r="R179" s="357"/>
      <c r="S179" s="225"/>
      <c r="T179" s="225"/>
    </row>
    <row r="180" spans="1:20" x14ac:dyDescent="0.2">
      <c r="A180" t="s">
        <v>597</v>
      </c>
      <c r="B180" s="234">
        <v>1.66</v>
      </c>
      <c r="C180" s="352">
        <f>+B180*C173</f>
        <v>0</v>
      </c>
      <c r="D180" s="358">
        <v>2.06</v>
      </c>
      <c r="E180" s="352">
        <f t="shared" si="80"/>
        <v>0</v>
      </c>
      <c r="F180" s="353">
        <v>2.46</v>
      </c>
      <c r="G180" s="352">
        <f t="shared" si="81"/>
        <v>0</v>
      </c>
      <c r="H180" s="359">
        <v>2.86</v>
      </c>
      <c r="I180" s="360">
        <f t="shared" si="82"/>
        <v>0</v>
      </c>
      <c r="J180" s="355">
        <v>3.26</v>
      </c>
      <c r="K180" s="360">
        <f t="shared" si="83"/>
        <v>0</v>
      </c>
      <c r="L180" s="350">
        <f t="shared" si="84"/>
        <v>0</v>
      </c>
      <c r="M180" s="14"/>
      <c r="N180" s="357"/>
      <c r="O180" s="225"/>
      <c r="P180" s="83"/>
      <c r="Q180" s="225"/>
      <c r="R180" s="357"/>
      <c r="S180" s="225"/>
      <c r="T180" s="225"/>
    </row>
    <row r="181" spans="1:20" x14ac:dyDescent="0.2">
      <c r="A181" t="s">
        <v>598</v>
      </c>
      <c r="B181" s="234">
        <v>0.95</v>
      </c>
      <c r="C181" s="352">
        <f>+B181*C173</f>
        <v>0</v>
      </c>
      <c r="D181" s="348">
        <v>1.9</v>
      </c>
      <c r="E181" s="352">
        <f t="shared" si="80"/>
        <v>0</v>
      </c>
      <c r="F181" s="353">
        <v>1.9</v>
      </c>
      <c r="G181" s="352">
        <f t="shared" si="81"/>
        <v>0</v>
      </c>
      <c r="H181" s="359">
        <v>2.85</v>
      </c>
      <c r="I181" s="360">
        <f t="shared" si="82"/>
        <v>0</v>
      </c>
      <c r="J181" s="355">
        <v>2.85</v>
      </c>
      <c r="K181" s="360">
        <f t="shared" si="83"/>
        <v>0</v>
      </c>
      <c r="L181" s="350">
        <f t="shared" si="84"/>
        <v>0</v>
      </c>
      <c r="M181" s="14"/>
      <c r="N181" s="357"/>
      <c r="O181" s="225"/>
      <c r="P181" s="83"/>
      <c r="Q181" s="225"/>
      <c r="R181" s="357"/>
      <c r="S181" s="225"/>
      <c r="T181" s="225"/>
    </row>
    <row r="182" spans="1:20" x14ac:dyDescent="0.2">
      <c r="A182" t="s">
        <v>628</v>
      </c>
      <c r="B182" s="234">
        <v>1</v>
      </c>
      <c r="C182" s="352">
        <f>+B182*C173</f>
        <v>0</v>
      </c>
      <c r="D182" s="355">
        <v>1</v>
      </c>
      <c r="E182" s="352">
        <f t="shared" si="80"/>
        <v>0</v>
      </c>
      <c r="F182" s="361">
        <v>1</v>
      </c>
      <c r="G182" s="352">
        <f t="shared" si="81"/>
        <v>0</v>
      </c>
      <c r="H182" s="355">
        <v>1</v>
      </c>
      <c r="I182" s="354">
        <f t="shared" si="82"/>
        <v>0</v>
      </c>
      <c r="J182" s="355">
        <v>1</v>
      </c>
      <c r="K182" s="354">
        <f t="shared" si="83"/>
        <v>0</v>
      </c>
      <c r="L182" s="350">
        <f t="shared" si="84"/>
        <v>0</v>
      </c>
      <c r="M182" s="8"/>
      <c r="N182" s="357"/>
      <c r="O182" s="225"/>
      <c r="P182" s="83"/>
      <c r="Q182" s="225"/>
      <c r="R182" s="357"/>
      <c r="S182" s="225"/>
      <c r="T182" s="225"/>
    </row>
    <row r="183" spans="1:20" x14ac:dyDescent="0.2">
      <c r="A183" t="s">
        <v>600</v>
      </c>
      <c r="B183" s="234">
        <v>1</v>
      </c>
      <c r="C183" s="352">
        <f>+B183*C173</f>
        <v>0</v>
      </c>
      <c r="D183" s="361">
        <v>1</v>
      </c>
      <c r="E183" s="352">
        <f t="shared" si="80"/>
        <v>0</v>
      </c>
      <c r="F183" s="361">
        <v>1</v>
      </c>
      <c r="G183" s="352">
        <f t="shared" si="81"/>
        <v>0</v>
      </c>
      <c r="H183" s="355">
        <v>1</v>
      </c>
      <c r="I183" s="354">
        <f t="shared" si="82"/>
        <v>0</v>
      </c>
      <c r="J183" s="355">
        <v>1</v>
      </c>
      <c r="K183" s="354">
        <f t="shared" si="83"/>
        <v>0</v>
      </c>
      <c r="L183" s="350">
        <f t="shared" si="84"/>
        <v>0</v>
      </c>
      <c r="M183" s="351"/>
      <c r="N183" s="357"/>
      <c r="O183" s="225"/>
      <c r="P183" s="83"/>
      <c r="Q183" s="225"/>
      <c r="R183" s="357"/>
      <c r="S183" s="225"/>
      <c r="T183" s="225"/>
    </row>
    <row r="184" spans="1:20" x14ac:dyDescent="0.2">
      <c r="A184" s="339">
        <v>0</v>
      </c>
      <c r="F184" s="142"/>
      <c r="G184" s="14"/>
      <c r="H184" s="333"/>
      <c r="I184" s="333"/>
      <c r="J184" s="333"/>
      <c r="K184" s="333"/>
      <c r="L184" s="333"/>
      <c r="M184" s="333"/>
      <c r="N184" s="227"/>
      <c r="O184" s="225"/>
      <c r="P184" s="83"/>
      <c r="Q184" s="225"/>
      <c r="R184" s="357"/>
      <c r="S184" s="225"/>
      <c r="T184" s="225"/>
    </row>
    <row r="185" spans="1:20" ht="18" x14ac:dyDescent="0.25">
      <c r="A185">
        <v>0</v>
      </c>
      <c r="B185" s="338" t="s">
        <v>629</v>
      </c>
      <c r="C185" s="338"/>
      <c r="D185" s="338"/>
      <c r="E185" s="338"/>
      <c r="F185" s="338"/>
      <c r="G185" s="338"/>
      <c r="H185" s="338"/>
      <c r="I185" s="338"/>
      <c r="J185" s="338"/>
      <c r="K185" s="338"/>
      <c r="L185" s="8"/>
      <c r="M185" s="8"/>
      <c r="N185" s="227"/>
      <c r="O185" s="225"/>
      <c r="P185" s="83"/>
      <c r="Q185" s="225"/>
      <c r="R185" s="357"/>
      <c r="S185" s="225"/>
      <c r="T185" s="225"/>
    </row>
    <row r="186" spans="1:20" ht="18" x14ac:dyDescent="0.25">
      <c r="A186" s="338">
        <v>0</v>
      </c>
      <c r="B186" s="138"/>
      <c r="C186" s="138"/>
      <c r="D186" s="138"/>
      <c r="E186" s="138"/>
      <c r="F186" s="138"/>
      <c r="G186" s="14"/>
      <c r="H186" s="14"/>
      <c r="I186" s="14"/>
      <c r="J186" s="14"/>
      <c r="K186" s="14"/>
      <c r="L186" s="8"/>
      <c r="M186" s="8"/>
      <c r="N186" s="227"/>
      <c r="O186" s="225"/>
      <c r="P186" s="83"/>
      <c r="Q186" s="225"/>
      <c r="R186" s="357"/>
      <c r="S186" s="225"/>
      <c r="T186" s="225"/>
    </row>
    <row r="187" spans="1:20" x14ac:dyDescent="0.2">
      <c r="A187" s="339">
        <v>0</v>
      </c>
      <c r="C187" s="225"/>
      <c r="D187" s="225"/>
      <c r="E187" s="225"/>
      <c r="F187" s="7"/>
      <c r="G187" s="14"/>
      <c r="H187" s="8"/>
      <c r="I187" s="8"/>
      <c r="J187" s="8"/>
      <c r="K187" s="8"/>
      <c r="L187" s="351"/>
      <c r="M187" s="351"/>
      <c r="N187" s="357"/>
      <c r="O187" s="225"/>
      <c r="P187" s="83"/>
      <c r="Q187" s="225"/>
      <c r="R187" s="357"/>
      <c r="S187" s="225"/>
      <c r="T187" s="225"/>
    </row>
    <row r="188" spans="1:20" ht="18" x14ac:dyDescent="0.25">
      <c r="A188" s="341" t="s">
        <v>623</v>
      </c>
      <c r="C188" s="343">
        <v>0.95</v>
      </c>
      <c r="D188" s="343"/>
      <c r="E188" s="343">
        <v>1.1499999999999999</v>
      </c>
      <c r="F188" s="344"/>
      <c r="G188" s="343">
        <v>1.35</v>
      </c>
      <c r="H188" s="343"/>
      <c r="I188" s="343">
        <v>1.55</v>
      </c>
      <c r="J188" s="343"/>
      <c r="K188" s="343">
        <v>1.75</v>
      </c>
      <c r="L188" s="362" t="s">
        <v>446</v>
      </c>
      <c r="M188" s="333"/>
      <c r="N188" s="357"/>
      <c r="O188" s="225"/>
      <c r="P188" s="83"/>
      <c r="Q188" s="225"/>
      <c r="R188" s="357"/>
      <c r="S188" s="225"/>
      <c r="T188" s="225"/>
    </row>
    <row r="189" spans="1:20" ht="15.75" x14ac:dyDescent="0.25">
      <c r="A189" s="139" t="s">
        <v>624</v>
      </c>
      <c r="B189" s="346"/>
      <c r="C189" s="347">
        <f>+I19</f>
        <v>0</v>
      </c>
      <c r="D189" s="363"/>
      <c r="E189" s="347">
        <f>+I18</f>
        <v>0</v>
      </c>
      <c r="F189" s="364"/>
      <c r="G189" s="347">
        <f>+I17</f>
        <v>0</v>
      </c>
      <c r="H189" s="363"/>
      <c r="I189" s="347">
        <f>+I16</f>
        <v>0</v>
      </c>
      <c r="J189" s="363"/>
      <c r="K189" s="347">
        <f>+I15</f>
        <v>0</v>
      </c>
      <c r="L189" s="143">
        <f>C189+E189+G189+I189+K189</f>
        <v>0</v>
      </c>
      <c r="M189" s="8"/>
      <c r="N189" s="357"/>
      <c r="O189" s="225"/>
      <c r="P189" s="83"/>
      <c r="Q189" s="225"/>
      <c r="R189" s="357"/>
      <c r="S189" s="225"/>
      <c r="T189" s="225"/>
    </row>
    <row r="190" spans="1:20" x14ac:dyDescent="0.2">
      <c r="A190" t="s">
        <v>625</v>
      </c>
      <c r="B190" s="234">
        <v>1</v>
      </c>
      <c r="C190" s="352">
        <f t="shared" ref="C190:C200" si="85">+B190*C$189</f>
        <v>0</v>
      </c>
      <c r="D190" s="348">
        <v>1</v>
      </c>
      <c r="E190" s="352">
        <f t="shared" ref="E190:E200" si="86">+D190*E$189</f>
        <v>0</v>
      </c>
      <c r="F190" s="353">
        <v>2</v>
      </c>
      <c r="G190" s="352">
        <f t="shared" ref="G190:G200" si="87">+F190*G$189</f>
        <v>0</v>
      </c>
      <c r="H190" s="349">
        <v>2</v>
      </c>
      <c r="I190" s="354">
        <f t="shared" ref="I190:I200" si="88">+H190*I$189</f>
        <v>0</v>
      </c>
      <c r="J190" s="349">
        <v>3</v>
      </c>
      <c r="K190" s="354">
        <f t="shared" ref="K190:K200" si="89">+J190*K$189</f>
        <v>0</v>
      </c>
      <c r="L190" s="143">
        <f t="shared" ref="L190:L200" si="90">C190+E190+G190+I190+K190</f>
        <v>0</v>
      </c>
      <c r="M190" s="14"/>
      <c r="N190" s="357"/>
      <c r="O190" s="225"/>
      <c r="P190" s="83"/>
      <c r="Q190" s="225"/>
      <c r="R190" s="357"/>
      <c r="S190" s="225"/>
      <c r="T190" s="225"/>
    </row>
    <row r="191" spans="1:20" x14ac:dyDescent="0.2">
      <c r="A191" t="s">
        <v>630</v>
      </c>
      <c r="B191" s="234">
        <v>1</v>
      </c>
      <c r="C191" s="352">
        <f t="shared" si="85"/>
        <v>0</v>
      </c>
      <c r="D191" s="348">
        <v>1</v>
      </c>
      <c r="E191" s="352">
        <f t="shared" si="86"/>
        <v>0</v>
      </c>
      <c r="F191" s="353">
        <v>1</v>
      </c>
      <c r="G191" s="352">
        <f t="shared" si="87"/>
        <v>0</v>
      </c>
      <c r="H191" s="349">
        <v>1</v>
      </c>
      <c r="I191" s="354">
        <f t="shared" si="88"/>
        <v>0</v>
      </c>
      <c r="J191" s="349">
        <v>1</v>
      </c>
      <c r="K191" s="354">
        <f t="shared" si="89"/>
        <v>0</v>
      </c>
      <c r="L191" s="143">
        <f t="shared" si="90"/>
        <v>0</v>
      </c>
      <c r="M191" s="14"/>
      <c r="N191" s="357"/>
      <c r="O191" s="225"/>
      <c r="P191" s="83"/>
      <c r="Q191" s="225"/>
      <c r="R191" s="227"/>
      <c r="S191" s="225"/>
      <c r="T191" s="225"/>
    </row>
    <row r="192" spans="1:20" x14ac:dyDescent="0.2">
      <c r="A192" t="s">
        <v>626</v>
      </c>
      <c r="B192" s="234"/>
      <c r="C192" s="352">
        <f t="shared" si="85"/>
        <v>0</v>
      </c>
      <c r="D192" s="348">
        <v>1</v>
      </c>
      <c r="E192" s="352">
        <f t="shared" si="86"/>
        <v>0</v>
      </c>
      <c r="F192" s="353">
        <v>0</v>
      </c>
      <c r="G192" s="352">
        <f t="shared" si="87"/>
        <v>0</v>
      </c>
      <c r="H192" s="355">
        <v>1</v>
      </c>
      <c r="I192" s="354">
        <f t="shared" si="88"/>
        <v>0</v>
      </c>
      <c r="J192" s="355">
        <v>0</v>
      </c>
      <c r="K192" s="354">
        <f t="shared" si="89"/>
        <v>0</v>
      </c>
      <c r="L192" s="143">
        <f t="shared" si="90"/>
        <v>0</v>
      </c>
      <c r="M192" s="14"/>
      <c r="N192" s="357"/>
      <c r="O192" s="225"/>
      <c r="P192" s="83"/>
      <c r="Q192" s="225"/>
      <c r="R192" s="227"/>
      <c r="S192" s="225"/>
      <c r="T192" s="225"/>
    </row>
    <row r="193" spans="1:20" ht="12.75" customHeight="1" x14ac:dyDescent="0.2">
      <c r="A193">
        <v>0</v>
      </c>
      <c r="B193" s="234">
        <v>3</v>
      </c>
      <c r="C193" s="352">
        <f t="shared" si="85"/>
        <v>0</v>
      </c>
      <c r="D193" s="348">
        <v>3</v>
      </c>
      <c r="E193" s="352">
        <f t="shared" si="86"/>
        <v>0</v>
      </c>
      <c r="F193" s="356">
        <v>3</v>
      </c>
      <c r="G193" s="352">
        <f t="shared" si="87"/>
        <v>0</v>
      </c>
      <c r="H193" s="355">
        <v>3</v>
      </c>
      <c r="I193" s="354">
        <f t="shared" si="88"/>
        <v>0</v>
      </c>
      <c r="J193" s="355">
        <v>3</v>
      </c>
      <c r="K193" s="354">
        <f t="shared" si="89"/>
        <v>0</v>
      </c>
      <c r="L193" s="143">
        <f t="shared" si="90"/>
        <v>0</v>
      </c>
      <c r="M193" s="8"/>
      <c r="N193" s="225"/>
      <c r="O193" s="225"/>
      <c r="P193" s="225"/>
      <c r="Q193" s="225"/>
      <c r="R193" s="225"/>
      <c r="S193" s="225"/>
      <c r="T193" s="225"/>
    </row>
    <row r="194" spans="1:20" x14ac:dyDescent="0.2">
      <c r="A194" t="s">
        <v>627</v>
      </c>
      <c r="B194" s="234">
        <v>12</v>
      </c>
      <c r="C194" s="352">
        <f t="shared" si="85"/>
        <v>0</v>
      </c>
      <c r="D194" s="348">
        <v>12</v>
      </c>
      <c r="E194" s="352">
        <f t="shared" si="86"/>
        <v>0</v>
      </c>
      <c r="F194" s="356">
        <v>12</v>
      </c>
      <c r="G194" s="352">
        <f t="shared" si="87"/>
        <v>0</v>
      </c>
      <c r="H194" s="355">
        <v>12</v>
      </c>
      <c r="I194" s="354">
        <f t="shared" si="88"/>
        <v>0</v>
      </c>
      <c r="J194" s="355">
        <v>12</v>
      </c>
      <c r="K194" s="354">
        <f t="shared" si="89"/>
        <v>0</v>
      </c>
      <c r="L194" s="143">
        <f t="shared" si="90"/>
        <v>0</v>
      </c>
      <c r="M194" s="8"/>
      <c r="N194" s="225"/>
      <c r="O194" s="225"/>
      <c r="P194" s="225"/>
      <c r="Q194" s="225"/>
      <c r="R194" s="225"/>
      <c r="S194" s="225"/>
      <c r="T194" s="225"/>
    </row>
    <row r="195" spans="1:20" x14ac:dyDescent="0.2">
      <c r="A195" t="s">
        <v>596</v>
      </c>
      <c r="B195" s="234">
        <v>8</v>
      </c>
      <c r="C195" s="352">
        <f t="shared" si="85"/>
        <v>0</v>
      </c>
      <c r="D195" s="353">
        <v>12</v>
      </c>
      <c r="E195" s="352">
        <f t="shared" si="86"/>
        <v>0</v>
      </c>
      <c r="F195" s="353">
        <v>12</v>
      </c>
      <c r="G195" s="352">
        <f t="shared" si="87"/>
        <v>0</v>
      </c>
      <c r="H195" s="353">
        <v>16</v>
      </c>
      <c r="I195" s="354">
        <f t="shared" si="88"/>
        <v>0</v>
      </c>
      <c r="J195" s="353">
        <v>16</v>
      </c>
      <c r="K195" s="354">
        <f t="shared" si="89"/>
        <v>0</v>
      </c>
      <c r="L195" s="143">
        <f t="shared" si="90"/>
        <v>0</v>
      </c>
      <c r="M195" s="351"/>
      <c r="N195" s="225"/>
      <c r="O195" s="225"/>
      <c r="P195" s="225"/>
      <c r="Q195" s="225"/>
      <c r="R195" s="225"/>
      <c r="S195" s="225"/>
      <c r="T195" s="225"/>
    </row>
    <row r="196" spans="1:20" x14ac:dyDescent="0.2">
      <c r="A196">
        <v>0</v>
      </c>
      <c r="B196" s="234">
        <v>4</v>
      </c>
      <c r="C196" s="352">
        <f t="shared" si="85"/>
        <v>0</v>
      </c>
      <c r="D196" s="348">
        <v>4</v>
      </c>
      <c r="E196" s="352">
        <f t="shared" si="86"/>
        <v>0</v>
      </c>
      <c r="F196" s="353">
        <v>4</v>
      </c>
      <c r="G196" s="352">
        <f t="shared" si="87"/>
        <v>0</v>
      </c>
      <c r="H196" s="349">
        <v>4</v>
      </c>
      <c r="I196" s="354">
        <f t="shared" si="88"/>
        <v>0</v>
      </c>
      <c r="J196" s="349">
        <v>4</v>
      </c>
      <c r="K196" s="354">
        <f t="shared" si="89"/>
        <v>0</v>
      </c>
      <c r="L196" s="143">
        <f t="shared" si="90"/>
        <v>0</v>
      </c>
      <c r="M196" s="333"/>
      <c r="N196" s="225"/>
      <c r="O196" s="225"/>
      <c r="P196" s="225"/>
      <c r="Q196" s="225"/>
      <c r="R196" s="225"/>
      <c r="S196" s="225"/>
      <c r="T196" s="225"/>
    </row>
    <row r="197" spans="1:20" x14ac:dyDescent="0.2">
      <c r="A197" t="s">
        <v>597</v>
      </c>
      <c r="B197" s="234">
        <v>1.66</v>
      </c>
      <c r="C197" s="352">
        <f t="shared" si="85"/>
        <v>0</v>
      </c>
      <c r="D197" s="358">
        <v>2.06</v>
      </c>
      <c r="E197" s="352">
        <f t="shared" si="86"/>
        <v>0</v>
      </c>
      <c r="F197" s="353">
        <v>2.46</v>
      </c>
      <c r="G197" s="352">
        <f t="shared" si="87"/>
        <v>0</v>
      </c>
      <c r="H197" s="359">
        <v>2.86</v>
      </c>
      <c r="I197" s="354">
        <f t="shared" si="88"/>
        <v>0</v>
      </c>
      <c r="J197" s="355">
        <v>3.26</v>
      </c>
      <c r="K197" s="354">
        <f t="shared" si="89"/>
        <v>0</v>
      </c>
      <c r="L197" s="143">
        <f t="shared" si="90"/>
        <v>0</v>
      </c>
      <c r="M197" s="8"/>
      <c r="N197" s="225"/>
      <c r="O197" s="225"/>
      <c r="P197" s="225"/>
      <c r="Q197" s="225"/>
      <c r="R197" s="225"/>
      <c r="S197" s="225"/>
      <c r="T197" s="225"/>
    </row>
    <row r="198" spans="1:20" x14ac:dyDescent="0.2">
      <c r="A198" t="s">
        <v>598</v>
      </c>
      <c r="B198" s="234">
        <v>0.95</v>
      </c>
      <c r="C198" s="352">
        <f t="shared" si="85"/>
        <v>0</v>
      </c>
      <c r="D198" s="348">
        <v>1.9</v>
      </c>
      <c r="E198" s="352">
        <f t="shared" si="86"/>
        <v>0</v>
      </c>
      <c r="F198" s="353">
        <v>1.9</v>
      </c>
      <c r="G198" s="352">
        <f t="shared" si="87"/>
        <v>0</v>
      </c>
      <c r="H198" s="359">
        <v>2.85</v>
      </c>
      <c r="I198" s="354">
        <f t="shared" si="88"/>
        <v>0</v>
      </c>
      <c r="J198" s="355">
        <v>2.85</v>
      </c>
      <c r="K198" s="354">
        <f t="shared" si="89"/>
        <v>0</v>
      </c>
      <c r="L198" s="675">
        <f>C198+E198+G198+I198+K198</f>
        <v>0</v>
      </c>
      <c r="M198" s="8"/>
      <c r="N198" s="225"/>
      <c r="O198" s="225"/>
      <c r="P198" s="225"/>
      <c r="Q198" s="225"/>
      <c r="R198" s="225"/>
      <c r="S198" s="225"/>
      <c r="T198" s="225"/>
    </row>
    <row r="199" spans="1:20" x14ac:dyDescent="0.2">
      <c r="A199" t="s">
        <v>628</v>
      </c>
      <c r="B199" s="234">
        <v>1</v>
      </c>
      <c r="C199" s="352">
        <f t="shared" si="85"/>
        <v>0</v>
      </c>
      <c r="D199" s="355">
        <v>1</v>
      </c>
      <c r="E199" s="352">
        <f t="shared" si="86"/>
        <v>0</v>
      </c>
      <c r="F199" s="361">
        <v>1</v>
      </c>
      <c r="G199" s="352">
        <f t="shared" si="87"/>
        <v>0</v>
      </c>
      <c r="H199" s="355">
        <v>1</v>
      </c>
      <c r="I199" s="354">
        <f t="shared" si="88"/>
        <v>0</v>
      </c>
      <c r="J199" s="355">
        <v>1</v>
      </c>
      <c r="K199" s="354">
        <f t="shared" si="89"/>
        <v>0</v>
      </c>
      <c r="L199" s="143">
        <f t="shared" si="90"/>
        <v>0</v>
      </c>
      <c r="M199" s="333"/>
      <c r="N199" s="225"/>
      <c r="O199" s="225"/>
      <c r="P199" s="225"/>
      <c r="Q199" s="225"/>
      <c r="R199" s="225"/>
      <c r="S199" s="225"/>
      <c r="T199" s="225"/>
    </row>
    <row r="200" spans="1:20" x14ac:dyDescent="0.2">
      <c r="A200" t="s">
        <v>600</v>
      </c>
      <c r="B200" s="234">
        <v>2</v>
      </c>
      <c r="C200" s="352">
        <f t="shared" si="85"/>
        <v>0</v>
      </c>
      <c r="D200" s="361">
        <v>2</v>
      </c>
      <c r="E200" s="352">
        <f t="shared" si="86"/>
        <v>0</v>
      </c>
      <c r="F200" s="361">
        <v>2</v>
      </c>
      <c r="G200" s="352">
        <f t="shared" si="87"/>
        <v>0</v>
      </c>
      <c r="H200" s="355">
        <v>2</v>
      </c>
      <c r="I200" s="354">
        <f t="shared" si="88"/>
        <v>0</v>
      </c>
      <c r="J200" s="355">
        <v>2</v>
      </c>
      <c r="K200" s="354">
        <f t="shared" si="89"/>
        <v>0</v>
      </c>
      <c r="L200" s="143">
        <f t="shared" si="90"/>
        <v>0</v>
      </c>
      <c r="M200" s="8"/>
      <c r="N200" s="225"/>
      <c r="O200" s="225"/>
      <c r="P200" s="225"/>
      <c r="Q200" s="225"/>
      <c r="R200" s="225"/>
      <c r="S200" s="225"/>
      <c r="T200" s="225"/>
    </row>
    <row r="201" spans="1:20" x14ac:dyDescent="0.2">
      <c r="A201" s="225">
        <v>0</v>
      </c>
      <c r="B201" s="225"/>
      <c r="C201" s="225"/>
      <c r="D201" s="225"/>
      <c r="E201" s="315"/>
      <c r="G201" s="14"/>
      <c r="H201" s="14"/>
      <c r="I201" s="14"/>
      <c r="J201" s="14"/>
      <c r="K201" s="14"/>
      <c r="L201" s="14"/>
      <c r="M201" s="14"/>
      <c r="N201" s="225"/>
      <c r="O201" s="225"/>
      <c r="P201" s="225"/>
      <c r="Q201" s="225"/>
      <c r="R201" s="225"/>
      <c r="S201" s="225"/>
      <c r="T201" s="225"/>
    </row>
    <row r="202" spans="1:20" ht="18" x14ac:dyDescent="0.25">
      <c r="A202">
        <v>0</v>
      </c>
      <c r="B202" s="225"/>
      <c r="C202" s="225"/>
      <c r="D202" s="225"/>
      <c r="E202" s="315"/>
      <c r="G202" s="14"/>
      <c r="H202" s="228"/>
      <c r="I202" s="228"/>
      <c r="J202" s="14"/>
      <c r="K202" s="14"/>
      <c r="L202" s="14"/>
      <c r="M202" s="14"/>
      <c r="N202" s="225"/>
      <c r="O202" s="225"/>
      <c r="P202" s="225"/>
      <c r="Q202" s="225"/>
      <c r="R202" s="225"/>
      <c r="S202" s="225"/>
      <c r="T202" s="225"/>
    </row>
    <row r="203" spans="1:20" x14ac:dyDescent="0.2">
      <c r="A203">
        <v>0</v>
      </c>
      <c r="G203" s="14"/>
      <c r="H203" s="14"/>
      <c r="I203" s="14"/>
      <c r="J203" s="14"/>
      <c r="K203" s="14"/>
      <c r="L203" s="14"/>
      <c r="M203" s="14"/>
      <c r="N203" s="225"/>
      <c r="O203" s="225"/>
      <c r="P203" s="225"/>
      <c r="Q203" s="225"/>
      <c r="R203" s="225"/>
      <c r="S203" s="225"/>
      <c r="T203" s="225"/>
    </row>
    <row r="204" spans="1:20" x14ac:dyDescent="0.2">
      <c r="A204">
        <v>0</v>
      </c>
      <c r="J204"/>
      <c r="L204" s="333">
        <v>1.4</v>
      </c>
      <c r="M204" s="8"/>
      <c r="N204" s="225"/>
      <c r="O204" s="225"/>
      <c r="P204" s="225"/>
      <c r="Q204" s="225"/>
      <c r="R204" s="225"/>
      <c r="S204" s="225"/>
      <c r="T204" s="225"/>
    </row>
    <row r="205" spans="1:20" x14ac:dyDescent="0.2">
      <c r="A205">
        <v>0</v>
      </c>
      <c r="G205" s="14"/>
      <c r="H205" s="8"/>
      <c r="I205" s="8"/>
      <c r="J205" s="8"/>
      <c r="K205" s="8"/>
      <c r="L205" s="8"/>
      <c r="M205" s="8"/>
      <c r="N205" s="225"/>
      <c r="O205" s="225"/>
      <c r="P205" s="225"/>
      <c r="Q205" s="225"/>
      <c r="R205" s="225"/>
      <c r="S205" s="225"/>
      <c r="T205" s="225"/>
    </row>
    <row r="206" spans="1:20" ht="15.75" x14ac:dyDescent="0.25">
      <c r="A206" s="318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351"/>
      <c r="M206" s="351"/>
      <c r="N206" s="225"/>
      <c r="O206" s="225"/>
      <c r="P206" s="225"/>
      <c r="Q206" s="225"/>
      <c r="R206" s="225"/>
      <c r="S206" s="225"/>
      <c r="T206" s="225"/>
    </row>
    <row r="207" spans="1:20" ht="15.75" x14ac:dyDescent="0.25">
      <c r="A207" s="14"/>
      <c r="B207" s="14"/>
      <c r="C207" s="229"/>
      <c r="D207" s="229"/>
      <c r="E207" s="229"/>
      <c r="F207" s="229"/>
      <c r="G207" s="229"/>
      <c r="H207" s="229"/>
      <c r="I207" s="229"/>
      <c r="J207" s="229"/>
      <c r="K207" s="229"/>
      <c r="L207" s="14"/>
      <c r="M207" s="229"/>
      <c r="N207" s="1133"/>
      <c r="O207" s="225"/>
      <c r="P207" s="225"/>
      <c r="Q207" s="225"/>
      <c r="R207" s="225"/>
      <c r="S207" s="225"/>
      <c r="T207" s="225"/>
    </row>
    <row r="208" spans="1:20" ht="18" x14ac:dyDescent="0.25">
      <c r="A208" s="14"/>
      <c r="B208" s="14"/>
      <c r="C208" s="1134"/>
      <c r="D208" s="1134"/>
      <c r="E208" s="1134"/>
      <c r="F208" s="1134"/>
      <c r="G208" s="1134"/>
      <c r="H208" s="1134"/>
      <c r="I208" s="1134"/>
      <c r="J208" s="1134"/>
      <c r="K208" s="1134"/>
      <c r="L208" s="1134"/>
      <c r="M208" s="1134"/>
      <c r="N208" s="392"/>
      <c r="O208" s="225"/>
      <c r="P208" s="225"/>
      <c r="Q208" s="225"/>
      <c r="R208" s="225"/>
      <c r="S208" s="225"/>
      <c r="T208" s="225"/>
    </row>
    <row r="209" spans="1:20" x14ac:dyDescent="0.2">
      <c r="A209" s="14"/>
      <c r="B209" s="14"/>
      <c r="C209" s="1135"/>
      <c r="D209" s="14"/>
      <c r="E209" s="1135"/>
      <c r="F209" s="14"/>
      <c r="G209" s="1135"/>
      <c r="H209" s="8"/>
      <c r="I209" s="1135"/>
      <c r="J209" s="8"/>
      <c r="K209" s="1135"/>
      <c r="L209" s="8"/>
      <c r="M209" s="1135"/>
      <c r="N209" s="392"/>
      <c r="O209" s="225"/>
      <c r="P209" s="225"/>
      <c r="Q209" s="225"/>
      <c r="R209" s="225"/>
      <c r="S209" s="225"/>
      <c r="T209" s="225"/>
    </row>
    <row r="210" spans="1:20" x14ac:dyDescent="0.2">
      <c r="A210" s="14"/>
      <c r="B210" s="14"/>
      <c r="C210" s="1135"/>
      <c r="D210" s="14"/>
      <c r="E210" s="1135"/>
      <c r="F210" s="14"/>
      <c r="G210" s="1135"/>
      <c r="H210" s="83"/>
      <c r="I210" s="1135"/>
      <c r="J210" s="83"/>
      <c r="K210" s="1135"/>
      <c r="L210" s="8"/>
      <c r="M210" s="1135"/>
      <c r="N210" s="392"/>
      <c r="O210" s="225"/>
      <c r="P210" s="225"/>
      <c r="Q210" s="225"/>
      <c r="R210" s="225"/>
      <c r="S210" s="225"/>
      <c r="T210" s="225"/>
    </row>
    <row r="211" spans="1:20" x14ac:dyDescent="0.2">
      <c r="A211" s="14"/>
      <c r="B211" s="1136"/>
      <c r="C211" s="1135"/>
      <c r="D211" s="14"/>
      <c r="E211" s="1135"/>
      <c r="F211" s="14"/>
      <c r="G211" s="1135"/>
      <c r="H211" s="227"/>
      <c r="I211" s="1137"/>
      <c r="J211" s="227"/>
      <c r="K211" s="1137"/>
      <c r="L211" s="8"/>
      <c r="M211" s="1135"/>
      <c r="N211" s="1132"/>
      <c r="O211" s="225"/>
      <c r="P211" s="225"/>
      <c r="Q211" s="225"/>
      <c r="R211" s="225"/>
      <c r="S211" s="225"/>
      <c r="T211" s="225"/>
    </row>
    <row r="212" spans="1:20" x14ac:dyDescent="0.2">
      <c r="A212" s="14"/>
      <c r="B212" s="14"/>
      <c r="C212" s="14"/>
      <c r="D212" s="14"/>
      <c r="E212" s="14"/>
      <c r="F212" s="14"/>
      <c r="G212" s="14"/>
      <c r="H212" s="8"/>
      <c r="I212" s="8"/>
      <c r="J212" s="8"/>
      <c r="K212" s="8"/>
      <c r="L212" s="14"/>
      <c r="M212" s="8"/>
      <c r="N212" s="8"/>
      <c r="O212" s="225"/>
      <c r="P212" s="225"/>
      <c r="Q212" s="225"/>
      <c r="R212" s="225"/>
      <c r="S212" s="225"/>
      <c r="T212" s="225"/>
    </row>
    <row r="213" spans="1:20" x14ac:dyDescent="0.2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8"/>
      <c r="O213" s="225"/>
      <c r="P213" s="225"/>
      <c r="Q213" s="225"/>
      <c r="R213" s="225"/>
      <c r="S213" s="225"/>
      <c r="T213" s="225"/>
    </row>
    <row r="214" spans="1:20" ht="15.75" x14ac:dyDescent="0.25">
      <c r="A214" s="318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8"/>
      <c r="O214" s="225"/>
      <c r="P214" s="225"/>
      <c r="Q214" s="225"/>
      <c r="R214" s="225"/>
      <c r="S214" s="225"/>
      <c r="T214" s="225"/>
    </row>
    <row r="215" spans="1:20" ht="15.75" x14ac:dyDescent="0.25">
      <c r="A215" s="14"/>
      <c r="B215" s="14"/>
      <c r="C215" s="229"/>
      <c r="D215" s="229"/>
      <c r="E215" s="229"/>
      <c r="F215" s="229"/>
      <c r="G215" s="229"/>
      <c r="H215" s="229"/>
      <c r="I215" s="229"/>
      <c r="J215" s="229"/>
      <c r="K215" s="229"/>
      <c r="L215" s="14"/>
      <c r="M215" s="229"/>
      <c r="N215" s="1138"/>
      <c r="O215" s="225"/>
      <c r="P215" s="225"/>
      <c r="Q215" s="225"/>
      <c r="R215" s="225"/>
      <c r="S215" s="225"/>
      <c r="T215" s="225"/>
    </row>
    <row r="216" spans="1:20" ht="18" x14ac:dyDescent="0.25">
      <c r="A216" s="14"/>
      <c r="B216" s="14"/>
      <c r="C216" s="1134"/>
      <c r="D216" s="1134"/>
      <c r="E216" s="1134"/>
      <c r="F216" s="1134"/>
      <c r="G216" s="1134"/>
      <c r="H216" s="1134"/>
      <c r="I216" s="1134"/>
      <c r="J216" s="1134"/>
      <c r="K216" s="1134"/>
      <c r="L216" s="1134"/>
      <c r="M216" s="1134"/>
      <c r="N216" s="392"/>
      <c r="O216" s="225"/>
      <c r="P216" s="225"/>
      <c r="Q216" s="225"/>
      <c r="R216" s="225"/>
      <c r="S216" s="225"/>
      <c r="T216" s="225"/>
    </row>
    <row r="217" spans="1:20" x14ac:dyDescent="0.2">
      <c r="A217" s="14"/>
      <c r="B217" s="14"/>
      <c r="C217" s="1135"/>
      <c r="D217" s="14"/>
      <c r="E217" s="1135"/>
      <c r="F217" s="14"/>
      <c r="G217" s="1135"/>
      <c r="H217" s="8"/>
      <c r="I217" s="1135"/>
      <c r="J217" s="8"/>
      <c r="K217" s="1135"/>
      <c r="L217" s="8"/>
      <c r="M217" s="1135"/>
      <c r="N217" s="392"/>
      <c r="O217" s="225"/>
      <c r="P217" s="225"/>
      <c r="Q217" s="225"/>
      <c r="R217" s="225"/>
      <c r="S217" s="225"/>
      <c r="T217" s="225"/>
    </row>
    <row r="218" spans="1:20" x14ac:dyDescent="0.2">
      <c r="A218" s="14"/>
      <c r="B218" s="14"/>
      <c r="C218" s="1135"/>
      <c r="D218" s="14"/>
      <c r="E218" s="1135"/>
      <c r="F218" s="14"/>
      <c r="G218" s="1135"/>
      <c r="H218" s="83"/>
      <c r="I218" s="1135"/>
      <c r="J218" s="83"/>
      <c r="K218" s="1135"/>
      <c r="L218" s="8"/>
      <c r="M218" s="1135"/>
      <c r="N218" s="392"/>
      <c r="O218" s="225"/>
      <c r="P218" s="225"/>
      <c r="Q218" s="225"/>
      <c r="R218" s="225"/>
      <c r="S218" s="225"/>
      <c r="T218" s="225"/>
    </row>
    <row r="219" spans="1:20" x14ac:dyDescent="0.2">
      <c r="A219" s="14"/>
      <c r="B219" s="1136"/>
      <c r="C219" s="1135"/>
      <c r="D219" s="14"/>
      <c r="E219" s="1135"/>
      <c r="F219" s="14"/>
      <c r="G219" s="1135"/>
      <c r="H219" s="227"/>
      <c r="I219" s="1137"/>
      <c r="J219" s="227"/>
      <c r="K219" s="1137"/>
      <c r="L219" s="8"/>
      <c r="M219" s="1135"/>
      <c r="N219" s="392"/>
      <c r="O219" s="225"/>
      <c r="P219" s="225"/>
      <c r="Q219" s="225"/>
      <c r="R219" s="225"/>
      <c r="S219" s="225"/>
      <c r="T219" s="225"/>
    </row>
    <row r="220" spans="1:20" x14ac:dyDescent="0.2">
      <c r="A220">
        <v>0</v>
      </c>
      <c r="G220" s="14"/>
      <c r="H220" s="8"/>
      <c r="I220" s="8"/>
      <c r="J220" s="8"/>
      <c r="K220" s="8"/>
      <c r="L220" s="8"/>
      <c r="M220" s="8"/>
      <c r="N220" s="225"/>
      <c r="O220" s="225"/>
      <c r="P220" s="225"/>
      <c r="Q220" s="225"/>
      <c r="R220" s="225"/>
      <c r="S220" s="225"/>
      <c r="T220" s="225"/>
    </row>
    <row r="221" spans="1:20" x14ac:dyDescent="0.2">
      <c r="A221">
        <v>0</v>
      </c>
      <c r="G221" s="14"/>
      <c r="H221" s="8"/>
      <c r="I221" s="8"/>
      <c r="J221" s="8"/>
      <c r="K221" s="8"/>
      <c r="L221" s="8"/>
      <c r="M221" s="83"/>
      <c r="N221" s="225"/>
    </row>
    <row r="222" spans="1:20" ht="18" x14ac:dyDescent="0.25">
      <c r="A222" s="376" t="s">
        <v>511</v>
      </c>
      <c r="C222" s="377">
        <v>0.95</v>
      </c>
      <c r="D222" s="365"/>
      <c r="E222" s="365">
        <v>1.1499999999999999</v>
      </c>
      <c r="F222" s="365"/>
      <c r="G222" s="378">
        <v>1.35</v>
      </c>
      <c r="H222" s="229"/>
      <c r="I222" s="229">
        <v>1.55</v>
      </c>
      <c r="J222" s="229"/>
      <c r="K222" s="229">
        <v>1.75</v>
      </c>
      <c r="L222" s="375" t="s">
        <v>393</v>
      </c>
      <c r="M222" s="229"/>
      <c r="N222" s="225"/>
    </row>
    <row r="223" spans="1:20" ht="18" x14ac:dyDescent="0.25">
      <c r="A223" s="379" t="s">
        <v>634</v>
      </c>
      <c r="C223" s="366">
        <f>+C29</f>
        <v>0</v>
      </c>
      <c r="D223" s="366"/>
      <c r="E223" s="366">
        <f>+D29</f>
        <v>0</v>
      </c>
      <c r="F223" s="366"/>
      <c r="G223" s="366">
        <f>+E29</f>
        <v>0</v>
      </c>
      <c r="H223" s="366"/>
      <c r="I223" s="366">
        <f>+F29</f>
        <v>0</v>
      </c>
      <c r="J223" s="366"/>
      <c r="K223" s="366">
        <f>+G29</f>
        <v>0</v>
      </c>
      <c r="L223" s="143">
        <f>+K223+I223+G223+E223+C223</f>
        <v>0</v>
      </c>
      <c r="M223" s="228"/>
      <c r="N223" s="225"/>
    </row>
    <row r="224" spans="1:20" x14ac:dyDescent="0.2">
      <c r="A224" s="144" t="s">
        <v>635</v>
      </c>
      <c r="B224" s="367">
        <v>1</v>
      </c>
      <c r="C224" s="368">
        <f>+C223*C222</f>
        <v>0</v>
      </c>
      <c r="D224" s="367">
        <v>1</v>
      </c>
      <c r="E224" s="368">
        <f>+E223*E222</f>
        <v>0</v>
      </c>
      <c r="F224" s="367">
        <v>1</v>
      </c>
      <c r="G224" s="369">
        <f>+G223*G222</f>
        <v>0</v>
      </c>
      <c r="H224" s="370">
        <v>1</v>
      </c>
      <c r="I224" s="369">
        <f>+I223*I222</f>
        <v>0</v>
      </c>
      <c r="J224" s="370">
        <v>1</v>
      </c>
      <c r="K224" s="369">
        <f>+K223*K222</f>
        <v>0</v>
      </c>
      <c r="L224" s="143">
        <f>+K224+I224+G224+E224+C224</f>
        <v>0</v>
      </c>
      <c r="M224" s="83"/>
      <c r="N224" s="225"/>
    </row>
    <row r="225" spans="1:14" x14ac:dyDescent="0.2">
      <c r="A225" t="s">
        <v>636</v>
      </c>
      <c r="B225" s="367">
        <v>3</v>
      </c>
      <c r="C225" s="368">
        <f>+B225*C223</f>
        <v>0</v>
      </c>
      <c r="D225" s="367">
        <v>2</v>
      </c>
      <c r="E225" s="368">
        <f>+E223*D225</f>
        <v>0</v>
      </c>
      <c r="F225" s="367">
        <v>2</v>
      </c>
      <c r="G225" s="369">
        <f>+F225*G223</f>
        <v>0</v>
      </c>
      <c r="H225" s="371">
        <v>3</v>
      </c>
      <c r="I225" s="369">
        <f>+I223*H225</f>
        <v>0</v>
      </c>
      <c r="J225" s="371">
        <v>3</v>
      </c>
      <c r="K225" s="369">
        <f>+J225*K223</f>
        <v>0</v>
      </c>
      <c r="L225" s="143">
        <f>+K225+I225+G225+E225+C225</f>
        <v>0</v>
      </c>
      <c r="M225" s="83"/>
      <c r="N225" s="225"/>
    </row>
    <row r="226" spans="1:14" x14ac:dyDescent="0.2">
      <c r="A226" t="s">
        <v>637</v>
      </c>
      <c r="B226" s="372">
        <v>3</v>
      </c>
      <c r="C226" s="368">
        <f>+B226*C223</f>
        <v>0</v>
      </c>
      <c r="D226" s="367">
        <v>2</v>
      </c>
      <c r="E226" s="368">
        <f>+E223*D226</f>
        <v>0</v>
      </c>
      <c r="F226" s="367">
        <v>2</v>
      </c>
      <c r="G226" s="369">
        <f>+F226*G223</f>
        <v>0</v>
      </c>
      <c r="H226" s="373">
        <v>3</v>
      </c>
      <c r="I226" s="374">
        <f>+I223*H226</f>
        <v>0</v>
      </c>
      <c r="J226" s="373">
        <v>3</v>
      </c>
      <c r="K226" s="374">
        <f>+J226*K223</f>
        <v>0</v>
      </c>
      <c r="L226" s="143">
        <f>+K226+I226+G226+E226+C226</f>
        <v>0</v>
      </c>
      <c r="M226" s="227"/>
      <c r="N226" s="225"/>
    </row>
    <row r="227" spans="1:14" x14ac:dyDescent="0.2">
      <c r="A227" t="s">
        <v>638</v>
      </c>
      <c r="B227" s="372">
        <v>1</v>
      </c>
      <c r="C227" s="368">
        <f>C223*1</f>
        <v>0</v>
      </c>
      <c r="D227" s="367">
        <v>1</v>
      </c>
      <c r="E227" s="368">
        <f>E223*1</f>
        <v>0</v>
      </c>
      <c r="F227" s="367">
        <v>1</v>
      </c>
      <c r="G227" s="369">
        <f>G223*1</f>
        <v>0</v>
      </c>
      <c r="H227" s="373">
        <v>1</v>
      </c>
      <c r="I227" s="374">
        <f>I223*1</f>
        <v>0</v>
      </c>
      <c r="J227" s="373">
        <v>1</v>
      </c>
      <c r="K227" s="374">
        <f>K223*1</f>
        <v>0</v>
      </c>
      <c r="L227" s="350">
        <f>+K227+I227+G227+E227+C227+M227</f>
        <v>0</v>
      </c>
      <c r="M227" s="227"/>
      <c r="N227" s="225"/>
    </row>
    <row r="228" spans="1:14" x14ac:dyDescent="0.2">
      <c r="A228">
        <v>0</v>
      </c>
      <c r="G228" s="225"/>
      <c r="H228" s="225"/>
      <c r="I228" s="225"/>
      <c r="J228" s="225"/>
      <c r="K228" s="225"/>
      <c r="L228" s="225"/>
      <c r="M228" s="225"/>
      <c r="N228" s="225">
        <v>40</v>
      </c>
    </row>
    <row r="229" spans="1:14" ht="18" x14ac:dyDescent="0.25">
      <c r="A229" s="376">
        <v>0</v>
      </c>
      <c r="C229" s="377">
        <v>0.95</v>
      </c>
      <c r="D229" s="365"/>
      <c r="E229" s="365">
        <v>1.1499999999999999</v>
      </c>
      <c r="F229" s="365"/>
      <c r="G229" s="229">
        <v>1.35</v>
      </c>
      <c r="H229" s="229"/>
      <c r="I229" s="229">
        <v>1.55</v>
      </c>
      <c r="J229" s="229"/>
      <c r="K229" s="229">
        <v>1.75</v>
      </c>
      <c r="L229" s="375" t="s">
        <v>393</v>
      </c>
      <c r="M229" s="229"/>
      <c r="N229" s="225"/>
    </row>
    <row r="230" spans="1:14" ht="18" x14ac:dyDescent="0.25">
      <c r="A230" s="379" t="s">
        <v>639</v>
      </c>
      <c r="C230" s="366">
        <f>+C30</f>
        <v>0</v>
      </c>
      <c r="D230" s="366"/>
      <c r="E230" s="366">
        <f>+D30</f>
        <v>0</v>
      </c>
      <c r="F230" s="366"/>
      <c r="G230" s="366">
        <f>+E30</f>
        <v>0</v>
      </c>
      <c r="H230" s="366"/>
      <c r="I230" s="366">
        <f>+F30</f>
        <v>0</v>
      </c>
      <c r="J230" s="366"/>
      <c r="K230" s="366">
        <f>+G30</f>
        <v>0</v>
      </c>
      <c r="L230" s="143">
        <f>+K230+I230+G230+E230+C230+M230</f>
        <v>0</v>
      </c>
      <c r="M230" s="228"/>
      <c r="N230" s="225"/>
    </row>
    <row r="231" spans="1:14" x14ac:dyDescent="0.2">
      <c r="A231" s="144" t="s">
        <v>640</v>
      </c>
      <c r="B231" s="367">
        <v>1</v>
      </c>
      <c r="C231" s="368">
        <f>+C230*C229</f>
        <v>0</v>
      </c>
      <c r="D231" s="367">
        <v>1</v>
      </c>
      <c r="E231" s="368">
        <f>+E230*E229</f>
        <v>0</v>
      </c>
      <c r="F231" s="367">
        <v>1</v>
      </c>
      <c r="G231" s="369">
        <f>+G230*G229</f>
        <v>0</v>
      </c>
      <c r="H231" s="370">
        <v>1</v>
      </c>
      <c r="I231" s="369">
        <f>+I230*I229</f>
        <v>0</v>
      </c>
      <c r="J231" s="370">
        <v>1</v>
      </c>
      <c r="K231" s="369">
        <f>+K230*K229</f>
        <v>0</v>
      </c>
      <c r="L231" s="143">
        <f>+K231+I231+G231+E231+C231</f>
        <v>0</v>
      </c>
      <c r="M231" s="83"/>
      <c r="N231" s="225"/>
    </row>
    <row r="232" spans="1:14" x14ac:dyDescent="0.2">
      <c r="A232" t="s">
        <v>641</v>
      </c>
      <c r="B232" s="367">
        <v>1</v>
      </c>
      <c r="C232" s="368">
        <f>+B232*C230</f>
        <v>0</v>
      </c>
      <c r="D232" s="367">
        <v>1</v>
      </c>
      <c r="E232" s="368">
        <f>+E230*D232</f>
        <v>0</v>
      </c>
      <c r="F232" s="367">
        <v>1</v>
      </c>
      <c r="G232" s="369">
        <f>+F232*G230</f>
        <v>0</v>
      </c>
      <c r="H232" s="371">
        <v>1</v>
      </c>
      <c r="I232" s="369">
        <f>+I230*H232</f>
        <v>0</v>
      </c>
      <c r="J232" s="371">
        <v>1</v>
      </c>
      <c r="K232" s="369">
        <f>+J232*K230</f>
        <v>0</v>
      </c>
      <c r="L232" s="143">
        <f>+K232+I232+G232+E232+C232+M232</f>
        <v>0</v>
      </c>
      <c r="M232" s="83"/>
      <c r="N232" s="225"/>
    </row>
    <row r="233" spans="1:14" x14ac:dyDescent="0.2">
      <c r="A233" t="s">
        <v>642</v>
      </c>
      <c r="B233" s="372">
        <v>1</v>
      </c>
      <c r="C233" s="368">
        <f>+B233*C230</f>
        <v>0</v>
      </c>
      <c r="D233" s="367">
        <v>1</v>
      </c>
      <c r="E233" s="368">
        <f>+E230*D233</f>
        <v>0</v>
      </c>
      <c r="F233" s="367">
        <v>1</v>
      </c>
      <c r="G233" s="369">
        <f>+F233*G230</f>
        <v>0</v>
      </c>
      <c r="H233" s="373">
        <v>1</v>
      </c>
      <c r="I233" s="374">
        <f>+I230*H233</f>
        <v>0</v>
      </c>
      <c r="J233" s="373">
        <v>1</v>
      </c>
      <c r="K233" s="374">
        <f>+J233*K230</f>
        <v>0</v>
      </c>
      <c r="L233" s="350">
        <f>+K233+I233+G233+E233+C233+M233</f>
        <v>0</v>
      </c>
      <c r="M233" s="227"/>
      <c r="N233" s="225"/>
    </row>
    <row r="234" spans="1:14" x14ac:dyDescent="0.2">
      <c r="A234">
        <v>0</v>
      </c>
      <c r="B234" s="372"/>
      <c r="C234" s="368">
        <f>+C230*C229</f>
        <v>0</v>
      </c>
      <c r="D234" s="367"/>
      <c r="E234" s="368">
        <f t="shared" ref="E234:K234" si="91">+E230*E229</f>
        <v>0</v>
      </c>
      <c r="F234" s="367"/>
      <c r="G234" s="369">
        <f t="shared" si="91"/>
        <v>0</v>
      </c>
      <c r="H234" s="373"/>
      <c r="I234" s="374">
        <f t="shared" si="91"/>
        <v>0</v>
      </c>
      <c r="J234" s="373"/>
      <c r="K234" s="374">
        <f t="shared" si="91"/>
        <v>0</v>
      </c>
      <c r="L234" s="350">
        <f>+K234+I234+G234+E234+C234+M234</f>
        <v>0</v>
      </c>
      <c r="M234" s="227"/>
      <c r="N234" s="225"/>
    </row>
    <row r="235" spans="1:14" x14ac:dyDescent="0.2">
      <c r="A235">
        <v>0</v>
      </c>
      <c r="G235" s="225"/>
      <c r="H235" s="83"/>
      <c r="I235" s="83"/>
      <c r="J235" s="83"/>
      <c r="K235" s="83"/>
      <c r="L235" s="83"/>
      <c r="M235" s="83"/>
      <c r="N235" s="225"/>
    </row>
    <row r="236" spans="1:14" ht="18" x14ac:dyDescent="0.25">
      <c r="A236" s="376">
        <v>0</v>
      </c>
      <c r="C236" s="377">
        <f>+'3 ALUMINIOS'!B7</f>
        <v>91.5</v>
      </c>
      <c r="D236" s="365"/>
      <c r="E236" s="365">
        <f>+'3 ALUMINIOS'!C7</f>
        <v>111.5</v>
      </c>
      <c r="F236" s="365"/>
      <c r="G236" s="229">
        <f>+'3 ALUMINIOS'!D7</f>
        <v>131.5</v>
      </c>
      <c r="H236" s="229"/>
      <c r="I236" s="229">
        <f>+'3 ALUMINIOS'!E7</f>
        <v>151.5</v>
      </c>
      <c r="J236" s="229"/>
      <c r="K236" s="229">
        <f>+'3 ALUMINIOS'!F7</f>
        <v>171.5</v>
      </c>
      <c r="L236" s="375" t="s">
        <v>393</v>
      </c>
      <c r="M236" s="229"/>
      <c r="N236" s="225"/>
    </row>
    <row r="237" spans="1:14" ht="18" x14ac:dyDescent="0.25">
      <c r="A237" s="379" t="s">
        <v>77</v>
      </c>
      <c r="C237" s="366">
        <f>+C31</f>
        <v>0</v>
      </c>
      <c r="D237" s="366"/>
      <c r="E237" s="366">
        <f>+D31</f>
        <v>0</v>
      </c>
      <c r="F237" s="366"/>
      <c r="G237" s="366">
        <f>+E31</f>
        <v>0</v>
      </c>
      <c r="H237" s="366"/>
      <c r="I237" s="366">
        <f>+F31</f>
        <v>0</v>
      </c>
      <c r="J237" s="366"/>
      <c r="K237" s="366">
        <f>+G31</f>
        <v>0</v>
      </c>
      <c r="L237" s="143">
        <f>+K237+I237+G237+E237+C237+M237</f>
        <v>0</v>
      </c>
      <c r="M237" s="228"/>
      <c r="N237" s="225"/>
    </row>
    <row r="238" spans="1:14" x14ac:dyDescent="0.2">
      <c r="A238" s="144" t="s">
        <v>635</v>
      </c>
      <c r="B238" s="380">
        <v>1</v>
      </c>
      <c r="C238" s="368">
        <f>+C237*C236</f>
        <v>0</v>
      </c>
      <c r="D238" s="380">
        <v>1</v>
      </c>
      <c r="E238" s="368">
        <f>+E237*E236</f>
        <v>0</v>
      </c>
      <c r="F238" s="380">
        <v>1</v>
      </c>
      <c r="G238" s="369">
        <f>+G237*G236</f>
        <v>0</v>
      </c>
      <c r="H238" s="370">
        <v>1</v>
      </c>
      <c r="I238" s="369">
        <f>+I237*I236</f>
        <v>0</v>
      </c>
      <c r="J238" s="370">
        <v>1</v>
      </c>
      <c r="K238" s="369">
        <f>+K237*K236</f>
        <v>0</v>
      </c>
      <c r="L238" s="143">
        <f>+K238+I238+G238+E238+C238</f>
        <v>0</v>
      </c>
      <c r="M238" s="83"/>
      <c r="N238" s="225"/>
    </row>
    <row r="239" spans="1:14" x14ac:dyDescent="0.2">
      <c r="A239" t="s">
        <v>643</v>
      </c>
      <c r="B239" s="380">
        <v>1</v>
      </c>
      <c r="C239" s="368">
        <f>+B239*C237</f>
        <v>0</v>
      </c>
      <c r="D239" s="380">
        <v>1</v>
      </c>
      <c r="E239" s="368">
        <f>+E237*D239</f>
        <v>0</v>
      </c>
      <c r="F239" s="380">
        <v>1</v>
      </c>
      <c r="G239" s="369">
        <f>+F239*G237</f>
        <v>0</v>
      </c>
      <c r="H239" s="371">
        <v>1</v>
      </c>
      <c r="I239" s="369">
        <f>+I237*H239</f>
        <v>0</v>
      </c>
      <c r="J239" s="371">
        <v>1</v>
      </c>
      <c r="K239" s="369">
        <f>+J239*K237</f>
        <v>0</v>
      </c>
      <c r="L239" s="143">
        <f>+K239+I239+G239+E239+C239+M239</f>
        <v>0</v>
      </c>
      <c r="M239" s="83"/>
      <c r="N239" s="225"/>
    </row>
    <row r="240" spans="1:14" x14ac:dyDescent="0.2">
      <c r="A240" t="s">
        <v>642</v>
      </c>
      <c r="B240" s="381">
        <v>1</v>
      </c>
      <c r="C240" s="368">
        <f>+B240*C237</f>
        <v>0</v>
      </c>
      <c r="D240" s="380">
        <v>1</v>
      </c>
      <c r="E240" s="368">
        <f>+E237*D240</f>
        <v>0</v>
      </c>
      <c r="F240" s="380">
        <v>1</v>
      </c>
      <c r="G240" s="369">
        <f>+F240*G237</f>
        <v>0</v>
      </c>
      <c r="H240" s="382">
        <v>1</v>
      </c>
      <c r="I240" s="374">
        <f>+I237*H240</f>
        <v>0</v>
      </c>
      <c r="J240" s="382">
        <v>1</v>
      </c>
      <c r="K240" s="374">
        <f>+J240*K237</f>
        <v>0</v>
      </c>
      <c r="L240" s="350">
        <f>+K240+I240+G240+E240+C240+M240</f>
        <v>0</v>
      </c>
      <c r="M240" s="227"/>
      <c r="N240" s="225"/>
    </row>
    <row r="241" spans="1:14" x14ac:dyDescent="0.2">
      <c r="A241" t="s">
        <v>644</v>
      </c>
      <c r="B241" s="381">
        <v>1</v>
      </c>
      <c r="C241" s="368">
        <f>+C237*C236</f>
        <v>0</v>
      </c>
      <c r="D241" s="380">
        <v>1</v>
      </c>
      <c r="E241" s="368">
        <f t="shared" ref="E241:K241" si="92">+E237*E236</f>
        <v>0</v>
      </c>
      <c r="F241" s="380">
        <v>1</v>
      </c>
      <c r="G241" s="368">
        <f t="shared" si="92"/>
        <v>0</v>
      </c>
      <c r="H241" s="382">
        <v>1</v>
      </c>
      <c r="I241" s="368">
        <f t="shared" si="92"/>
        <v>0</v>
      </c>
      <c r="J241" s="382">
        <v>1</v>
      </c>
      <c r="K241" s="368">
        <f t="shared" si="92"/>
        <v>0</v>
      </c>
      <c r="L241" s="350">
        <f>+K241+I241+G241+E241+C241+M241</f>
        <v>0</v>
      </c>
      <c r="M241" s="227"/>
      <c r="N241" s="225"/>
    </row>
    <row r="242" spans="1:14" x14ac:dyDescent="0.2">
      <c r="A242">
        <v>0</v>
      </c>
      <c r="B242" s="381"/>
      <c r="C242" s="368">
        <f>+C237*C236</f>
        <v>0</v>
      </c>
      <c r="D242" s="380"/>
      <c r="E242" s="368">
        <f t="shared" ref="E242:K242" si="93">+E237*E236</f>
        <v>0</v>
      </c>
      <c r="F242" s="380"/>
      <c r="G242" s="368">
        <f t="shared" si="93"/>
        <v>0</v>
      </c>
      <c r="H242" s="382"/>
      <c r="I242" s="368">
        <f t="shared" si="93"/>
        <v>0</v>
      </c>
      <c r="J242" s="382"/>
      <c r="K242" s="368">
        <f t="shared" si="93"/>
        <v>0</v>
      </c>
      <c r="L242" s="350">
        <f>+K242+I242+G242+E242+C242+M242</f>
        <v>0</v>
      </c>
      <c r="M242" s="227"/>
      <c r="N242" s="225"/>
    </row>
    <row r="243" spans="1:14" x14ac:dyDescent="0.2">
      <c r="A243">
        <v>0</v>
      </c>
      <c r="J243"/>
      <c r="M243" s="225"/>
      <c r="N243" s="225"/>
    </row>
    <row r="244" spans="1:14" ht="18" x14ac:dyDescent="0.25">
      <c r="A244" s="383">
        <v>0</v>
      </c>
      <c r="C244" s="377">
        <v>0.95</v>
      </c>
      <c r="D244" s="365"/>
      <c r="E244" s="365">
        <v>1.1499999999999999</v>
      </c>
      <c r="F244" s="365"/>
      <c r="G244" s="229">
        <v>1.35</v>
      </c>
      <c r="H244" s="229"/>
      <c r="I244" s="229">
        <v>1.55</v>
      </c>
      <c r="J244" s="229"/>
      <c r="K244" s="229">
        <v>1.75</v>
      </c>
      <c r="L244" s="375" t="s">
        <v>393</v>
      </c>
      <c r="M244" s="225"/>
      <c r="N244" s="225"/>
    </row>
    <row r="245" spans="1:14" ht="18" x14ac:dyDescent="0.25">
      <c r="A245">
        <v>0</v>
      </c>
      <c r="C245" s="366">
        <f>+C32</f>
        <v>0</v>
      </c>
      <c r="D245" s="366"/>
      <c r="E245" s="366">
        <f>+D32</f>
        <v>0</v>
      </c>
      <c r="F245" s="366"/>
      <c r="G245" s="366">
        <f>+E32</f>
        <v>0</v>
      </c>
      <c r="H245" s="366"/>
      <c r="I245" s="366">
        <f>+F32</f>
        <v>0</v>
      </c>
      <c r="J245" s="366"/>
      <c r="K245" s="366">
        <f>+G32</f>
        <v>0</v>
      </c>
      <c r="L245" s="143">
        <f>+K245+I245+G245+E245+C245</f>
        <v>0</v>
      </c>
      <c r="M245" s="225"/>
      <c r="N245" s="225"/>
    </row>
    <row r="246" spans="1:14" x14ac:dyDescent="0.2">
      <c r="A246" s="379" t="s">
        <v>645</v>
      </c>
      <c r="B246" s="380">
        <v>1</v>
      </c>
      <c r="C246" s="368">
        <f>+C245*C244</f>
        <v>0</v>
      </c>
      <c r="D246" s="380">
        <v>1</v>
      </c>
      <c r="E246" s="368">
        <f>+E245*E244</f>
        <v>0</v>
      </c>
      <c r="F246" s="380">
        <v>1</v>
      </c>
      <c r="G246" s="369">
        <f>+G245*G244</f>
        <v>0</v>
      </c>
      <c r="H246" s="370">
        <v>1</v>
      </c>
      <c r="I246" s="369">
        <f>+I245*I244</f>
        <v>0</v>
      </c>
      <c r="J246" s="370">
        <v>1</v>
      </c>
      <c r="K246" s="369">
        <f>+K245*K244</f>
        <v>0</v>
      </c>
      <c r="L246" s="143">
        <f>+K246+I246+G246+E246+C246</f>
        <v>0</v>
      </c>
    </row>
    <row r="247" spans="1:14" x14ac:dyDescent="0.2">
      <c r="A247" t="s">
        <v>646</v>
      </c>
      <c r="B247" s="380">
        <v>1</v>
      </c>
      <c r="C247" s="368">
        <f>+B247*C245</f>
        <v>0</v>
      </c>
      <c r="D247" s="380">
        <v>1</v>
      </c>
      <c r="E247" s="368">
        <f>+E245*D247</f>
        <v>0</v>
      </c>
      <c r="F247" s="380">
        <v>1</v>
      </c>
      <c r="G247" s="369">
        <f>+F247*G245</f>
        <v>0</v>
      </c>
      <c r="H247" s="371">
        <v>1</v>
      </c>
      <c r="I247" s="369">
        <f>+I245*H247</f>
        <v>0</v>
      </c>
      <c r="J247" s="371">
        <v>1</v>
      </c>
      <c r="K247" s="369">
        <f>+J247*K245</f>
        <v>0</v>
      </c>
      <c r="L247" s="143">
        <f>+K247+I247+G247+E247+C247</f>
        <v>0</v>
      </c>
    </row>
    <row r="248" spans="1:14" x14ac:dyDescent="0.2">
      <c r="A248" t="s">
        <v>642</v>
      </c>
      <c r="B248" s="381">
        <v>1</v>
      </c>
      <c r="C248" s="368">
        <f>+B248*C245</f>
        <v>0</v>
      </c>
      <c r="D248" s="380">
        <v>1</v>
      </c>
      <c r="E248" s="368">
        <f>+E245*D248</f>
        <v>0</v>
      </c>
      <c r="F248" s="380">
        <v>1</v>
      </c>
      <c r="G248" s="369">
        <f>+F248*G245</f>
        <v>0</v>
      </c>
      <c r="H248" s="382">
        <v>1</v>
      </c>
      <c r="I248" s="374">
        <f>+I245*H248</f>
        <v>0</v>
      </c>
      <c r="J248" s="382">
        <v>1</v>
      </c>
      <c r="K248" s="374">
        <f>+J248*K245</f>
        <v>0</v>
      </c>
      <c r="L248" s="143">
        <f>+K248+I248+G248+E248+C248</f>
        <v>0</v>
      </c>
    </row>
    <row r="249" spans="1:14" x14ac:dyDescent="0.2">
      <c r="A249">
        <v>0</v>
      </c>
      <c r="B249" s="381"/>
      <c r="C249" s="368"/>
      <c r="D249" s="380"/>
      <c r="E249" s="368"/>
      <c r="F249" s="380"/>
      <c r="G249" s="368"/>
      <c r="H249" s="382"/>
      <c r="I249" s="368"/>
      <c r="J249" s="382"/>
      <c r="K249" s="368"/>
      <c r="L249" s="143"/>
    </row>
    <row r="250" spans="1:14" x14ac:dyDescent="0.2">
      <c r="A250">
        <v>0</v>
      </c>
      <c r="J250"/>
    </row>
    <row r="251" spans="1:14" x14ac:dyDescent="0.2">
      <c r="A251">
        <v>0</v>
      </c>
      <c r="J251"/>
    </row>
    <row r="252" spans="1:14" ht="18" x14ac:dyDescent="0.25">
      <c r="A252" s="376">
        <v>0</v>
      </c>
      <c r="C252" s="377">
        <v>0.95</v>
      </c>
      <c r="D252" s="365"/>
      <c r="E252" s="365">
        <v>1.1499999999999999</v>
      </c>
      <c r="F252" s="365"/>
      <c r="G252" s="229">
        <v>1.35</v>
      </c>
      <c r="H252" s="229"/>
      <c r="I252" s="229">
        <v>1.55</v>
      </c>
      <c r="J252" s="229"/>
      <c r="K252" s="229">
        <v>1.75</v>
      </c>
      <c r="L252" s="375" t="s">
        <v>393</v>
      </c>
    </row>
    <row r="253" spans="1:14" ht="18" x14ac:dyDescent="0.25">
      <c r="A253">
        <v>0</v>
      </c>
      <c r="C253" s="366">
        <f>+C33</f>
        <v>0</v>
      </c>
      <c r="D253" s="366"/>
      <c r="E253" s="366">
        <f>+D33</f>
        <v>0</v>
      </c>
      <c r="F253" s="366"/>
      <c r="G253" s="366">
        <f>+E33</f>
        <v>0</v>
      </c>
      <c r="H253" s="366"/>
      <c r="I253" s="366">
        <f>+F33</f>
        <v>0</v>
      </c>
      <c r="J253" s="366"/>
      <c r="K253" s="366">
        <f>+G33</f>
        <v>0</v>
      </c>
      <c r="L253" s="143">
        <f>+K253+I253+G253+E253+C253</f>
        <v>0</v>
      </c>
    </row>
    <row r="254" spans="1:14" x14ac:dyDescent="0.2">
      <c r="A254" s="379" t="s">
        <v>647</v>
      </c>
      <c r="B254" s="380">
        <v>1</v>
      </c>
      <c r="C254" s="368">
        <f>+C253*C252</f>
        <v>0</v>
      </c>
      <c r="D254" s="380">
        <v>1</v>
      </c>
      <c r="E254" s="368">
        <f>+E253*E252</f>
        <v>0</v>
      </c>
      <c r="F254" s="380">
        <v>1</v>
      </c>
      <c r="G254" s="369">
        <f>+G253*G252</f>
        <v>0</v>
      </c>
      <c r="H254" s="370">
        <v>1</v>
      </c>
      <c r="I254" s="369">
        <f>+I253*I252</f>
        <v>0</v>
      </c>
      <c r="J254" s="370">
        <v>1</v>
      </c>
      <c r="K254" s="369">
        <f>+K253*K252</f>
        <v>0</v>
      </c>
      <c r="L254" s="143">
        <f>+K254+I254+G254+E254+C254</f>
        <v>0</v>
      </c>
    </row>
    <row r="255" spans="1:14" x14ac:dyDescent="0.2">
      <c r="A255" t="s">
        <v>648</v>
      </c>
      <c r="B255" s="380">
        <v>1</v>
      </c>
      <c r="C255" s="368">
        <f>+B255*C253</f>
        <v>0</v>
      </c>
      <c r="D255" s="380">
        <v>1</v>
      </c>
      <c r="E255" s="368">
        <f>+E253*D255</f>
        <v>0</v>
      </c>
      <c r="F255" s="380">
        <v>1</v>
      </c>
      <c r="G255" s="369">
        <f>+F255*G253</f>
        <v>0</v>
      </c>
      <c r="H255" s="371">
        <v>1</v>
      </c>
      <c r="I255" s="369">
        <f>+I253*H255</f>
        <v>0</v>
      </c>
      <c r="J255" s="371">
        <v>1</v>
      </c>
      <c r="K255" s="369">
        <f>+J255*K253</f>
        <v>0</v>
      </c>
      <c r="L255" s="143">
        <f>+K255+I255+G255+E255+C255</f>
        <v>0</v>
      </c>
    </row>
    <row r="256" spans="1:14" x14ac:dyDescent="0.2">
      <c r="A256" t="s">
        <v>642</v>
      </c>
      <c r="B256" s="381">
        <v>1</v>
      </c>
      <c r="C256" s="368">
        <f>+B256*C253</f>
        <v>0</v>
      </c>
      <c r="D256" s="380">
        <v>1</v>
      </c>
      <c r="E256" s="368">
        <f>+E253*D256</f>
        <v>0</v>
      </c>
      <c r="F256" s="380">
        <v>1</v>
      </c>
      <c r="G256" s="369">
        <f>+F256*G253</f>
        <v>0</v>
      </c>
      <c r="H256" s="382">
        <v>1</v>
      </c>
      <c r="I256" s="374">
        <f>+I253*H256</f>
        <v>0</v>
      </c>
      <c r="J256" s="382">
        <v>1</v>
      </c>
      <c r="K256" s="374">
        <f>+J256*K253</f>
        <v>0</v>
      </c>
      <c r="L256" s="143">
        <f>+K256+I256+G256+E256+C256</f>
        <v>0</v>
      </c>
    </row>
    <row r="257" spans="1:12" x14ac:dyDescent="0.2">
      <c r="A257">
        <v>0</v>
      </c>
      <c r="B257" s="381"/>
      <c r="C257" s="368"/>
      <c r="D257" s="380"/>
      <c r="E257" s="368"/>
      <c r="F257" s="380"/>
      <c r="G257" s="368"/>
      <c r="H257" s="382"/>
      <c r="I257" s="368"/>
      <c r="J257" s="382"/>
      <c r="K257" s="368"/>
      <c r="L257" s="143"/>
    </row>
    <row r="258" spans="1:12" x14ac:dyDescent="0.2">
      <c r="A258">
        <v>0</v>
      </c>
      <c r="J258"/>
    </row>
    <row r="259" spans="1:12" x14ac:dyDescent="0.2">
      <c r="A259">
        <v>0</v>
      </c>
      <c r="J259"/>
    </row>
    <row r="260" spans="1:12" ht="18" x14ac:dyDescent="0.25">
      <c r="A260" s="376">
        <v>0</v>
      </c>
      <c r="C260" s="377">
        <v>0.95</v>
      </c>
      <c r="D260" s="365"/>
      <c r="E260" s="377">
        <v>1.1499999999999999</v>
      </c>
      <c r="F260" s="365"/>
      <c r="G260" s="229">
        <v>1.35</v>
      </c>
      <c r="H260" s="229"/>
      <c r="I260" s="229">
        <v>1.55</v>
      </c>
      <c r="J260" s="229"/>
      <c r="K260" s="229">
        <v>1.75</v>
      </c>
      <c r="L260" s="375" t="s">
        <v>393</v>
      </c>
    </row>
    <row r="261" spans="1:12" ht="18" x14ac:dyDescent="0.25">
      <c r="A261">
        <v>0</v>
      </c>
      <c r="C261" s="366">
        <f>+C34</f>
        <v>0</v>
      </c>
      <c r="D261" s="366"/>
      <c r="E261" s="366">
        <f>+D34</f>
        <v>0</v>
      </c>
      <c r="F261" s="366"/>
      <c r="G261" s="366">
        <f>+E34</f>
        <v>0</v>
      </c>
      <c r="H261" s="366"/>
      <c r="I261" s="366">
        <f>+F34</f>
        <v>0</v>
      </c>
      <c r="J261" s="366"/>
      <c r="K261" s="366">
        <f>+G34</f>
        <v>0</v>
      </c>
      <c r="L261" s="143">
        <f>+K261+I261+G261+E261+C261</f>
        <v>0</v>
      </c>
    </row>
    <row r="262" spans="1:12" x14ac:dyDescent="0.2">
      <c r="A262" s="379" t="s">
        <v>649</v>
      </c>
      <c r="B262" s="380">
        <v>1</v>
      </c>
      <c r="C262" s="368">
        <f>+C261*C260</f>
        <v>0</v>
      </c>
      <c r="D262" s="380">
        <v>1</v>
      </c>
      <c r="E262" s="368">
        <f>+E261*E260</f>
        <v>0</v>
      </c>
      <c r="F262" s="380">
        <v>1</v>
      </c>
      <c r="G262" s="369">
        <f>+G261*G260</f>
        <v>0</v>
      </c>
      <c r="H262" s="370">
        <v>1</v>
      </c>
      <c r="I262" s="369">
        <f>+I261*I260</f>
        <v>0</v>
      </c>
      <c r="J262" s="370">
        <v>1</v>
      </c>
      <c r="K262" s="369">
        <f>+K261*K260</f>
        <v>0</v>
      </c>
      <c r="L262" s="143">
        <f>+K262+I262+G262+E262+C262</f>
        <v>0</v>
      </c>
    </row>
    <row r="263" spans="1:12" x14ac:dyDescent="0.2">
      <c r="A263" t="s">
        <v>650</v>
      </c>
      <c r="B263" s="380">
        <v>1</v>
      </c>
      <c r="C263" s="368">
        <f>+B263*C261</f>
        <v>0</v>
      </c>
      <c r="D263" s="380">
        <v>1</v>
      </c>
      <c r="E263" s="368">
        <f>+E261*D263</f>
        <v>0</v>
      </c>
      <c r="F263" s="380">
        <v>1</v>
      </c>
      <c r="G263" s="369">
        <f>+F263*G261</f>
        <v>0</v>
      </c>
      <c r="H263" s="371">
        <v>1</v>
      </c>
      <c r="I263" s="369">
        <f>+I261*H263</f>
        <v>0</v>
      </c>
      <c r="J263" s="371">
        <v>1</v>
      </c>
      <c r="K263" s="369">
        <f>+J263*K261</f>
        <v>0</v>
      </c>
      <c r="L263" s="143">
        <f>+K263+I263+G263+E263+C263</f>
        <v>0</v>
      </c>
    </row>
    <row r="264" spans="1:12" x14ac:dyDescent="0.2">
      <c r="A264" t="s">
        <v>642</v>
      </c>
      <c r="B264" s="381">
        <v>1</v>
      </c>
      <c r="C264" s="368">
        <f>+B264*C261</f>
        <v>0</v>
      </c>
      <c r="D264" s="380">
        <v>1</v>
      </c>
      <c r="E264" s="368">
        <f>+E261*D264</f>
        <v>0</v>
      </c>
      <c r="F264" s="380">
        <v>1</v>
      </c>
      <c r="G264" s="369">
        <f>+F264*G261</f>
        <v>0</v>
      </c>
      <c r="H264" s="382">
        <v>1</v>
      </c>
      <c r="I264" s="374">
        <f>+I261*H264</f>
        <v>0</v>
      </c>
      <c r="J264" s="382">
        <v>1</v>
      </c>
      <c r="K264" s="374">
        <f>+J264*K261</f>
        <v>0</v>
      </c>
      <c r="L264" s="143">
        <f>+K264+I264+G264+E264+C264</f>
        <v>0</v>
      </c>
    </row>
    <row r="265" spans="1:12" x14ac:dyDescent="0.2">
      <c r="A265">
        <v>0</v>
      </c>
      <c r="B265" s="381"/>
      <c r="C265" s="368"/>
      <c r="D265" s="380"/>
      <c r="E265" s="368"/>
      <c r="F265" s="380"/>
      <c r="G265" s="368"/>
      <c r="H265" s="382"/>
      <c r="I265" s="368"/>
      <c r="J265" s="382"/>
      <c r="K265" s="368"/>
      <c r="L265" s="143"/>
    </row>
    <row r="266" spans="1:12" x14ac:dyDescent="0.2">
      <c r="A266">
        <v>0</v>
      </c>
      <c r="J266"/>
    </row>
    <row r="267" spans="1:12" x14ac:dyDescent="0.2">
      <c r="A267">
        <v>0</v>
      </c>
      <c r="J267"/>
    </row>
    <row r="268" spans="1:12" x14ac:dyDescent="0.2">
      <c r="A268">
        <v>0</v>
      </c>
      <c r="J268"/>
    </row>
    <row r="269" spans="1:12" ht="15.75" x14ac:dyDescent="0.25">
      <c r="A269" s="318" t="s">
        <v>651</v>
      </c>
      <c r="D269" s="120"/>
      <c r="J269"/>
      <c r="L269" s="351"/>
    </row>
    <row r="270" spans="1:12" ht="15.75" x14ac:dyDescent="0.25">
      <c r="A270">
        <v>0</v>
      </c>
      <c r="C270" s="365" t="s">
        <v>420</v>
      </c>
      <c r="D270" s="384"/>
      <c r="E270" s="384"/>
      <c r="F270" s="384"/>
      <c r="G270" s="229"/>
      <c r="H270" s="229"/>
      <c r="I270" s="229"/>
      <c r="J270" s="229"/>
      <c r="K270" s="229"/>
      <c r="L270" s="385"/>
    </row>
    <row r="271" spans="1:12" ht="18" x14ac:dyDescent="0.25">
      <c r="A271" t="s">
        <v>2</v>
      </c>
      <c r="C271" s="366">
        <f>+I24</f>
        <v>0</v>
      </c>
      <c r="D271" s="366"/>
      <c r="E271" s="386"/>
      <c r="F271" s="386"/>
      <c r="G271" s="228"/>
      <c r="H271" s="228"/>
      <c r="I271" s="228"/>
      <c r="J271" s="228"/>
      <c r="K271" s="228"/>
      <c r="L271" s="326"/>
    </row>
    <row r="272" spans="1:12" ht="18" x14ac:dyDescent="0.25">
      <c r="A272" t="s">
        <v>652</v>
      </c>
      <c r="B272" s="367">
        <v>92</v>
      </c>
      <c r="C272" s="368">
        <f>+C271*1</f>
        <v>0</v>
      </c>
      <c r="D272" s="387">
        <f>+C272</f>
        <v>0</v>
      </c>
      <c r="E272" s="388"/>
      <c r="F272" s="120"/>
      <c r="G272" s="83"/>
      <c r="H272" s="83"/>
      <c r="I272" s="83"/>
      <c r="J272" s="83"/>
      <c r="K272" s="83"/>
      <c r="L272" s="326"/>
    </row>
    <row r="273" spans="1:12" ht="18" x14ac:dyDescent="0.25">
      <c r="A273" t="s">
        <v>632</v>
      </c>
      <c r="B273" s="367">
        <v>1.6</v>
      </c>
      <c r="C273" s="368">
        <f>+B273*C271</f>
        <v>0</v>
      </c>
      <c r="D273" s="387">
        <f>+C273</f>
        <v>0</v>
      </c>
      <c r="E273" s="388"/>
      <c r="F273" s="120"/>
      <c r="G273" s="83"/>
      <c r="H273" s="83"/>
      <c r="I273" s="83"/>
      <c r="J273" s="83"/>
      <c r="K273" s="83"/>
      <c r="L273" s="326"/>
    </row>
    <row r="274" spans="1:12" ht="18" x14ac:dyDescent="0.25">
      <c r="A274" t="s">
        <v>653</v>
      </c>
      <c r="B274" s="372">
        <v>2</v>
      </c>
      <c r="C274" s="368">
        <f>+B274*C271</f>
        <v>0</v>
      </c>
      <c r="D274" s="387">
        <f>+C274</f>
        <v>0</v>
      </c>
      <c r="E274" s="388"/>
      <c r="F274" s="120"/>
      <c r="G274" s="83"/>
      <c r="H274" s="227"/>
      <c r="I274" s="227"/>
      <c r="J274" s="227"/>
      <c r="K274" s="227"/>
      <c r="L274" s="326"/>
    </row>
    <row r="275" spans="1:12" x14ac:dyDescent="0.2">
      <c r="A275">
        <v>0</v>
      </c>
      <c r="D275" s="120"/>
      <c r="E275" s="120"/>
      <c r="F275" s="120"/>
      <c r="G275" s="120"/>
      <c r="H275" s="120"/>
      <c r="I275" s="120"/>
      <c r="J275" s="120"/>
      <c r="K275" s="120"/>
      <c r="L275" s="120"/>
    </row>
    <row r="276" spans="1:12" ht="18" x14ac:dyDescent="0.25">
      <c r="A276" s="376" t="s">
        <v>654</v>
      </c>
      <c r="C276" s="377">
        <f>+'3 ALUMINIOS'!$B$7</f>
        <v>91.5</v>
      </c>
      <c r="D276" s="365"/>
      <c r="E276" s="377">
        <f>+'3 ALUMINIOS'!$C$7</f>
        <v>111.5</v>
      </c>
      <c r="F276" s="365"/>
      <c r="G276" s="229">
        <f>+'3 ALUMINIOS'!$D$7</f>
        <v>131.5</v>
      </c>
      <c r="H276" s="229"/>
      <c r="I276" s="229">
        <f>+'3 ALUMINIOS'!$E$7</f>
        <v>151.5</v>
      </c>
      <c r="J276" s="229"/>
      <c r="K276" s="229">
        <f>+'3 ALUMINIOS'!$F$7</f>
        <v>171.5</v>
      </c>
      <c r="L276" s="375" t="s">
        <v>393</v>
      </c>
    </row>
    <row r="277" spans="1:12" ht="18" x14ac:dyDescent="0.25">
      <c r="A277">
        <v>0</v>
      </c>
      <c r="C277" s="366">
        <f>+C38</f>
        <v>0</v>
      </c>
      <c r="D277" s="366"/>
      <c r="E277" s="366">
        <f>+D38</f>
        <v>0</v>
      </c>
      <c r="F277" s="366"/>
      <c r="G277" s="366">
        <f>+E38</f>
        <v>0</v>
      </c>
      <c r="H277" s="366"/>
      <c r="I277" s="366">
        <f>+F38</f>
        <v>0</v>
      </c>
      <c r="J277" s="366"/>
      <c r="K277" s="366">
        <f>+G38</f>
        <v>0</v>
      </c>
      <c r="L277" s="143"/>
    </row>
    <row r="278" spans="1:12" x14ac:dyDescent="0.2">
      <c r="A278" s="144">
        <v>0</v>
      </c>
      <c r="B278" s="380"/>
      <c r="C278" s="368"/>
      <c r="D278" s="380"/>
      <c r="E278" s="368"/>
      <c r="F278" s="380"/>
      <c r="G278" s="369"/>
      <c r="H278" s="370"/>
      <c r="I278" s="369"/>
      <c r="J278" s="370"/>
      <c r="K278" s="369"/>
      <c r="L278" s="143">
        <f>+K278+I278+G278+E278+C278</f>
        <v>0</v>
      </c>
    </row>
    <row r="279" spans="1:12" x14ac:dyDescent="0.2">
      <c r="A279" t="s">
        <v>655</v>
      </c>
      <c r="B279" s="380">
        <v>8</v>
      </c>
      <c r="C279" s="368">
        <f>+B279*C277</f>
        <v>0</v>
      </c>
      <c r="D279" s="380">
        <v>12</v>
      </c>
      <c r="E279" s="368">
        <f>+E277*D279</f>
        <v>0</v>
      </c>
      <c r="F279" s="380">
        <v>12</v>
      </c>
      <c r="G279" s="369">
        <f>+F279*G277</f>
        <v>0</v>
      </c>
      <c r="H279" s="371">
        <v>16</v>
      </c>
      <c r="I279" s="369">
        <f>+I277*H279</f>
        <v>0</v>
      </c>
      <c r="J279" s="371">
        <v>16</v>
      </c>
      <c r="K279" s="369">
        <f>+J279*K277</f>
        <v>0</v>
      </c>
      <c r="L279" s="143">
        <f>+K279+I279+G279+E279+C279</f>
        <v>0</v>
      </c>
    </row>
    <row r="280" spans="1:12" x14ac:dyDescent="0.2">
      <c r="A280" t="s">
        <v>656</v>
      </c>
      <c r="B280" s="381">
        <v>1</v>
      </c>
      <c r="C280" s="368">
        <f>+B280*C277</f>
        <v>0</v>
      </c>
      <c r="D280" s="380">
        <v>1</v>
      </c>
      <c r="E280" s="368">
        <f>+E277*D280</f>
        <v>0</v>
      </c>
      <c r="F280" s="380">
        <v>1</v>
      </c>
      <c r="G280" s="369">
        <f>+F280*G277</f>
        <v>0</v>
      </c>
      <c r="H280" s="382">
        <v>1</v>
      </c>
      <c r="I280" s="374">
        <f>+I277*H280</f>
        <v>0</v>
      </c>
      <c r="J280" s="382">
        <v>1</v>
      </c>
      <c r="K280" s="374">
        <f>+J280*K277</f>
        <v>0</v>
      </c>
      <c r="L280" s="143">
        <f>+K280+I280+G280+E280+C280</f>
        <v>0</v>
      </c>
    </row>
    <row r="281" spans="1:12" x14ac:dyDescent="0.2">
      <c r="A281">
        <v>0</v>
      </c>
      <c r="B281" s="381"/>
      <c r="C281" s="368"/>
      <c r="D281" s="380"/>
      <c r="E281" s="368"/>
      <c r="F281" s="380"/>
      <c r="G281" s="368"/>
      <c r="H281" s="382"/>
      <c r="I281" s="368"/>
      <c r="J281" s="382"/>
      <c r="K281" s="368"/>
      <c r="L281" s="143"/>
    </row>
    <row r="282" spans="1:12" x14ac:dyDescent="0.2">
      <c r="A282">
        <v>0</v>
      </c>
    </row>
    <row r="283" spans="1:12" ht="18" x14ac:dyDescent="0.25">
      <c r="A283" s="376" t="s">
        <v>657</v>
      </c>
      <c r="C283" s="377">
        <f>+'3 ALUMINIOS'!$B$7</f>
        <v>91.5</v>
      </c>
      <c r="D283" s="365"/>
      <c r="E283" s="377">
        <f>+'3 ALUMINIOS'!$C$7</f>
        <v>111.5</v>
      </c>
      <c r="F283" s="365"/>
      <c r="G283" s="229">
        <f>+'3 ALUMINIOS'!$D$7</f>
        <v>131.5</v>
      </c>
      <c r="H283" s="229"/>
      <c r="I283" s="229">
        <f>+'3 ALUMINIOS'!$E$7</f>
        <v>151.5</v>
      </c>
      <c r="J283" s="229"/>
      <c r="K283" s="229">
        <f>+'3 ALUMINIOS'!$F$7</f>
        <v>171.5</v>
      </c>
      <c r="L283" s="375" t="s">
        <v>393</v>
      </c>
    </row>
    <row r="284" spans="1:12" ht="18" x14ac:dyDescent="0.25">
      <c r="A284">
        <v>0</v>
      </c>
      <c r="C284" s="366">
        <f>+C39</f>
        <v>0</v>
      </c>
      <c r="D284" s="366"/>
      <c r="E284" s="366">
        <f>+D39</f>
        <v>0</v>
      </c>
      <c r="F284" s="366"/>
      <c r="G284" s="366">
        <f>+E39</f>
        <v>0</v>
      </c>
      <c r="H284" s="366"/>
      <c r="I284" s="366">
        <f>+F39</f>
        <v>0</v>
      </c>
      <c r="J284" s="366"/>
      <c r="K284" s="366">
        <f>+G39</f>
        <v>0</v>
      </c>
      <c r="L284" s="375"/>
    </row>
    <row r="285" spans="1:12" x14ac:dyDescent="0.2">
      <c r="A285" s="144" t="s">
        <v>658</v>
      </c>
      <c r="B285" s="380">
        <v>1</v>
      </c>
      <c r="C285" s="368">
        <f>+C284*C283</f>
        <v>0</v>
      </c>
      <c r="D285" s="380">
        <v>1</v>
      </c>
      <c r="E285" s="368">
        <f>+E284*E283</f>
        <v>0</v>
      </c>
      <c r="F285" s="380">
        <v>1</v>
      </c>
      <c r="G285" s="369">
        <f>+G284*G283</f>
        <v>0</v>
      </c>
      <c r="H285" s="370">
        <v>1</v>
      </c>
      <c r="I285" s="369">
        <f>+I284*I283</f>
        <v>0</v>
      </c>
      <c r="J285" s="370">
        <v>1</v>
      </c>
      <c r="K285" s="369">
        <f>+K284*K283</f>
        <v>0</v>
      </c>
      <c r="L285" s="143">
        <f>+K285+I285+G285+E285+C285</f>
        <v>0</v>
      </c>
    </row>
    <row r="286" spans="1:12" x14ac:dyDescent="0.2">
      <c r="A286" t="s">
        <v>655</v>
      </c>
      <c r="B286" s="380">
        <v>4</v>
      </c>
      <c r="C286" s="368">
        <f>+B286*C284</f>
        <v>0</v>
      </c>
      <c r="D286" s="380">
        <v>6</v>
      </c>
      <c r="E286" s="368">
        <f>+E284*D286</f>
        <v>0</v>
      </c>
      <c r="F286" s="380">
        <v>6</v>
      </c>
      <c r="G286" s="369">
        <f>+F286*G284</f>
        <v>0</v>
      </c>
      <c r="H286" s="371">
        <v>8</v>
      </c>
      <c r="I286" s="369">
        <f>+I284*H286</f>
        <v>0</v>
      </c>
      <c r="J286" s="371">
        <v>8</v>
      </c>
      <c r="K286" s="369">
        <f>+J286*K284</f>
        <v>0</v>
      </c>
      <c r="L286" s="143">
        <f>+K286+I286+G286+E286+C286</f>
        <v>0</v>
      </c>
    </row>
    <row r="287" spans="1:12" x14ac:dyDescent="0.2">
      <c r="A287" t="s">
        <v>659</v>
      </c>
      <c r="B287" s="381">
        <v>1</v>
      </c>
      <c r="C287" s="368">
        <f>+B287*C284</f>
        <v>0</v>
      </c>
      <c r="D287" s="380">
        <v>1</v>
      </c>
      <c r="E287" s="368">
        <f>+E284*D287</f>
        <v>0</v>
      </c>
      <c r="F287" s="380">
        <v>1</v>
      </c>
      <c r="G287" s="369">
        <f>+F287*G284</f>
        <v>0</v>
      </c>
      <c r="H287" s="382">
        <v>1</v>
      </c>
      <c r="I287" s="374">
        <f>+I284*H287</f>
        <v>0</v>
      </c>
      <c r="J287" s="382">
        <v>1</v>
      </c>
      <c r="K287" s="374">
        <f>+J287*K284</f>
        <v>0</v>
      </c>
      <c r="L287" s="143">
        <f>+K287+I287+G287+E287+C287</f>
        <v>0</v>
      </c>
    </row>
    <row r="288" spans="1:12" x14ac:dyDescent="0.2">
      <c r="A288">
        <v>0</v>
      </c>
      <c r="B288" s="381"/>
      <c r="C288" s="368"/>
      <c r="D288" s="380"/>
      <c r="E288" s="368"/>
      <c r="F288" s="380"/>
      <c r="G288" s="368"/>
      <c r="H288" s="382"/>
      <c r="I288" s="368"/>
      <c r="J288" s="382"/>
      <c r="K288" s="368"/>
      <c r="L288" s="143"/>
    </row>
    <row r="289" spans="1:12" x14ac:dyDescent="0.2">
      <c r="A289">
        <v>0</v>
      </c>
    </row>
    <row r="290" spans="1:12" ht="18" x14ac:dyDescent="0.25">
      <c r="A290" s="376" t="s">
        <v>660</v>
      </c>
      <c r="C290" s="377">
        <f>+'3 ALUMINIOS'!$B$7</f>
        <v>91.5</v>
      </c>
      <c r="D290" s="365"/>
      <c r="E290" s="377">
        <f>+'3 ALUMINIOS'!$C$7</f>
        <v>111.5</v>
      </c>
      <c r="F290" s="365"/>
      <c r="G290" s="229">
        <f>+'3 ALUMINIOS'!$D$7</f>
        <v>131.5</v>
      </c>
      <c r="H290" s="229"/>
      <c r="I290" s="229">
        <f>+'3 ALUMINIOS'!$E$7</f>
        <v>151.5</v>
      </c>
      <c r="J290" s="229"/>
      <c r="K290" s="229">
        <f>+'3 ALUMINIOS'!$F$7</f>
        <v>171.5</v>
      </c>
      <c r="L290" s="375" t="s">
        <v>393</v>
      </c>
    </row>
    <row r="291" spans="1:12" ht="18" x14ac:dyDescent="0.25">
      <c r="A291">
        <v>0</v>
      </c>
      <c r="C291" s="366">
        <f>+C40</f>
        <v>0</v>
      </c>
      <c r="D291" s="366"/>
      <c r="E291" s="366">
        <f>+D40</f>
        <v>0</v>
      </c>
      <c r="F291" s="366"/>
      <c r="G291" s="366">
        <f>+E40</f>
        <v>0</v>
      </c>
      <c r="H291" s="366"/>
      <c r="I291" s="366">
        <f>+F40</f>
        <v>0</v>
      </c>
      <c r="J291" s="366"/>
      <c r="K291" s="366">
        <f>+G40</f>
        <v>0</v>
      </c>
      <c r="L291" s="143"/>
    </row>
    <row r="292" spans="1:12" x14ac:dyDescent="0.2">
      <c r="A292" s="144" t="s">
        <v>661</v>
      </c>
      <c r="B292" s="380">
        <v>1</v>
      </c>
      <c r="C292" s="368">
        <f>+C291*C290</f>
        <v>0</v>
      </c>
      <c r="D292" s="380">
        <v>1</v>
      </c>
      <c r="E292" s="368">
        <f>+E291*E290</f>
        <v>0</v>
      </c>
      <c r="F292" s="380">
        <v>1</v>
      </c>
      <c r="G292" s="369">
        <f>+G291*G290</f>
        <v>0</v>
      </c>
      <c r="H292" s="370">
        <v>1</v>
      </c>
      <c r="I292" s="369">
        <f>+I291*I290</f>
        <v>0</v>
      </c>
      <c r="J292" s="370">
        <v>1</v>
      </c>
      <c r="K292" s="369">
        <f>+K291*K290</f>
        <v>0</v>
      </c>
      <c r="L292" s="143">
        <f>+K292+I292+G292+E292+C292</f>
        <v>0</v>
      </c>
    </row>
    <row r="293" spans="1:12" x14ac:dyDescent="0.2">
      <c r="A293" t="s">
        <v>655</v>
      </c>
      <c r="B293" s="380">
        <v>2</v>
      </c>
      <c r="C293" s="368">
        <f>+B293*C291</f>
        <v>0</v>
      </c>
      <c r="D293" s="380">
        <v>3</v>
      </c>
      <c r="E293" s="368">
        <f>+E291*D293</f>
        <v>0</v>
      </c>
      <c r="F293" s="380">
        <v>3</v>
      </c>
      <c r="G293" s="369">
        <f>+F293*G291</f>
        <v>0</v>
      </c>
      <c r="H293" s="371">
        <v>4</v>
      </c>
      <c r="I293" s="369">
        <f>+I291*H293</f>
        <v>0</v>
      </c>
      <c r="J293" s="371">
        <v>4</v>
      </c>
      <c r="K293" s="369">
        <f>+J293*K291</f>
        <v>0</v>
      </c>
      <c r="L293" s="143">
        <f>+K293+I293+G293+E293+C293</f>
        <v>0</v>
      </c>
    </row>
    <row r="294" spans="1:12" x14ac:dyDescent="0.2">
      <c r="A294" t="s">
        <v>662</v>
      </c>
      <c r="B294" s="381">
        <v>1</v>
      </c>
      <c r="C294" s="368">
        <f>+B294*C291</f>
        <v>0</v>
      </c>
      <c r="D294" s="380">
        <v>1</v>
      </c>
      <c r="E294" s="368">
        <f>+E291*D294</f>
        <v>0</v>
      </c>
      <c r="F294" s="380">
        <v>1</v>
      </c>
      <c r="G294" s="369">
        <f>+F294*G291</f>
        <v>0</v>
      </c>
      <c r="H294" s="382">
        <v>1</v>
      </c>
      <c r="I294" s="374">
        <f>+I291*H294</f>
        <v>0</v>
      </c>
      <c r="J294" s="382">
        <v>1</v>
      </c>
      <c r="K294" s="374">
        <f>+J294*K291</f>
        <v>0</v>
      </c>
      <c r="L294" s="143">
        <f>+K294+I294+G294+E294+C294</f>
        <v>0</v>
      </c>
    </row>
    <row r="295" spans="1:12" x14ac:dyDescent="0.2">
      <c r="A295">
        <v>0</v>
      </c>
      <c r="B295" s="381"/>
      <c r="C295" s="368"/>
      <c r="D295" s="380"/>
      <c r="E295" s="368"/>
      <c r="F295" s="380"/>
      <c r="G295" s="368"/>
      <c r="H295" s="382"/>
      <c r="I295" s="368"/>
      <c r="J295" s="382"/>
      <c r="K295" s="368"/>
      <c r="L295" s="143"/>
    </row>
    <row r="296" spans="1:12" x14ac:dyDescent="0.2">
      <c r="A296">
        <v>0</v>
      </c>
    </row>
    <row r="297" spans="1:12" ht="18" x14ac:dyDescent="0.25">
      <c r="A297" s="376" t="s">
        <v>663</v>
      </c>
      <c r="C297" s="377">
        <f>+'3 ALUMINIOS'!$B$7</f>
        <v>91.5</v>
      </c>
      <c r="D297" s="365"/>
      <c r="E297" s="377">
        <f>+'3 ALUMINIOS'!$C$7</f>
        <v>111.5</v>
      </c>
      <c r="F297" s="365"/>
      <c r="G297" s="229">
        <f>+'3 ALUMINIOS'!$D$7</f>
        <v>131.5</v>
      </c>
      <c r="H297" s="229"/>
      <c r="I297" s="229">
        <f>+'3 ALUMINIOS'!$E$7</f>
        <v>151.5</v>
      </c>
      <c r="J297" s="229"/>
      <c r="K297" s="229">
        <f>+'3 ALUMINIOS'!$F$7</f>
        <v>171.5</v>
      </c>
      <c r="L297" s="375" t="s">
        <v>393</v>
      </c>
    </row>
    <row r="298" spans="1:12" ht="18" x14ac:dyDescent="0.25">
      <c r="A298">
        <v>0</v>
      </c>
      <c r="C298" s="366">
        <f>+C41</f>
        <v>0</v>
      </c>
      <c r="D298" s="366"/>
      <c r="E298" s="366">
        <f>+D41</f>
        <v>0</v>
      </c>
      <c r="F298" s="366"/>
      <c r="G298" s="366">
        <f>+E41</f>
        <v>0</v>
      </c>
      <c r="H298" s="366"/>
      <c r="I298" s="366">
        <f>+F41</f>
        <v>0</v>
      </c>
      <c r="J298" s="366"/>
      <c r="K298" s="366">
        <f>+G41</f>
        <v>0</v>
      </c>
      <c r="L298" s="143"/>
    </row>
    <row r="299" spans="1:12" x14ac:dyDescent="0.2">
      <c r="A299" s="144" t="s">
        <v>664</v>
      </c>
      <c r="B299" s="380">
        <v>1</v>
      </c>
      <c r="C299" s="368">
        <f>+C298*C297</f>
        <v>0</v>
      </c>
      <c r="D299" s="380">
        <v>1</v>
      </c>
      <c r="E299" s="368">
        <f>+E298*E297</f>
        <v>0</v>
      </c>
      <c r="F299" s="380">
        <v>1</v>
      </c>
      <c r="G299" s="369">
        <f>+G298*G297</f>
        <v>0</v>
      </c>
      <c r="H299" s="370">
        <v>1</v>
      </c>
      <c r="I299" s="369">
        <f>+I298*I297</f>
        <v>0</v>
      </c>
      <c r="J299" s="370">
        <v>1</v>
      </c>
      <c r="K299" s="369">
        <f>+K298*K297</f>
        <v>0</v>
      </c>
      <c r="L299" s="143">
        <f>+K299+I299+G299+E299+C299</f>
        <v>0</v>
      </c>
    </row>
    <row r="300" spans="1:12" x14ac:dyDescent="0.2">
      <c r="A300" t="s">
        <v>665</v>
      </c>
      <c r="B300" s="380">
        <v>2</v>
      </c>
      <c r="C300" s="368">
        <f>+B300*C298</f>
        <v>0</v>
      </c>
      <c r="D300" s="380">
        <v>3</v>
      </c>
      <c r="E300" s="368">
        <f>+E298*D300</f>
        <v>0</v>
      </c>
      <c r="F300" s="380">
        <v>3</v>
      </c>
      <c r="G300" s="369">
        <f>+F300*G298</f>
        <v>0</v>
      </c>
      <c r="H300" s="371">
        <v>4</v>
      </c>
      <c r="I300" s="369">
        <f>+I298*H300</f>
        <v>0</v>
      </c>
      <c r="J300" s="371">
        <v>4</v>
      </c>
      <c r="K300" s="369">
        <f>+J300*K298</f>
        <v>0</v>
      </c>
      <c r="L300" s="143">
        <f>+K300+I300+G300+E300+C300</f>
        <v>0</v>
      </c>
    </row>
    <row r="301" spans="1:12" x14ac:dyDescent="0.2">
      <c r="A301" t="s">
        <v>666</v>
      </c>
      <c r="B301" s="381">
        <v>1</v>
      </c>
      <c r="C301" s="368">
        <f>+B301*C298</f>
        <v>0</v>
      </c>
      <c r="D301" s="380">
        <v>1</v>
      </c>
      <c r="E301" s="368">
        <f>+E298*D301</f>
        <v>0</v>
      </c>
      <c r="F301" s="380">
        <v>1</v>
      </c>
      <c r="G301" s="369">
        <f>+F301*G298</f>
        <v>0</v>
      </c>
      <c r="H301" s="382">
        <v>1</v>
      </c>
      <c r="I301" s="374">
        <f>+I298*H301</f>
        <v>0</v>
      </c>
      <c r="J301" s="382">
        <v>1</v>
      </c>
      <c r="K301" s="374">
        <f>+J301*K298</f>
        <v>0</v>
      </c>
      <c r="L301" s="143">
        <f>+K301+I301+G301+E301+C301</f>
        <v>0</v>
      </c>
    </row>
    <row r="302" spans="1:12" x14ac:dyDescent="0.2">
      <c r="A302">
        <v>0</v>
      </c>
      <c r="B302" s="381"/>
      <c r="C302" s="368"/>
      <c r="D302" s="380"/>
      <c r="E302" s="368"/>
      <c r="F302" s="380"/>
      <c r="G302" s="368"/>
      <c r="H302" s="382"/>
      <c r="I302" s="368"/>
      <c r="J302" s="382"/>
      <c r="K302" s="368"/>
      <c r="L302" s="143"/>
    </row>
    <row r="303" spans="1:12" x14ac:dyDescent="0.2">
      <c r="A303">
        <v>0</v>
      </c>
      <c r="I303" s="7"/>
      <c r="J303" s="7"/>
      <c r="K303" s="7"/>
      <c r="L303" s="7"/>
    </row>
    <row r="304" spans="1:12" x14ac:dyDescent="0.2">
      <c r="A304">
        <v>0</v>
      </c>
      <c r="I304" s="7"/>
      <c r="J304" s="7"/>
      <c r="K304" s="7"/>
      <c r="L304" s="7"/>
    </row>
    <row r="305" spans="1:12" x14ac:dyDescent="0.2">
      <c r="A305">
        <v>0</v>
      </c>
      <c r="I305" s="7"/>
      <c r="J305" s="7"/>
      <c r="K305" s="7"/>
      <c r="L305" s="7"/>
    </row>
    <row r="306" spans="1:12" x14ac:dyDescent="0.2">
      <c r="A306">
        <v>0</v>
      </c>
      <c r="I306" s="7"/>
      <c r="J306" s="7"/>
      <c r="K306" s="7"/>
      <c r="L306" s="7"/>
    </row>
    <row r="307" spans="1:12" x14ac:dyDescent="0.2">
      <c r="A307" s="389" t="s">
        <v>632</v>
      </c>
      <c r="C307" s="390">
        <f>D273+N210+N218</f>
        <v>0</v>
      </c>
      <c r="D307" s="391" t="s">
        <v>667</v>
      </c>
      <c r="I307" s="7"/>
      <c r="J307" s="7"/>
      <c r="K307" s="7"/>
      <c r="L307" s="7"/>
    </row>
    <row r="308" spans="1:12" x14ac:dyDescent="0.2">
      <c r="A308" s="389" t="s">
        <v>652</v>
      </c>
      <c r="C308" s="390">
        <f>D272</f>
        <v>0</v>
      </c>
      <c r="D308" s="391" t="s">
        <v>118</v>
      </c>
      <c r="I308" s="7"/>
      <c r="J308" s="7"/>
      <c r="K308" s="7"/>
      <c r="L308" s="7"/>
    </row>
    <row r="309" spans="1:12" x14ac:dyDescent="0.2">
      <c r="A309" s="389" t="s">
        <v>598</v>
      </c>
      <c r="C309" s="390" t="e">
        <f>+I51+I64+I76+I88+I100+I113+I126+I139+I152+I165+L181+L198</f>
        <v>#REF!</v>
      </c>
      <c r="D309" s="391" t="s">
        <v>667</v>
      </c>
      <c r="I309" s="7"/>
      <c r="J309" s="7"/>
      <c r="K309" s="7"/>
      <c r="L309" s="7"/>
    </row>
    <row r="310" spans="1:12" x14ac:dyDescent="0.2">
      <c r="A310" s="389" t="s">
        <v>637</v>
      </c>
      <c r="C310" s="390">
        <f>L226</f>
        <v>0</v>
      </c>
      <c r="D310" s="391" t="s">
        <v>118</v>
      </c>
      <c r="I310" s="7"/>
      <c r="J310" s="7"/>
      <c r="K310" s="7"/>
      <c r="L310" s="7"/>
    </row>
    <row r="311" spans="1:12" x14ac:dyDescent="0.2">
      <c r="A311" s="389" t="s">
        <v>600</v>
      </c>
      <c r="B311" s="389">
        <v>28</v>
      </c>
      <c r="C311" s="390" t="e">
        <f>C53+C66+C78+C90+C102+C115+C128+C141+C154+C167</f>
        <v>#REF!</v>
      </c>
      <c r="D311" s="391" t="s">
        <v>118</v>
      </c>
      <c r="I311" s="7"/>
      <c r="J311" s="7"/>
      <c r="K311" s="7"/>
      <c r="L311" s="392"/>
    </row>
    <row r="312" spans="1:12" x14ac:dyDescent="0.2">
      <c r="A312" s="389" t="s">
        <v>600</v>
      </c>
      <c r="B312" s="389">
        <v>56</v>
      </c>
      <c r="C312" s="390" t="e">
        <f>D53+D66+D78+D90+D102+D115+D128+D141+D154+D167</f>
        <v>#REF!</v>
      </c>
      <c r="D312" s="391" t="s">
        <v>118</v>
      </c>
      <c r="I312" s="7"/>
      <c r="J312" s="7"/>
      <c r="K312" s="7"/>
      <c r="L312" s="392"/>
    </row>
    <row r="313" spans="1:12" x14ac:dyDescent="0.2">
      <c r="A313" s="389" t="s">
        <v>600</v>
      </c>
      <c r="B313" s="389">
        <v>70</v>
      </c>
      <c r="C313" s="390" t="e">
        <f>E53+E66+E78+E90+E102+E115+E128+E141+E154+E167</f>
        <v>#REF!</v>
      </c>
      <c r="D313" s="391" t="s">
        <v>118</v>
      </c>
      <c r="I313" s="7"/>
      <c r="J313" s="7"/>
      <c r="K313" s="7"/>
      <c r="L313" s="392"/>
    </row>
    <row r="314" spans="1:12" x14ac:dyDescent="0.2">
      <c r="A314" s="389" t="s">
        <v>600</v>
      </c>
      <c r="B314" s="389">
        <v>84</v>
      </c>
      <c r="C314" s="390" t="e">
        <f>F53+F66+F78+F90+F102+F115+F128+F141+F154+F167</f>
        <v>#REF!</v>
      </c>
      <c r="D314" s="391" t="s">
        <v>118</v>
      </c>
      <c r="I314" s="7"/>
      <c r="J314" s="7"/>
      <c r="K314" s="7"/>
      <c r="L314" s="392"/>
    </row>
    <row r="315" spans="1:12" x14ac:dyDescent="0.2">
      <c r="A315" s="389" t="s">
        <v>600</v>
      </c>
      <c r="B315" s="389">
        <v>112</v>
      </c>
      <c r="C315" s="390" t="e">
        <f>G53+G66+G78+G90+G102+G115+G128+G141+G154+G167</f>
        <v>#REF!</v>
      </c>
      <c r="D315" s="391" t="s">
        <v>118</v>
      </c>
      <c r="I315" s="7"/>
      <c r="J315" s="7"/>
      <c r="K315" s="7"/>
      <c r="L315" s="392"/>
    </row>
    <row r="316" spans="1:12" x14ac:dyDescent="0.2">
      <c r="A316" s="389" t="s">
        <v>600</v>
      </c>
      <c r="B316" s="389">
        <v>140</v>
      </c>
      <c r="C316" s="390" t="e">
        <f>H53+H66+H78+H90+H102+H115+H128+H141+H154+H167</f>
        <v>#REF!</v>
      </c>
      <c r="D316" s="391" t="s">
        <v>118</v>
      </c>
      <c r="I316" s="7"/>
      <c r="J316" s="7"/>
      <c r="K316" s="7"/>
      <c r="L316" s="392"/>
    </row>
    <row r="317" spans="1:12" x14ac:dyDescent="0.2">
      <c r="A317" s="389" t="s">
        <v>658</v>
      </c>
      <c r="B317" s="389"/>
      <c r="C317" s="390">
        <f>L285</f>
        <v>0</v>
      </c>
      <c r="D317" s="391" t="s">
        <v>667</v>
      </c>
      <c r="I317" s="7"/>
      <c r="J317" s="7"/>
      <c r="K317" s="7"/>
      <c r="L317" s="392"/>
    </row>
    <row r="318" spans="1:12" x14ac:dyDescent="0.2">
      <c r="A318" s="389" t="s">
        <v>665</v>
      </c>
      <c r="B318" s="389"/>
      <c r="C318" s="390">
        <f>L300</f>
        <v>0</v>
      </c>
      <c r="D318" s="391" t="s">
        <v>118</v>
      </c>
      <c r="I318" s="7"/>
      <c r="J318" s="7"/>
      <c r="K318" s="7"/>
      <c r="L318" s="392"/>
    </row>
    <row r="319" spans="1:12" x14ac:dyDescent="0.2">
      <c r="A319" s="389" t="s">
        <v>655</v>
      </c>
      <c r="B319" s="389"/>
      <c r="C319" s="390">
        <f>L279+L286+L293</f>
        <v>0</v>
      </c>
      <c r="D319" s="391" t="s">
        <v>118</v>
      </c>
      <c r="I319" s="7"/>
      <c r="J319" s="7"/>
      <c r="K319" s="7"/>
      <c r="L319" s="392"/>
    </row>
    <row r="320" spans="1:12" x14ac:dyDescent="0.2">
      <c r="A320" s="389" t="s">
        <v>603</v>
      </c>
      <c r="B320" s="389">
        <v>28</v>
      </c>
      <c r="C320" s="390" t="e">
        <f>C61+C85+C123+C149-C367</f>
        <v>#REF!</v>
      </c>
      <c r="D320" s="391" t="s">
        <v>118</v>
      </c>
      <c r="I320" s="7"/>
      <c r="J320" s="7"/>
      <c r="K320" s="7"/>
      <c r="L320" s="392"/>
    </row>
    <row r="321" spans="1:12" x14ac:dyDescent="0.2">
      <c r="A321" s="389" t="s">
        <v>603</v>
      </c>
      <c r="B321" s="389">
        <v>56</v>
      </c>
      <c r="C321" s="390" t="e">
        <f>D61+D85+D123+D149-C368</f>
        <v>#REF!</v>
      </c>
      <c r="D321" s="391" t="s">
        <v>118</v>
      </c>
      <c r="I321" s="7"/>
      <c r="J321" s="7"/>
      <c r="K321" s="7"/>
      <c r="L321" s="392"/>
    </row>
    <row r="322" spans="1:12" x14ac:dyDescent="0.2">
      <c r="A322" s="389" t="s">
        <v>603</v>
      </c>
      <c r="B322" s="389">
        <v>70</v>
      </c>
      <c r="C322" s="390" t="e">
        <f>E61+E85+E123+E149-C369</f>
        <v>#REF!</v>
      </c>
      <c r="D322" s="391" t="s">
        <v>118</v>
      </c>
      <c r="I322" s="7"/>
      <c r="J322" s="7"/>
      <c r="K322" s="7"/>
      <c r="L322" s="392"/>
    </row>
    <row r="323" spans="1:12" x14ac:dyDescent="0.2">
      <c r="A323" s="389" t="s">
        <v>603</v>
      </c>
      <c r="B323" s="389">
        <v>84</v>
      </c>
      <c r="C323" s="390" t="e">
        <f>F61+F85+F123+F149-C370</f>
        <v>#REF!</v>
      </c>
      <c r="D323" s="391" t="s">
        <v>118</v>
      </c>
      <c r="I323" s="7"/>
      <c r="J323" s="7"/>
      <c r="K323" s="7"/>
      <c r="L323" s="392"/>
    </row>
    <row r="324" spans="1:12" x14ac:dyDescent="0.2">
      <c r="A324" s="389" t="s">
        <v>603</v>
      </c>
      <c r="B324" s="389">
        <v>112</v>
      </c>
      <c r="C324" s="390" t="e">
        <f>G61+G85+G123+G149-C371</f>
        <v>#REF!</v>
      </c>
      <c r="D324" s="391" t="s">
        <v>118</v>
      </c>
      <c r="I324" s="7"/>
      <c r="J324" s="7"/>
      <c r="K324" s="7"/>
      <c r="L324" s="392"/>
    </row>
    <row r="325" spans="1:12" x14ac:dyDescent="0.2">
      <c r="A325" s="389" t="s">
        <v>603</v>
      </c>
      <c r="B325" s="389">
        <v>140</v>
      </c>
      <c r="C325" s="390" t="e">
        <f>H61+H85+H123+H149-C372</f>
        <v>#REF!</v>
      </c>
      <c r="D325" s="391" t="s">
        <v>118</v>
      </c>
      <c r="I325" s="7"/>
      <c r="J325" s="7"/>
      <c r="K325" s="7"/>
      <c r="L325" s="392"/>
    </row>
    <row r="326" spans="1:12" x14ac:dyDescent="0.2">
      <c r="A326" s="389" t="s">
        <v>626</v>
      </c>
      <c r="B326" s="389"/>
      <c r="C326" s="390">
        <f>L175+L192</f>
        <v>0</v>
      </c>
      <c r="D326" s="391" t="s">
        <v>118</v>
      </c>
      <c r="I326" s="7"/>
      <c r="J326" s="7"/>
      <c r="K326" s="7"/>
      <c r="L326" s="392"/>
    </row>
    <row r="327" spans="1:12" x14ac:dyDescent="0.2">
      <c r="A327" s="389" t="s">
        <v>613</v>
      </c>
      <c r="B327" s="389">
        <v>28</v>
      </c>
      <c r="C327" s="390">
        <f>C110+C122+C136+C148+C161</f>
        <v>0</v>
      </c>
      <c r="D327" s="391" t="s">
        <v>118</v>
      </c>
      <c r="I327" s="7"/>
      <c r="J327" s="7"/>
      <c r="K327" s="7"/>
      <c r="L327" s="392"/>
    </row>
    <row r="328" spans="1:12" x14ac:dyDescent="0.2">
      <c r="A328" s="389" t="s">
        <v>613</v>
      </c>
      <c r="B328" s="389">
        <v>56</v>
      </c>
      <c r="C328" s="390">
        <f>D110+D122+D136+D148+D161</f>
        <v>0</v>
      </c>
      <c r="D328" s="391" t="s">
        <v>118</v>
      </c>
      <c r="I328" s="7"/>
      <c r="J328" s="7"/>
      <c r="K328" s="7"/>
      <c r="L328" s="392"/>
    </row>
    <row r="329" spans="1:12" x14ac:dyDescent="0.2">
      <c r="A329" s="389" t="s">
        <v>613</v>
      </c>
      <c r="B329" s="389">
        <v>70</v>
      </c>
      <c r="C329" s="390">
        <f>E110+E122+E136+E148+E161</f>
        <v>0</v>
      </c>
      <c r="D329" s="391" t="s">
        <v>118</v>
      </c>
      <c r="I329" s="7"/>
      <c r="J329" s="7"/>
      <c r="K329" s="7"/>
      <c r="L329" s="392"/>
    </row>
    <row r="330" spans="1:12" x14ac:dyDescent="0.2">
      <c r="A330" s="389" t="s">
        <v>613</v>
      </c>
      <c r="B330" s="389">
        <v>84</v>
      </c>
      <c r="C330" s="390">
        <f>F110+F122+F136+F148+F161</f>
        <v>0</v>
      </c>
      <c r="D330" s="391" t="s">
        <v>118</v>
      </c>
      <c r="I330" s="7"/>
      <c r="J330" s="7"/>
      <c r="K330" s="7"/>
      <c r="L330" s="392"/>
    </row>
    <row r="331" spans="1:12" x14ac:dyDescent="0.2">
      <c r="A331" s="389" t="s">
        <v>613</v>
      </c>
      <c r="B331" s="389">
        <v>112</v>
      </c>
      <c r="C331" s="390">
        <f>G110+G122+G136+G148+G161</f>
        <v>0</v>
      </c>
      <c r="D331" s="391" t="s">
        <v>118</v>
      </c>
      <c r="I331" s="7"/>
      <c r="J331" s="7"/>
      <c r="K331" s="7"/>
      <c r="L331" s="392"/>
    </row>
    <row r="332" spans="1:12" x14ac:dyDescent="0.2">
      <c r="A332" s="389" t="s">
        <v>613</v>
      </c>
      <c r="B332" s="389">
        <v>140</v>
      </c>
      <c r="C332" s="390">
        <f>H110+H122+H136+H148+H161</f>
        <v>0</v>
      </c>
      <c r="D332" s="391" t="s">
        <v>118</v>
      </c>
      <c r="I332" s="7"/>
      <c r="J332" s="7"/>
      <c r="K332" s="7"/>
      <c r="L332" s="392"/>
    </row>
    <row r="333" spans="1:12" x14ac:dyDescent="0.2">
      <c r="A333" s="389" t="s">
        <v>630</v>
      </c>
      <c r="B333" s="389"/>
      <c r="C333" s="390">
        <f>L191</f>
        <v>0</v>
      </c>
      <c r="D333" s="391" t="s">
        <v>118</v>
      </c>
      <c r="I333" s="7"/>
      <c r="J333" s="7"/>
      <c r="K333" s="7"/>
      <c r="L333" s="392"/>
    </row>
    <row r="334" spans="1:12" x14ac:dyDescent="0.2">
      <c r="A334" s="389" t="s">
        <v>595</v>
      </c>
      <c r="B334" s="389">
        <v>28</v>
      </c>
      <c r="C334" s="390" t="e">
        <f>C48+C60+C73+C84+C97+C109+C121+C135+C147+C162-C373</f>
        <v>#REF!</v>
      </c>
      <c r="D334" s="391" t="s">
        <v>118</v>
      </c>
      <c r="I334" s="7"/>
      <c r="J334" s="7"/>
      <c r="K334" s="7"/>
      <c r="L334" s="392"/>
    </row>
    <row r="335" spans="1:12" x14ac:dyDescent="0.2">
      <c r="A335" s="389" t="s">
        <v>595</v>
      </c>
      <c r="B335" s="389">
        <v>56</v>
      </c>
      <c r="C335" s="390" t="e">
        <f>D48+D60+D73+D84+D97+D109+D121+D135+D147+D162-C374</f>
        <v>#REF!</v>
      </c>
      <c r="D335" s="391" t="s">
        <v>118</v>
      </c>
      <c r="I335" s="7"/>
      <c r="J335" s="7"/>
      <c r="K335" s="7"/>
      <c r="L335" s="392"/>
    </row>
    <row r="336" spans="1:12" x14ac:dyDescent="0.2">
      <c r="A336" s="389" t="s">
        <v>595</v>
      </c>
      <c r="B336" s="389">
        <v>70</v>
      </c>
      <c r="C336" s="390" t="e">
        <f>E48+E60+E73+E84+E97+E109+E121+E135+E147+E162-C375</f>
        <v>#REF!</v>
      </c>
      <c r="D336" s="391" t="s">
        <v>118</v>
      </c>
      <c r="I336" s="7"/>
      <c r="J336" s="7"/>
      <c r="K336" s="7"/>
      <c r="L336" s="392"/>
    </row>
    <row r="337" spans="1:12" x14ac:dyDescent="0.2">
      <c r="A337" s="389" t="s">
        <v>595</v>
      </c>
      <c r="B337" s="389">
        <v>84</v>
      </c>
      <c r="C337" s="390" t="e">
        <f>F48+F60+F73+F84+F97+F109+F121+F135+F147+F162-C376</f>
        <v>#REF!</v>
      </c>
      <c r="D337" s="391" t="s">
        <v>118</v>
      </c>
      <c r="I337" s="7"/>
      <c r="J337" s="7"/>
      <c r="K337" s="7"/>
      <c r="L337" s="392"/>
    </row>
    <row r="338" spans="1:12" x14ac:dyDescent="0.2">
      <c r="A338" s="389" t="s">
        <v>595</v>
      </c>
      <c r="B338" s="389">
        <v>112</v>
      </c>
      <c r="C338" s="390" t="e">
        <f>G48+G60+G73+G84+G97+G109+G121+G135+G147+G162-C377</f>
        <v>#REF!</v>
      </c>
      <c r="D338" s="391" t="s">
        <v>118</v>
      </c>
      <c r="I338" s="7"/>
      <c r="J338" s="7"/>
      <c r="K338" s="7"/>
      <c r="L338" s="392"/>
    </row>
    <row r="339" spans="1:12" x14ac:dyDescent="0.2">
      <c r="A339" s="389" t="s">
        <v>595</v>
      </c>
      <c r="B339" s="389">
        <v>140</v>
      </c>
      <c r="C339" s="390"/>
      <c r="D339" s="391" t="s">
        <v>118</v>
      </c>
      <c r="I339" s="7"/>
      <c r="J339" s="7"/>
      <c r="K339" s="7"/>
      <c r="L339" s="392"/>
    </row>
    <row r="340" spans="1:12" x14ac:dyDescent="0.2">
      <c r="A340" s="389" t="s">
        <v>625</v>
      </c>
      <c r="B340" s="389"/>
      <c r="C340" s="390">
        <f>L174+L190-C308</f>
        <v>0</v>
      </c>
      <c r="D340" s="391" t="s">
        <v>118</v>
      </c>
      <c r="I340" s="7"/>
      <c r="J340" s="7"/>
      <c r="K340" s="7"/>
      <c r="L340" s="392"/>
    </row>
    <row r="341" spans="1:12" x14ac:dyDescent="0.2">
      <c r="A341" s="389" t="s">
        <v>642</v>
      </c>
      <c r="B341" s="389"/>
      <c r="C341" s="390">
        <f>L233+L240+L248+L256+L264</f>
        <v>0</v>
      </c>
      <c r="D341" s="391" t="s">
        <v>118</v>
      </c>
      <c r="I341" s="7"/>
      <c r="J341" s="7"/>
      <c r="K341" s="7"/>
      <c r="L341" s="392"/>
    </row>
    <row r="342" spans="1:12" x14ac:dyDescent="0.2">
      <c r="A342" s="320"/>
      <c r="B342" s="320"/>
      <c r="C342" s="1131"/>
      <c r="D342" s="1132"/>
      <c r="I342" s="7"/>
      <c r="J342" s="7"/>
      <c r="K342" s="7"/>
      <c r="L342" s="392"/>
    </row>
    <row r="343" spans="1:12" x14ac:dyDescent="0.2">
      <c r="A343" s="389" t="s">
        <v>635</v>
      </c>
      <c r="B343" s="389"/>
      <c r="C343" s="390">
        <f>(L224+L231+L238)*1.1</f>
        <v>0</v>
      </c>
      <c r="D343" s="391" t="s">
        <v>667</v>
      </c>
      <c r="I343" s="7"/>
      <c r="J343" s="7"/>
      <c r="K343" s="7"/>
      <c r="L343" s="392"/>
    </row>
    <row r="344" spans="1:12" x14ac:dyDescent="0.2">
      <c r="A344" s="389" t="s">
        <v>599</v>
      </c>
      <c r="B344" s="389"/>
      <c r="C344" s="390" t="e">
        <f>(+I52+I65+I77+I89+I101+I114+I127+I140+I153+I166)*1.1</f>
        <v>#REF!</v>
      </c>
      <c r="D344" s="391" t="s">
        <v>667</v>
      </c>
      <c r="I344" s="7"/>
      <c r="J344" s="7"/>
      <c r="K344" s="7"/>
      <c r="L344" s="392"/>
    </row>
    <row r="345" spans="1:12" x14ac:dyDescent="0.2">
      <c r="A345" s="389" t="s">
        <v>628</v>
      </c>
      <c r="B345" s="389"/>
      <c r="C345" s="390">
        <f>L182+L199</f>
        <v>0</v>
      </c>
      <c r="D345" s="391" t="s">
        <v>118</v>
      </c>
      <c r="I345" s="7"/>
      <c r="J345" s="7"/>
      <c r="K345" s="7"/>
      <c r="L345" s="392"/>
    </row>
    <row r="346" spans="1:12" x14ac:dyDescent="0.2">
      <c r="A346" s="389" t="s">
        <v>653</v>
      </c>
      <c r="B346" s="389"/>
      <c r="C346" s="390">
        <f>D274</f>
        <v>0</v>
      </c>
      <c r="D346" s="391" t="s">
        <v>118</v>
      </c>
      <c r="I346" s="7"/>
      <c r="J346" s="7"/>
      <c r="K346" s="7"/>
      <c r="L346" s="392"/>
    </row>
    <row r="347" spans="1:12" x14ac:dyDescent="0.2">
      <c r="A347" s="389" t="s">
        <v>597</v>
      </c>
      <c r="B347" s="389"/>
      <c r="C347" s="390" t="e">
        <f>(I50+I63+I75+I87+I99+I112+I125+I138+I151+I164+L180+L197)</f>
        <v>#REF!</v>
      </c>
      <c r="D347" s="391" t="s">
        <v>667</v>
      </c>
      <c r="I347" s="7"/>
      <c r="J347" s="7"/>
      <c r="K347" s="7"/>
      <c r="L347" s="392"/>
    </row>
    <row r="348" spans="1:12" x14ac:dyDescent="0.2">
      <c r="A348" s="389" t="s">
        <v>664</v>
      </c>
      <c r="B348" s="389"/>
      <c r="C348" s="390">
        <f>(L299)</f>
        <v>0</v>
      </c>
      <c r="D348" s="391" t="s">
        <v>667</v>
      </c>
      <c r="I348" s="7"/>
      <c r="J348" s="7"/>
      <c r="K348" s="7"/>
      <c r="L348" s="392"/>
    </row>
    <row r="349" spans="1:12" x14ac:dyDescent="0.2">
      <c r="A349" s="389" t="s">
        <v>661</v>
      </c>
      <c r="B349" s="389"/>
      <c r="C349" s="390">
        <f>(L292)</f>
        <v>0</v>
      </c>
      <c r="D349" s="391" t="s">
        <v>667</v>
      </c>
      <c r="I349" s="7"/>
      <c r="J349" s="7"/>
      <c r="K349" s="7"/>
      <c r="L349" s="392"/>
    </row>
    <row r="350" spans="1:12" x14ac:dyDescent="0.2">
      <c r="A350" s="389" t="s">
        <v>647</v>
      </c>
      <c r="B350" s="389"/>
      <c r="C350" s="390">
        <f>(L254)*1.1</f>
        <v>0</v>
      </c>
      <c r="D350" s="391" t="s">
        <v>667</v>
      </c>
      <c r="I350" s="7"/>
      <c r="J350" s="7"/>
      <c r="K350" s="7"/>
      <c r="L350" s="392"/>
    </row>
    <row r="351" spans="1:12" x14ac:dyDescent="0.2">
      <c r="A351" s="389" t="s">
        <v>645</v>
      </c>
      <c r="B351" s="389"/>
      <c r="C351" s="390">
        <f>(L246)*1.1</f>
        <v>0</v>
      </c>
      <c r="D351" s="391" t="s">
        <v>667</v>
      </c>
      <c r="I351" s="7"/>
      <c r="J351" s="7"/>
      <c r="K351" s="7"/>
      <c r="L351" s="392"/>
    </row>
    <row r="352" spans="1:12" x14ac:dyDescent="0.2">
      <c r="A352" s="389" t="s">
        <v>649</v>
      </c>
      <c r="B352" s="389"/>
      <c r="C352" s="390">
        <f>(L262)*1.1</f>
        <v>0</v>
      </c>
      <c r="D352" s="391" t="s">
        <v>667</v>
      </c>
      <c r="I352" s="7"/>
      <c r="J352" s="7"/>
      <c r="K352" s="7"/>
      <c r="L352" s="392"/>
    </row>
    <row r="353" spans="1:12" x14ac:dyDescent="0.2">
      <c r="A353" s="389" t="s">
        <v>644</v>
      </c>
      <c r="B353" s="389"/>
      <c r="C353" s="390">
        <f>(L241)</f>
        <v>0</v>
      </c>
      <c r="D353" s="391" t="s">
        <v>667</v>
      </c>
      <c r="I353" s="7"/>
      <c r="J353" s="7"/>
      <c r="K353" s="7"/>
      <c r="L353" s="392"/>
    </row>
    <row r="354" spans="1:12" x14ac:dyDescent="0.2">
      <c r="A354" s="389" t="s">
        <v>638</v>
      </c>
      <c r="B354" s="389"/>
      <c r="C354" s="390">
        <f>L227</f>
        <v>0</v>
      </c>
      <c r="D354" s="391" t="s">
        <v>118</v>
      </c>
      <c r="I354" s="7"/>
      <c r="J354" s="7"/>
      <c r="K354" s="7"/>
      <c r="L354" s="392"/>
    </row>
    <row r="355" spans="1:12" x14ac:dyDescent="0.2">
      <c r="A355" s="389" t="s">
        <v>648</v>
      </c>
      <c r="B355" s="389"/>
      <c r="C355" s="390">
        <f>L255</f>
        <v>0</v>
      </c>
      <c r="D355" s="391" t="s">
        <v>118</v>
      </c>
      <c r="I355" s="7"/>
      <c r="J355" s="7"/>
      <c r="K355" s="7"/>
      <c r="L355" s="392"/>
    </row>
    <row r="356" spans="1:12" x14ac:dyDescent="0.2">
      <c r="A356" s="389" t="s">
        <v>650</v>
      </c>
      <c r="B356" s="389"/>
      <c r="C356" s="390">
        <f>L263</f>
        <v>0</v>
      </c>
      <c r="D356" s="391" t="s">
        <v>118</v>
      </c>
      <c r="I356" s="7"/>
      <c r="J356" s="7"/>
      <c r="K356" s="7"/>
      <c r="L356" s="392"/>
    </row>
    <row r="357" spans="1:12" x14ac:dyDescent="0.2">
      <c r="A357" s="389" t="s">
        <v>641</v>
      </c>
      <c r="B357" s="389"/>
      <c r="C357" s="390">
        <f>L232</f>
        <v>0</v>
      </c>
      <c r="D357" s="391" t="s">
        <v>118</v>
      </c>
      <c r="I357" s="7"/>
      <c r="J357" s="7"/>
      <c r="K357" s="7"/>
      <c r="L357" s="392"/>
    </row>
    <row r="358" spans="1:12" x14ac:dyDescent="0.2">
      <c r="A358" s="389" t="s">
        <v>646</v>
      </c>
      <c r="B358" s="389"/>
      <c r="C358" s="390">
        <f>L247</f>
        <v>0</v>
      </c>
      <c r="D358" s="391" t="s">
        <v>118</v>
      </c>
      <c r="I358" s="7"/>
      <c r="J358" s="7"/>
      <c r="K358" s="7"/>
      <c r="L358" s="392"/>
    </row>
    <row r="359" spans="1:12" x14ac:dyDescent="0.2">
      <c r="A359" s="389" t="s">
        <v>643</v>
      </c>
      <c r="B359" s="389"/>
      <c r="C359" s="390">
        <f>L239</f>
        <v>0</v>
      </c>
      <c r="D359" s="391" t="s">
        <v>118</v>
      </c>
      <c r="I359" s="7"/>
      <c r="J359" s="7"/>
      <c r="K359" s="7"/>
      <c r="L359" s="392"/>
    </row>
    <row r="360" spans="1:12" x14ac:dyDescent="0.2">
      <c r="A360" s="389" t="s">
        <v>656</v>
      </c>
      <c r="B360" s="389"/>
      <c r="C360" s="390">
        <f>L280</f>
        <v>0</v>
      </c>
      <c r="D360" s="391" t="s">
        <v>118</v>
      </c>
      <c r="I360" s="7"/>
      <c r="J360" s="7"/>
      <c r="K360" s="7"/>
      <c r="L360" s="392"/>
    </row>
    <row r="361" spans="1:12" x14ac:dyDescent="0.2">
      <c r="A361" s="389" t="s">
        <v>659</v>
      </c>
      <c r="B361" s="389"/>
      <c r="C361" s="390">
        <f>L287</f>
        <v>0</v>
      </c>
      <c r="D361" s="391" t="s">
        <v>118</v>
      </c>
      <c r="I361" s="7"/>
      <c r="J361" s="7"/>
      <c r="K361" s="7"/>
      <c r="L361" s="392"/>
    </row>
    <row r="362" spans="1:12" x14ac:dyDescent="0.2">
      <c r="A362" s="389" t="s">
        <v>666</v>
      </c>
      <c r="B362" s="389"/>
      <c r="C362" s="390">
        <f>L301</f>
        <v>0</v>
      </c>
      <c r="D362" s="391" t="s">
        <v>118</v>
      </c>
      <c r="I362" s="7"/>
      <c r="J362" s="7"/>
      <c r="K362" s="7"/>
      <c r="L362" s="392"/>
    </row>
    <row r="363" spans="1:12" x14ac:dyDescent="0.2">
      <c r="A363" s="389" t="s">
        <v>662</v>
      </c>
      <c r="B363" s="389"/>
      <c r="C363" s="390">
        <f>L294</f>
        <v>0</v>
      </c>
      <c r="D363" s="391" t="s">
        <v>118</v>
      </c>
      <c r="I363" s="7"/>
      <c r="J363" s="7"/>
      <c r="K363" s="7"/>
      <c r="L363" s="392"/>
    </row>
    <row r="364" spans="1:12" x14ac:dyDescent="0.2">
      <c r="A364" s="389" t="s">
        <v>627</v>
      </c>
      <c r="B364" s="389"/>
      <c r="C364" s="390">
        <f>L177+L194</f>
        <v>0</v>
      </c>
      <c r="D364" s="391" t="s">
        <v>118</v>
      </c>
      <c r="I364" s="7"/>
      <c r="J364" s="7"/>
      <c r="K364" s="7"/>
      <c r="L364" s="392"/>
    </row>
    <row r="365" spans="1:12" x14ac:dyDescent="0.2">
      <c r="A365" s="389" t="s">
        <v>596</v>
      </c>
      <c r="B365" s="389"/>
      <c r="C365" s="390" t="e">
        <f>+I49+I62+I74+I86+I98+I111+I124+I137+I150+I163+L178+L195</f>
        <v>#REF!</v>
      </c>
      <c r="D365" s="391" t="s">
        <v>118</v>
      </c>
      <c r="I365" s="7"/>
      <c r="J365" s="7"/>
      <c r="K365" s="7"/>
      <c r="L365" s="392"/>
    </row>
    <row r="366" spans="1:12" x14ac:dyDescent="0.2">
      <c r="A366" s="389" t="s">
        <v>636</v>
      </c>
      <c r="B366" s="389"/>
      <c r="C366" s="390">
        <f>L225</f>
        <v>0</v>
      </c>
      <c r="D366" s="391" t="s">
        <v>118</v>
      </c>
      <c r="I366" s="7"/>
      <c r="J366" s="7"/>
      <c r="K366" s="7"/>
      <c r="L366" s="392"/>
    </row>
    <row r="367" spans="1:12" x14ac:dyDescent="0.2">
      <c r="A367" s="389" t="s">
        <v>633</v>
      </c>
      <c r="B367" s="389">
        <v>28</v>
      </c>
      <c r="C367" s="390">
        <f>C217</f>
        <v>0</v>
      </c>
      <c r="D367" s="391" t="s">
        <v>118</v>
      </c>
      <c r="I367" s="7"/>
      <c r="J367" s="7"/>
      <c r="K367" s="7"/>
      <c r="L367" s="392"/>
    </row>
    <row r="368" spans="1:12" x14ac:dyDescent="0.2">
      <c r="A368" s="389" t="s">
        <v>633</v>
      </c>
      <c r="B368" s="389">
        <v>56</v>
      </c>
      <c r="C368" s="390">
        <f>E217</f>
        <v>0</v>
      </c>
      <c r="D368" s="391" t="s">
        <v>118</v>
      </c>
      <c r="I368" s="7"/>
      <c r="J368" s="7"/>
      <c r="K368" s="7"/>
      <c r="L368" s="392"/>
    </row>
    <row r="369" spans="1:12" x14ac:dyDescent="0.2">
      <c r="A369" s="389" t="s">
        <v>633</v>
      </c>
      <c r="B369" s="389">
        <v>70</v>
      </c>
      <c r="C369" s="390">
        <f>G217</f>
        <v>0</v>
      </c>
      <c r="D369" s="391" t="s">
        <v>118</v>
      </c>
      <c r="I369" s="7"/>
      <c r="J369" s="7"/>
      <c r="K369" s="7"/>
      <c r="L369" s="392"/>
    </row>
    <row r="370" spans="1:12" x14ac:dyDescent="0.2">
      <c r="A370" s="389" t="s">
        <v>633</v>
      </c>
      <c r="B370" s="389">
        <v>84</v>
      </c>
      <c r="C370" s="390">
        <f>I217</f>
        <v>0</v>
      </c>
      <c r="D370" s="391" t="s">
        <v>118</v>
      </c>
      <c r="I370" s="7"/>
      <c r="J370" s="7"/>
      <c r="K370" s="7"/>
      <c r="L370" s="392"/>
    </row>
    <row r="371" spans="1:12" x14ac:dyDescent="0.2">
      <c r="A371" s="389" t="s">
        <v>633</v>
      </c>
      <c r="B371" s="389">
        <v>112</v>
      </c>
      <c r="C371" s="390">
        <f>K217</f>
        <v>0</v>
      </c>
      <c r="D371" s="391" t="s">
        <v>118</v>
      </c>
      <c r="I371" s="7"/>
      <c r="J371" s="7"/>
      <c r="K371" s="7"/>
      <c r="L371" s="392"/>
    </row>
    <row r="372" spans="1:12" x14ac:dyDescent="0.2">
      <c r="A372" s="389" t="s">
        <v>633</v>
      </c>
      <c r="B372" s="389">
        <v>140</v>
      </c>
      <c r="C372" s="390">
        <f>M217</f>
        <v>0</v>
      </c>
      <c r="D372" s="391" t="s">
        <v>118</v>
      </c>
      <c r="I372" s="7"/>
      <c r="J372" s="7"/>
      <c r="K372" s="7"/>
      <c r="L372" s="392"/>
    </row>
    <row r="373" spans="1:12" x14ac:dyDescent="0.2">
      <c r="A373" s="389" t="s">
        <v>631</v>
      </c>
      <c r="B373" s="389">
        <v>28</v>
      </c>
      <c r="C373" s="390">
        <f>C209</f>
        <v>0</v>
      </c>
      <c r="D373" s="391" t="s">
        <v>118</v>
      </c>
      <c r="I373" s="7"/>
      <c r="J373" s="7"/>
      <c r="K373" s="7"/>
      <c r="L373" s="392"/>
    </row>
    <row r="374" spans="1:12" x14ac:dyDescent="0.2">
      <c r="A374" s="389" t="s">
        <v>631</v>
      </c>
      <c r="B374" s="389">
        <v>56</v>
      </c>
      <c r="C374" s="390">
        <f>E209</f>
        <v>0</v>
      </c>
      <c r="D374" s="391" t="s">
        <v>118</v>
      </c>
      <c r="I374" s="7"/>
      <c r="J374" s="7"/>
      <c r="K374" s="7"/>
      <c r="L374" s="392"/>
    </row>
    <row r="375" spans="1:12" x14ac:dyDescent="0.2">
      <c r="A375" s="389" t="s">
        <v>631</v>
      </c>
      <c r="B375" s="389">
        <v>70</v>
      </c>
      <c r="C375" s="390">
        <f>G209</f>
        <v>0</v>
      </c>
      <c r="D375" s="391" t="s">
        <v>118</v>
      </c>
      <c r="I375" s="7"/>
      <c r="J375" s="7"/>
      <c r="K375" s="7"/>
      <c r="L375" s="392"/>
    </row>
    <row r="376" spans="1:12" x14ac:dyDescent="0.2">
      <c r="A376" s="389" t="s">
        <v>631</v>
      </c>
      <c r="B376" s="389">
        <v>84</v>
      </c>
      <c r="C376" s="390">
        <f>I209</f>
        <v>0</v>
      </c>
      <c r="D376" s="391" t="s">
        <v>118</v>
      </c>
      <c r="I376" s="7"/>
      <c r="J376" s="7"/>
      <c r="K376" s="7"/>
      <c r="L376" s="392"/>
    </row>
    <row r="377" spans="1:12" x14ac:dyDescent="0.2">
      <c r="A377" s="389" t="s">
        <v>631</v>
      </c>
      <c r="B377" s="389">
        <v>112</v>
      </c>
      <c r="C377" s="390">
        <f>K209</f>
        <v>0</v>
      </c>
      <c r="D377" s="391" t="s">
        <v>118</v>
      </c>
      <c r="I377" s="7"/>
      <c r="J377" s="7"/>
      <c r="K377" s="7"/>
      <c r="L377" s="392"/>
    </row>
    <row r="378" spans="1:12" x14ac:dyDescent="0.2">
      <c r="A378" s="389" t="s">
        <v>631</v>
      </c>
      <c r="B378" s="389">
        <v>140</v>
      </c>
      <c r="C378" s="390">
        <f>M209</f>
        <v>0</v>
      </c>
      <c r="D378" s="391" t="s">
        <v>118</v>
      </c>
      <c r="I378" s="7"/>
      <c r="J378" s="7"/>
      <c r="K378" s="7"/>
      <c r="L378" s="392"/>
    </row>
    <row r="379" spans="1:12" x14ac:dyDescent="0.2">
      <c r="A379" s="389" t="s">
        <v>600</v>
      </c>
      <c r="B379" s="389" t="s">
        <v>668</v>
      </c>
      <c r="C379" s="390">
        <f>L183+L200</f>
        <v>0</v>
      </c>
      <c r="D379" s="391" t="s">
        <v>118</v>
      </c>
      <c r="I379" s="7"/>
      <c r="J379" s="7"/>
      <c r="K379" s="7"/>
      <c r="L379" s="392">
        <f>SUBTOTAL(9,L183:L200)</f>
        <v>0</v>
      </c>
    </row>
    <row r="380" spans="1:12" x14ac:dyDescent="0.2">
      <c r="I380" s="7"/>
      <c r="J380" s="7"/>
      <c r="K380" s="7"/>
      <c r="L380" s="7"/>
    </row>
    <row r="381" spans="1:12" x14ac:dyDescent="0.2">
      <c r="I381" s="7"/>
      <c r="J381" s="7"/>
      <c r="K381" s="7"/>
      <c r="L381" s="7"/>
    </row>
    <row r="382" spans="1:12" x14ac:dyDescent="0.2">
      <c r="I382" s="7"/>
      <c r="J382" s="7"/>
      <c r="K382" s="7"/>
      <c r="L382" s="7"/>
    </row>
    <row r="383" spans="1:12" x14ac:dyDescent="0.2">
      <c r="I383" s="7"/>
      <c r="J383" s="7"/>
      <c r="K383" s="7"/>
      <c r="L383" s="7"/>
    </row>
    <row r="384" spans="1:12" x14ac:dyDescent="0.2">
      <c r="I384" s="7"/>
      <c r="J384" s="7"/>
      <c r="K384" s="7"/>
      <c r="L384" s="7"/>
    </row>
    <row r="385" spans="9:12" x14ac:dyDescent="0.2">
      <c r="I385" s="7"/>
      <c r="J385" s="7"/>
      <c r="K385" s="7"/>
      <c r="L385" s="7"/>
    </row>
    <row r="386" spans="9:12" x14ac:dyDescent="0.2">
      <c r="I386" s="7"/>
      <c r="J386" s="7"/>
      <c r="K386" s="7"/>
      <c r="L386" s="7"/>
    </row>
    <row r="387" spans="9:12" x14ac:dyDescent="0.2">
      <c r="I387" s="7"/>
      <c r="J387" s="7"/>
      <c r="K387" s="7"/>
      <c r="L387" s="7"/>
    </row>
    <row r="388" spans="9:12" x14ac:dyDescent="0.2">
      <c r="I388" s="7"/>
      <c r="J388" s="7"/>
      <c r="K388" s="7"/>
      <c r="L388" s="7"/>
    </row>
    <row r="389" spans="9:12" x14ac:dyDescent="0.2">
      <c r="I389" s="7"/>
      <c r="J389" s="7"/>
      <c r="K389" s="7"/>
      <c r="L389" s="7"/>
    </row>
    <row r="390" spans="9:12" x14ac:dyDescent="0.2">
      <c r="I390" s="7"/>
      <c r="J390" s="7"/>
      <c r="K390" s="7"/>
      <c r="L390" s="7"/>
    </row>
    <row r="391" spans="9:12" x14ac:dyDescent="0.2">
      <c r="I391" s="7"/>
      <c r="J391" s="7"/>
      <c r="K391" s="7"/>
      <c r="L391" s="7"/>
    </row>
    <row r="392" spans="9:12" x14ac:dyDescent="0.2">
      <c r="I392" s="7"/>
      <c r="J392" s="7"/>
      <c r="K392" s="7"/>
      <c r="L392" s="7"/>
    </row>
    <row r="393" spans="9:12" x14ac:dyDescent="0.2">
      <c r="I393" s="7"/>
      <c r="J393" s="7"/>
      <c r="K393" s="7"/>
      <c r="L393" s="7"/>
    </row>
    <row r="394" spans="9:12" x14ac:dyDescent="0.2">
      <c r="I394" s="7"/>
      <c r="J394" s="7"/>
      <c r="K394" s="7"/>
      <c r="L394" s="7"/>
    </row>
    <row r="395" spans="9:12" x14ac:dyDescent="0.2">
      <c r="I395" s="7"/>
      <c r="J395" s="7"/>
      <c r="K395" s="7"/>
      <c r="L395" s="7"/>
    </row>
    <row r="396" spans="9:12" x14ac:dyDescent="0.2">
      <c r="I396" s="7"/>
      <c r="J396" s="7"/>
      <c r="K396" s="7"/>
      <c r="L396" s="7"/>
    </row>
    <row r="397" spans="9:12" x14ac:dyDescent="0.2">
      <c r="I397" s="7"/>
      <c r="J397" s="7"/>
      <c r="K397" s="7"/>
      <c r="L397" s="7"/>
    </row>
    <row r="398" spans="9:12" x14ac:dyDescent="0.2">
      <c r="I398" s="7"/>
      <c r="J398" s="7"/>
      <c r="K398" s="7"/>
      <c r="L398" s="7"/>
    </row>
    <row r="399" spans="9:12" x14ac:dyDescent="0.2">
      <c r="I399" s="7"/>
      <c r="J399" s="7"/>
      <c r="K399" s="7"/>
      <c r="L399" s="7"/>
    </row>
    <row r="400" spans="9:12" x14ac:dyDescent="0.2">
      <c r="I400" s="7"/>
      <c r="J400" s="7"/>
      <c r="K400" s="7"/>
      <c r="L400" s="7"/>
    </row>
    <row r="401" spans="1:12" x14ac:dyDescent="0.2">
      <c r="I401" s="7"/>
      <c r="J401" s="7"/>
      <c r="K401" s="7"/>
      <c r="L401" s="7"/>
    </row>
    <row r="402" spans="1:12" x14ac:dyDescent="0.2">
      <c r="I402" s="7"/>
      <c r="J402" s="7"/>
      <c r="K402" s="7"/>
      <c r="L402" s="7"/>
    </row>
    <row r="403" spans="1:12" x14ac:dyDescent="0.2">
      <c r="I403" s="7"/>
      <c r="J403" s="7"/>
      <c r="K403" s="7"/>
      <c r="L403" s="7"/>
    </row>
    <row r="404" spans="1:12" ht="15.75" x14ac:dyDescent="0.25">
      <c r="A404" s="139"/>
      <c r="I404" s="7"/>
      <c r="J404" s="7"/>
      <c r="K404" s="7"/>
      <c r="L404" s="7"/>
    </row>
    <row r="405" spans="1:12" ht="15.75" x14ac:dyDescent="0.25">
      <c r="A405" s="139"/>
      <c r="I405" s="7"/>
      <c r="J405" s="7"/>
      <c r="K405" s="7"/>
      <c r="L405" s="7"/>
    </row>
    <row r="406" spans="1:12" ht="15.75" x14ac:dyDescent="0.25">
      <c r="A406" s="139"/>
      <c r="I406" s="7"/>
      <c r="J406" s="7"/>
      <c r="K406" s="7"/>
      <c r="L406" s="7"/>
    </row>
    <row r="407" spans="1:12" ht="15.75" x14ac:dyDescent="0.25">
      <c r="A407" s="139"/>
      <c r="I407" s="7"/>
      <c r="J407" s="7"/>
      <c r="K407" s="7"/>
      <c r="L407" s="7"/>
    </row>
    <row r="408" spans="1:12" ht="15.75" x14ac:dyDescent="0.25">
      <c r="A408" s="139"/>
      <c r="I408" s="7"/>
      <c r="J408" s="7"/>
      <c r="K408" s="7"/>
      <c r="L408" s="7"/>
    </row>
    <row r="409" spans="1:12" ht="15.75" x14ac:dyDescent="0.25">
      <c r="A409" s="139"/>
      <c r="I409" s="7"/>
      <c r="J409" s="7"/>
      <c r="K409" s="7"/>
      <c r="L409" s="7"/>
    </row>
    <row r="410" spans="1:12" ht="15.75" x14ac:dyDescent="0.25">
      <c r="A410" s="139"/>
      <c r="I410" s="7"/>
      <c r="J410" s="7"/>
      <c r="K410" s="7"/>
      <c r="L410" s="7"/>
    </row>
    <row r="411" spans="1:12" ht="15.75" x14ac:dyDescent="0.25">
      <c r="A411" s="139"/>
      <c r="I411" s="7"/>
      <c r="J411" s="7"/>
      <c r="K411" s="7"/>
      <c r="L411" s="7"/>
    </row>
    <row r="412" spans="1:12" ht="15.75" x14ac:dyDescent="0.25">
      <c r="A412" s="139"/>
      <c r="I412" s="7"/>
      <c r="J412" s="7"/>
      <c r="K412" s="7"/>
      <c r="L412" s="7"/>
    </row>
    <row r="413" spans="1:12" ht="15.75" x14ac:dyDescent="0.25">
      <c r="A413" s="139"/>
      <c r="I413" s="7"/>
      <c r="J413" s="7"/>
      <c r="K413" s="7"/>
      <c r="L413" s="7"/>
    </row>
    <row r="414" spans="1:12" ht="15.75" x14ac:dyDescent="0.25">
      <c r="A414" s="139"/>
      <c r="I414" s="7"/>
      <c r="J414" s="7"/>
      <c r="K414" s="7"/>
      <c r="L414" s="7"/>
    </row>
    <row r="415" spans="1:12" ht="15.75" x14ac:dyDescent="0.25">
      <c r="A415" s="139"/>
      <c r="I415" s="7"/>
      <c r="J415" s="7"/>
      <c r="K415" s="7"/>
      <c r="L415" s="7"/>
    </row>
    <row r="416" spans="1:12" x14ac:dyDescent="0.2">
      <c r="I416" s="7"/>
      <c r="J416" s="7"/>
      <c r="K416" s="7"/>
      <c r="L416" s="7"/>
    </row>
    <row r="417" spans="1:12" x14ac:dyDescent="0.2">
      <c r="I417" s="7"/>
      <c r="J417" s="7"/>
      <c r="K417" s="7"/>
      <c r="L417" s="7"/>
    </row>
    <row r="418" spans="1:12" x14ac:dyDescent="0.2">
      <c r="I418" s="7"/>
      <c r="J418" s="7"/>
      <c r="K418" s="7"/>
      <c r="L418" s="7"/>
    </row>
    <row r="419" spans="1:12" x14ac:dyDescent="0.2">
      <c r="I419" s="7"/>
      <c r="J419" s="7"/>
      <c r="K419" s="7"/>
      <c r="L419" s="7"/>
    </row>
    <row r="420" spans="1:12" x14ac:dyDescent="0.2">
      <c r="A420" s="225"/>
      <c r="I420" s="7"/>
      <c r="J420" s="7"/>
      <c r="K420" s="7"/>
      <c r="L420" s="7"/>
    </row>
    <row r="421" spans="1:12" x14ac:dyDescent="0.2">
      <c r="I421" s="7"/>
      <c r="J421" s="7"/>
      <c r="K421" s="7"/>
      <c r="L421" s="7"/>
    </row>
    <row r="422" spans="1:12" x14ac:dyDescent="0.2">
      <c r="I422" s="7"/>
      <c r="J422" s="7"/>
      <c r="K422" s="7"/>
      <c r="L422" s="7"/>
    </row>
    <row r="423" spans="1:12" x14ac:dyDescent="0.2">
      <c r="I423" s="7"/>
      <c r="J423" s="7"/>
      <c r="K423" s="7"/>
      <c r="L423" s="7"/>
    </row>
    <row r="424" spans="1:12" x14ac:dyDescent="0.2">
      <c r="I424" s="7"/>
      <c r="J424" s="7"/>
      <c r="K424" s="7"/>
      <c r="L424" s="7"/>
    </row>
    <row r="425" spans="1:12" ht="18" x14ac:dyDescent="0.25">
      <c r="A425" s="137"/>
      <c r="I425" s="7"/>
      <c r="J425" s="7"/>
      <c r="K425" s="7"/>
      <c r="L425" s="7"/>
    </row>
    <row r="426" spans="1:12" ht="18" x14ac:dyDescent="0.25">
      <c r="A426" s="137"/>
      <c r="I426" s="7"/>
      <c r="J426" s="7"/>
      <c r="K426" s="7"/>
      <c r="L426" s="7"/>
    </row>
    <row r="427" spans="1:12" ht="18" x14ac:dyDescent="0.25">
      <c r="A427" s="137"/>
      <c r="I427" s="7"/>
      <c r="J427" s="7"/>
      <c r="K427" s="7"/>
      <c r="L427" s="7"/>
    </row>
    <row r="428" spans="1:12" ht="18" x14ac:dyDescent="0.25">
      <c r="A428" s="137"/>
      <c r="I428" s="7"/>
      <c r="J428" s="7"/>
      <c r="K428" s="7"/>
      <c r="L428" s="7"/>
    </row>
    <row r="429" spans="1:12" ht="18" x14ac:dyDescent="0.25">
      <c r="A429" s="137"/>
      <c r="I429" s="7"/>
      <c r="J429" s="7"/>
      <c r="K429" s="7"/>
      <c r="L429" s="7"/>
    </row>
    <row r="430" spans="1:12" ht="18" x14ac:dyDescent="0.25">
      <c r="A430" s="137"/>
      <c r="I430" s="7"/>
      <c r="J430" s="7"/>
      <c r="K430" s="7"/>
      <c r="L430" s="7"/>
    </row>
    <row r="431" spans="1:12" ht="18" x14ac:dyDescent="0.25">
      <c r="A431" s="137"/>
      <c r="I431" s="7"/>
      <c r="J431" s="7"/>
      <c r="K431" s="7"/>
      <c r="L431" s="7"/>
    </row>
    <row r="432" spans="1:12" x14ac:dyDescent="0.2">
      <c r="I432" s="7"/>
      <c r="J432" s="7"/>
      <c r="K432" s="7"/>
      <c r="L432" s="7"/>
    </row>
    <row r="433" spans="9:12" x14ac:dyDescent="0.2">
      <c r="I433" s="7"/>
      <c r="J433" s="7"/>
      <c r="K433" s="7"/>
      <c r="L433" s="7"/>
    </row>
    <row r="434" spans="9:12" x14ac:dyDescent="0.2">
      <c r="I434" s="7"/>
      <c r="J434" s="7"/>
      <c r="K434" s="7"/>
      <c r="L434" s="7"/>
    </row>
    <row r="435" spans="9:12" x14ac:dyDescent="0.2">
      <c r="I435" s="7"/>
      <c r="J435" s="7"/>
      <c r="K435" s="7"/>
      <c r="L435" s="7"/>
    </row>
    <row r="436" spans="9:12" x14ac:dyDescent="0.2">
      <c r="I436" s="7"/>
      <c r="J436" s="7"/>
      <c r="K436" s="7"/>
      <c r="L436" s="7"/>
    </row>
    <row r="437" spans="9:12" x14ac:dyDescent="0.2">
      <c r="I437" s="7"/>
      <c r="J437" s="7"/>
      <c r="K437" s="7"/>
      <c r="L437" s="7"/>
    </row>
    <row r="438" spans="9:12" x14ac:dyDescent="0.2">
      <c r="I438" s="7"/>
      <c r="J438" s="7"/>
      <c r="K438" s="7"/>
      <c r="L438" s="7"/>
    </row>
    <row r="439" spans="9:12" x14ac:dyDescent="0.2">
      <c r="I439" s="7"/>
      <c r="J439" s="7"/>
      <c r="K439" s="7"/>
      <c r="L439" s="7"/>
    </row>
    <row r="440" spans="9:12" x14ac:dyDescent="0.2">
      <c r="I440" s="7"/>
      <c r="J440" s="7"/>
      <c r="K440" s="7"/>
      <c r="L440" s="7"/>
    </row>
    <row r="441" spans="9:12" x14ac:dyDescent="0.2">
      <c r="I441" s="7"/>
      <c r="J441" s="7"/>
      <c r="K441" s="7"/>
      <c r="L441" s="7"/>
    </row>
    <row r="442" spans="9:12" x14ac:dyDescent="0.2">
      <c r="I442" s="7"/>
      <c r="J442" s="7"/>
      <c r="K442" s="7"/>
      <c r="L442" s="7"/>
    </row>
    <row r="443" spans="9:12" x14ac:dyDescent="0.2">
      <c r="I443" s="7"/>
      <c r="J443" s="7"/>
      <c r="K443" s="7"/>
      <c r="L443" s="7"/>
    </row>
    <row r="444" spans="9:12" x14ac:dyDescent="0.2">
      <c r="I444" s="7"/>
      <c r="J444" s="7"/>
      <c r="K444" s="7"/>
      <c r="L444" s="7"/>
    </row>
    <row r="445" spans="9:12" x14ac:dyDescent="0.2">
      <c r="I445" s="7"/>
      <c r="J445" s="7"/>
      <c r="K445" s="7"/>
      <c r="L445" s="7"/>
    </row>
    <row r="446" spans="9:12" x14ac:dyDescent="0.2">
      <c r="I446" s="7"/>
      <c r="J446" s="7"/>
      <c r="K446" s="7"/>
      <c r="L446" s="7"/>
    </row>
    <row r="447" spans="9:12" x14ac:dyDescent="0.2">
      <c r="I447" s="7"/>
      <c r="J447" s="7"/>
      <c r="K447" s="7"/>
      <c r="L447" s="7"/>
    </row>
    <row r="448" spans="9:12" x14ac:dyDescent="0.2">
      <c r="I448" s="7"/>
      <c r="J448" s="7"/>
      <c r="K448" s="7"/>
      <c r="L448" s="7"/>
    </row>
    <row r="449" spans="1:12" ht="15.75" x14ac:dyDescent="0.25">
      <c r="A449" s="318"/>
      <c r="I449" s="7"/>
      <c r="J449" s="7"/>
      <c r="K449" s="7"/>
      <c r="L449" s="7"/>
    </row>
    <row r="450" spans="1:12" ht="15.75" x14ac:dyDescent="0.25">
      <c r="A450" s="318"/>
      <c r="I450" s="7"/>
      <c r="J450" s="7"/>
      <c r="K450" s="7"/>
      <c r="L450" s="7"/>
    </row>
    <row r="451" spans="1:12" ht="15.75" x14ac:dyDescent="0.25">
      <c r="A451" s="318"/>
      <c r="I451" s="7"/>
      <c r="J451" s="7"/>
      <c r="K451" s="7"/>
      <c r="L451" s="7"/>
    </row>
    <row r="452" spans="1:12" x14ac:dyDescent="0.2">
      <c r="I452" s="7"/>
      <c r="J452" s="7"/>
      <c r="K452" s="7"/>
      <c r="L452" s="7"/>
    </row>
    <row r="453" spans="1:12" x14ac:dyDescent="0.2">
      <c r="I453" s="7"/>
      <c r="J453" s="7"/>
      <c r="K453" s="7"/>
      <c r="L453" s="7"/>
    </row>
    <row r="454" spans="1:12" x14ac:dyDescent="0.2">
      <c r="I454" s="7"/>
      <c r="J454" s="7"/>
      <c r="K454" s="7"/>
      <c r="L454" s="7"/>
    </row>
    <row r="455" spans="1:12" x14ac:dyDescent="0.2">
      <c r="I455" s="7"/>
      <c r="J455" s="7"/>
      <c r="K455" s="7"/>
      <c r="L455" s="7"/>
    </row>
    <row r="456" spans="1:12" x14ac:dyDescent="0.2">
      <c r="I456" s="7"/>
      <c r="J456" s="7"/>
      <c r="K456" s="7"/>
      <c r="L456" s="7"/>
    </row>
    <row r="457" spans="1:12" x14ac:dyDescent="0.2">
      <c r="I457" s="7"/>
      <c r="J457" s="7"/>
      <c r="K457" s="7"/>
      <c r="L457" s="7"/>
    </row>
    <row r="458" spans="1:12" x14ac:dyDescent="0.2">
      <c r="I458" s="7"/>
      <c r="J458" s="7"/>
      <c r="K458" s="7"/>
      <c r="L458" s="7"/>
    </row>
    <row r="459" spans="1:12" x14ac:dyDescent="0.2">
      <c r="I459" s="7"/>
      <c r="J459" s="7"/>
      <c r="K459" s="7"/>
      <c r="L459" s="7"/>
    </row>
    <row r="460" spans="1:12" x14ac:dyDescent="0.2">
      <c r="A460" s="379"/>
      <c r="I460" s="7"/>
      <c r="J460" s="7"/>
      <c r="K460" s="7"/>
      <c r="L460" s="7"/>
    </row>
    <row r="461" spans="1:12" x14ac:dyDescent="0.2">
      <c r="A461" s="144"/>
      <c r="I461" s="7"/>
      <c r="J461" s="7"/>
      <c r="K461" s="7"/>
      <c r="L461" s="7"/>
    </row>
    <row r="462" spans="1:12" x14ac:dyDescent="0.2">
      <c r="A462" s="144"/>
      <c r="I462" s="7"/>
      <c r="J462" s="7"/>
      <c r="K462" s="7"/>
      <c r="L462" s="7"/>
    </row>
    <row r="463" spans="1:12" x14ac:dyDescent="0.2">
      <c r="A463" s="144"/>
      <c r="I463" s="7"/>
      <c r="J463" s="7"/>
      <c r="K463" s="7"/>
      <c r="L463" s="7"/>
    </row>
    <row r="464" spans="1:12" x14ac:dyDescent="0.2">
      <c r="A464" s="144"/>
      <c r="I464" s="7"/>
      <c r="J464" s="7"/>
      <c r="K464" s="7"/>
      <c r="L464" s="7"/>
    </row>
    <row r="465" spans="1:12" x14ac:dyDescent="0.2">
      <c r="A465" s="144"/>
      <c r="I465" s="7"/>
      <c r="J465" s="7"/>
      <c r="K465" s="7"/>
      <c r="L465" s="7"/>
    </row>
    <row r="466" spans="1:12" x14ac:dyDescent="0.2">
      <c r="A466" s="144"/>
      <c r="I466" s="7"/>
      <c r="J466" s="7"/>
      <c r="K466" s="7"/>
      <c r="L466" s="7"/>
    </row>
    <row r="467" spans="1:12" x14ac:dyDescent="0.2">
      <c r="A467" s="144"/>
      <c r="I467" s="7"/>
      <c r="J467" s="7"/>
      <c r="K467" s="7"/>
      <c r="L467" s="7"/>
    </row>
    <row r="468" spans="1:12" x14ac:dyDescent="0.2">
      <c r="A468" s="144"/>
      <c r="I468" s="7"/>
      <c r="J468" s="7"/>
      <c r="K468" s="7"/>
      <c r="L468" s="7"/>
    </row>
    <row r="469" spans="1:12" x14ac:dyDescent="0.2">
      <c r="A469" s="144"/>
      <c r="I469" s="7"/>
      <c r="J469" s="7"/>
      <c r="K469" s="7"/>
      <c r="L469" s="7"/>
    </row>
    <row r="470" spans="1:12" x14ac:dyDescent="0.2">
      <c r="I470" s="7"/>
      <c r="J470" s="7"/>
      <c r="K470" s="7"/>
      <c r="L470" s="7"/>
    </row>
    <row r="471" spans="1:12" x14ac:dyDescent="0.2">
      <c r="I471" s="7"/>
      <c r="J471" s="7"/>
      <c r="K471" s="7"/>
      <c r="L471" s="7"/>
    </row>
    <row r="472" spans="1:12" x14ac:dyDescent="0.2">
      <c r="I472" s="7"/>
      <c r="J472" s="7"/>
      <c r="K472" s="7"/>
      <c r="L472" s="7"/>
    </row>
    <row r="473" spans="1:12" x14ac:dyDescent="0.2">
      <c r="I473" s="7"/>
      <c r="J473" s="7"/>
      <c r="K473" s="7"/>
      <c r="L473" s="7"/>
    </row>
    <row r="474" spans="1:12" x14ac:dyDescent="0.2">
      <c r="I474" s="7"/>
      <c r="J474" s="7"/>
      <c r="K474" s="7"/>
      <c r="L474" s="7"/>
    </row>
    <row r="475" spans="1:12" x14ac:dyDescent="0.2">
      <c r="I475" s="7"/>
      <c r="J475" s="7"/>
      <c r="K475" s="7"/>
      <c r="L475" s="7"/>
    </row>
    <row r="476" spans="1:12" x14ac:dyDescent="0.2">
      <c r="I476" s="7"/>
      <c r="J476" s="7"/>
      <c r="K476" s="7"/>
      <c r="L476" s="7"/>
    </row>
    <row r="477" spans="1:12" x14ac:dyDescent="0.2">
      <c r="I477" s="7"/>
      <c r="J477" s="7"/>
      <c r="K477" s="7"/>
      <c r="L477" s="7"/>
    </row>
    <row r="478" spans="1:12" x14ac:dyDescent="0.2">
      <c r="I478" s="7"/>
      <c r="J478" s="7"/>
      <c r="K478" s="7"/>
      <c r="L478" s="7"/>
    </row>
    <row r="479" spans="1:12" x14ac:dyDescent="0.2">
      <c r="I479" s="7"/>
      <c r="J479" s="7"/>
      <c r="K479" s="7"/>
      <c r="L479" s="7"/>
    </row>
    <row r="480" spans="1:12" x14ac:dyDescent="0.2">
      <c r="I480" s="7"/>
      <c r="J480" s="7"/>
      <c r="K480" s="7"/>
      <c r="L480" s="7"/>
    </row>
    <row r="481" spans="1:12" x14ac:dyDescent="0.2">
      <c r="I481" s="7"/>
      <c r="J481" s="7"/>
      <c r="K481" s="7"/>
      <c r="L481" s="7"/>
    </row>
    <row r="482" spans="1:12" x14ac:dyDescent="0.2">
      <c r="A482" s="144"/>
      <c r="I482" s="7"/>
      <c r="J482" s="7"/>
      <c r="K482" s="7"/>
      <c r="L482" s="7"/>
    </row>
    <row r="483" spans="1:12" x14ac:dyDescent="0.2">
      <c r="A483" s="144"/>
      <c r="I483" s="7"/>
      <c r="J483" s="7"/>
      <c r="K483" s="7"/>
      <c r="L483" s="7"/>
    </row>
    <row r="484" spans="1:12" x14ac:dyDescent="0.2">
      <c r="A484" s="144"/>
      <c r="I484" s="7"/>
      <c r="J484" s="7"/>
      <c r="K484" s="7"/>
      <c r="L484" s="7"/>
    </row>
    <row r="485" spans="1:12" x14ac:dyDescent="0.2">
      <c r="I485" s="7"/>
      <c r="J485" s="7"/>
      <c r="K485" s="7"/>
      <c r="L485" s="7"/>
    </row>
    <row r="486" spans="1:12" x14ac:dyDescent="0.2">
      <c r="I486" s="7"/>
      <c r="J486" s="7"/>
      <c r="K486" s="7"/>
      <c r="L486" s="7"/>
    </row>
    <row r="487" spans="1:12" x14ac:dyDescent="0.2">
      <c r="I487" s="7"/>
      <c r="J487" s="7"/>
      <c r="K487" s="7"/>
      <c r="L487" s="7"/>
    </row>
    <row r="488" spans="1:12" x14ac:dyDescent="0.2">
      <c r="I488" s="7"/>
      <c r="J488" s="7"/>
      <c r="K488" s="7"/>
      <c r="L488" s="7"/>
    </row>
    <row r="489" spans="1:12" x14ac:dyDescent="0.2">
      <c r="I489" s="7"/>
      <c r="J489" s="7"/>
      <c r="K489" s="7"/>
      <c r="L489" s="7"/>
    </row>
    <row r="490" spans="1:12" x14ac:dyDescent="0.2">
      <c r="I490" s="7"/>
      <c r="J490" s="7"/>
      <c r="K490" s="7"/>
      <c r="L490" s="7"/>
    </row>
    <row r="491" spans="1:12" x14ac:dyDescent="0.2">
      <c r="I491" s="7"/>
      <c r="J491" s="7"/>
      <c r="K491" s="7"/>
      <c r="L491" s="7"/>
    </row>
    <row r="492" spans="1:12" x14ac:dyDescent="0.2">
      <c r="I492" s="7"/>
      <c r="J492" s="7"/>
      <c r="K492" s="7"/>
      <c r="L492" s="7"/>
    </row>
    <row r="493" spans="1:12" x14ac:dyDescent="0.2">
      <c r="I493" s="7"/>
      <c r="J493" s="7"/>
      <c r="K493" s="7"/>
      <c r="L493" s="7"/>
    </row>
    <row r="494" spans="1:12" x14ac:dyDescent="0.2">
      <c r="I494" s="7"/>
      <c r="J494" s="7"/>
      <c r="K494" s="7"/>
      <c r="L494" s="7"/>
    </row>
    <row r="495" spans="1:12" x14ac:dyDescent="0.2">
      <c r="I495" s="7"/>
      <c r="J495" s="7"/>
      <c r="K495" s="7"/>
      <c r="L495" s="7"/>
    </row>
    <row r="496" spans="1:12" x14ac:dyDescent="0.2">
      <c r="I496" s="7"/>
      <c r="J496" s="7"/>
      <c r="K496" s="7"/>
      <c r="L496" s="7"/>
    </row>
    <row r="497" spans="9:12" x14ac:dyDescent="0.2">
      <c r="I497" s="7"/>
      <c r="J497" s="7"/>
      <c r="K497" s="7"/>
      <c r="L497" s="7"/>
    </row>
    <row r="498" spans="9:12" x14ac:dyDescent="0.2">
      <c r="I498" s="7"/>
      <c r="J498" s="7"/>
      <c r="K498" s="7"/>
      <c r="L498" s="7"/>
    </row>
    <row r="499" spans="9:12" x14ac:dyDescent="0.2">
      <c r="I499" s="7"/>
      <c r="J499" s="7"/>
      <c r="K499" s="7"/>
      <c r="L499" s="7"/>
    </row>
    <row r="500" spans="9:12" x14ac:dyDescent="0.2">
      <c r="I500" s="7"/>
      <c r="J500" s="7"/>
      <c r="K500" s="7"/>
      <c r="L500" s="7"/>
    </row>
    <row r="501" spans="9:12" x14ac:dyDescent="0.2">
      <c r="I501" s="7"/>
      <c r="J501" s="7"/>
      <c r="K501" s="7"/>
      <c r="L501" s="7"/>
    </row>
    <row r="502" spans="9:12" x14ac:dyDescent="0.2">
      <c r="I502" s="7"/>
      <c r="J502" s="7"/>
      <c r="K502" s="7"/>
      <c r="L502" s="7"/>
    </row>
    <row r="503" spans="9:12" x14ac:dyDescent="0.2">
      <c r="I503" s="7"/>
      <c r="J503" s="7"/>
      <c r="K503" s="7"/>
      <c r="L503" s="7"/>
    </row>
    <row r="504" spans="9:12" x14ac:dyDescent="0.2">
      <c r="I504" s="7"/>
      <c r="J504" s="7"/>
      <c r="K504" s="7"/>
      <c r="L504" s="7"/>
    </row>
    <row r="505" spans="9:12" x14ac:dyDescent="0.2">
      <c r="I505" s="7"/>
      <c r="J505" s="7"/>
      <c r="K505" s="7"/>
      <c r="L505" s="7"/>
    </row>
    <row r="506" spans="9:12" x14ac:dyDescent="0.2">
      <c r="I506" s="7"/>
      <c r="J506" s="7"/>
      <c r="K506" s="7"/>
      <c r="L506" s="7"/>
    </row>
    <row r="507" spans="9:12" x14ac:dyDescent="0.2">
      <c r="I507" s="7"/>
      <c r="J507" s="7"/>
      <c r="K507" s="7"/>
      <c r="L507" s="7"/>
    </row>
    <row r="508" spans="9:12" x14ac:dyDescent="0.2">
      <c r="I508" s="7"/>
      <c r="J508" s="7"/>
      <c r="K508" s="7"/>
      <c r="L508" s="7"/>
    </row>
    <row r="509" spans="9:12" x14ac:dyDescent="0.2">
      <c r="I509" s="7"/>
      <c r="J509" s="7"/>
      <c r="K509" s="7"/>
      <c r="L509" s="7"/>
    </row>
    <row r="510" spans="9:12" x14ac:dyDescent="0.2">
      <c r="I510" s="7"/>
      <c r="J510" s="7"/>
      <c r="K510" s="7"/>
      <c r="L510" s="7"/>
    </row>
    <row r="511" spans="9:12" x14ac:dyDescent="0.2">
      <c r="I511" s="7"/>
      <c r="J511" s="7"/>
      <c r="K511" s="7"/>
      <c r="L511" s="7"/>
    </row>
    <row r="512" spans="9:12" x14ac:dyDescent="0.2">
      <c r="I512" s="7"/>
      <c r="J512" s="7"/>
      <c r="K512" s="7"/>
      <c r="L512" s="7"/>
    </row>
    <row r="513" spans="9:12" x14ac:dyDescent="0.2">
      <c r="I513" s="7"/>
      <c r="J513" s="7"/>
      <c r="K513" s="7"/>
      <c r="L513" s="7"/>
    </row>
    <row r="514" spans="9:12" x14ac:dyDescent="0.2">
      <c r="I514" s="7"/>
      <c r="J514" s="7"/>
      <c r="K514" s="7"/>
      <c r="L514" s="7"/>
    </row>
    <row r="515" spans="9:12" x14ac:dyDescent="0.2">
      <c r="I515" s="7"/>
      <c r="J515" s="7"/>
      <c r="K515" s="7"/>
      <c r="L515" s="7"/>
    </row>
    <row r="516" spans="9:12" x14ac:dyDescent="0.2">
      <c r="I516" s="7"/>
      <c r="J516" s="7"/>
      <c r="K516" s="7"/>
      <c r="L516" s="7"/>
    </row>
    <row r="517" spans="9:12" x14ac:dyDescent="0.2">
      <c r="I517" s="7"/>
      <c r="J517" s="7"/>
      <c r="K517" s="7"/>
      <c r="L517" s="7"/>
    </row>
    <row r="518" spans="9:12" x14ac:dyDescent="0.2">
      <c r="I518" s="7"/>
      <c r="J518" s="7"/>
      <c r="K518" s="7"/>
      <c r="L518" s="7"/>
    </row>
    <row r="519" spans="9:12" x14ac:dyDescent="0.2">
      <c r="I519" s="7"/>
      <c r="J519" s="7"/>
      <c r="K519" s="7"/>
      <c r="L519" s="7"/>
    </row>
    <row r="520" spans="9:12" x14ac:dyDescent="0.2">
      <c r="I520" s="7"/>
      <c r="J520" s="7"/>
      <c r="K520" s="7"/>
      <c r="L520" s="7"/>
    </row>
    <row r="521" spans="9:12" x14ac:dyDescent="0.2">
      <c r="I521" s="7"/>
      <c r="J521" s="7"/>
      <c r="K521" s="7"/>
      <c r="L521" s="7"/>
    </row>
    <row r="522" spans="9:12" x14ac:dyDescent="0.2">
      <c r="I522" s="7"/>
      <c r="J522" s="7"/>
      <c r="K522" s="7"/>
      <c r="L522" s="7"/>
    </row>
    <row r="523" spans="9:12" x14ac:dyDescent="0.2">
      <c r="I523" s="7"/>
      <c r="J523" s="7"/>
      <c r="K523" s="7"/>
      <c r="L523" s="7"/>
    </row>
    <row r="524" spans="9:12" x14ac:dyDescent="0.2">
      <c r="I524" s="7"/>
      <c r="J524" s="7"/>
      <c r="K524" s="7"/>
      <c r="L524" s="7"/>
    </row>
    <row r="525" spans="9:12" x14ac:dyDescent="0.2">
      <c r="I525" s="7"/>
      <c r="J525" s="7"/>
      <c r="K525" s="7"/>
      <c r="L525" s="7"/>
    </row>
    <row r="526" spans="9:12" x14ac:dyDescent="0.2">
      <c r="I526" s="7"/>
      <c r="J526" s="7"/>
      <c r="K526" s="7"/>
      <c r="L526" s="7"/>
    </row>
    <row r="527" spans="9:12" x14ac:dyDescent="0.2">
      <c r="I527" s="7"/>
      <c r="J527" s="7"/>
      <c r="K527" s="7"/>
      <c r="L527" s="7"/>
    </row>
    <row r="528" spans="9:12" x14ac:dyDescent="0.2">
      <c r="I528" s="7"/>
      <c r="J528" s="7"/>
      <c r="K528" s="7"/>
      <c r="L528" s="7"/>
    </row>
    <row r="529" spans="9:12" x14ac:dyDescent="0.2">
      <c r="I529" s="7"/>
      <c r="J529" s="7"/>
      <c r="K529" s="7"/>
      <c r="L529" s="7"/>
    </row>
    <row r="530" spans="9:12" x14ac:dyDescent="0.2">
      <c r="I530" s="7"/>
      <c r="J530" s="7"/>
      <c r="K530" s="7"/>
      <c r="L530" s="7"/>
    </row>
    <row r="531" spans="9:12" x14ac:dyDescent="0.2">
      <c r="I531" s="7"/>
      <c r="J531" s="7"/>
      <c r="K531" s="7"/>
      <c r="L531" s="7"/>
    </row>
    <row r="532" spans="9:12" x14ac:dyDescent="0.2">
      <c r="I532" s="7"/>
      <c r="J532" s="7"/>
      <c r="K532" s="7"/>
      <c r="L532" s="7"/>
    </row>
    <row r="533" spans="9:12" x14ac:dyDescent="0.2">
      <c r="I533" s="7"/>
      <c r="J533" s="7"/>
      <c r="K533" s="7"/>
      <c r="L533" s="7"/>
    </row>
    <row r="534" spans="9:12" x14ac:dyDescent="0.2">
      <c r="I534" s="7"/>
      <c r="J534" s="7"/>
      <c r="K534" s="7"/>
      <c r="L534" s="7"/>
    </row>
    <row r="535" spans="9:12" x14ac:dyDescent="0.2">
      <c r="I535" s="7"/>
      <c r="J535" s="7"/>
      <c r="K535" s="7"/>
      <c r="L535" s="7"/>
    </row>
    <row r="536" spans="9:12" x14ac:dyDescent="0.2">
      <c r="I536" s="7"/>
      <c r="J536" s="7"/>
      <c r="K536" s="7"/>
      <c r="L536" s="7"/>
    </row>
    <row r="537" spans="9:12" x14ac:dyDescent="0.2">
      <c r="I537" s="7"/>
      <c r="J537" s="7"/>
      <c r="K537" s="7"/>
      <c r="L537" s="7"/>
    </row>
    <row r="538" spans="9:12" x14ac:dyDescent="0.2">
      <c r="I538" s="7"/>
      <c r="J538" s="7"/>
      <c r="K538" s="7"/>
      <c r="L538" s="7"/>
    </row>
    <row r="539" spans="9:12" x14ac:dyDescent="0.2">
      <c r="I539" s="7"/>
      <c r="J539" s="7"/>
      <c r="K539" s="7"/>
      <c r="L539" s="7"/>
    </row>
    <row r="540" spans="9:12" x14ac:dyDescent="0.2">
      <c r="I540" s="7"/>
      <c r="J540" s="7"/>
      <c r="K540" s="7"/>
      <c r="L540" s="7"/>
    </row>
    <row r="541" spans="9:12" x14ac:dyDescent="0.2">
      <c r="I541" s="7"/>
      <c r="J541" s="7"/>
      <c r="K541" s="7"/>
      <c r="L541" s="7"/>
    </row>
    <row r="542" spans="9:12" x14ac:dyDescent="0.2">
      <c r="I542" s="7"/>
      <c r="J542" s="7"/>
      <c r="K542" s="7"/>
      <c r="L542" s="7"/>
    </row>
    <row r="543" spans="9:12" x14ac:dyDescent="0.2">
      <c r="I543" s="7"/>
      <c r="J543" s="7"/>
      <c r="K543" s="7"/>
      <c r="L543" s="7"/>
    </row>
    <row r="544" spans="9:12" x14ac:dyDescent="0.2">
      <c r="I544" s="7"/>
      <c r="J544" s="7"/>
      <c r="K544" s="7"/>
      <c r="L544" s="7"/>
    </row>
    <row r="545" spans="9:12" x14ac:dyDescent="0.2">
      <c r="I545" s="7"/>
      <c r="J545" s="7"/>
      <c r="K545" s="7"/>
      <c r="L545" s="7"/>
    </row>
    <row r="546" spans="9:12" x14ac:dyDescent="0.2">
      <c r="I546" s="7"/>
      <c r="J546" s="7"/>
      <c r="K546" s="7"/>
      <c r="L546" s="7"/>
    </row>
    <row r="547" spans="9:12" x14ac:dyDescent="0.2">
      <c r="I547" s="7"/>
      <c r="J547" s="7"/>
      <c r="K547" s="7"/>
      <c r="L547" s="7"/>
    </row>
    <row r="548" spans="9:12" x14ac:dyDescent="0.2">
      <c r="I548" s="7"/>
      <c r="J548" s="7"/>
      <c r="K548" s="7"/>
      <c r="L548" s="7"/>
    </row>
    <row r="549" spans="9:12" x14ac:dyDescent="0.2">
      <c r="I549" s="7"/>
      <c r="J549" s="7"/>
      <c r="K549" s="7"/>
      <c r="L549" s="7"/>
    </row>
    <row r="550" spans="9:12" x14ac:dyDescent="0.2">
      <c r="I550" s="7"/>
      <c r="J550" s="7"/>
      <c r="K550" s="7"/>
      <c r="L550" s="7"/>
    </row>
    <row r="551" spans="9:12" x14ac:dyDescent="0.2">
      <c r="I551" s="7"/>
      <c r="J551" s="7"/>
      <c r="K551" s="7"/>
      <c r="L551" s="7"/>
    </row>
    <row r="552" spans="9:12" x14ac:dyDescent="0.2">
      <c r="I552" s="7"/>
      <c r="J552" s="7"/>
      <c r="K552" s="7"/>
      <c r="L552" s="7"/>
    </row>
    <row r="553" spans="9:12" x14ac:dyDescent="0.2">
      <c r="I553" s="7"/>
      <c r="J553" s="7"/>
      <c r="K553" s="7"/>
      <c r="L553" s="7"/>
    </row>
    <row r="554" spans="9:12" x14ac:dyDescent="0.2">
      <c r="I554" s="7"/>
      <c r="J554" s="7"/>
      <c r="K554" s="7"/>
      <c r="L554" s="7"/>
    </row>
    <row r="555" spans="9:12" x14ac:dyDescent="0.2">
      <c r="I555" s="7"/>
      <c r="J555" s="7"/>
      <c r="K555" s="7"/>
      <c r="L555" s="7"/>
    </row>
    <row r="556" spans="9:12" x14ac:dyDescent="0.2">
      <c r="I556" s="7"/>
      <c r="J556" s="7"/>
      <c r="K556" s="7"/>
      <c r="L556" s="7"/>
    </row>
    <row r="557" spans="9:12" x14ac:dyDescent="0.2">
      <c r="I557" s="7"/>
      <c r="J557" s="7"/>
      <c r="K557" s="7"/>
      <c r="L557" s="7"/>
    </row>
    <row r="558" spans="9:12" x14ac:dyDescent="0.2">
      <c r="I558" s="7"/>
      <c r="J558" s="7"/>
      <c r="K558" s="7"/>
      <c r="L558" s="7"/>
    </row>
    <row r="559" spans="9:12" x14ac:dyDescent="0.2">
      <c r="I559" s="7"/>
      <c r="J559" s="7"/>
      <c r="K559" s="7"/>
      <c r="L559" s="7"/>
    </row>
    <row r="560" spans="9:12" x14ac:dyDescent="0.2">
      <c r="I560" s="7"/>
      <c r="J560" s="7"/>
      <c r="K560" s="7"/>
      <c r="L560" s="7"/>
    </row>
    <row r="561" spans="9:12" x14ac:dyDescent="0.2">
      <c r="I561" s="7"/>
      <c r="J561" s="7"/>
      <c r="K561" s="7"/>
      <c r="L561" s="7"/>
    </row>
    <row r="562" spans="9:12" x14ac:dyDescent="0.2">
      <c r="I562" s="7"/>
      <c r="J562" s="7"/>
      <c r="K562" s="7"/>
      <c r="L562" s="7"/>
    </row>
    <row r="563" spans="9:12" x14ac:dyDescent="0.2">
      <c r="I563" s="7"/>
      <c r="J563" s="7"/>
      <c r="K563" s="7"/>
      <c r="L563" s="7"/>
    </row>
    <row r="564" spans="9:12" x14ac:dyDescent="0.2">
      <c r="I564" s="7"/>
      <c r="J564" s="7"/>
      <c r="K564" s="7"/>
      <c r="L564" s="7"/>
    </row>
    <row r="565" spans="9:12" x14ac:dyDescent="0.2">
      <c r="I565" s="7"/>
      <c r="J565" s="7"/>
      <c r="K565" s="7"/>
      <c r="L565" s="7"/>
    </row>
    <row r="566" spans="9:12" x14ac:dyDescent="0.2">
      <c r="I566" s="7"/>
      <c r="J566" s="7"/>
      <c r="K566" s="7"/>
      <c r="L566" s="7"/>
    </row>
    <row r="567" spans="9:12" x14ac:dyDescent="0.2">
      <c r="I567" s="7"/>
      <c r="J567" s="7"/>
      <c r="K567" s="7"/>
      <c r="L567" s="7"/>
    </row>
    <row r="568" spans="9:12" x14ac:dyDescent="0.2">
      <c r="I568" s="7"/>
      <c r="J568" s="7"/>
      <c r="K568" s="7"/>
      <c r="L568" s="7"/>
    </row>
    <row r="569" spans="9:12" x14ac:dyDescent="0.2">
      <c r="I569" s="7"/>
      <c r="J569" s="7"/>
      <c r="K569" s="7"/>
      <c r="L569" s="7"/>
    </row>
    <row r="570" spans="9:12" x14ac:dyDescent="0.2">
      <c r="I570" s="7"/>
      <c r="J570" s="7"/>
      <c r="K570" s="7"/>
      <c r="L570" s="7"/>
    </row>
    <row r="571" spans="9:12" x14ac:dyDescent="0.2">
      <c r="I571" s="7"/>
      <c r="J571" s="7"/>
      <c r="K571" s="7"/>
      <c r="L571" s="7"/>
    </row>
    <row r="572" spans="9:12" x14ac:dyDescent="0.2">
      <c r="I572" s="7"/>
      <c r="J572" s="7"/>
      <c r="K572" s="7"/>
      <c r="L572" s="7"/>
    </row>
    <row r="573" spans="9:12" x14ac:dyDescent="0.2">
      <c r="I573" s="7"/>
      <c r="J573" s="7"/>
      <c r="K573" s="7"/>
      <c r="L573" s="7"/>
    </row>
    <row r="574" spans="9:12" x14ac:dyDescent="0.2">
      <c r="I574" s="7"/>
      <c r="J574" s="7"/>
      <c r="K574" s="7"/>
      <c r="L574" s="7"/>
    </row>
    <row r="575" spans="9:12" x14ac:dyDescent="0.2">
      <c r="I575" s="7"/>
      <c r="J575" s="7"/>
      <c r="K575" s="7"/>
      <c r="L575" s="7"/>
    </row>
    <row r="576" spans="9:12" x14ac:dyDescent="0.2">
      <c r="I576" s="7"/>
      <c r="J576" s="7"/>
      <c r="K576" s="7"/>
      <c r="L576" s="7"/>
    </row>
    <row r="577" spans="9:12" x14ac:dyDescent="0.2">
      <c r="I577" s="7"/>
      <c r="J577" s="7"/>
      <c r="K577" s="7"/>
      <c r="L577" s="7"/>
    </row>
    <row r="578" spans="9:12" x14ac:dyDescent="0.2">
      <c r="I578" s="7"/>
      <c r="J578" s="7"/>
      <c r="K578" s="7"/>
      <c r="L578" s="7"/>
    </row>
    <row r="579" spans="9:12" x14ac:dyDescent="0.2">
      <c r="I579" s="7"/>
      <c r="J579" s="7"/>
      <c r="K579" s="7"/>
      <c r="L579" s="7"/>
    </row>
    <row r="580" spans="9:12" x14ac:dyDescent="0.2">
      <c r="I580" s="7"/>
      <c r="J580" s="7"/>
      <c r="K580" s="7"/>
      <c r="L580" s="7"/>
    </row>
    <row r="581" spans="9:12" x14ac:dyDescent="0.2">
      <c r="I581" s="7"/>
      <c r="J581" s="7"/>
      <c r="K581" s="7"/>
      <c r="L581" s="7"/>
    </row>
    <row r="582" spans="9:12" x14ac:dyDescent="0.2">
      <c r="I582" s="7"/>
      <c r="J582" s="7"/>
      <c r="K582" s="7"/>
      <c r="L582" s="7"/>
    </row>
    <row r="583" spans="9:12" x14ac:dyDescent="0.2">
      <c r="I583" s="7"/>
      <c r="J583" s="7"/>
      <c r="K583" s="7"/>
      <c r="L583" s="7"/>
    </row>
    <row r="584" spans="9:12" x14ac:dyDescent="0.2">
      <c r="I584" s="7"/>
      <c r="J584" s="7"/>
      <c r="K584" s="7"/>
      <c r="L584" s="7"/>
    </row>
    <row r="585" spans="9:12" x14ac:dyDescent="0.2">
      <c r="I585" s="7"/>
      <c r="J585" s="7"/>
      <c r="K585" s="7"/>
      <c r="L585" s="7"/>
    </row>
    <row r="586" spans="9:12" x14ac:dyDescent="0.2">
      <c r="I586" s="7"/>
      <c r="J586" s="7"/>
      <c r="K586" s="7"/>
      <c r="L586" s="7"/>
    </row>
    <row r="587" spans="9:12" x14ac:dyDescent="0.2">
      <c r="I587" s="7"/>
      <c r="J587" s="7"/>
      <c r="K587" s="7"/>
      <c r="L587" s="7"/>
    </row>
    <row r="588" spans="9:12" x14ac:dyDescent="0.2">
      <c r="I588" s="7"/>
      <c r="J588" s="7"/>
      <c r="K588" s="7"/>
      <c r="L588" s="7"/>
    </row>
    <row r="589" spans="9:12" x14ac:dyDescent="0.2">
      <c r="I589" s="7"/>
      <c r="J589" s="7"/>
      <c r="K589" s="7"/>
      <c r="L589" s="7"/>
    </row>
    <row r="590" spans="9:12" x14ac:dyDescent="0.2">
      <c r="I590" s="7"/>
      <c r="J590" s="7"/>
      <c r="K590" s="7"/>
      <c r="L590" s="7"/>
    </row>
    <row r="591" spans="9:12" x14ac:dyDescent="0.2">
      <c r="I591" s="7"/>
      <c r="J591" s="7"/>
      <c r="K591" s="7"/>
      <c r="L591" s="7"/>
    </row>
    <row r="592" spans="9:12" x14ac:dyDescent="0.2">
      <c r="I592" s="7"/>
      <c r="J592" s="7"/>
      <c r="K592" s="7"/>
      <c r="L592" s="7"/>
    </row>
    <row r="593" spans="9:12" x14ac:dyDescent="0.2">
      <c r="I593" s="7"/>
      <c r="J593" s="7"/>
      <c r="K593" s="7"/>
      <c r="L593" s="7"/>
    </row>
    <row r="594" spans="9:12" x14ac:dyDescent="0.2">
      <c r="I594" s="7"/>
      <c r="J594" s="7"/>
      <c r="K594" s="7"/>
      <c r="L594" s="7"/>
    </row>
    <row r="595" spans="9:12" x14ac:dyDescent="0.2">
      <c r="I595" s="7"/>
      <c r="J595" s="7"/>
      <c r="K595" s="7"/>
      <c r="L595" s="7"/>
    </row>
    <row r="596" spans="9:12" x14ac:dyDescent="0.2">
      <c r="I596" s="7"/>
      <c r="J596" s="7"/>
      <c r="K596" s="7"/>
      <c r="L596" s="7"/>
    </row>
    <row r="597" spans="9:12" x14ac:dyDescent="0.2">
      <c r="I597" s="7"/>
      <c r="J597" s="7"/>
      <c r="K597" s="7"/>
      <c r="L597" s="7"/>
    </row>
    <row r="598" spans="9:12" x14ac:dyDescent="0.2">
      <c r="I598" s="7"/>
      <c r="J598" s="7"/>
      <c r="K598" s="7"/>
      <c r="L598" s="7"/>
    </row>
    <row r="599" spans="9:12" x14ac:dyDescent="0.2">
      <c r="I599" s="7"/>
      <c r="J599" s="7"/>
      <c r="K599" s="7"/>
      <c r="L599" s="7"/>
    </row>
    <row r="600" spans="9:12" x14ac:dyDescent="0.2">
      <c r="I600" s="7"/>
      <c r="J600" s="7"/>
      <c r="K600" s="7"/>
      <c r="L600" s="7"/>
    </row>
    <row r="601" spans="9:12" x14ac:dyDescent="0.2">
      <c r="I601" s="7"/>
      <c r="J601" s="7"/>
      <c r="K601" s="7"/>
      <c r="L601" s="7"/>
    </row>
    <row r="602" spans="9:12" x14ac:dyDescent="0.2">
      <c r="I602" s="7"/>
      <c r="J602" s="7"/>
      <c r="K602" s="7"/>
      <c r="L602" s="7"/>
    </row>
    <row r="603" spans="9:12" x14ac:dyDescent="0.2">
      <c r="I603" s="7"/>
      <c r="J603" s="7"/>
      <c r="K603" s="7"/>
      <c r="L603" s="7"/>
    </row>
    <row r="604" spans="9:12" x14ac:dyDescent="0.2">
      <c r="I604" s="7"/>
      <c r="J604" s="7"/>
      <c r="K604" s="7"/>
      <c r="L604" s="7"/>
    </row>
    <row r="605" spans="9:12" x14ac:dyDescent="0.2">
      <c r="I605" s="7"/>
      <c r="J605" s="7"/>
      <c r="K605" s="7"/>
      <c r="L605" s="7"/>
    </row>
    <row r="606" spans="9:12" x14ac:dyDescent="0.2">
      <c r="I606" s="7"/>
      <c r="J606" s="7"/>
      <c r="K606" s="7"/>
      <c r="L606" s="7"/>
    </row>
    <row r="607" spans="9:12" x14ac:dyDescent="0.2">
      <c r="I607" s="7"/>
      <c r="J607" s="7"/>
      <c r="K607" s="7"/>
      <c r="L607" s="7"/>
    </row>
    <row r="608" spans="9:12" x14ac:dyDescent="0.2">
      <c r="I608" s="7"/>
      <c r="J608" s="7"/>
      <c r="K608" s="7"/>
      <c r="L608" s="7"/>
    </row>
    <row r="609" spans="9:12" x14ac:dyDescent="0.2">
      <c r="I609" s="7"/>
      <c r="J609" s="7"/>
      <c r="K609" s="7"/>
      <c r="L609" s="7"/>
    </row>
    <row r="610" spans="9:12" x14ac:dyDescent="0.2">
      <c r="I610" s="7"/>
      <c r="J610" s="7"/>
      <c r="K610" s="7"/>
      <c r="L610" s="7"/>
    </row>
    <row r="611" spans="9:12" x14ac:dyDescent="0.2">
      <c r="I611" s="7"/>
      <c r="J611" s="7"/>
      <c r="K611" s="7"/>
      <c r="L611" s="7"/>
    </row>
    <row r="612" spans="9:12" x14ac:dyDescent="0.2">
      <c r="I612" s="7"/>
      <c r="J612" s="7"/>
      <c r="K612" s="7"/>
      <c r="L612" s="7"/>
    </row>
    <row r="613" spans="9:12" x14ac:dyDescent="0.2">
      <c r="I613" s="7"/>
      <c r="J613" s="7"/>
      <c r="K613" s="7"/>
      <c r="L613" s="7"/>
    </row>
    <row r="614" spans="9:12" x14ac:dyDescent="0.2">
      <c r="I614" s="7"/>
      <c r="J614" s="7"/>
      <c r="K614" s="7"/>
      <c r="L614" s="7"/>
    </row>
    <row r="615" spans="9:12" x14ac:dyDescent="0.2">
      <c r="I615" s="7"/>
      <c r="J615" s="7"/>
      <c r="K615" s="7"/>
      <c r="L615" s="7"/>
    </row>
    <row r="616" spans="9:12" x14ac:dyDescent="0.2">
      <c r="I616" s="7"/>
      <c r="J616" s="7"/>
      <c r="K616" s="7"/>
      <c r="L616" s="7"/>
    </row>
    <row r="617" spans="9:12" x14ac:dyDescent="0.2">
      <c r="I617" s="7"/>
      <c r="J617" s="7"/>
      <c r="K617" s="7"/>
      <c r="L617" s="7"/>
    </row>
    <row r="618" spans="9:12" x14ac:dyDescent="0.2">
      <c r="I618" s="7"/>
      <c r="J618" s="7"/>
      <c r="K618" s="7"/>
      <c r="L618" s="7"/>
    </row>
    <row r="619" spans="9:12" x14ac:dyDescent="0.2">
      <c r="I619" s="7"/>
      <c r="J619" s="7"/>
      <c r="K619" s="7"/>
      <c r="L619" s="7"/>
    </row>
    <row r="620" spans="9:12" x14ac:dyDescent="0.2">
      <c r="I620" s="7"/>
      <c r="J620" s="7"/>
      <c r="K620" s="7"/>
      <c r="L620" s="7"/>
    </row>
    <row r="621" spans="9:12" x14ac:dyDescent="0.2">
      <c r="I621" s="7"/>
      <c r="J621" s="7"/>
      <c r="K621" s="7"/>
      <c r="L621" s="7"/>
    </row>
    <row r="622" spans="9:12" x14ac:dyDescent="0.2">
      <c r="I622" s="7"/>
      <c r="J622" s="7"/>
      <c r="K622" s="7"/>
      <c r="L622" s="7"/>
    </row>
    <row r="623" spans="9:12" x14ac:dyDescent="0.2">
      <c r="I623" s="7"/>
      <c r="J623" s="7"/>
      <c r="K623" s="7"/>
      <c r="L623" s="7"/>
    </row>
    <row r="624" spans="9:12" x14ac:dyDescent="0.2">
      <c r="I624" s="7"/>
      <c r="J624" s="7"/>
      <c r="K624" s="7"/>
      <c r="L624" s="7"/>
    </row>
    <row r="625" spans="9:12" x14ac:dyDescent="0.2">
      <c r="I625" s="7"/>
      <c r="J625" s="7"/>
      <c r="K625" s="7"/>
      <c r="L625" s="7"/>
    </row>
    <row r="626" spans="9:12" x14ac:dyDescent="0.2">
      <c r="I626" s="7"/>
      <c r="J626" s="7"/>
      <c r="K626" s="7"/>
      <c r="L626" s="7"/>
    </row>
    <row r="627" spans="9:12" x14ac:dyDescent="0.2">
      <c r="I627" s="7"/>
      <c r="J627" s="7"/>
      <c r="K627" s="7"/>
      <c r="L627" s="7"/>
    </row>
    <row r="628" spans="9:12" x14ac:dyDescent="0.2">
      <c r="I628" s="7"/>
      <c r="J628" s="7"/>
      <c r="K628" s="7"/>
      <c r="L628" s="7"/>
    </row>
    <row r="629" spans="9:12" x14ac:dyDescent="0.2">
      <c r="I629" s="7"/>
      <c r="J629" s="7"/>
      <c r="K629" s="7"/>
      <c r="L629" s="7"/>
    </row>
    <row r="630" spans="9:12" x14ac:dyDescent="0.2">
      <c r="I630" s="7"/>
      <c r="J630" s="7"/>
      <c r="K630" s="7"/>
      <c r="L630" s="7"/>
    </row>
    <row r="631" spans="9:12" x14ac:dyDescent="0.2">
      <c r="I631" s="7"/>
      <c r="J631" s="7"/>
      <c r="K631" s="7"/>
      <c r="L631" s="7"/>
    </row>
    <row r="632" spans="9:12" x14ac:dyDescent="0.2">
      <c r="I632" s="7"/>
      <c r="J632" s="7"/>
      <c r="K632" s="7"/>
      <c r="L632" s="7"/>
    </row>
    <row r="633" spans="9:12" x14ac:dyDescent="0.2">
      <c r="I633" s="7"/>
      <c r="J633" s="7"/>
      <c r="K633" s="7"/>
      <c r="L633" s="7"/>
    </row>
    <row r="634" spans="9:12" x14ac:dyDescent="0.2">
      <c r="I634" s="7"/>
      <c r="J634" s="7"/>
      <c r="K634" s="7"/>
      <c r="L634" s="7"/>
    </row>
    <row r="635" spans="9:12" x14ac:dyDescent="0.2">
      <c r="I635" s="7"/>
      <c r="J635" s="7"/>
      <c r="K635" s="7"/>
      <c r="L635" s="7"/>
    </row>
    <row r="636" spans="9:12" x14ac:dyDescent="0.2">
      <c r="I636" s="7"/>
      <c r="J636" s="7"/>
      <c r="K636" s="7"/>
      <c r="L636" s="7"/>
    </row>
    <row r="637" spans="9:12" x14ac:dyDescent="0.2">
      <c r="I637" s="7"/>
      <c r="J637" s="7"/>
      <c r="K637" s="7"/>
      <c r="L637" s="7"/>
    </row>
    <row r="638" spans="9:12" x14ac:dyDescent="0.2">
      <c r="I638" s="7"/>
      <c r="J638" s="7"/>
      <c r="K638" s="7"/>
      <c r="L638" s="7"/>
    </row>
    <row r="639" spans="9:12" x14ac:dyDescent="0.2">
      <c r="I639" s="7"/>
      <c r="J639" s="7"/>
      <c r="K639" s="7"/>
      <c r="L639" s="7"/>
    </row>
    <row r="640" spans="9:12" x14ac:dyDescent="0.2">
      <c r="I640" s="7"/>
      <c r="J640" s="7"/>
      <c r="K640" s="7"/>
      <c r="L640" s="7"/>
    </row>
    <row r="641" spans="9:12" x14ac:dyDescent="0.2">
      <c r="I641" s="7"/>
      <c r="J641" s="7"/>
      <c r="K641" s="7"/>
      <c r="L641" s="7"/>
    </row>
    <row r="642" spans="9:12" x14ac:dyDescent="0.2">
      <c r="I642" s="7"/>
      <c r="J642" s="7"/>
      <c r="K642" s="7"/>
      <c r="L642" s="7"/>
    </row>
    <row r="643" spans="9:12" x14ac:dyDescent="0.2">
      <c r="I643" s="7"/>
      <c r="J643" s="7"/>
      <c r="K643" s="7"/>
      <c r="L643" s="7"/>
    </row>
    <row r="644" spans="9:12" x14ac:dyDescent="0.2">
      <c r="I644" s="7"/>
      <c r="J644" s="7"/>
      <c r="K644" s="7"/>
      <c r="L644" s="7"/>
    </row>
    <row r="645" spans="9:12" x14ac:dyDescent="0.2">
      <c r="I645" s="7"/>
      <c r="J645" s="7"/>
      <c r="K645" s="7"/>
      <c r="L645" s="7"/>
    </row>
    <row r="646" spans="9:12" x14ac:dyDescent="0.2">
      <c r="I646" s="7"/>
      <c r="J646" s="7"/>
      <c r="K646" s="7"/>
      <c r="L646" s="7"/>
    </row>
    <row r="647" spans="9:12" x14ac:dyDescent="0.2">
      <c r="I647" s="7"/>
      <c r="J647" s="7"/>
      <c r="K647" s="7"/>
      <c r="L647" s="7"/>
    </row>
    <row r="648" spans="9:12" x14ac:dyDescent="0.2">
      <c r="I648" s="7"/>
      <c r="J648" s="7"/>
      <c r="K648" s="7"/>
      <c r="L648" s="7"/>
    </row>
    <row r="649" spans="9:12" x14ac:dyDescent="0.2">
      <c r="I649" s="7"/>
      <c r="J649" s="7"/>
      <c r="K649" s="7"/>
      <c r="L649" s="7"/>
    </row>
    <row r="650" spans="9:12" x14ac:dyDescent="0.2">
      <c r="I650" s="7"/>
      <c r="J650" s="7"/>
      <c r="K650" s="7"/>
      <c r="L650" s="7"/>
    </row>
    <row r="651" spans="9:12" x14ac:dyDescent="0.2">
      <c r="I651" s="7"/>
      <c r="J651" s="7"/>
      <c r="K651" s="7"/>
      <c r="L651" s="7"/>
    </row>
    <row r="652" spans="9:12" x14ac:dyDescent="0.2">
      <c r="I652" s="7"/>
      <c r="J652" s="7"/>
      <c r="K652" s="7"/>
      <c r="L652" s="7"/>
    </row>
    <row r="653" spans="9:12" x14ac:dyDescent="0.2">
      <c r="I653" s="7"/>
      <c r="J653" s="7"/>
      <c r="K653" s="7"/>
      <c r="L653" s="7"/>
    </row>
    <row r="654" spans="9:12" x14ac:dyDescent="0.2">
      <c r="I654" s="7"/>
      <c r="J654" s="7"/>
      <c r="K654" s="7"/>
      <c r="L654" s="7"/>
    </row>
    <row r="655" spans="9:12" x14ac:dyDescent="0.2">
      <c r="I655" s="7"/>
      <c r="J655" s="7"/>
      <c r="K655" s="7"/>
      <c r="L655" s="7"/>
    </row>
    <row r="656" spans="9:12" x14ac:dyDescent="0.2">
      <c r="I656" s="7"/>
      <c r="J656" s="7"/>
      <c r="K656" s="7"/>
      <c r="L656" s="7"/>
    </row>
    <row r="657" spans="9:12" x14ac:dyDescent="0.2">
      <c r="I657" s="7"/>
      <c r="J657" s="7"/>
      <c r="K657" s="7"/>
      <c r="L657" s="7"/>
    </row>
    <row r="658" spans="9:12" x14ac:dyDescent="0.2">
      <c r="I658" s="7"/>
      <c r="J658" s="7"/>
      <c r="K658" s="7"/>
      <c r="L658" s="7"/>
    </row>
    <row r="659" spans="9:12" x14ac:dyDescent="0.2">
      <c r="I659" s="7"/>
      <c r="J659" s="7"/>
      <c r="K659" s="7"/>
      <c r="L659" s="7"/>
    </row>
    <row r="660" spans="9:12" x14ac:dyDescent="0.2">
      <c r="I660" s="7"/>
      <c r="J660" s="7"/>
      <c r="K660" s="7"/>
      <c r="L660" s="7"/>
    </row>
    <row r="661" spans="9:12" x14ac:dyDescent="0.2">
      <c r="I661" s="7"/>
      <c r="J661" s="7"/>
      <c r="K661" s="7"/>
      <c r="L661" s="7"/>
    </row>
    <row r="662" spans="9:12" x14ac:dyDescent="0.2">
      <c r="I662" s="7"/>
      <c r="J662" s="7"/>
      <c r="K662" s="7"/>
      <c r="L662" s="7"/>
    </row>
    <row r="663" spans="9:12" x14ac:dyDescent="0.2">
      <c r="I663" s="7"/>
      <c r="J663" s="7"/>
      <c r="K663" s="7"/>
      <c r="L663" s="7"/>
    </row>
    <row r="664" spans="9:12" x14ac:dyDescent="0.2">
      <c r="I664" s="7"/>
      <c r="J664" s="7"/>
      <c r="K664" s="7"/>
      <c r="L664" s="7"/>
    </row>
    <row r="665" spans="9:12" x14ac:dyDescent="0.2">
      <c r="I665" s="7"/>
      <c r="J665" s="7"/>
      <c r="K665" s="7"/>
      <c r="L665" s="7"/>
    </row>
    <row r="666" spans="9:12" x14ac:dyDescent="0.2">
      <c r="I666" s="7"/>
      <c r="J666" s="7"/>
      <c r="K666" s="7"/>
      <c r="L666" s="7"/>
    </row>
    <row r="667" spans="9:12" x14ac:dyDescent="0.2">
      <c r="I667" s="7"/>
      <c r="J667" s="7"/>
      <c r="K667" s="7"/>
      <c r="L667" s="7"/>
    </row>
    <row r="668" spans="9:12" x14ac:dyDescent="0.2">
      <c r="I668" s="7"/>
      <c r="J668" s="7"/>
      <c r="K668" s="7"/>
      <c r="L668" s="7"/>
    </row>
    <row r="669" spans="9:12" x14ac:dyDescent="0.2">
      <c r="I669" s="7"/>
      <c r="J669" s="7"/>
      <c r="K669" s="7"/>
      <c r="L669" s="7"/>
    </row>
    <row r="670" spans="9:12" x14ac:dyDescent="0.2">
      <c r="I670" s="7"/>
      <c r="J670" s="7"/>
      <c r="K670" s="7"/>
      <c r="L670" s="7"/>
    </row>
    <row r="671" spans="9:12" x14ac:dyDescent="0.2">
      <c r="I671" s="7"/>
      <c r="J671" s="7"/>
      <c r="K671" s="7"/>
      <c r="L671" s="7"/>
    </row>
    <row r="672" spans="9:12" x14ac:dyDescent="0.2">
      <c r="I672" s="7"/>
      <c r="J672" s="7"/>
      <c r="K672" s="7"/>
      <c r="L672" s="7"/>
    </row>
    <row r="673" spans="9:12" x14ac:dyDescent="0.2">
      <c r="I673" s="7"/>
      <c r="J673" s="7"/>
      <c r="K673" s="7"/>
      <c r="L673" s="7"/>
    </row>
    <row r="674" spans="9:12" x14ac:dyDescent="0.2">
      <c r="I674" s="7"/>
      <c r="J674" s="7"/>
      <c r="K674" s="7"/>
      <c r="L674" s="7"/>
    </row>
    <row r="675" spans="9:12" x14ac:dyDescent="0.2">
      <c r="I675" s="7"/>
      <c r="J675" s="7"/>
      <c r="K675" s="7"/>
      <c r="L675" s="7"/>
    </row>
    <row r="676" spans="9:12" x14ac:dyDescent="0.2">
      <c r="I676" s="7"/>
      <c r="J676" s="7"/>
      <c r="K676" s="7"/>
      <c r="L676" s="7"/>
    </row>
    <row r="677" spans="9:12" x14ac:dyDescent="0.2">
      <c r="I677" s="7"/>
      <c r="J677" s="7"/>
      <c r="K677" s="7"/>
      <c r="L677" s="7"/>
    </row>
    <row r="678" spans="9:12" x14ac:dyDescent="0.2">
      <c r="I678" s="7"/>
      <c r="J678" s="7"/>
      <c r="K678" s="7"/>
      <c r="L678" s="7"/>
    </row>
    <row r="679" spans="9:12" x14ac:dyDescent="0.2">
      <c r="I679" s="7"/>
      <c r="J679" s="7"/>
      <c r="K679" s="7"/>
      <c r="L679" s="7"/>
    </row>
    <row r="680" spans="9:12" x14ac:dyDescent="0.2">
      <c r="I680" s="7"/>
      <c r="J680" s="7"/>
      <c r="K680" s="7"/>
      <c r="L680" s="7"/>
    </row>
    <row r="681" spans="9:12" x14ac:dyDescent="0.2">
      <c r="I681" s="7"/>
      <c r="J681" s="7"/>
      <c r="K681" s="7"/>
      <c r="L681" s="7"/>
    </row>
    <row r="682" spans="9:12" x14ac:dyDescent="0.2">
      <c r="I682" s="7"/>
      <c r="J682" s="7"/>
      <c r="K682" s="7"/>
      <c r="L682" s="7"/>
    </row>
    <row r="683" spans="9:12" x14ac:dyDescent="0.2">
      <c r="I683" s="7"/>
      <c r="J683" s="7"/>
      <c r="K683" s="7"/>
      <c r="L683" s="7"/>
    </row>
    <row r="684" spans="9:12" x14ac:dyDescent="0.2">
      <c r="I684" s="7"/>
      <c r="J684" s="7"/>
      <c r="K684" s="7"/>
      <c r="L684" s="7"/>
    </row>
    <row r="685" spans="9:12" x14ac:dyDescent="0.2">
      <c r="I685" s="7"/>
      <c r="J685" s="7"/>
      <c r="K685" s="7"/>
      <c r="L685" s="7"/>
    </row>
    <row r="686" spans="9:12" x14ac:dyDescent="0.2">
      <c r="I686" s="7"/>
      <c r="J686" s="7"/>
      <c r="K686" s="7"/>
      <c r="L686" s="7"/>
    </row>
    <row r="687" spans="9:12" x14ac:dyDescent="0.2">
      <c r="I687" s="7"/>
      <c r="J687" s="7"/>
      <c r="K687" s="7"/>
      <c r="L687" s="7"/>
    </row>
    <row r="688" spans="9:12" x14ac:dyDescent="0.2">
      <c r="I688" s="7"/>
      <c r="J688" s="7"/>
      <c r="K688" s="7"/>
      <c r="L688" s="7"/>
    </row>
    <row r="689" spans="9:12" x14ac:dyDescent="0.2">
      <c r="I689" s="7"/>
      <c r="J689" s="7"/>
      <c r="K689" s="7"/>
      <c r="L689" s="7"/>
    </row>
    <row r="690" spans="9:12" x14ac:dyDescent="0.2">
      <c r="I690" s="7"/>
      <c r="J690" s="7"/>
      <c r="K690" s="7"/>
      <c r="L690" s="7"/>
    </row>
    <row r="691" spans="9:12" x14ac:dyDescent="0.2">
      <c r="I691" s="7"/>
      <c r="J691" s="7"/>
      <c r="K691" s="7"/>
      <c r="L691" s="7"/>
    </row>
    <row r="692" spans="9:12" x14ac:dyDescent="0.2">
      <c r="I692" s="7"/>
      <c r="J692" s="7"/>
      <c r="K692" s="7"/>
      <c r="L692" s="7"/>
    </row>
    <row r="693" spans="9:12" x14ac:dyDescent="0.2">
      <c r="I693" s="7"/>
      <c r="J693" s="7"/>
      <c r="K693" s="7"/>
      <c r="L693" s="7"/>
    </row>
    <row r="694" spans="9:12" x14ac:dyDescent="0.2">
      <c r="I694" s="7"/>
      <c r="J694" s="7"/>
      <c r="K694" s="7"/>
      <c r="L694" s="7"/>
    </row>
    <row r="695" spans="9:12" x14ac:dyDescent="0.2">
      <c r="I695" s="7"/>
      <c r="J695" s="7"/>
      <c r="K695" s="7"/>
      <c r="L695" s="7"/>
    </row>
    <row r="696" spans="9:12" x14ac:dyDescent="0.2">
      <c r="I696" s="7"/>
      <c r="J696" s="7"/>
      <c r="K696" s="7"/>
      <c r="L696" s="7"/>
    </row>
    <row r="697" spans="9:12" x14ac:dyDescent="0.2">
      <c r="I697" s="7"/>
      <c r="J697" s="7"/>
      <c r="K697" s="7"/>
      <c r="L697" s="7"/>
    </row>
    <row r="698" spans="9:12" x14ac:dyDescent="0.2">
      <c r="I698" s="7"/>
      <c r="J698" s="7"/>
      <c r="K698" s="7"/>
      <c r="L698" s="7"/>
    </row>
    <row r="699" spans="9:12" x14ac:dyDescent="0.2">
      <c r="I699" s="7"/>
      <c r="J699" s="7"/>
      <c r="K699" s="7"/>
      <c r="L699" s="7"/>
    </row>
    <row r="700" spans="9:12" x14ac:dyDescent="0.2">
      <c r="I700" s="7"/>
      <c r="J700" s="7"/>
      <c r="K700" s="7"/>
      <c r="L700" s="7"/>
    </row>
    <row r="701" spans="9:12" x14ac:dyDescent="0.2">
      <c r="I701" s="7"/>
      <c r="J701" s="7"/>
      <c r="K701" s="7"/>
      <c r="L701" s="7"/>
    </row>
    <row r="702" spans="9:12" x14ac:dyDescent="0.2">
      <c r="I702" s="7"/>
      <c r="J702" s="7"/>
      <c r="K702" s="7"/>
      <c r="L702" s="7"/>
    </row>
    <row r="703" spans="9:12" x14ac:dyDescent="0.2">
      <c r="I703" s="7"/>
      <c r="J703" s="7"/>
      <c r="K703" s="7"/>
      <c r="L703" s="7"/>
    </row>
    <row r="704" spans="9:12" x14ac:dyDescent="0.2">
      <c r="I704" s="7"/>
      <c r="J704" s="7"/>
      <c r="K704" s="7"/>
      <c r="L704" s="7"/>
    </row>
    <row r="705" spans="9:12" x14ac:dyDescent="0.2">
      <c r="I705" s="7"/>
      <c r="J705" s="7"/>
      <c r="K705" s="7"/>
      <c r="L705" s="7"/>
    </row>
    <row r="706" spans="9:12" x14ac:dyDescent="0.2">
      <c r="I706" s="7"/>
      <c r="J706" s="7"/>
      <c r="K706" s="7"/>
      <c r="L706" s="7"/>
    </row>
    <row r="707" spans="9:12" x14ac:dyDescent="0.2">
      <c r="I707" s="7"/>
      <c r="J707" s="7"/>
      <c r="K707" s="7"/>
      <c r="L707" s="7"/>
    </row>
    <row r="708" spans="9:12" x14ac:dyDescent="0.2">
      <c r="I708" s="7"/>
      <c r="J708" s="7"/>
      <c r="K708" s="7"/>
      <c r="L708" s="7"/>
    </row>
    <row r="709" spans="9:12" x14ac:dyDescent="0.2">
      <c r="I709" s="7"/>
      <c r="J709" s="7"/>
      <c r="K709" s="7"/>
      <c r="L709" s="7"/>
    </row>
    <row r="710" spans="9:12" x14ac:dyDescent="0.2">
      <c r="I710" s="7"/>
      <c r="J710" s="7"/>
      <c r="K710" s="7"/>
      <c r="L710" s="7"/>
    </row>
    <row r="711" spans="9:12" x14ac:dyDescent="0.2">
      <c r="I711" s="7"/>
      <c r="J711" s="7"/>
      <c r="K711" s="7"/>
      <c r="L711" s="7"/>
    </row>
    <row r="712" spans="9:12" x14ac:dyDescent="0.2">
      <c r="I712" s="7"/>
      <c r="J712" s="7"/>
      <c r="K712" s="7"/>
      <c r="L712" s="7"/>
    </row>
    <row r="713" spans="9:12" x14ac:dyDescent="0.2">
      <c r="I713" s="7"/>
      <c r="J713" s="7"/>
      <c r="K713" s="7"/>
      <c r="L713" s="7"/>
    </row>
    <row r="714" spans="9:12" x14ac:dyDescent="0.2">
      <c r="I714" s="7"/>
      <c r="J714" s="7"/>
      <c r="K714" s="7"/>
      <c r="L714" s="7"/>
    </row>
    <row r="715" spans="9:12" x14ac:dyDescent="0.2">
      <c r="I715" s="7"/>
      <c r="J715" s="7"/>
      <c r="K715" s="7"/>
      <c r="L715" s="7"/>
    </row>
    <row r="716" spans="9:12" x14ac:dyDescent="0.2">
      <c r="I716" s="7"/>
      <c r="J716" s="7"/>
      <c r="K716" s="7"/>
      <c r="L716" s="7"/>
    </row>
    <row r="717" spans="9:12" x14ac:dyDescent="0.2">
      <c r="I717" s="7"/>
      <c r="J717" s="7"/>
      <c r="K717" s="7"/>
      <c r="L717" s="7"/>
    </row>
    <row r="718" spans="9:12" x14ac:dyDescent="0.2">
      <c r="I718" s="7"/>
      <c r="J718" s="7"/>
      <c r="K718" s="7"/>
      <c r="L718" s="7"/>
    </row>
    <row r="719" spans="9:12" x14ac:dyDescent="0.2">
      <c r="I719" s="7"/>
      <c r="J719" s="7"/>
      <c r="K719" s="7"/>
      <c r="L719" s="7"/>
    </row>
    <row r="720" spans="9:12" x14ac:dyDescent="0.2">
      <c r="I720" s="7"/>
      <c r="J720" s="7"/>
      <c r="K720" s="7"/>
      <c r="L720" s="7"/>
    </row>
    <row r="721" spans="9:12" x14ac:dyDescent="0.2">
      <c r="I721" s="7"/>
      <c r="J721" s="7"/>
      <c r="K721" s="7"/>
      <c r="L721" s="7"/>
    </row>
  </sheetData>
  <sheetProtection password="AD51" sheet="1" objects="1" scenarios="1"/>
  <mergeCells count="8">
    <mergeCell ref="A27:G27"/>
    <mergeCell ref="A36:H36"/>
    <mergeCell ref="A3:G3"/>
    <mergeCell ref="A4:G4"/>
    <mergeCell ref="A12:G12"/>
    <mergeCell ref="A13:G13"/>
    <mergeCell ref="A21:G21"/>
    <mergeCell ref="A22:G22"/>
  </mergeCells>
  <phoneticPr fontId="25" type="noConversion"/>
  <pageMargins left="0.75" right="0.75" top="1" bottom="1" header="0" footer="0"/>
  <pageSetup orientation="portrait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2:AC838"/>
  <sheetViews>
    <sheetView workbookViewId="0">
      <selection activeCell="I157" sqref="I157"/>
    </sheetView>
  </sheetViews>
  <sheetFormatPr baseColWidth="10" defaultColWidth="11.42578125" defaultRowHeight="12.75" x14ac:dyDescent="0.2"/>
  <cols>
    <col min="1" max="1" width="28.42578125" customWidth="1"/>
    <col min="2" max="2" width="7.28515625" customWidth="1"/>
    <col min="3" max="3" width="9.140625" customWidth="1"/>
    <col min="4" max="4" width="7.5703125" customWidth="1"/>
    <col min="5" max="5" width="6.85546875" customWidth="1"/>
    <col min="6" max="6" width="6.42578125" customWidth="1"/>
    <col min="7" max="7" width="6.28515625" customWidth="1"/>
    <col min="8" max="8" width="8.7109375" customWidth="1"/>
    <col min="11" max="11" width="20" customWidth="1"/>
    <col min="12" max="12" width="6.28515625" customWidth="1"/>
    <col min="13" max="13" width="6.7109375" customWidth="1"/>
    <col min="14" max="14" width="6.28515625" customWidth="1"/>
    <col min="15" max="15" width="5.85546875" customWidth="1"/>
    <col min="16" max="16" width="6.28515625" customWidth="1"/>
    <col min="17" max="17" width="4.7109375" customWidth="1"/>
    <col min="18" max="18" width="5.7109375" customWidth="1"/>
    <col min="19" max="19" width="5.5703125" customWidth="1"/>
    <col min="21" max="21" width="26" customWidth="1"/>
    <col min="22" max="22" width="7.5703125" style="6" customWidth="1"/>
    <col min="23" max="23" width="9.5703125" customWidth="1"/>
    <col min="24" max="25" width="9.85546875" customWidth="1"/>
    <col min="26" max="26" width="9.28515625" customWidth="1"/>
    <col min="27" max="27" width="9.42578125" customWidth="1"/>
  </cols>
  <sheetData>
    <row r="2" spans="1:11" x14ac:dyDescent="0.2">
      <c r="B2" s="121">
        <v>1</v>
      </c>
    </row>
    <row r="3" spans="1:11" x14ac:dyDescent="0.2">
      <c r="A3" s="116" t="s">
        <v>100</v>
      </c>
      <c r="B3" s="121">
        <f>IF(B2&gt;0,1,0)</f>
        <v>1</v>
      </c>
      <c r="C3" s="7"/>
      <c r="D3" s="7"/>
      <c r="E3" s="7"/>
      <c r="F3" s="7"/>
      <c r="G3" s="7"/>
      <c r="H3" s="7"/>
      <c r="I3" s="7"/>
      <c r="J3" s="7"/>
      <c r="K3" s="7"/>
    </row>
    <row r="4" spans="1:11" x14ac:dyDescent="0.2">
      <c r="A4" s="116"/>
      <c r="B4" s="119"/>
      <c r="C4" s="120"/>
      <c r="D4" s="120"/>
      <c r="E4" s="120"/>
      <c r="F4" s="120"/>
      <c r="G4" s="120"/>
      <c r="H4" s="120"/>
      <c r="I4" s="120"/>
      <c r="J4" s="120"/>
      <c r="K4" s="120"/>
    </row>
    <row r="5" spans="1:11" x14ac:dyDescent="0.2">
      <c r="A5" s="116"/>
      <c r="B5" s="117"/>
      <c r="C5" s="7"/>
      <c r="D5" s="7"/>
      <c r="E5" s="7"/>
      <c r="F5" s="7"/>
      <c r="G5" s="7"/>
      <c r="H5" s="7"/>
      <c r="I5" s="7"/>
      <c r="J5" s="7"/>
      <c r="K5" s="120"/>
    </row>
    <row r="6" spans="1:11" ht="15.75" x14ac:dyDescent="0.25">
      <c r="A6" s="116"/>
      <c r="B6" s="117"/>
      <c r="C6" s="122"/>
      <c r="D6" s="122"/>
      <c r="E6" s="122"/>
      <c r="F6" s="122"/>
      <c r="G6" s="122"/>
      <c r="H6" s="122"/>
      <c r="I6" s="122"/>
      <c r="J6" s="122"/>
      <c r="K6" s="120"/>
    </row>
    <row r="7" spans="1:11" ht="15.75" x14ac:dyDescent="0.25">
      <c r="A7" s="116"/>
      <c r="B7" s="122" t="s">
        <v>418</v>
      </c>
      <c r="C7" s="122"/>
      <c r="D7" s="122"/>
      <c r="E7" s="122"/>
      <c r="F7" s="122"/>
      <c r="G7" s="122"/>
      <c r="H7" s="122"/>
      <c r="I7" s="122"/>
      <c r="J7" s="122"/>
      <c r="K7" s="120"/>
    </row>
    <row r="8" spans="1:11" x14ac:dyDescent="0.2">
      <c r="A8" s="123" t="s">
        <v>105</v>
      </c>
      <c r="B8" s="124">
        <v>0.28000000000000003</v>
      </c>
      <c r="C8" s="124">
        <v>0.56000000000000005</v>
      </c>
      <c r="D8" s="124">
        <v>0.7</v>
      </c>
      <c r="E8" s="124">
        <v>0.84</v>
      </c>
      <c r="F8" s="125">
        <v>1.1200000000000001</v>
      </c>
      <c r="G8" s="124">
        <v>1.4</v>
      </c>
      <c r="H8" s="124" t="s">
        <v>420</v>
      </c>
      <c r="J8" s="132"/>
      <c r="K8" s="7"/>
    </row>
    <row r="9" spans="1:11" x14ac:dyDescent="0.2">
      <c r="A9" s="124" t="s">
        <v>422</v>
      </c>
      <c r="B9" s="126">
        <f>(Cant.!N21)*$B$3</f>
        <v>0</v>
      </c>
      <c r="C9" s="126">
        <f>(Cant.!O21)*$B$3</f>
        <v>0</v>
      </c>
      <c r="D9" s="126">
        <f>(Cant.!P21)*$B$3</f>
        <v>0</v>
      </c>
      <c r="E9" s="126">
        <f>(Cant.!Q21)*$B$3</f>
        <v>0</v>
      </c>
      <c r="F9" s="126">
        <f>(Cant.!R21)*$B$3</f>
        <v>0</v>
      </c>
      <c r="G9" s="126">
        <f>(Cant.!S21)*$B$3</f>
        <v>0</v>
      </c>
      <c r="H9" s="126">
        <f>(Cant.!T21)*$B$3</f>
        <v>0</v>
      </c>
      <c r="J9" s="132"/>
      <c r="K9" s="7"/>
    </row>
    <row r="10" spans="1:11" x14ac:dyDescent="0.2">
      <c r="A10" s="124" t="s">
        <v>424</v>
      </c>
      <c r="B10" s="126">
        <f>(Cant.!N22)*$B$3</f>
        <v>0</v>
      </c>
      <c r="C10" s="126">
        <f>(Cant.!O22)*$B$3</f>
        <v>0</v>
      </c>
      <c r="D10" s="126">
        <f>(Cant.!P22)*$B$3</f>
        <v>0</v>
      </c>
      <c r="E10" s="126">
        <f>(Cant.!Q22)*$B$3</f>
        <v>0</v>
      </c>
      <c r="F10" s="126">
        <f>(Cant.!R22)*$B$3</f>
        <v>0</v>
      </c>
      <c r="G10" s="126">
        <f>(Cant.!S22)*$B$3</f>
        <v>0</v>
      </c>
      <c r="H10" s="126">
        <f>(Cant.!T22)*$B$3</f>
        <v>0</v>
      </c>
      <c r="J10" s="132"/>
      <c r="K10" s="7"/>
    </row>
    <row r="11" spans="1:11" x14ac:dyDescent="0.2">
      <c r="A11" s="124" t="s">
        <v>426</v>
      </c>
      <c r="B11" s="126">
        <f>(Cant.!N23)*$B$3</f>
        <v>0</v>
      </c>
      <c r="C11" s="126">
        <f>(Cant.!O23)*$B$3</f>
        <v>0</v>
      </c>
      <c r="D11" s="126">
        <f>(Cant.!P23)*$B$3</f>
        <v>0</v>
      </c>
      <c r="E11" s="126">
        <f>(Cant.!Q23)*$B$3</f>
        <v>0</v>
      </c>
      <c r="F11" s="126">
        <f>(Cant.!R23)*$B$3</f>
        <v>0</v>
      </c>
      <c r="G11" s="126">
        <f>(Cant.!S23)*$B$3</f>
        <v>0</v>
      </c>
      <c r="H11" s="126">
        <f>(Cant.!T23)*$B$3</f>
        <v>0</v>
      </c>
      <c r="J11" s="132"/>
      <c r="K11" s="7"/>
    </row>
    <row r="12" spans="1:11" x14ac:dyDescent="0.2">
      <c r="A12" s="124" t="s">
        <v>429</v>
      </c>
      <c r="B12" s="126">
        <f>(Cant.!N24)*$B$3</f>
        <v>0</v>
      </c>
      <c r="C12" s="126">
        <f>(Cant.!O24)*$B$3</f>
        <v>0</v>
      </c>
      <c r="D12" s="126">
        <f>(Cant.!P24)*$B$3</f>
        <v>0</v>
      </c>
      <c r="E12" s="126">
        <f>(Cant.!Q24)*$B$3</f>
        <v>0</v>
      </c>
      <c r="F12" s="126">
        <f>(Cant.!R24)*$B$3</f>
        <v>0</v>
      </c>
      <c r="G12" s="126">
        <f>(Cant.!S24)*$B$3</f>
        <v>0</v>
      </c>
      <c r="H12" s="127">
        <f>(Cant.!T24)*$B$3</f>
        <v>0</v>
      </c>
      <c r="J12" s="132"/>
      <c r="K12" s="7"/>
    </row>
    <row r="13" spans="1:11" x14ac:dyDescent="0.2">
      <c r="A13" s="124" t="s">
        <v>431</v>
      </c>
      <c r="B13" s="127">
        <f>(Cant.!N25)*$B$3</f>
        <v>0</v>
      </c>
      <c r="C13" s="127">
        <f>(Cant.!O25)*$B$3</f>
        <v>0</v>
      </c>
      <c r="D13" s="127">
        <f>(Cant.!P25)*$B$3</f>
        <v>0</v>
      </c>
      <c r="E13" s="126">
        <f>(Cant.!Q25)*$B$3</f>
        <v>0</v>
      </c>
      <c r="F13" s="127">
        <f>(Cant.!R25)*$B$3</f>
        <v>0</v>
      </c>
      <c r="G13" s="127">
        <f>(Cant.!S25)*$B$3</f>
        <v>0</v>
      </c>
      <c r="H13" s="127">
        <f>(Cant.!T25)*$B$3</f>
        <v>0</v>
      </c>
      <c r="J13" s="132"/>
      <c r="K13" s="7"/>
    </row>
    <row r="14" spans="1:11" x14ac:dyDescent="0.2">
      <c r="A14" s="128"/>
      <c r="B14" s="129"/>
      <c r="C14" s="129"/>
      <c r="D14" s="129"/>
      <c r="E14" s="129"/>
      <c r="F14" s="129"/>
      <c r="G14" s="129"/>
      <c r="H14" s="129"/>
      <c r="J14" s="132"/>
      <c r="K14" s="7"/>
    </row>
    <row r="15" spans="1:11" x14ac:dyDescent="0.2">
      <c r="A15" s="130" t="s">
        <v>436</v>
      </c>
      <c r="B15" s="129"/>
      <c r="C15" s="129"/>
      <c r="D15" s="129"/>
      <c r="E15" s="129"/>
      <c r="F15" s="129"/>
      <c r="G15" s="129"/>
      <c r="H15" s="129"/>
      <c r="J15" s="132"/>
      <c r="K15" s="7"/>
    </row>
    <row r="16" spans="1:11" x14ac:dyDescent="0.2">
      <c r="A16" s="131" t="s">
        <v>438</v>
      </c>
      <c r="B16" s="126">
        <f>(Cant.!N28)*$B$3</f>
        <v>0</v>
      </c>
      <c r="C16" s="126">
        <f>(Cant.!O28)*$B$3</f>
        <v>0</v>
      </c>
      <c r="D16" s="126">
        <f>(Cant.!P28)*$B$3</f>
        <v>0</v>
      </c>
      <c r="E16" s="126">
        <f>(Cant.!Q28)*$B$3</f>
        <v>0</v>
      </c>
      <c r="F16" s="126">
        <f>(Cant.!R28)*$B$3</f>
        <v>0</v>
      </c>
      <c r="G16" s="126">
        <f>(Cant.!S28)*$B$3</f>
        <v>0</v>
      </c>
      <c r="H16" s="126">
        <f>(Cant.!T28)*$B$3</f>
        <v>0</v>
      </c>
      <c r="J16" s="132"/>
      <c r="K16" s="7"/>
    </row>
    <row r="17" spans="1:11" x14ac:dyDescent="0.2">
      <c r="A17" s="131" t="s">
        <v>501</v>
      </c>
      <c r="B17" s="126">
        <f>(Cant.!N29)*$B$3</f>
        <v>0</v>
      </c>
      <c r="C17" s="126">
        <f>(Cant.!O29)*$B$3</f>
        <v>0</v>
      </c>
      <c r="D17" s="126">
        <f>(Cant.!P29)*$B$3</f>
        <v>0</v>
      </c>
      <c r="E17" s="126">
        <f>(Cant.!Q29)*$B$3</f>
        <v>0</v>
      </c>
      <c r="F17" s="126">
        <f>(Cant.!R29)*$B$3</f>
        <v>0</v>
      </c>
      <c r="G17" s="126">
        <f>(Cant.!S29)*$B$3</f>
        <v>0</v>
      </c>
      <c r="H17" s="126">
        <f>(Cant.!T29)*$B$3</f>
        <v>0</v>
      </c>
      <c r="J17" s="132"/>
      <c r="K17" s="7"/>
    </row>
    <row r="18" spans="1:11" x14ac:dyDescent="0.2">
      <c r="A18" s="131" t="s">
        <v>439</v>
      </c>
      <c r="B18" s="126">
        <f>(Cant.!N30)*$B$3</f>
        <v>0</v>
      </c>
      <c r="C18" s="126">
        <f>(Cant.!O30)*$B$3</f>
        <v>0</v>
      </c>
      <c r="D18" s="126">
        <f>(Cant.!P30)*$B$3</f>
        <v>0</v>
      </c>
      <c r="E18" s="126">
        <f>(Cant.!Q30)*$B$3</f>
        <v>0</v>
      </c>
      <c r="F18" s="126">
        <f>(Cant.!R30)*$B$3</f>
        <v>0</v>
      </c>
      <c r="G18" s="126">
        <f>(Cant.!S30)*$B$3</f>
        <v>0</v>
      </c>
      <c r="H18" s="126">
        <f>(Cant.!T30)*$B$3</f>
        <v>0</v>
      </c>
      <c r="J18" s="132"/>
      <c r="K18" s="7"/>
    </row>
    <row r="19" spans="1:11" x14ac:dyDescent="0.2">
      <c r="A19" s="131" t="s">
        <v>505</v>
      </c>
      <c r="B19" s="126">
        <f>(Cant.!N31)*$B$3</f>
        <v>0</v>
      </c>
      <c r="C19" s="126">
        <f>(Cant.!O31)*$B$3</f>
        <v>0</v>
      </c>
      <c r="D19" s="126">
        <f>(Cant.!P31)*$B$3</f>
        <v>0</v>
      </c>
      <c r="E19" s="126">
        <f>(Cant.!Q31)*$B$3</f>
        <v>0</v>
      </c>
      <c r="F19" s="126">
        <f>(Cant.!R31)*$B$3</f>
        <v>0</v>
      </c>
      <c r="G19" s="126">
        <f>(Cant.!S31)*$B$3</f>
        <v>0</v>
      </c>
      <c r="H19" s="126">
        <f>(Cant.!T31)*$B$3</f>
        <v>0</v>
      </c>
      <c r="J19" s="132"/>
      <c r="K19" s="7"/>
    </row>
    <row r="20" spans="1:11" x14ac:dyDescent="0.2">
      <c r="A20" s="132"/>
      <c r="B20" s="132"/>
      <c r="C20" s="132"/>
      <c r="D20" s="132"/>
      <c r="E20" s="132"/>
      <c r="F20" s="132"/>
      <c r="G20" s="132"/>
      <c r="H20" s="132"/>
      <c r="I20" s="132"/>
      <c r="J20" s="132"/>
      <c r="K20" s="7"/>
    </row>
    <row r="21" spans="1:11" x14ac:dyDescent="0.2">
      <c r="A21" s="393"/>
      <c r="B21" s="123"/>
      <c r="C21" s="123"/>
      <c r="D21" s="393"/>
      <c r="E21" s="393"/>
      <c r="F21" s="393"/>
      <c r="G21" s="119"/>
      <c r="H21" s="119"/>
      <c r="I21" s="237"/>
      <c r="J21" s="132"/>
      <c r="K21" s="7"/>
    </row>
    <row r="22" spans="1:11" x14ac:dyDescent="0.2">
      <c r="A22" s="394" t="s">
        <v>511</v>
      </c>
      <c r="B22" s="394"/>
      <c r="C22" s="394"/>
      <c r="D22" s="394"/>
      <c r="E22" s="394"/>
      <c r="F22" s="394"/>
      <c r="G22" s="394"/>
      <c r="H22" s="394"/>
      <c r="I22" s="394"/>
      <c r="J22" s="394"/>
      <c r="K22" s="7"/>
    </row>
    <row r="23" spans="1:11" x14ac:dyDescent="0.2">
      <c r="A23" s="134"/>
      <c r="B23" s="134"/>
      <c r="C23" s="134"/>
      <c r="D23" s="134"/>
      <c r="E23" s="134"/>
      <c r="F23" s="134"/>
      <c r="G23" s="395"/>
      <c r="H23" s="395"/>
      <c r="I23" s="237"/>
      <c r="J23" s="132"/>
      <c r="K23" s="7"/>
    </row>
    <row r="24" spans="1:11" x14ac:dyDescent="0.2">
      <c r="A24" s="1149"/>
      <c r="B24" s="395"/>
      <c r="C24" s="129"/>
      <c r="D24" s="129"/>
      <c r="E24" s="129"/>
      <c r="F24" s="129"/>
      <c r="G24" s="129"/>
      <c r="H24" s="129"/>
      <c r="I24" s="237"/>
      <c r="J24" s="237"/>
      <c r="K24" s="7"/>
    </row>
    <row r="25" spans="1:11" x14ac:dyDescent="0.2">
      <c r="A25" s="1149"/>
      <c r="B25" s="395"/>
      <c r="C25" s="129"/>
      <c r="D25" s="129"/>
      <c r="E25" s="129"/>
      <c r="F25" s="129"/>
      <c r="G25" s="129"/>
      <c r="H25" s="129"/>
      <c r="I25" s="396"/>
      <c r="J25" s="237"/>
      <c r="K25" s="7"/>
    </row>
    <row r="26" spans="1:11" x14ac:dyDescent="0.2">
      <c r="A26" s="1149"/>
      <c r="B26" s="395"/>
      <c r="C26" s="129"/>
      <c r="D26" s="129"/>
      <c r="E26" s="129"/>
      <c r="F26" s="129"/>
      <c r="G26" s="129"/>
      <c r="H26" s="129"/>
      <c r="I26" s="237"/>
      <c r="J26" s="237"/>
      <c r="K26" s="7"/>
    </row>
    <row r="27" spans="1:11" x14ac:dyDescent="0.2">
      <c r="A27" s="1149"/>
      <c r="B27" s="395"/>
      <c r="C27" s="129"/>
      <c r="D27" s="129"/>
      <c r="E27" s="129"/>
      <c r="F27" s="129"/>
      <c r="G27" s="129"/>
      <c r="H27" s="129"/>
      <c r="I27" s="237"/>
      <c r="J27" s="237"/>
      <c r="K27" s="7"/>
    </row>
    <row r="28" spans="1:11" x14ac:dyDescent="0.2">
      <c r="A28" s="1149"/>
      <c r="B28" s="395"/>
      <c r="C28" s="129"/>
      <c r="D28" s="129"/>
      <c r="E28" s="129"/>
      <c r="F28" s="129"/>
      <c r="G28" s="129"/>
      <c r="H28" s="129"/>
      <c r="I28" s="237"/>
      <c r="J28" s="237"/>
      <c r="K28" s="7"/>
    </row>
    <row r="29" spans="1:11" x14ac:dyDescent="0.2">
      <c r="A29" s="1149"/>
      <c r="B29" s="395"/>
      <c r="C29" s="129"/>
      <c r="D29" s="129"/>
      <c r="E29" s="129"/>
      <c r="F29" s="129"/>
      <c r="G29" s="395"/>
      <c r="H29" s="395"/>
      <c r="I29" s="395"/>
      <c r="J29" s="237"/>
      <c r="K29" s="7"/>
    </row>
    <row r="30" spans="1:11" x14ac:dyDescent="0.2">
      <c r="A30" s="330"/>
      <c r="B30" s="134"/>
      <c r="C30" s="134"/>
      <c r="D30" s="134"/>
      <c r="E30" s="134"/>
      <c r="F30" s="134"/>
      <c r="G30" s="395"/>
      <c r="H30" s="395"/>
      <c r="I30" s="395"/>
      <c r="J30" s="237"/>
      <c r="K30" s="7"/>
    </row>
    <row r="31" spans="1:11" x14ac:dyDescent="0.2">
      <c r="A31" s="330" t="s">
        <v>527</v>
      </c>
      <c r="B31" s="134"/>
      <c r="C31" s="312">
        <f>+Cant.!O44</f>
        <v>0</v>
      </c>
      <c r="D31" s="312">
        <f>+Cant.!P44</f>
        <v>0</v>
      </c>
      <c r="E31" s="312">
        <f>+Cant.!Q44</f>
        <v>0</v>
      </c>
      <c r="F31" s="312">
        <f>+Cant.!R44</f>
        <v>0</v>
      </c>
      <c r="G31" s="134"/>
      <c r="H31" s="134"/>
      <c r="I31" s="225"/>
      <c r="J31" s="7"/>
      <c r="K31" s="7"/>
    </row>
    <row r="32" spans="1:11" x14ac:dyDescent="0.2">
      <c r="A32" s="133"/>
      <c r="B32" s="128"/>
      <c r="C32" s="134"/>
      <c r="D32" s="134"/>
      <c r="E32" s="134"/>
      <c r="F32" s="134"/>
      <c r="G32" s="134"/>
      <c r="H32" s="134"/>
      <c r="I32" s="225"/>
      <c r="J32" s="7"/>
      <c r="K32" s="7"/>
    </row>
    <row r="33" spans="1:11" x14ac:dyDescent="0.2">
      <c r="A33" s="330" t="s">
        <v>520</v>
      </c>
      <c r="B33" s="128"/>
      <c r="C33" s="312">
        <f>+Cant.!O46</f>
        <v>0</v>
      </c>
      <c r="D33" s="134"/>
      <c r="E33" s="134"/>
      <c r="F33" s="134"/>
      <c r="G33" s="134"/>
      <c r="H33" s="134"/>
      <c r="I33" s="225"/>
      <c r="J33" s="7"/>
      <c r="K33" s="7"/>
    </row>
    <row r="34" spans="1:11" x14ac:dyDescent="0.2">
      <c r="A34" s="330" t="s">
        <v>72</v>
      </c>
      <c r="B34" s="128"/>
      <c r="C34" s="312">
        <f>+Cant.!O47</f>
        <v>0</v>
      </c>
      <c r="D34" s="134"/>
      <c r="E34" s="134"/>
      <c r="F34" s="134"/>
      <c r="G34" s="134"/>
      <c r="H34" s="134"/>
      <c r="I34" s="225"/>
      <c r="J34" s="7"/>
      <c r="K34" s="7"/>
    </row>
    <row r="35" spans="1:11" x14ac:dyDescent="0.2">
      <c r="A35" s="133"/>
      <c r="B35" s="128"/>
      <c r="C35" s="134"/>
      <c r="D35" s="134"/>
      <c r="E35" s="134"/>
      <c r="F35" s="134"/>
      <c r="G35" s="134"/>
      <c r="H35" s="134"/>
      <c r="I35" s="225"/>
      <c r="J35" s="7"/>
      <c r="K35" s="7"/>
    </row>
    <row r="36" spans="1:11" x14ac:dyDescent="0.2">
      <c r="A36" s="394" t="s">
        <v>529</v>
      </c>
      <c r="B36" s="394"/>
      <c r="C36" s="394"/>
      <c r="D36" s="394"/>
      <c r="E36" s="394"/>
      <c r="F36" s="394"/>
      <c r="G36" s="394"/>
      <c r="H36" s="394"/>
      <c r="I36" s="394"/>
      <c r="J36" s="7"/>
      <c r="K36" s="7"/>
    </row>
    <row r="37" spans="1:11" x14ac:dyDescent="0.2">
      <c r="A37" s="329"/>
      <c r="B37" s="225"/>
      <c r="C37" s="134">
        <v>200</v>
      </c>
      <c r="D37" s="134">
        <v>225</v>
      </c>
      <c r="E37" s="134">
        <v>250</v>
      </c>
      <c r="F37" s="134">
        <v>300</v>
      </c>
      <c r="G37" s="134"/>
      <c r="H37" s="225"/>
      <c r="I37" s="225"/>
      <c r="J37" s="7"/>
      <c r="K37" s="7"/>
    </row>
    <row r="38" spans="1:11" x14ac:dyDescent="0.2">
      <c r="A38" s="330" t="s">
        <v>532</v>
      </c>
      <c r="B38" s="225"/>
      <c r="C38" s="312">
        <f>+Cant.!O51</f>
        <v>0</v>
      </c>
      <c r="D38" s="312">
        <f>+Cant.!P51</f>
        <v>0</v>
      </c>
      <c r="E38" s="312">
        <f>+Cant.!Q51</f>
        <v>0</v>
      </c>
      <c r="F38" s="312">
        <f>+Cant.!R51</f>
        <v>0</v>
      </c>
      <c r="G38" s="324"/>
      <c r="H38" s="225"/>
      <c r="I38" s="225"/>
      <c r="J38" s="7"/>
      <c r="K38" s="7"/>
    </row>
    <row r="39" spans="1:11" x14ac:dyDescent="0.2">
      <c r="A39" s="330" t="s">
        <v>534</v>
      </c>
      <c r="B39" s="128"/>
      <c r="C39" s="312">
        <f>+Cant.!O52</f>
        <v>0</v>
      </c>
      <c r="D39" s="312">
        <f>+Cant.!P52</f>
        <v>0</v>
      </c>
      <c r="E39" s="312">
        <f>+Cant.!Q52</f>
        <v>0</v>
      </c>
      <c r="F39" s="312">
        <f>+Cant.!R52</f>
        <v>0</v>
      </c>
      <c r="G39" s="324"/>
      <c r="H39" s="225"/>
      <c r="I39" s="120"/>
      <c r="J39" s="7"/>
      <c r="K39" s="7"/>
    </row>
    <row r="40" spans="1:11" x14ac:dyDescent="0.2">
      <c r="A40" s="330" t="s">
        <v>536</v>
      </c>
      <c r="B40" s="133"/>
      <c r="C40" s="312">
        <f>+Cant.!O53</f>
        <v>0</v>
      </c>
      <c r="D40" s="312">
        <f>+Cant.!P53</f>
        <v>0</v>
      </c>
      <c r="E40" s="312">
        <f>+Cant.!Q53</f>
        <v>0</v>
      </c>
      <c r="F40" s="312">
        <f>+Cant.!R53</f>
        <v>0</v>
      </c>
      <c r="G40" s="324"/>
      <c r="H40" s="128"/>
      <c r="I40" s="225"/>
      <c r="J40" s="7"/>
      <c r="K40" s="7"/>
    </row>
    <row r="41" spans="1:11" x14ac:dyDescent="0.2">
      <c r="A41" s="330" t="s">
        <v>538</v>
      </c>
      <c r="B41" s="133"/>
      <c r="C41" s="312">
        <f>+Cant.!O54</f>
        <v>0</v>
      </c>
      <c r="D41" s="312">
        <f>+Cant.!P54</f>
        <v>0</v>
      </c>
      <c r="E41" s="312">
        <f>+Cant.!Q54</f>
        <v>0</v>
      </c>
      <c r="F41" s="312">
        <f>+Cant.!R54</f>
        <v>0</v>
      </c>
      <c r="G41" s="324"/>
      <c r="H41" s="133"/>
      <c r="I41" s="133"/>
      <c r="J41" s="7"/>
      <c r="K41" s="7"/>
    </row>
    <row r="42" spans="1:11" x14ac:dyDescent="0.2">
      <c r="A42" s="330"/>
      <c r="B42" s="133"/>
      <c r="C42" s="324"/>
      <c r="D42" s="324"/>
      <c r="E42" s="324"/>
      <c r="F42" s="324"/>
      <c r="G42" s="324"/>
      <c r="H42" s="133"/>
      <c r="I42" s="133"/>
      <c r="J42" s="7"/>
      <c r="K42" s="7"/>
    </row>
    <row r="43" spans="1:11" x14ac:dyDescent="0.2">
      <c r="A43" s="330">
        <v>0</v>
      </c>
      <c r="B43" s="133"/>
      <c r="C43" s="324"/>
      <c r="D43" s="324"/>
      <c r="E43" s="324"/>
      <c r="F43" s="324"/>
      <c r="G43" s="324"/>
      <c r="H43" s="133"/>
      <c r="I43" s="133"/>
      <c r="J43" s="7"/>
      <c r="K43" s="7"/>
    </row>
    <row r="44" spans="1:11" x14ac:dyDescent="0.2">
      <c r="A44" s="330">
        <v>0</v>
      </c>
      <c r="B44" s="133"/>
      <c r="C44" s="324"/>
      <c r="D44" s="324"/>
      <c r="E44" s="324"/>
      <c r="F44" s="324"/>
      <c r="G44" s="324"/>
      <c r="H44" s="133"/>
      <c r="I44" s="133"/>
      <c r="J44" s="7"/>
      <c r="K44" s="7"/>
    </row>
    <row r="45" spans="1:11" ht="18" x14ac:dyDescent="0.25">
      <c r="A45" s="397" t="s">
        <v>443</v>
      </c>
      <c r="B45" s="133"/>
      <c r="C45" s="324"/>
      <c r="D45" s="324"/>
      <c r="E45" s="324"/>
      <c r="F45" s="324"/>
      <c r="G45" s="324"/>
      <c r="H45" s="133"/>
      <c r="I45" s="133"/>
      <c r="J45" s="7"/>
      <c r="K45" s="7"/>
    </row>
    <row r="46" spans="1:11" x14ac:dyDescent="0.2">
      <c r="A46">
        <v>0</v>
      </c>
      <c r="B46" s="133"/>
      <c r="C46" s="324"/>
      <c r="D46" s="324"/>
      <c r="E46" s="324"/>
      <c r="F46" s="324"/>
      <c r="G46" s="324"/>
      <c r="H46" s="133"/>
      <c r="I46" s="133"/>
      <c r="J46" s="7"/>
      <c r="K46" s="7"/>
    </row>
    <row r="47" spans="1:11" x14ac:dyDescent="0.2">
      <c r="A47">
        <v>0</v>
      </c>
      <c r="B47" s="1"/>
      <c r="C47" s="1"/>
      <c r="D47" s="1"/>
      <c r="E47" s="1"/>
      <c r="F47" s="1"/>
      <c r="G47" s="1"/>
      <c r="H47" s="1"/>
      <c r="I47" s="1"/>
    </row>
    <row r="48" spans="1:11" x14ac:dyDescent="0.2">
      <c r="A48" t="s">
        <v>444</v>
      </c>
      <c r="C48">
        <v>0.3</v>
      </c>
      <c r="D48">
        <v>0.6</v>
      </c>
      <c r="E48">
        <v>0.7</v>
      </c>
      <c r="F48">
        <v>0.85</v>
      </c>
      <c r="G48" s="335">
        <v>1.1000000000000001</v>
      </c>
      <c r="H48">
        <v>1.4</v>
      </c>
    </row>
    <row r="49" spans="1:29" x14ac:dyDescent="0.2">
      <c r="A49" t="s">
        <v>445</v>
      </c>
      <c r="C49" s="142">
        <v>0.28000000000000003</v>
      </c>
      <c r="D49" s="142">
        <v>0.56000000000000005</v>
      </c>
      <c r="E49" s="142">
        <v>0.7</v>
      </c>
      <c r="F49" s="142">
        <v>0.84</v>
      </c>
      <c r="G49" s="142">
        <v>1.1200000000000001</v>
      </c>
      <c r="H49" s="142">
        <v>1.4</v>
      </c>
      <c r="Q49" s="225"/>
      <c r="R49" s="225"/>
      <c r="S49" s="225"/>
      <c r="T49" s="225"/>
      <c r="U49" s="225"/>
      <c r="V49" s="83"/>
      <c r="W49" s="225"/>
      <c r="X49" s="225"/>
      <c r="Y49" s="225"/>
      <c r="Z49" s="225"/>
      <c r="AA49" s="225"/>
      <c r="AB49" s="225"/>
      <c r="AC49" s="225"/>
    </row>
    <row r="50" spans="1:29" ht="15.75" x14ac:dyDescent="0.25">
      <c r="A50" s="139" t="s">
        <v>105</v>
      </c>
      <c r="B50" s="139"/>
      <c r="C50" s="140">
        <f t="shared" ref="C50:H50" si="0">+B9</f>
        <v>0</v>
      </c>
      <c r="D50" s="140">
        <f t="shared" si="0"/>
        <v>0</v>
      </c>
      <c r="E50" s="140">
        <f t="shared" si="0"/>
        <v>0</v>
      </c>
      <c r="F50" s="140">
        <f t="shared" si="0"/>
        <v>0</v>
      </c>
      <c r="G50" s="140">
        <f t="shared" si="0"/>
        <v>0</v>
      </c>
      <c r="H50" s="140">
        <f t="shared" si="0"/>
        <v>0</v>
      </c>
      <c r="I50" s="141" t="s">
        <v>446</v>
      </c>
      <c r="Q50" s="225"/>
      <c r="R50" s="225"/>
      <c r="S50" s="225"/>
      <c r="T50" s="225"/>
      <c r="U50" s="225"/>
      <c r="V50" s="83"/>
      <c r="W50" s="225"/>
      <c r="X50" s="225"/>
      <c r="Y50" s="225"/>
      <c r="Z50" s="225"/>
      <c r="AA50" s="225"/>
      <c r="AB50" s="225"/>
      <c r="AC50" s="225"/>
    </row>
    <row r="51" spans="1:29" x14ac:dyDescent="0.2">
      <c r="A51" t="s">
        <v>669</v>
      </c>
      <c r="B51">
        <v>1</v>
      </c>
      <c r="C51" s="143">
        <f t="shared" ref="C51:H51" si="1">+$B51*C50</f>
        <v>0</v>
      </c>
      <c r="D51" s="143">
        <f t="shared" si="1"/>
        <v>0</v>
      </c>
      <c r="E51" s="143">
        <f t="shared" si="1"/>
        <v>0</v>
      </c>
      <c r="F51" s="143">
        <f t="shared" si="1"/>
        <v>0</v>
      </c>
      <c r="G51" s="143">
        <f t="shared" si="1"/>
        <v>0</v>
      </c>
      <c r="H51" s="143">
        <f t="shared" si="1"/>
        <v>0</v>
      </c>
      <c r="I51" s="143">
        <f>SUM(C51:H51)</f>
        <v>0</v>
      </c>
      <c r="Q51" s="225"/>
      <c r="R51" s="225"/>
      <c r="S51" s="225"/>
      <c r="T51" s="225"/>
      <c r="U51" s="225"/>
      <c r="V51" s="83"/>
      <c r="W51" s="225"/>
      <c r="X51" s="225"/>
      <c r="Y51" s="225"/>
      <c r="Z51" s="225"/>
      <c r="AA51" s="225"/>
      <c r="AB51" s="225"/>
      <c r="AC51" s="225"/>
    </row>
    <row r="52" spans="1:29" x14ac:dyDescent="0.2">
      <c r="A52" t="s">
        <v>635</v>
      </c>
      <c r="B52">
        <v>2.5</v>
      </c>
      <c r="C52">
        <f>2.5*C50</f>
        <v>0</v>
      </c>
      <c r="D52">
        <f>2.5*D50</f>
        <v>0</v>
      </c>
      <c r="E52">
        <f>2.5*E50</f>
        <v>0</v>
      </c>
      <c r="F52">
        <f>2.5*F50</f>
        <v>0</v>
      </c>
      <c r="G52">
        <f>2.5*G50</f>
        <v>0</v>
      </c>
      <c r="H52">
        <f>B52*H50</f>
        <v>0</v>
      </c>
      <c r="I52" s="143">
        <f t="shared" ref="I52:I60" si="2">SUM(C52:H52)</f>
        <v>0</v>
      </c>
      <c r="Q52" s="225"/>
      <c r="R52" s="225"/>
      <c r="S52" s="225"/>
      <c r="T52" s="225"/>
      <c r="U52" s="225"/>
      <c r="V52" s="83"/>
      <c r="W52" s="225"/>
      <c r="X52" s="225"/>
      <c r="Y52" s="225"/>
      <c r="Z52" s="225"/>
      <c r="AA52" s="225"/>
      <c r="AB52" s="225"/>
      <c r="AC52" s="225"/>
    </row>
    <row r="53" spans="1:29" x14ac:dyDescent="0.2">
      <c r="A53" t="s">
        <v>670</v>
      </c>
      <c r="B53">
        <v>8</v>
      </c>
      <c r="C53" s="398">
        <f>B53*C50</f>
        <v>0</v>
      </c>
      <c r="D53" s="398">
        <f>B53*D50</f>
        <v>0</v>
      </c>
      <c r="E53" s="398">
        <f>B53*E50</f>
        <v>0</v>
      </c>
      <c r="F53" s="398">
        <f>B53*F50</f>
        <v>0</v>
      </c>
      <c r="G53" s="398">
        <f>B53*G50</f>
        <v>0</v>
      </c>
      <c r="H53" s="398">
        <f>B53*H50</f>
        <v>0</v>
      </c>
      <c r="I53" s="143">
        <f t="shared" si="2"/>
        <v>0</v>
      </c>
      <c r="Q53" s="225"/>
      <c r="R53" s="225"/>
      <c r="S53" s="225"/>
      <c r="T53" s="225"/>
      <c r="U53" s="225"/>
      <c r="V53" s="83"/>
      <c r="W53" s="225"/>
      <c r="X53" s="225"/>
      <c r="Y53" s="225"/>
      <c r="Z53" s="225"/>
      <c r="AA53" s="225"/>
      <c r="AB53" s="225"/>
      <c r="AC53" s="225"/>
    </row>
    <row r="54" spans="1:29" x14ac:dyDescent="0.2">
      <c r="A54" t="s">
        <v>671</v>
      </c>
      <c r="B54">
        <v>1</v>
      </c>
      <c r="C54" s="143">
        <f>B54*C50</f>
        <v>0</v>
      </c>
      <c r="D54" s="143">
        <f>B54*D50</f>
        <v>0</v>
      </c>
      <c r="E54" s="143">
        <f>B54*E50</f>
        <v>0</v>
      </c>
      <c r="F54" s="143">
        <f>B54*F50</f>
        <v>0</v>
      </c>
      <c r="G54" s="143">
        <f>B54*G50</f>
        <v>0</v>
      </c>
      <c r="H54" s="143">
        <f>B54*H50</f>
        <v>0</v>
      </c>
      <c r="I54" s="143">
        <f t="shared" si="2"/>
        <v>0</v>
      </c>
      <c r="Q54" s="225"/>
      <c r="R54" s="225"/>
      <c r="S54" s="225"/>
      <c r="T54" s="225"/>
      <c r="U54" s="225"/>
      <c r="V54" s="83"/>
      <c r="W54" s="225"/>
      <c r="X54" s="225"/>
      <c r="Y54" s="225"/>
      <c r="Z54" s="225"/>
      <c r="AA54" s="225"/>
      <c r="AB54" s="225"/>
      <c r="AC54" s="225"/>
    </row>
    <row r="55" spans="1:29" x14ac:dyDescent="0.2">
      <c r="A55" t="s">
        <v>672</v>
      </c>
      <c r="B55">
        <v>1</v>
      </c>
      <c r="C55">
        <f>C49*C50</f>
        <v>0</v>
      </c>
      <c r="D55">
        <f>D49*D50</f>
        <v>0</v>
      </c>
      <c r="E55">
        <f>E49*E50</f>
        <v>0</v>
      </c>
      <c r="F55">
        <f>F49*F50</f>
        <v>0</v>
      </c>
      <c r="G55">
        <f>G49*G50</f>
        <v>0</v>
      </c>
      <c r="H55">
        <f>H50*H49</f>
        <v>0</v>
      </c>
      <c r="I55" s="143">
        <f t="shared" si="2"/>
        <v>0</v>
      </c>
      <c r="Q55" s="225"/>
      <c r="R55" s="225"/>
      <c r="S55" s="225"/>
      <c r="T55" s="225"/>
      <c r="U55" s="225"/>
      <c r="V55" s="83"/>
      <c r="W55" s="225"/>
      <c r="X55" s="225"/>
      <c r="Y55" s="225"/>
      <c r="Z55" s="225"/>
      <c r="AA55" s="225"/>
      <c r="AB55" s="225"/>
      <c r="AC55" s="225"/>
    </row>
    <row r="56" spans="1:29" x14ac:dyDescent="0.2">
      <c r="A56">
        <v>0</v>
      </c>
      <c r="B56">
        <v>0</v>
      </c>
      <c r="C56">
        <f>B56*C50</f>
        <v>0</v>
      </c>
      <c r="D56">
        <f>B56*D50</f>
        <v>0</v>
      </c>
      <c r="E56">
        <f>B56*E50</f>
        <v>0</v>
      </c>
      <c r="F56">
        <f>B56*F50</f>
        <v>0</v>
      </c>
      <c r="G56">
        <f>B56*G50</f>
        <v>0</v>
      </c>
      <c r="H56">
        <f>H50*B56</f>
        <v>0</v>
      </c>
      <c r="I56" s="143">
        <f t="shared" si="2"/>
        <v>0</v>
      </c>
      <c r="Q56" s="225"/>
      <c r="R56" s="225"/>
      <c r="S56" s="225"/>
      <c r="T56" s="225"/>
      <c r="U56" s="225"/>
      <c r="V56" s="83"/>
      <c r="W56" s="225"/>
      <c r="X56" s="225"/>
      <c r="Y56" s="225"/>
      <c r="Z56" s="225"/>
      <c r="AA56" s="225"/>
      <c r="AB56" s="225"/>
      <c r="AC56" s="225"/>
    </row>
    <row r="57" spans="1:29" x14ac:dyDescent="0.2">
      <c r="A57" t="s">
        <v>673</v>
      </c>
      <c r="B57">
        <v>20.5</v>
      </c>
      <c r="C57">
        <f>C50*$B57</f>
        <v>0</v>
      </c>
      <c r="D57">
        <f>D50*$B57</f>
        <v>0</v>
      </c>
      <c r="E57">
        <f>E50*$B57</f>
        <v>0</v>
      </c>
      <c r="F57">
        <f>F50*$B57</f>
        <v>0</v>
      </c>
      <c r="G57">
        <f>G50*$B57</f>
        <v>0</v>
      </c>
      <c r="H57">
        <f>H50*B57</f>
        <v>0</v>
      </c>
      <c r="I57" s="143">
        <f t="shared" si="2"/>
        <v>0</v>
      </c>
      <c r="Q57" s="225"/>
      <c r="R57" s="225"/>
      <c r="S57" s="225"/>
      <c r="T57" s="225"/>
      <c r="U57" s="225"/>
      <c r="V57" s="83"/>
      <c r="W57" s="225"/>
      <c r="X57" s="225"/>
      <c r="Y57" s="225"/>
      <c r="Z57" s="225"/>
      <c r="AA57" s="225"/>
      <c r="AB57" s="225"/>
      <c r="AC57" s="225"/>
    </row>
    <row r="58" spans="1:29" ht="18" x14ac:dyDescent="0.25">
      <c r="A58" t="s">
        <v>674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 s="143"/>
      <c r="Q58" s="225"/>
      <c r="R58" s="225"/>
      <c r="S58" s="225"/>
      <c r="T58" s="225"/>
      <c r="U58" s="399"/>
      <c r="V58" s="83"/>
      <c r="W58" s="315"/>
      <c r="X58" s="315"/>
      <c r="Y58" s="225"/>
      <c r="Z58" s="225"/>
      <c r="AA58" s="225"/>
      <c r="AB58" s="225"/>
      <c r="AC58" s="225"/>
    </row>
    <row r="59" spans="1:29" x14ac:dyDescent="0.2">
      <c r="A59" t="s">
        <v>641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 s="143"/>
      <c r="Q59" s="225"/>
      <c r="R59" s="225"/>
      <c r="S59" s="225"/>
      <c r="T59" s="225"/>
      <c r="U59" s="225"/>
      <c r="V59" s="83"/>
      <c r="W59" s="237"/>
      <c r="X59" s="237"/>
      <c r="Y59" s="225"/>
      <c r="Z59" s="225"/>
      <c r="AA59" s="225"/>
      <c r="AB59" s="225"/>
      <c r="AC59" s="225"/>
    </row>
    <row r="60" spans="1:29" x14ac:dyDescent="0.2">
      <c r="A60" t="s">
        <v>675</v>
      </c>
      <c r="B60">
        <v>2.76</v>
      </c>
      <c r="C60">
        <f t="shared" ref="C60:H60" si="3">C50*$B60</f>
        <v>0</v>
      </c>
      <c r="D60">
        <f t="shared" si="3"/>
        <v>0</v>
      </c>
      <c r="E60">
        <f t="shared" si="3"/>
        <v>0</v>
      </c>
      <c r="F60">
        <f t="shared" si="3"/>
        <v>0</v>
      </c>
      <c r="G60">
        <f t="shared" si="3"/>
        <v>0</v>
      </c>
      <c r="H60">
        <f t="shared" si="3"/>
        <v>0</v>
      </c>
      <c r="I60" s="143">
        <f t="shared" si="2"/>
        <v>0</v>
      </c>
      <c r="Q60" s="225"/>
      <c r="R60" s="225"/>
      <c r="S60" s="225"/>
      <c r="T60" s="225"/>
      <c r="U60" s="225"/>
      <c r="V60" s="83"/>
      <c r="W60" s="225"/>
      <c r="X60" s="225"/>
      <c r="Y60" s="225"/>
      <c r="Z60" s="225"/>
      <c r="AA60" s="225"/>
      <c r="AB60" s="225"/>
      <c r="AC60" s="225"/>
    </row>
    <row r="61" spans="1:29" x14ac:dyDescent="0.2">
      <c r="A61" s="14"/>
      <c r="B61" s="14"/>
      <c r="C61" s="14"/>
      <c r="D61" s="14"/>
      <c r="E61" s="14"/>
      <c r="F61" s="14"/>
      <c r="G61" s="14"/>
      <c r="H61" s="14"/>
      <c r="I61" s="392"/>
      <c r="Q61" s="225"/>
      <c r="R61" s="225"/>
      <c r="S61" s="225"/>
      <c r="T61" s="225"/>
      <c r="U61" s="225"/>
      <c r="V61" s="83"/>
      <c r="W61" s="225"/>
      <c r="X61" s="225"/>
      <c r="Y61" s="225"/>
      <c r="Z61" s="225"/>
      <c r="AA61" s="225"/>
      <c r="AB61" s="225"/>
      <c r="AC61" s="225"/>
    </row>
    <row r="62" spans="1:29" ht="15.75" x14ac:dyDescent="0.25">
      <c r="A62" s="14"/>
      <c r="B62" s="14"/>
      <c r="C62" s="14"/>
      <c r="D62" s="14"/>
      <c r="E62" s="14"/>
      <c r="F62" s="14"/>
      <c r="G62" s="14"/>
      <c r="H62" s="14"/>
      <c r="I62" s="392"/>
      <c r="Q62" s="225"/>
      <c r="R62" s="225"/>
      <c r="S62" s="225"/>
      <c r="T62" s="225"/>
      <c r="U62" s="318"/>
      <c r="V62" s="229"/>
      <c r="W62" s="318"/>
      <c r="X62" s="318"/>
      <c r="Y62" s="225"/>
      <c r="Z62" s="225"/>
      <c r="AA62" s="225"/>
      <c r="AB62" s="225"/>
      <c r="AC62" s="225"/>
    </row>
    <row r="63" spans="1:29" x14ac:dyDescent="0.2">
      <c r="A63" s="14"/>
      <c r="B63" s="14"/>
      <c r="C63" s="14"/>
      <c r="D63" s="14"/>
      <c r="E63" s="14"/>
      <c r="F63" s="14"/>
      <c r="G63" s="14"/>
      <c r="H63" s="1136"/>
      <c r="I63" s="392"/>
      <c r="Q63" s="225"/>
      <c r="R63" s="225"/>
      <c r="S63" s="225"/>
      <c r="T63" s="225"/>
      <c r="U63" s="225"/>
      <c r="V63" s="83"/>
      <c r="W63" s="225"/>
      <c r="X63" s="400"/>
      <c r="Y63" s="225"/>
      <c r="Z63" s="225"/>
      <c r="AA63" s="225"/>
      <c r="AB63" s="225"/>
      <c r="AC63" s="225"/>
    </row>
    <row r="64" spans="1:29" x14ac:dyDescent="0.2">
      <c r="A64" s="14"/>
      <c r="B64" s="14"/>
      <c r="C64" s="14"/>
      <c r="D64" s="14"/>
      <c r="E64" s="14"/>
      <c r="F64" s="14"/>
      <c r="G64" s="14"/>
      <c r="H64" s="14"/>
      <c r="I64" s="14"/>
      <c r="Q64" s="225"/>
      <c r="R64" s="225"/>
      <c r="S64" s="225"/>
      <c r="T64" s="225"/>
      <c r="U64" s="225"/>
      <c r="V64" s="83"/>
      <c r="W64" s="225"/>
      <c r="X64" s="400"/>
      <c r="Y64" s="225"/>
      <c r="Z64" s="225"/>
      <c r="AA64" s="225"/>
      <c r="AB64" s="225"/>
      <c r="AC64" s="225"/>
    </row>
    <row r="65" spans="1:29" x14ac:dyDescent="0.2">
      <c r="A65" s="14"/>
      <c r="B65" s="14"/>
      <c r="C65" s="14"/>
      <c r="D65" s="14"/>
      <c r="E65" s="14"/>
      <c r="F65" s="14"/>
      <c r="G65" s="14"/>
      <c r="H65" s="14"/>
      <c r="I65" s="14"/>
      <c r="Q65" s="225"/>
      <c r="R65" s="225"/>
      <c r="S65" s="225"/>
      <c r="T65" s="225"/>
      <c r="U65" s="225"/>
      <c r="V65" s="83"/>
      <c r="W65" s="401"/>
      <c r="X65" s="400"/>
      <c r="Y65" s="225"/>
      <c r="Z65" s="225"/>
      <c r="AA65" s="225"/>
      <c r="AB65" s="225"/>
      <c r="AC65" s="225"/>
    </row>
    <row r="66" spans="1:29" ht="18" x14ac:dyDescent="0.25">
      <c r="A66" s="137" t="s">
        <v>448</v>
      </c>
      <c r="B66" s="138"/>
      <c r="C66" s="138"/>
      <c r="D66" s="138"/>
      <c r="E66" s="138"/>
      <c r="F66" s="138"/>
      <c r="G66" s="138"/>
      <c r="H66" s="138"/>
      <c r="I66" s="138"/>
      <c r="Q66" s="225"/>
      <c r="R66" s="225"/>
      <c r="S66" s="225"/>
      <c r="T66" s="225"/>
      <c r="U66" s="225"/>
      <c r="V66" s="83"/>
      <c r="W66" s="225"/>
      <c r="X66" s="400"/>
      <c r="Y66" s="225"/>
      <c r="Z66" s="225"/>
      <c r="AA66" s="225"/>
      <c r="AB66" s="225"/>
      <c r="AC66" s="225"/>
    </row>
    <row r="67" spans="1:29" x14ac:dyDescent="0.2">
      <c r="A67">
        <v>0</v>
      </c>
      <c r="B67" s="1"/>
      <c r="C67" s="1"/>
      <c r="D67" s="1"/>
      <c r="E67" s="1"/>
      <c r="F67" s="1"/>
      <c r="G67" s="1"/>
      <c r="H67" s="1"/>
      <c r="I67" s="1"/>
      <c r="Q67" s="225"/>
      <c r="R67" s="225"/>
      <c r="S67" s="225"/>
      <c r="T67" s="225"/>
      <c r="U67" s="225"/>
      <c r="V67" s="83"/>
      <c r="W67" s="225"/>
      <c r="X67" s="400"/>
      <c r="Y67" s="225"/>
      <c r="Z67" s="225"/>
      <c r="AA67" s="225"/>
      <c r="AB67" s="225"/>
      <c r="AC67" s="225"/>
    </row>
    <row r="68" spans="1:29" x14ac:dyDescent="0.2">
      <c r="A68" t="s">
        <v>444</v>
      </c>
      <c r="C68">
        <v>0.3</v>
      </c>
      <c r="D68">
        <v>0.6</v>
      </c>
      <c r="E68">
        <v>0.7</v>
      </c>
      <c r="F68">
        <v>0.85</v>
      </c>
      <c r="G68">
        <v>1.1000000000000001</v>
      </c>
      <c r="H68">
        <v>1.4</v>
      </c>
      <c r="Q68" s="225"/>
      <c r="R68" s="225"/>
      <c r="S68" s="225"/>
      <c r="T68" s="225"/>
      <c r="U68" s="225"/>
      <c r="V68" s="83"/>
      <c r="W68" s="225"/>
      <c r="X68" s="400"/>
      <c r="Y68" s="225"/>
      <c r="Z68" s="225"/>
      <c r="AA68" s="225"/>
      <c r="AB68" s="225"/>
      <c r="AC68" s="225"/>
    </row>
    <row r="69" spans="1:29" x14ac:dyDescent="0.2">
      <c r="A69" t="s">
        <v>445</v>
      </c>
      <c r="C69" s="142">
        <v>0.28000000000000003</v>
      </c>
      <c r="D69" s="142">
        <v>0.56000000000000005</v>
      </c>
      <c r="E69" s="142">
        <v>0.7</v>
      </c>
      <c r="F69" s="142">
        <v>0.84</v>
      </c>
      <c r="G69" s="142">
        <v>1.1200000000000001</v>
      </c>
      <c r="H69" s="142">
        <v>1.4</v>
      </c>
      <c r="Q69" s="225"/>
      <c r="R69" s="225"/>
      <c r="S69" s="225"/>
      <c r="T69" s="225"/>
      <c r="U69" s="225"/>
      <c r="V69" s="83"/>
      <c r="W69" s="225"/>
      <c r="X69" s="400"/>
      <c r="Y69" s="225"/>
      <c r="Z69" s="225"/>
      <c r="AA69" s="225"/>
      <c r="AB69" s="225"/>
      <c r="AC69" s="225"/>
    </row>
    <row r="70" spans="1:29" ht="15.75" x14ac:dyDescent="0.25">
      <c r="A70" s="139" t="s">
        <v>105</v>
      </c>
      <c r="B70" s="139"/>
      <c r="C70" s="140">
        <f t="shared" ref="C70:H70" si="4">+B10</f>
        <v>0</v>
      </c>
      <c r="D70" s="140">
        <f t="shared" si="4"/>
        <v>0</v>
      </c>
      <c r="E70" s="140">
        <f t="shared" si="4"/>
        <v>0</v>
      </c>
      <c r="F70" s="140">
        <f t="shared" si="4"/>
        <v>0</v>
      </c>
      <c r="G70" s="140">
        <f t="shared" si="4"/>
        <v>0</v>
      </c>
      <c r="H70" s="140">
        <f t="shared" si="4"/>
        <v>0</v>
      </c>
      <c r="I70" s="141" t="s">
        <v>446</v>
      </c>
      <c r="Q70" s="225"/>
      <c r="R70" s="225"/>
      <c r="S70" s="225"/>
      <c r="T70" s="225"/>
      <c r="U70" s="225"/>
      <c r="V70" s="83"/>
      <c r="W70" s="225"/>
      <c r="X70" s="400"/>
      <c r="Y70" s="225"/>
      <c r="Z70" s="225"/>
      <c r="AA70" s="225"/>
      <c r="AB70" s="225"/>
      <c r="AC70" s="225"/>
    </row>
    <row r="71" spans="1:29" x14ac:dyDescent="0.2">
      <c r="A71">
        <v>0</v>
      </c>
      <c r="B71">
        <v>0</v>
      </c>
      <c r="C71">
        <f t="shared" ref="C71:H71" si="5">C70*$B71</f>
        <v>0</v>
      </c>
      <c r="D71">
        <f t="shared" si="5"/>
        <v>0</v>
      </c>
      <c r="E71">
        <f t="shared" si="5"/>
        <v>0</v>
      </c>
      <c r="F71">
        <f t="shared" si="5"/>
        <v>0</v>
      </c>
      <c r="G71">
        <f t="shared" si="5"/>
        <v>0</v>
      </c>
      <c r="H71">
        <f t="shared" si="5"/>
        <v>0</v>
      </c>
      <c r="I71" s="143">
        <f>SUM(C71:H71)</f>
        <v>0</v>
      </c>
      <c r="Q71" s="225"/>
      <c r="R71" s="225"/>
      <c r="S71" s="225"/>
      <c r="T71" s="225"/>
      <c r="U71" s="225"/>
      <c r="V71" s="83"/>
      <c r="W71" s="225"/>
      <c r="X71" s="400"/>
      <c r="Y71" s="225"/>
      <c r="Z71" s="225"/>
      <c r="AA71" s="225"/>
      <c r="AB71" s="225"/>
      <c r="AC71" s="225"/>
    </row>
    <row r="72" spans="1:29" x14ac:dyDescent="0.2">
      <c r="A72" t="s">
        <v>635</v>
      </c>
      <c r="B72">
        <v>2.5</v>
      </c>
      <c r="C72">
        <f t="shared" ref="C72:H72" si="6">+$B72*C70</f>
        <v>0</v>
      </c>
      <c r="D72">
        <f t="shared" si="6"/>
        <v>0</v>
      </c>
      <c r="E72">
        <f t="shared" si="6"/>
        <v>0</v>
      </c>
      <c r="F72">
        <f t="shared" si="6"/>
        <v>0</v>
      </c>
      <c r="G72">
        <f t="shared" si="6"/>
        <v>0</v>
      </c>
      <c r="H72">
        <f t="shared" si="6"/>
        <v>0</v>
      </c>
      <c r="I72" s="143">
        <f t="shared" ref="I72:I88" si="7">SUM(C72:H72)</f>
        <v>0</v>
      </c>
      <c r="Q72" s="225"/>
      <c r="R72" s="225"/>
      <c r="S72" s="225"/>
      <c r="T72" s="225"/>
      <c r="U72" s="225"/>
      <c r="V72" s="83"/>
      <c r="W72" s="225"/>
      <c r="X72" s="400"/>
      <c r="Y72" s="225"/>
      <c r="Z72" s="225"/>
      <c r="AA72" s="225"/>
      <c r="AB72" s="225"/>
      <c r="AC72" s="225"/>
    </row>
    <row r="73" spans="1:29" x14ac:dyDescent="0.2">
      <c r="A73" t="s">
        <v>641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 s="143"/>
      <c r="Q73" s="225"/>
      <c r="R73" s="225"/>
      <c r="S73" s="225"/>
      <c r="T73" s="225"/>
      <c r="U73" s="225"/>
      <c r="V73" s="83"/>
      <c r="W73" s="225"/>
      <c r="X73" s="400"/>
      <c r="Y73" s="225"/>
      <c r="Z73" s="225"/>
      <c r="AA73" s="225"/>
      <c r="AB73" s="225"/>
      <c r="AC73" s="225"/>
    </row>
    <row r="74" spans="1:29" x14ac:dyDescent="0.2">
      <c r="A74" t="s">
        <v>670</v>
      </c>
      <c r="C74">
        <f>B74*C70</f>
        <v>0</v>
      </c>
      <c r="D74">
        <f>B74*D70</f>
        <v>0</v>
      </c>
      <c r="E74">
        <f>B74*E70</f>
        <v>0</v>
      </c>
      <c r="F74">
        <f>B74*F70</f>
        <v>0</v>
      </c>
      <c r="G74">
        <f>B74*G70</f>
        <v>0</v>
      </c>
      <c r="H74">
        <f>B74*H70</f>
        <v>0</v>
      </c>
      <c r="I74" s="143">
        <f t="shared" si="7"/>
        <v>0</v>
      </c>
      <c r="Q74" s="225"/>
      <c r="R74" s="225"/>
      <c r="S74" s="225"/>
      <c r="T74" s="225"/>
      <c r="U74" s="225"/>
      <c r="V74" s="83"/>
      <c r="W74" s="225"/>
      <c r="X74" s="400"/>
      <c r="Y74" s="225"/>
      <c r="Z74" s="225"/>
      <c r="AA74" s="225"/>
      <c r="AB74" s="225"/>
      <c r="AC74" s="225"/>
    </row>
    <row r="75" spans="1:29" x14ac:dyDescent="0.2">
      <c r="A75" t="s">
        <v>672</v>
      </c>
      <c r="B75">
        <v>2</v>
      </c>
      <c r="C75">
        <f t="shared" ref="C75:H75" si="8">+($B75*C70)*C69</f>
        <v>0</v>
      </c>
      <c r="D75">
        <f t="shared" si="8"/>
        <v>0</v>
      </c>
      <c r="E75">
        <f t="shared" si="8"/>
        <v>0</v>
      </c>
      <c r="F75">
        <f t="shared" si="8"/>
        <v>0</v>
      </c>
      <c r="G75">
        <f t="shared" si="8"/>
        <v>0</v>
      </c>
      <c r="H75">
        <f t="shared" si="8"/>
        <v>0</v>
      </c>
      <c r="I75" s="143">
        <f t="shared" si="7"/>
        <v>0</v>
      </c>
      <c r="Q75" s="225"/>
      <c r="R75" s="225"/>
      <c r="S75" s="225"/>
      <c r="T75" s="225"/>
      <c r="U75" s="225"/>
      <c r="V75" s="83"/>
      <c r="W75" s="225"/>
      <c r="X75" s="400"/>
      <c r="Y75" s="225"/>
      <c r="Z75" s="225"/>
      <c r="AA75" s="225"/>
      <c r="AB75" s="225"/>
      <c r="AC75" s="225"/>
    </row>
    <row r="76" spans="1:29" x14ac:dyDescent="0.2">
      <c r="A76" t="s">
        <v>675</v>
      </c>
      <c r="C76">
        <f>B76*C70</f>
        <v>0</v>
      </c>
      <c r="D76">
        <f>B76*D70</f>
        <v>0</v>
      </c>
      <c r="E76">
        <f>B76*E70</f>
        <v>0</v>
      </c>
      <c r="F76">
        <f>B76*F70</f>
        <v>0</v>
      </c>
      <c r="G76">
        <f>B76*G70</f>
        <v>0</v>
      </c>
      <c r="H76">
        <f>B76*H70</f>
        <v>0</v>
      </c>
      <c r="I76" s="143">
        <f t="shared" si="7"/>
        <v>0</v>
      </c>
      <c r="Q76" s="225"/>
      <c r="R76" s="225"/>
      <c r="S76" s="225"/>
      <c r="T76" s="225"/>
      <c r="U76" s="225"/>
      <c r="V76" s="83"/>
      <c r="W76" s="225"/>
      <c r="X76" s="225"/>
      <c r="Y76" s="225"/>
      <c r="Z76" s="225"/>
      <c r="AA76" s="225"/>
      <c r="AB76" s="225"/>
      <c r="AC76" s="225"/>
    </row>
    <row r="77" spans="1:29" x14ac:dyDescent="0.2">
      <c r="A77" t="s">
        <v>673</v>
      </c>
      <c r="C77">
        <f t="shared" ref="C77:H77" si="9">C70*$B77</f>
        <v>0</v>
      </c>
      <c r="D77">
        <f t="shared" si="9"/>
        <v>0</v>
      </c>
      <c r="E77">
        <f t="shared" si="9"/>
        <v>0</v>
      </c>
      <c r="F77">
        <f t="shared" si="9"/>
        <v>0</v>
      </c>
      <c r="G77">
        <f t="shared" si="9"/>
        <v>0</v>
      </c>
      <c r="H77">
        <f t="shared" si="9"/>
        <v>0</v>
      </c>
      <c r="I77" s="143">
        <f t="shared" si="7"/>
        <v>0</v>
      </c>
      <c r="Q77" s="225"/>
      <c r="R77" s="225"/>
      <c r="S77" s="225"/>
      <c r="T77" s="225"/>
      <c r="U77" s="225"/>
      <c r="V77" s="83"/>
      <c r="W77" s="225"/>
      <c r="X77" s="225"/>
      <c r="Y77" s="225"/>
      <c r="Z77" s="225"/>
      <c r="AA77" s="225"/>
      <c r="AB77" s="225"/>
      <c r="AC77" s="225"/>
    </row>
    <row r="78" spans="1:29" ht="15.75" x14ac:dyDescent="0.25">
      <c r="A78" t="s">
        <v>674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 s="143"/>
      <c r="Q78" s="225"/>
      <c r="R78" s="225"/>
      <c r="S78" s="225"/>
      <c r="T78" s="225"/>
      <c r="U78" s="318"/>
      <c r="V78" s="83"/>
      <c r="W78" s="225"/>
      <c r="X78" s="225"/>
      <c r="Y78" s="225"/>
      <c r="Z78" s="225"/>
      <c r="AA78" s="225"/>
      <c r="AB78" s="225"/>
      <c r="AC78" s="225"/>
    </row>
    <row r="79" spans="1:29" ht="15.75" x14ac:dyDescent="0.25">
      <c r="A79">
        <v>0</v>
      </c>
      <c r="C79">
        <f t="shared" ref="C79:H79" si="10">$B79*C70</f>
        <v>0</v>
      </c>
      <c r="D79">
        <f t="shared" si="10"/>
        <v>0</v>
      </c>
      <c r="E79">
        <f t="shared" si="10"/>
        <v>0</v>
      </c>
      <c r="F79">
        <f t="shared" si="10"/>
        <v>0</v>
      </c>
      <c r="G79">
        <f t="shared" si="10"/>
        <v>0</v>
      </c>
      <c r="H79">
        <f t="shared" si="10"/>
        <v>0</v>
      </c>
      <c r="I79" s="143">
        <f t="shared" si="7"/>
        <v>0</v>
      </c>
      <c r="Q79" s="225"/>
      <c r="R79" s="225"/>
      <c r="S79" s="225"/>
      <c r="T79" s="225"/>
      <c r="U79" s="318"/>
      <c r="V79" s="229"/>
      <c r="W79" s="318"/>
      <c r="X79" s="318"/>
      <c r="Y79" s="225"/>
      <c r="Z79" s="225"/>
      <c r="AA79" s="225"/>
      <c r="AB79" s="225"/>
      <c r="AC79" s="225"/>
    </row>
    <row r="80" spans="1:29" x14ac:dyDescent="0.2">
      <c r="A80">
        <v>0</v>
      </c>
      <c r="C80">
        <f t="shared" ref="C80:H80" si="11">+$B80*C70</f>
        <v>0</v>
      </c>
      <c r="D80">
        <f t="shared" si="11"/>
        <v>0</v>
      </c>
      <c r="E80">
        <f t="shared" si="11"/>
        <v>0</v>
      </c>
      <c r="F80">
        <f t="shared" si="11"/>
        <v>0</v>
      </c>
      <c r="G80">
        <f t="shared" si="11"/>
        <v>0</v>
      </c>
      <c r="H80">
        <f t="shared" si="11"/>
        <v>0</v>
      </c>
      <c r="I80" s="143">
        <f t="shared" si="7"/>
        <v>0</v>
      </c>
      <c r="Q80" s="225"/>
      <c r="R80" s="225"/>
      <c r="S80" s="225"/>
      <c r="T80" s="225"/>
      <c r="U80" s="225"/>
      <c r="V80" s="83"/>
      <c r="W80" s="225"/>
      <c r="X80" s="400"/>
      <c r="Y80" s="225"/>
      <c r="Z80" s="225"/>
      <c r="AA80" s="225"/>
      <c r="AB80" s="225"/>
      <c r="AC80" s="225"/>
    </row>
    <row r="81" spans="1:29" x14ac:dyDescent="0.2">
      <c r="A81" t="s">
        <v>671</v>
      </c>
      <c r="B81">
        <v>1</v>
      </c>
      <c r="C81" s="143">
        <f t="shared" ref="C81:H81" si="12">+$B81*C70</f>
        <v>0</v>
      </c>
      <c r="D81" s="143">
        <f t="shared" si="12"/>
        <v>0</v>
      </c>
      <c r="E81" s="143">
        <f t="shared" si="12"/>
        <v>0</v>
      </c>
      <c r="F81" s="143">
        <f t="shared" si="12"/>
        <v>0</v>
      </c>
      <c r="G81" s="143">
        <f t="shared" si="12"/>
        <v>0</v>
      </c>
      <c r="H81" s="143">
        <f t="shared" si="12"/>
        <v>0</v>
      </c>
      <c r="I81" s="143">
        <f t="shared" si="7"/>
        <v>0</v>
      </c>
      <c r="Q81" s="225"/>
      <c r="R81" s="225"/>
      <c r="S81" s="225"/>
      <c r="T81" s="225"/>
      <c r="U81" s="225"/>
      <c r="V81" s="83"/>
      <c r="W81" s="225"/>
      <c r="X81" s="400"/>
      <c r="Y81" s="225"/>
      <c r="Z81" s="225"/>
      <c r="AA81" s="225"/>
      <c r="AB81" s="225"/>
      <c r="AC81" s="225"/>
    </row>
    <row r="82" spans="1:29" x14ac:dyDescent="0.2">
      <c r="A82">
        <v>0</v>
      </c>
      <c r="C82">
        <f>0.3*C70</f>
        <v>0</v>
      </c>
      <c r="D82">
        <f>0.6*D70</f>
        <v>0</v>
      </c>
      <c r="E82">
        <f>0.7*E70</f>
        <v>0</v>
      </c>
      <c r="F82">
        <f>0.85*F70</f>
        <v>0</v>
      </c>
      <c r="G82">
        <f>1.1*G70</f>
        <v>0</v>
      </c>
      <c r="H82">
        <f>1.4*H70</f>
        <v>0</v>
      </c>
      <c r="I82" s="143">
        <f t="shared" si="7"/>
        <v>0</v>
      </c>
      <c r="Q82" s="225"/>
      <c r="R82" s="225"/>
      <c r="S82" s="225"/>
      <c r="T82" s="225"/>
      <c r="U82" s="225"/>
      <c r="V82" s="83"/>
      <c r="W82" s="225"/>
      <c r="X82" s="400"/>
      <c r="Y82" s="225"/>
      <c r="Z82" s="225"/>
      <c r="AA82" s="225"/>
      <c r="AB82" s="225"/>
      <c r="AC82" s="225"/>
    </row>
    <row r="83" spans="1:29" x14ac:dyDescent="0.2">
      <c r="A83" t="s">
        <v>677</v>
      </c>
      <c r="B83">
        <v>1</v>
      </c>
      <c r="C83" s="143">
        <f t="shared" ref="C83:H83" si="13">+$B83*C70</f>
        <v>0</v>
      </c>
      <c r="D83" s="143">
        <f t="shared" si="13"/>
        <v>0</v>
      </c>
      <c r="E83" s="143">
        <f t="shared" si="13"/>
        <v>0</v>
      </c>
      <c r="F83" s="143">
        <f t="shared" si="13"/>
        <v>0</v>
      </c>
      <c r="G83" s="143">
        <f t="shared" si="13"/>
        <v>0</v>
      </c>
      <c r="H83" s="143">
        <f t="shared" si="13"/>
        <v>0</v>
      </c>
      <c r="I83" s="143">
        <f t="shared" si="7"/>
        <v>0</v>
      </c>
      <c r="Q83" s="225"/>
      <c r="R83" s="225"/>
      <c r="S83" s="225"/>
      <c r="T83" s="225"/>
      <c r="U83" s="225"/>
      <c r="V83" s="83"/>
      <c r="W83" s="225"/>
      <c r="X83" s="225"/>
      <c r="Y83" s="225"/>
      <c r="Z83" s="225"/>
      <c r="AA83" s="225"/>
      <c r="AB83" s="225"/>
      <c r="AC83" s="225"/>
    </row>
    <row r="84" spans="1:29" ht="15.75" x14ac:dyDescent="0.25">
      <c r="A84" t="s">
        <v>110</v>
      </c>
      <c r="B84">
        <v>7.4</v>
      </c>
      <c r="C84">
        <f t="shared" ref="C84:H84" si="14">+$B84*C70</f>
        <v>0</v>
      </c>
      <c r="D84">
        <f t="shared" si="14"/>
        <v>0</v>
      </c>
      <c r="E84">
        <f t="shared" si="14"/>
        <v>0</v>
      </c>
      <c r="F84">
        <f t="shared" si="14"/>
        <v>0</v>
      </c>
      <c r="G84">
        <f t="shared" si="14"/>
        <v>0</v>
      </c>
      <c r="H84">
        <f t="shared" si="14"/>
        <v>0</v>
      </c>
      <c r="I84" s="143">
        <f t="shared" si="7"/>
        <v>0</v>
      </c>
      <c r="Q84" s="225"/>
      <c r="R84" s="225"/>
      <c r="S84" s="225"/>
      <c r="T84" s="225"/>
      <c r="U84" s="318"/>
      <c r="V84" s="229"/>
      <c r="W84" s="318"/>
      <c r="X84" s="318"/>
      <c r="Y84" s="225"/>
      <c r="Z84" s="225"/>
      <c r="AA84" s="225"/>
      <c r="AB84" s="225"/>
      <c r="AC84" s="225"/>
    </row>
    <row r="85" spans="1:29" x14ac:dyDescent="0.2">
      <c r="A85" t="s">
        <v>110</v>
      </c>
      <c r="B85">
        <v>4</v>
      </c>
      <c r="C85">
        <f>0.28*4*C70</f>
        <v>0</v>
      </c>
      <c r="D85">
        <f>0.56*4*D70</f>
        <v>0</v>
      </c>
      <c r="E85">
        <f>0.7*4*E70</f>
        <v>0</v>
      </c>
      <c r="F85">
        <f>0.84*4*F70</f>
        <v>0</v>
      </c>
      <c r="G85">
        <f>1.12*4*G70</f>
        <v>0</v>
      </c>
      <c r="H85">
        <f>1.4*4*H70</f>
        <v>0</v>
      </c>
      <c r="I85" s="143">
        <f t="shared" si="7"/>
        <v>0</v>
      </c>
      <c r="Q85" s="225"/>
      <c r="R85" s="225"/>
      <c r="S85" s="225"/>
      <c r="T85" s="225"/>
      <c r="U85" s="225"/>
      <c r="V85" s="83"/>
      <c r="W85" s="225"/>
      <c r="X85" s="400"/>
      <c r="Y85" s="225"/>
      <c r="Z85" s="225"/>
      <c r="AA85" s="225"/>
      <c r="AB85" s="225"/>
      <c r="AC85" s="225"/>
    </row>
    <row r="86" spans="1:29" x14ac:dyDescent="0.2">
      <c r="A86" t="s">
        <v>676</v>
      </c>
      <c r="B86">
        <v>1</v>
      </c>
      <c r="C86">
        <f t="shared" ref="C86:H86" si="15">+C69*C70</f>
        <v>0</v>
      </c>
      <c r="D86">
        <f t="shared" si="15"/>
        <v>0</v>
      </c>
      <c r="E86">
        <f t="shared" si="15"/>
        <v>0</v>
      </c>
      <c r="F86">
        <f t="shared" si="15"/>
        <v>0</v>
      </c>
      <c r="G86">
        <f t="shared" si="15"/>
        <v>0</v>
      </c>
      <c r="H86">
        <f t="shared" si="15"/>
        <v>0</v>
      </c>
      <c r="I86" s="143">
        <f t="shared" si="7"/>
        <v>0</v>
      </c>
      <c r="Q86" s="225"/>
      <c r="R86" s="225"/>
      <c r="S86" s="225"/>
      <c r="T86" s="225"/>
      <c r="U86" s="225"/>
      <c r="V86" s="83"/>
      <c r="W86" s="225"/>
      <c r="X86" s="400"/>
      <c r="Y86" s="225"/>
      <c r="Z86" s="225"/>
      <c r="AA86" s="225"/>
      <c r="AB86" s="225"/>
      <c r="AC86" s="225"/>
    </row>
    <row r="87" spans="1:29" x14ac:dyDescent="0.2">
      <c r="A87">
        <v>0</v>
      </c>
      <c r="I87" s="143">
        <f t="shared" si="7"/>
        <v>0</v>
      </c>
      <c r="Q87" s="225"/>
      <c r="R87" s="225"/>
      <c r="S87" s="225"/>
      <c r="T87" s="225"/>
      <c r="U87" s="225"/>
      <c r="V87" s="83"/>
      <c r="W87" s="225"/>
      <c r="X87" s="400"/>
      <c r="Y87" s="225"/>
      <c r="Z87" s="225"/>
      <c r="AA87" s="225"/>
      <c r="AB87" s="225"/>
      <c r="AC87" s="225"/>
    </row>
    <row r="88" spans="1:29" x14ac:dyDescent="0.2">
      <c r="A88">
        <v>0</v>
      </c>
      <c r="I88" s="143">
        <f t="shared" si="7"/>
        <v>0</v>
      </c>
      <c r="Q88" s="225"/>
      <c r="R88" s="225"/>
      <c r="S88" s="225"/>
      <c r="T88" s="225"/>
      <c r="U88" s="225"/>
      <c r="V88" s="83"/>
      <c r="W88" s="225"/>
      <c r="X88" s="400"/>
      <c r="Y88" s="225"/>
      <c r="Z88" s="225"/>
      <c r="AA88" s="225"/>
      <c r="AB88" s="225"/>
      <c r="AC88" s="225"/>
    </row>
    <row r="89" spans="1:29" ht="18" x14ac:dyDescent="0.25">
      <c r="A89" s="137" t="s">
        <v>451</v>
      </c>
      <c r="B89" s="138"/>
      <c r="C89" s="138"/>
      <c r="D89" s="138"/>
      <c r="E89" s="138"/>
      <c r="F89" s="138"/>
      <c r="G89" s="138"/>
      <c r="H89" s="138"/>
      <c r="I89" s="138"/>
      <c r="Q89" s="225"/>
      <c r="R89" s="225"/>
      <c r="S89" s="225"/>
      <c r="T89" s="225"/>
      <c r="U89" s="225"/>
      <c r="V89" s="83"/>
      <c r="W89" s="225"/>
      <c r="X89" s="400"/>
      <c r="Y89" s="225"/>
      <c r="Z89" s="225"/>
      <c r="AA89" s="225"/>
      <c r="AB89" s="225"/>
      <c r="AC89" s="225"/>
    </row>
    <row r="90" spans="1:29" x14ac:dyDescent="0.2">
      <c r="A90">
        <v>0</v>
      </c>
      <c r="B90" s="1"/>
      <c r="C90" s="1"/>
      <c r="D90" s="1"/>
      <c r="E90" s="1"/>
      <c r="F90" s="1"/>
      <c r="G90" s="1"/>
      <c r="H90" s="1"/>
      <c r="I90" s="1"/>
      <c r="Q90" s="225"/>
      <c r="R90" s="225"/>
      <c r="S90" s="225"/>
      <c r="T90" s="225"/>
      <c r="U90" s="225"/>
      <c r="V90" s="83"/>
      <c r="W90" s="225"/>
      <c r="X90" s="400"/>
      <c r="Y90" s="225"/>
      <c r="Z90" s="225"/>
      <c r="AA90" s="225"/>
      <c r="AB90" s="225"/>
      <c r="AC90" s="225"/>
    </row>
    <row r="91" spans="1:29" x14ac:dyDescent="0.2">
      <c r="A91" t="s">
        <v>444</v>
      </c>
      <c r="C91">
        <v>0.3</v>
      </c>
      <c r="D91">
        <v>0.6</v>
      </c>
      <c r="E91">
        <v>0.7</v>
      </c>
      <c r="F91">
        <v>0.85</v>
      </c>
      <c r="G91">
        <v>1.1000000000000001</v>
      </c>
      <c r="H91">
        <v>1.4</v>
      </c>
      <c r="Q91" s="225"/>
      <c r="R91" s="225"/>
      <c r="S91" s="225"/>
      <c r="T91" s="225"/>
      <c r="U91" s="225"/>
      <c r="V91" s="83"/>
      <c r="W91" s="225"/>
      <c r="X91" s="400"/>
      <c r="Y91" s="225"/>
      <c r="Z91" s="225"/>
      <c r="AA91" s="225"/>
      <c r="AB91" s="225"/>
      <c r="AC91" s="225"/>
    </row>
    <row r="92" spans="1:29" x14ac:dyDescent="0.2">
      <c r="A92" t="s">
        <v>445</v>
      </c>
      <c r="C92" s="142">
        <v>0.28000000000000003</v>
      </c>
      <c r="D92" s="142">
        <v>0.56000000000000005</v>
      </c>
      <c r="E92" s="142">
        <v>0.7</v>
      </c>
      <c r="F92" s="142">
        <v>0.84</v>
      </c>
      <c r="G92" s="142">
        <v>1.1200000000000001</v>
      </c>
      <c r="H92" s="142">
        <v>1.4</v>
      </c>
      <c r="Q92" s="225"/>
      <c r="R92" s="225"/>
      <c r="S92" s="225"/>
      <c r="T92" s="225"/>
      <c r="U92" s="225"/>
      <c r="V92" s="83"/>
      <c r="W92" s="225"/>
      <c r="X92" s="225"/>
      <c r="Y92" s="225"/>
      <c r="Z92" s="225"/>
      <c r="AA92" s="225"/>
      <c r="AB92" s="225"/>
      <c r="AC92" s="225"/>
    </row>
    <row r="93" spans="1:29" ht="15.75" x14ac:dyDescent="0.25">
      <c r="A93" s="139" t="s">
        <v>105</v>
      </c>
      <c r="B93" s="139"/>
      <c r="C93" s="140">
        <f t="shared" ref="C93:H93" si="16">+B11</f>
        <v>0</v>
      </c>
      <c r="D93" s="140">
        <f t="shared" si="16"/>
        <v>0</v>
      </c>
      <c r="E93" s="140">
        <f t="shared" si="16"/>
        <v>0</v>
      </c>
      <c r="F93" s="140">
        <f t="shared" si="16"/>
        <v>0</v>
      </c>
      <c r="G93" s="140">
        <f t="shared" si="16"/>
        <v>0</v>
      </c>
      <c r="H93" s="140">
        <f t="shared" si="16"/>
        <v>0</v>
      </c>
      <c r="I93" s="141" t="s">
        <v>446</v>
      </c>
      <c r="Q93" s="225"/>
      <c r="R93" s="225"/>
      <c r="S93" s="225"/>
      <c r="T93" s="225"/>
      <c r="U93" s="225"/>
      <c r="V93" s="83"/>
      <c r="W93" s="225"/>
      <c r="X93" s="225"/>
      <c r="Y93" s="225"/>
      <c r="Z93" s="225"/>
      <c r="AA93" s="225"/>
      <c r="AB93" s="225"/>
      <c r="AC93" s="225"/>
    </row>
    <row r="94" spans="1:29" ht="15.75" x14ac:dyDescent="0.25">
      <c r="A94" t="s">
        <v>678</v>
      </c>
      <c r="B94">
        <v>1</v>
      </c>
      <c r="C94" s="143">
        <f t="shared" ref="C94:H94" si="17">$B94*C93</f>
        <v>0</v>
      </c>
      <c r="D94" s="143">
        <f t="shared" si="17"/>
        <v>0</v>
      </c>
      <c r="E94" s="143">
        <f t="shared" si="17"/>
        <v>0</v>
      </c>
      <c r="F94" s="143">
        <f t="shared" si="17"/>
        <v>0</v>
      </c>
      <c r="G94" s="143">
        <f t="shared" si="17"/>
        <v>0</v>
      </c>
      <c r="H94" s="143">
        <f t="shared" si="17"/>
        <v>0</v>
      </c>
      <c r="I94" s="143">
        <f>SUM(C94:H94)</f>
        <v>0</v>
      </c>
      <c r="Q94" s="225"/>
      <c r="R94" s="225"/>
      <c r="S94" s="225"/>
      <c r="T94" s="225"/>
      <c r="U94" s="318"/>
      <c r="V94" s="83"/>
      <c r="W94" s="225"/>
      <c r="X94" s="225"/>
      <c r="Y94" s="225"/>
      <c r="Z94" s="225"/>
      <c r="AA94" s="225"/>
      <c r="AB94" s="225"/>
      <c r="AC94" s="225"/>
    </row>
    <row r="95" spans="1:29" ht="15.75" x14ac:dyDescent="0.25">
      <c r="A95" t="s">
        <v>635</v>
      </c>
      <c r="B95">
        <v>2.5</v>
      </c>
      <c r="C95">
        <f t="shared" ref="C95:H95" si="18">+$B95*C93</f>
        <v>0</v>
      </c>
      <c r="D95">
        <f t="shared" si="18"/>
        <v>0</v>
      </c>
      <c r="E95">
        <f t="shared" si="18"/>
        <v>0</v>
      </c>
      <c r="F95">
        <f t="shared" si="18"/>
        <v>0</v>
      </c>
      <c r="G95">
        <f t="shared" si="18"/>
        <v>0</v>
      </c>
      <c r="H95">
        <f t="shared" si="18"/>
        <v>0</v>
      </c>
      <c r="I95" s="143">
        <f t="shared" ref="I95:I109" si="19">SUM(C95:H95)</f>
        <v>0</v>
      </c>
      <c r="Q95" s="225"/>
      <c r="R95" s="225"/>
      <c r="S95" s="225"/>
      <c r="T95" s="225"/>
      <c r="U95" s="318"/>
      <c r="V95" s="229"/>
      <c r="W95" s="318"/>
      <c r="X95" s="318"/>
      <c r="Y95" s="225"/>
      <c r="Z95" s="225"/>
      <c r="AA95" s="225"/>
      <c r="AB95" s="225"/>
      <c r="AC95" s="225"/>
    </row>
    <row r="96" spans="1:29" x14ac:dyDescent="0.2">
      <c r="A96" t="s">
        <v>641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 s="143"/>
      <c r="Q96" s="225"/>
      <c r="R96" s="225"/>
      <c r="S96" s="225"/>
      <c r="T96" s="225"/>
      <c r="U96" s="225"/>
      <c r="V96" s="83"/>
      <c r="W96" s="225"/>
      <c r="X96" s="400"/>
      <c r="Y96" s="225"/>
      <c r="Z96" s="225"/>
      <c r="AA96" s="225"/>
      <c r="AB96" s="225"/>
      <c r="AC96" s="225"/>
    </row>
    <row r="97" spans="1:29" x14ac:dyDescent="0.2">
      <c r="A97" t="s">
        <v>670</v>
      </c>
      <c r="B97">
        <v>6</v>
      </c>
      <c r="C97">
        <f>B97*C93</f>
        <v>0</v>
      </c>
      <c r="D97">
        <f>B97*D93</f>
        <v>0</v>
      </c>
      <c r="E97">
        <f>B97*E93</f>
        <v>0</v>
      </c>
      <c r="F97">
        <f>B97*F93</f>
        <v>0</v>
      </c>
      <c r="G97">
        <f>B97*G93</f>
        <v>0</v>
      </c>
      <c r="H97">
        <f>B97*H93</f>
        <v>0</v>
      </c>
      <c r="I97" s="143">
        <f t="shared" si="19"/>
        <v>0</v>
      </c>
      <c r="Q97" s="225"/>
      <c r="R97" s="225"/>
      <c r="S97" s="225"/>
      <c r="T97" s="225"/>
      <c r="U97" s="225"/>
      <c r="V97" s="83"/>
      <c r="W97" s="225"/>
      <c r="X97" s="400"/>
      <c r="Y97" s="225"/>
      <c r="Z97" s="225"/>
      <c r="AA97" s="225"/>
      <c r="AB97" s="225"/>
      <c r="AC97" s="225"/>
    </row>
    <row r="98" spans="1:29" x14ac:dyDescent="0.2">
      <c r="A98" t="s">
        <v>672</v>
      </c>
      <c r="B98">
        <v>2</v>
      </c>
      <c r="C98">
        <f t="shared" ref="C98:H98" si="20">+($B98*C92)*C93</f>
        <v>0</v>
      </c>
      <c r="D98">
        <f t="shared" si="20"/>
        <v>0</v>
      </c>
      <c r="E98">
        <f t="shared" si="20"/>
        <v>0</v>
      </c>
      <c r="F98">
        <f t="shared" si="20"/>
        <v>0</v>
      </c>
      <c r="G98">
        <f t="shared" si="20"/>
        <v>0</v>
      </c>
      <c r="H98">
        <f t="shared" si="20"/>
        <v>0</v>
      </c>
      <c r="I98" s="143">
        <f t="shared" si="19"/>
        <v>0</v>
      </c>
      <c r="Q98" s="225"/>
      <c r="R98" s="225"/>
      <c r="S98" s="225"/>
      <c r="T98" s="225"/>
      <c r="U98" s="225"/>
      <c r="V98" s="83"/>
      <c r="W98" s="225"/>
      <c r="X98" s="400"/>
      <c r="Y98" s="225"/>
      <c r="Z98" s="225"/>
      <c r="AA98" s="225"/>
      <c r="AB98" s="225"/>
      <c r="AC98" s="225"/>
    </row>
    <row r="99" spans="1:29" x14ac:dyDescent="0.2">
      <c r="A99" t="s">
        <v>675</v>
      </c>
      <c r="B99">
        <v>0.81</v>
      </c>
      <c r="C99">
        <f>B99*C93</f>
        <v>0</v>
      </c>
      <c r="D99">
        <f>B99*D93</f>
        <v>0</v>
      </c>
      <c r="E99">
        <f>B99*E93</f>
        <v>0</v>
      </c>
      <c r="F99">
        <f>B99*F93</f>
        <v>0</v>
      </c>
      <c r="G99">
        <f>B99*G93</f>
        <v>0</v>
      </c>
      <c r="H99">
        <f>B99*H93</f>
        <v>0</v>
      </c>
      <c r="I99" s="143">
        <f t="shared" si="19"/>
        <v>0</v>
      </c>
      <c r="Q99" s="225"/>
      <c r="R99" s="225"/>
      <c r="S99" s="225"/>
      <c r="T99" s="225"/>
      <c r="U99" s="225"/>
      <c r="V99" s="83"/>
      <c r="W99" s="225"/>
      <c r="X99" s="400"/>
      <c r="Y99" s="225"/>
      <c r="Z99" s="225"/>
      <c r="AA99" s="225"/>
      <c r="AB99" s="225"/>
      <c r="AC99" s="225"/>
    </row>
    <row r="100" spans="1:29" x14ac:dyDescent="0.2">
      <c r="A100" t="s">
        <v>673</v>
      </c>
      <c r="B100">
        <v>12</v>
      </c>
      <c r="C100">
        <f t="shared" ref="C100:H100" si="21">C93*$B100</f>
        <v>0</v>
      </c>
      <c r="D100">
        <f t="shared" si="21"/>
        <v>0</v>
      </c>
      <c r="E100">
        <f t="shared" si="21"/>
        <v>0</v>
      </c>
      <c r="F100">
        <f t="shared" si="21"/>
        <v>0</v>
      </c>
      <c r="G100">
        <f t="shared" si="21"/>
        <v>0</v>
      </c>
      <c r="H100">
        <f t="shared" si="21"/>
        <v>0</v>
      </c>
      <c r="I100" s="143">
        <f t="shared" si="19"/>
        <v>0</v>
      </c>
      <c r="Q100" s="225"/>
      <c r="R100" s="225"/>
      <c r="S100" s="225"/>
      <c r="T100" s="225"/>
      <c r="U100" s="225"/>
      <c r="V100" s="83"/>
      <c r="W100" s="225"/>
      <c r="X100" s="225"/>
      <c r="Y100" s="225"/>
      <c r="Z100" s="225"/>
      <c r="AA100" s="225"/>
      <c r="AB100" s="225"/>
      <c r="AC100" s="225"/>
    </row>
    <row r="101" spans="1:29" ht="15.75" x14ac:dyDescent="0.25">
      <c r="A101" t="s">
        <v>674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 s="143"/>
      <c r="Q101" s="225"/>
      <c r="R101" s="225"/>
      <c r="S101" s="225"/>
      <c r="T101" s="225"/>
      <c r="U101" s="318"/>
      <c r="V101" s="229"/>
      <c r="W101" s="318"/>
      <c r="X101" s="318"/>
      <c r="Y101" s="225"/>
      <c r="Z101" s="225"/>
      <c r="AA101" s="225"/>
      <c r="AB101" s="225"/>
      <c r="AC101" s="225"/>
    </row>
    <row r="102" spans="1:29" x14ac:dyDescent="0.2">
      <c r="A102">
        <v>0</v>
      </c>
      <c r="C102">
        <f t="shared" ref="C102:H102" si="22">$B102*C93</f>
        <v>0</v>
      </c>
      <c r="D102">
        <f t="shared" si="22"/>
        <v>0</v>
      </c>
      <c r="E102">
        <f t="shared" si="22"/>
        <v>0</v>
      </c>
      <c r="F102">
        <f t="shared" si="22"/>
        <v>0</v>
      </c>
      <c r="G102">
        <f t="shared" si="22"/>
        <v>0</v>
      </c>
      <c r="H102">
        <f t="shared" si="22"/>
        <v>0</v>
      </c>
      <c r="I102" s="143">
        <f t="shared" si="19"/>
        <v>0</v>
      </c>
      <c r="Q102" s="225"/>
      <c r="R102" s="225"/>
      <c r="S102" s="225"/>
      <c r="T102" s="225"/>
      <c r="U102" s="225"/>
      <c r="V102" s="83"/>
      <c r="W102" s="225"/>
      <c r="X102" s="400"/>
      <c r="Y102" s="225"/>
      <c r="Z102" s="225"/>
      <c r="AA102" s="225"/>
      <c r="AB102" s="225"/>
      <c r="AC102" s="225"/>
    </row>
    <row r="103" spans="1:29" x14ac:dyDescent="0.2">
      <c r="A103">
        <v>0</v>
      </c>
      <c r="C103">
        <f t="shared" ref="C103:H103" si="23">+$B103*C93</f>
        <v>0</v>
      </c>
      <c r="D103">
        <f t="shared" si="23"/>
        <v>0</v>
      </c>
      <c r="E103">
        <f t="shared" si="23"/>
        <v>0</v>
      </c>
      <c r="F103">
        <f t="shared" si="23"/>
        <v>0</v>
      </c>
      <c r="G103">
        <f t="shared" si="23"/>
        <v>0</v>
      </c>
      <c r="H103">
        <f t="shared" si="23"/>
        <v>0</v>
      </c>
      <c r="I103" s="143">
        <f t="shared" si="19"/>
        <v>0</v>
      </c>
      <c r="Q103" s="225"/>
      <c r="R103" s="225"/>
      <c r="S103" s="225"/>
      <c r="T103" s="225"/>
      <c r="U103" s="225"/>
      <c r="V103" s="83"/>
      <c r="W103" s="225"/>
      <c r="X103" s="400"/>
      <c r="Y103" s="225"/>
      <c r="Z103" s="225"/>
      <c r="AA103" s="225"/>
      <c r="AB103" s="225"/>
      <c r="AC103" s="225"/>
    </row>
    <row r="104" spans="1:29" x14ac:dyDescent="0.2">
      <c r="A104" t="s">
        <v>671</v>
      </c>
      <c r="B104">
        <v>1</v>
      </c>
      <c r="C104" s="143">
        <f t="shared" ref="C104:H104" si="24">+$B104*C93</f>
        <v>0</v>
      </c>
      <c r="D104" s="143">
        <f t="shared" si="24"/>
        <v>0</v>
      </c>
      <c r="E104" s="143">
        <f t="shared" si="24"/>
        <v>0</v>
      </c>
      <c r="F104" s="143">
        <f t="shared" si="24"/>
        <v>0</v>
      </c>
      <c r="G104" s="143">
        <f t="shared" si="24"/>
        <v>0</v>
      </c>
      <c r="H104" s="143">
        <f t="shared" si="24"/>
        <v>0</v>
      </c>
      <c r="I104" s="143">
        <f t="shared" si="19"/>
        <v>0</v>
      </c>
      <c r="Q104" s="225"/>
      <c r="R104" s="225"/>
      <c r="S104" s="225"/>
      <c r="T104" s="225"/>
      <c r="U104" s="225"/>
      <c r="V104" s="83"/>
      <c r="W104" s="225"/>
      <c r="X104" s="400"/>
      <c r="Y104" s="225"/>
      <c r="Z104" s="225"/>
      <c r="AA104" s="225"/>
      <c r="AB104" s="225"/>
      <c r="AC104" s="225"/>
    </row>
    <row r="105" spans="1:29" x14ac:dyDescent="0.2">
      <c r="A105">
        <v>0</v>
      </c>
      <c r="I105" s="143">
        <f t="shared" si="19"/>
        <v>0</v>
      </c>
      <c r="Q105" s="225"/>
      <c r="R105" s="225"/>
      <c r="S105" s="225"/>
      <c r="T105" s="225"/>
      <c r="U105" s="225"/>
      <c r="V105" s="83"/>
      <c r="W105" s="225"/>
      <c r="X105" s="400"/>
      <c r="Y105" s="225"/>
      <c r="Z105" s="225"/>
      <c r="AA105" s="225"/>
      <c r="AB105" s="225"/>
      <c r="AC105" s="225"/>
    </row>
    <row r="106" spans="1:29" x14ac:dyDescent="0.2">
      <c r="A106" t="s">
        <v>679</v>
      </c>
      <c r="B106">
        <v>1</v>
      </c>
      <c r="C106" s="143">
        <f t="shared" ref="C106:H106" si="25">+$B106*C93</f>
        <v>0</v>
      </c>
      <c r="D106" s="143">
        <f t="shared" si="25"/>
        <v>0</v>
      </c>
      <c r="E106" s="143">
        <f t="shared" si="25"/>
        <v>0</v>
      </c>
      <c r="F106" s="143">
        <f t="shared" si="25"/>
        <v>0</v>
      </c>
      <c r="G106" s="143">
        <f t="shared" si="25"/>
        <v>0</v>
      </c>
      <c r="H106" s="143">
        <f t="shared" si="25"/>
        <v>0</v>
      </c>
      <c r="I106" s="143">
        <f t="shared" si="19"/>
        <v>0</v>
      </c>
      <c r="Q106" s="225"/>
      <c r="R106" s="225"/>
      <c r="S106" s="225"/>
      <c r="T106" s="225"/>
      <c r="U106" s="225"/>
      <c r="V106" s="83"/>
      <c r="W106" s="225"/>
      <c r="X106" s="400"/>
      <c r="Y106" s="225"/>
      <c r="Z106" s="225"/>
      <c r="AA106" s="225"/>
      <c r="AB106" s="225"/>
      <c r="AC106" s="225"/>
    </row>
    <row r="107" spans="1:29" x14ac:dyDescent="0.2">
      <c r="A107" t="s">
        <v>110</v>
      </c>
      <c r="B107">
        <v>4</v>
      </c>
      <c r="C107">
        <f>0.28*4*C$93</f>
        <v>0</v>
      </c>
      <c r="D107">
        <f>0.56*4*D$93</f>
        <v>0</v>
      </c>
      <c r="E107">
        <f>0.7*4*E$93</f>
        <v>0</v>
      </c>
      <c r="F107">
        <f>0.84*4*F$93</f>
        <v>0</v>
      </c>
      <c r="G107">
        <f>1.12*4*G$93</f>
        <v>0</v>
      </c>
      <c r="H107">
        <f>1.4*4*H$93</f>
        <v>0</v>
      </c>
      <c r="I107" s="143">
        <f t="shared" si="19"/>
        <v>0</v>
      </c>
      <c r="Q107" s="225"/>
      <c r="R107" s="225"/>
      <c r="S107" s="225"/>
      <c r="T107" s="225"/>
      <c r="U107" s="225"/>
      <c r="V107" s="83"/>
      <c r="W107" s="225"/>
      <c r="X107" s="400"/>
      <c r="Y107" s="225"/>
      <c r="Z107" s="225"/>
      <c r="AA107" s="225"/>
      <c r="AB107" s="225"/>
      <c r="AC107" s="225"/>
    </row>
    <row r="108" spans="1:29" x14ac:dyDescent="0.2">
      <c r="A108" t="s">
        <v>110</v>
      </c>
      <c r="B108">
        <v>4.4000000000000004</v>
      </c>
      <c r="C108">
        <f t="shared" ref="C108:H108" si="26">+$B108*C$93</f>
        <v>0</v>
      </c>
      <c r="D108">
        <f t="shared" si="26"/>
        <v>0</v>
      </c>
      <c r="E108">
        <f t="shared" si="26"/>
        <v>0</v>
      </c>
      <c r="F108">
        <f t="shared" si="26"/>
        <v>0</v>
      </c>
      <c r="G108">
        <f t="shared" si="26"/>
        <v>0</v>
      </c>
      <c r="H108">
        <f t="shared" si="26"/>
        <v>0</v>
      </c>
      <c r="I108" s="143">
        <f t="shared" si="19"/>
        <v>0</v>
      </c>
      <c r="Q108" s="225"/>
      <c r="R108" s="225"/>
      <c r="S108" s="225"/>
      <c r="T108" s="225"/>
      <c r="U108" s="225"/>
      <c r="V108" s="83"/>
      <c r="W108" s="225"/>
      <c r="X108" s="225"/>
      <c r="Y108" s="225"/>
      <c r="Z108" s="225"/>
      <c r="AA108" s="225"/>
      <c r="AB108" s="225"/>
      <c r="AC108" s="225"/>
    </row>
    <row r="109" spans="1:29" x14ac:dyDescent="0.2">
      <c r="A109" t="s">
        <v>676</v>
      </c>
      <c r="B109">
        <v>1</v>
      </c>
      <c r="C109">
        <f t="shared" ref="C109:H109" si="27">+C92*C93</f>
        <v>0</v>
      </c>
      <c r="D109">
        <f t="shared" si="27"/>
        <v>0</v>
      </c>
      <c r="E109">
        <f t="shared" si="27"/>
        <v>0</v>
      </c>
      <c r="F109">
        <f t="shared" si="27"/>
        <v>0</v>
      </c>
      <c r="G109">
        <f t="shared" si="27"/>
        <v>0</v>
      </c>
      <c r="H109">
        <f t="shared" si="27"/>
        <v>0</v>
      </c>
      <c r="I109" s="143">
        <f t="shared" si="19"/>
        <v>0</v>
      </c>
      <c r="Q109" s="225"/>
      <c r="R109" s="225"/>
      <c r="S109" s="225"/>
      <c r="T109" s="225"/>
      <c r="U109" s="225"/>
      <c r="V109" s="83"/>
      <c r="W109" s="225"/>
      <c r="X109" s="225"/>
      <c r="Y109" s="225"/>
      <c r="Z109" s="225"/>
      <c r="AA109" s="225"/>
      <c r="AB109" s="225"/>
      <c r="AC109" s="225"/>
    </row>
    <row r="110" spans="1:29" x14ac:dyDescent="0.2">
      <c r="A110">
        <v>0</v>
      </c>
      <c r="Q110" s="225"/>
      <c r="R110" s="225"/>
      <c r="S110" s="225"/>
      <c r="T110" s="225"/>
      <c r="U110" s="225"/>
      <c r="V110" s="83"/>
      <c r="W110" s="225"/>
      <c r="X110" s="225"/>
      <c r="Y110" s="225"/>
      <c r="Z110" s="225"/>
      <c r="AA110" s="225"/>
      <c r="AB110" s="225"/>
      <c r="AC110" s="225"/>
    </row>
    <row r="111" spans="1:29" ht="18" x14ac:dyDescent="0.25">
      <c r="A111">
        <v>0</v>
      </c>
      <c r="Q111" s="225"/>
      <c r="R111" s="225"/>
      <c r="S111" s="225"/>
      <c r="T111" s="225"/>
      <c r="U111" s="399"/>
      <c r="V111" s="83"/>
      <c r="W111" s="83"/>
      <c r="X111" s="315"/>
      <c r="Y111" s="83"/>
      <c r="Z111" s="225"/>
      <c r="AA111" s="225"/>
      <c r="AB111" s="225"/>
      <c r="AC111" s="225"/>
    </row>
    <row r="112" spans="1:29" ht="18" x14ac:dyDescent="0.25">
      <c r="A112" s="137" t="s">
        <v>429</v>
      </c>
      <c r="B112" s="138"/>
      <c r="C112" s="138"/>
      <c r="D112" s="138"/>
      <c r="E112" s="138"/>
      <c r="F112" s="138"/>
      <c r="G112" s="138"/>
      <c r="H112" s="138"/>
      <c r="I112" s="138"/>
      <c r="Q112" s="225"/>
      <c r="R112" s="225"/>
      <c r="S112" s="225"/>
      <c r="T112" s="225"/>
      <c r="U112" s="225"/>
      <c r="V112" s="83"/>
      <c r="W112" s="225"/>
      <c r="X112" s="225"/>
      <c r="Y112" s="237"/>
      <c r="Z112" s="237"/>
      <c r="AA112" s="225"/>
      <c r="AB112" s="225"/>
      <c r="AC112" s="225"/>
    </row>
    <row r="113" spans="1:29" x14ac:dyDescent="0.2">
      <c r="A113">
        <v>0</v>
      </c>
      <c r="B113" s="1"/>
      <c r="C113" s="1"/>
      <c r="D113" s="1"/>
      <c r="E113" s="1"/>
      <c r="F113" s="1"/>
      <c r="G113" s="1"/>
      <c r="H113" s="1"/>
      <c r="I113" s="1"/>
      <c r="Q113" s="225"/>
      <c r="R113" s="225"/>
      <c r="S113" s="225"/>
      <c r="T113" s="225"/>
      <c r="U113" s="225"/>
      <c r="V113" s="83"/>
      <c r="W113" s="225"/>
      <c r="X113" s="225"/>
      <c r="Y113" s="225"/>
      <c r="Z113" s="225"/>
      <c r="AA113" s="225"/>
      <c r="AB113" s="225"/>
      <c r="AC113" s="225"/>
    </row>
    <row r="114" spans="1:29" x14ac:dyDescent="0.2">
      <c r="A114" t="s">
        <v>444</v>
      </c>
      <c r="C114">
        <v>0.3</v>
      </c>
      <c r="D114">
        <v>0.6</v>
      </c>
      <c r="E114">
        <v>0.7</v>
      </c>
      <c r="F114">
        <v>0.85</v>
      </c>
      <c r="G114">
        <v>1.1000000000000001</v>
      </c>
      <c r="H114">
        <v>1.4</v>
      </c>
      <c r="Q114" s="225"/>
      <c r="R114" s="225"/>
      <c r="S114" s="225"/>
      <c r="T114" s="225"/>
      <c r="U114" s="225"/>
      <c r="V114" s="83"/>
      <c r="W114" s="225"/>
      <c r="X114" s="225"/>
      <c r="Y114" s="225"/>
      <c r="Z114" s="225"/>
      <c r="AA114" s="225"/>
      <c r="AB114" s="225"/>
      <c r="AC114" s="225"/>
    </row>
    <row r="115" spans="1:29" ht="15.75" x14ac:dyDescent="0.25">
      <c r="A115" t="s">
        <v>445</v>
      </c>
      <c r="C115" s="142">
        <v>0.28000000000000003</v>
      </c>
      <c r="D115" s="142">
        <v>0.56000000000000005</v>
      </c>
      <c r="E115" s="142">
        <v>0.7</v>
      </c>
      <c r="F115" s="142">
        <v>0.84</v>
      </c>
      <c r="G115" s="142">
        <v>1.1200000000000001</v>
      </c>
      <c r="H115" s="142">
        <v>1.4</v>
      </c>
      <c r="Q115" s="225"/>
      <c r="R115" s="225"/>
      <c r="S115" s="225"/>
      <c r="T115" s="225"/>
      <c r="U115" s="318"/>
      <c r="V115" s="229"/>
      <c r="W115" s="318"/>
      <c r="X115" s="318"/>
      <c r="Y115" s="318"/>
      <c r="Z115" s="318"/>
      <c r="AA115" s="225"/>
      <c r="AB115" s="225"/>
      <c r="AC115" s="225"/>
    </row>
    <row r="116" spans="1:29" ht="15.75" x14ac:dyDescent="0.25">
      <c r="A116" s="139" t="s">
        <v>105</v>
      </c>
      <c r="B116" s="139"/>
      <c r="C116" s="140">
        <f t="shared" ref="C116:H116" si="28">+B12</f>
        <v>0</v>
      </c>
      <c r="D116" s="140">
        <f t="shared" si="28"/>
        <v>0</v>
      </c>
      <c r="E116" s="140">
        <f t="shared" si="28"/>
        <v>0</v>
      </c>
      <c r="F116" s="140">
        <f t="shared" si="28"/>
        <v>0</v>
      </c>
      <c r="G116" s="140">
        <f t="shared" si="28"/>
        <v>0</v>
      </c>
      <c r="H116" s="140">
        <f t="shared" si="28"/>
        <v>0</v>
      </c>
      <c r="I116" s="141" t="s">
        <v>446</v>
      </c>
      <c r="Q116" s="225"/>
      <c r="R116" s="225"/>
      <c r="S116" s="225"/>
      <c r="T116" s="225"/>
      <c r="U116" s="225"/>
      <c r="V116" s="83"/>
      <c r="W116" s="225"/>
      <c r="X116" s="401"/>
      <c r="Y116" s="225"/>
      <c r="Z116" s="402"/>
      <c r="AA116" s="225"/>
      <c r="AB116" s="225"/>
      <c r="AC116" s="225"/>
    </row>
    <row r="117" spans="1:29" x14ac:dyDescent="0.2">
      <c r="A117" t="s">
        <v>680</v>
      </c>
      <c r="B117">
        <v>1</v>
      </c>
      <c r="C117" s="143">
        <f t="shared" ref="C117:H117" si="29">C116*$B117</f>
        <v>0</v>
      </c>
      <c r="D117" s="143">
        <f t="shared" si="29"/>
        <v>0</v>
      </c>
      <c r="E117" s="143">
        <f t="shared" si="29"/>
        <v>0</v>
      </c>
      <c r="F117" s="143">
        <f t="shared" si="29"/>
        <v>0</v>
      </c>
      <c r="G117" s="143">
        <f t="shared" si="29"/>
        <v>0</v>
      </c>
      <c r="H117" s="143">
        <f t="shared" si="29"/>
        <v>0</v>
      </c>
      <c r="I117" s="143">
        <f>SUM(C117:H117)</f>
        <v>0</v>
      </c>
      <c r="Q117" s="225"/>
      <c r="R117" s="225"/>
      <c r="S117" s="225"/>
      <c r="T117" s="225"/>
      <c r="U117" s="225"/>
      <c r="V117" s="83"/>
      <c r="W117" s="225"/>
      <c r="X117" s="225"/>
      <c r="Y117" s="225"/>
      <c r="Z117" s="400"/>
      <c r="AA117" s="225"/>
      <c r="AB117" s="225"/>
      <c r="AC117" s="225"/>
    </row>
    <row r="118" spans="1:29" x14ac:dyDescent="0.2">
      <c r="A118" t="s">
        <v>635</v>
      </c>
      <c r="B118">
        <v>2.5</v>
      </c>
      <c r="C118">
        <f t="shared" ref="C118:H118" si="30">+$B118*C116</f>
        <v>0</v>
      </c>
      <c r="D118">
        <f t="shared" si="30"/>
        <v>0</v>
      </c>
      <c r="E118">
        <f t="shared" si="30"/>
        <v>0</v>
      </c>
      <c r="F118">
        <f t="shared" si="30"/>
        <v>0</v>
      </c>
      <c r="G118">
        <f t="shared" si="30"/>
        <v>0</v>
      </c>
      <c r="H118">
        <f t="shared" si="30"/>
        <v>0</v>
      </c>
      <c r="I118" s="143">
        <f t="shared" ref="I118:I134" si="31">SUM(C118:H118)</f>
        <v>0</v>
      </c>
      <c r="Q118" s="225"/>
      <c r="R118" s="225"/>
      <c r="S118" s="225"/>
      <c r="T118" s="225"/>
      <c r="U118" s="225"/>
      <c r="V118" s="83"/>
      <c r="W118" s="225"/>
      <c r="X118" s="225"/>
      <c r="Y118" s="403"/>
      <c r="Z118" s="400"/>
      <c r="AA118" s="225"/>
      <c r="AB118" s="225"/>
      <c r="AC118" s="225"/>
    </row>
    <row r="119" spans="1:29" x14ac:dyDescent="0.2">
      <c r="A119" t="s">
        <v>641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 s="143"/>
      <c r="Q119" s="225"/>
      <c r="R119" s="225"/>
      <c r="S119" s="225"/>
      <c r="T119" s="225"/>
      <c r="U119" s="225"/>
      <c r="V119" s="83"/>
      <c r="W119" s="225"/>
      <c r="X119" s="225"/>
      <c r="Y119" s="225"/>
      <c r="Z119" s="400"/>
      <c r="AA119" s="225"/>
      <c r="AB119" s="225"/>
      <c r="AC119" s="225"/>
    </row>
    <row r="120" spans="1:29" x14ac:dyDescent="0.2">
      <c r="A120" t="s">
        <v>670</v>
      </c>
      <c r="B120">
        <v>6</v>
      </c>
      <c r="C120">
        <f>B120*C116</f>
        <v>0</v>
      </c>
      <c r="D120">
        <f>B120*D116</f>
        <v>0</v>
      </c>
      <c r="E120">
        <f>B120*E116</f>
        <v>0</v>
      </c>
      <c r="F120">
        <f>B120*F116</f>
        <v>0</v>
      </c>
      <c r="G120">
        <f>B120*G116</f>
        <v>0</v>
      </c>
      <c r="H120">
        <f>B120*H116</f>
        <v>0</v>
      </c>
      <c r="I120" s="143">
        <f t="shared" si="31"/>
        <v>0</v>
      </c>
      <c r="Q120" s="225"/>
      <c r="R120" s="225"/>
      <c r="S120" s="225"/>
      <c r="T120" s="225"/>
      <c r="U120" s="225"/>
      <c r="V120" s="83"/>
      <c r="W120" s="225"/>
      <c r="X120" s="225"/>
      <c r="Y120" s="225"/>
      <c r="Z120" s="400"/>
      <c r="AA120" s="225"/>
      <c r="AB120" s="225"/>
      <c r="AC120" s="225"/>
    </row>
    <row r="121" spans="1:29" x14ac:dyDescent="0.2">
      <c r="A121" t="s">
        <v>672</v>
      </c>
      <c r="B121">
        <v>1</v>
      </c>
      <c r="C121">
        <f t="shared" ref="C121:H121" si="32">+($B121*C115)*C116</f>
        <v>0</v>
      </c>
      <c r="D121">
        <f t="shared" si="32"/>
        <v>0</v>
      </c>
      <c r="E121">
        <f t="shared" si="32"/>
        <v>0</v>
      </c>
      <c r="F121">
        <f t="shared" si="32"/>
        <v>0</v>
      </c>
      <c r="G121">
        <f t="shared" si="32"/>
        <v>0</v>
      </c>
      <c r="H121">
        <f t="shared" si="32"/>
        <v>0</v>
      </c>
      <c r="I121" s="143">
        <f t="shared" si="31"/>
        <v>0</v>
      </c>
      <c r="Q121" s="225"/>
      <c r="R121" s="225"/>
      <c r="S121" s="225"/>
      <c r="T121" s="225"/>
      <c r="U121" s="225"/>
      <c r="V121" s="83"/>
      <c r="W121" s="225"/>
      <c r="X121" s="225"/>
      <c r="Y121" s="225"/>
      <c r="Z121" s="400"/>
      <c r="AA121" s="225"/>
      <c r="AB121" s="225"/>
      <c r="AC121" s="225"/>
    </row>
    <row r="122" spans="1:29" x14ac:dyDescent="0.2">
      <c r="A122" t="s">
        <v>675</v>
      </c>
      <c r="B122">
        <v>0.81</v>
      </c>
      <c r="C122">
        <f>B122*C116</f>
        <v>0</v>
      </c>
      <c r="D122">
        <f>B122*D116</f>
        <v>0</v>
      </c>
      <c r="E122">
        <f>B122*E116</f>
        <v>0</v>
      </c>
      <c r="F122">
        <f>B122*F116</f>
        <v>0</v>
      </c>
      <c r="G122">
        <f>B122*G116</f>
        <v>0</v>
      </c>
      <c r="H122">
        <f>B122*H116</f>
        <v>0</v>
      </c>
      <c r="I122" s="143">
        <f t="shared" si="31"/>
        <v>0</v>
      </c>
      <c r="Q122" s="225"/>
      <c r="R122" s="225"/>
      <c r="S122" s="225"/>
      <c r="T122" s="225"/>
      <c r="U122" s="225"/>
      <c r="V122" s="83"/>
      <c r="W122" s="225"/>
      <c r="X122" s="225"/>
      <c r="Y122" s="225"/>
      <c r="Z122" s="400"/>
      <c r="AA122" s="225"/>
      <c r="AB122" s="225"/>
      <c r="AC122" s="225"/>
    </row>
    <row r="123" spans="1:29" x14ac:dyDescent="0.2">
      <c r="A123" t="s">
        <v>673</v>
      </c>
      <c r="B123">
        <v>12</v>
      </c>
      <c r="C123">
        <f t="shared" ref="C123:H123" si="33">C116*$B123</f>
        <v>0</v>
      </c>
      <c r="D123">
        <f t="shared" si="33"/>
        <v>0</v>
      </c>
      <c r="E123">
        <f t="shared" si="33"/>
        <v>0</v>
      </c>
      <c r="F123">
        <f t="shared" si="33"/>
        <v>0</v>
      </c>
      <c r="G123">
        <f t="shared" si="33"/>
        <v>0</v>
      </c>
      <c r="H123">
        <f t="shared" si="33"/>
        <v>0</v>
      </c>
      <c r="I123" s="143">
        <f t="shared" si="31"/>
        <v>0</v>
      </c>
      <c r="Q123" s="225"/>
      <c r="R123" s="225"/>
      <c r="S123" s="225"/>
      <c r="T123" s="225"/>
      <c r="U123" s="225"/>
      <c r="V123" s="83"/>
      <c r="W123" s="225"/>
      <c r="X123" s="225"/>
      <c r="Y123" s="225"/>
      <c r="Z123" s="400"/>
      <c r="AA123" s="225"/>
      <c r="AB123" s="225"/>
      <c r="AC123" s="225"/>
    </row>
    <row r="124" spans="1:29" x14ac:dyDescent="0.2">
      <c r="A124" t="s">
        <v>674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 s="143"/>
      <c r="Q124" s="225"/>
      <c r="R124" s="225"/>
      <c r="S124" s="225"/>
      <c r="T124" s="225"/>
      <c r="U124" s="225"/>
      <c r="V124" s="83"/>
      <c r="W124" s="225"/>
      <c r="X124" s="225"/>
      <c r="Y124" s="225"/>
      <c r="Z124" s="400"/>
      <c r="AA124" s="225"/>
      <c r="AB124" s="225"/>
      <c r="AC124" s="225"/>
    </row>
    <row r="125" spans="1:29" x14ac:dyDescent="0.2">
      <c r="A125">
        <v>0</v>
      </c>
      <c r="C125">
        <f t="shared" ref="C125:H125" si="34">$B125*C116</f>
        <v>0</v>
      </c>
      <c r="D125">
        <f t="shared" si="34"/>
        <v>0</v>
      </c>
      <c r="E125">
        <f t="shared" si="34"/>
        <v>0</v>
      </c>
      <c r="F125">
        <f t="shared" si="34"/>
        <v>0</v>
      </c>
      <c r="G125">
        <f t="shared" si="34"/>
        <v>0</v>
      </c>
      <c r="H125">
        <f t="shared" si="34"/>
        <v>0</v>
      </c>
      <c r="I125" s="143">
        <f t="shared" si="31"/>
        <v>0</v>
      </c>
      <c r="Q125" s="225"/>
      <c r="R125" s="225"/>
      <c r="S125" s="225"/>
      <c r="T125" s="225"/>
      <c r="U125" s="225"/>
      <c r="V125" s="83"/>
      <c r="W125" s="225"/>
      <c r="X125" s="225"/>
      <c r="Y125" s="225"/>
      <c r="Z125" s="400"/>
      <c r="AA125" s="225"/>
      <c r="AB125" s="225"/>
      <c r="AC125" s="225"/>
    </row>
    <row r="126" spans="1:29" x14ac:dyDescent="0.2">
      <c r="A126">
        <v>0</v>
      </c>
      <c r="C126">
        <f t="shared" ref="C126:H126" si="35">+$B126*C116</f>
        <v>0</v>
      </c>
      <c r="D126">
        <f t="shared" si="35"/>
        <v>0</v>
      </c>
      <c r="E126">
        <f t="shared" si="35"/>
        <v>0</v>
      </c>
      <c r="F126">
        <f t="shared" si="35"/>
        <v>0</v>
      </c>
      <c r="G126">
        <f t="shared" si="35"/>
        <v>0</v>
      </c>
      <c r="H126">
        <f t="shared" si="35"/>
        <v>0</v>
      </c>
      <c r="I126" s="143">
        <f t="shared" si="31"/>
        <v>0</v>
      </c>
      <c r="Q126" s="225"/>
      <c r="R126" s="225"/>
      <c r="S126" s="225"/>
      <c r="T126" s="225"/>
      <c r="U126" s="225"/>
      <c r="V126" s="83"/>
      <c r="W126" s="225"/>
      <c r="X126" s="225"/>
      <c r="Y126" s="225"/>
      <c r="Z126" s="400"/>
      <c r="AA126" s="225"/>
      <c r="AB126" s="225"/>
      <c r="AC126" s="225"/>
    </row>
    <row r="127" spans="1:29" x14ac:dyDescent="0.2">
      <c r="A127" t="s">
        <v>671</v>
      </c>
      <c r="B127">
        <v>1</v>
      </c>
      <c r="C127" s="143">
        <f t="shared" ref="C127:H127" si="36">+$B127*C116</f>
        <v>0</v>
      </c>
      <c r="D127" s="143">
        <f t="shared" si="36"/>
        <v>0</v>
      </c>
      <c r="E127" s="143">
        <f t="shared" si="36"/>
        <v>0</v>
      </c>
      <c r="F127" s="143">
        <f t="shared" si="36"/>
        <v>0</v>
      </c>
      <c r="G127" s="143">
        <f t="shared" si="36"/>
        <v>0</v>
      </c>
      <c r="H127" s="143">
        <f t="shared" si="36"/>
        <v>0</v>
      </c>
      <c r="I127" s="143">
        <f t="shared" si="31"/>
        <v>0</v>
      </c>
      <c r="Q127" s="225"/>
      <c r="R127" s="225"/>
      <c r="S127" s="225"/>
      <c r="T127" s="225"/>
      <c r="U127" s="225"/>
      <c r="V127" s="83"/>
      <c r="W127" s="225"/>
      <c r="X127" s="225"/>
      <c r="Y127" s="225"/>
      <c r="Z127" s="400"/>
      <c r="AA127" s="225"/>
      <c r="AB127" s="225"/>
      <c r="AC127" s="225"/>
    </row>
    <row r="128" spans="1:29" x14ac:dyDescent="0.2">
      <c r="A128">
        <v>0</v>
      </c>
      <c r="I128" s="143">
        <f t="shared" si="31"/>
        <v>0</v>
      </c>
      <c r="Q128" s="225"/>
      <c r="R128" s="225"/>
      <c r="S128" s="225"/>
      <c r="T128" s="225"/>
      <c r="U128" s="225"/>
      <c r="V128" s="83"/>
      <c r="W128" s="225"/>
      <c r="X128" s="225"/>
      <c r="Y128" s="225"/>
      <c r="Z128" s="400"/>
      <c r="AA128" s="225"/>
      <c r="AB128" s="225"/>
      <c r="AC128" s="225"/>
    </row>
    <row r="129" spans="1:29" x14ac:dyDescent="0.2">
      <c r="A129" t="s">
        <v>681</v>
      </c>
      <c r="B129">
        <v>4</v>
      </c>
      <c r="C129">
        <f t="shared" ref="C129:H129" si="37">+$B129*C116</f>
        <v>0</v>
      </c>
      <c r="D129">
        <f t="shared" si="37"/>
        <v>0</v>
      </c>
      <c r="E129">
        <f t="shared" si="37"/>
        <v>0</v>
      </c>
      <c r="F129">
        <f t="shared" si="37"/>
        <v>0</v>
      </c>
      <c r="G129">
        <f t="shared" si="37"/>
        <v>0</v>
      </c>
      <c r="H129">
        <f t="shared" si="37"/>
        <v>0</v>
      </c>
      <c r="I129" s="143">
        <f t="shared" si="31"/>
        <v>0</v>
      </c>
      <c r="Q129" s="225"/>
      <c r="R129" s="225"/>
      <c r="S129" s="225"/>
      <c r="T129" s="225"/>
      <c r="U129" s="225"/>
      <c r="V129" s="83"/>
      <c r="W129" s="225"/>
      <c r="X129" s="225"/>
      <c r="Y129" s="225"/>
      <c r="Z129" s="400"/>
      <c r="AA129" s="225"/>
      <c r="AB129" s="225"/>
      <c r="AC129" s="225"/>
    </row>
    <row r="130" spans="1:29" x14ac:dyDescent="0.2">
      <c r="A130" t="s">
        <v>682</v>
      </c>
      <c r="B130">
        <v>8</v>
      </c>
      <c r="C130">
        <f t="shared" ref="C130:H130" si="38">+$B130*C116</f>
        <v>0</v>
      </c>
      <c r="D130">
        <f t="shared" si="38"/>
        <v>0</v>
      </c>
      <c r="E130">
        <f t="shared" si="38"/>
        <v>0</v>
      </c>
      <c r="F130">
        <f t="shared" si="38"/>
        <v>0</v>
      </c>
      <c r="G130">
        <f t="shared" si="38"/>
        <v>0</v>
      </c>
      <c r="H130">
        <f t="shared" si="38"/>
        <v>0</v>
      </c>
      <c r="I130" s="143">
        <f t="shared" si="31"/>
        <v>0</v>
      </c>
      <c r="Q130" s="225"/>
      <c r="R130" s="225"/>
      <c r="S130" s="225"/>
      <c r="T130" s="225"/>
      <c r="U130" s="225"/>
      <c r="V130" s="83"/>
      <c r="W130" s="225"/>
      <c r="X130" s="225"/>
      <c r="Y130" s="225"/>
      <c r="Z130" s="400"/>
      <c r="AA130" s="225"/>
      <c r="AB130" s="225"/>
      <c r="AC130" s="225"/>
    </row>
    <row r="131" spans="1:29" ht="15.75" x14ac:dyDescent="0.25">
      <c r="A131" t="s">
        <v>683</v>
      </c>
      <c r="B131">
        <v>8</v>
      </c>
      <c r="C131">
        <f t="shared" ref="C131:H131" si="39">+$B131*C116</f>
        <v>0</v>
      </c>
      <c r="D131">
        <f t="shared" si="39"/>
        <v>0</v>
      </c>
      <c r="E131">
        <f t="shared" si="39"/>
        <v>0</v>
      </c>
      <c r="F131">
        <f t="shared" si="39"/>
        <v>0</v>
      </c>
      <c r="G131">
        <f t="shared" si="39"/>
        <v>0</v>
      </c>
      <c r="H131">
        <f t="shared" si="39"/>
        <v>0</v>
      </c>
      <c r="I131" s="143">
        <f t="shared" si="31"/>
        <v>0</v>
      </c>
      <c r="Q131" s="225"/>
      <c r="R131" s="225"/>
      <c r="S131" s="225"/>
      <c r="T131" s="225"/>
      <c r="U131" s="318"/>
      <c r="V131" s="83"/>
      <c r="W131" s="225"/>
      <c r="X131" s="225"/>
      <c r="Y131" s="225"/>
      <c r="Z131" s="225"/>
      <c r="AA131" s="225"/>
      <c r="AB131" s="225"/>
      <c r="AC131" s="225"/>
    </row>
    <row r="132" spans="1:29" ht="15.75" x14ac:dyDescent="0.25">
      <c r="A132" t="s">
        <v>684</v>
      </c>
      <c r="B132">
        <v>2</v>
      </c>
      <c r="C132" s="143">
        <f t="shared" ref="C132:H132" si="40">+$B132*C116</f>
        <v>0</v>
      </c>
      <c r="D132" s="143">
        <f t="shared" si="40"/>
        <v>0</v>
      </c>
      <c r="E132" s="143">
        <f t="shared" si="40"/>
        <v>0</v>
      </c>
      <c r="F132" s="143">
        <f t="shared" si="40"/>
        <v>0</v>
      </c>
      <c r="G132" s="143">
        <f t="shared" si="40"/>
        <v>0</v>
      </c>
      <c r="H132" s="143">
        <f t="shared" si="40"/>
        <v>0</v>
      </c>
      <c r="I132" s="143">
        <f t="shared" si="31"/>
        <v>0</v>
      </c>
      <c r="Q132" s="225"/>
      <c r="R132" s="225"/>
      <c r="S132" s="225"/>
      <c r="T132" s="225"/>
      <c r="U132" s="318"/>
      <c r="V132" s="229"/>
      <c r="W132" s="318"/>
      <c r="X132" s="318"/>
      <c r="Y132" s="318"/>
      <c r="Z132" s="318"/>
      <c r="AA132" s="225"/>
      <c r="AB132" s="225"/>
      <c r="AC132" s="225"/>
    </row>
    <row r="133" spans="1:29" x14ac:dyDescent="0.2">
      <c r="A133">
        <v>0</v>
      </c>
      <c r="I133" s="143">
        <f t="shared" si="31"/>
        <v>0</v>
      </c>
      <c r="Q133" s="225"/>
      <c r="R133" s="225"/>
      <c r="S133" s="225"/>
      <c r="T133" s="225"/>
      <c r="U133" s="225"/>
      <c r="V133" s="83"/>
      <c r="W133" s="225"/>
      <c r="X133" s="225"/>
      <c r="Y133" s="225"/>
      <c r="Z133" s="400"/>
      <c r="AA133" s="225"/>
      <c r="AB133" s="225"/>
      <c r="AC133" s="225"/>
    </row>
    <row r="134" spans="1:29" x14ac:dyDescent="0.2">
      <c r="A134" t="s">
        <v>110</v>
      </c>
      <c r="B134">
        <v>1</v>
      </c>
      <c r="C134">
        <f>4.1*C116</f>
        <v>0</v>
      </c>
      <c r="D134">
        <f>4.6*D116</f>
        <v>0</v>
      </c>
      <c r="E134">
        <f>4.9*E116</f>
        <v>0</v>
      </c>
      <c r="F134">
        <f>5.15*F116</f>
        <v>0</v>
      </c>
      <c r="G134">
        <f>5.7*G116</f>
        <v>0</v>
      </c>
      <c r="H134">
        <f>6.3*H116</f>
        <v>0</v>
      </c>
      <c r="I134" s="143">
        <f t="shared" si="31"/>
        <v>0</v>
      </c>
      <c r="Q134" s="225"/>
      <c r="R134" s="225"/>
      <c r="S134" s="225"/>
      <c r="T134" s="225"/>
      <c r="U134" s="225"/>
      <c r="V134" s="83"/>
      <c r="W134" s="225"/>
      <c r="X134" s="225"/>
      <c r="Y134" s="225"/>
      <c r="Z134" s="400"/>
      <c r="AA134" s="225"/>
      <c r="AB134" s="225"/>
      <c r="AC134" s="225"/>
    </row>
    <row r="135" spans="1:29" x14ac:dyDescent="0.2">
      <c r="A135" t="s">
        <v>676</v>
      </c>
      <c r="B135">
        <v>1</v>
      </c>
      <c r="C135">
        <f t="shared" ref="C135:H135" si="41">+C115*C116</f>
        <v>0</v>
      </c>
      <c r="D135">
        <f t="shared" si="41"/>
        <v>0</v>
      </c>
      <c r="E135">
        <f>+E115*E116</f>
        <v>0</v>
      </c>
      <c r="F135">
        <f t="shared" si="41"/>
        <v>0</v>
      </c>
      <c r="G135">
        <f t="shared" si="41"/>
        <v>0</v>
      </c>
      <c r="H135">
        <f t="shared" si="41"/>
        <v>0</v>
      </c>
      <c r="I135" s="143">
        <f>SUM(C135:H135)</f>
        <v>0</v>
      </c>
      <c r="Q135" s="225"/>
      <c r="R135" s="225"/>
      <c r="S135" s="225"/>
      <c r="T135" s="225"/>
      <c r="U135" s="225"/>
      <c r="V135" s="83"/>
      <c r="W135" s="225"/>
      <c r="X135" s="225"/>
      <c r="Y135" s="225"/>
      <c r="Z135" s="400"/>
      <c r="AA135" s="225"/>
      <c r="AB135" s="225"/>
      <c r="AC135" s="225"/>
    </row>
    <row r="136" spans="1:29" x14ac:dyDescent="0.2">
      <c r="A136">
        <v>0</v>
      </c>
      <c r="I136" s="143"/>
      <c r="Q136" s="225"/>
      <c r="R136" s="225"/>
      <c r="S136" s="225"/>
      <c r="T136" s="225"/>
      <c r="U136" s="225"/>
      <c r="V136" s="83"/>
      <c r="W136" s="225"/>
      <c r="X136" s="225"/>
      <c r="Y136" s="225"/>
      <c r="Z136" s="400"/>
      <c r="AA136" s="225"/>
      <c r="AB136" s="225"/>
      <c r="AC136" s="225"/>
    </row>
    <row r="137" spans="1:29" ht="18" x14ac:dyDescent="0.25">
      <c r="A137" s="404" t="s">
        <v>436</v>
      </c>
      <c r="B137" s="404"/>
      <c r="C137" s="404"/>
      <c r="D137" s="404"/>
      <c r="E137" s="404"/>
      <c r="F137" s="404"/>
      <c r="G137" s="404"/>
      <c r="H137" s="404"/>
      <c r="I137" s="404"/>
      <c r="Q137" s="225"/>
      <c r="R137" s="225"/>
      <c r="S137" s="225"/>
      <c r="T137" s="225"/>
      <c r="U137" s="225"/>
      <c r="V137" s="83"/>
      <c r="W137" s="225"/>
      <c r="X137" s="225"/>
      <c r="Y137" s="225"/>
      <c r="Z137" s="400"/>
      <c r="AA137" s="225"/>
      <c r="AB137" s="225"/>
      <c r="AC137" s="225"/>
    </row>
    <row r="138" spans="1:29" ht="18" x14ac:dyDescent="0.25">
      <c r="A138" s="404">
        <v>0</v>
      </c>
      <c r="B138" s="404"/>
      <c r="C138" s="404"/>
      <c r="D138" s="404"/>
      <c r="E138" s="404"/>
      <c r="F138" s="404"/>
      <c r="G138" s="404"/>
      <c r="H138" s="404"/>
      <c r="I138" s="404"/>
      <c r="Q138" s="225"/>
      <c r="R138" s="225"/>
      <c r="S138" s="225"/>
      <c r="T138" s="225"/>
      <c r="U138" s="225"/>
      <c r="V138" s="83"/>
      <c r="W138" s="225"/>
      <c r="X138" s="225"/>
      <c r="Y138" s="225"/>
      <c r="Z138" s="400"/>
      <c r="AA138" s="225"/>
      <c r="AB138" s="225"/>
      <c r="AC138" s="225"/>
    </row>
    <row r="139" spans="1:29" ht="18" x14ac:dyDescent="0.25">
      <c r="A139" s="404" t="s">
        <v>461</v>
      </c>
      <c r="B139" s="404"/>
      <c r="C139" s="404"/>
      <c r="D139" s="404"/>
      <c r="E139" s="404"/>
      <c r="F139" s="404"/>
      <c r="G139" s="404"/>
      <c r="H139" s="404"/>
      <c r="I139" s="404"/>
      <c r="Q139" s="225"/>
      <c r="R139" s="225"/>
      <c r="S139" s="225"/>
      <c r="T139" s="225"/>
      <c r="U139" s="225"/>
      <c r="V139" s="83"/>
      <c r="W139" s="225"/>
      <c r="X139" s="225"/>
      <c r="Y139" s="225"/>
      <c r="Z139" s="400"/>
      <c r="AA139" s="225"/>
      <c r="AB139" s="225"/>
      <c r="AC139" s="225"/>
    </row>
    <row r="140" spans="1:29" x14ac:dyDescent="0.2">
      <c r="A140">
        <v>0</v>
      </c>
      <c r="C140" s="142">
        <v>0.28000000000000003</v>
      </c>
      <c r="D140" s="142">
        <v>0.56000000000000005</v>
      </c>
      <c r="E140" s="142">
        <v>0.7</v>
      </c>
      <c r="F140" s="142">
        <v>0.84</v>
      </c>
      <c r="G140" s="142">
        <v>1.1200000000000001</v>
      </c>
      <c r="H140" s="142">
        <v>1.4</v>
      </c>
      <c r="I140" s="405"/>
      <c r="Q140" s="225"/>
      <c r="R140" s="225"/>
      <c r="S140" s="225"/>
      <c r="T140" s="225"/>
      <c r="U140" s="225"/>
      <c r="V140" s="83"/>
      <c r="W140" s="225"/>
      <c r="X140" s="225"/>
      <c r="Y140" s="225"/>
      <c r="Z140" s="400"/>
      <c r="AA140" s="225"/>
      <c r="AB140" s="225"/>
      <c r="AC140" s="225"/>
    </row>
    <row r="141" spans="1:29" ht="15.75" x14ac:dyDescent="0.25">
      <c r="A141" s="139" t="s">
        <v>454</v>
      </c>
      <c r="B141" s="139"/>
      <c r="C141" s="140">
        <f t="shared" ref="C141:H141" si="42">+B16</f>
        <v>0</v>
      </c>
      <c r="D141" s="140">
        <f t="shared" si="42"/>
        <v>0</v>
      </c>
      <c r="E141" s="140">
        <f t="shared" si="42"/>
        <v>0</v>
      </c>
      <c r="F141" s="140">
        <f t="shared" si="42"/>
        <v>0</v>
      </c>
      <c r="G141" s="140">
        <f t="shared" si="42"/>
        <v>0</v>
      </c>
      <c r="H141" s="140">
        <f t="shared" si="42"/>
        <v>0</v>
      </c>
      <c r="I141" s="141" t="s">
        <v>446</v>
      </c>
      <c r="Q141" s="225"/>
      <c r="R141" s="225"/>
      <c r="S141" s="225"/>
      <c r="T141" s="225"/>
      <c r="U141" s="225"/>
      <c r="V141" s="83"/>
      <c r="W141" s="225"/>
      <c r="X141" s="225"/>
      <c r="Y141" s="225"/>
      <c r="Z141" s="400"/>
      <c r="AA141" s="225"/>
      <c r="AB141" s="225"/>
      <c r="AC141" s="225"/>
    </row>
    <row r="142" spans="1:29" x14ac:dyDescent="0.2">
      <c r="A142" t="s">
        <v>685</v>
      </c>
      <c r="B142">
        <v>1</v>
      </c>
      <c r="C142" s="143">
        <f t="shared" ref="C142:H142" si="43">C141*$B142</f>
        <v>0</v>
      </c>
      <c r="D142" s="143">
        <f t="shared" si="43"/>
        <v>0</v>
      </c>
      <c r="E142" s="143">
        <f t="shared" si="43"/>
        <v>0</v>
      </c>
      <c r="F142" s="143">
        <f t="shared" si="43"/>
        <v>0</v>
      </c>
      <c r="G142" s="143">
        <f t="shared" si="43"/>
        <v>0</v>
      </c>
      <c r="H142" s="143">
        <f t="shared" si="43"/>
        <v>0</v>
      </c>
      <c r="I142" s="143">
        <f>SUM(C142:H142)</f>
        <v>0</v>
      </c>
      <c r="Q142" s="225"/>
      <c r="R142" s="225"/>
      <c r="S142" s="225"/>
      <c r="T142" s="225"/>
      <c r="U142" s="225"/>
      <c r="V142" s="83"/>
      <c r="W142" s="225"/>
      <c r="X142" s="225"/>
      <c r="Y142" s="225"/>
      <c r="Z142" s="400"/>
      <c r="AA142" s="225"/>
      <c r="AB142" s="225"/>
      <c r="AC142" s="225"/>
    </row>
    <row r="143" spans="1:29" x14ac:dyDescent="0.2">
      <c r="A143" t="s">
        <v>670</v>
      </c>
      <c r="B143">
        <v>4</v>
      </c>
      <c r="C143">
        <f t="shared" ref="C143:H143" si="44">C141*$B143</f>
        <v>0</v>
      </c>
      <c r="D143">
        <f t="shared" si="44"/>
        <v>0</v>
      </c>
      <c r="E143">
        <f t="shared" si="44"/>
        <v>0</v>
      </c>
      <c r="F143">
        <f t="shared" si="44"/>
        <v>0</v>
      </c>
      <c r="G143">
        <f t="shared" si="44"/>
        <v>0</v>
      </c>
      <c r="H143">
        <f t="shared" si="44"/>
        <v>0</v>
      </c>
      <c r="I143" s="143">
        <f>SUM(C143:H143)</f>
        <v>0</v>
      </c>
      <c r="Q143" s="225"/>
      <c r="R143" s="225"/>
      <c r="S143" s="225"/>
      <c r="T143" s="225"/>
      <c r="U143" s="225"/>
      <c r="V143" s="83"/>
      <c r="W143" s="225"/>
      <c r="X143" s="225"/>
      <c r="Y143" s="225"/>
      <c r="Z143" s="400"/>
      <c r="AA143" s="225"/>
      <c r="AB143" s="225"/>
      <c r="AC143" s="225"/>
    </row>
    <row r="144" spans="1:29" ht="15.75" x14ac:dyDescent="0.25">
      <c r="A144" t="s">
        <v>675</v>
      </c>
      <c r="B144">
        <v>0.52</v>
      </c>
      <c r="C144">
        <f t="shared" ref="C144:H144" si="45">+$B144*C141</f>
        <v>0</v>
      </c>
      <c r="D144">
        <f t="shared" si="45"/>
        <v>0</v>
      </c>
      <c r="E144">
        <f t="shared" si="45"/>
        <v>0</v>
      </c>
      <c r="F144">
        <f t="shared" si="45"/>
        <v>0</v>
      </c>
      <c r="G144">
        <f t="shared" si="45"/>
        <v>0</v>
      </c>
      <c r="H144">
        <f t="shared" si="45"/>
        <v>0</v>
      </c>
      <c r="I144" s="143">
        <f>SUM(C144:H144)</f>
        <v>0</v>
      </c>
      <c r="Q144" s="225"/>
      <c r="R144" s="225"/>
      <c r="S144" s="225"/>
      <c r="T144" s="225"/>
      <c r="U144" s="318"/>
      <c r="V144" s="229"/>
      <c r="W144" s="318"/>
      <c r="X144" s="318"/>
      <c r="Y144" s="318"/>
      <c r="Z144" s="318"/>
      <c r="AA144" s="225"/>
      <c r="AB144" s="225"/>
      <c r="AC144" s="225"/>
    </row>
    <row r="145" spans="1:29" x14ac:dyDescent="0.2">
      <c r="A145" t="s">
        <v>673</v>
      </c>
      <c r="B145">
        <v>8</v>
      </c>
      <c r="C145">
        <f t="shared" ref="C145:H145" si="46">+$B145*C141</f>
        <v>0</v>
      </c>
      <c r="D145">
        <f t="shared" si="46"/>
        <v>0</v>
      </c>
      <c r="E145">
        <f t="shared" si="46"/>
        <v>0</v>
      </c>
      <c r="F145">
        <f t="shared" si="46"/>
        <v>0</v>
      </c>
      <c r="G145">
        <f t="shared" si="46"/>
        <v>0</v>
      </c>
      <c r="H145">
        <f t="shared" si="46"/>
        <v>0</v>
      </c>
      <c r="I145" s="143">
        <f>SUM(C145:H145)</f>
        <v>0</v>
      </c>
      <c r="Q145" s="225"/>
      <c r="R145" s="225"/>
      <c r="S145" s="225"/>
      <c r="T145" s="225"/>
      <c r="U145" s="225"/>
      <c r="V145" s="83"/>
      <c r="W145" s="225"/>
      <c r="X145" s="225"/>
      <c r="Y145" s="225"/>
      <c r="Z145" s="400"/>
      <c r="AA145" s="225"/>
      <c r="AB145" s="225"/>
      <c r="AC145" s="225"/>
    </row>
    <row r="146" spans="1:29" ht="15.75" x14ac:dyDescent="0.25">
      <c r="A146" s="139" t="s">
        <v>686</v>
      </c>
      <c r="B146" s="139"/>
      <c r="C146" s="140">
        <f t="shared" ref="C146:H146" si="47">+B17</f>
        <v>0</v>
      </c>
      <c r="D146" s="140">
        <f t="shared" si="47"/>
        <v>0</v>
      </c>
      <c r="E146" s="140">
        <f t="shared" si="47"/>
        <v>0</v>
      </c>
      <c r="F146" s="140">
        <f t="shared" si="47"/>
        <v>0</v>
      </c>
      <c r="G146" s="140">
        <f t="shared" si="47"/>
        <v>0</v>
      </c>
      <c r="H146" s="140">
        <f t="shared" si="47"/>
        <v>0</v>
      </c>
      <c r="I146" s="143" t="s">
        <v>446</v>
      </c>
      <c r="Q146" s="225"/>
      <c r="R146" s="225"/>
      <c r="S146" s="225"/>
      <c r="T146" s="225"/>
      <c r="U146" s="225"/>
      <c r="V146" s="83"/>
      <c r="W146" s="225"/>
      <c r="X146" s="225"/>
      <c r="Y146" s="225"/>
      <c r="Z146" s="400"/>
      <c r="AA146" s="225"/>
      <c r="AB146" s="225"/>
      <c r="AC146" s="225"/>
    </row>
    <row r="147" spans="1:29" x14ac:dyDescent="0.2">
      <c r="A147" t="s">
        <v>687</v>
      </c>
      <c r="B147">
        <v>1</v>
      </c>
      <c r="C147" s="143">
        <f t="shared" ref="C147:H147" si="48">+$B147*C146</f>
        <v>0</v>
      </c>
      <c r="D147" s="143">
        <f t="shared" si="48"/>
        <v>0</v>
      </c>
      <c r="E147" s="143">
        <f t="shared" si="48"/>
        <v>0</v>
      </c>
      <c r="F147" s="143">
        <f t="shared" si="48"/>
        <v>0</v>
      </c>
      <c r="G147" s="143">
        <f t="shared" si="48"/>
        <v>0</v>
      </c>
      <c r="H147" s="143">
        <f t="shared" si="48"/>
        <v>0</v>
      </c>
      <c r="I147" s="143">
        <f>SUM(C147:H147)</f>
        <v>0</v>
      </c>
      <c r="Q147" s="225"/>
      <c r="R147" s="225"/>
      <c r="S147" s="225"/>
      <c r="T147" s="225"/>
      <c r="U147" s="225"/>
      <c r="V147" s="83"/>
      <c r="W147" s="225"/>
      <c r="X147" s="225"/>
      <c r="Y147" s="225"/>
      <c r="Z147" s="400"/>
      <c r="AA147" s="225"/>
      <c r="AB147" s="225"/>
      <c r="AC147" s="225"/>
    </row>
    <row r="148" spans="1:29" x14ac:dyDescent="0.2">
      <c r="A148" t="s">
        <v>688</v>
      </c>
      <c r="C148">
        <f t="shared" ref="C148:H148" si="49">C146*$B148</f>
        <v>0</v>
      </c>
      <c r="D148">
        <f t="shared" si="49"/>
        <v>0</v>
      </c>
      <c r="E148">
        <f t="shared" si="49"/>
        <v>0</v>
      </c>
      <c r="F148">
        <f t="shared" si="49"/>
        <v>0</v>
      </c>
      <c r="G148">
        <f t="shared" si="49"/>
        <v>0</v>
      </c>
      <c r="H148">
        <f t="shared" si="49"/>
        <v>0</v>
      </c>
      <c r="I148" s="143">
        <f>SUM(C148:H148)</f>
        <v>0</v>
      </c>
      <c r="Q148" s="225"/>
      <c r="R148" s="225"/>
      <c r="S148" s="225"/>
      <c r="T148" s="225"/>
      <c r="U148" s="225"/>
      <c r="V148" s="83"/>
      <c r="W148" s="225"/>
      <c r="X148" s="225"/>
      <c r="Y148" s="225"/>
      <c r="Z148" s="400"/>
      <c r="AA148" s="225"/>
      <c r="AB148" s="225"/>
      <c r="AC148" s="225"/>
    </row>
    <row r="149" spans="1:29" x14ac:dyDescent="0.2">
      <c r="A149" t="s">
        <v>110</v>
      </c>
      <c r="B149">
        <v>1</v>
      </c>
      <c r="C149">
        <f>2.4*C146</f>
        <v>0</v>
      </c>
      <c r="D149">
        <f>2.96*D146</f>
        <v>0</v>
      </c>
      <c r="E149">
        <f>3.24*E146</f>
        <v>0</v>
      </c>
      <c r="F149">
        <f>3.52*F146</f>
        <v>0</v>
      </c>
      <c r="G149">
        <f>4.08*G146</f>
        <v>0</v>
      </c>
      <c r="H149">
        <f>5.2*H146</f>
        <v>0</v>
      </c>
      <c r="I149" s="143">
        <f>SUM(C149:H149)</f>
        <v>0</v>
      </c>
      <c r="Q149" s="225"/>
      <c r="R149" s="225"/>
      <c r="S149" s="225"/>
      <c r="T149" s="225"/>
      <c r="U149" s="225"/>
      <c r="V149" s="83"/>
      <c r="W149" s="225"/>
      <c r="X149" s="225"/>
      <c r="Y149" s="225"/>
      <c r="Z149" s="400"/>
      <c r="AA149" s="225"/>
      <c r="AB149" s="225"/>
      <c r="AC149" s="225"/>
    </row>
    <row r="150" spans="1:29" x14ac:dyDescent="0.2">
      <c r="A150" t="s">
        <v>672</v>
      </c>
      <c r="B150">
        <v>1</v>
      </c>
      <c r="C150">
        <f t="shared" ref="C150:H150" si="50">C146*C140</f>
        <v>0</v>
      </c>
      <c r="D150">
        <f t="shared" si="50"/>
        <v>0</v>
      </c>
      <c r="E150">
        <f t="shared" si="50"/>
        <v>0</v>
      </c>
      <c r="F150">
        <f t="shared" si="50"/>
        <v>0</v>
      </c>
      <c r="G150">
        <f t="shared" si="50"/>
        <v>0</v>
      </c>
      <c r="H150">
        <f t="shared" si="50"/>
        <v>0</v>
      </c>
      <c r="I150" s="143">
        <f>SUM(C150:H150)</f>
        <v>0</v>
      </c>
      <c r="Q150" s="225"/>
      <c r="R150" s="225"/>
      <c r="S150" s="225"/>
      <c r="T150" s="225"/>
      <c r="U150" s="225"/>
      <c r="V150" s="83"/>
      <c r="W150" s="225"/>
      <c r="X150" s="225"/>
      <c r="Y150" s="225"/>
      <c r="Z150" s="225"/>
      <c r="AA150" s="225"/>
      <c r="AB150" s="225"/>
      <c r="AC150" s="225"/>
    </row>
    <row r="151" spans="1:29" ht="15.75" x14ac:dyDescent="0.25">
      <c r="A151" t="s">
        <v>691</v>
      </c>
      <c r="B151">
        <v>1</v>
      </c>
      <c r="I151" s="143">
        <f>SUM(C151:H151)</f>
        <v>0</v>
      </c>
      <c r="Q151" s="225"/>
      <c r="R151" s="225"/>
      <c r="S151" s="225"/>
      <c r="T151" s="225"/>
      <c r="U151" s="318"/>
      <c r="V151" s="83"/>
      <c r="W151" s="225"/>
      <c r="X151" s="225"/>
      <c r="Y151" s="225"/>
      <c r="Z151" s="225"/>
      <c r="AA151" s="225"/>
      <c r="AB151" s="225"/>
      <c r="AC151" s="225"/>
    </row>
    <row r="152" spans="1:29" ht="15.75" x14ac:dyDescent="0.25">
      <c r="A152">
        <v>0</v>
      </c>
      <c r="Q152" s="225"/>
      <c r="R152" s="225"/>
      <c r="S152" s="225"/>
      <c r="T152" s="225"/>
      <c r="U152" s="318"/>
      <c r="V152" s="229"/>
      <c r="W152" s="318"/>
      <c r="X152" s="318"/>
      <c r="Y152" s="318"/>
      <c r="Z152" s="318"/>
      <c r="AA152" s="225"/>
      <c r="AB152" s="225"/>
      <c r="AC152" s="225"/>
    </row>
    <row r="153" spans="1:29" x14ac:dyDescent="0.2">
      <c r="A153">
        <v>0</v>
      </c>
      <c r="Q153" s="225"/>
      <c r="R153" s="225"/>
      <c r="S153" s="225"/>
      <c r="T153" s="225"/>
      <c r="U153" s="225"/>
      <c r="V153" s="83"/>
      <c r="W153" s="225"/>
      <c r="X153" s="225"/>
      <c r="Y153" s="225"/>
      <c r="Z153" s="400"/>
      <c r="AA153" s="225"/>
      <c r="AB153" s="225"/>
      <c r="AC153" s="225"/>
    </row>
    <row r="154" spans="1:29" ht="18" x14ac:dyDescent="0.25">
      <c r="A154" s="404" t="s">
        <v>455</v>
      </c>
      <c r="Q154" s="225"/>
      <c r="R154" s="225"/>
      <c r="S154" s="225"/>
      <c r="T154" s="225"/>
      <c r="U154" s="225"/>
      <c r="V154" s="83"/>
      <c r="W154" s="225"/>
      <c r="X154" s="225"/>
      <c r="Y154" s="225"/>
      <c r="Z154" s="400"/>
      <c r="AA154" s="225"/>
      <c r="AB154" s="225"/>
      <c r="AC154" s="225"/>
    </row>
    <row r="155" spans="1:29" ht="15.75" x14ac:dyDescent="0.25">
      <c r="A155" s="139" t="s">
        <v>454</v>
      </c>
      <c r="B155" s="139"/>
      <c r="C155" s="140">
        <f t="shared" ref="C155:H155" si="51">+B18</f>
        <v>0</v>
      </c>
      <c r="D155" s="140">
        <f t="shared" si="51"/>
        <v>0</v>
      </c>
      <c r="E155" s="140">
        <f t="shared" si="51"/>
        <v>0</v>
      </c>
      <c r="F155" s="140">
        <f t="shared" si="51"/>
        <v>0</v>
      </c>
      <c r="G155" s="140">
        <f t="shared" si="51"/>
        <v>0</v>
      </c>
      <c r="H155" s="140">
        <f t="shared" si="51"/>
        <v>0</v>
      </c>
      <c r="I155" s="141" t="s">
        <v>446</v>
      </c>
      <c r="Q155" s="225"/>
      <c r="R155" s="225"/>
      <c r="S155" s="225"/>
      <c r="T155" s="225"/>
      <c r="U155" s="225"/>
      <c r="V155" s="83"/>
      <c r="W155" s="225"/>
      <c r="X155" s="225"/>
      <c r="Y155" s="225"/>
      <c r="Z155" s="400"/>
      <c r="AA155" s="225"/>
      <c r="AB155" s="225"/>
      <c r="AC155" s="225"/>
    </row>
    <row r="156" spans="1:29" x14ac:dyDescent="0.2">
      <c r="A156" t="s">
        <v>692</v>
      </c>
      <c r="B156">
        <v>1</v>
      </c>
      <c r="C156" s="143">
        <f t="shared" ref="C156:H156" si="52">C155*$B156</f>
        <v>0</v>
      </c>
      <c r="D156" s="143">
        <f t="shared" si="52"/>
        <v>0</v>
      </c>
      <c r="E156" s="143">
        <f t="shared" si="52"/>
        <v>0</v>
      </c>
      <c r="F156" s="143">
        <f t="shared" si="52"/>
        <v>0</v>
      </c>
      <c r="G156" s="143">
        <f t="shared" si="52"/>
        <v>0</v>
      </c>
      <c r="H156" s="143">
        <f t="shared" si="52"/>
        <v>0</v>
      </c>
      <c r="I156" s="143">
        <f>SUM(C156:H156)</f>
        <v>0</v>
      </c>
      <c r="Q156" s="225"/>
      <c r="R156" s="225"/>
      <c r="S156" s="225"/>
      <c r="T156" s="225"/>
      <c r="U156" s="225"/>
      <c r="V156" s="83"/>
      <c r="W156" s="225"/>
      <c r="X156" s="225"/>
      <c r="Y156" s="225"/>
      <c r="Z156" s="400"/>
      <c r="AA156" s="225"/>
      <c r="AB156" s="225"/>
      <c r="AC156" s="225"/>
    </row>
    <row r="157" spans="1:29" x14ac:dyDescent="0.2">
      <c r="A157" t="s">
        <v>670</v>
      </c>
      <c r="B157">
        <v>6</v>
      </c>
      <c r="C157">
        <f t="shared" ref="C157:H157" si="53">+$B157*C155</f>
        <v>0</v>
      </c>
      <c r="D157">
        <f t="shared" si="53"/>
        <v>0</v>
      </c>
      <c r="E157">
        <f t="shared" si="53"/>
        <v>0</v>
      </c>
      <c r="F157">
        <f t="shared" si="53"/>
        <v>0</v>
      </c>
      <c r="G157">
        <f t="shared" si="53"/>
        <v>0</v>
      </c>
      <c r="H157">
        <f t="shared" si="53"/>
        <v>0</v>
      </c>
      <c r="I157" s="143">
        <f>SUM(C157:H157)</f>
        <v>0</v>
      </c>
      <c r="Q157" s="225"/>
      <c r="R157" s="225"/>
      <c r="S157" s="225"/>
      <c r="T157" s="225"/>
      <c r="U157" s="225"/>
      <c r="V157" s="83"/>
      <c r="W157" s="225"/>
      <c r="X157" s="225"/>
      <c r="Y157" s="225"/>
      <c r="Z157" s="400"/>
      <c r="AA157" s="225"/>
      <c r="AB157" s="225"/>
      <c r="AC157" s="225"/>
    </row>
    <row r="158" spans="1:29" x14ac:dyDescent="0.2">
      <c r="A158" t="s">
        <v>675</v>
      </c>
      <c r="B158">
        <v>1.28</v>
      </c>
      <c r="C158">
        <f t="shared" ref="C158:H158" si="54">+$B158*C155</f>
        <v>0</v>
      </c>
      <c r="D158">
        <f t="shared" si="54"/>
        <v>0</v>
      </c>
      <c r="E158">
        <f t="shared" si="54"/>
        <v>0</v>
      </c>
      <c r="F158">
        <f t="shared" si="54"/>
        <v>0</v>
      </c>
      <c r="G158">
        <f t="shared" si="54"/>
        <v>0</v>
      </c>
      <c r="H158">
        <f t="shared" si="54"/>
        <v>0</v>
      </c>
      <c r="I158" s="143">
        <f>SUM(C158:H158)</f>
        <v>0</v>
      </c>
      <c r="Q158" s="225"/>
      <c r="R158" s="225"/>
      <c r="S158" s="225"/>
      <c r="T158" s="225"/>
      <c r="U158" s="225"/>
      <c r="V158" s="83"/>
      <c r="W158" s="225"/>
      <c r="X158" s="225"/>
      <c r="Y158" s="225"/>
      <c r="Z158" s="400"/>
      <c r="AA158" s="225"/>
      <c r="AB158" s="225"/>
      <c r="AC158" s="225"/>
    </row>
    <row r="159" spans="1:29" x14ac:dyDescent="0.2">
      <c r="A159" t="s">
        <v>673</v>
      </c>
      <c r="B159">
        <v>12</v>
      </c>
      <c r="C159">
        <f t="shared" ref="C159:H159" si="55">+$B159*C155</f>
        <v>0</v>
      </c>
      <c r="D159">
        <f t="shared" si="55"/>
        <v>0</v>
      </c>
      <c r="E159">
        <f t="shared" si="55"/>
        <v>0</v>
      </c>
      <c r="F159">
        <f t="shared" si="55"/>
        <v>0</v>
      </c>
      <c r="G159">
        <f t="shared" si="55"/>
        <v>0</v>
      </c>
      <c r="H159">
        <f t="shared" si="55"/>
        <v>0</v>
      </c>
      <c r="I159" s="143">
        <f>SUM(C159:H159)</f>
        <v>0</v>
      </c>
      <c r="Q159" s="225"/>
      <c r="R159" s="225"/>
      <c r="S159" s="225"/>
      <c r="T159" s="225"/>
      <c r="U159" s="225"/>
      <c r="V159" s="83"/>
      <c r="W159" s="225"/>
      <c r="X159" s="225"/>
      <c r="Y159" s="225"/>
      <c r="Z159" s="225"/>
      <c r="AA159" s="225"/>
      <c r="AB159" s="225"/>
      <c r="AC159" s="225"/>
    </row>
    <row r="160" spans="1:29" ht="15.75" x14ac:dyDescent="0.25">
      <c r="A160">
        <v>0</v>
      </c>
      <c r="B160">
        <v>0</v>
      </c>
      <c r="Q160" s="225"/>
      <c r="R160" s="225"/>
      <c r="S160" s="225"/>
      <c r="T160" s="225"/>
      <c r="U160" s="318"/>
      <c r="V160" s="229"/>
      <c r="W160" s="318"/>
      <c r="X160" s="318"/>
      <c r="Y160" s="318"/>
      <c r="Z160" s="318"/>
      <c r="AA160" s="225"/>
      <c r="AB160" s="225"/>
      <c r="AC160" s="225"/>
    </row>
    <row r="161" spans="1:29" ht="15.75" x14ac:dyDescent="0.25">
      <c r="A161" s="139" t="s">
        <v>686</v>
      </c>
      <c r="B161" s="139"/>
      <c r="C161" s="140">
        <f t="shared" ref="C161:H161" si="56">+B19</f>
        <v>0</v>
      </c>
      <c r="D161" s="140">
        <f t="shared" si="56"/>
        <v>0</v>
      </c>
      <c r="E161" s="140">
        <f t="shared" si="56"/>
        <v>0</v>
      </c>
      <c r="F161" s="140">
        <f t="shared" si="56"/>
        <v>0</v>
      </c>
      <c r="G161" s="140">
        <f t="shared" si="56"/>
        <v>0</v>
      </c>
      <c r="H161" s="140">
        <f t="shared" si="56"/>
        <v>0</v>
      </c>
      <c r="I161" s="141" t="s">
        <v>446</v>
      </c>
      <c r="Q161" s="225"/>
      <c r="R161" s="225"/>
      <c r="S161" s="225"/>
      <c r="T161" s="225"/>
      <c r="U161" s="225"/>
      <c r="V161" s="83"/>
      <c r="W161" s="225"/>
      <c r="X161" s="225"/>
      <c r="Y161" s="225"/>
      <c r="Z161" s="400"/>
      <c r="AA161" s="225"/>
      <c r="AB161" s="225"/>
      <c r="AC161" s="225"/>
    </row>
    <row r="162" spans="1:29" x14ac:dyDescent="0.2">
      <c r="A162" t="s">
        <v>693</v>
      </c>
      <c r="B162">
        <v>1</v>
      </c>
      <c r="C162" s="143">
        <f t="shared" ref="C162:H162" si="57">+$B162*C161</f>
        <v>0</v>
      </c>
      <c r="D162" s="143">
        <f t="shared" si="57"/>
        <v>0</v>
      </c>
      <c r="E162" s="143">
        <f t="shared" si="57"/>
        <v>0</v>
      </c>
      <c r="F162" s="143">
        <f t="shared" si="57"/>
        <v>0</v>
      </c>
      <c r="G162" s="143">
        <f t="shared" si="57"/>
        <v>0</v>
      </c>
      <c r="H162" s="143">
        <f t="shared" si="57"/>
        <v>0</v>
      </c>
      <c r="I162" s="143">
        <f t="shared" ref="I162:I167" si="58">SUM(C162:H162)</f>
        <v>0</v>
      </c>
      <c r="Q162" s="225"/>
      <c r="R162" s="225"/>
      <c r="S162" s="225"/>
      <c r="T162" s="225"/>
      <c r="U162" s="225"/>
      <c r="V162" s="83"/>
      <c r="W162" s="225"/>
      <c r="X162" s="225"/>
      <c r="Y162" s="225"/>
      <c r="Z162" s="400"/>
      <c r="AA162" s="225"/>
      <c r="AB162" s="225"/>
      <c r="AC162" s="225"/>
    </row>
    <row r="163" spans="1:29" x14ac:dyDescent="0.2">
      <c r="A163" t="s">
        <v>688</v>
      </c>
      <c r="C163">
        <f t="shared" ref="C163:H163" si="59">C161*$B163</f>
        <v>0</v>
      </c>
      <c r="D163">
        <f t="shared" si="59"/>
        <v>0</v>
      </c>
      <c r="E163">
        <f t="shared" si="59"/>
        <v>0</v>
      </c>
      <c r="F163">
        <f t="shared" si="59"/>
        <v>0</v>
      </c>
      <c r="G163">
        <f t="shared" si="59"/>
        <v>0</v>
      </c>
      <c r="H163">
        <f t="shared" si="59"/>
        <v>0</v>
      </c>
      <c r="I163" s="143">
        <f t="shared" si="58"/>
        <v>0</v>
      </c>
      <c r="Q163" s="225"/>
      <c r="R163" s="225"/>
      <c r="S163" s="225"/>
      <c r="T163" s="225"/>
      <c r="U163" s="225"/>
      <c r="V163" s="83"/>
      <c r="W163" s="225"/>
      <c r="X163" s="225"/>
      <c r="Y163" s="225"/>
      <c r="Z163" s="400"/>
      <c r="AA163" s="225"/>
      <c r="AB163" s="225"/>
      <c r="AC163" s="225"/>
    </row>
    <row r="164" spans="1:29" x14ac:dyDescent="0.2">
      <c r="A164" t="s">
        <v>110</v>
      </c>
      <c r="B164">
        <v>1</v>
      </c>
      <c r="C164">
        <f>4.4*C161</f>
        <v>0</v>
      </c>
      <c r="D164">
        <f>4.96*D161</f>
        <v>0</v>
      </c>
      <c r="E164">
        <f>5.24*E161</f>
        <v>0</v>
      </c>
      <c r="F164">
        <f>5.6*F161</f>
        <v>0</v>
      </c>
      <c r="G164">
        <f>6.1*G161</f>
        <v>0</v>
      </c>
      <c r="H164">
        <f>7.3*H161</f>
        <v>0</v>
      </c>
      <c r="I164" s="143">
        <f t="shared" si="58"/>
        <v>0</v>
      </c>
      <c r="Q164" s="225"/>
      <c r="R164" s="225"/>
      <c r="S164" s="225"/>
      <c r="T164" s="225"/>
      <c r="U164" s="225"/>
      <c r="V164" s="83"/>
      <c r="W164" s="225"/>
      <c r="X164" s="225"/>
      <c r="Y164" s="225"/>
      <c r="Z164" s="400"/>
      <c r="AA164" s="225"/>
      <c r="AB164" s="225"/>
      <c r="AC164" s="225"/>
    </row>
    <row r="165" spans="1:29" x14ac:dyDescent="0.2">
      <c r="A165" t="s">
        <v>672</v>
      </c>
      <c r="B165">
        <v>1</v>
      </c>
      <c r="C165">
        <f t="shared" ref="C165:H165" si="60">C161*C140</f>
        <v>0</v>
      </c>
      <c r="D165">
        <f t="shared" si="60"/>
        <v>0</v>
      </c>
      <c r="E165">
        <f t="shared" si="60"/>
        <v>0</v>
      </c>
      <c r="F165">
        <f t="shared" si="60"/>
        <v>0</v>
      </c>
      <c r="G165">
        <f t="shared" si="60"/>
        <v>0</v>
      </c>
      <c r="H165">
        <f t="shared" si="60"/>
        <v>0</v>
      </c>
      <c r="I165" s="143">
        <f t="shared" si="58"/>
        <v>0</v>
      </c>
      <c r="Q165" s="225"/>
      <c r="R165" s="225"/>
      <c r="S165" s="225"/>
      <c r="T165" s="225"/>
      <c r="U165" s="225"/>
      <c r="V165" s="83"/>
      <c r="W165" s="225"/>
      <c r="X165" s="225"/>
      <c r="Y165" s="225"/>
      <c r="Z165" s="400"/>
      <c r="AA165" s="225"/>
      <c r="AB165" s="225"/>
      <c r="AC165" s="225"/>
    </row>
    <row r="166" spans="1:29" x14ac:dyDescent="0.2">
      <c r="B166">
        <v>1</v>
      </c>
      <c r="I166" s="143">
        <f t="shared" si="58"/>
        <v>0</v>
      </c>
      <c r="Q166" s="225"/>
      <c r="R166" s="225"/>
      <c r="S166" s="225"/>
      <c r="T166" s="225"/>
      <c r="U166" s="225"/>
      <c r="V166" s="83"/>
      <c r="W166" s="225"/>
      <c r="X166" s="225"/>
      <c r="Y166" s="225"/>
      <c r="Z166" s="225"/>
      <c r="AA166" s="225"/>
      <c r="AB166" s="225"/>
      <c r="AC166" s="225"/>
    </row>
    <row r="167" spans="1:29" ht="20.25" x14ac:dyDescent="0.3">
      <c r="A167">
        <v>0</v>
      </c>
      <c r="I167" s="143">
        <f t="shared" si="58"/>
        <v>0</v>
      </c>
      <c r="Q167" s="225"/>
      <c r="R167" s="225"/>
      <c r="S167" s="225"/>
      <c r="T167" s="225"/>
      <c r="U167" s="225"/>
      <c r="V167" s="83"/>
      <c r="W167" s="406"/>
      <c r="X167" s="406"/>
      <c r="Y167" s="406"/>
      <c r="Z167" s="406"/>
      <c r="AA167" s="225"/>
      <c r="AB167" s="225"/>
      <c r="AC167" s="225"/>
    </row>
    <row r="168" spans="1:29" ht="15.75" x14ac:dyDescent="0.25">
      <c r="A168">
        <v>0</v>
      </c>
      <c r="Q168" s="225"/>
      <c r="R168" s="225"/>
      <c r="S168" s="225"/>
      <c r="T168" s="225"/>
      <c r="U168" s="225"/>
      <c r="V168" s="83"/>
      <c r="W168" s="318"/>
      <c r="X168" s="318"/>
      <c r="Y168" s="318"/>
      <c r="Z168" s="318"/>
      <c r="AA168" s="318"/>
      <c r="AB168" s="225"/>
      <c r="AC168" s="225"/>
    </row>
    <row r="169" spans="1:29" x14ac:dyDescent="0.2">
      <c r="A169">
        <v>0</v>
      </c>
      <c r="Q169" s="225"/>
      <c r="R169" s="225"/>
      <c r="S169" s="225"/>
      <c r="T169" s="225"/>
      <c r="U169" s="225"/>
      <c r="V169" s="83"/>
      <c r="W169" s="225"/>
      <c r="X169" s="225"/>
      <c r="Y169" s="225"/>
      <c r="Z169" s="225"/>
      <c r="AA169" s="400"/>
      <c r="AB169" s="225"/>
      <c r="AC169" s="225"/>
    </row>
    <row r="170" spans="1:29" ht="15.75" x14ac:dyDescent="0.25">
      <c r="A170">
        <v>0</v>
      </c>
      <c r="Q170" s="225"/>
      <c r="R170" s="225"/>
      <c r="S170" s="225"/>
      <c r="T170" s="225"/>
      <c r="U170" s="225"/>
      <c r="V170" s="83"/>
      <c r="W170" s="225"/>
      <c r="X170" s="225"/>
      <c r="Y170" s="225"/>
      <c r="Z170" s="225"/>
      <c r="AA170" s="318"/>
      <c r="AB170" s="225"/>
      <c r="AC170" s="225"/>
    </row>
    <row r="171" spans="1:29" x14ac:dyDescent="0.2">
      <c r="A171">
        <v>0</v>
      </c>
      <c r="Q171" s="225"/>
      <c r="R171" s="225"/>
      <c r="S171" s="225"/>
      <c r="T171" s="225"/>
      <c r="U171" s="225"/>
      <c r="V171" s="83"/>
      <c r="W171" s="225"/>
      <c r="X171" s="225"/>
      <c r="Y171" s="225"/>
      <c r="Z171" s="225"/>
      <c r="AA171" s="225"/>
      <c r="AB171" s="225"/>
      <c r="AC171" s="225"/>
    </row>
    <row r="172" spans="1:29" ht="15.75" x14ac:dyDescent="0.25">
      <c r="A172">
        <v>0</v>
      </c>
      <c r="B172" s="6"/>
      <c r="Q172" s="225"/>
      <c r="R172" s="225"/>
      <c r="S172" s="225"/>
      <c r="T172" s="225"/>
      <c r="U172" s="225"/>
      <c r="V172" s="83"/>
      <c r="W172" s="318"/>
      <c r="X172" s="318"/>
      <c r="Y172" s="318"/>
      <c r="Z172" s="318"/>
      <c r="AA172" s="318"/>
      <c r="AB172" s="225"/>
      <c r="AC172" s="225"/>
    </row>
    <row r="173" spans="1:29" x14ac:dyDescent="0.2">
      <c r="A173">
        <v>0</v>
      </c>
      <c r="B173" s="6"/>
      <c r="Q173" s="225"/>
      <c r="R173" s="225"/>
      <c r="S173" s="225"/>
      <c r="T173" s="225"/>
      <c r="U173" s="225"/>
      <c r="V173" s="83"/>
      <c r="W173" s="225"/>
      <c r="X173" s="225"/>
      <c r="Y173" s="225"/>
      <c r="Z173" s="225"/>
      <c r="AA173" s="400"/>
      <c r="AB173" s="225"/>
      <c r="AC173" s="225"/>
    </row>
    <row r="174" spans="1:29" x14ac:dyDescent="0.2">
      <c r="A174">
        <v>0</v>
      </c>
      <c r="B174" s="6"/>
      <c r="Q174" s="225"/>
      <c r="R174" s="225"/>
      <c r="S174" s="225"/>
      <c r="T174" s="225"/>
      <c r="U174" s="225"/>
      <c r="V174" s="83"/>
      <c r="W174" s="225"/>
      <c r="X174" s="225"/>
      <c r="Y174" s="225"/>
      <c r="Z174" s="225"/>
      <c r="AA174" s="400"/>
      <c r="AB174" s="225"/>
      <c r="AC174" s="225"/>
    </row>
    <row r="175" spans="1:29" ht="18" x14ac:dyDescent="0.25">
      <c r="A175" s="407" t="s">
        <v>694</v>
      </c>
      <c r="B175" s="6"/>
      <c r="C175" s="138"/>
      <c r="D175" s="138"/>
      <c r="Q175" s="225"/>
      <c r="R175" s="225"/>
      <c r="S175" s="225"/>
      <c r="T175" s="225"/>
      <c r="U175" s="225"/>
      <c r="V175" s="83"/>
      <c r="W175" s="225"/>
      <c r="X175" s="225"/>
      <c r="Y175" s="225"/>
      <c r="Z175" s="225"/>
      <c r="AA175" s="225"/>
      <c r="AB175" s="225"/>
      <c r="AC175" s="225"/>
    </row>
    <row r="176" spans="1:29" ht="15.75" x14ac:dyDescent="0.25">
      <c r="A176">
        <v>0</v>
      </c>
      <c r="B176" s="6"/>
      <c r="C176" s="1"/>
      <c r="D176" s="1"/>
      <c r="Q176" s="225"/>
      <c r="R176" s="225"/>
      <c r="S176" s="225"/>
      <c r="T176" s="225"/>
      <c r="U176" s="225"/>
      <c r="V176" s="83"/>
      <c r="W176" s="318"/>
      <c r="X176" s="318"/>
      <c r="Y176" s="318"/>
      <c r="Z176" s="318"/>
      <c r="AA176" s="318"/>
      <c r="AB176" s="225"/>
      <c r="AC176" s="225"/>
    </row>
    <row r="177" spans="1:29" x14ac:dyDescent="0.2">
      <c r="A177" t="s">
        <v>444</v>
      </c>
      <c r="B177" s="6"/>
      <c r="C177">
        <v>0.85</v>
      </c>
      <c r="Q177" s="225"/>
      <c r="R177" s="225"/>
      <c r="S177" s="225"/>
      <c r="T177" s="225"/>
      <c r="U177" s="225"/>
      <c r="V177" s="83"/>
      <c r="W177" s="225"/>
      <c r="X177" s="225"/>
      <c r="Y177" s="225"/>
      <c r="Z177" s="225"/>
      <c r="AA177" s="400"/>
      <c r="AB177" s="225"/>
      <c r="AC177" s="225"/>
    </row>
    <row r="178" spans="1:29" x14ac:dyDescent="0.2">
      <c r="A178" t="s">
        <v>445</v>
      </c>
      <c r="B178" s="6"/>
      <c r="C178" s="142">
        <v>0.84</v>
      </c>
      <c r="Q178" s="225"/>
      <c r="R178" s="225"/>
      <c r="S178" s="225"/>
      <c r="T178" s="225"/>
      <c r="U178" s="225"/>
      <c r="V178" s="83"/>
      <c r="W178" s="225"/>
      <c r="X178" s="225"/>
      <c r="Y178" s="225"/>
      <c r="Z178" s="225"/>
      <c r="AA178" s="400"/>
      <c r="AB178" s="225"/>
      <c r="AC178" s="225"/>
    </row>
    <row r="179" spans="1:29" ht="15.75" x14ac:dyDescent="0.25">
      <c r="A179" s="139" t="s">
        <v>105</v>
      </c>
      <c r="B179" s="408"/>
      <c r="C179" s="140">
        <f>+E13</f>
        <v>0</v>
      </c>
      <c r="D179" s="141" t="s">
        <v>446</v>
      </c>
      <c r="Q179" s="225"/>
      <c r="R179" s="225"/>
      <c r="S179" s="225"/>
      <c r="T179" s="225"/>
      <c r="U179" s="225"/>
      <c r="V179" s="83"/>
      <c r="W179" s="225"/>
      <c r="X179" s="225"/>
      <c r="Y179" s="225"/>
      <c r="Z179" s="225"/>
      <c r="AA179" s="225"/>
      <c r="AB179" s="225"/>
      <c r="AC179" s="225"/>
    </row>
    <row r="180" spans="1:29" ht="15.75" x14ac:dyDescent="0.25">
      <c r="A180" t="s">
        <v>695</v>
      </c>
      <c r="B180" s="6">
        <v>1</v>
      </c>
      <c r="C180">
        <f>+B180*C179</f>
        <v>0</v>
      </c>
      <c r="D180" s="143">
        <f t="shared" ref="D180:D192" si="61">SUM(C180:C180)</f>
        <v>0</v>
      </c>
      <c r="Q180" s="225"/>
      <c r="R180" s="225"/>
      <c r="S180" s="225"/>
      <c r="T180" s="225"/>
      <c r="U180" s="225"/>
      <c r="V180" s="83"/>
      <c r="W180" s="318"/>
      <c r="X180" s="318"/>
      <c r="Y180" s="318"/>
      <c r="Z180" s="318"/>
      <c r="AA180" s="318"/>
      <c r="AB180" s="225"/>
      <c r="AC180" s="225"/>
    </row>
    <row r="181" spans="1:29" x14ac:dyDescent="0.2">
      <c r="A181" t="s">
        <v>635</v>
      </c>
      <c r="B181" s="6">
        <v>2.5</v>
      </c>
      <c r="C181">
        <f>+B181*C179</f>
        <v>0</v>
      </c>
      <c r="D181" s="143">
        <f t="shared" si="61"/>
        <v>0</v>
      </c>
      <c r="Q181" s="225"/>
      <c r="R181" s="225"/>
      <c r="S181" s="225"/>
      <c r="T181" s="225"/>
      <c r="U181" s="225"/>
      <c r="V181" s="83"/>
      <c r="W181" s="225"/>
      <c r="X181" s="225"/>
      <c r="Y181" s="225"/>
      <c r="Z181" s="225"/>
      <c r="AA181" s="400"/>
      <c r="AB181" s="225"/>
      <c r="AC181" s="225"/>
    </row>
    <row r="182" spans="1:29" x14ac:dyDescent="0.2">
      <c r="A182" t="s">
        <v>696</v>
      </c>
      <c r="B182" s="6">
        <v>1</v>
      </c>
      <c r="C182" s="335">
        <f>B182*C179</f>
        <v>0</v>
      </c>
      <c r="D182" s="143">
        <f t="shared" si="61"/>
        <v>0</v>
      </c>
      <c r="Q182" s="225"/>
      <c r="R182" s="225"/>
      <c r="S182" s="225"/>
      <c r="T182" s="225"/>
      <c r="U182" s="225"/>
      <c r="V182" s="83"/>
      <c r="W182" s="225"/>
      <c r="X182" s="225"/>
      <c r="Y182" s="225"/>
      <c r="Z182" s="225"/>
      <c r="AA182" s="400"/>
      <c r="AB182" s="225"/>
      <c r="AC182" s="225"/>
    </row>
    <row r="183" spans="1:29" x14ac:dyDescent="0.2">
      <c r="A183" s="225" t="s">
        <v>643</v>
      </c>
      <c r="B183" s="6"/>
      <c r="D183" s="143"/>
      <c r="Q183" s="225"/>
      <c r="R183" s="225"/>
      <c r="S183" s="225"/>
      <c r="T183" s="225"/>
      <c r="U183" s="225"/>
      <c r="V183" s="83"/>
      <c r="W183" s="225"/>
      <c r="X183" s="225"/>
      <c r="Y183" s="225"/>
      <c r="Z183" s="225"/>
      <c r="AA183" s="400"/>
      <c r="AB183" s="225"/>
      <c r="AC183" s="225"/>
    </row>
    <row r="184" spans="1:29" x14ac:dyDescent="0.2">
      <c r="A184" t="s">
        <v>672</v>
      </c>
      <c r="B184" s="6">
        <v>1</v>
      </c>
      <c r="C184">
        <f>+C179*C178</f>
        <v>0</v>
      </c>
      <c r="D184" s="143">
        <f t="shared" si="61"/>
        <v>0</v>
      </c>
      <c r="Q184" s="225"/>
      <c r="R184" s="225"/>
      <c r="S184" s="225"/>
      <c r="T184" s="225"/>
      <c r="U184" s="225"/>
      <c r="V184" s="83"/>
      <c r="W184" s="225"/>
      <c r="X184" s="225"/>
      <c r="Y184" s="225"/>
      <c r="Z184" s="225"/>
      <c r="AA184" s="225"/>
      <c r="AB184" s="225"/>
      <c r="AC184" s="225"/>
    </row>
    <row r="185" spans="1:29" ht="15.75" x14ac:dyDescent="0.25">
      <c r="A185" t="s">
        <v>697</v>
      </c>
      <c r="B185" s="6">
        <v>2</v>
      </c>
      <c r="C185">
        <f>+B185*C179</f>
        <v>0</v>
      </c>
      <c r="D185" s="143">
        <f t="shared" si="61"/>
        <v>0</v>
      </c>
      <c r="Q185" s="225"/>
      <c r="R185" s="225"/>
      <c r="S185" s="225"/>
      <c r="T185" s="225"/>
      <c r="U185" s="225"/>
      <c r="V185" s="83"/>
      <c r="W185" s="318"/>
      <c r="X185" s="318"/>
      <c r="Y185" s="318"/>
      <c r="Z185" s="318"/>
      <c r="AA185" s="318"/>
      <c r="AB185" s="225"/>
      <c r="AC185" s="225"/>
    </row>
    <row r="186" spans="1:29" x14ac:dyDescent="0.2">
      <c r="A186" t="s">
        <v>673</v>
      </c>
      <c r="B186" s="6"/>
      <c r="C186">
        <f>C179*B186</f>
        <v>0</v>
      </c>
      <c r="D186" s="143">
        <f t="shared" si="61"/>
        <v>0</v>
      </c>
      <c r="Q186" s="225"/>
      <c r="R186" s="225"/>
      <c r="S186" s="225"/>
      <c r="T186" s="225"/>
      <c r="U186" s="225"/>
      <c r="V186" s="83"/>
      <c r="W186" s="225"/>
      <c r="X186" s="225"/>
      <c r="Y186" s="225"/>
      <c r="Z186" s="225"/>
      <c r="AA186" s="400"/>
      <c r="AB186" s="225"/>
      <c r="AC186" s="225"/>
    </row>
    <row r="187" spans="1:29" x14ac:dyDescent="0.2">
      <c r="A187" s="144" t="s">
        <v>698</v>
      </c>
      <c r="B187" s="6">
        <v>22</v>
      </c>
      <c r="C187">
        <f>+B187*C179</f>
        <v>0</v>
      </c>
      <c r="D187" s="143">
        <f t="shared" si="61"/>
        <v>0</v>
      </c>
      <c r="Q187" s="225"/>
      <c r="R187" s="225"/>
      <c r="S187" s="225"/>
      <c r="T187" s="225"/>
      <c r="U187" s="225"/>
      <c r="V187" s="83"/>
      <c r="W187" s="225"/>
      <c r="X187" s="225"/>
      <c r="Y187" s="225"/>
      <c r="Z187" s="225"/>
      <c r="AA187" s="400"/>
      <c r="AB187" s="225"/>
      <c r="AC187" s="225"/>
    </row>
    <row r="188" spans="1:29" x14ac:dyDescent="0.2">
      <c r="A188" t="s">
        <v>699</v>
      </c>
      <c r="B188" s="6">
        <v>3</v>
      </c>
      <c r="C188">
        <f>B188*C179</f>
        <v>0</v>
      </c>
      <c r="D188" s="143">
        <f t="shared" si="61"/>
        <v>0</v>
      </c>
      <c r="Q188" s="225"/>
      <c r="R188" s="225"/>
      <c r="S188" s="225"/>
      <c r="T188" s="225"/>
      <c r="U188" s="225"/>
      <c r="V188" s="83"/>
      <c r="W188" s="225"/>
      <c r="X188" s="225"/>
      <c r="Y188" s="225"/>
      <c r="Z188" s="225"/>
      <c r="AA188" s="225"/>
      <c r="AB188" s="225"/>
      <c r="AC188" s="225"/>
    </row>
    <row r="189" spans="1:29" x14ac:dyDescent="0.2">
      <c r="A189" t="s">
        <v>700</v>
      </c>
      <c r="B189" s="6">
        <v>1</v>
      </c>
      <c r="C189">
        <f>+B189*C179</f>
        <v>0</v>
      </c>
      <c r="D189" s="143">
        <f t="shared" si="61"/>
        <v>0</v>
      </c>
      <c r="I189" s="138"/>
      <c r="Q189" s="225"/>
      <c r="R189" s="225"/>
      <c r="S189" s="225"/>
      <c r="T189" s="225"/>
      <c r="U189" s="225"/>
      <c r="V189" s="83"/>
      <c r="W189" s="225"/>
      <c r="X189" s="225"/>
      <c r="Y189" s="225"/>
      <c r="Z189" s="225"/>
      <c r="AA189" s="225"/>
      <c r="AB189" s="225"/>
      <c r="AC189" s="225"/>
    </row>
    <row r="190" spans="1:29" x14ac:dyDescent="0.2">
      <c r="A190" s="144" t="s">
        <v>701</v>
      </c>
      <c r="B190" s="6">
        <v>6</v>
      </c>
      <c r="C190">
        <f>+B190*C179</f>
        <v>0</v>
      </c>
      <c r="D190" s="143">
        <f t="shared" si="61"/>
        <v>0</v>
      </c>
      <c r="I190" s="1"/>
      <c r="Q190" s="225"/>
      <c r="R190" s="225"/>
      <c r="S190" s="225"/>
      <c r="T190" s="225"/>
      <c r="U190" s="225"/>
      <c r="V190" s="83"/>
      <c r="W190" s="225"/>
      <c r="X190" s="225"/>
      <c r="Y190" s="225"/>
      <c r="Z190" s="225"/>
      <c r="AA190" s="225"/>
      <c r="AB190" s="225"/>
      <c r="AC190" s="225"/>
    </row>
    <row r="191" spans="1:29" x14ac:dyDescent="0.2">
      <c r="A191" t="s">
        <v>676</v>
      </c>
      <c r="B191" s="6">
        <v>1</v>
      </c>
      <c r="C191">
        <f>+C178*C179</f>
        <v>0</v>
      </c>
      <c r="D191" s="143">
        <f t="shared" si="61"/>
        <v>0</v>
      </c>
      <c r="Q191" s="225"/>
      <c r="R191" s="225"/>
      <c r="S191" s="225"/>
      <c r="T191" s="225"/>
      <c r="U191" s="225"/>
      <c r="V191" s="83"/>
      <c r="W191" s="326"/>
      <c r="X191" s="225"/>
      <c r="Y191" s="225"/>
      <c r="Z191" s="225"/>
      <c r="AA191" s="225"/>
      <c r="AB191" s="225"/>
      <c r="AC191" s="225"/>
    </row>
    <row r="192" spans="1:29" x14ac:dyDescent="0.2">
      <c r="A192" t="s">
        <v>702</v>
      </c>
      <c r="B192" s="6">
        <v>1</v>
      </c>
      <c r="C192">
        <f>+B192*C179</f>
        <v>0</v>
      </c>
      <c r="D192" s="143">
        <f t="shared" si="61"/>
        <v>0</v>
      </c>
      <c r="I192" s="120"/>
      <c r="Q192" s="225"/>
      <c r="R192" s="225"/>
      <c r="S192" s="225"/>
      <c r="T192" s="225"/>
      <c r="U192" s="225"/>
      <c r="V192" s="83"/>
      <c r="W192" s="326"/>
      <c r="X192" s="225"/>
      <c r="Y192" s="225"/>
      <c r="Z192" s="225"/>
      <c r="AA192" s="225"/>
      <c r="AB192" s="225"/>
      <c r="AC192" s="225"/>
    </row>
    <row r="193" spans="1:29" ht="15.75" x14ac:dyDescent="0.25">
      <c r="A193">
        <v>0</v>
      </c>
      <c r="B193" s="6"/>
      <c r="I193" s="136"/>
      <c r="Q193" s="225"/>
      <c r="R193" s="225"/>
      <c r="S193" s="225"/>
      <c r="T193" s="225"/>
      <c r="U193" s="225"/>
      <c r="V193" s="83"/>
      <c r="W193" s="326"/>
      <c r="X193" s="225"/>
      <c r="Y193" s="225"/>
      <c r="Z193" s="225"/>
      <c r="AA193" s="225"/>
      <c r="AB193" s="225"/>
      <c r="AC193" s="225"/>
    </row>
    <row r="194" spans="1:29" x14ac:dyDescent="0.2">
      <c r="A194">
        <v>0</v>
      </c>
      <c r="B194" s="6"/>
      <c r="I194" s="409"/>
      <c r="Q194" s="225"/>
      <c r="R194" s="225"/>
      <c r="S194" s="225"/>
      <c r="T194" s="225"/>
      <c r="U194" s="225"/>
      <c r="V194" s="83"/>
      <c r="W194" s="326"/>
      <c r="X194" s="225"/>
      <c r="Y194" s="225"/>
      <c r="Z194" s="225"/>
      <c r="AA194" s="225"/>
      <c r="AB194" s="225"/>
      <c r="AC194" s="225"/>
    </row>
    <row r="195" spans="1:29" x14ac:dyDescent="0.2">
      <c r="A195">
        <v>0</v>
      </c>
      <c r="B195" s="6"/>
      <c r="I195" s="409"/>
      <c r="Q195" s="225"/>
      <c r="R195" s="225"/>
      <c r="S195" s="225"/>
      <c r="T195" s="225"/>
      <c r="U195" s="400"/>
      <c r="V195" s="83"/>
      <c r="W195" s="83"/>
      <c r="X195" s="225"/>
      <c r="Y195" s="225"/>
      <c r="Z195" s="225"/>
      <c r="AA195" s="225"/>
      <c r="AB195" s="225"/>
      <c r="AC195" s="225"/>
    </row>
    <row r="196" spans="1:29" ht="20.25" x14ac:dyDescent="0.3">
      <c r="A196" s="410" t="s">
        <v>456</v>
      </c>
      <c r="I196" s="409"/>
      <c r="Q196" s="225"/>
      <c r="R196" s="225"/>
      <c r="S196" s="225"/>
      <c r="T196" s="225"/>
      <c r="U196" s="225"/>
      <c r="V196" s="83"/>
      <c r="W196" s="229"/>
      <c r="X196" s="225"/>
      <c r="Y196" s="225"/>
      <c r="Z196" s="225"/>
      <c r="AA196" s="225"/>
      <c r="AB196" s="225"/>
      <c r="AC196" s="225"/>
    </row>
    <row r="197" spans="1:29" x14ac:dyDescent="0.2">
      <c r="A197">
        <v>0</v>
      </c>
      <c r="B197" s="6"/>
      <c r="E197" s="1"/>
      <c r="I197" s="409"/>
      <c r="Q197" s="225"/>
      <c r="R197" s="225"/>
      <c r="S197" s="225"/>
      <c r="T197" s="225"/>
      <c r="U197" s="225"/>
      <c r="V197" s="83"/>
      <c r="W197" s="326"/>
      <c r="X197" s="225"/>
      <c r="Y197" s="225"/>
      <c r="Z197" s="225"/>
      <c r="AA197" s="225"/>
      <c r="AB197" s="225"/>
      <c r="AC197" s="225"/>
    </row>
    <row r="198" spans="1:29" x14ac:dyDescent="0.2">
      <c r="A198" t="s">
        <v>444</v>
      </c>
      <c r="B198" s="6"/>
      <c r="I198" s="409"/>
      <c r="Q198" s="225"/>
      <c r="R198" s="225"/>
      <c r="S198" s="225"/>
      <c r="T198" s="225"/>
      <c r="U198" s="225"/>
      <c r="V198" s="83"/>
      <c r="W198" s="326"/>
      <c r="X198" s="225"/>
      <c r="Y198" s="225"/>
      <c r="Z198" s="225"/>
      <c r="AA198" s="225"/>
      <c r="AB198" s="225"/>
      <c r="AC198" s="225"/>
    </row>
    <row r="199" spans="1:29" x14ac:dyDescent="0.2">
      <c r="A199" t="s">
        <v>445</v>
      </c>
      <c r="B199" s="6"/>
      <c r="C199" s="6" t="s">
        <v>457</v>
      </c>
      <c r="D199" s="138" t="s">
        <v>458</v>
      </c>
      <c r="E199" s="6" t="s">
        <v>459</v>
      </c>
      <c r="I199" s="409"/>
      <c r="Q199" s="225"/>
      <c r="R199" s="225"/>
      <c r="S199" s="225"/>
      <c r="T199" s="225"/>
      <c r="U199" s="225"/>
      <c r="V199" s="83"/>
      <c r="W199" s="225"/>
      <c r="X199" s="225"/>
      <c r="Y199" s="225"/>
      <c r="Z199" s="225"/>
      <c r="AA199" s="225"/>
      <c r="AB199" s="225"/>
      <c r="AC199" s="225"/>
    </row>
    <row r="200" spans="1:29" ht="15.75" x14ac:dyDescent="0.25">
      <c r="A200" s="139" t="s">
        <v>105</v>
      </c>
      <c r="B200" s="408"/>
      <c r="C200" s="140">
        <f>+H9</f>
        <v>0</v>
      </c>
      <c r="D200" s="140">
        <f>+H10</f>
        <v>0</v>
      </c>
      <c r="E200" s="140">
        <f>+H11</f>
        <v>0</v>
      </c>
      <c r="F200" s="141" t="s">
        <v>446</v>
      </c>
      <c r="I200" s="409"/>
      <c r="Q200" s="225"/>
      <c r="R200" s="225"/>
      <c r="S200" s="225"/>
      <c r="T200" s="225"/>
      <c r="U200" s="225"/>
      <c r="V200" s="83"/>
      <c r="W200" s="225"/>
      <c r="X200" s="225"/>
      <c r="Y200" s="225"/>
      <c r="Z200" s="225"/>
      <c r="AA200" s="225"/>
      <c r="AB200" s="225"/>
      <c r="AC200" s="225"/>
    </row>
    <row r="201" spans="1:29" x14ac:dyDescent="0.2">
      <c r="A201" t="s">
        <v>703</v>
      </c>
      <c r="B201" s="6">
        <v>1</v>
      </c>
      <c r="C201" s="143">
        <f>C200*B201</f>
        <v>0</v>
      </c>
      <c r="E201" s="143">
        <f>B201*E200</f>
        <v>0</v>
      </c>
      <c r="F201" s="143">
        <f>SUM(C201:E201)</f>
        <v>0</v>
      </c>
      <c r="I201" s="411"/>
      <c r="Q201" s="225"/>
      <c r="R201" s="225"/>
      <c r="S201" s="225"/>
      <c r="T201" s="225"/>
      <c r="U201" s="225"/>
      <c r="V201" s="83"/>
      <c r="W201" s="225"/>
      <c r="X201" s="225"/>
      <c r="Y201" s="225"/>
      <c r="Z201" s="225"/>
      <c r="AA201" s="225"/>
      <c r="AB201" s="225"/>
      <c r="AC201" s="225"/>
    </row>
    <row r="202" spans="1:29" x14ac:dyDescent="0.2">
      <c r="A202">
        <v>0</v>
      </c>
      <c r="B202" s="6">
        <v>1</v>
      </c>
      <c r="C202">
        <f>6*C200</f>
        <v>0</v>
      </c>
      <c r="D202">
        <f>3*D200</f>
        <v>0</v>
      </c>
      <c r="E202">
        <f>4*E200</f>
        <v>0</v>
      </c>
      <c r="F202" s="143">
        <f t="shared" ref="F202:F215" si="62">SUM(C202:E202)</f>
        <v>0</v>
      </c>
      <c r="I202" s="409"/>
      <c r="Q202" s="225"/>
      <c r="R202" s="225"/>
      <c r="S202" s="225"/>
      <c r="T202" s="225"/>
      <c r="U202" s="400"/>
      <c r="V202" s="83"/>
      <c r="W202" s="225"/>
      <c r="X202" s="225"/>
      <c r="Y202" s="225"/>
      <c r="Z202" s="225"/>
      <c r="AA202" s="225"/>
      <c r="AB202" s="225"/>
      <c r="AC202" s="225"/>
    </row>
    <row r="203" spans="1:29" x14ac:dyDescent="0.2">
      <c r="A203" t="s">
        <v>704</v>
      </c>
      <c r="B203" s="6">
        <v>1</v>
      </c>
      <c r="C203">
        <v>0</v>
      </c>
      <c r="D203" s="143">
        <f>D200*1</f>
        <v>0</v>
      </c>
      <c r="E203" s="143">
        <f>1*E200</f>
        <v>0</v>
      </c>
      <c r="F203" s="143">
        <f t="shared" si="62"/>
        <v>0</v>
      </c>
      <c r="I203" s="409"/>
      <c r="Q203" s="225"/>
      <c r="R203" s="225"/>
      <c r="S203" s="225"/>
      <c r="T203" s="225"/>
      <c r="U203" s="225"/>
      <c r="V203" s="83"/>
      <c r="W203" s="326"/>
      <c r="X203" s="225"/>
      <c r="Y203" s="225"/>
      <c r="Z203" s="225"/>
      <c r="AA203" s="225"/>
      <c r="AB203" s="225"/>
      <c r="AC203" s="225"/>
    </row>
    <row r="204" spans="1:29" x14ac:dyDescent="0.2">
      <c r="A204" t="s">
        <v>641</v>
      </c>
      <c r="B204" s="6"/>
      <c r="F204" s="143"/>
      <c r="I204" s="409"/>
      <c r="Q204" s="225"/>
      <c r="R204" s="225"/>
      <c r="S204" s="225"/>
      <c r="T204" s="225"/>
      <c r="U204" s="225"/>
      <c r="V204" s="83"/>
      <c r="W204" s="225"/>
      <c r="X204" s="225"/>
      <c r="Y204" s="225"/>
      <c r="Z204" s="225"/>
      <c r="AA204" s="225"/>
      <c r="AB204" s="225"/>
      <c r="AC204" s="225"/>
    </row>
    <row r="205" spans="1:29" x14ac:dyDescent="0.2">
      <c r="A205" t="s">
        <v>635</v>
      </c>
      <c r="B205" s="6">
        <v>2.5</v>
      </c>
      <c r="C205">
        <f>C200*$B205</f>
        <v>0</v>
      </c>
      <c r="D205">
        <f>D200*$B205</f>
        <v>0</v>
      </c>
      <c r="E205">
        <f>E200*$B205</f>
        <v>0</v>
      </c>
      <c r="F205" s="143">
        <f t="shared" si="62"/>
        <v>0</v>
      </c>
      <c r="I205" s="409"/>
      <c r="Q205" s="225"/>
      <c r="R205" s="225"/>
      <c r="S205" s="225"/>
      <c r="T205" s="225"/>
      <c r="U205" s="225"/>
      <c r="V205" s="83"/>
      <c r="W205" s="225"/>
      <c r="X205" s="225"/>
      <c r="Y205" s="225"/>
      <c r="Z205" s="225"/>
      <c r="AA205" s="225"/>
      <c r="AB205" s="225"/>
      <c r="AC205" s="225"/>
    </row>
    <row r="206" spans="1:29" x14ac:dyDescent="0.2">
      <c r="A206" t="s">
        <v>705</v>
      </c>
      <c r="B206" s="6"/>
      <c r="C206">
        <f>C200*$B206</f>
        <v>0</v>
      </c>
      <c r="D206">
        <f>D200*$B206</f>
        <v>0</v>
      </c>
      <c r="E206">
        <f>E200*$B206</f>
        <v>0</v>
      </c>
      <c r="F206" s="143">
        <f t="shared" si="62"/>
        <v>0</v>
      </c>
      <c r="I206" s="409"/>
      <c r="Q206" s="225"/>
      <c r="R206" s="225"/>
      <c r="S206" s="225"/>
      <c r="T206" s="225"/>
      <c r="U206" s="400"/>
      <c r="V206" s="83"/>
      <c r="W206" s="225"/>
      <c r="X206" s="225"/>
      <c r="Y206" s="225"/>
      <c r="Z206" s="225"/>
      <c r="AA206" s="225"/>
      <c r="AB206" s="225"/>
      <c r="AC206" s="225"/>
    </row>
    <row r="207" spans="1:29" ht="15.75" x14ac:dyDescent="0.25">
      <c r="A207" t="s">
        <v>673</v>
      </c>
      <c r="B207" s="6">
        <v>24</v>
      </c>
      <c r="C207">
        <f>24*C200</f>
        <v>0</v>
      </c>
      <c r="D207">
        <f>24*D200</f>
        <v>0</v>
      </c>
      <c r="E207">
        <f>24*E200</f>
        <v>0</v>
      </c>
      <c r="F207" s="143">
        <f t="shared" si="62"/>
        <v>0</v>
      </c>
      <c r="I207" s="409"/>
      <c r="Q207" s="225"/>
      <c r="R207" s="225"/>
      <c r="S207" s="225"/>
      <c r="T207" s="225"/>
      <c r="U207" s="225"/>
      <c r="V207" s="83"/>
      <c r="W207" s="229"/>
      <c r="X207" s="225"/>
      <c r="Y207" s="225"/>
      <c r="Z207" s="225"/>
      <c r="AA207" s="225"/>
      <c r="AB207" s="225"/>
      <c r="AC207" s="225"/>
    </row>
    <row r="208" spans="1:29" x14ac:dyDescent="0.2">
      <c r="A208" t="s">
        <v>674</v>
      </c>
      <c r="B208" s="6">
        <v>0</v>
      </c>
      <c r="C208">
        <v>0</v>
      </c>
      <c r="D208">
        <v>0</v>
      </c>
      <c r="E208">
        <v>0</v>
      </c>
      <c r="F208" s="143"/>
      <c r="I208" s="409"/>
      <c r="Q208" s="225"/>
      <c r="R208" s="225"/>
      <c r="S208" s="225"/>
      <c r="T208" s="225"/>
      <c r="U208" s="225"/>
      <c r="V208" s="83"/>
      <c r="W208" s="326"/>
      <c r="X208" s="225"/>
      <c r="Y208" s="225"/>
      <c r="Z208" s="225"/>
      <c r="AA208" s="225"/>
      <c r="AB208" s="225"/>
      <c r="AC208" s="225"/>
    </row>
    <row r="209" spans="1:29" x14ac:dyDescent="0.2">
      <c r="A209" t="s">
        <v>670</v>
      </c>
      <c r="B209" s="6">
        <v>12</v>
      </c>
      <c r="C209">
        <f>C200*$B209</f>
        <v>0</v>
      </c>
      <c r="D209">
        <f>D200*$B209</f>
        <v>0</v>
      </c>
      <c r="E209">
        <f>E200*$B209</f>
        <v>0</v>
      </c>
      <c r="F209" s="143">
        <f t="shared" si="62"/>
        <v>0</v>
      </c>
      <c r="I209" s="409"/>
      <c r="Q209" s="225"/>
      <c r="R209" s="225"/>
      <c r="S209" s="225"/>
      <c r="T209" s="225"/>
      <c r="U209" s="225"/>
      <c r="V209" s="83"/>
      <c r="W209" s="326"/>
      <c r="X209" s="225"/>
      <c r="Y209" s="225"/>
      <c r="Z209" s="225"/>
      <c r="AA209" s="225"/>
      <c r="AB209" s="225"/>
      <c r="AC209" s="225"/>
    </row>
    <row r="210" spans="1:29" x14ac:dyDescent="0.2">
      <c r="A210">
        <v>0</v>
      </c>
      <c r="B210" s="6"/>
      <c r="F210" s="143">
        <f t="shared" si="62"/>
        <v>0</v>
      </c>
      <c r="I210" s="409"/>
      <c r="Q210" s="225"/>
      <c r="R210" s="225"/>
      <c r="S210" s="225"/>
      <c r="T210" s="225"/>
      <c r="U210" s="225"/>
      <c r="V210" s="83"/>
      <c r="W210" s="326"/>
      <c r="X210" s="225"/>
      <c r="Y210" s="225"/>
      <c r="Z210" s="225"/>
      <c r="AA210" s="225"/>
      <c r="AB210" s="225"/>
      <c r="AC210" s="225"/>
    </row>
    <row r="211" spans="1:29" x14ac:dyDescent="0.2">
      <c r="A211" t="s">
        <v>706</v>
      </c>
      <c r="B211" s="6">
        <v>1</v>
      </c>
      <c r="C211">
        <f>C200*$B211</f>
        <v>0</v>
      </c>
      <c r="D211">
        <f>D200*$B211</f>
        <v>0</v>
      </c>
      <c r="E211">
        <f>E200*$B211</f>
        <v>0</v>
      </c>
      <c r="F211" s="143">
        <f t="shared" si="62"/>
        <v>0</v>
      </c>
      <c r="I211" s="411"/>
      <c r="Q211" s="225"/>
      <c r="R211" s="225"/>
      <c r="S211" s="225"/>
      <c r="T211" s="225"/>
      <c r="U211" s="225"/>
      <c r="V211" s="83"/>
      <c r="W211" s="225"/>
      <c r="X211" s="225"/>
      <c r="Y211" s="225"/>
      <c r="Z211" s="225"/>
      <c r="AA211" s="225"/>
      <c r="AB211" s="225"/>
      <c r="AC211" s="225"/>
    </row>
    <row r="212" spans="1:29" x14ac:dyDescent="0.2">
      <c r="A212">
        <v>0</v>
      </c>
      <c r="B212" s="6"/>
      <c r="F212" s="143">
        <f t="shared" si="62"/>
        <v>0</v>
      </c>
      <c r="I212" s="409"/>
      <c r="Q212" s="225"/>
      <c r="R212" s="225"/>
      <c r="S212" s="225"/>
      <c r="T212" s="225"/>
      <c r="U212" s="225"/>
      <c r="V212" s="83"/>
      <c r="W212" s="225"/>
      <c r="X212" s="225"/>
      <c r="Y212" s="225"/>
      <c r="Z212" s="225"/>
      <c r="AA212" s="225"/>
      <c r="AB212" s="225"/>
      <c r="AC212" s="225"/>
    </row>
    <row r="213" spans="1:29" x14ac:dyDescent="0.2">
      <c r="A213">
        <v>0</v>
      </c>
      <c r="B213" s="6"/>
      <c r="F213" s="143">
        <f t="shared" si="62"/>
        <v>0</v>
      </c>
      <c r="I213" s="409"/>
      <c r="Q213" s="225"/>
      <c r="R213" s="225"/>
      <c r="S213" s="225"/>
      <c r="T213" s="225"/>
      <c r="U213" s="225"/>
      <c r="V213" s="83"/>
      <c r="W213" s="225"/>
      <c r="X213" s="225"/>
      <c r="Y213" s="225"/>
      <c r="Z213" s="225"/>
      <c r="AA213" s="225"/>
      <c r="AB213" s="225"/>
      <c r="AC213" s="225"/>
    </row>
    <row r="214" spans="1:29" x14ac:dyDescent="0.2">
      <c r="A214" t="s">
        <v>653</v>
      </c>
      <c r="B214" s="6">
        <v>1</v>
      </c>
      <c r="C214">
        <v>0</v>
      </c>
      <c r="D214">
        <f>+B214*D200</f>
        <v>0</v>
      </c>
      <c r="E214">
        <f>+B214*E200</f>
        <v>0</v>
      </c>
      <c r="F214" s="143">
        <f t="shared" si="62"/>
        <v>0</v>
      </c>
      <c r="I214" s="409"/>
      <c r="Q214" s="225"/>
      <c r="R214" s="225"/>
      <c r="S214" s="225"/>
      <c r="T214" s="225"/>
      <c r="U214" s="225"/>
      <c r="V214" s="83"/>
      <c r="W214" s="225"/>
      <c r="X214" s="225"/>
      <c r="Y214" s="225"/>
      <c r="Z214" s="225"/>
      <c r="AA214" s="225"/>
      <c r="AB214" s="225"/>
      <c r="AC214" s="225"/>
    </row>
    <row r="215" spans="1:29" x14ac:dyDescent="0.2">
      <c r="A215" t="s">
        <v>110</v>
      </c>
      <c r="B215" s="6">
        <v>4</v>
      </c>
      <c r="C215">
        <v>0</v>
      </c>
      <c r="D215">
        <f>6.88*D200</f>
        <v>0</v>
      </c>
      <c r="E215">
        <f>4.4*E200</f>
        <v>0</v>
      </c>
      <c r="F215" s="143">
        <f t="shared" si="62"/>
        <v>0</v>
      </c>
      <c r="I215" s="409"/>
      <c r="Q215" s="225"/>
      <c r="R215" s="225"/>
      <c r="S215" s="225"/>
      <c r="T215" s="225"/>
      <c r="U215" s="225"/>
      <c r="V215" s="83"/>
      <c r="W215" s="225"/>
      <c r="X215" s="225"/>
      <c r="Y215" s="225"/>
      <c r="Z215" s="225"/>
      <c r="AA215" s="225"/>
      <c r="AB215" s="225"/>
      <c r="AC215" s="225"/>
    </row>
    <row r="216" spans="1:29" x14ac:dyDescent="0.2">
      <c r="A216">
        <v>0</v>
      </c>
      <c r="B216" s="6"/>
      <c r="F216" s="143"/>
      <c r="I216" s="409"/>
      <c r="Q216" s="225"/>
      <c r="R216" s="225"/>
      <c r="S216" s="225"/>
      <c r="T216" s="225"/>
      <c r="U216" s="225"/>
      <c r="V216" s="83"/>
      <c r="W216" s="225"/>
      <c r="X216" s="225"/>
      <c r="Y216" s="225"/>
      <c r="Z216" s="225"/>
      <c r="AA216" s="225"/>
      <c r="AB216" s="225"/>
      <c r="AC216" s="225"/>
    </row>
    <row r="217" spans="1:29" x14ac:dyDescent="0.2">
      <c r="A217">
        <v>0</v>
      </c>
      <c r="B217" s="6"/>
      <c r="I217" s="409"/>
    </row>
    <row r="218" spans="1:29" ht="15.75" x14ac:dyDescent="0.25">
      <c r="A218" s="139" t="s">
        <v>461</v>
      </c>
      <c r="B218" s="6"/>
      <c r="I218" s="409"/>
      <c r="U218">
        <v>0</v>
      </c>
    </row>
    <row r="219" spans="1:29" ht="15.75" x14ac:dyDescent="0.25">
      <c r="A219" s="139" t="s">
        <v>454</v>
      </c>
      <c r="B219" s="408"/>
      <c r="C219" s="140"/>
      <c r="D219" s="140">
        <f>+H16</f>
        <v>0</v>
      </c>
      <c r="E219" s="140"/>
      <c r="F219" s="141" t="s">
        <v>446</v>
      </c>
      <c r="I219" s="409"/>
      <c r="U219">
        <v>0</v>
      </c>
    </row>
    <row r="220" spans="1:29" x14ac:dyDescent="0.2">
      <c r="A220" t="s">
        <v>707</v>
      </c>
      <c r="B220" s="6">
        <v>1</v>
      </c>
      <c r="C220">
        <f>C219*$B220</f>
        <v>0</v>
      </c>
      <c r="D220">
        <f>D219*$B220</f>
        <v>0</v>
      </c>
      <c r="E220">
        <f>E219*$B220</f>
        <v>0</v>
      </c>
      <c r="F220" s="143">
        <f>SUM(C220:E220)</f>
        <v>0</v>
      </c>
      <c r="I220" s="409"/>
      <c r="U220">
        <v>0</v>
      </c>
    </row>
    <row r="221" spans="1:29" x14ac:dyDescent="0.2">
      <c r="A221" t="s">
        <v>627</v>
      </c>
      <c r="B221" s="6">
        <v>8</v>
      </c>
      <c r="C221">
        <f>C219*$B221</f>
        <v>0</v>
      </c>
      <c r="D221">
        <f>D219*$B221</f>
        <v>0</v>
      </c>
      <c r="E221">
        <f>E219*$B221</f>
        <v>0</v>
      </c>
      <c r="F221" s="143">
        <f>SUM(C221:E221)</f>
        <v>0</v>
      </c>
      <c r="I221" s="409"/>
      <c r="U221">
        <v>0</v>
      </c>
    </row>
    <row r="222" spans="1:29" x14ac:dyDescent="0.2">
      <c r="A222" t="s">
        <v>708</v>
      </c>
      <c r="B222" s="6">
        <v>1</v>
      </c>
      <c r="C222">
        <f>C219*$B222</f>
        <v>0</v>
      </c>
      <c r="D222">
        <f>D219*$B222</f>
        <v>0</v>
      </c>
      <c r="E222">
        <f>E219*$B222</f>
        <v>0</v>
      </c>
      <c r="F222" s="143">
        <f>SUM(C222:E222)</f>
        <v>0</v>
      </c>
      <c r="I222" s="409"/>
      <c r="U222">
        <v>0</v>
      </c>
    </row>
    <row r="223" spans="1:29" x14ac:dyDescent="0.2">
      <c r="A223" t="s">
        <v>628</v>
      </c>
      <c r="B223" s="6">
        <v>1</v>
      </c>
      <c r="C223">
        <f>C219*$B223</f>
        <v>0</v>
      </c>
      <c r="D223">
        <v>0</v>
      </c>
      <c r="F223" s="143">
        <f>SUM(C223:E223)</f>
        <v>0</v>
      </c>
      <c r="I223" s="409"/>
      <c r="U223">
        <v>0</v>
      </c>
    </row>
    <row r="224" spans="1:29" x14ac:dyDescent="0.2">
      <c r="A224" t="s">
        <v>653</v>
      </c>
      <c r="B224" s="6">
        <v>1</v>
      </c>
      <c r="C224">
        <v>0</v>
      </c>
      <c r="D224">
        <f>1*D219</f>
        <v>0</v>
      </c>
      <c r="E224">
        <f>1*E219</f>
        <v>0</v>
      </c>
      <c r="F224" s="143">
        <f>SUM(C224:E224)</f>
        <v>0</v>
      </c>
      <c r="I224" s="409"/>
      <c r="U224">
        <v>0</v>
      </c>
    </row>
    <row r="225" spans="1:21" x14ac:dyDescent="0.2">
      <c r="A225">
        <v>0</v>
      </c>
      <c r="B225" s="6"/>
      <c r="F225" s="143"/>
      <c r="I225" s="409"/>
      <c r="U225">
        <v>0</v>
      </c>
    </row>
    <row r="226" spans="1:21" x14ac:dyDescent="0.2">
      <c r="A226">
        <v>0</v>
      </c>
      <c r="B226" s="6"/>
      <c r="I226" s="409"/>
      <c r="U226">
        <v>0</v>
      </c>
    </row>
    <row r="227" spans="1:21" x14ac:dyDescent="0.2">
      <c r="A227">
        <v>0</v>
      </c>
      <c r="B227" s="6"/>
      <c r="I227" s="409"/>
      <c r="U227">
        <v>0</v>
      </c>
    </row>
    <row r="228" spans="1:21" x14ac:dyDescent="0.2">
      <c r="A228">
        <v>0</v>
      </c>
      <c r="I228" s="409"/>
      <c r="U228">
        <v>0</v>
      </c>
    </row>
    <row r="229" spans="1:21" x14ac:dyDescent="0.2">
      <c r="A229">
        <v>0</v>
      </c>
      <c r="I229" s="409"/>
      <c r="U229">
        <v>0</v>
      </c>
    </row>
    <row r="230" spans="1:21" x14ac:dyDescent="0.2">
      <c r="A230">
        <v>0</v>
      </c>
      <c r="I230" s="409"/>
      <c r="U230">
        <v>0</v>
      </c>
    </row>
    <row r="231" spans="1:21" ht="15.75" x14ac:dyDescent="0.25">
      <c r="A231" s="139" t="s">
        <v>686</v>
      </c>
      <c r="B231" s="408"/>
      <c r="C231" s="140"/>
      <c r="D231" s="140">
        <f>+H17</f>
        <v>0</v>
      </c>
      <c r="E231" s="140"/>
      <c r="F231" s="141" t="s">
        <v>446</v>
      </c>
      <c r="I231" s="409"/>
      <c r="U231">
        <v>0</v>
      </c>
    </row>
    <row r="232" spans="1:21" x14ac:dyDescent="0.2">
      <c r="A232" t="s">
        <v>709</v>
      </c>
      <c r="B232" s="6">
        <v>1</v>
      </c>
      <c r="C232">
        <f>C231*$B232</f>
        <v>0</v>
      </c>
      <c r="D232">
        <f>D231*$B232</f>
        <v>0</v>
      </c>
      <c r="E232">
        <f>E231*$B232</f>
        <v>0</v>
      </c>
      <c r="F232" s="143">
        <f>SUM(C232:E232)</f>
        <v>0</v>
      </c>
      <c r="I232" s="409"/>
      <c r="U232">
        <v>0</v>
      </c>
    </row>
    <row r="233" spans="1:21" x14ac:dyDescent="0.2">
      <c r="A233" t="s">
        <v>110</v>
      </c>
      <c r="B233" s="6">
        <v>2</v>
      </c>
      <c r="C233">
        <f>C231*$B233</f>
        <v>0</v>
      </c>
      <c r="D233">
        <f>D231*$B233</f>
        <v>0</v>
      </c>
      <c r="E233">
        <f>E231*$B233</f>
        <v>0</v>
      </c>
      <c r="F233" s="143">
        <f>SUM(C233:E233)</f>
        <v>0</v>
      </c>
      <c r="I233" s="409"/>
      <c r="U233">
        <v>0</v>
      </c>
    </row>
    <row r="234" spans="1:21" x14ac:dyDescent="0.2">
      <c r="A234" t="s">
        <v>653</v>
      </c>
      <c r="B234" s="6">
        <v>1</v>
      </c>
      <c r="C234">
        <f>(B234+1)*C231</f>
        <v>0</v>
      </c>
      <c r="D234">
        <f>D231*$B234</f>
        <v>0</v>
      </c>
      <c r="E234">
        <f>E231*$B234</f>
        <v>0</v>
      </c>
      <c r="F234" s="143">
        <f>SUM(C234:E234)</f>
        <v>0</v>
      </c>
      <c r="I234" s="409"/>
      <c r="U234">
        <v>0</v>
      </c>
    </row>
    <row r="235" spans="1:21" x14ac:dyDescent="0.2">
      <c r="A235" t="s">
        <v>710</v>
      </c>
      <c r="B235" s="6">
        <v>1</v>
      </c>
      <c r="D235">
        <f>D231*$B235</f>
        <v>0</v>
      </c>
      <c r="E235">
        <f>E231*$B235</f>
        <v>0</v>
      </c>
      <c r="F235" s="143">
        <f>SUM(C235:E235)</f>
        <v>0</v>
      </c>
      <c r="I235" s="409"/>
      <c r="U235">
        <v>0</v>
      </c>
    </row>
    <row r="236" spans="1:21" x14ac:dyDescent="0.2">
      <c r="A236">
        <v>0</v>
      </c>
      <c r="B236" s="6"/>
      <c r="I236" s="409"/>
      <c r="U236">
        <v>0</v>
      </c>
    </row>
    <row r="237" spans="1:21" x14ac:dyDescent="0.2">
      <c r="A237">
        <v>0</v>
      </c>
      <c r="B237" s="6"/>
      <c r="I237" s="409"/>
      <c r="U237">
        <v>0</v>
      </c>
    </row>
    <row r="238" spans="1:21" ht="15.75" x14ac:dyDescent="0.25">
      <c r="A238" s="139" t="s">
        <v>455</v>
      </c>
      <c r="B238" s="6"/>
      <c r="I238" s="409"/>
      <c r="U238">
        <v>0</v>
      </c>
    </row>
    <row r="239" spans="1:21" ht="15.75" x14ac:dyDescent="0.25">
      <c r="A239" s="139" t="s">
        <v>454</v>
      </c>
      <c r="B239" s="408"/>
      <c r="C239" s="140"/>
      <c r="D239" s="140">
        <f>+H18</f>
        <v>0</v>
      </c>
      <c r="E239" s="140"/>
      <c r="F239" s="141" t="s">
        <v>446</v>
      </c>
      <c r="I239" s="409"/>
      <c r="U239">
        <v>0</v>
      </c>
    </row>
    <row r="240" spans="1:21" x14ac:dyDescent="0.2">
      <c r="A240" t="s">
        <v>711</v>
      </c>
      <c r="B240" s="6">
        <v>1</v>
      </c>
      <c r="C240">
        <f>C239*$B240</f>
        <v>0</v>
      </c>
      <c r="D240">
        <f>D239*$B240</f>
        <v>0</v>
      </c>
      <c r="E240">
        <f>E239*$B240</f>
        <v>0</v>
      </c>
      <c r="F240" s="143">
        <f>SUM(C240:E240)</f>
        <v>0</v>
      </c>
      <c r="I240" s="409"/>
      <c r="U240">
        <v>0</v>
      </c>
    </row>
    <row r="241" spans="1:21" x14ac:dyDescent="0.2">
      <c r="A241" t="s">
        <v>627</v>
      </c>
      <c r="B241" s="6">
        <v>8</v>
      </c>
      <c r="C241">
        <f>C239*$B241</f>
        <v>0</v>
      </c>
      <c r="D241">
        <f>D239*$B241</f>
        <v>0</v>
      </c>
      <c r="E241">
        <f>E239*$B241</f>
        <v>0</v>
      </c>
      <c r="F241" s="143">
        <f>SUM(C241:E241)</f>
        <v>0</v>
      </c>
      <c r="I241" s="409"/>
      <c r="U241">
        <v>0</v>
      </c>
    </row>
    <row r="242" spans="1:21" x14ac:dyDescent="0.2">
      <c r="A242" t="s">
        <v>708</v>
      </c>
      <c r="B242" s="6">
        <v>1</v>
      </c>
      <c r="C242">
        <f>C239*$B242</f>
        <v>0</v>
      </c>
      <c r="D242">
        <f>D239*$B242</f>
        <v>0</v>
      </c>
      <c r="E242">
        <f>E239*$B242</f>
        <v>0</v>
      </c>
      <c r="F242" s="143">
        <f>SUM(C242:E242)</f>
        <v>0</v>
      </c>
      <c r="I242" s="409"/>
      <c r="U242">
        <v>0</v>
      </c>
    </row>
    <row r="243" spans="1:21" x14ac:dyDescent="0.2">
      <c r="A243" t="s">
        <v>628</v>
      </c>
      <c r="B243" s="6">
        <v>1</v>
      </c>
      <c r="C243">
        <f>C239*$B243</f>
        <v>0</v>
      </c>
      <c r="E243">
        <v>0</v>
      </c>
      <c r="F243" s="143">
        <f>SUM(C243:E243)</f>
        <v>0</v>
      </c>
      <c r="I243" s="409"/>
      <c r="U243">
        <v>0</v>
      </c>
    </row>
    <row r="244" spans="1:21" x14ac:dyDescent="0.2">
      <c r="A244" t="s">
        <v>653</v>
      </c>
      <c r="B244" s="6">
        <v>1</v>
      </c>
      <c r="C244">
        <v>0</v>
      </c>
      <c r="D244">
        <f>1*D239</f>
        <v>0</v>
      </c>
      <c r="E244">
        <f>1*E239</f>
        <v>0</v>
      </c>
      <c r="F244" s="143">
        <f>SUM(C244:E244)</f>
        <v>0</v>
      </c>
      <c r="I244" s="409"/>
      <c r="U244">
        <v>0</v>
      </c>
    </row>
    <row r="245" spans="1:21" x14ac:dyDescent="0.2">
      <c r="A245">
        <v>0</v>
      </c>
      <c r="B245" s="6"/>
      <c r="I245" s="409"/>
      <c r="U245">
        <v>0</v>
      </c>
    </row>
    <row r="246" spans="1:21" ht="15.75" x14ac:dyDescent="0.25">
      <c r="A246" s="139" t="s">
        <v>686</v>
      </c>
      <c r="B246" s="408"/>
      <c r="C246" s="140"/>
      <c r="D246" s="140">
        <f>+H19</f>
        <v>0</v>
      </c>
      <c r="E246" s="140"/>
      <c r="F246" s="141" t="s">
        <v>446</v>
      </c>
      <c r="I246" s="409"/>
      <c r="U246">
        <v>0</v>
      </c>
    </row>
    <row r="247" spans="1:21" x14ac:dyDescent="0.2">
      <c r="A247" t="s">
        <v>712</v>
      </c>
      <c r="B247" s="6">
        <v>1</v>
      </c>
      <c r="C247">
        <f>C246*$B247</f>
        <v>0</v>
      </c>
      <c r="D247">
        <f>D246*$B247</f>
        <v>0</v>
      </c>
      <c r="E247">
        <f>E246*$B247</f>
        <v>0</v>
      </c>
      <c r="F247" s="143">
        <f>SUM(C247:E247)</f>
        <v>0</v>
      </c>
      <c r="I247" s="409"/>
      <c r="U247">
        <v>0</v>
      </c>
    </row>
    <row r="248" spans="1:21" x14ac:dyDescent="0.2">
      <c r="A248" t="s">
        <v>110</v>
      </c>
      <c r="B248" s="6">
        <v>4</v>
      </c>
      <c r="C248">
        <f>C246*$B248</f>
        <v>0</v>
      </c>
      <c r="D248">
        <f>D246*$B248</f>
        <v>0</v>
      </c>
      <c r="E248">
        <f>E246*$B248</f>
        <v>0</v>
      </c>
      <c r="F248" s="143">
        <f>SUM(C248:E248)</f>
        <v>0</v>
      </c>
      <c r="I248" s="120"/>
      <c r="U248">
        <v>0</v>
      </c>
    </row>
    <row r="249" spans="1:21" x14ac:dyDescent="0.2">
      <c r="A249" t="s">
        <v>653</v>
      </c>
      <c r="B249" s="6">
        <v>2</v>
      </c>
      <c r="C249">
        <f>C246*B249</f>
        <v>0</v>
      </c>
      <c r="D249">
        <f>1*D246</f>
        <v>0</v>
      </c>
      <c r="E249">
        <f>1*E246</f>
        <v>0</v>
      </c>
      <c r="F249" s="143">
        <f>SUM(C249:E249)</f>
        <v>0</v>
      </c>
      <c r="I249" s="120"/>
      <c r="U249">
        <v>0</v>
      </c>
    </row>
    <row r="250" spans="1:21" x14ac:dyDescent="0.2">
      <c r="A250" t="s">
        <v>710</v>
      </c>
      <c r="B250" s="6"/>
      <c r="C250">
        <v>0</v>
      </c>
      <c r="D250">
        <f>1*D246</f>
        <v>0</v>
      </c>
      <c r="E250">
        <f>1*E246</f>
        <v>0</v>
      </c>
      <c r="F250" s="143">
        <f>SUM(C250:E250)</f>
        <v>0</v>
      </c>
      <c r="I250" s="120"/>
      <c r="U250">
        <v>0</v>
      </c>
    </row>
    <row r="251" spans="1:21" x14ac:dyDescent="0.2">
      <c r="A251">
        <v>0</v>
      </c>
      <c r="B251" s="6"/>
      <c r="I251" s="120"/>
      <c r="U251">
        <v>0</v>
      </c>
    </row>
    <row r="252" spans="1:21" x14ac:dyDescent="0.2">
      <c r="A252">
        <v>0</v>
      </c>
      <c r="B252" s="6"/>
      <c r="I252" s="120"/>
      <c r="U252">
        <v>0</v>
      </c>
    </row>
    <row r="253" spans="1:21" ht="20.25" x14ac:dyDescent="0.3">
      <c r="A253">
        <v>0</v>
      </c>
      <c r="B253" s="6"/>
      <c r="C253" s="412">
        <v>2</v>
      </c>
      <c r="D253" s="412">
        <v>2.25</v>
      </c>
      <c r="E253" s="412">
        <v>2.5</v>
      </c>
      <c r="F253" s="412">
        <v>3</v>
      </c>
      <c r="I253" s="120"/>
      <c r="U253">
        <v>0</v>
      </c>
    </row>
    <row r="254" spans="1:21" ht="15.75" x14ac:dyDescent="0.25">
      <c r="A254" s="3"/>
      <c r="B254" s="11"/>
      <c r="C254" s="1147"/>
      <c r="D254" s="1147"/>
      <c r="E254" s="1147"/>
      <c r="F254" s="1147"/>
      <c r="G254" s="1148"/>
      <c r="I254" s="120"/>
      <c r="U254">
        <v>0</v>
      </c>
    </row>
    <row r="255" spans="1:21" x14ac:dyDescent="0.2">
      <c r="A255" s="3"/>
      <c r="B255" s="11"/>
      <c r="C255" s="3"/>
      <c r="D255" s="3"/>
      <c r="E255" s="3"/>
      <c r="F255" s="3"/>
      <c r="G255" s="143"/>
      <c r="I255" s="120"/>
      <c r="U255">
        <v>0</v>
      </c>
    </row>
    <row r="256" spans="1:21" x14ac:dyDescent="0.2">
      <c r="A256" s="3"/>
      <c r="B256" s="11"/>
      <c r="C256" s="3"/>
      <c r="D256" s="3"/>
      <c r="E256" s="3"/>
      <c r="F256" s="3"/>
      <c r="G256" s="143"/>
      <c r="I256" s="120"/>
      <c r="U256">
        <v>0</v>
      </c>
    </row>
    <row r="257" spans="1:21" x14ac:dyDescent="0.2">
      <c r="A257">
        <v>0</v>
      </c>
      <c r="B257" s="6"/>
      <c r="I257" s="120"/>
      <c r="U257">
        <v>0</v>
      </c>
    </row>
    <row r="258" spans="1:21" ht="15.75" x14ac:dyDescent="0.25">
      <c r="A258">
        <v>0</v>
      </c>
      <c r="B258" s="6"/>
      <c r="C258" s="140">
        <f>+C26</f>
        <v>0</v>
      </c>
      <c r="D258" s="140">
        <f>+D26</f>
        <v>0</v>
      </c>
      <c r="E258" s="140">
        <f>+E26</f>
        <v>0</v>
      </c>
      <c r="F258" s="140">
        <f>+F26</f>
        <v>0</v>
      </c>
      <c r="G258" s="141" t="s">
        <v>446</v>
      </c>
      <c r="I258" s="120"/>
      <c r="U258">
        <v>0</v>
      </c>
    </row>
    <row r="259" spans="1:21" x14ac:dyDescent="0.2">
      <c r="A259" t="s">
        <v>713</v>
      </c>
      <c r="B259" s="6">
        <v>4</v>
      </c>
      <c r="C259">
        <f>$B259*C258</f>
        <v>0</v>
      </c>
      <c r="D259">
        <f>$B259*D258</f>
        <v>0</v>
      </c>
      <c r="E259">
        <f>$B259*E258</f>
        <v>0</v>
      </c>
      <c r="F259">
        <f>$B259*F258</f>
        <v>0</v>
      </c>
      <c r="G259" s="143">
        <f>SUM(C259:F259)</f>
        <v>0</v>
      </c>
      <c r="I259" s="120"/>
      <c r="U259">
        <v>0</v>
      </c>
    </row>
    <row r="260" spans="1:21" x14ac:dyDescent="0.2">
      <c r="A260" t="s">
        <v>647</v>
      </c>
      <c r="B260" s="6">
        <v>1</v>
      </c>
      <c r="C260">
        <f>+C258*C253</f>
        <v>0</v>
      </c>
      <c r="D260">
        <f>+D258*D253</f>
        <v>0</v>
      </c>
      <c r="E260">
        <f>+E258*E253</f>
        <v>0</v>
      </c>
      <c r="F260">
        <f>+F258*F253</f>
        <v>0</v>
      </c>
      <c r="G260" s="143">
        <f>SUM(C260:F260)</f>
        <v>0</v>
      </c>
      <c r="I260" s="120"/>
      <c r="U260">
        <v>0</v>
      </c>
    </row>
    <row r="261" spans="1:21" x14ac:dyDescent="0.2">
      <c r="A261">
        <v>0</v>
      </c>
      <c r="B261" s="6"/>
      <c r="I261" s="120"/>
      <c r="U261">
        <v>0</v>
      </c>
    </row>
    <row r="262" spans="1:21" ht="15.75" x14ac:dyDescent="0.25">
      <c r="A262">
        <v>0</v>
      </c>
      <c r="B262" s="6"/>
      <c r="C262" s="140">
        <f>+C25</f>
        <v>0</v>
      </c>
      <c r="D262" s="140">
        <f>+D25</f>
        <v>0</v>
      </c>
      <c r="E262" s="140">
        <f>+E25</f>
        <v>0</v>
      </c>
      <c r="F262" s="140">
        <f>+F25</f>
        <v>0</v>
      </c>
      <c r="G262" s="141" t="s">
        <v>446</v>
      </c>
      <c r="I262" s="120"/>
      <c r="U262">
        <v>0</v>
      </c>
    </row>
    <row r="263" spans="1:21" x14ac:dyDescent="0.2">
      <c r="A263" t="s">
        <v>713</v>
      </c>
      <c r="B263" s="6">
        <v>4</v>
      </c>
      <c r="C263">
        <f>C262*$B263</f>
        <v>0</v>
      </c>
      <c r="D263">
        <f>D262*$B263</f>
        <v>0</v>
      </c>
      <c r="E263">
        <f>E262*$B263</f>
        <v>0</v>
      </c>
      <c r="F263">
        <f>F262*$B263</f>
        <v>0</v>
      </c>
      <c r="G263" s="143">
        <f>SUM(C263:F263)</f>
        <v>0</v>
      </c>
      <c r="I263" s="120"/>
      <c r="U263">
        <v>0</v>
      </c>
    </row>
    <row r="264" spans="1:21" x14ac:dyDescent="0.2">
      <c r="A264" t="s">
        <v>649</v>
      </c>
      <c r="B264" s="6">
        <v>1</v>
      </c>
      <c r="C264">
        <f>+C262*C253</f>
        <v>0</v>
      </c>
      <c r="D264">
        <f>+D262*D253</f>
        <v>0</v>
      </c>
      <c r="E264">
        <f>+E262*E253</f>
        <v>0</v>
      </c>
      <c r="F264">
        <f>+F262*F253</f>
        <v>0</v>
      </c>
      <c r="G264" s="143">
        <f>SUM(C264:F264)</f>
        <v>0</v>
      </c>
      <c r="U264">
        <v>0</v>
      </c>
    </row>
    <row r="265" spans="1:21" x14ac:dyDescent="0.2">
      <c r="A265">
        <v>0</v>
      </c>
      <c r="B265" s="6"/>
      <c r="U265">
        <v>0</v>
      </c>
    </row>
    <row r="266" spans="1:21" ht="15.75" x14ac:dyDescent="0.25">
      <c r="A266">
        <v>0</v>
      </c>
      <c r="B266" s="6"/>
      <c r="C266" s="140">
        <f>+C27</f>
        <v>0</v>
      </c>
      <c r="D266" s="140">
        <f>+D27</f>
        <v>0</v>
      </c>
      <c r="E266" s="140">
        <f>+E27</f>
        <v>0</v>
      </c>
      <c r="F266" s="140">
        <f>+F27</f>
        <v>0</v>
      </c>
      <c r="G266" s="141" t="s">
        <v>446</v>
      </c>
      <c r="U266">
        <v>0</v>
      </c>
    </row>
    <row r="267" spans="1:21" x14ac:dyDescent="0.2">
      <c r="A267" t="s">
        <v>676</v>
      </c>
      <c r="B267" s="6"/>
      <c r="C267">
        <f>C266*C253</f>
        <v>0</v>
      </c>
      <c r="D267">
        <f>D266*D253</f>
        <v>0</v>
      </c>
      <c r="E267">
        <f>E266*E253</f>
        <v>0</v>
      </c>
      <c r="F267">
        <f>F266*F253</f>
        <v>0</v>
      </c>
      <c r="G267" s="143">
        <f>SUM(C267:F267)</f>
        <v>0</v>
      </c>
      <c r="U267">
        <v>0</v>
      </c>
    </row>
    <row r="268" spans="1:21" x14ac:dyDescent="0.2">
      <c r="A268" t="s">
        <v>676</v>
      </c>
      <c r="B268" s="6"/>
      <c r="C268">
        <f>+C266*C253</f>
        <v>0</v>
      </c>
      <c r="D268">
        <f>+D266*D253</f>
        <v>0</v>
      </c>
      <c r="E268">
        <f>+E266*E253</f>
        <v>0</v>
      </c>
      <c r="F268">
        <f>+F266*F253</f>
        <v>0</v>
      </c>
      <c r="G268" s="143">
        <f>SUM(C268:F268)</f>
        <v>0</v>
      </c>
      <c r="U268">
        <v>0</v>
      </c>
    </row>
    <row r="269" spans="1:21" x14ac:dyDescent="0.2">
      <c r="A269" t="s">
        <v>713</v>
      </c>
      <c r="B269" s="6">
        <v>4</v>
      </c>
      <c r="C269">
        <f>C266*$B269</f>
        <v>0</v>
      </c>
      <c r="D269">
        <f>D266*$B269</f>
        <v>0</v>
      </c>
      <c r="E269">
        <f>E266*$B269</f>
        <v>0</v>
      </c>
      <c r="F269">
        <f>F266*$B269</f>
        <v>0</v>
      </c>
      <c r="G269" s="143">
        <f>SUM(C269:F269)</f>
        <v>0</v>
      </c>
      <c r="U269">
        <v>0</v>
      </c>
    </row>
    <row r="270" spans="1:21" x14ac:dyDescent="0.2">
      <c r="A270">
        <v>0</v>
      </c>
      <c r="B270" s="6"/>
      <c r="U270">
        <v>0</v>
      </c>
    </row>
    <row r="271" spans="1:21" ht="15.75" x14ac:dyDescent="0.25">
      <c r="A271">
        <v>0</v>
      </c>
      <c r="B271" s="6"/>
      <c r="C271" s="140">
        <f>+C28</f>
        <v>0</v>
      </c>
      <c r="D271" s="140">
        <f>+D28</f>
        <v>0</v>
      </c>
      <c r="E271" s="140">
        <f>+E28</f>
        <v>0</v>
      </c>
      <c r="F271" s="140">
        <f>+F28</f>
        <v>0</v>
      </c>
      <c r="G271" s="141" t="s">
        <v>446</v>
      </c>
      <c r="U271">
        <v>0</v>
      </c>
    </row>
    <row r="272" spans="1:21" x14ac:dyDescent="0.2">
      <c r="A272">
        <v>0</v>
      </c>
      <c r="B272" s="6"/>
      <c r="G272" s="405"/>
      <c r="U272">
        <v>0</v>
      </c>
    </row>
    <row r="273" spans="1:24" x14ac:dyDescent="0.2">
      <c r="A273" t="s">
        <v>672</v>
      </c>
      <c r="B273" s="6"/>
      <c r="C273">
        <f>+C271*C253</f>
        <v>0</v>
      </c>
      <c r="D273">
        <f>+D271*D253</f>
        <v>0</v>
      </c>
      <c r="E273">
        <f>+E271*E253</f>
        <v>0</v>
      </c>
      <c r="F273">
        <f>+F271*F253</f>
        <v>0</v>
      </c>
      <c r="G273" s="143">
        <f>SUM(C273:F273)</f>
        <v>0</v>
      </c>
      <c r="U273">
        <v>0</v>
      </c>
    </row>
    <row r="274" spans="1:24" ht="15.75" x14ac:dyDescent="0.25">
      <c r="A274">
        <v>0</v>
      </c>
      <c r="B274" s="6"/>
      <c r="C274" s="140">
        <f>+C29</f>
        <v>0</v>
      </c>
      <c r="D274" s="140">
        <f>+D29</f>
        <v>0</v>
      </c>
      <c r="E274" s="140">
        <f>+E29</f>
        <v>0</v>
      </c>
      <c r="F274" s="140">
        <f>+F29</f>
        <v>0</v>
      </c>
      <c r="G274" s="120"/>
      <c r="U274">
        <v>0</v>
      </c>
    </row>
    <row r="275" spans="1:24" x14ac:dyDescent="0.2">
      <c r="A275" t="s">
        <v>635</v>
      </c>
      <c r="B275" s="6"/>
      <c r="C275">
        <f>+C274*C253</f>
        <v>0</v>
      </c>
      <c r="D275">
        <f>+D274*D253</f>
        <v>0</v>
      </c>
      <c r="E275">
        <f>+E274*E253</f>
        <v>0</v>
      </c>
      <c r="F275">
        <f>+F274*F253</f>
        <v>0</v>
      </c>
      <c r="G275" s="143">
        <f>SUM(C275:F275)</f>
        <v>0</v>
      </c>
      <c r="U275">
        <v>0</v>
      </c>
    </row>
    <row r="276" spans="1:24" x14ac:dyDescent="0.2">
      <c r="A276">
        <v>0</v>
      </c>
      <c r="B276" s="6"/>
      <c r="F276" s="409"/>
      <c r="G276" s="120"/>
      <c r="U276">
        <v>0</v>
      </c>
    </row>
    <row r="277" spans="1:24" x14ac:dyDescent="0.2">
      <c r="A277" s="3"/>
      <c r="B277" s="11"/>
      <c r="C277" s="1146"/>
      <c r="F277" s="120"/>
      <c r="G277" s="120"/>
      <c r="U277">
        <v>0</v>
      </c>
    </row>
    <row r="278" spans="1:24" ht="15.75" x14ac:dyDescent="0.25">
      <c r="A278" t="s">
        <v>701</v>
      </c>
      <c r="B278" s="6"/>
      <c r="C278" s="143">
        <f>+C277/2</f>
        <v>0</v>
      </c>
      <c r="F278" s="136"/>
      <c r="G278" s="120"/>
      <c r="U278">
        <v>0</v>
      </c>
    </row>
    <row r="279" spans="1:24" x14ac:dyDescent="0.2">
      <c r="A279" t="s">
        <v>627</v>
      </c>
      <c r="B279" s="6"/>
      <c r="C279" s="143"/>
      <c r="F279" s="409"/>
      <c r="G279" s="120"/>
      <c r="U279">
        <v>0</v>
      </c>
    </row>
    <row r="280" spans="1:24" x14ac:dyDescent="0.2">
      <c r="A280" t="s">
        <v>637</v>
      </c>
      <c r="B280" s="6"/>
      <c r="C280" s="143">
        <f>C277/2</f>
        <v>0</v>
      </c>
      <c r="F280" s="409"/>
      <c r="G280" s="120"/>
      <c r="U280">
        <v>0</v>
      </c>
    </row>
    <row r="281" spans="1:24" x14ac:dyDescent="0.2">
      <c r="A281" s="414" t="s">
        <v>714</v>
      </c>
      <c r="B281" s="6"/>
      <c r="C281" s="413"/>
      <c r="F281" s="409"/>
      <c r="G281" s="120"/>
      <c r="U281">
        <v>0</v>
      </c>
    </row>
    <row r="282" spans="1:24" x14ac:dyDescent="0.2">
      <c r="A282" t="s">
        <v>715</v>
      </c>
      <c r="B282" s="6"/>
      <c r="C282" s="415">
        <f>(P.T.Vieja!C266)</f>
        <v>0</v>
      </c>
      <c r="F282" s="409"/>
      <c r="G282" s="120"/>
      <c r="U282">
        <v>0</v>
      </c>
    </row>
    <row r="283" spans="1:24" x14ac:dyDescent="0.2">
      <c r="A283" t="s">
        <v>637</v>
      </c>
      <c r="B283" s="6"/>
      <c r="C283" s="143">
        <f>+(CEILING((C282/0.9),1))</f>
        <v>0</v>
      </c>
      <c r="F283" s="409"/>
      <c r="G283" s="120"/>
      <c r="U283">
        <v>0</v>
      </c>
    </row>
    <row r="284" spans="1:24" x14ac:dyDescent="0.2">
      <c r="A284" t="s">
        <v>701</v>
      </c>
      <c r="B284" s="6"/>
      <c r="C284" s="143">
        <f>+C283</f>
        <v>0</v>
      </c>
      <c r="F284" s="120"/>
      <c r="G284" s="120"/>
      <c r="U284">
        <v>0</v>
      </c>
    </row>
    <row r="285" spans="1:24" x14ac:dyDescent="0.2">
      <c r="A285">
        <v>0</v>
      </c>
      <c r="B285" s="6"/>
      <c r="C285" s="413"/>
      <c r="U285">
        <v>0</v>
      </c>
    </row>
    <row r="286" spans="1:24" x14ac:dyDescent="0.2">
      <c r="A286">
        <v>0</v>
      </c>
      <c r="B286" s="6"/>
      <c r="C286" s="413"/>
      <c r="T286" s="120"/>
      <c r="U286" s="120"/>
      <c r="V286" s="388"/>
      <c r="W286" s="120"/>
      <c r="X286" s="120"/>
    </row>
    <row r="287" spans="1:24" x14ac:dyDescent="0.2">
      <c r="A287">
        <v>0</v>
      </c>
      <c r="B287" s="6"/>
      <c r="C287" s="413"/>
      <c r="T287" s="120"/>
      <c r="U287" s="120"/>
      <c r="V287" s="388"/>
      <c r="W287" s="120"/>
      <c r="X287" s="120"/>
    </row>
    <row r="288" spans="1:24" x14ac:dyDescent="0.2">
      <c r="A288" s="414" t="s">
        <v>716</v>
      </c>
      <c r="B288" s="6"/>
      <c r="C288" s="413"/>
      <c r="T288" s="120"/>
      <c r="U288" s="120"/>
      <c r="V288" s="388"/>
      <c r="W288" s="120"/>
      <c r="X288" s="120"/>
    </row>
    <row r="289" spans="1:24" x14ac:dyDescent="0.2">
      <c r="A289" t="s">
        <v>627</v>
      </c>
      <c r="B289" s="6"/>
      <c r="C289" s="143">
        <f>+C284</f>
        <v>0</v>
      </c>
      <c r="T289" s="120"/>
      <c r="U289" s="120"/>
      <c r="V289" s="388"/>
      <c r="W289" s="120"/>
      <c r="X289" s="120"/>
    </row>
    <row r="290" spans="1:24" x14ac:dyDescent="0.2">
      <c r="A290">
        <v>0</v>
      </c>
      <c r="B290" s="6"/>
      <c r="T290" s="120"/>
      <c r="U290" s="120"/>
      <c r="V290" s="388"/>
      <c r="W290" s="120"/>
      <c r="X290" s="120"/>
    </row>
    <row r="291" spans="1:24" x14ac:dyDescent="0.2">
      <c r="A291">
        <v>0</v>
      </c>
      <c r="B291" s="6"/>
      <c r="T291" s="120"/>
      <c r="U291" s="120"/>
      <c r="V291" s="388"/>
      <c r="W291" s="409"/>
      <c r="X291" s="120"/>
    </row>
    <row r="292" spans="1:24" x14ac:dyDescent="0.2">
      <c r="A292" s="414" t="s">
        <v>717</v>
      </c>
      <c r="B292" s="6"/>
      <c r="T292" s="120"/>
      <c r="U292" s="120"/>
      <c r="V292" s="388"/>
      <c r="W292" s="409"/>
      <c r="X292" s="120"/>
    </row>
    <row r="293" spans="1:24" ht="15.75" x14ac:dyDescent="0.25">
      <c r="A293">
        <v>0</v>
      </c>
      <c r="B293" s="6"/>
      <c r="C293" s="416">
        <f>+C31</f>
        <v>0</v>
      </c>
      <c r="D293" s="416">
        <f>+D31</f>
        <v>0</v>
      </c>
      <c r="E293" s="416">
        <f>+E31</f>
        <v>0</v>
      </c>
      <c r="F293" s="416">
        <f>+F31</f>
        <v>0</v>
      </c>
      <c r="G293" s="141" t="s">
        <v>446</v>
      </c>
      <c r="T293" s="120"/>
      <c r="U293" s="120"/>
      <c r="V293" s="388"/>
      <c r="W293" s="409"/>
      <c r="X293" s="120"/>
    </row>
    <row r="294" spans="1:24" x14ac:dyDescent="0.2">
      <c r="A294" t="s">
        <v>635</v>
      </c>
      <c r="B294" s="6">
        <v>1</v>
      </c>
      <c r="C294" s="6">
        <f>+C293*C253</f>
        <v>0</v>
      </c>
      <c r="D294" s="6">
        <f>+D293*D253</f>
        <v>0</v>
      </c>
      <c r="E294" s="6">
        <f>+E293*E253</f>
        <v>0</v>
      </c>
      <c r="F294" s="6">
        <f>+F293*F253</f>
        <v>0</v>
      </c>
      <c r="G294" s="143">
        <f>SUM(C294:F294)</f>
        <v>0</v>
      </c>
      <c r="T294" s="120"/>
      <c r="U294" s="120"/>
      <c r="V294" s="388"/>
      <c r="W294" s="411"/>
      <c r="X294" s="120"/>
    </row>
    <row r="295" spans="1:24" x14ac:dyDescent="0.2">
      <c r="A295" s="225" t="s">
        <v>643</v>
      </c>
      <c r="B295" s="6"/>
      <c r="C295" s="6"/>
      <c r="D295" s="6"/>
      <c r="E295" s="6"/>
      <c r="F295" s="6"/>
      <c r="T295" s="120"/>
      <c r="U295" s="120"/>
      <c r="V295" s="388"/>
      <c r="W295" s="409"/>
      <c r="X295" s="120"/>
    </row>
    <row r="296" spans="1:24" x14ac:dyDescent="0.2">
      <c r="A296" t="s">
        <v>642</v>
      </c>
      <c r="B296" s="6"/>
      <c r="C296" s="6"/>
      <c r="D296" s="6"/>
      <c r="E296" s="6"/>
      <c r="F296" s="6"/>
      <c r="T296" s="120"/>
      <c r="U296" s="120"/>
      <c r="V296" s="388"/>
      <c r="W296" s="409"/>
      <c r="X296" s="120"/>
    </row>
    <row r="297" spans="1:24" x14ac:dyDescent="0.2">
      <c r="A297" t="s">
        <v>637</v>
      </c>
      <c r="B297" s="6">
        <v>3</v>
      </c>
      <c r="C297" s="6">
        <f>B297*C293</f>
        <v>0</v>
      </c>
      <c r="D297" s="6">
        <f>C297*D293</f>
        <v>0</v>
      </c>
      <c r="E297" s="6">
        <f>D297*E293</f>
        <v>0</v>
      </c>
      <c r="F297" s="6">
        <f>E297*F293</f>
        <v>0</v>
      </c>
      <c r="G297" s="143">
        <f>SUM(C297:F297)</f>
        <v>0</v>
      </c>
      <c r="T297" s="120"/>
      <c r="U297" s="120"/>
      <c r="V297" s="388"/>
      <c r="W297" s="409"/>
      <c r="X297" s="120"/>
    </row>
    <row r="298" spans="1:24" x14ac:dyDescent="0.2">
      <c r="A298" t="s">
        <v>701</v>
      </c>
      <c r="B298" s="6">
        <v>3</v>
      </c>
      <c r="C298" s="6">
        <f>B298*C293</f>
        <v>0</v>
      </c>
      <c r="D298" s="6">
        <f>C298*D293</f>
        <v>0</v>
      </c>
      <c r="E298" s="6">
        <f>D298*E293</f>
        <v>0</v>
      </c>
      <c r="F298" s="6">
        <f>E298*F293</f>
        <v>0</v>
      </c>
      <c r="G298" s="143">
        <f>SUM(C298:F298)</f>
        <v>0</v>
      </c>
      <c r="T298" s="120"/>
      <c r="U298" s="120"/>
      <c r="V298" s="388"/>
      <c r="W298" s="409"/>
      <c r="X298" s="120"/>
    </row>
    <row r="299" spans="1:24" x14ac:dyDescent="0.2">
      <c r="A299">
        <v>0</v>
      </c>
      <c r="B299" s="6"/>
      <c r="C299" s="6"/>
      <c r="D299" s="6"/>
      <c r="E299" s="6"/>
      <c r="F299" s="6"/>
      <c r="T299" s="120"/>
      <c r="U299" s="120"/>
      <c r="V299" s="388"/>
      <c r="W299" s="409"/>
      <c r="X299" s="120"/>
    </row>
    <row r="300" spans="1:24" x14ac:dyDescent="0.2">
      <c r="A300">
        <v>0</v>
      </c>
      <c r="B300" s="6"/>
      <c r="C300" s="6"/>
      <c r="D300" s="6"/>
      <c r="E300" s="6"/>
      <c r="F300" s="6"/>
      <c r="T300" s="120"/>
      <c r="U300" s="120"/>
      <c r="V300" s="388"/>
      <c r="W300" s="409"/>
      <c r="X300" s="120"/>
    </row>
    <row r="301" spans="1:24" ht="15.75" x14ac:dyDescent="0.25">
      <c r="A301" t="s">
        <v>520</v>
      </c>
      <c r="B301" s="6"/>
      <c r="C301" s="416">
        <f>+C33</f>
        <v>0</v>
      </c>
      <c r="T301" s="120"/>
      <c r="U301" s="120"/>
      <c r="V301" s="388"/>
      <c r="W301" s="409"/>
      <c r="X301" s="120"/>
    </row>
    <row r="302" spans="1:24" ht="15.75" x14ac:dyDescent="0.25">
      <c r="A302" t="s">
        <v>72</v>
      </c>
      <c r="B302" s="6"/>
      <c r="C302" s="416">
        <f>+C34</f>
        <v>0</v>
      </c>
      <c r="T302" s="120"/>
      <c r="U302" s="120"/>
      <c r="V302" s="388"/>
      <c r="W302" s="409"/>
      <c r="X302" s="120"/>
    </row>
    <row r="303" spans="1:24" x14ac:dyDescent="0.2">
      <c r="A303" s="225" t="s">
        <v>643</v>
      </c>
      <c r="B303" s="6"/>
      <c r="C303" s="143">
        <f>+C301</f>
        <v>0</v>
      </c>
      <c r="T303" s="120"/>
      <c r="U303" s="120"/>
      <c r="V303" s="388"/>
      <c r="W303" s="409"/>
      <c r="X303" s="120"/>
    </row>
    <row r="304" spans="1:24" x14ac:dyDescent="0.2">
      <c r="A304" t="s">
        <v>641</v>
      </c>
      <c r="B304" s="6"/>
      <c r="C304" s="143">
        <f>+C302</f>
        <v>0</v>
      </c>
      <c r="T304" s="120"/>
      <c r="U304" s="120"/>
      <c r="V304" s="388"/>
      <c r="W304" s="409"/>
      <c r="X304" s="120"/>
    </row>
    <row r="305" spans="1:24" x14ac:dyDescent="0.2">
      <c r="A305" t="s">
        <v>642</v>
      </c>
      <c r="B305" s="6"/>
      <c r="C305" s="143">
        <f>+C302+C301</f>
        <v>0</v>
      </c>
      <c r="T305" s="120"/>
      <c r="U305" s="120"/>
      <c r="V305" s="388"/>
      <c r="W305" s="409"/>
      <c r="X305" s="120"/>
    </row>
    <row r="306" spans="1:24" x14ac:dyDescent="0.2">
      <c r="A306">
        <v>0</v>
      </c>
      <c r="B306" s="6"/>
      <c r="C306" s="143"/>
      <c r="T306" s="120"/>
      <c r="U306" s="120"/>
      <c r="V306" s="388"/>
      <c r="W306" s="409"/>
      <c r="X306" s="120"/>
    </row>
    <row r="307" spans="1:24" x14ac:dyDescent="0.2">
      <c r="A307">
        <v>0</v>
      </c>
      <c r="B307" s="6"/>
      <c r="C307" s="143"/>
      <c r="T307" s="120"/>
      <c r="U307" s="120"/>
      <c r="V307" s="388"/>
      <c r="W307" s="409"/>
      <c r="X307" s="120"/>
    </row>
    <row r="308" spans="1:24" x14ac:dyDescent="0.2">
      <c r="A308">
        <v>0</v>
      </c>
      <c r="B308" s="6"/>
      <c r="C308" s="143"/>
      <c r="T308" s="120"/>
      <c r="U308" s="120"/>
      <c r="V308" s="388"/>
      <c r="W308" s="409"/>
      <c r="X308" s="120"/>
    </row>
    <row r="309" spans="1:24" x14ac:dyDescent="0.2">
      <c r="A309">
        <v>0</v>
      </c>
      <c r="B309" s="6"/>
      <c r="C309" s="143"/>
      <c r="T309" s="120"/>
      <c r="U309" s="120"/>
      <c r="V309" s="388"/>
      <c r="W309" s="409"/>
      <c r="X309" s="120"/>
    </row>
    <row r="310" spans="1:24" x14ac:dyDescent="0.2">
      <c r="A310">
        <v>0</v>
      </c>
      <c r="T310" s="120"/>
      <c r="U310" s="120"/>
      <c r="V310" s="388"/>
      <c r="W310" s="409"/>
      <c r="X310" s="120"/>
    </row>
    <row r="311" spans="1:24" ht="18" x14ac:dyDescent="0.25">
      <c r="A311" s="376" t="s">
        <v>654</v>
      </c>
      <c r="C311" s="377">
        <f>+'3 ALUMINIOS'!H7</f>
        <v>0</v>
      </c>
      <c r="D311" s="365"/>
      <c r="E311" s="377">
        <v>2.25</v>
      </c>
      <c r="F311" s="365"/>
      <c r="G311" s="229">
        <v>2.5</v>
      </c>
      <c r="H311" s="229"/>
      <c r="I311" s="229">
        <v>3</v>
      </c>
      <c r="J311" s="375" t="s">
        <v>393</v>
      </c>
      <c r="K311" s="229"/>
      <c r="T311" s="120"/>
      <c r="U311" s="120"/>
      <c r="V311" s="388"/>
      <c r="W311" s="409"/>
      <c r="X311" s="120"/>
    </row>
    <row r="312" spans="1:24" ht="18" x14ac:dyDescent="0.25">
      <c r="A312">
        <v>0</v>
      </c>
      <c r="C312" s="366">
        <f>+C38</f>
        <v>0</v>
      </c>
      <c r="D312" s="366"/>
      <c r="E312" s="366">
        <f>+D38</f>
        <v>0</v>
      </c>
      <c r="F312" s="366"/>
      <c r="G312" s="366">
        <f>+E38</f>
        <v>0</v>
      </c>
      <c r="H312" s="366"/>
      <c r="I312" s="366">
        <f>+F38</f>
        <v>0</v>
      </c>
      <c r="J312" s="143"/>
      <c r="K312" s="228"/>
      <c r="T312" s="120"/>
      <c r="U312" s="120"/>
      <c r="V312" s="388"/>
      <c r="W312" s="409"/>
      <c r="X312" s="120"/>
    </row>
    <row r="313" spans="1:24" x14ac:dyDescent="0.2">
      <c r="A313" s="144">
        <v>0</v>
      </c>
      <c r="B313" s="380"/>
      <c r="C313" s="368"/>
      <c r="D313" s="380"/>
      <c r="E313" s="368"/>
      <c r="F313" s="380"/>
      <c r="G313" s="369"/>
      <c r="H313" s="370"/>
      <c r="I313" s="369"/>
      <c r="J313" s="143">
        <f>+K313+I313+G313+E313+C313</f>
        <v>0</v>
      </c>
      <c r="K313" s="83"/>
      <c r="T313" s="120"/>
      <c r="U313" s="120"/>
      <c r="V313" s="388"/>
      <c r="W313" s="409"/>
      <c r="X313" s="120"/>
    </row>
    <row r="314" spans="1:24" x14ac:dyDescent="0.2">
      <c r="A314" t="s">
        <v>655</v>
      </c>
      <c r="B314" s="380">
        <v>20</v>
      </c>
      <c r="C314" s="368">
        <f>+B314*C312</f>
        <v>0</v>
      </c>
      <c r="D314" s="380">
        <v>24</v>
      </c>
      <c r="E314" s="368">
        <f>+E312*D314</f>
        <v>0</v>
      </c>
      <c r="F314" s="380">
        <v>24</v>
      </c>
      <c r="G314" s="369">
        <f>+F314*G312</f>
        <v>0</v>
      </c>
      <c r="H314" s="371">
        <v>28</v>
      </c>
      <c r="I314" s="369">
        <f>+I312*H314</f>
        <v>0</v>
      </c>
      <c r="J314" s="143">
        <f>+K314+I314+G314+E314+C314</f>
        <v>0</v>
      </c>
      <c r="K314" s="83"/>
      <c r="T314" s="120"/>
      <c r="U314" s="120"/>
      <c r="V314" s="388"/>
      <c r="W314" s="417"/>
      <c r="X314" s="120"/>
    </row>
    <row r="315" spans="1:24" x14ac:dyDescent="0.2">
      <c r="A315">
        <v>0</v>
      </c>
      <c r="B315" s="381"/>
      <c r="C315" s="368"/>
      <c r="D315" s="380"/>
      <c r="E315" s="368"/>
      <c r="F315" s="380"/>
      <c r="G315" s="368"/>
      <c r="H315" s="382"/>
      <c r="I315" s="368"/>
      <c r="J315" s="143"/>
      <c r="K315" s="83"/>
      <c r="T315" s="120"/>
      <c r="U315" s="120"/>
      <c r="V315" s="388"/>
      <c r="W315" s="409"/>
      <c r="X315" s="120"/>
    </row>
    <row r="316" spans="1:24" x14ac:dyDescent="0.2">
      <c r="A316">
        <v>0</v>
      </c>
      <c r="K316" s="225"/>
      <c r="T316" s="120"/>
      <c r="U316" s="120"/>
      <c r="V316" s="388"/>
      <c r="W316" s="409"/>
      <c r="X316" s="120"/>
    </row>
    <row r="317" spans="1:24" ht="18" x14ac:dyDescent="0.25">
      <c r="A317" s="376" t="s">
        <v>657</v>
      </c>
      <c r="C317" s="377">
        <f>+'3 ALUMINIOS'!H7</f>
        <v>0</v>
      </c>
      <c r="D317" s="365"/>
      <c r="E317" s="377">
        <v>2.25</v>
      </c>
      <c r="F317" s="365"/>
      <c r="G317" s="229">
        <v>2.5</v>
      </c>
      <c r="H317" s="229"/>
      <c r="I317" s="229">
        <v>3</v>
      </c>
      <c r="J317" s="375" t="s">
        <v>393</v>
      </c>
      <c r="K317" s="229"/>
      <c r="T317" s="120"/>
      <c r="U317" s="120"/>
      <c r="V317" s="388"/>
      <c r="W317" s="409"/>
      <c r="X317" s="120"/>
    </row>
    <row r="318" spans="1:24" ht="18" x14ac:dyDescent="0.25">
      <c r="A318">
        <v>0</v>
      </c>
      <c r="C318" s="366">
        <f>+C39</f>
        <v>0</v>
      </c>
      <c r="D318" s="366"/>
      <c r="E318" s="366">
        <f>+D39</f>
        <v>0</v>
      </c>
      <c r="F318" s="366"/>
      <c r="G318" s="366">
        <f>+E39</f>
        <v>0</v>
      </c>
      <c r="H318" s="366"/>
      <c r="I318" s="366">
        <f>+F39</f>
        <v>0</v>
      </c>
      <c r="J318" s="375"/>
      <c r="K318" s="228"/>
      <c r="T318" s="120"/>
      <c r="U318" s="120"/>
      <c r="V318" s="388"/>
      <c r="W318" s="409"/>
      <c r="X318" s="120"/>
    </row>
    <row r="319" spans="1:24" x14ac:dyDescent="0.2">
      <c r="A319" t="s">
        <v>658</v>
      </c>
      <c r="B319" s="380">
        <v>1</v>
      </c>
      <c r="C319" s="368">
        <f>+C318*C317</f>
        <v>0</v>
      </c>
      <c r="D319" s="380">
        <v>1</v>
      </c>
      <c r="E319" s="368">
        <f>+E318*E317</f>
        <v>0</v>
      </c>
      <c r="F319" s="380">
        <v>1</v>
      </c>
      <c r="G319" s="369">
        <f>+G318*G317</f>
        <v>0</v>
      </c>
      <c r="H319" s="370">
        <v>1</v>
      </c>
      <c r="I319" s="369">
        <f>+I318*I317</f>
        <v>0</v>
      </c>
      <c r="J319" s="350">
        <f>+K319+I319+G319+E319+C319</f>
        <v>0</v>
      </c>
      <c r="K319" s="83"/>
      <c r="T319" s="120"/>
      <c r="U319" s="120"/>
      <c r="V319" s="388"/>
      <c r="W319" s="409"/>
      <c r="X319" s="120"/>
    </row>
    <row r="320" spans="1:24" x14ac:dyDescent="0.2">
      <c r="A320" t="s">
        <v>655</v>
      </c>
      <c r="B320" s="380">
        <v>10</v>
      </c>
      <c r="C320" s="368">
        <f>+B320*C318</f>
        <v>0</v>
      </c>
      <c r="D320" s="380">
        <v>12</v>
      </c>
      <c r="E320" s="368">
        <f>+E318*D320</f>
        <v>0</v>
      </c>
      <c r="F320" s="380">
        <v>12</v>
      </c>
      <c r="G320" s="369">
        <f>+F320*G318</f>
        <v>0</v>
      </c>
      <c r="H320" s="371">
        <v>14</v>
      </c>
      <c r="I320" s="369">
        <f>+I318*H320</f>
        <v>0</v>
      </c>
      <c r="J320" s="143">
        <f>+K320+I320+G320+E320+C320</f>
        <v>0</v>
      </c>
      <c r="K320" s="83"/>
      <c r="T320" s="120"/>
      <c r="U320" s="120"/>
      <c r="V320" s="388"/>
      <c r="W320" s="409"/>
      <c r="X320" s="120"/>
    </row>
    <row r="321" spans="1:24" x14ac:dyDescent="0.2">
      <c r="A321">
        <v>0</v>
      </c>
      <c r="B321" s="381"/>
      <c r="C321" s="368"/>
      <c r="D321" s="380"/>
      <c r="E321" s="368"/>
      <c r="F321" s="380"/>
      <c r="G321" s="368"/>
      <c r="H321" s="382"/>
      <c r="I321" s="368"/>
      <c r="J321" s="143"/>
      <c r="K321" s="83"/>
      <c r="T321" s="120"/>
      <c r="U321" s="120"/>
      <c r="V321" s="388"/>
      <c r="W321" s="409"/>
      <c r="X321" s="120"/>
    </row>
    <row r="322" spans="1:24" x14ac:dyDescent="0.2">
      <c r="A322">
        <v>0</v>
      </c>
      <c r="K322" s="225"/>
      <c r="T322" s="120"/>
      <c r="U322" s="120"/>
      <c r="V322" s="388"/>
      <c r="W322" s="409"/>
      <c r="X322" s="120"/>
    </row>
    <row r="323" spans="1:24" ht="18" x14ac:dyDescent="0.25">
      <c r="A323" s="376" t="s">
        <v>660</v>
      </c>
      <c r="C323" s="377">
        <f>+'3 ALUMINIOS'!H7</f>
        <v>0</v>
      </c>
      <c r="D323" s="365"/>
      <c r="E323" s="377">
        <v>2.25</v>
      </c>
      <c r="F323" s="365"/>
      <c r="G323" s="229">
        <v>2.5</v>
      </c>
      <c r="H323" s="229"/>
      <c r="I323" s="229">
        <v>3</v>
      </c>
      <c r="J323" s="375" t="s">
        <v>393</v>
      </c>
      <c r="K323" s="229"/>
      <c r="T323" s="120"/>
      <c r="U323" s="120"/>
      <c r="V323" s="388"/>
      <c r="W323" s="409"/>
      <c r="X323" s="120"/>
    </row>
    <row r="324" spans="1:24" ht="18" x14ac:dyDescent="0.25">
      <c r="A324">
        <v>0</v>
      </c>
      <c r="C324" s="366">
        <f>+C40</f>
        <v>0</v>
      </c>
      <c r="D324" s="366"/>
      <c r="E324" s="366">
        <f>+D40</f>
        <v>0</v>
      </c>
      <c r="F324" s="366"/>
      <c r="G324" s="366">
        <f>+E40</f>
        <v>0</v>
      </c>
      <c r="H324" s="366"/>
      <c r="I324" s="366">
        <f>+F40</f>
        <v>0</v>
      </c>
      <c r="J324" s="143"/>
      <c r="K324" s="228"/>
      <c r="T324" s="120"/>
      <c r="U324" s="120"/>
      <c r="V324" s="388"/>
      <c r="W324" s="409"/>
      <c r="X324" s="120"/>
    </row>
    <row r="325" spans="1:24" x14ac:dyDescent="0.2">
      <c r="A325" s="144" t="s">
        <v>661</v>
      </c>
      <c r="B325" s="380">
        <v>1</v>
      </c>
      <c r="C325" s="368">
        <f>+C324*C323</f>
        <v>0</v>
      </c>
      <c r="D325" s="380">
        <v>1</v>
      </c>
      <c r="E325" s="368">
        <f>+E324*E323</f>
        <v>0</v>
      </c>
      <c r="F325" s="380">
        <v>1</v>
      </c>
      <c r="G325" s="369">
        <f>+G324*G323</f>
        <v>0</v>
      </c>
      <c r="H325" s="370">
        <v>1</v>
      </c>
      <c r="I325" s="369">
        <f>+I324*I323</f>
        <v>0</v>
      </c>
      <c r="J325" s="143">
        <f>+K325+I325+G325+E325+C325</f>
        <v>0</v>
      </c>
      <c r="K325" s="83"/>
      <c r="T325" s="120"/>
      <c r="U325" s="120"/>
      <c r="V325" s="388"/>
      <c r="W325" s="409"/>
      <c r="X325" s="120"/>
    </row>
    <row r="326" spans="1:24" x14ac:dyDescent="0.2">
      <c r="A326" t="s">
        <v>655</v>
      </c>
      <c r="B326" s="380">
        <v>5</v>
      </c>
      <c r="C326" s="368">
        <f>+B326*C324</f>
        <v>0</v>
      </c>
      <c r="D326" s="380">
        <v>6</v>
      </c>
      <c r="E326" s="368">
        <f>+E324*D326</f>
        <v>0</v>
      </c>
      <c r="F326" s="380">
        <v>6</v>
      </c>
      <c r="G326" s="369">
        <f>+F326*G324</f>
        <v>0</v>
      </c>
      <c r="H326" s="371">
        <v>7</v>
      </c>
      <c r="I326" s="369">
        <f>+I324*H326</f>
        <v>0</v>
      </c>
      <c r="J326" s="143">
        <f>+K326+I326+G326+E326+C326</f>
        <v>0</v>
      </c>
      <c r="K326" s="83"/>
      <c r="T326" s="120"/>
      <c r="U326" s="120"/>
      <c r="V326" s="388"/>
      <c r="W326" s="409"/>
      <c r="X326" s="120"/>
    </row>
    <row r="327" spans="1:24" x14ac:dyDescent="0.2">
      <c r="A327">
        <v>0</v>
      </c>
      <c r="B327" s="381"/>
      <c r="C327" s="368"/>
      <c r="D327" s="380"/>
      <c r="E327" s="368"/>
      <c r="F327" s="380"/>
      <c r="G327" s="368"/>
      <c r="H327" s="382"/>
      <c r="I327" s="368"/>
      <c r="J327" s="143"/>
      <c r="K327" s="83"/>
      <c r="T327" s="120"/>
      <c r="U327" s="120"/>
      <c r="V327" s="388"/>
      <c r="W327" s="409"/>
      <c r="X327" s="120"/>
    </row>
    <row r="328" spans="1:24" x14ac:dyDescent="0.2">
      <c r="A328">
        <v>0</v>
      </c>
      <c r="K328" s="225"/>
      <c r="T328" s="120"/>
      <c r="U328" s="120"/>
      <c r="V328" s="388"/>
      <c r="W328" s="409"/>
      <c r="X328" s="120"/>
    </row>
    <row r="329" spans="1:24" ht="18" x14ac:dyDescent="0.25">
      <c r="A329" s="376" t="s">
        <v>663</v>
      </c>
      <c r="C329" s="377">
        <f>+'3 ALUMINIOS'!H7</f>
        <v>0</v>
      </c>
      <c r="D329" s="365"/>
      <c r="E329" s="377">
        <v>2.25</v>
      </c>
      <c r="F329" s="365"/>
      <c r="G329" s="229">
        <v>2.5</v>
      </c>
      <c r="H329" s="229"/>
      <c r="I329" s="229">
        <v>3</v>
      </c>
      <c r="J329" s="375" t="s">
        <v>393</v>
      </c>
      <c r="K329" s="229"/>
      <c r="T329" s="120"/>
      <c r="U329" s="120"/>
      <c r="V329" s="388"/>
      <c r="W329" s="409"/>
      <c r="X329" s="120"/>
    </row>
    <row r="330" spans="1:24" ht="18" x14ac:dyDescent="0.25">
      <c r="A330">
        <v>0</v>
      </c>
      <c r="C330" s="366">
        <f>+C41</f>
        <v>0</v>
      </c>
      <c r="D330" s="366"/>
      <c r="E330" s="366">
        <f>+D41</f>
        <v>0</v>
      </c>
      <c r="F330" s="366"/>
      <c r="G330" s="366">
        <f>+E41</f>
        <v>0</v>
      </c>
      <c r="H330" s="366"/>
      <c r="I330" s="366">
        <f>+F41</f>
        <v>0</v>
      </c>
      <c r="J330" s="143"/>
      <c r="K330" s="228"/>
      <c r="T330" s="120"/>
      <c r="U330" s="120"/>
      <c r="V330" s="388"/>
      <c r="W330" s="409"/>
      <c r="X330" s="120"/>
    </row>
    <row r="331" spans="1:24" x14ac:dyDescent="0.2">
      <c r="A331" s="144" t="s">
        <v>664</v>
      </c>
      <c r="B331" s="380">
        <v>1</v>
      </c>
      <c r="C331" s="368">
        <f>+C330*C329</f>
        <v>0</v>
      </c>
      <c r="D331" s="380">
        <v>1</v>
      </c>
      <c r="E331" s="368">
        <f>+E330*E329</f>
        <v>0</v>
      </c>
      <c r="F331" s="380">
        <v>1</v>
      </c>
      <c r="G331" s="369">
        <f>+G330*G329</f>
        <v>0</v>
      </c>
      <c r="H331" s="370">
        <v>1</v>
      </c>
      <c r="I331" s="369">
        <f>+I330*I329</f>
        <v>0</v>
      </c>
      <c r="J331" s="143">
        <f>+K331+I331+G331+E331+C331</f>
        <v>0</v>
      </c>
      <c r="K331" s="83"/>
      <c r="T331" s="120"/>
      <c r="U331" s="120"/>
      <c r="V331" s="388"/>
      <c r="W331" s="409"/>
      <c r="X331" s="120"/>
    </row>
    <row r="332" spans="1:24" x14ac:dyDescent="0.2">
      <c r="A332" t="s">
        <v>665</v>
      </c>
      <c r="B332" s="380">
        <v>5</v>
      </c>
      <c r="C332" s="368">
        <f>+B332*C330</f>
        <v>0</v>
      </c>
      <c r="D332" s="380">
        <v>6</v>
      </c>
      <c r="E332" s="368">
        <f>+E330*D332</f>
        <v>0</v>
      </c>
      <c r="F332" s="380">
        <v>6</v>
      </c>
      <c r="G332" s="369">
        <f>+F332*G330</f>
        <v>0</v>
      </c>
      <c r="H332" s="371">
        <v>7</v>
      </c>
      <c r="I332" s="369">
        <f>+I330*H332</f>
        <v>0</v>
      </c>
      <c r="J332" s="143">
        <f>+K332+I332+G332+E332+C332</f>
        <v>0</v>
      </c>
      <c r="K332" s="83"/>
      <c r="T332" s="120"/>
      <c r="U332" s="120"/>
      <c r="V332" s="388"/>
      <c r="W332" s="409"/>
      <c r="X332" s="120"/>
    </row>
    <row r="333" spans="1:24" x14ac:dyDescent="0.2">
      <c r="A333">
        <v>0</v>
      </c>
      <c r="B333" s="381"/>
      <c r="C333" s="368"/>
      <c r="D333" s="380"/>
      <c r="E333" s="368"/>
      <c r="F333" s="380"/>
      <c r="G333" s="368"/>
      <c r="H333" s="382"/>
      <c r="I333" s="368"/>
      <c r="J333" s="143"/>
      <c r="K333" s="83"/>
      <c r="T333" s="120"/>
      <c r="U333" s="120"/>
      <c r="V333" s="388"/>
      <c r="W333" s="409"/>
      <c r="X333" s="120"/>
    </row>
    <row r="334" spans="1:24" x14ac:dyDescent="0.2">
      <c r="A334">
        <v>0</v>
      </c>
      <c r="T334" s="120"/>
      <c r="U334" s="120"/>
      <c r="V334" s="388"/>
      <c r="W334" s="409"/>
      <c r="X334" s="120"/>
    </row>
    <row r="335" spans="1:24" x14ac:dyDescent="0.2">
      <c r="A335">
        <v>0</v>
      </c>
      <c r="T335" s="120"/>
      <c r="U335" s="120"/>
      <c r="V335" s="388"/>
      <c r="W335" s="409"/>
      <c r="X335" s="120"/>
    </row>
    <row r="336" spans="1:24" x14ac:dyDescent="0.2">
      <c r="A336">
        <v>0</v>
      </c>
      <c r="T336" s="120"/>
      <c r="U336" s="120"/>
      <c r="V336" s="388"/>
      <c r="W336" s="120"/>
      <c r="X336" s="120"/>
    </row>
    <row r="337" spans="1:24" x14ac:dyDescent="0.2">
      <c r="A337">
        <v>0</v>
      </c>
      <c r="T337" s="120"/>
      <c r="U337" s="120"/>
      <c r="V337" s="388"/>
      <c r="W337" s="120"/>
      <c r="X337" s="120"/>
    </row>
    <row r="338" spans="1:24" x14ac:dyDescent="0.2">
      <c r="A338">
        <v>0</v>
      </c>
      <c r="T338" s="120"/>
      <c r="U338" s="120"/>
      <c r="V338" s="388"/>
      <c r="W338" s="120"/>
      <c r="X338" s="120"/>
    </row>
    <row r="339" spans="1:24" x14ac:dyDescent="0.2">
      <c r="A339">
        <v>0</v>
      </c>
      <c r="T339" s="120"/>
      <c r="U339" s="120"/>
      <c r="V339" s="388"/>
      <c r="W339" s="120"/>
      <c r="X339" s="120"/>
    </row>
    <row r="340" spans="1:24" x14ac:dyDescent="0.2">
      <c r="A340">
        <v>0</v>
      </c>
      <c r="T340" s="120"/>
      <c r="U340" s="120"/>
      <c r="V340" s="388"/>
      <c r="W340" s="120"/>
      <c r="X340" s="120"/>
    </row>
    <row r="341" spans="1:24" x14ac:dyDescent="0.2">
      <c r="A341">
        <v>0</v>
      </c>
      <c r="T341" s="120"/>
      <c r="U341" s="120"/>
      <c r="V341" s="388"/>
      <c r="W341" s="120"/>
      <c r="X341" s="120"/>
    </row>
    <row r="342" spans="1:24" x14ac:dyDescent="0.2">
      <c r="A342">
        <v>0</v>
      </c>
      <c r="U342" s="418"/>
      <c r="V342" s="419"/>
    </row>
    <row r="343" spans="1:24" x14ac:dyDescent="0.2">
      <c r="A343">
        <v>0</v>
      </c>
    </row>
    <row r="344" spans="1:24" x14ac:dyDescent="0.2">
      <c r="A344">
        <v>0</v>
      </c>
    </row>
    <row r="345" spans="1:24" ht="15.75" x14ac:dyDescent="0.25">
      <c r="A345">
        <v>0</v>
      </c>
      <c r="U345" s="139"/>
    </row>
    <row r="346" spans="1:24" x14ac:dyDescent="0.2">
      <c r="A346">
        <v>0</v>
      </c>
    </row>
    <row r="347" spans="1:24" x14ac:dyDescent="0.2">
      <c r="A347">
        <v>0</v>
      </c>
    </row>
    <row r="348" spans="1:24" x14ac:dyDescent="0.2">
      <c r="A348">
        <v>0</v>
      </c>
    </row>
    <row r="349" spans="1:24" x14ac:dyDescent="0.2">
      <c r="A349">
        <v>0</v>
      </c>
    </row>
    <row r="350" spans="1:24" x14ac:dyDescent="0.2">
      <c r="A350">
        <v>0</v>
      </c>
    </row>
    <row r="351" spans="1:24" x14ac:dyDescent="0.2">
      <c r="A351">
        <v>0</v>
      </c>
    </row>
    <row r="352" spans="1:24" x14ac:dyDescent="0.2">
      <c r="A352">
        <v>0</v>
      </c>
    </row>
    <row r="353" spans="1:21" x14ac:dyDescent="0.2">
      <c r="A353">
        <v>0</v>
      </c>
    </row>
    <row r="354" spans="1:21" x14ac:dyDescent="0.2">
      <c r="A354">
        <v>0</v>
      </c>
    </row>
    <row r="355" spans="1:21" x14ac:dyDescent="0.2">
      <c r="A355">
        <v>0</v>
      </c>
    </row>
    <row r="356" spans="1:21" ht="15.75" x14ac:dyDescent="0.25">
      <c r="A356">
        <v>0</v>
      </c>
      <c r="U356" s="139"/>
    </row>
    <row r="357" spans="1:21" ht="15.75" x14ac:dyDescent="0.25">
      <c r="A357">
        <v>0</v>
      </c>
      <c r="U357" s="139"/>
    </row>
    <row r="358" spans="1:21" ht="15.75" x14ac:dyDescent="0.25">
      <c r="A358">
        <v>0</v>
      </c>
      <c r="U358" s="139"/>
    </row>
    <row r="359" spans="1:21" ht="15.75" x14ac:dyDescent="0.25">
      <c r="A359">
        <v>0</v>
      </c>
      <c r="U359" s="139"/>
    </row>
    <row r="360" spans="1:21" x14ac:dyDescent="0.2">
      <c r="A360">
        <v>0</v>
      </c>
    </row>
    <row r="361" spans="1:21" x14ac:dyDescent="0.2">
      <c r="A361">
        <v>0</v>
      </c>
    </row>
    <row r="362" spans="1:21" x14ac:dyDescent="0.2">
      <c r="A362">
        <v>0</v>
      </c>
    </row>
    <row r="363" spans="1:21" ht="15.75" x14ac:dyDescent="0.25">
      <c r="A363">
        <v>0</v>
      </c>
      <c r="U363" s="139"/>
    </row>
    <row r="364" spans="1:21" ht="15.75" x14ac:dyDescent="0.25">
      <c r="A364">
        <v>0</v>
      </c>
      <c r="U364" s="139"/>
    </row>
    <row r="365" spans="1:21" ht="15.75" x14ac:dyDescent="0.25">
      <c r="A365">
        <v>0</v>
      </c>
      <c r="U365" s="139"/>
    </row>
    <row r="366" spans="1:21" ht="15.75" x14ac:dyDescent="0.25">
      <c r="A366">
        <v>0</v>
      </c>
      <c r="U366" s="139"/>
    </row>
    <row r="367" spans="1:21" ht="15.75" x14ac:dyDescent="0.25">
      <c r="A367">
        <v>0</v>
      </c>
      <c r="U367" s="139"/>
    </row>
    <row r="368" spans="1:21" ht="15.75" x14ac:dyDescent="0.25">
      <c r="A368">
        <v>0</v>
      </c>
      <c r="U368" s="139"/>
    </row>
    <row r="369" spans="1:21" ht="15.75" x14ac:dyDescent="0.25">
      <c r="A369">
        <v>0</v>
      </c>
      <c r="U369" s="139"/>
    </row>
    <row r="370" spans="1:21" ht="15.75" x14ac:dyDescent="0.25">
      <c r="A370">
        <v>0</v>
      </c>
      <c r="U370" s="139"/>
    </row>
    <row r="371" spans="1:21" x14ac:dyDescent="0.2">
      <c r="A371">
        <v>0</v>
      </c>
    </row>
    <row r="372" spans="1:21" x14ac:dyDescent="0.2">
      <c r="A372">
        <v>0</v>
      </c>
    </row>
    <row r="373" spans="1:21" x14ac:dyDescent="0.2">
      <c r="A373">
        <v>0</v>
      </c>
    </row>
    <row r="374" spans="1:21" x14ac:dyDescent="0.2">
      <c r="A374">
        <v>0</v>
      </c>
    </row>
    <row r="375" spans="1:21" x14ac:dyDescent="0.2">
      <c r="A375">
        <v>0</v>
      </c>
    </row>
    <row r="376" spans="1:21" ht="18" x14ac:dyDescent="0.25">
      <c r="A376">
        <v>0</v>
      </c>
      <c r="U376" s="407"/>
    </row>
    <row r="377" spans="1:21" x14ac:dyDescent="0.2">
      <c r="A377">
        <v>0</v>
      </c>
    </row>
    <row r="378" spans="1:21" x14ac:dyDescent="0.2">
      <c r="A378">
        <v>0</v>
      </c>
    </row>
    <row r="379" spans="1:21" x14ac:dyDescent="0.2">
      <c r="A379">
        <v>0</v>
      </c>
    </row>
    <row r="380" spans="1:21" x14ac:dyDescent="0.2">
      <c r="A380">
        <v>0</v>
      </c>
    </row>
    <row r="381" spans="1:21" x14ac:dyDescent="0.2">
      <c r="A381">
        <v>0</v>
      </c>
    </row>
    <row r="382" spans="1:21" x14ac:dyDescent="0.2">
      <c r="A382">
        <v>0</v>
      </c>
    </row>
    <row r="383" spans="1:21" x14ac:dyDescent="0.2">
      <c r="A383">
        <v>0</v>
      </c>
    </row>
    <row r="384" spans="1:21" x14ac:dyDescent="0.2">
      <c r="A384">
        <v>0</v>
      </c>
    </row>
    <row r="385" spans="1:1" x14ac:dyDescent="0.2">
      <c r="A385">
        <v>0</v>
      </c>
    </row>
    <row r="386" spans="1:1" x14ac:dyDescent="0.2">
      <c r="A386">
        <v>0</v>
      </c>
    </row>
    <row r="387" spans="1:1" x14ac:dyDescent="0.2">
      <c r="A387">
        <v>0</v>
      </c>
    </row>
    <row r="388" spans="1:1" x14ac:dyDescent="0.2">
      <c r="A388">
        <v>0</v>
      </c>
    </row>
    <row r="389" spans="1:1" x14ac:dyDescent="0.2">
      <c r="A389">
        <v>0</v>
      </c>
    </row>
    <row r="390" spans="1:1" x14ac:dyDescent="0.2">
      <c r="A390">
        <v>0</v>
      </c>
    </row>
    <row r="391" spans="1:1" x14ac:dyDescent="0.2">
      <c r="A391">
        <v>0</v>
      </c>
    </row>
    <row r="392" spans="1:1" x14ac:dyDescent="0.2">
      <c r="A392">
        <v>0</v>
      </c>
    </row>
    <row r="393" spans="1:1" x14ac:dyDescent="0.2">
      <c r="A393">
        <v>0</v>
      </c>
    </row>
    <row r="394" spans="1:1" x14ac:dyDescent="0.2">
      <c r="A394">
        <v>0</v>
      </c>
    </row>
    <row r="395" spans="1:1" x14ac:dyDescent="0.2">
      <c r="A395">
        <v>0</v>
      </c>
    </row>
    <row r="396" spans="1:1" x14ac:dyDescent="0.2">
      <c r="A396">
        <v>0</v>
      </c>
    </row>
    <row r="397" spans="1:1" x14ac:dyDescent="0.2">
      <c r="A397">
        <v>0</v>
      </c>
    </row>
    <row r="398" spans="1:1" x14ac:dyDescent="0.2">
      <c r="A398">
        <v>0</v>
      </c>
    </row>
    <row r="399" spans="1:1" x14ac:dyDescent="0.2">
      <c r="A399">
        <v>0</v>
      </c>
    </row>
    <row r="400" spans="1:1" x14ac:dyDescent="0.2">
      <c r="A400">
        <v>0</v>
      </c>
    </row>
    <row r="401" spans="1:1" x14ac:dyDescent="0.2">
      <c r="A401">
        <v>0</v>
      </c>
    </row>
    <row r="402" spans="1:1" x14ac:dyDescent="0.2">
      <c r="A402">
        <v>0</v>
      </c>
    </row>
    <row r="403" spans="1:1" x14ac:dyDescent="0.2">
      <c r="A403">
        <v>0</v>
      </c>
    </row>
    <row r="404" spans="1:1" x14ac:dyDescent="0.2">
      <c r="A404">
        <v>0</v>
      </c>
    </row>
    <row r="405" spans="1:1" x14ac:dyDescent="0.2">
      <c r="A405">
        <v>0</v>
      </c>
    </row>
    <row r="406" spans="1:1" x14ac:dyDescent="0.2">
      <c r="A406">
        <v>0</v>
      </c>
    </row>
    <row r="407" spans="1:1" x14ac:dyDescent="0.2">
      <c r="A407">
        <v>0</v>
      </c>
    </row>
    <row r="408" spans="1:1" x14ac:dyDescent="0.2">
      <c r="A408">
        <v>0</v>
      </c>
    </row>
    <row r="409" spans="1:1" x14ac:dyDescent="0.2">
      <c r="A409">
        <v>0</v>
      </c>
    </row>
    <row r="410" spans="1:1" x14ac:dyDescent="0.2">
      <c r="A410">
        <v>0</v>
      </c>
    </row>
    <row r="411" spans="1:1" x14ac:dyDescent="0.2">
      <c r="A411">
        <v>0</v>
      </c>
    </row>
    <row r="412" spans="1:1" x14ac:dyDescent="0.2">
      <c r="A412">
        <v>0</v>
      </c>
    </row>
    <row r="413" spans="1:1" x14ac:dyDescent="0.2">
      <c r="A413">
        <v>0</v>
      </c>
    </row>
    <row r="414" spans="1:1" x14ac:dyDescent="0.2">
      <c r="A414">
        <v>0</v>
      </c>
    </row>
    <row r="415" spans="1:1" x14ac:dyDescent="0.2">
      <c r="A415">
        <v>0</v>
      </c>
    </row>
    <row r="416" spans="1:1" x14ac:dyDescent="0.2">
      <c r="A416">
        <v>0</v>
      </c>
    </row>
    <row r="417" spans="1:1" x14ac:dyDescent="0.2">
      <c r="A417">
        <v>0</v>
      </c>
    </row>
    <row r="418" spans="1:1" x14ac:dyDescent="0.2">
      <c r="A418">
        <v>0</v>
      </c>
    </row>
    <row r="419" spans="1:1" x14ac:dyDescent="0.2">
      <c r="A419">
        <v>0</v>
      </c>
    </row>
    <row r="420" spans="1:1" x14ac:dyDescent="0.2">
      <c r="A420">
        <v>0</v>
      </c>
    </row>
    <row r="421" spans="1:1" x14ac:dyDescent="0.2">
      <c r="A421">
        <v>0</v>
      </c>
    </row>
    <row r="422" spans="1:1" x14ac:dyDescent="0.2">
      <c r="A422">
        <v>0</v>
      </c>
    </row>
    <row r="423" spans="1:1" x14ac:dyDescent="0.2">
      <c r="A423">
        <v>0</v>
      </c>
    </row>
    <row r="424" spans="1:1" x14ac:dyDescent="0.2">
      <c r="A424">
        <v>0</v>
      </c>
    </row>
    <row r="425" spans="1:1" x14ac:dyDescent="0.2">
      <c r="A425">
        <v>0</v>
      </c>
    </row>
    <row r="426" spans="1:1" x14ac:dyDescent="0.2">
      <c r="A426">
        <v>0</v>
      </c>
    </row>
    <row r="427" spans="1:1" x14ac:dyDescent="0.2">
      <c r="A427">
        <v>0</v>
      </c>
    </row>
    <row r="428" spans="1:1" x14ac:dyDescent="0.2">
      <c r="A428">
        <v>0</v>
      </c>
    </row>
    <row r="429" spans="1:1" x14ac:dyDescent="0.2">
      <c r="A429">
        <v>0</v>
      </c>
    </row>
    <row r="430" spans="1:1" x14ac:dyDescent="0.2">
      <c r="A430">
        <v>0</v>
      </c>
    </row>
    <row r="431" spans="1:1" x14ac:dyDescent="0.2">
      <c r="A431">
        <v>0</v>
      </c>
    </row>
    <row r="432" spans="1:1" x14ac:dyDescent="0.2">
      <c r="A432">
        <v>0</v>
      </c>
    </row>
    <row r="433" spans="1:1" x14ac:dyDescent="0.2">
      <c r="A433">
        <v>0</v>
      </c>
    </row>
    <row r="434" spans="1:1" x14ac:dyDescent="0.2">
      <c r="A434">
        <v>0</v>
      </c>
    </row>
    <row r="435" spans="1:1" x14ac:dyDescent="0.2">
      <c r="A435">
        <v>0</v>
      </c>
    </row>
    <row r="436" spans="1:1" x14ac:dyDescent="0.2">
      <c r="A436">
        <v>0</v>
      </c>
    </row>
    <row r="437" spans="1:1" x14ac:dyDescent="0.2">
      <c r="A437">
        <v>0</v>
      </c>
    </row>
    <row r="438" spans="1:1" x14ac:dyDescent="0.2">
      <c r="A438">
        <v>0</v>
      </c>
    </row>
    <row r="439" spans="1:1" x14ac:dyDescent="0.2">
      <c r="A439">
        <v>0</v>
      </c>
    </row>
    <row r="440" spans="1:1" x14ac:dyDescent="0.2">
      <c r="A440" s="144">
        <v>0</v>
      </c>
    </row>
    <row r="441" spans="1:1" x14ac:dyDescent="0.2">
      <c r="A441">
        <v>0</v>
      </c>
    </row>
    <row r="442" spans="1:1" x14ac:dyDescent="0.2">
      <c r="A442">
        <v>0</v>
      </c>
    </row>
    <row r="443" spans="1:1" x14ac:dyDescent="0.2">
      <c r="A443">
        <v>0</v>
      </c>
    </row>
    <row r="444" spans="1:1" x14ac:dyDescent="0.2">
      <c r="A444">
        <v>0</v>
      </c>
    </row>
    <row r="445" spans="1:1" x14ac:dyDescent="0.2">
      <c r="A445">
        <v>0</v>
      </c>
    </row>
    <row r="446" spans="1:1" x14ac:dyDescent="0.2">
      <c r="A446">
        <v>0</v>
      </c>
    </row>
    <row r="447" spans="1:1" x14ac:dyDescent="0.2">
      <c r="A447">
        <v>0</v>
      </c>
    </row>
    <row r="448" spans="1:1" x14ac:dyDescent="0.2">
      <c r="A448">
        <v>0</v>
      </c>
    </row>
    <row r="449" spans="1:4" x14ac:dyDescent="0.2">
      <c r="A449">
        <v>0</v>
      </c>
    </row>
    <row r="450" spans="1:4" x14ac:dyDescent="0.2">
      <c r="A450">
        <v>0</v>
      </c>
    </row>
    <row r="451" spans="1:4" x14ac:dyDescent="0.2">
      <c r="A451" s="145">
        <v>0</v>
      </c>
      <c r="B451" s="145"/>
    </row>
    <row r="452" spans="1:4" x14ac:dyDescent="0.2">
      <c r="A452" s="145" t="s">
        <v>712</v>
      </c>
      <c r="B452" s="145"/>
      <c r="C452" s="420">
        <f>+F247</f>
        <v>0</v>
      </c>
      <c r="D452" s="421" t="s">
        <v>118</v>
      </c>
    </row>
    <row r="453" spans="1:4" x14ac:dyDescent="0.2">
      <c r="A453" s="145" t="s">
        <v>709</v>
      </c>
      <c r="B453" s="145"/>
      <c r="C453" s="420">
        <f>+F232</f>
        <v>0</v>
      </c>
      <c r="D453" s="421" t="s">
        <v>118</v>
      </c>
    </row>
    <row r="454" spans="1:4" x14ac:dyDescent="0.2">
      <c r="A454" s="145" t="s">
        <v>704</v>
      </c>
      <c r="B454" s="145" t="s">
        <v>448</v>
      </c>
      <c r="C454" s="420">
        <f>+D203</f>
        <v>0</v>
      </c>
      <c r="D454" s="421" t="s">
        <v>118</v>
      </c>
    </row>
    <row r="455" spans="1:4" x14ac:dyDescent="0.2">
      <c r="A455" s="145" t="s">
        <v>704</v>
      </c>
      <c r="B455" s="145" t="s">
        <v>451</v>
      </c>
      <c r="C455" s="420">
        <f>+E203</f>
        <v>0</v>
      </c>
      <c r="D455" s="421" t="s">
        <v>118</v>
      </c>
    </row>
    <row r="456" spans="1:4" x14ac:dyDescent="0.2">
      <c r="A456" s="1143"/>
      <c r="B456" s="1143"/>
      <c r="C456" s="1144"/>
      <c r="D456" s="1145"/>
    </row>
    <row r="457" spans="1:4" x14ac:dyDescent="0.2">
      <c r="A457" s="145" t="s">
        <v>699</v>
      </c>
      <c r="B457" s="145"/>
      <c r="C457" s="420">
        <f>+D188</f>
        <v>0</v>
      </c>
      <c r="D457" s="421" t="s">
        <v>118</v>
      </c>
    </row>
    <row r="458" spans="1:4" x14ac:dyDescent="0.2">
      <c r="A458" s="145" t="s">
        <v>110</v>
      </c>
      <c r="B458" s="145"/>
      <c r="C458" s="420">
        <f>+I84+I85+I107+I108+I134+I149+I164+F215+F233+F248</f>
        <v>0</v>
      </c>
      <c r="D458" s="421" t="s">
        <v>667</v>
      </c>
    </row>
    <row r="459" spans="1:4" x14ac:dyDescent="0.2">
      <c r="A459" s="145" t="s">
        <v>691</v>
      </c>
      <c r="B459" s="145"/>
      <c r="C459" s="420">
        <f>+I151+I166</f>
        <v>0</v>
      </c>
      <c r="D459" s="421" t="s">
        <v>667</v>
      </c>
    </row>
    <row r="460" spans="1:4" x14ac:dyDescent="0.2">
      <c r="A460" s="145" t="s">
        <v>700</v>
      </c>
      <c r="B460" s="145"/>
      <c r="C460" s="420">
        <f>+D189</f>
        <v>0</v>
      </c>
      <c r="D460" s="421" t="s">
        <v>118</v>
      </c>
    </row>
    <row r="461" spans="1:4" x14ac:dyDescent="0.2">
      <c r="A461" s="145" t="s">
        <v>637</v>
      </c>
      <c r="B461" s="145"/>
      <c r="C461" s="420">
        <f>+C280+C283+G297</f>
        <v>0</v>
      </c>
      <c r="D461" s="421" t="s">
        <v>118</v>
      </c>
    </row>
    <row r="462" spans="1:4" x14ac:dyDescent="0.2">
      <c r="A462" s="145" t="s">
        <v>671</v>
      </c>
      <c r="B462" s="145">
        <v>0.28000000000000003</v>
      </c>
      <c r="C462" s="420">
        <f>+C54+C81+C104+C127</f>
        <v>0</v>
      </c>
      <c r="D462" s="421" t="s">
        <v>118</v>
      </c>
    </row>
    <row r="463" spans="1:4" x14ac:dyDescent="0.2">
      <c r="A463" s="145" t="s">
        <v>671</v>
      </c>
      <c r="B463" s="145">
        <v>0.56000000000000005</v>
      </c>
      <c r="C463" s="420">
        <f>+D54+D81+D104+D127</f>
        <v>0</v>
      </c>
      <c r="D463" s="421" t="s">
        <v>118</v>
      </c>
    </row>
    <row r="464" spans="1:4" x14ac:dyDescent="0.2">
      <c r="A464" s="145" t="s">
        <v>671</v>
      </c>
      <c r="B464" s="145">
        <v>0.7</v>
      </c>
      <c r="C464" s="420">
        <f>+E54+E81+E104+E127</f>
        <v>0</v>
      </c>
      <c r="D464" s="421" t="s">
        <v>118</v>
      </c>
    </row>
    <row r="465" spans="1:4" x14ac:dyDescent="0.2">
      <c r="A465" s="145" t="s">
        <v>671</v>
      </c>
      <c r="B465" s="145">
        <v>0.84</v>
      </c>
      <c r="C465" s="420">
        <f>+F54+F81+F104+F127</f>
        <v>0</v>
      </c>
      <c r="D465" s="421" t="s">
        <v>118</v>
      </c>
    </row>
    <row r="466" spans="1:4" x14ac:dyDescent="0.2">
      <c r="A466" s="145" t="s">
        <v>671</v>
      </c>
      <c r="B466" s="145">
        <v>1.1200000000000001</v>
      </c>
      <c r="C466" s="420">
        <f>+G54+G81+G104+G127</f>
        <v>0</v>
      </c>
      <c r="D466" s="421" t="s">
        <v>118</v>
      </c>
    </row>
    <row r="467" spans="1:4" x14ac:dyDescent="0.2">
      <c r="A467" s="145" t="s">
        <v>671</v>
      </c>
      <c r="B467" s="145">
        <v>1.4</v>
      </c>
      <c r="C467" s="420">
        <f>+H54+H81+H104+H127</f>
        <v>0</v>
      </c>
      <c r="D467" s="421" t="s">
        <v>118</v>
      </c>
    </row>
    <row r="468" spans="1:4" x14ac:dyDescent="0.2">
      <c r="A468" s="145" t="s">
        <v>658</v>
      </c>
      <c r="B468" s="145"/>
      <c r="C468" s="420">
        <f>(+J319)</f>
        <v>0</v>
      </c>
      <c r="D468" s="421" t="s">
        <v>667</v>
      </c>
    </row>
    <row r="469" spans="1:4" x14ac:dyDescent="0.2">
      <c r="A469" s="145" t="s">
        <v>675</v>
      </c>
      <c r="B469" s="145"/>
      <c r="C469" s="420">
        <f>(+I60+I76+I99+I122+I144+I158)</f>
        <v>0</v>
      </c>
      <c r="D469" s="421" t="s">
        <v>667</v>
      </c>
    </row>
    <row r="470" spans="1:4" x14ac:dyDescent="0.2">
      <c r="A470" s="145" t="s">
        <v>681</v>
      </c>
      <c r="B470" s="145"/>
      <c r="C470" s="420">
        <f>+I129</f>
        <v>0</v>
      </c>
      <c r="D470" s="421" t="s">
        <v>118</v>
      </c>
    </row>
    <row r="471" spans="1:4" x14ac:dyDescent="0.2">
      <c r="A471" s="145" t="s">
        <v>665</v>
      </c>
      <c r="B471" s="145"/>
      <c r="C471" s="420">
        <f>+J332</f>
        <v>0</v>
      </c>
      <c r="D471" s="421" t="s">
        <v>118</v>
      </c>
    </row>
    <row r="472" spans="1:4" x14ac:dyDescent="0.2">
      <c r="A472" s="145" t="s">
        <v>655</v>
      </c>
      <c r="B472" s="145"/>
      <c r="C472" s="420">
        <f>+J314+J320+J326</f>
        <v>0</v>
      </c>
      <c r="D472" s="421" t="s">
        <v>118</v>
      </c>
    </row>
    <row r="473" spans="1:4" x14ac:dyDescent="0.2">
      <c r="A473" s="145" t="s">
        <v>683</v>
      </c>
      <c r="B473" s="145"/>
      <c r="C473" s="420">
        <f>+I131</f>
        <v>0</v>
      </c>
      <c r="D473" s="421" t="s">
        <v>118</v>
      </c>
    </row>
    <row r="474" spans="1:4" x14ac:dyDescent="0.2">
      <c r="A474" s="145" t="s">
        <v>696</v>
      </c>
      <c r="B474" s="145"/>
      <c r="C474" s="420">
        <f>+D182</f>
        <v>0</v>
      </c>
      <c r="D474" s="421" t="s">
        <v>118</v>
      </c>
    </row>
    <row r="475" spans="1:4" x14ac:dyDescent="0.2">
      <c r="A475" s="145" t="s">
        <v>707</v>
      </c>
      <c r="B475" s="145"/>
      <c r="C475" s="420">
        <f>+F220</f>
        <v>0</v>
      </c>
      <c r="D475" s="421" t="s">
        <v>118</v>
      </c>
    </row>
    <row r="476" spans="1:4" x14ac:dyDescent="0.2">
      <c r="A476" s="145" t="s">
        <v>711</v>
      </c>
      <c r="B476" s="145"/>
      <c r="C476" s="420">
        <f>+F240</f>
        <v>0</v>
      </c>
      <c r="D476" s="421" t="s">
        <v>118</v>
      </c>
    </row>
    <row r="477" spans="1:4" x14ac:dyDescent="0.2">
      <c r="A477" s="145" t="s">
        <v>669</v>
      </c>
      <c r="B477" s="145">
        <v>0.28000000000000003</v>
      </c>
      <c r="C477" s="420">
        <f>+C51</f>
        <v>0</v>
      </c>
      <c r="D477" s="421" t="s">
        <v>118</v>
      </c>
    </row>
    <row r="478" spans="1:4" x14ac:dyDescent="0.2">
      <c r="A478" s="145" t="s">
        <v>669</v>
      </c>
      <c r="B478" s="145">
        <v>0.56000000000000005</v>
      </c>
      <c r="C478" s="420">
        <f>+D51</f>
        <v>0</v>
      </c>
      <c r="D478" s="421" t="s">
        <v>118</v>
      </c>
    </row>
    <row r="479" spans="1:4" x14ac:dyDescent="0.2">
      <c r="A479" s="145" t="s">
        <v>669</v>
      </c>
      <c r="B479" s="145">
        <v>0.7</v>
      </c>
      <c r="C479" s="420">
        <f>+E51</f>
        <v>0</v>
      </c>
      <c r="D479" s="421" t="s">
        <v>118</v>
      </c>
    </row>
    <row r="480" spans="1:4" x14ac:dyDescent="0.2">
      <c r="A480" s="145" t="s">
        <v>669</v>
      </c>
      <c r="B480" s="145">
        <v>0.84</v>
      </c>
      <c r="C480" s="420">
        <f>+F51</f>
        <v>0</v>
      </c>
      <c r="D480" s="421" t="s">
        <v>118</v>
      </c>
    </row>
    <row r="481" spans="1:4" x14ac:dyDescent="0.2">
      <c r="A481" s="145" t="s">
        <v>669</v>
      </c>
      <c r="B481" s="145">
        <v>1.1200000000000001</v>
      </c>
      <c r="C481" s="420">
        <f>+G51</f>
        <v>0</v>
      </c>
      <c r="D481" s="421" t="s">
        <v>118</v>
      </c>
    </row>
    <row r="482" spans="1:4" x14ac:dyDescent="0.2">
      <c r="A482" s="145" t="s">
        <v>669</v>
      </c>
      <c r="B482" s="145">
        <v>1.4</v>
      </c>
      <c r="C482" s="420">
        <f>+H51</f>
        <v>0</v>
      </c>
      <c r="D482" s="421" t="s">
        <v>118</v>
      </c>
    </row>
    <row r="483" spans="1:4" x14ac:dyDescent="0.2">
      <c r="A483" s="145" t="s">
        <v>678</v>
      </c>
      <c r="B483" s="145">
        <v>0.28000000000000003</v>
      </c>
      <c r="C483" s="420">
        <f>+C94</f>
        <v>0</v>
      </c>
      <c r="D483" s="421" t="s">
        <v>118</v>
      </c>
    </row>
    <row r="484" spans="1:4" x14ac:dyDescent="0.2">
      <c r="A484" s="145" t="s">
        <v>678</v>
      </c>
      <c r="B484" s="145">
        <v>0.56000000000000005</v>
      </c>
      <c r="C484" s="420">
        <f>+D94</f>
        <v>0</v>
      </c>
      <c r="D484" s="421" t="s">
        <v>118</v>
      </c>
    </row>
    <row r="485" spans="1:4" x14ac:dyDescent="0.2">
      <c r="A485" s="145" t="s">
        <v>678</v>
      </c>
      <c r="B485" s="145">
        <v>0.7</v>
      </c>
      <c r="C485" s="420">
        <f>+E94</f>
        <v>0</v>
      </c>
      <c r="D485" s="421" t="s">
        <v>118</v>
      </c>
    </row>
    <row r="486" spans="1:4" x14ac:dyDescent="0.2">
      <c r="A486" s="145" t="s">
        <v>678</v>
      </c>
      <c r="B486" s="145">
        <v>0.84</v>
      </c>
      <c r="C486" s="420">
        <f>+F94</f>
        <v>0</v>
      </c>
      <c r="D486" s="421" t="s">
        <v>118</v>
      </c>
    </row>
    <row r="487" spans="1:4" x14ac:dyDescent="0.2">
      <c r="A487" s="145" t="s">
        <v>678</v>
      </c>
      <c r="B487" s="145">
        <v>1.1200000000000001</v>
      </c>
      <c r="C487" s="420">
        <f>+G94</f>
        <v>0</v>
      </c>
      <c r="D487" s="421" t="s">
        <v>118</v>
      </c>
    </row>
    <row r="488" spans="1:4" x14ac:dyDescent="0.2">
      <c r="A488" s="145" t="s">
        <v>678</v>
      </c>
      <c r="B488" s="145">
        <v>1.4</v>
      </c>
      <c r="C488" s="420">
        <f>+H94</f>
        <v>0</v>
      </c>
      <c r="D488" s="421" t="s">
        <v>118</v>
      </c>
    </row>
    <row r="489" spans="1:4" x14ac:dyDescent="0.2">
      <c r="A489" s="145" t="s">
        <v>703</v>
      </c>
      <c r="B489" s="145" t="s">
        <v>443</v>
      </c>
      <c r="C489" s="420">
        <f>+C201</f>
        <v>0</v>
      </c>
      <c r="D489" s="421" t="s">
        <v>118</v>
      </c>
    </row>
    <row r="490" spans="1:4" x14ac:dyDescent="0.2">
      <c r="A490" s="145" t="s">
        <v>703</v>
      </c>
      <c r="B490" s="145" t="s">
        <v>451</v>
      </c>
      <c r="C490" s="420">
        <f>+E201</f>
        <v>0</v>
      </c>
      <c r="D490" s="421" t="s">
        <v>118</v>
      </c>
    </row>
    <row r="491" spans="1:4" x14ac:dyDescent="0.2">
      <c r="A491" s="145" t="s">
        <v>680</v>
      </c>
      <c r="B491" s="145">
        <v>0.28000000000000003</v>
      </c>
      <c r="C491" s="420">
        <f>+C117</f>
        <v>0</v>
      </c>
      <c r="D491" s="421" t="s">
        <v>118</v>
      </c>
    </row>
    <row r="492" spans="1:4" x14ac:dyDescent="0.2">
      <c r="A492" s="145" t="s">
        <v>680</v>
      </c>
      <c r="B492" s="145">
        <v>0.56000000000000005</v>
      </c>
      <c r="C492" s="420">
        <f>+D117</f>
        <v>0</v>
      </c>
      <c r="D492" s="421" t="s">
        <v>118</v>
      </c>
    </row>
    <row r="493" spans="1:4" x14ac:dyDescent="0.2">
      <c r="A493" s="145" t="s">
        <v>680</v>
      </c>
      <c r="B493" s="145">
        <v>0.7</v>
      </c>
      <c r="C493" s="420">
        <f>+E117</f>
        <v>0</v>
      </c>
      <c r="D493" s="421" t="s">
        <v>118</v>
      </c>
    </row>
    <row r="494" spans="1:4" x14ac:dyDescent="0.2">
      <c r="A494" s="145" t="s">
        <v>680</v>
      </c>
      <c r="B494" s="145">
        <v>0.84</v>
      </c>
      <c r="C494" s="420">
        <f>+F117</f>
        <v>0</v>
      </c>
      <c r="D494" s="421" t="s">
        <v>118</v>
      </c>
    </row>
    <row r="495" spans="1:4" x14ac:dyDescent="0.2">
      <c r="A495" s="145" t="s">
        <v>680</v>
      </c>
      <c r="B495" s="145">
        <v>1.1200000000000001</v>
      </c>
      <c r="C495" s="420">
        <f>+G117</f>
        <v>0</v>
      </c>
      <c r="D495" s="421" t="s">
        <v>118</v>
      </c>
    </row>
    <row r="496" spans="1:4" x14ac:dyDescent="0.2">
      <c r="A496" s="145" t="s">
        <v>680</v>
      </c>
      <c r="B496" s="145">
        <v>1.4</v>
      </c>
      <c r="C496" s="420">
        <f>+H117</f>
        <v>0</v>
      </c>
      <c r="D496" s="421" t="s">
        <v>118</v>
      </c>
    </row>
    <row r="497" spans="1:4" x14ac:dyDescent="0.2">
      <c r="A497" s="145" t="s">
        <v>692</v>
      </c>
      <c r="B497" s="145">
        <v>0.28000000000000003</v>
      </c>
      <c r="C497" s="420">
        <f>+C156</f>
        <v>0</v>
      </c>
      <c r="D497" s="421" t="s">
        <v>118</v>
      </c>
    </row>
    <row r="498" spans="1:4" x14ac:dyDescent="0.2">
      <c r="A498" s="145" t="s">
        <v>692</v>
      </c>
      <c r="B498" s="145">
        <v>0.56000000000000005</v>
      </c>
      <c r="C498" s="420">
        <f>+D156</f>
        <v>0</v>
      </c>
      <c r="D498" s="421" t="s">
        <v>118</v>
      </c>
    </row>
    <row r="499" spans="1:4" x14ac:dyDescent="0.2">
      <c r="A499" s="145" t="s">
        <v>692</v>
      </c>
      <c r="B499" s="145">
        <v>0.7</v>
      </c>
      <c r="C499" s="420">
        <f>+E156</f>
        <v>0</v>
      </c>
      <c r="D499" s="421" t="s">
        <v>118</v>
      </c>
    </row>
    <row r="500" spans="1:4" x14ac:dyDescent="0.2">
      <c r="A500" s="145" t="s">
        <v>692</v>
      </c>
      <c r="B500" s="145">
        <v>0.84</v>
      </c>
      <c r="C500" s="420">
        <f>+F156</f>
        <v>0</v>
      </c>
      <c r="D500" s="421" t="s">
        <v>118</v>
      </c>
    </row>
    <row r="501" spans="1:4" x14ac:dyDescent="0.2">
      <c r="A501" s="145" t="s">
        <v>692</v>
      </c>
      <c r="B501" s="145">
        <v>1.1200000000000001</v>
      </c>
      <c r="C501" s="420">
        <f>+G156</f>
        <v>0</v>
      </c>
      <c r="D501" s="421" t="s">
        <v>118</v>
      </c>
    </row>
    <row r="502" spans="1:4" x14ac:dyDescent="0.2">
      <c r="A502" s="145" t="s">
        <v>692</v>
      </c>
      <c r="B502" s="145">
        <v>1.4</v>
      </c>
      <c r="C502" s="420">
        <f>+H156</f>
        <v>0</v>
      </c>
      <c r="D502" s="421" t="s">
        <v>118</v>
      </c>
    </row>
    <row r="503" spans="1:4" x14ac:dyDescent="0.2">
      <c r="A503" s="145" t="s">
        <v>685</v>
      </c>
      <c r="B503" s="145">
        <v>0.28000000000000003</v>
      </c>
      <c r="C503" s="420">
        <f>+C142</f>
        <v>0</v>
      </c>
      <c r="D503" s="421" t="s">
        <v>118</v>
      </c>
    </row>
    <row r="504" spans="1:4" x14ac:dyDescent="0.2">
      <c r="A504" s="145" t="s">
        <v>685</v>
      </c>
      <c r="B504" s="145">
        <v>0.56000000000000005</v>
      </c>
      <c r="C504" s="420">
        <f>+D142</f>
        <v>0</v>
      </c>
      <c r="D504" s="421" t="s">
        <v>118</v>
      </c>
    </row>
    <row r="505" spans="1:4" x14ac:dyDescent="0.2">
      <c r="A505" s="145" t="s">
        <v>685</v>
      </c>
      <c r="B505" s="145">
        <v>0.7</v>
      </c>
      <c r="C505" s="420">
        <f>+E142</f>
        <v>0</v>
      </c>
      <c r="D505" s="421" t="s">
        <v>118</v>
      </c>
    </row>
    <row r="506" spans="1:4" x14ac:dyDescent="0.2">
      <c r="A506" s="145" t="s">
        <v>685</v>
      </c>
      <c r="B506" s="145">
        <v>0.84</v>
      </c>
      <c r="C506" s="420">
        <f>+F142</f>
        <v>0</v>
      </c>
      <c r="D506" s="421" t="s">
        <v>118</v>
      </c>
    </row>
    <row r="507" spans="1:4" x14ac:dyDescent="0.2">
      <c r="A507" s="145" t="s">
        <v>685</v>
      </c>
      <c r="B507" s="145">
        <v>1.1200000000000001</v>
      </c>
      <c r="C507" s="420">
        <f>+G142</f>
        <v>0</v>
      </c>
      <c r="D507" s="421" t="s">
        <v>118</v>
      </c>
    </row>
    <row r="508" spans="1:4" x14ac:dyDescent="0.2">
      <c r="A508" s="145" t="s">
        <v>685</v>
      </c>
      <c r="B508" s="145">
        <v>1.4</v>
      </c>
      <c r="C508" s="420">
        <f>+H142</f>
        <v>0</v>
      </c>
      <c r="D508" s="421" t="s">
        <v>118</v>
      </c>
    </row>
    <row r="509" spans="1:4" x14ac:dyDescent="0.2">
      <c r="A509" s="145" t="s">
        <v>674</v>
      </c>
      <c r="B509" s="145"/>
      <c r="C509" s="420">
        <f>+I58+I78+I101+I124+F208+C296+C305</f>
        <v>0</v>
      </c>
      <c r="D509" s="421" t="s">
        <v>118</v>
      </c>
    </row>
    <row r="510" spans="1:4" x14ac:dyDescent="0.2">
      <c r="A510" s="145" t="s">
        <v>672</v>
      </c>
      <c r="B510" s="145"/>
      <c r="C510" s="420">
        <f>(+I55+I75+I98+I121+D184+G273+I150+I165)*1.1</f>
        <v>0</v>
      </c>
      <c r="D510" s="421" t="s">
        <v>667</v>
      </c>
    </row>
    <row r="511" spans="1:4" x14ac:dyDescent="0.2">
      <c r="A511" s="145" t="s">
        <v>635</v>
      </c>
      <c r="B511" s="145"/>
      <c r="C511" s="420">
        <f>(+I52+I72+I95+I118+D181+F205+G275+G294)*1.1</f>
        <v>0</v>
      </c>
      <c r="D511" s="421" t="s">
        <v>667</v>
      </c>
    </row>
    <row r="512" spans="1:4" x14ac:dyDescent="0.2">
      <c r="A512" s="145" t="s">
        <v>628</v>
      </c>
      <c r="B512" s="145"/>
      <c r="C512" s="420">
        <f>+F223+F243</f>
        <v>0</v>
      </c>
      <c r="D512" s="421" t="s">
        <v>118</v>
      </c>
    </row>
    <row r="513" spans="1:4" x14ac:dyDescent="0.2">
      <c r="A513" s="145" t="s">
        <v>710</v>
      </c>
      <c r="B513" s="145"/>
      <c r="C513" s="420">
        <f>+F235+F250</f>
        <v>0</v>
      </c>
      <c r="D513" s="421" t="s">
        <v>118</v>
      </c>
    </row>
    <row r="514" spans="1:4" x14ac:dyDescent="0.2">
      <c r="A514" s="145" t="s">
        <v>653</v>
      </c>
      <c r="B514" s="145"/>
      <c r="C514" s="420">
        <f>+F214+F224+F234+F244+F249</f>
        <v>0</v>
      </c>
      <c r="D514" s="421" t="s">
        <v>118</v>
      </c>
    </row>
    <row r="515" spans="1:4" x14ac:dyDescent="0.2">
      <c r="A515" s="145" t="s">
        <v>670</v>
      </c>
      <c r="B515" s="145"/>
      <c r="C515" s="420">
        <f>+I53+I74+I97+I120+F209+I143+I157</f>
        <v>0</v>
      </c>
      <c r="D515" s="421" t="s">
        <v>118</v>
      </c>
    </row>
    <row r="516" spans="1:4" x14ac:dyDescent="0.2">
      <c r="A516" s="145" t="s">
        <v>664</v>
      </c>
      <c r="B516" s="145"/>
      <c r="C516" s="420">
        <f>(+J331)</f>
        <v>0</v>
      </c>
      <c r="D516" s="421" t="s">
        <v>667</v>
      </c>
    </row>
    <row r="517" spans="1:4" x14ac:dyDescent="0.2">
      <c r="A517" s="145" t="s">
        <v>661</v>
      </c>
      <c r="B517" s="145"/>
      <c r="C517" s="420">
        <f>(+J325)</f>
        <v>0</v>
      </c>
      <c r="D517" s="421" t="s">
        <v>667</v>
      </c>
    </row>
    <row r="518" spans="1:4" x14ac:dyDescent="0.2">
      <c r="A518" s="145" t="s">
        <v>647</v>
      </c>
      <c r="B518" s="145"/>
      <c r="C518" s="420">
        <f>(+G260)*1.1</f>
        <v>0</v>
      </c>
      <c r="D518" s="421" t="s">
        <v>667</v>
      </c>
    </row>
    <row r="519" spans="1:4" x14ac:dyDescent="0.2">
      <c r="A519" s="145" t="s">
        <v>645</v>
      </c>
      <c r="B519" s="145"/>
      <c r="C519" s="420">
        <f>(+G256)*1.1</f>
        <v>0</v>
      </c>
      <c r="D519" s="421" t="s">
        <v>667</v>
      </c>
    </row>
    <row r="520" spans="1:4" x14ac:dyDescent="0.2">
      <c r="A520" s="145" t="s">
        <v>649</v>
      </c>
      <c r="B520" s="145"/>
      <c r="C520" s="420">
        <f>(+G264)*1.1</f>
        <v>0</v>
      </c>
      <c r="D520" s="421" t="s">
        <v>667</v>
      </c>
    </row>
    <row r="521" spans="1:4" x14ac:dyDescent="0.2">
      <c r="A521" s="145" t="s">
        <v>695</v>
      </c>
      <c r="B521" s="145"/>
      <c r="C521" s="420">
        <f>+D180</f>
        <v>0</v>
      </c>
      <c r="D521" s="421" t="s">
        <v>118</v>
      </c>
    </row>
    <row r="522" spans="1:4" x14ac:dyDescent="0.2">
      <c r="A522" s="145" t="s">
        <v>688</v>
      </c>
      <c r="B522" s="145"/>
      <c r="C522" s="420">
        <f>+I148+I163</f>
        <v>0</v>
      </c>
      <c r="D522" s="421" t="s">
        <v>118</v>
      </c>
    </row>
    <row r="523" spans="1:4" x14ac:dyDescent="0.2">
      <c r="A523" s="145" t="s">
        <v>705</v>
      </c>
      <c r="B523" s="145"/>
      <c r="C523" s="420">
        <f>+F206</f>
        <v>0</v>
      </c>
      <c r="D523" s="421" t="s">
        <v>118</v>
      </c>
    </row>
    <row r="524" spans="1:4" x14ac:dyDescent="0.2">
      <c r="A524" s="145" t="s">
        <v>708</v>
      </c>
      <c r="B524" s="145"/>
      <c r="C524" s="420">
        <f>+F222+F242</f>
        <v>0</v>
      </c>
      <c r="D524" s="421" t="s">
        <v>118</v>
      </c>
    </row>
    <row r="525" spans="1:4" x14ac:dyDescent="0.2">
      <c r="A525" s="145" t="s">
        <v>641</v>
      </c>
      <c r="B525" s="145"/>
      <c r="C525" s="420">
        <f>+I59+I73+I96+I119+F204+C304</f>
        <v>0</v>
      </c>
      <c r="D525" s="421" t="s">
        <v>118</v>
      </c>
    </row>
    <row r="526" spans="1:4" x14ac:dyDescent="0.2">
      <c r="A526" s="422" t="s">
        <v>643</v>
      </c>
      <c r="B526" s="145"/>
      <c r="C526" s="420">
        <f>+D183+C295+C303</f>
        <v>0</v>
      </c>
      <c r="D526" s="421" t="s">
        <v>118</v>
      </c>
    </row>
    <row r="527" spans="1:4" x14ac:dyDescent="0.2">
      <c r="A527" s="145" t="s">
        <v>701</v>
      </c>
      <c r="B527" s="145"/>
      <c r="C527" s="420">
        <f>+D190+C278+C284+G298</f>
        <v>0</v>
      </c>
      <c r="D527" s="421" t="s">
        <v>118</v>
      </c>
    </row>
    <row r="528" spans="1:4" x14ac:dyDescent="0.2">
      <c r="A528" s="145" t="s">
        <v>682</v>
      </c>
      <c r="B528" s="145"/>
      <c r="C528" s="420">
        <f>+I130</f>
        <v>0</v>
      </c>
      <c r="D528" s="421" t="s">
        <v>118</v>
      </c>
    </row>
    <row r="529" spans="1:4" x14ac:dyDescent="0.2">
      <c r="A529" s="145" t="s">
        <v>627</v>
      </c>
      <c r="B529" s="145"/>
      <c r="C529" s="420">
        <f>+F221+F241+C279+C289</f>
        <v>0</v>
      </c>
      <c r="D529" s="421" t="s">
        <v>118</v>
      </c>
    </row>
    <row r="530" spans="1:4" x14ac:dyDescent="0.2">
      <c r="A530" s="145" t="s">
        <v>698</v>
      </c>
      <c r="B530" s="145"/>
      <c r="C530" s="420">
        <f>+D187</f>
        <v>0</v>
      </c>
      <c r="D530" s="421" t="s">
        <v>118</v>
      </c>
    </row>
    <row r="531" spans="1:4" x14ac:dyDescent="0.2">
      <c r="A531" s="145" t="s">
        <v>673</v>
      </c>
      <c r="B531" s="145"/>
      <c r="C531" s="420">
        <f>+I57+I77+I100+I123+D186+F207+I145+I159</f>
        <v>0</v>
      </c>
      <c r="D531" s="421" t="s">
        <v>118</v>
      </c>
    </row>
    <row r="532" spans="1:4" x14ac:dyDescent="0.2">
      <c r="A532" s="145" t="s">
        <v>676</v>
      </c>
      <c r="B532" s="145"/>
      <c r="C532" s="420">
        <f>(+I63+I86+I109+I135+D191+G267+G268)*1.1</f>
        <v>0</v>
      </c>
      <c r="D532" s="421" t="s">
        <v>667</v>
      </c>
    </row>
    <row r="533" spans="1:4" x14ac:dyDescent="0.2">
      <c r="A533" s="145" t="s">
        <v>677</v>
      </c>
      <c r="B533" s="145">
        <v>0.28000000000000003</v>
      </c>
      <c r="C533" s="420">
        <f>+C83</f>
        <v>0</v>
      </c>
      <c r="D533" s="421" t="s">
        <v>118</v>
      </c>
    </row>
    <row r="534" spans="1:4" x14ac:dyDescent="0.2">
      <c r="A534" s="145" t="s">
        <v>677</v>
      </c>
      <c r="B534" s="145">
        <v>0.56000000000000005</v>
      </c>
      <c r="C534" s="420">
        <f>+D83</f>
        <v>0</v>
      </c>
      <c r="D534" s="421" t="s">
        <v>118</v>
      </c>
    </row>
    <row r="535" spans="1:4" x14ac:dyDescent="0.2">
      <c r="A535" s="145" t="s">
        <v>677</v>
      </c>
      <c r="B535" s="145">
        <v>0.7</v>
      </c>
      <c r="C535" s="420">
        <f>+E83</f>
        <v>0</v>
      </c>
      <c r="D535" s="421" t="s">
        <v>118</v>
      </c>
    </row>
    <row r="536" spans="1:4" x14ac:dyDescent="0.2">
      <c r="A536" s="145" t="s">
        <v>677</v>
      </c>
      <c r="B536" s="145">
        <v>0.84</v>
      </c>
      <c r="C536" s="420">
        <f>+F83</f>
        <v>0</v>
      </c>
      <c r="D536" s="421" t="s">
        <v>118</v>
      </c>
    </row>
    <row r="537" spans="1:4" x14ac:dyDescent="0.2">
      <c r="A537" s="145" t="s">
        <v>677</v>
      </c>
      <c r="B537" s="145">
        <v>1.1200000000000001</v>
      </c>
      <c r="C537" s="420">
        <f>+G83</f>
        <v>0</v>
      </c>
      <c r="D537" s="421" t="s">
        <v>118</v>
      </c>
    </row>
    <row r="538" spans="1:4" x14ac:dyDescent="0.2">
      <c r="A538" s="145" t="s">
        <v>677</v>
      </c>
      <c r="B538" s="145">
        <v>1.4</v>
      </c>
      <c r="C538" s="420">
        <f>+H83</f>
        <v>0</v>
      </c>
      <c r="D538" s="421" t="s">
        <v>118</v>
      </c>
    </row>
    <row r="539" spans="1:4" x14ac:dyDescent="0.2">
      <c r="A539" s="145" t="s">
        <v>679</v>
      </c>
      <c r="B539" s="145">
        <v>0.28000000000000003</v>
      </c>
      <c r="C539" s="420">
        <f>+C106</f>
        <v>0</v>
      </c>
      <c r="D539" s="421" t="s">
        <v>118</v>
      </c>
    </row>
    <row r="540" spans="1:4" x14ac:dyDescent="0.2">
      <c r="A540" s="145" t="s">
        <v>679</v>
      </c>
      <c r="B540" s="145">
        <v>0.56000000000000005</v>
      </c>
      <c r="C540" s="420">
        <f>+D106</f>
        <v>0</v>
      </c>
      <c r="D540" s="421" t="s">
        <v>118</v>
      </c>
    </row>
    <row r="541" spans="1:4" x14ac:dyDescent="0.2">
      <c r="A541" s="145" t="s">
        <v>679</v>
      </c>
      <c r="B541" s="145">
        <v>0.7</v>
      </c>
      <c r="C541" s="420">
        <f>+E106</f>
        <v>0</v>
      </c>
      <c r="D541" s="421" t="s">
        <v>118</v>
      </c>
    </row>
    <row r="542" spans="1:4" x14ac:dyDescent="0.2">
      <c r="A542" s="145" t="s">
        <v>679</v>
      </c>
      <c r="B542" s="145">
        <v>0.84</v>
      </c>
      <c r="C542" s="420">
        <f>+F106</f>
        <v>0</v>
      </c>
      <c r="D542" s="421" t="s">
        <v>118</v>
      </c>
    </row>
    <row r="543" spans="1:4" x14ac:dyDescent="0.2">
      <c r="A543" s="145" t="s">
        <v>679</v>
      </c>
      <c r="B543" s="145">
        <v>1.1200000000000001</v>
      </c>
      <c r="C543" s="420">
        <f>+G106</f>
        <v>0</v>
      </c>
      <c r="D543" s="421" t="s">
        <v>118</v>
      </c>
    </row>
    <row r="544" spans="1:4" x14ac:dyDescent="0.2">
      <c r="A544" s="145" t="s">
        <v>679</v>
      </c>
      <c r="B544" s="145">
        <v>1.4</v>
      </c>
      <c r="C544" s="420">
        <f>+H106</f>
        <v>0</v>
      </c>
      <c r="D544" s="421" t="s">
        <v>118</v>
      </c>
    </row>
    <row r="545" spans="1:4" x14ac:dyDescent="0.2">
      <c r="A545" s="145" t="s">
        <v>693</v>
      </c>
      <c r="B545" s="145">
        <v>0.28000000000000003</v>
      </c>
      <c r="C545" s="420">
        <f>+C162</f>
        <v>0</v>
      </c>
      <c r="D545" s="421" t="s">
        <v>118</v>
      </c>
    </row>
    <row r="546" spans="1:4" x14ac:dyDescent="0.2">
      <c r="A546" s="145" t="s">
        <v>693</v>
      </c>
      <c r="B546" s="145">
        <v>0.56000000000000005</v>
      </c>
      <c r="C546" s="420">
        <f>+D162</f>
        <v>0</v>
      </c>
      <c r="D546" s="421" t="s">
        <v>118</v>
      </c>
    </row>
    <row r="547" spans="1:4" x14ac:dyDescent="0.2">
      <c r="A547" s="145" t="s">
        <v>693</v>
      </c>
      <c r="B547" s="145">
        <v>0.7</v>
      </c>
      <c r="C547" s="420">
        <f>+E162</f>
        <v>0</v>
      </c>
      <c r="D547" s="421" t="s">
        <v>118</v>
      </c>
    </row>
    <row r="548" spans="1:4" x14ac:dyDescent="0.2">
      <c r="A548" s="145" t="s">
        <v>693</v>
      </c>
      <c r="B548" s="145">
        <v>0.84</v>
      </c>
      <c r="C548" s="420">
        <f>+F162</f>
        <v>0</v>
      </c>
      <c r="D548" s="421" t="s">
        <v>118</v>
      </c>
    </row>
    <row r="549" spans="1:4" x14ac:dyDescent="0.2">
      <c r="A549" s="145" t="s">
        <v>693</v>
      </c>
      <c r="B549" s="145">
        <v>1.1200000000000001</v>
      </c>
      <c r="C549" s="420">
        <f>+G162</f>
        <v>0</v>
      </c>
      <c r="D549" s="421" t="s">
        <v>118</v>
      </c>
    </row>
    <row r="550" spans="1:4" x14ac:dyDescent="0.2">
      <c r="A550" s="145" t="s">
        <v>693</v>
      </c>
      <c r="B550" s="145">
        <v>1.4</v>
      </c>
      <c r="C550" s="420">
        <f>+H162</f>
        <v>0</v>
      </c>
      <c r="D550" s="421" t="s">
        <v>118</v>
      </c>
    </row>
    <row r="551" spans="1:4" x14ac:dyDescent="0.2">
      <c r="A551" s="145" t="s">
        <v>687</v>
      </c>
      <c r="B551" s="145">
        <v>0.28000000000000003</v>
      </c>
      <c r="C551" s="420">
        <f>+C147</f>
        <v>0</v>
      </c>
      <c r="D551" s="421" t="s">
        <v>118</v>
      </c>
    </row>
    <row r="552" spans="1:4" x14ac:dyDescent="0.2">
      <c r="A552" s="145" t="s">
        <v>687</v>
      </c>
      <c r="B552" s="145">
        <v>0.56000000000000005</v>
      </c>
      <c r="C552" s="420">
        <f>+D147</f>
        <v>0</v>
      </c>
      <c r="D552" s="421" t="s">
        <v>118</v>
      </c>
    </row>
    <row r="553" spans="1:4" x14ac:dyDescent="0.2">
      <c r="A553" s="145" t="s">
        <v>687</v>
      </c>
      <c r="B553" s="145">
        <v>0.7</v>
      </c>
      <c r="C553" s="420">
        <f>+E147</f>
        <v>0</v>
      </c>
      <c r="D553" s="421" t="s">
        <v>118</v>
      </c>
    </row>
    <row r="554" spans="1:4" x14ac:dyDescent="0.2">
      <c r="A554" s="145" t="s">
        <v>687</v>
      </c>
      <c r="B554" s="145">
        <v>0.84</v>
      </c>
      <c r="C554" s="420">
        <f>+F147</f>
        <v>0</v>
      </c>
      <c r="D554" s="421" t="s">
        <v>118</v>
      </c>
    </row>
    <row r="555" spans="1:4" x14ac:dyDescent="0.2">
      <c r="A555" s="145" t="s">
        <v>687</v>
      </c>
      <c r="B555" s="145">
        <v>1.1200000000000001</v>
      </c>
      <c r="C555" s="420">
        <f>+G147</f>
        <v>0</v>
      </c>
      <c r="D555" s="421" t="s">
        <v>118</v>
      </c>
    </row>
    <row r="556" spans="1:4" x14ac:dyDescent="0.2">
      <c r="A556" s="145" t="s">
        <v>687</v>
      </c>
      <c r="B556" s="145">
        <v>1.4</v>
      </c>
      <c r="C556" s="420">
        <f>+H147</f>
        <v>0</v>
      </c>
      <c r="D556" s="421" t="s">
        <v>118</v>
      </c>
    </row>
    <row r="557" spans="1:4" x14ac:dyDescent="0.2">
      <c r="A557" s="145" t="s">
        <v>684</v>
      </c>
      <c r="B557" s="145">
        <v>0.28000000000000003</v>
      </c>
      <c r="C557" s="420">
        <f>+C132</f>
        <v>0</v>
      </c>
      <c r="D557" s="421" t="s">
        <v>118</v>
      </c>
    </row>
    <row r="558" spans="1:4" x14ac:dyDescent="0.2">
      <c r="A558" s="145" t="s">
        <v>684</v>
      </c>
      <c r="B558" s="145">
        <v>0.56000000000000005</v>
      </c>
      <c r="C558" s="420">
        <f>+D132</f>
        <v>0</v>
      </c>
      <c r="D558" s="421" t="s">
        <v>118</v>
      </c>
    </row>
    <row r="559" spans="1:4" x14ac:dyDescent="0.2">
      <c r="A559" s="145" t="s">
        <v>684</v>
      </c>
      <c r="B559" s="145">
        <v>0.7</v>
      </c>
      <c r="C559" s="420">
        <f>+E132</f>
        <v>0</v>
      </c>
      <c r="D559" s="421" t="s">
        <v>118</v>
      </c>
    </row>
    <row r="560" spans="1:4" x14ac:dyDescent="0.2">
      <c r="A560" s="145" t="s">
        <v>684</v>
      </c>
      <c r="B560" s="145">
        <v>0.84</v>
      </c>
      <c r="C560" s="420">
        <f>+F132</f>
        <v>0</v>
      </c>
      <c r="D560" s="421" t="s">
        <v>118</v>
      </c>
    </row>
    <row r="561" spans="1:4" x14ac:dyDescent="0.2">
      <c r="A561" s="145" t="s">
        <v>684</v>
      </c>
      <c r="B561" s="145">
        <v>1.1200000000000001</v>
      </c>
      <c r="C561" s="420">
        <f>+G132</f>
        <v>0</v>
      </c>
      <c r="D561" s="421" t="s">
        <v>118</v>
      </c>
    </row>
    <row r="562" spans="1:4" x14ac:dyDescent="0.2">
      <c r="A562" s="145" t="s">
        <v>684</v>
      </c>
      <c r="B562" s="145">
        <v>1.4</v>
      </c>
      <c r="C562" s="420">
        <f>+H132</f>
        <v>0</v>
      </c>
      <c r="D562" s="421" t="s">
        <v>118</v>
      </c>
    </row>
    <row r="563" spans="1:4" x14ac:dyDescent="0.2">
      <c r="A563" s="145" t="s">
        <v>706</v>
      </c>
      <c r="B563" s="145"/>
      <c r="C563" s="420">
        <f>+F211</f>
        <v>0</v>
      </c>
      <c r="D563" s="421" t="s">
        <v>118</v>
      </c>
    </row>
    <row r="564" spans="1:4" x14ac:dyDescent="0.2">
      <c r="A564" s="145" t="s">
        <v>702</v>
      </c>
      <c r="B564" s="145"/>
      <c r="C564" s="420">
        <f>+D192</f>
        <v>0</v>
      </c>
      <c r="D564" s="421"/>
    </row>
    <row r="565" spans="1:4" x14ac:dyDescent="0.2">
      <c r="A565" s="145">
        <v>0</v>
      </c>
      <c r="B565" s="145"/>
      <c r="C565" s="420"/>
      <c r="D565" s="421"/>
    </row>
    <row r="566" spans="1:4" x14ac:dyDescent="0.2">
      <c r="A566" s="145">
        <v>0</v>
      </c>
      <c r="B566" s="145"/>
      <c r="C566" s="420"/>
      <c r="D566" s="421"/>
    </row>
    <row r="567" spans="1:4" x14ac:dyDescent="0.2">
      <c r="A567" s="145">
        <v>0</v>
      </c>
      <c r="B567" s="145"/>
      <c r="C567" s="420"/>
      <c r="D567" s="421"/>
    </row>
    <row r="568" spans="1:4" x14ac:dyDescent="0.2">
      <c r="A568" s="145">
        <v>0</v>
      </c>
      <c r="B568" s="145"/>
      <c r="C568" s="420"/>
      <c r="D568" s="421"/>
    </row>
    <row r="569" spans="1:4" x14ac:dyDescent="0.2">
      <c r="A569" s="145">
        <v>0</v>
      </c>
      <c r="B569" s="145"/>
      <c r="C569" s="420"/>
      <c r="D569" s="421"/>
    </row>
    <row r="570" spans="1:4" x14ac:dyDescent="0.2">
      <c r="A570" s="145">
        <v>0</v>
      </c>
      <c r="B570" s="145"/>
      <c r="C570" s="420"/>
      <c r="D570" s="421"/>
    </row>
    <row r="571" spans="1:4" x14ac:dyDescent="0.2">
      <c r="A571" t="s">
        <v>718</v>
      </c>
      <c r="B571" s="145"/>
    </row>
    <row r="572" spans="1:4" x14ac:dyDescent="0.2">
      <c r="A572" s="145" t="str">
        <f>+P.T.Vieja!A251</f>
        <v>Acrilico Antepecho R - 60</v>
      </c>
      <c r="B572" s="145" t="str">
        <f>+P.T.Vieja!B251</f>
        <v>M - 6</v>
      </c>
      <c r="C572" s="423">
        <f>+P.T.Vieja!C251</f>
        <v>0</v>
      </c>
      <c r="D572" s="423" t="str">
        <f>+P.T.Vieja!D251</f>
        <v>Uni</v>
      </c>
    </row>
    <row r="573" spans="1:4" x14ac:dyDescent="0.2">
      <c r="A573" s="145" t="str">
        <f>+P.T.Vieja!A252</f>
        <v>Acrilico Antepecho R - 60</v>
      </c>
      <c r="B573" s="145" t="str">
        <f>+P.T.Vieja!B252</f>
        <v>M - 8</v>
      </c>
      <c r="C573" s="423">
        <f>+P.T.Vieja!C252</f>
        <v>0</v>
      </c>
      <c r="D573" s="423" t="str">
        <f>+P.T.Vieja!D252</f>
        <v>Uni</v>
      </c>
    </row>
    <row r="574" spans="1:4" x14ac:dyDescent="0.2">
      <c r="A574" s="145" t="str">
        <f>+P.T.Vieja!A253</f>
        <v>Acrilico montante 100 H.</v>
      </c>
      <c r="B574" s="145">
        <f>+P.T.Vieja!B253</f>
        <v>0</v>
      </c>
      <c r="C574" s="423">
        <f>+P.T.Vieja!C253</f>
        <v>0</v>
      </c>
      <c r="D574" s="423" t="str">
        <f>+P.T.Vieja!D253</f>
        <v>Uni</v>
      </c>
    </row>
    <row r="575" spans="1:4" x14ac:dyDescent="0.2">
      <c r="A575" s="145" t="str">
        <f>+P.T.Vieja!A254</f>
        <v>Acrilico montante 50 H.</v>
      </c>
      <c r="B575" s="145">
        <f>+P.T.Vieja!B254</f>
        <v>0</v>
      </c>
      <c r="C575" s="423">
        <f>+P.T.Vieja!C254</f>
        <v>0</v>
      </c>
      <c r="D575" s="423" t="str">
        <f>+P.T.Vieja!D254</f>
        <v>Uni</v>
      </c>
    </row>
    <row r="576" spans="1:4" x14ac:dyDescent="0.2">
      <c r="A576" s="145" t="str">
        <f>+P.T.Vieja!A255</f>
        <v>Aglomerado 19 mm x 153</v>
      </c>
      <c r="B576" s="145">
        <f>+P.T.Vieja!B255</f>
        <v>0</v>
      </c>
      <c r="C576" s="423">
        <f>+P.T.Vieja!C255</f>
        <v>0</v>
      </c>
      <c r="D576" s="423" t="str">
        <f>+P.T.Vieja!D255</f>
        <v>Lam.</v>
      </c>
    </row>
    <row r="577" spans="1:4" x14ac:dyDescent="0.2">
      <c r="A577" s="145" t="str">
        <f>+P.T.Vieja!A256</f>
        <v>Aluminio H</v>
      </c>
      <c r="B577" s="145">
        <f>+P.T.Vieja!B256</f>
        <v>0</v>
      </c>
      <c r="C577" s="423">
        <f>+P.T.Vieja!C256</f>
        <v>0</v>
      </c>
      <c r="D577" s="423" t="str">
        <f>+P.T.Vieja!D256</f>
        <v>Mts</v>
      </c>
    </row>
    <row r="578" spans="1:4" x14ac:dyDescent="0.2">
      <c r="A578" s="145" t="str">
        <f>+P.T.Vieja!A257</f>
        <v>Arandela 5/16</v>
      </c>
      <c r="B578" s="145">
        <f>+P.T.Vieja!B257</f>
        <v>0</v>
      </c>
      <c r="C578" s="423">
        <f>+P.T.Vieja!C257</f>
        <v>0</v>
      </c>
      <c r="D578" s="423" t="str">
        <f>+P.T.Vieja!D257</f>
        <v>Uni</v>
      </c>
    </row>
    <row r="579" spans="1:4" x14ac:dyDescent="0.2">
      <c r="A579" s="145" t="str">
        <f>+P.T.Vieja!A258</f>
        <v>Bisagras  Uni.</v>
      </c>
      <c r="B579" s="145">
        <f>+P.T.Vieja!B258</f>
        <v>0</v>
      </c>
      <c r="C579" s="423">
        <f>+P.T.Vieja!C258</f>
        <v>0</v>
      </c>
      <c r="D579" s="423" t="str">
        <f>+P.T.Vieja!D258</f>
        <v>Uni</v>
      </c>
    </row>
    <row r="580" spans="1:4" x14ac:dyDescent="0.2">
      <c r="A580" s="145" t="str">
        <f>+P.T.Vieja!A259</f>
        <v>Camones</v>
      </c>
      <c r="B580" s="145">
        <f>+P.T.Vieja!B259</f>
        <v>0</v>
      </c>
      <c r="C580" s="423">
        <f>+P.T.Vieja!C259</f>
        <v>0</v>
      </c>
      <c r="D580" s="423" t="str">
        <f>+P.T.Vieja!D259</f>
        <v>Uni</v>
      </c>
    </row>
    <row r="581" spans="1:4" x14ac:dyDescent="0.2">
      <c r="A581" s="145" t="str">
        <f>+P.T.Vieja!A260</f>
        <v>Caucho 11 X 11</v>
      </c>
      <c r="B581" s="145">
        <f>+P.T.Vieja!B260</f>
        <v>0</v>
      </c>
      <c r="C581" s="423">
        <f>+P.T.Vieja!C260</f>
        <v>0</v>
      </c>
      <c r="D581" s="423" t="str">
        <f>+P.T.Vieja!D260</f>
        <v>Mts</v>
      </c>
    </row>
    <row r="582" spans="1:4" x14ac:dyDescent="0.2">
      <c r="A582" s="145" t="str">
        <f>+P.T.Vieja!A261</f>
        <v>Caucho 14 X 14</v>
      </c>
      <c r="B582" s="145">
        <f>+P.T.Vieja!B261</f>
        <v>0</v>
      </c>
      <c r="C582" s="423">
        <f>+P.T.Vieja!C261</f>
        <v>0</v>
      </c>
      <c r="D582" s="423" t="str">
        <f>+P.T.Vieja!D261</f>
        <v>Mts</v>
      </c>
    </row>
    <row r="583" spans="1:4" x14ac:dyDescent="0.2">
      <c r="A583" s="145" t="str">
        <f>+P.T.Vieja!A262</f>
        <v>Caucho 9 X 9</v>
      </c>
      <c r="B583" s="145">
        <f>+P.T.Vieja!B262</f>
        <v>0</v>
      </c>
      <c r="C583" s="423">
        <f>+P.T.Vieja!C262</f>
        <v>0</v>
      </c>
      <c r="D583" s="423" t="str">
        <f>+P.T.Vieja!D262</f>
        <v>Mts</v>
      </c>
    </row>
    <row r="584" spans="1:4" x14ac:dyDescent="0.2">
      <c r="A584" s="145" t="str">
        <f>+P.T.Vieja!A263</f>
        <v>Caucho doble Y</v>
      </c>
      <c r="B584" s="145">
        <f>+P.T.Vieja!B263</f>
        <v>0</v>
      </c>
      <c r="C584" s="423">
        <f>+P.T.Vieja!C263</f>
        <v>0</v>
      </c>
      <c r="D584" s="423" t="str">
        <f>+P.T.Vieja!D263</f>
        <v>Tiras</v>
      </c>
    </row>
    <row r="585" spans="1:4" x14ac:dyDescent="0.2">
      <c r="A585" s="145" t="str">
        <f>+P.T.Vieja!A264</f>
        <v>Ceradura</v>
      </c>
      <c r="B585" s="145">
        <f>+P.T.Vieja!B264</f>
        <v>0</v>
      </c>
      <c r="C585" s="423">
        <f>+P.T.Vieja!C264</f>
        <v>0</v>
      </c>
      <c r="D585" s="423" t="str">
        <f>+P.T.Vieja!D264</f>
        <v>Uni</v>
      </c>
    </row>
    <row r="586" spans="1:4" x14ac:dyDescent="0.2">
      <c r="A586" s="145" t="str">
        <f>+P.T.Vieja!A265</f>
        <v>Enganche V  -  3</v>
      </c>
      <c r="B586" s="145">
        <f>+P.T.Vieja!B265</f>
        <v>0</v>
      </c>
      <c r="C586" s="423">
        <f>+P.T.Vieja!C265</f>
        <v>0</v>
      </c>
      <c r="D586" s="423" t="str">
        <f>+P.T.Vieja!D265</f>
        <v>Uni</v>
      </c>
    </row>
    <row r="587" spans="1:4" x14ac:dyDescent="0.2">
      <c r="A587" s="145" t="str">
        <f>+P.T.Vieja!A266</f>
        <v>Guia de piso</v>
      </c>
      <c r="B587" s="145">
        <f>+P.T.Vieja!B266</f>
        <v>0</v>
      </c>
      <c r="C587" s="423">
        <f>+P.T.Vieja!C266</f>
        <v>0</v>
      </c>
      <c r="D587" s="423" t="str">
        <f>+P.T.Vieja!D266</f>
        <v>Mts</v>
      </c>
    </row>
    <row r="588" spans="1:4" x14ac:dyDescent="0.2">
      <c r="A588" s="145" t="str">
        <f>+P.T.Vieja!A267</f>
        <v>Levas</v>
      </c>
      <c r="B588" s="145">
        <f>+P.T.Vieja!B267</f>
        <v>0</v>
      </c>
      <c r="C588" s="423">
        <f>+P.T.Vieja!C267</f>
        <v>0</v>
      </c>
      <c r="D588" s="423" t="str">
        <f>+P.T.Vieja!D267</f>
        <v>Uni</v>
      </c>
    </row>
    <row r="589" spans="1:4" x14ac:dyDescent="0.2">
      <c r="A589" s="145" t="str">
        <f>+P.T.Vieja!A268</f>
        <v>Madeflex</v>
      </c>
      <c r="B589" s="145">
        <f>+P.T.Vieja!B268</f>
        <v>0</v>
      </c>
      <c r="C589" s="423">
        <f>+P.T.Vieja!C268</f>
        <v>0</v>
      </c>
      <c r="D589" s="423" t="str">
        <f>+P.T.Vieja!D268</f>
        <v>Lam.</v>
      </c>
    </row>
    <row r="590" spans="1:4" x14ac:dyDescent="0.2">
      <c r="A590" s="145" t="str">
        <f>+P.T.Vieja!A269</f>
        <v>Marco  puerta</v>
      </c>
      <c r="B590" s="145">
        <f>+P.T.Vieja!B269</f>
        <v>0</v>
      </c>
      <c r="C590" s="423">
        <f>+P.T.Vieja!C269</f>
        <v>0</v>
      </c>
      <c r="D590" s="423" t="str">
        <f>+P.T.Vieja!D269</f>
        <v>Uni</v>
      </c>
    </row>
    <row r="591" spans="1:4" x14ac:dyDescent="0.2">
      <c r="A591" s="145" t="str">
        <f>+P.T.Vieja!A270</f>
        <v xml:space="preserve">P F H </v>
      </c>
      <c r="B591" s="145">
        <f>+P.T.Vieja!B270</f>
        <v>0</v>
      </c>
      <c r="C591" s="423">
        <f>+P.T.Vieja!C270</f>
        <v>0</v>
      </c>
      <c r="D591" s="423" t="str">
        <f>+P.T.Vieja!D270</f>
        <v>Mts</v>
      </c>
    </row>
    <row r="592" spans="1:4" x14ac:dyDescent="0.2">
      <c r="A592" s="145" t="str">
        <f>+P.T.Vieja!A271</f>
        <v>Pasarela Curva</v>
      </c>
      <c r="B592" s="145">
        <f>+P.T.Vieja!B271</f>
        <v>0</v>
      </c>
      <c r="C592" s="423">
        <f>+P.T.Vieja!C271</f>
        <v>0</v>
      </c>
      <c r="D592" s="423" t="str">
        <f>+P.T.Vieja!D271</f>
        <v>Uni</v>
      </c>
    </row>
    <row r="593" spans="1:4" x14ac:dyDescent="0.2">
      <c r="A593" s="145" t="str">
        <f>+P.T.Vieja!A272</f>
        <v>Pasarela Doble Ranura</v>
      </c>
      <c r="B593" s="145">
        <f>+P.T.Vieja!B272</f>
        <v>0</v>
      </c>
      <c r="C593" s="423">
        <f>+P.T.Vieja!C272</f>
        <v>0</v>
      </c>
      <c r="D593" s="423" t="str">
        <f>+P.T.Vieja!D272</f>
        <v>Uni</v>
      </c>
    </row>
    <row r="594" spans="1:4" x14ac:dyDescent="0.2">
      <c r="A594" s="145" t="str">
        <f>+P.T.Vieja!A273</f>
        <v>Pasarela Ranurada</v>
      </c>
      <c r="B594" s="145">
        <f>+P.T.Vieja!B273</f>
        <v>0</v>
      </c>
      <c r="C594" s="423">
        <f>+P.T.Vieja!C273</f>
        <v>0</v>
      </c>
      <c r="D594" s="423" t="str">
        <f>+P.T.Vieja!D273</f>
        <v>Uni</v>
      </c>
    </row>
    <row r="595" spans="1:4" x14ac:dyDescent="0.2">
      <c r="A595" s="145" t="str">
        <f>+P.T.Vieja!A274</f>
        <v>Puertas</v>
      </c>
      <c r="B595" s="145">
        <f>+P.T.Vieja!B274</f>
        <v>0</v>
      </c>
      <c r="C595" s="423">
        <f>+P.T.Vieja!C274</f>
        <v>0</v>
      </c>
      <c r="D595" s="423" t="str">
        <f>+P.T.Vieja!D274</f>
        <v>Uni</v>
      </c>
    </row>
    <row r="596" spans="1:4" x14ac:dyDescent="0.2">
      <c r="A596" s="145" t="str">
        <f>+P.T.Vieja!A275</f>
        <v>Remache 4 X 4</v>
      </c>
      <c r="B596" s="145">
        <f>+P.T.Vieja!B275</f>
        <v>0</v>
      </c>
      <c r="C596" s="423">
        <f>+P.T.Vieja!C275</f>
        <v>0</v>
      </c>
      <c r="D596" s="423" t="str">
        <f>+P.T.Vieja!D275</f>
        <v>Uni</v>
      </c>
    </row>
    <row r="597" spans="1:4" x14ac:dyDescent="0.2">
      <c r="A597" s="145" t="str">
        <f>+P.T.Vieja!A276</f>
        <v>Remache 5 X 6</v>
      </c>
      <c r="B597" s="145">
        <f>+P.T.Vieja!B276</f>
        <v>0</v>
      </c>
      <c r="C597" s="423">
        <f>+P.T.Vieja!C276</f>
        <v>0</v>
      </c>
      <c r="D597" s="423" t="str">
        <f>+P.T.Vieja!D276</f>
        <v>Uni</v>
      </c>
    </row>
    <row r="598" spans="1:4" x14ac:dyDescent="0.2">
      <c r="A598" s="145" t="str">
        <f>+P.T.Vieja!A277</f>
        <v>Remate superior R-60</v>
      </c>
      <c r="B598" s="145">
        <f>+P.T.Vieja!B277</f>
        <v>0</v>
      </c>
      <c r="C598" s="423">
        <f>+P.T.Vieja!C277</f>
        <v>0</v>
      </c>
      <c r="D598" s="423" t="str">
        <f>+P.T.Vieja!D277</f>
        <v>Uni</v>
      </c>
    </row>
    <row r="599" spans="1:4" x14ac:dyDescent="0.2">
      <c r="A599" s="145" t="str">
        <f>+P.T.Vieja!A278</f>
        <v>Tornillo  nivelador 5/16</v>
      </c>
      <c r="B599" s="145">
        <f>+D185</f>
        <v>0</v>
      </c>
      <c r="C599" s="423">
        <f>+B599</f>
        <v>0</v>
      </c>
      <c r="D599" s="423" t="str">
        <f>+P.T.Vieja!D278</f>
        <v>Uni</v>
      </c>
    </row>
    <row r="600" spans="1:4" x14ac:dyDescent="0.2">
      <c r="A600" s="145" t="str">
        <f>+P.T.Vieja!A279</f>
        <v>Tornillo 10 X 11/4 Zinc Ran</v>
      </c>
      <c r="B600" s="145">
        <f>+P.T.Vieja!B279</f>
        <v>0</v>
      </c>
      <c r="C600" s="423">
        <f>+P.T.Vieja!C279</f>
        <v>0</v>
      </c>
      <c r="D600" s="423" t="str">
        <f>+P.T.Vieja!D279</f>
        <v>Uni</v>
      </c>
    </row>
    <row r="601" spans="1:4" x14ac:dyDescent="0.2">
      <c r="A601" s="145" t="str">
        <f>+P.T.Vieja!A280</f>
        <v>Tornillo 8  X  3/4</v>
      </c>
      <c r="B601" s="145">
        <f>+P.T.Vieja!B280</f>
        <v>0</v>
      </c>
      <c r="C601" s="423">
        <f>+P.T.Vieja!C280</f>
        <v>0</v>
      </c>
      <c r="D601" s="423" t="str">
        <f>+P.T.Vieja!D280</f>
        <v>Uni</v>
      </c>
    </row>
    <row r="602" spans="1:4" x14ac:dyDescent="0.2">
      <c r="A602" s="145" t="str">
        <f>+P.T.Vieja!A281</f>
        <v>Tornillo 8 X 1/2 Pan Pav Ran</v>
      </c>
      <c r="B602" s="145">
        <f>+P.T.Vieja!B281</f>
        <v>0</v>
      </c>
      <c r="C602" s="423">
        <f>+P.T.Vieja!C281</f>
        <v>0</v>
      </c>
      <c r="D602" s="423" t="str">
        <f>+P.T.Vieja!D281</f>
        <v>Uni</v>
      </c>
    </row>
    <row r="603" spans="1:4" x14ac:dyDescent="0.2">
      <c r="A603" s="145" t="str">
        <f>+P.T.Vieja!A282</f>
        <v>Tornillo 8 X 11/4 Pav RanAve</v>
      </c>
      <c r="B603" s="145">
        <f>+P.T.Vieja!B282</f>
        <v>0</v>
      </c>
      <c r="C603" s="423">
        <f>+P.T.Vieja!C282</f>
        <v>0</v>
      </c>
      <c r="D603" s="423" t="str">
        <f>+P.T.Vieja!D282</f>
        <v>Uni</v>
      </c>
    </row>
    <row r="604" spans="1:4" x14ac:dyDescent="0.2">
      <c r="A604" s="145" t="str">
        <f>+P.T.Vieja!A283</f>
        <v>Tornillo 8 X 11/4 SPAX</v>
      </c>
      <c r="B604" s="145">
        <f>+P.T.Vieja!B283</f>
        <v>0</v>
      </c>
      <c r="C604" s="423">
        <f>+P.T.Vieja!C283</f>
        <v>0</v>
      </c>
      <c r="D604" s="423" t="str">
        <f>+P.T.Vieja!D283</f>
        <v>Uni</v>
      </c>
    </row>
    <row r="605" spans="1:4" x14ac:dyDescent="0.2">
      <c r="A605" s="145" t="str">
        <f>+P.T.Vieja!A284</f>
        <v xml:space="preserve">Tornillo nivelador 5/16 </v>
      </c>
      <c r="B605" s="145">
        <f>+P.T.Vieja!B284</f>
        <v>0</v>
      </c>
      <c r="C605" s="423">
        <f>+P.T.Vieja!C284</f>
        <v>0</v>
      </c>
      <c r="D605" s="423" t="str">
        <f>+P.T.Vieja!D284</f>
        <v>Uni</v>
      </c>
    </row>
    <row r="606" spans="1:4" x14ac:dyDescent="0.2">
      <c r="A606" s="145" t="str">
        <f>+P.T.Vieja!A285</f>
        <v>Tuerca 5/16</v>
      </c>
      <c r="B606" s="145">
        <f>+P.T.Vieja!B285</f>
        <v>0</v>
      </c>
      <c r="C606" s="423">
        <f>+P.T.Vieja!C285</f>
        <v>0</v>
      </c>
      <c r="D606" s="423" t="str">
        <f>+P.T.Vieja!D285</f>
        <v>Uni</v>
      </c>
    </row>
    <row r="607" spans="1:4" x14ac:dyDescent="0.2">
      <c r="A607" s="145" t="str">
        <f>+P.T.Vieja!A286</f>
        <v>U Techo</v>
      </c>
      <c r="B607" s="145">
        <f>+P.T.Vieja!B286</f>
        <v>0</v>
      </c>
      <c r="C607" s="423">
        <f>+P.T.Vieja!C286</f>
        <v>0</v>
      </c>
      <c r="D607" s="423" t="str">
        <f>+P.T.Vieja!D286</f>
        <v>Mts</v>
      </c>
    </row>
    <row r="608" spans="1:4" x14ac:dyDescent="0.2">
      <c r="A608" s="145" t="str">
        <f>+P.T.Vieja!A287</f>
        <v>Vidrio M-6  1.72 X</v>
      </c>
      <c r="B608" s="145">
        <f>+P.T.Vieja!B287</f>
        <v>0.28000000000000003</v>
      </c>
      <c r="C608" s="423">
        <f>+P.T.Vieja!C287</f>
        <v>0</v>
      </c>
      <c r="D608" s="423" t="str">
        <f>+P.T.Vieja!D287</f>
        <v>Uni</v>
      </c>
    </row>
    <row r="609" spans="1:4" x14ac:dyDescent="0.2">
      <c r="A609" s="145" t="str">
        <f>+P.T.Vieja!A288</f>
        <v>Vidrio M-6  1.72 X</v>
      </c>
      <c r="B609" s="145">
        <f>+P.T.Vieja!B288</f>
        <v>0.56000000000000005</v>
      </c>
      <c r="C609" s="423">
        <f>+P.T.Vieja!C288</f>
        <v>0</v>
      </c>
      <c r="D609" s="423" t="str">
        <f>+P.T.Vieja!D288</f>
        <v>Uni</v>
      </c>
    </row>
    <row r="610" spans="1:4" x14ac:dyDescent="0.2">
      <c r="A610" s="145" t="str">
        <f>+P.T.Vieja!A289</f>
        <v>Vidrio M-6  1.72 X</v>
      </c>
      <c r="B610" s="145">
        <f>+P.T.Vieja!B289</f>
        <v>0.7</v>
      </c>
      <c r="C610" s="423">
        <f>+P.T.Vieja!C289</f>
        <v>0</v>
      </c>
      <c r="D610" s="423" t="str">
        <f>+P.T.Vieja!D289</f>
        <v>Uni</v>
      </c>
    </row>
    <row r="611" spans="1:4" x14ac:dyDescent="0.2">
      <c r="A611" s="145" t="str">
        <f>+P.T.Vieja!A290</f>
        <v>Vidrio M-6  1.72 X</v>
      </c>
      <c r="B611" s="145">
        <f>+P.T.Vieja!B290</f>
        <v>0.84</v>
      </c>
      <c r="C611" s="423">
        <f>+P.T.Vieja!C290</f>
        <v>0</v>
      </c>
      <c r="D611" s="423" t="str">
        <f>+P.T.Vieja!D290</f>
        <v>Uni</v>
      </c>
    </row>
    <row r="612" spans="1:4" x14ac:dyDescent="0.2">
      <c r="A612" s="145" t="str">
        <f>+P.T.Vieja!A291</f>
        <v>Vidrio M-6  1.72 X</v>
      </c>
      <c r="B612" s="145">
        <f>+P.T.Vieja!B291</f>
        <v>1.1200000000000001</v>
      </c>
      <c r="C612" s="423">
        <f>+P.T.Vieja!C291</f>
        <v>0</v>
      </c>
      <c r="D612" s="423" t="str">
        <f>+P.T.Vieja!D291</f>
        <v>Uni</v>
      </c>
    </row>
    <row r="613" spans="1:4" x14ac:dyDescent="0.2">
      <c r="A613" s="145" t="str">
        <f>+P.T.Vieja!A292</f>
        <v>Vidrio M-6  1.72 X</v>
      </c>
      <c r="B613" s="145">
        <f>+P.T.Vieja!B292</f>
        <v>1.4</v>
      </c>
      <c r="C613" s="423">
        <f>+P.T.Vieja!C292</f>
        <v>0</v>
      </c>
      <c r="D613" s="423" t="str">
        <f>+P.T.Vieja!D292</f>
        <v>Uni</v>
      </c>
    </row>
    <row r="614" spans="1:4" x14ac:dyDescent="0.2">
      <c r="A614" s="145" t="s">
        <v>679</v>
      </c>
      <c r="B614" s="145">
        <f>+P.T.Vieja!B293</f>
        <v>0.28000000000000003</v>
      </c>
      <c r="C614" s="423">
        <f>+P.T.Vieja!C293</f>
        <v>0</v>
      </c>
      <c r="D614" s="423" t="str">
        <f>+P.T.Vieja!D293</f>
        <v>Uni</v>
      </c>
    </row>
    <row r="615" spans="1:4" x14ac:dyDescent="0.2">
      <c r="A615" s="145" t="s">
        <v>679</v>
      </c>
      <c r="B615" s="145">
        <f>+P.T.Vieja!B294</f>
        <v>0.56000000000000005</v>
      </c>
      <c r="C615" s="423">
        <f>+P.T.Vieja!C294</f>
        <v>0</v>
      </c>
      <c r="D615" s="423" t="str">
        <f>+P.T.Vieja!D294</f>
        <v>Uni</v>
      </c>
    </row>
    <row r="616" spans="1:4" x14ac:dyDescent="0.2">
      <c r="A616" s="145" t="s">
        <v>679</v>
      </c>
      <c r="B616" s="145">
        <f>+P.T.Vieja!B295</f>
        <v>0.7</v>
      </c>
      <c r="C616" s="423">
        <f>+P.T.Vieja!C295</f>
        <v>0</v>
      </c>
      <c r="D616" s="423" t="str">
        <f>+P.T.Vieja!D295</f>
        <v>Uni</v>
      </c>
    </row>
    <row r="617" spans="1:4" x14ac:dyDescent="0.2">
      <c r="A617" s="145" t="s">
        <v>679</v>
      </c>
      <c r="B617" s="145">
        <f>+P.T.Vieja!B296</f>
        <v>0.84</v>
      </c>
      <c r="C617" s="423">
        <f>+P.T.Vieja!C296</f>
        <v>0</v>
      </c>
      <c r="D617" s="423" t="str">
        <f>+P.T.Vieja!D296</f>
        <v>Uni</v>
      </c>
    </row>
    <row r="618" spans="1:4" x14ac:dyDescent="0.2">
      <c r="A618" s="145" t="s">
        <v>679</v>
      </c>
      <c r="B618" s="145">
        <f>+P.T.Vieja!B297</f>
        <v>1.1200000000000001</v>
      </c>
      <c r="C618" s="423">
        <f>+P.T.Vieja!C297</f>
        <v>0</v>
      </c>
      <c r="D618" s="423" t="str">
        <f>+P.T.Vieja!D297</f>
        <v>Uni</v>
      </c>
    </row>
    <row r="619" spans="1:4" x14ac:dyDescent="0.2">
      <c r="A619" s="145" t="s">
        <v>679</v>
      </c>
      <c r="B619" s="145">
        <f>+P.T.Vieja!B298</f>
        <v>1.4</v>
      </c>
      <c r="C619" s="423">
        <f>+P.T.Vieja!C298</f>
        <v>0</v>
      </c>
      <c r="D619" s="423" t="str">
        <f>+P.T.Vieja!D298</f>
        <v>Uni</v>
      </c>
    </row>
    <row r="620" spans="1:4" x14ac:dyDescent="0.2">
      <c r="A620" s="145" t="str">
        <f>+P.T.Vieja!A299</f>
        <v>Vidrio montante 100 H.</v>
      </c>
      <c r="B620" s="145">
        <f>+P.T.Vieja!B299</f>
        <v>0.28000000000000003</v>
      </c>
      <c r="C620" s="423">
        <f>+P.T.Vieja!C299</f>
        <v>0</v>
      </c>
      <c r="D620" s="423" t="str">
        <f>+P.T.Vieja!D299</f>
        <v>Uni</v>
      </c>
    </row>
    <row r="621" spans="1:4" x14ac:dyDescent="0.2">
      <c r="A621" s="145" t="str">
        <f>+P.T.Vieja!A300</f>
        <v>Vidrio montante 100 H.</v>
      </c>
      <c r="B621" s="145">
        <f>+P.T.Vieja!B300</f>
        <v>0.56000000000000005</v>
      </c>
      <c r="C621" s="423">
        <f>+P.T.Vieja!C300</f>
        <v>0</v>
      </c>
      <c r="D621" s="423" t="str">
        <f>+P.T.Vieja!D300</f>
        <v>Uni</v>
      </c>
    </row>
    <row r="622" spans="1:4" x14ac:dyDescent="0.2">
      <c r="A622" s="145" t="str">
        <f>+P.T.Vieja!A301</f>
        <v>Vidrio montante 100 H.</v>
      </c>
      <c r="B622" s="145">
        <f>+P.T.Vieja!B301</f>
        <v>0.7</v>
      </c>
      <c r="C622" s="423">
        <f>+P.T.Vieja!C301</f>
        <v>0</v>
      </c>
      <c r="D622" s="423" t="str">
        <f>+P.T.Vieja!D301</f>
        <v>Uni</v>
      </c>
    </row>
    <row r="623" spans="1:4" x14ac:dyDescent="0.2">
      <c r="A623" s="145" t="str">
        <f>+P.T.Vieja!A302</f>
        <v>Vidrio montante 100 H.</v>
      </c>
      <c r="B623" s="145">
        <f>+P.T.Vieja!B302</f>
        <v>0.84</v>
      </c>
      <c r="C623" s="423">
        <f>+P.T.Vieja!C302</f>
        <v>0</v>
      </c>
      <c r="D623" s="423" t="str">
        <f>+P.T.Vieja!D302</f>
        <v>Uni</v>
      </c>
    </row>
    <row r="624" spans="1:4" x14ac:dyDescent="0.2">
      <c r="A624" s="145" t="str">
        <f>+P.T.Vieja!A303</f>
        <v>Vidrio montante 100 H.</v>
      </c>
      <c r="B624" s="145">
        <f>+P.T.Vieja!B303</f>
        <v>1.1200000000000001</v>
      </c>
      <c r="C624" s="423">
        <f>+P.T.Vieja!C303</f>
        <v>0</v>
      </c>
      <c r="D624" s="423" t="str">
        <f>+P.T.Vieja!D303</f>
        <v>Uni</v>
      </c>
    </row>
    <row r="625" spans="1:4" x14ac:dyDescent="0.2">
      <c r="A625" s="145" t="str">
        <f>+P.T.Vieja!A304</f>
        <v>Vidrio montante 100 H.</v>
      </c>
      <c r="B625" s="145">
        <f>+P.T.Vieja!B304</f>
        <v>1.4</v>
      </c>
      <c r="C625" s="423">
        <f>+P.T.Vieja!C304</f>
        <v>0</v>
      </c>
      <c r="D625" s="423" t="str">
        <f>+P.T.Vieja!D304</f>
        <v>Uni</v>
      </c>
    </row>
    <row r="626" spans="1:4" x14ac:dyDescent="0.2">
      <c r="A626" s="145" t="str">
        <f>+P.T.Vieja!A305</f>
        <v>Vidrio montante 50 H.</v>
      </c>
      <c r="B626" s="145">
        <f>+P.T.Vieja!B305</f>
        <v>0.28000000000000003</v>
      </c>
      <c r="C626" s="423">
        <f>+P.T.Vieja!C305</f>
        <v>0</v>
      </c>
      <c r="D626" s="423" t="str">
        <f>+P.T.Vieja!D305</f>
        <v>Uni</v>
      </c>
    </row>
    <row r="627" spans="1:4" x14ac:dyDescent="0.2">
      <c r="A627" s="145" t="str">
        <f>+P.T.Vieja!A306</f>
        <v>Vidrio montante 50 H.</v>
      </c>
      <c r="B627" s="145">
        <f>+P.T.Vieja!B306</f>
        <v>0.56000000000000005</v>
      </c>
      <c r="C627" s="423">
        <f>+P.T.Vieja!C306</f>
        <v>0</v>
      </c>
      <c r="D627" s="423" t="str">
        <f>+P.T.Vieja!D306</f>
        <v>Uni</v>
      </c>
    </row>
    <row r="628" spans="1:4" x14ac:dyDescent="0.2">
      <c r="A628" s="145" t="str">
        <f>+P.T.Vieja!A307</f>
        <v>Vidrio montante 50 H.</v>
      </c>
      <c r="B628" s="145">
        <f>+P.T.Vieja!B307</f>
        <v>0.7</v>
      </c>
      <c r="C628" s="423">
        <f>+P.T.Vieja!C307</f>
        <v>0</v>
      </c>
      <c r="D628" s="423" t="str">
        <f>+P.T.Vieja!D307</f>
        <v>Uni</v>
      </c>
    </row>
    <row r="629" spans="1:4" x14ac:dyDescent="0.2">
      <c r="A629" s="145" t="str">
        <f>+P.T.Vieja!A308</f>
        <v>Vidrio montante 50 H.</v>
      </c>
      <c r="B629" s="145">
        <f>+P.T.Vieja!B308</f>
        <v>0.84</v>
      </c>
      <c r="C629" s="423">
        <f>+P.T.Vieja!C308</f>
        <v>0</v>
      </c>
      <c r="D629" s="423" t="str">
        <f>+P.T.Vieja!D308</f>
        <v>Uni</v>
      </c>
    </row>
    <row r="630" spans="1:4" x14ac:dyDescent="0.2">
      <c r="A630" s="145" t="str">
        <f>+P.T.Vieja!A309</f>
        <v>Vidrio montante 50 H.</v>
      </c>
      <c r="B630" s="145">
        <f>+P.T.Vieja!B309</f>
        <v>1.1200000000000001</v>
      </c>
      <c r="C630" s="423">
        <f>+P.T.Vieja!C309</f>
        <v>0</v>
      </c>
      <c r="D630" s="423" t="str">
        <f>+P.T.Vieja!D309</f>
        <v>Uni</v>
      </c>
    </row>
    <row r="631" spans="1:4" x14ac:dyDescent="0.2">
      <c r="A631" s="145" t="str">
        <f>+P.T.Vieja!A310</f>
        <v>Vidrio montante 50 H.</v>
      </c>
      <c r="B631" s="145">
        <f>+P.T.Vieja!B310</f>
        <v>1.4</v>
      </c>
      <c r="C631" s="423">
        <f>+P.T.Vieja!C310</f>
        <v>0</v>
      </c>
      <c r="D631" s="423" t="str">
        <f>+P.T.Vieja!D310</f>
        <v>Uni</v>
      </c>
    </row>
    <row r="632" spans="1:4" x14ac:dyDescent="0.2">
      <c r="A632" s="145" t="str">
        <f>+P.T.Vieja!A311</f>
        <v xml:space="preserve">Vidrio V - 3     43  X </v>
      </c>
      <c r="B632" s="145">
        <f>+P.T.Vieja!B311</f>
        <v>0.28000000000000003</v>
      </c>
      <c r="C632" s="423">
        <f>+P.T.Vieja!C311</f>
        <v>0</v>
      </c>
      <c r="D632" s="423" t="str">
        <f>+P.T.Vieja!D311</f>
        <v>Uni</v>
      </c>
    </row>
    <row r="633" spans="1:4" x14ac:dyDescent="0.2">
      <c r="A633" s="145" t="str">
        <f>+P.T.Vieja!A312</f>
        <v xml:space="preserve">Vidrio V - 3     43  X </v>
      </c>
      <c r="B633" s="145">
        <f>+P.T.Vieja!B312</f>
        <v>0.56000000000000005</v>
      </c>
      <c r="C633" s="423">
        <f>+P.T.Vieja!C312</f>
        <v>0</v>
      </c>
      <c r="D633" s="423" t="str">
        <f>+P.T.Vieja!D312</f>
        <v>Uni</v>
      </c>
    </row>
    <row r="634" spans="1:4" x14ac:dyDescent="0.2">
      <c r="A634" s="145" t="str">
        <f>+P.T.Vieja!A313</f>
        <v xml:space="preserve">Vidrio V - 3     43  X </v>
      </c>
      <c r="B634" s="145">
        <f>+P.T.Vieja!B313</f>
        <v>0.7</v>
      </c>
      <c r="C634" s="423">
        <f>+P.T.Vieja!C313</f>
        <v>0</v>
      </c>
      <c r="D634" s="423" t="str">
        <f>+P.T.Vieja!D313</f>
        <v>Uni</v>
      </c>
    </row>
    <row r="635" spans="1:4" x14ac:dyDescent="0.2">
      <c r="A635" s="145" t="str">
        <f>+P.T.Vieja!A314</f>
        <v xml:space="preserve">Vidrio V - 3     43  X </v>
      </c>
      <c r="B635" s="145">
        <f>+P.T.Vieja!B314</f>
        <v>0.84</v>
      </c>
      <c r="C635" s="423">
        <f>+P.T.Vieja!C314</f>
        <v>0</v>
      </c>
      <c r="D635" s="423" t="str">
        <f>+P.T.Vieja!D314</f>
        <v>Uni</v>
      </c>
    </row>
    <row r="636" spans="1:4" x14ac:dyDescent="0.2">
      <c r="A636" s="145" t="str">
        <f>+P.T.Vieja!A315</f>
        <v xml:space="preserve">Vidrio V - 3     43  X </v>
      </c>
      <c r="B636" s="145">
        <f>+P.T.Vieja!B315</f>
        <v>1.1200000000000001</v>
      </c>
      <c r="C636" s="423">
        <f>+P.T.Vieja!C315</f>
        <v>0</v>
      </c>
      <c r="D636" s="423" t="str">
        <f>+P.T.Vieja!D315</f>
        <v>Uni</v>
      </c>
    </row>
    <row r="637" spans="1:4" x14ac:dyDescent="0.2">
      <c r="A637" s="145" t="str">
        <f>+P.T.Vieja!A316</f>
        <v xml:space="preserve">Vidrio V - 3     43  X </v>
      </c>
      <c r="B637" s="145">
        <f>+P.T.Vieja!B316</f>
        <v>1.4</v>
      </c>
      <c r="C637" s="423">
        <f>+P.T.Vieja!C316</f>
        <v>0</v>
      </c>
      <c r="D637" s="423" t="str">
        <f>+P.T.Vieja!D316</f>
        <v>Uni</v>
      </c>
    </row>
    <row r="638" spans="1:4" x14ac:dyDescent="0.2">
      <c r="A638" s="145" t="str">
        <f>+P.T.Vieja!A317</f>
        <v>Wasa 5/16</v>
      </c>
      <c r="B638" s="145">
        <f>+P.T.Vieja!B317</f>
        <v>0</v>
      </c>
      <c r="C638" s="423">
        <f>+P.T.Vieja!C317</f>
        <v>0</v>
      </c>
      <c r="D638" s="423" t="str">
        <f>+P.T.Vieja!D317</f>
        <v>Uni</v>
      </c>
    </row>
    <row r="639" spans="1:4" x14ac:dyDescent="0.2">
      <c r="A639" s="145" t="str">
        <f>+P.T.Vieja!A318</f>
        <v>Zocalo</v>
      </c>
      <c r="B639" s="145">
        <f>+P.T.Vieja!B318</f>
        <v>0.28000000000000003</v>
      </c>
      <c r="C639" s="423">
        <f>+P.T.Vieja!C318</f>
        <v>0</v>
      </c>
      <c r="D639" s="423" t="str">
        <f>+P.T.Vieja!D318</f>
        <v>Uni</v>
      </c>
    </row>
    <row r="640" spans="1:4" x14ac:dyDescent="0.2">
      <c r="A640" s="145" t="str">
        <f>+P.T.Vieja!A319</f>
        <v>Zocalo</v>
      </c>
      <c r="B640" s="145">
        <f>+P.T.Vieja!B319</f>
        <v>0.56000000000000005</v>
      </c>
      <c r="C640" s="423">
        <f>+P.T.Vieja!C319</f>
        <v>0</v>
      </c>
      <c r="D640" s="423" t="str">
        <f>+P.T.Vieja!D319</f>
        <v>Uni</v>
      </c>
    </row>
    <row r="641" spans="1:4" x14ac:dyDescent="0.2">
      <c r="A641" s="145" t="str">
        <f>+P.T.Vieja!A320</f>
        <v>Zocalo</v>
      </c>
      <c r="B641" s="145">
        <f>+P.T.Vieja!B320</f>
        <v>0.7</v>
      </c>
      <c r="C641" s="423">
        <f>+P.T.Vieja!C320</f>
        <v>0</v>
      </c>
      <c r="D641" s="423" t="str">
        <f>+P.T.Vieja!D320</f>
        <v>Uni</v>
      </c>
    </row>
    <row r="642" spans="1:4" x14ac:dyDescent="0.2">
      <c r="A642" s="145" t="str">
        <f>+P.T.Vieja!A321</f>
        <v>Zocalo</v>
      </c>
      <c r="B642" s="145">
        <f>+P.T.Vieja!B321</f>
        <v>0.84</v>
      </c>
      <c r="C642" s="423">
        <f>+P.T.Vieja!C321</f>
        <v>0</v>
      </c>
      <c r="D642" s="423" t="str">
        <f>+P.T.Vieja!D321</f>
        <v>Uni</v>
      </c>
    </row>
    <row r="643" spans="1:4" x14ac:dyDescent="0.2">
      <c r="A643" s="145" t="str">
        <f>+P.T.Vieja!A322</f>
        <v>Zocalo</v>
      </c>
      <c r="B643" s="145">
        <f>+P.T.Vieja!B322</f>
        <v>1.1200000000000001</v>
      </c>
      <c r="C643" s="423">
        <f>+P.T.Vieja!C322</f>
        <v>0</v>
      </c>
      <c r="D643" s="423" t="str">
        <f>+P.T.Vieja!D322</f>
        <v>Uni</v>
      </c>
    </row>
    <row r="644" spans="1:4" x14ac:dyDescent="0.2">
      <c r="A644" s="145" t="str">
        <f>+P.T.Vieja!A323</f>
        <v>Zocalo</v>
      </c>
      <c r="B644" s="145">
        <f>+P.T.Vieja!B323</f>
        <v>1.4</v>
      </c>
      <c r="C644" s="423">
        <f>+P.T.Vieja!C323</f>
        <v>0</v>
      </c>
      <c r="D644" s="423" t="str">
        <f>+P.T.Vieja!D323</f>
        <v>Uni</v>
      </c>
    </row>
    <row r="645" spans="1:4" x14ac:dyDescent="0.2">
      <c r="A645" s="145" t="str">
        <f>+P.T.Vieja!A324</f>
        <v>Zocalo R - 60</v>
      </c>
      <c r="B645" s="145">
        <f>+P.T.Vieja!B324</f>
        <v>0</v>
      </c>
      <c r="C645" s="423">
        <f>+P.T.Vieja!C324</f>
        <v>0</v>
      </c>
      <c r="D645" s="423" t="str">
        <f>+P.T.Vieja!D324</f>
        <v>Uni</v>
      </c>
    </row>
    <row r="646" spans="1:4" x14ac:dyDescent="0.2">
      <c r="A646" s="145">
        <v>0</v>
      </c>
      <c r="B646" s="145"/>
      <c r="C646" s="423"/>
      <c r="D646" s="423"/>
    </row>
    <row r="647" spans="1:4" x14ac:dyDescent="0.2">
      <c r="A647" s="145">
        <v>0</v>
      </c>
      <c r="B647" s="145"/>
      <c r="C647" s="423"/>
      <c r="D647" s="423"/>
    </row>
    <row r="648" spans="1:4" x14ac:dyDescent="0.2">
      <c r="A648" s="145">
        <v>0</v>
      </c>
      <c r="B648" s="145"/>
      <c r="C648" s="423"/>
      <c r="D648" s="423"/>
    </row>
    <row r="649" spans="1:4" x14ac:dyDescent="0.2">
      <c r="A649" s="145">
        <v>0</v>
      </c>
      <c r="B649" s="145"/>
      <c r="C649" s="423"/>
      <c r="D649" s="423"/>
    </row>
    <row r="650" spans="1:4" x14ac:dyDescent="0.2">
      <c r="A650" s="145">
        <v>0</v>
      </c>
      <c r="B650" s="145"/>
      <c r="C650" s="423"/>
      <c r="D650" s="423"/>
    </row>
    <row r="651" spans="1:4" x14ac:dyDescent="0.2">
      <c r="A651" s="145">
        <v>0</v>
      </c>
      <c r="B651" s="145"/>
      <c r="C651" s="423"/>
      <c r="D651" s="423"/>
    </row>
    <row r="652" spans="1:4" x14ac:dyDescent="0.2">
      <c r="A652" s="424" t="s">
        <v>704</v>
      </c>
      <c r="B652" s="424" t="s">
        <v>448</v>
      </c>
      <c r="C652" s="425">
        <f>+C454+C572</f>
        <v>0</v>
      </c>
      <c r="D652" s="426" t="s">
        <v>118</v>
      </c>
    </row>
    <row r="653" spans="1:4" x14ac:dyDescent="0.2">
      <c r="A653" s="424" t="s">
        <v>704</v>
      </c>
      <c r="B653" s="424" t="s">
        <v>451</v>
      </c>
      <c r="C653" s="425">
        <f>+C455+C573</f>
        <v>0</v>
      </c>
      <c r="D653" s="426" t="s">
        <v>118</v>
      </c>
    </row>
    <row r="654" spans="1:4" x14ac:dyDescent="0.2">
      <c r="A654" s="424" t="s">
        <v>712</v>
      </c>
      <c r="B654" s="424"/>
      <c r="C654" s="425">
        <f>+C452+C574</f>
        <v>0</v>
      </c>
      <c r="D654" s="426" t="s">
        <v>118</v>
      </c>
    </row>
    <row r="655" spans="1:4" x14ac:dyDescent="0.2">
      <c r="A655" s="424" t="s">
        <v>709</v>
      </c>
      <c r="B655" s="424"/>
      <c r="C655" s="425">
        <f>+C453+C575</f>
        <v>0</v>
      </c>
      <c r="D655" s="426" t="s">
        <v>118</v>
      </c>
    </row>
    <row r="656" spans="1:4" x14ac:dyDescent="0.2">
      <c r="A656" s="424" t="s">
        <v>450</v>
      </c>
      <c r="B656" s="424">
        <v>0</v>
      </c>
      <c r="C656" s="425">
        <f>+C576</f>
        <v>0</v>
      </c>
      <c r="D656" s="427" t="s">
        <v>111</v>
      </c>
    </row>
    <row r="657" spans="1:4" x14ac:dyDescent="0.2">
      <c r="A657" s="424" t="s">
        <v>719</v>
      </c>
      <c r="B657" s="424">
        <v>0</v>
      </c>
      <c r="C657" s="428">
        <f>+C577</f>
        <v>0</v>
      </c>
      <c r="D657" s="427" t="s">
        <v>667</v>
      </c>
    </row>
    <row r="658" spans="1:4" x14ac:dyDescent="0.2">
      <c r="A658" s="424" t="s">
        <v>713</v>
      </c>
      <c r="B658" s="424"/>
      <c r="C658" s="425">
        <f>+C456</f>
        <v>0</v>
      </c>
      <c r="D658" s="426" t="s">
        <v>118</v>
      </c>
    </row>
    <row r="659" spans="1:4" x14ac:dyDescent="0.2">
      <c r="A659" s="424" t="s">
        <v>720</v>
      </c>
      <c r="B659" s="424">
        <v>0</v>
      </c>
      <c r="C659" s="425">
        <f>+C578</f>
        <v>0</v>
      </c>
      <c r="D659" s="427" t="s">
        <v>118</v>
      </c>
    </row>
    <row r="660" spans="1:4" x14ac:dyDescent="0.2">
      <c r="A660" s="424" t="s">
        <v>699</v>
      </c>
      <c r="B660" s="424"/>
      <c r="C660" s="425">
        <f>+C457+C579</f>
        <v>0</v>
      </c>
      <c r="D660" s="426" t="s">
        <v>118</v>
      </c>
    </row>
    <row r="661" spans="1:4" x14ac:dyDescent="0.2">
      <c r="A661" s="424" t="s">
        <v>721</v>
      </c>
      <c r="B661" s="424">
        <v>0</v>
      </c>
      <c r="C661" s="425">
        <f>+C580</f>
        <v>0</v>
      </c>
      <c r="D661" s="427" t="s">
        <v>118</v>
      </c>
    </row>
    <row r="662" spans="1:4" x14ac:dyDescent="0.2">
      <c r="A662" s="424" t="s">
        <v>110</v>
      </c>
      <c r="B662" s="424"/>
      <c r="C662" s="425">
        <f>+C581+C458</f>
        <v>0</v>
      </c>
      <c r="D662" s="426" t="s">
        <v>667</v>
      </c>
    </row>
    <row r="663" spans="1:4" x14ac:dyDescent="0.2">
      <c r="A663" s="424" t="s">
        <v>691</v>
      </c>
      <c r="B663" s="424"/>
      <c r="C663" s="425">
        <f>+C459+C582</f>
        <v>0</v>
      </c>
      <c r="D663" s="426" t="s">
        <v>667</v>
      </c>
    </row>
    <row r="664" spans="1:4" x14ac:dyDescent="0.2">
      <c r="A664" s="424" t="s">
        <v>722</v>
      </c>
      <c r="B664" s="424">
        <v>0</v>
      </c>
      <c r="C664" s="428">
        <f>+C583</f>
        <v>0</v>
      </c>
      <c r="D664" s="427" t="s">
        <v>667</v>
      </c>
    </row>
    <row r="665" spans="1:4" x14ac:dyDescent="0.2">
      <c r="A665" s="424" t="s">
        <v>723</v>
      </c>
      <c r="B665" s="424">
        <v>0</v>
      </c>
      <c r="C665" s="425">
        <f>+C584</f>
        <v>0</v>
      </c>
      <c r="D665" s="427" t="s">
        <v>724</v>
      </c>
    </row>
    <row r="666" spans="1:4" x14ac:dyDescent="0.2">
      <c r="A666" s="424" t="s">
        <v>700</v>
      </c>
      <c r="B666" s="424"/>
      <c r="C666" s="425">
        <f>+C585+C460</f>
        <v>0</v>
      </c>
      <c r="D666" s="426" t="s">
        <v>118</v>
      </c>
    </row>
    <row r="667" spans="1:4" x14ac:dyDescent="0.2">
      <c r="A667" s="424" t="s">
        <v>637</v>
      </c>
      <c r="B667" s="424"/>
      <c r="C667" s="425">
        <f t="shared" ref="C667:C673" si="63">+C461</f>
        <v>0</v>
      </c>
      <c r="D667" s="426" t="s">
        <v>118</v>
      </c>
    </row>
    <row r="668" spans="1:4" x14ac:dyDescent="0.2">
      <c r="A668" s="424" t="s">
        <v>671</v>
      </c>
      <c r="B668" s="424">
        <v>0.28000000000000003</v>
      </c>
      <c r="C668" s="425">
        <f t="shared" si="63"/>
        <v>0</v>
      </c>
      <c r="D668" s="426" t="s">
        <v>118</v>
      </c>
    </row>
    <row r="669" spans="1:4" x14ac:dyDescent="0.2">
      <c r="A669" s="424" t="s">
        <v>671</v>
      </c>
      <c r="B669" s="424">
        <v>0.56000000000000005</v>
      </c>
      <c r="C669" s="425">
        <f t="shared" si="63"/>
        <v>0</v>
      </c>
      <c r="D669" s="426" t="s">
        <v>118</v>
      </c>
    </row>
    <row r="670" spans="1:4" x14ac:dyDescent="0.2">
      <c r="A670" s="424" t="s">
        <v>671</v>
      </c>
      <c r="B670" s="424">
        <v>0.7</v>
      </c>
      <c r="C670" s="425">
        <f t="shared" si="63"/>
        <v>0</v>
      </c>
      <c r="D670" s="426" t="s">
        <v>118</v>
      </c>
    </row>
    <row r="671" spans="1:4" x14ac:dyDescent="0.2">
      <c r="A671" s="424" t="s">
        <v>671</v>
      </c>
      <c r="B671" s="424">
        <v>0.84</v>
      </c>
      <c r="C671" s="425">
        <f t="shared" si="63"/>
        <v>0</v>
      </c>
      <c r="D671" s="426" t="s">
        <v>118</v>
      </c>
    </row>
    <row r="672" spans="1:4" x14ac:dyDescent="0.2">
      <c r="A672" s="424" t="s">
        <v>671</v>
      </c>
      <c r="B672" s="424">
        <v>1.1200000000000001</v>
      </c>
      <c r="C672" s="425">
        <f t="shared" si="63"/>
        <v>0</v>
      </c>
      <c r="D672" s="426" t="s">
        <v>118</v>
      </c>
    </row>
    <row r="673" spans="1:4" x14ac:dyDescent="0.2">
      <c r="A673" s="424" t="s">
        <v>671</v>
      </c>
      <c r="B673" s="424">
        <v>1.4</v>
      </c>
      <c r="C673" s="425">
        <f t="shared" si="63"/>
        <v>0</v>
      </c>
      <c r="D673" s="426" t="s">
        <v>118</v>
      </c>
    </row>
    <row r="674" spans="1:4" x14ac:dyDescent="0.2">
      <c r="A674" s="424" t="s">
        <v>675</v>
      </c>
      <c r="B674" s="424"/>
      <c r="C674" s="425">
        <f>+C469</f>
        <v>0</v>
      </c>
      <c r="D674" s="426" t="s">
        <v>667</v>
      </c>
    </row>
    <row r="675" spans="1:4" x14ac:dyDescent="0.2">
      <c r="A675" s="424" t="s">
        <v>681</v>
      </c>
      <c r="B675" s="424"/>
      <c r="C675" s="425">
        <f>+C586+C470</f>
        <v>0</v>
      </c>
      <c r="D675" s="426" t="s">
        <v>118</v>
      </c>
    </row>
    <row r="676" spans="1:4" x14ac:dyDescent="0.2">
      <c r="A676" s="424" t="s">
        <v>665</v>
      </c>
      <c r="B676" s="424"/>
      <c r="C676" s="425">
        <f>+C471</f>
        <v>0</v>
      </c>
      <c r="D676" s="426" t="s">
        <v>118</v>
      </c>
    </row>
    <row r="677" spans="1:4" x14ac:dyDescent="0.2">
      <c r="A677" s="424" t="s">
        <v>655</v>
      </c>
      <c r="B677" s="424"/>
      <c r="C677" s="425">
        <f>+C472</f>
        <v>0</v>
      </c>
      <c r="D677" s="426" t="s">
        <v>118</v>
      </c>
    </row>
    <row r="678" spans="1:4" x14ac:dyDescent="0.2">
      <c r="A678" s="424" t="s">
        <v>725</v>
      </c>
      <c r="B678" s="424">
        <v>0</v>
      </c>
      <c r="C678" s="428">
        <f>+C587</f>
        <v>0</v>
      </c>
      <c r="D678" s="427" t="s">
        <v>667</v>
      </c>
    </row>
    <row r="679" spans="1:4" x14ac:dyDescent="0.2">
      <c r="A679" s="424" t="s">
        <v>683</v>
      </c>
      <c r="B679" s="424"/>
      <c r="C679" s="425">
        <f>+C588+C473</f>
        <v>0</v>
      </c>
      <c r="D679" s="426" t="s">
        <v>118</v>
      </c>
    </row>
    <row r="680" spans="1:4" x14ac:dyDescent="0.2">
      <c r="A680" s="424" t="s">
        <v>460</v>
      </c>
      <c r="B680" s="424">
        <v>0</v>
      </c>
      <c r="C680" s="425">
        <f>+C589</f>
        <v>0</v>
      </c>
      <c r="D680" s="427" t="s">
        <v>111</v>
      </c>
    </row>
    <row r="681" spans="1:4" x14ac:dyDescent="0.2">
      <c r="A681" s="424" t="s">
        <v>696</v>
      </c>
      <c r="B681" s="424"/>
      <c r="C681" s="425">
        <f>+C590+C474</f>
        <v>0</v>
      </c>
      <c r="D681" s="426" t="s">
        <v>118</v>
      </c>
    </row>
    <row r="682" spans="1:4" x14ac:dyDescent="0.2">
      <c r="A682" s="424" t="s">
        <v>707</v>
      </c>
      <c r="B682" s="424"/>
      <c r="C682" s="425">
        <f t="shared" ref="C682:C715" si="64">+C475</f>
        <v>0</v>
      </c>
      <c r="D682" s="426" t="s">
        <v>118</v>
      </c>
    </row>
    <row r="683" spans="1:4" x14ac:dyDescent="0.2">
      <c r="A683" s="424" t="s">
        <v>711</v>
      </c>
      <c r="B683" s="424"/>
      <c r="C683" s="425">
        <f t="shared" si="64"/>
        <v>0</v>
      </c>
      <c r="D683" s="426" t="s">
        <v>118</v>
      </c>
    </row>
    <row r="684" spans="1:4" x14ac:dyDescent="0.2">
      <c r="A684" s="424" t="s">
        <v>669</v>
      </c>
      <c r="B684" s="424">
        <v>0.28000000000000003</v>
      </c>
      <c r="C684" s="425">
        <f t="shared" si="64"/>
        <v>0</v>
      </c>
      <c r="D684" s="426" t="s">
        <v>118</v>
      </c>
    </row>
    <row r="685" spans="1:4" x14ac:dyDescent="0.2">
      <c r="A685" s="424" t="s">
        <v>669</v>
      </c>
      <c r="B685" s="424">
        <v>0.56000000000000005</v>
      </c>
      <c r="C685" s="425">
        <f t="shared" si="64"/>
        <v>0</v>
      </c>
      <c r="D685" s="426" t="s">
        <v>118</v>
      </c>
    </row>
    <row r="686" spans="1:4" x14ac:dyDescent="0.2">
      <c r="A686" s="424" t="s">
        <v>669</v>
      </c>
      <c r="B686" s="424">
        <v>0.7</v>
      </c>
      <c r="C686" s="425">
        <f t="shared" si="64"/>
        <v>0</v>
      </c>
      <c r="D686" s="426" t="s">
        <v>118</v>
      </c>
    </row>
    <row r="687" spans="1:4" x14ac:dyDescent="0.2">
      <c r="A687" s="424" t="s">
        <v>669</v>
      </c>
      <c r="B687" s="424">
        <v>0.84</v>
      </c>
      <c r="C687" s="425">
        <f t="shared" si="64"/>
        <v>0</v>
      </c>
      <c r="D687" s="426" t="s">
        <v>118</v>
      </c>
    </row>
    <row r="688" spans="1:4" x14ac:dyDescent="0.2">
      <c r="A688" s="424" t="s">
        <v>669</v>
      </c>
      <c r="B688" s="424">
        <v>1.1200000000000001</v>
      </c>
      <c r="C688" s="425">
        <f t="shared" si="64"/>
        <v>0</v>
      </c>
      <c r="D688" s="426" t="s">
        <v>118</v>
      </c>
    </row>
    <row r="689" spans="1:4" x14ac:dyDescent="0.2">
      <c r="A689" s="424" t="s">
        <v>669</v>
      </c>
      <c r="B689" s="424">
        <v>1.4</v>
      </c>
      <c r="C689" s="425">
        <f t="shared" si="64"/>
        <v>0</v>
      </c>
      <c r="D689" s="426" t="s">
        <v>118</v>
      </c>
    </row>
    <row r="690" spans="1:4" x14ac:dyDescent="0.2">
      <c r="A690" s="424" t="s">
        <v>678</v>
      </c>
      <c r="B690" s="424">
        <v>0.28000000000000003</v>
      </c>
      <c r="C690" s="425">
        <f t="shared" si="64"/>
        <v>0</v>
      </c>
      <c r="D690" s="426" t="s">
        <v>118</v>
      </c>
    </row>
    <row r="691" spans="1:4" x14ac:dyDescent="0.2">
      <c r="A691" s="424" t="s">
        <v>678</v>
      </c>
      <c r="B691" s="424">
        <v>0.56000000000000005</v>
      </c>
      <c r="C691" s="425">
        <f t="shared" si="64"/>
        <v>0</v>
      </c>
      <c r="D691" s="426" t="s">
        <v>118</v>
      </c>
    </row>
    <row r="692" spans="1:4" x14ac:dyDescent="0.2">
      <c r="A692" s="424" t="s">
        <v>678</v>
      </c>
      <c r="B692" s="424">
        <v>0.7</v>
      </c>
      <c r="C692" s="425">
        <f t="shared" si="64"/>
        <v>0</v>
      </c>
      <c r="D692" s="426" t="s">
        <v>118</v>
      </c>
    </row>
    <row r="693" spans="1:4" x14ac:dyDescent="0.2">
      <c r="A693" s="424" t="s">
        <v>678</v>
      </c>
      <c r="B693" s="424">
        <v>0.84</v>
      </c>
      <c r="C693" s="425">
        <f t="shared" si="64"/>
        <v>0</v>
      </c>
      <c r="D693" s="426" t="s">
        <v>118</v>
      </c>
    </row>
    <row r="694" spans="1:4" x14ac:dyDescent="0.2">
      <c r="A694" s="424" t="s">
        <v>678</v>
      </c>
      <c r="B694" s="424">
        <v>1.1200000000000001</v>
      </c>
      <c r="C694" s="425">
        <f t="shared" si="64"/>
        <v>0</v>
      </c>
      <c r="D694" s="426" t="s">
        <v>118</v>
      </c>
    </row>
    <row r="695" spans="1:4" x14ac:dyDescent="0.2">
      <c r="A695" s="424" t="s">
        <v>678</v>
      </c>
      <c r="B695" s="424">
        <v>1.4</v>
      </c>
      <c r="C695" s="425">
        <f t="shared" si="64"/>
        <v>0</v>
      </c>
      <c r="D695" s="426" t="s">
        <v>118</v>
      </c>
    </row>
    <row r="696" spans="1:4" x14ac:dyDescent="0.2">
      <c r="A696" s="424" t="s">
        <v>703</v>
      </c>
      <c r="B696" s="424" t="s">
        <v>443</v>
      </c>
      <c r="C696" s="425">
        <f t="shared" si="64"/>
        <v>0</v>
      </c>
      <c r="D696" s="426" t="s">
        <v>118</v>
      </c>
    </row>
    <row r="697" spans="1:4" x14ac:dyDescent="0.2">
      <c r="A697" s="424" t="s">
        <v>703</v>
      </c>
      <c r="B697" s="424" t="s">
        <v>451</v>
      </c>
      <c r="C697" s="425">
        <f t="shared" si="64"/>
        <v>0</v>
      </c>
      <c r="D697" s="426" t="s">
        <v>118</v>
      </c>
    </row>
    <row r="698" spans="1:4" x14ac:dyDescent="0.2">
      <c r="A698" s="424" t="s">
        <v>680</v>
      </c>
      <c r="B698" s="424">
        <v>0.28000000000000003</v>
      </c>
      <c r="C698" s="425">
        <f t="shared" si="64"/>
        <v>0</v>
      </c>
      <c r="D698" s="426" t="s">
        <v>118</v>
      </c>
    </row>
    <row r="699" spans="1:4" x14ac:dyDescent="0.2">
      <c r="A699" s="424" t="s">
        <v>680</v>
      </c>
      <c r="B699" s="424">
        <v>0.56000000000000005</v>
      </c>
      <c r="C699" s="425">
        <f t="shared" si="64"/>
        <v>0</v>
      </c>
      <c r="D699" s="426" t="s">
        <v>118</v>
      </c>
    </row>
    <row r="700" spans="1:4" x14ac:dyDescent="0.2">
      <c r="A700" s="424" t="s">
        <v>680</v>
      </c>
      <c r="B700" s="424">
        <v>0.7</v>
      </c>
      <c r="C700" s="425">
        <f t="shared" si="64"/>
        <v>0</v>
      </c>
      <c r="D700" s="426" t="s">
        <v>118</v>
      </c>
    </row>
    <row r="701" spans="1:4" x14ac:dyDescent="0.2">
      <c r="A701" s="424" t="s">
        <v>680</v>
      </c>
      <c r="B701" s="424">
        <v>0.84</v>
      </c>
      <c r="C701" s="425">
        <f t="shared" si="64"/>
        <v>0</v>
      </c>
      <c r="D701" s="426" t="s">
        <v>118</v>
      </c>
    </row>
    <row r="702" spans="1:4" x14ac:dyDescent="0.2">
      <c r="A702" s="424" t="s">
        <v>680</v>
      </c>
      <c r="B702" s="424">
        <v>1.1200000000000001</v>
      </c>
      <c r="C702" s="425">
        <f t="shared" si="64"/>
        <v>0</v>
      </c>
      <c r="D702" s="426" t="s">
        <v>118</v>
      </c>
    </row>
    <row r="703" spans="1:4" x14ac:dyDescent="0.2">
      <c r="A703" s="424" t="s">
        <v>680</v>
      </c>
      <c r="B703" s="424">
        <v>1.4</v>
      </c>
      <c r="C703" s="425">
        <f t="shared" si="64"/>
        <v>0</v>
      </c>
      <c r="D703" s="426" t="s">
        <v>118</v>
      </c>
    </row>
    <row r="704" spans="1:4" x14ac:dyDescent="0.2">
      <c r="A704" s="424" t="s">
        <v>692</v>
      </c>
      <c r="B704" s="424">
        <v>0.28000000000000003</v>
      </c>
      <c r="C704" s="425">
        <f t="shared" si="64"/>
        <v>0</v>
      </c>
      <c r="D704" s="426" t="s">
        <v>118</v>
      </c>
    </row>
    <row r="705" spans="1:4" x14ac:dyDescent="0.2">
      <c r="A705" s="424" t="s">
        <v>692</v>
      </c>
      <c r="B705" s="424">
        <v>0.56000000000000005</v>
      </c>
      <c r="C705" s="425">
        <f t="shared" si="64"/>
        <v>0</v>
      </c>
      <c r="D705" s="426" t="s">
        <v>118</v>
      </c>
    </row>
    <row r="706" spans="1:4" x14ac:dyDescent="0.2">
      <c r="A706" s="424" t="s">
        <v>692</v>
      </c>
      <c r="B706" s="424">
        <v>0.7</v>
      </c>
      <c r="C706" s="425">
        <f t="shared" si="64"/>
        <v>0</v>
      </c>
      <c r="D706" s="426" t="s">
        <v>118</v>
      </c>
    </row>
    <row r="707" spans="1:4" x14ac:dyDescent="0.2">
      <c r="A707" s="424" t="s">
        <v>692</v>
      </c>
      <c r="B707" s="424">
        <v>0.84</v>
      </c>
      <c r="C707" s="425">
        <f t="shared" si="64"/>
        <v>0</v>
      </c>
      <c r="D707" s="426" t="s">
        <v>118</v>
      </c>
    </row>
    <row r="708" spans="1:4" x14ac:dyDescent="0.2">
      <c r="A708" s="424" t="s">
        <v>692</v>
      </c>
      <c r="B708" s="424">
        <v>1.1200000000000001</v>
      </c>
      <c r="C708" s="425">
        <f t="shared" si="64"/>
        <v>0</v>
      </c>
      <c r="D708" s="426" t="s">
        <v>118</v>
      </c>
    </row>
    <row r="709" spans="1:4" x14ac:dyDescent="0.2">
      <c r="A709" s="424" t="s">
        <v>692</v>
      </c>
      <c r="B709" s="424">
        <v>1.4</v>
      </c>
      <c r="C709" s="425">
        <f t="shared" si="64"/>
        <v>0</v>
      </c>
      <c r="D709" s="426" t="s">
        <v>118</v>
      </c>
    </row>
    <row r="710" spans="1:4" x14ac:dyDescent="0.2">
      <c r="A710" s="424" t="s">
        <v>685</v>
      </c>
      <c r="B710" s="424">
        <v>0.28000000000000003</v>
      </c>
      <c r="C710" s="425">
        <f t="shared" si="64"/>
        <v>0</v>
      </c>
      <c r="D710" s="426" t="s">
        <v>118</v>
      </c>
    </row>
    <row r="711" spans="1:4" x14ac:dyDescent="0.2">
      <c r="A711" s="424" t="s">
        <v>685</v>
      </c>
      <c r="B711" s="424">
        <v>0.56000000000000005</v>
      </c>
      <c r="C711" s="425">
        <f t="shared" si="64"/>
        <v>0</v>
      </c>
      <c r="D711" s="426" t="s">
        <v>118</v>
      </c>
    </row>
    <row r="712" spans="1:4" x14ac:dyDescent="0.2">
      <c r="A712" s="424" t="s">
        <v>685</v>
      </c>
      <c r="B712" s="424">
        <v>0.7</v>
      </c>
      <c r="C712" s="425">
        <f t="shared" si="64"/>
        <v>0</v>
      </c>
      <c r="D712" s="426" t="s">
        <v>118</v>
      </c>
    </row>
    <row r="713" spans="1:4" x14ac:dyDescent="0.2">
      <c r="A713" s="424" t="s">
        <v>685</v>
      </c>
      <c r="B713" s="424">
        <v>0.84</v>
      </c>
      <c r="C713" s="425">
        <f t="shared" si="64"/>
        <v>0</v>
      </c>
      <c r="D713" s="426" t="s">
        <v>118</v>
      </c>
    </row>
    <row r="714" spans="1:4" x14ac:dyDescent="0.2">
      <c r="A714" s="424" t="s">
        <v>685</v>
      </c>
      <c r="B714" s="424">
        <v>1.1200000000000001</v>
      </c>
      <c r="C714" s="425">
        <f t="shared" si="64"/>
        <v>0</v>
      </c>
      <c r="D714" s="426" t="s">
        <v>118</v>
      </c>
    </row>
    <row r="715" spans="1:4" x14ac:dyDescent="0.2">
      <c r="A715" s="424" t="s">
        <v>685</v>
      </c>
      <c r="B715" s="424">
        <v>1.4</v>
      </c>
      <c r="C715" s="425">
        <f t="shared" si="64"/>
        <v>0</v>
      </c>
      <c r="D715" s="426" t="s">
        <v>118</v>
      </c>
    </row>
    <row r="716" spans="1:4" x14ac:dyDescent="0.2">
      <c r="A716" s="424" t="s">
        <v>674</v>
      </c>
      <c r="B716" s="424"/>
      <c r="C716" s="425">
        <f>+C509-C735</f>
        <v>0</v>
      </c>
      <c r="D716" s="426" t="s">
        <v>118</v>
      </c>
    </row>
    <row r="717" spans="1:4" x14ac:dyDescent="0.2">
      <c r="A717" s="424" t="s">
        <v>672</v>
      </c>
      <c r="B717" s="424"/>
      <c r="C717" s="425">
        <f>+C510+C591</f>
        <v>0</v>
      </c>
      <c r="D717" s="426" t="s">
        <v>667</v>
      </c>
    </row>
    <row r="718" spans="1:4" x14ac:dyDescent="0.2">
      <c r="A718" s="424" t="s">
        <v>635</v>
      </c>
      <c r="B718" s="424"/>
      <c r="C718" s="425">
        <f>+C511</f>
        <v>0</v>
      </c>
      <c r="D718" s="426" t="s">
        <v>667</v>
      </c>
    </row>
    <row r="719" spans="1:4" x14ac:dyDescent="0.2">
      <c r="A719" s="424" t="s">
        <v>628</v>
      </c>
      <c r="B719" s="424"/>
      <c r="C719" s="425">
        <f>+C512+C592</f>
        <v>0</v>
      </c>
      <c r="D719" s="426" t="s">
        <v>118</v>
      </c>
    </row>
    <row r="720" spans="1:4" x14ac:dyDescent="0.2">
      <c r="A720" s="424" t="s">
        <v>710</v>
      </c>
      <c r="B720" s="424"/>
      <c r="C720" s="425">
        <f>+C513+C593</f>
        <v>0</v>
      </c>
      <c r="D720" s="426" t="s">
        <v>118</v>
      </c>
    </row>
    <row r="721" spans="1:4" x14ac:dyDescent="0.2">
      <c r="A721" s="424" t="s">
        <v>653</v>
      </c>
      <c r="B721" s="424"/>
      <c r="C721" s="425">
        <f>+C514+C594</f>
        <v>0</v>
      </c>
      <c r="D721" s="426" t="s">
        <v>118</v>
      </c>
    </row>
    <row r="722" spans="1:4" x14ac:dyDescent="0.2">
      <c r="A722" s="424" t="s">
        <v>670</v>
      </c>
      <c r="B722" s="424"/>
      <c r="C722" s="425">
        <f>+C515</f>
        <v>0</v>
      </c>
      <c r="D722" s="426" t="s">
        <v>118</v>
      </c>
    </row>
    <row r="723" spans="1:4" x14ac:dyDescent="0.2">
      <c r="A723" s="424" t="s">
        <v>664</v>
      </c>
      <c r="B723" s="424"/>
      <c r="C723" s="425">
        <f>+C516</f>
        <v>0</v>
      </c>
      <c r="D723" s="426" t="s">
        <v>667</v>
      </c>
    </row>
    <row r="724" spans="1:4" x14ac:dyDescent="0.2">
      <c r="A724" s="424" t="s">
        <v>661</v>
      </c>
      <c r="B724" s="424"/>
      <c r="C724" s="425">
        <f>+C517</f>
        <v>0</v>
      </c>
      <c r="D724" s="426" t="s">
        <v>667</v>
      </c>
    </row>
    <row r="725" spans="1:4" x14ac:dyDescent="0.2">
      <c r="A725" s="424" t="s">
        <v>658</v>
      </c>
      <c r="B725" s="424"/>
      <c r="C725" s="425">
        <f>+C468</f>
        <v>0</v>
      </c>
      <c r="D725" s="426" t="s">
        <v>667</v>
      </c>
    </row>
    <row r="726" spans="1:4" x14ac:dyDescent="0.2">
      <c r="A726" s="424" t="s">
        <v>647</v>
      </c>
      <c r="B726" s="424"/>
      <c r="C726" s="425">
        <f>+C518</f>
        <v>0</v>
      </c>
      <c r="D726" s="426" t="s">
        <v>667</v>
      </c>
    </row>
    <row r="727" spans="1:4" x14ac:dyDescent="0.2">
      <c r="A727" s="424" t="s">
        <v>645</v>
      </c>
      <c r="B727" s="424"/>
      <c r="C727" s="425">
        <f>+C519</f>
        <v>0</v>
      </c>
      <c r="D727" s="426" t="s">
        <v>667</v>
      </c>
    </row>
    <row r="728" spans="1:4" x14ac:dyDescent="0.2">
      <c r="A728" s="424" t="s">
        <v>649</v>
      </c>
      <c r="B728" s="424"/>
      <c r="C728" s="425">
        <f>+C520</f>
        <v>0</v>
      </c>
      <c r="D728" s="426" t="s">
        <v>667</v>
      </c>
    </row>
    <row r="729" spans="1:4" x14ac:dyDescent="0.2">
      <c r="A729" s="424" t="s">
        <v>695</v>
      </c>
      <c r="B729" s="424"/>
      <c r="C729" s="425">
        <f>+C595+C521</f>
        <v>0</v>
      </c>
      <c r="D729" s="426" t="s">
        <v>118</v>
      </c>
    </row>
    <row r="730" spans="1:4" x14ac:dyDescent="0.2">
      <c r="A730" s="424" t="s">
        <v>688</v>
      </c>
      <c r="B730" s="424"/>
      <c r="C730" s="425">
        <f>+C596+C522</f>
        <v>0</v>
      </c>
      <c r="D730" s="426" t="s">
        <v>118</v>
      </c>
    </row>
    <row r="731" spans="1:4" x14ac:dyDescent="0.2">
      <c r="A731" s="424" t="s">
        <v>705</v>
      </c>
      <c r="B731" s="424"/>
      <c r="C731" s="425">
        <f>+C523+C597</f>
        <v>0</v>
      </c>
      <c r="D731" s="426" t="s">
        <v>118</v>
      </c>
    </row>
    <row r="732" spans="1:4" x14ac:dyDescent="0.2">
      <c r="A732" s="424" t="s">
        <v>708</v>
      </c>
      <c r="B732" s="424"/>
      <c r="C732" s="425">
        <f>+C524+C598</f>
        <v>0</v>
      </c>
      <c r="D732" s="426" t="s">
        <v>118</v>
      </c>
    </row>
    <row r="733" spans="1:4" x14ac:dyDescent="0.2">
      <c r="A733" s="424" t="s">
        <v>641</v>
      </c>
      <c r="B733" s="424"/>
      <c r="C733" s="425">
        <f>+C525</f>
        <v>0</v>
      </c>
      <c r="D733" s="426" t="s">
        <v>118</v>
      </c>
    </row>
    <row r="734" spans="1:4" x14ac:dyDescent="0.2">
      <c r="A734" s="429" t="s">
        <v>643</v>
      </c>
      <c r="B734" s="424"/>
      <c r="C734" s="425">
        <f>+C526</f>
        <v>0</v>
      </c>
      <c r="D734" s="426" t="s">
        <v>118</v>
      </c>
    </row>
    <row r="735" spans="1:4" x14ac:dyDescent="0.2">
      <c r="A735" s="424" t="s">
        <v>726</v>
      </c>
      <c r="B735" s="424">
        <v>0</v>
      </c>
      <c r="C735" s="425">
        <f>+C599</f>
        <v>0</v>
      </c>
      <c r="D735" s="427" t="s">
        <v>118</v>
      </c>
    </row>
    <row r="736" spans="1:4" x14ac:dyDescent="0.2">
      <c r="A736" s="424" t="s">
        <v>701</v>
      </c>
      <c r="B736" s="424"/>
      <c r="C736" s="425">
        <f>+C527+C600</f>
        <v>0</v>
      </c>
      <c r="D736" s="426" t="s">
        <v>118</v>
      </c>
    </row>
    <row r="737" spans="1:4" x14ac:dyDescent="0.2">
      <c r="A737" s="424" t="s">
        <v>682</v>
      </c>
      <c r="B737" s="424"/>
      <c r="C737" s="425">
        <f>+C528+C601</f>
        <v>0</v>
      </c>
      <c r="D737" s="426" t="s">
        <v>118</v>
      </c>
    </row>
    <row r="738" spans="1:4" x14ac:dyDescent="0.2">
      <c r="A738" s="424" t="s">
        <v>627</v>
      </c>
      <c r="B738" s="424"/>
      <c r="C738" s="425">
        <f>+C602+C529</f>
        <v>0</v>
      </c>
      <c r="D738" s="426" t="s">
        <v>118</v>
      </c>
    </row>
    <row r="739" spans="1:4" x14ac:dyDescent="0.2">
      <c r="A739" s="424" t="s">
        <v>698</v>
      </c>
      <c r="B739" s="424"/>
      <c r="C739" s="425">
        <f>+C530+C603</f>
        <v>0</v>
      </c>
      <c r="D739" s="426" t="s">
        <v>118</v>
      </c>
    </row>
    <row r="740" spans="1:4" x14ac:dyDescent="0.2">
      <c r="A740" s="424" t="s">
        <v>673</v>
      </c>
      <c r="B740" s="424"/>
      <c r="C740" s="425">
        <f>+C531+C604</f>
        <v>0</v>
      </c>
      <c r="D740" s="426" t="s">
        <v>118</v>
      </c>
    </row>
    <row r="741" spans="1:4" x14ac:dyDescent="0.2">
      <c r="A741" s="424" t="s">
        <v>727</v>
      </c>
      <c r="B741" s="424">
        <v>0</v>
      </c>
      <c r="C741" s="425">
        <f>+C605</f>
        <v>0</v>
      </c>
      <c r="D741" s="427" t="s">
        <v>118</v>
      </c>
    </row>
    <row r="742" spans="1:4" x14ac:dyDescent="0.2">
      <c r="A742" s="424" t="s">
        <v>728</v>
      </c>
      <c r="B742" s="424">
        <v>0</v>
      </c>
      <c r="C742" s="425">
        <f>+C606</f>
        <v>0</v>
      </c>
      <c r="D742" s="427" t="s">
        <v>118</v>
      </c>
    </row>
    <row r="743" spans="1:4" x14ac:dyDescent="0.2">
      <c r="A743" s="424" t="s">
        <v>676</v>
      </c>
      <c r="B743" s="424"/>
      <c r="C743" s="425">
        <f>+C532+C607</f>
        <v>0</v>
      </c>
      <c r="D743" s="426" t="s">
        <v>667</v>
      </c>
    </row>
    <row r="744" spans="1:4" x14ac:dyDescent="0.2">
      <c r="A744" s="424" t="s">
        <v>729</v>
      </c>
      <c r="B744" s="424">
        <v>0.28000000000000003</v>
      </c>
      <c r="C744" s="425">
        <f t="shared" ref="C744:C749" si="65">+C608</f>
        <v>0</v>
      </c>
      <c r="D744" s="427" t="s">
        <v>118</v>
      </c>
    </row>
    <row r="745" spans="1:4" x14ac:dyDescent="0.2">
      <c r="A745" s="424" t="s">
        <v>729</v>
      </c>
      <c r="B745" s="424">
        <v>0.56000000000000005</v>
      </c>
      <c r="C745" s="425">
        <f t="shared" si="65"/>
        <v>0</v>
      </c>
      <c r="D745" s="427" t="s">
        <v>118</v>
      </c>
    </row>
    <row r="746" spans="1:4" x14ac:dyDescent="0.2">
      <c r="A746" s="424" t="s">
        <v>729</v>
      </c>
      <c r="B746" s="424">
        <v>0.7</v>
      </c>
      <c r="C746" s="425">
        <f t="shared" si="65"/>
        <v>0</v>
      </c>
      <c r="D746" s="427" t="s">
        <v>118</v>
      </c>
    </row>
    <row r="747" spans="1:4" x14ac:dyDescent="0.2">
      <c r="A747" s="424" t="s">
        <v>729</v>
      </c>
      <c r="B747" s="424">
        <v>0.84</v>
      </c>
      <c r="C747" s="425">
        <f t="shared" si="65"/>
        <v>0</v>
      </c>
      <c r="D747" s="427" t="s">
        <v>118</v>
      </c>
    </row>
    <row r="748" spans="1:4" x14ac:dyDescent="0.2">
      <c r="A748" s="424" t="s">
        <v>729</v>
      </c>
      <c r="B748" s="424">
        <v>1.1200000000000001</v>
      </c>
      <c r="C748" s="425">
        <f t="shared" si="65"/>
        <v>0</v>
      </c>
      <c r="D748" s="427" t="s">
        <v>118</v>
      </c>
    </row>
    <row r="749" spans="1:4" x14ac:dyDescent="0.2">
      <c r="A749" s="424" t="s">
        <v>729</v>
      </c>
      <c r="B749" s="424">
        <v>1.4</v>
      </c>
      <c r="C749" s="425">
        <f t="shared" si="65"/>
        <v>0</v>
      </c>
      <c r="D749" s="427" t="s">
        <v>118</v>
      </c>
    </row>
    <row r="750" spans="1:4" x14ac:dyDescent="0.2">
      <c r="A750" s="424" t="s">
        <v>677</v>
      </c>
      <c r="B750" s="424">
        <v>0.28000000000000003</v>
      </c>
      <c r="C750" s="425">
        <f t="shared" ref="C750:C755" si="66">+C533</f>
        <v>0</v>
      </c>
      <c r="D750" s="426" t="s">
        <v>118</v>
      </c>
    </row>
    <row r="751" spans="1:4" x14ac:dyDescent="0.2">
      <c r="A751" s="424" t="s">
        <v>677</v>
      </c>
      <c r="B751" s="424">
        <v>0.56000000000000005</v>
      </c>
      <c r="C751" s="425">
        <f t="shared" si="66"/>
        <v>0</v>
      </c>
      <c r="D751" s="426" t="s">
        <v>118</v>
      </c>
    </row>
    <row r="752" spans="1:4" x14ac:dyDescent="0.2">
      <c r="A752" s="424" t="s">
        <v>677</v>
      </c>
      <c r="B752" s="424">
        <v>0.7</v>
      </c>
      <c r="C752" s="425">
        <f t="shared" si="66"/>
        <v>0</v>
      </c>
      <c r="D752" s="426" t="s">
        <v>118</v>
      </c>
    </row>
    <row r="753" spans="1:4" x14ac:dyDescent="0.2">
      <c r="A753" s="424" t="s">
        <v>677</v>
      </c>
      <c r="B753" s="424">
        <v>0.84</v>
      </c>
      <c r="C753" s="425">
        <f t="shared" si="66"/>
        <v>0</v>
      </c>
      <c r="D753" s="426" t="s">
        <v>118</v>
      </c>
    </row>
    <row r="754" spans="1:4" x14ac:dyDescent="0.2">
      <c r="A754" s="424" t="s">
        <v>677</v>
      </c>
      <c r="B754" s="424">
        <v>1.1200000000000001</v>
      </c>
      <c r="C754" s="425">
        <f t="shared" si="66"/>
        <v>0</v>
      </c>
      <c r="D754" s="426" t="s">
        <v>118</v>
      </c>
    </row>
    <row r="755" spans="1:4" x14ac:dyDescent="0.2">
      <c r="A755" s="424" t="s">
        <v>677</v>
      </c>
      <c r="B755" s="424">
        <v>1.4</v>
      </c>
      <c r="C755" s="425">
        <f t="shared" si="66"/>
        <v>0</v>
      </c>
      <c r="D755" s="426" t="s">
        <v>118</v>
      </c>
    </row>
    <row r="756" spans="1:4" x14ac:dyDescent="0.2">
      <c r="A756" s="424" t="s">
        <v>679</v>
      </c>
      <c r="B756" s="424">
        <v>0.28000000000000003</v>
      </c>
      <c r="C756" s="425">
        <f t="shared" ref="C756:C779" si="67">+C539+C614</f>
        <v>0</v>
      </c>
      <c r="D756" s="427" t="s">
        <v>118</v>
      </c>
    </row>
    <row r="757" spans="1:4" x14ac:dyDescent="0.2">
      <c r="A757" s="424" t="s">
        <v>679</v>
      </c>
      <c r="B757" s="424">
        <v>0.56000000000000005</v>
      </c>
      <c r="C757" s="425">
        <f t="shared" si="67"/>
        <v>0</v>
      </c>
      <c r="D757" s="427" t="s">
        <v>118</v>
      </c>
    </row>
    <row r="758" spans="1:4" x14ac:dyDescent="0.2">
      <c r="A758" s="424" t="s">
        <v>679</v>
      </c>
      <c r="B758" s="424">
        <v>0.7</v>
      </c>
      <c r="C758" s="425">
        <f t="shared" si="67"/>
        <v>0</v>
      </c>
      <c r="D758" s="427" t="s">
        <v>118</v>
      </c>
    </row>
    <row r="759" spans="1:4" x14ac:dyDescent="0.2">
      <c r="A759" s="424" t="s">
        <v>679</v>
      </c>
      <c r="B759" s="424">
        <v>0.84</v>
      </c>
      <c r="C759" s="425">
        <f t="shared" si="67"/>
        <v>0</v>
      </c>
      <c r="D759" s="427" t="s">
        <v>118</v>
      </c>
    </row>
    <row r="760" spans="1:4" x14ac:dyDescent="0.2">
      <c r="A760" s="424" t="s">
        <v>679</v>
      </c>
      <c r="B760" s="424">
        <v>1.1200000000000001</v>
      </c>
      <c r="C760" s="425">
        <f t="shared" si="67"/>
        <v>0</v>
      </c>
      <c r="D760" s="427" t="s">
        <v>118</v>
      </c>
    </row>
    <row r="761" spans="1:4" x14ac:dyDescent="0.2">
      <c r="A761" s="424" t="s">
        <v>679</v>
      </c>
      <c r="B761" s="424">
        <v>1.4</v>
      </c>
      <c r="C761" s="425">
        <f t="shared" si="67"/>
        <v>0</v>
      </c>
      <c r="D761" s="427" t="s">
        <v>118</v>
      </c>
    </row>
    <row r="762" spans="1:4" x14ac:dyDescent="0.2">
      <c r="A762" s="424" t="s">
        <v>693</v>
      </c>
      <c r="B762" s="424">
        <v>0.28000000000000003</v>
      </c>
      <c r="C762" s="425">
        <f t="shared" si="67"/>
        <v>0</v>
      </c>
      <c r="D762" s="426" t="s">
        <v>118</v>
      </c>
    </row>
    <row r="763" spans="1:4" x14ac:dyDescent="0.2">
      <c r="A763" s="424" t="s">
        <v>693</v>
      </c>
      <c r="B763" s="424">
        <v>0.56000000000000005</v>
      </c>
      <c r="C763" s="425">
        <f t="shared" si="67"/>
        <v>0</v>
      </c>
      <c r="D763" s="426" t="s">
        <v>118</v>
      </c>
    </row>
    <row r="764" spans="1:4" x14ac:dyDescent="0.2">
      <c r="A764" s="424" t="s">
        <v>693</v>
      </c>
      <c r="B764" s="424">
        <v>0.7</v>
      </c>
      <c r="C764" s="425">
        <f t="shared" si="67"/>
        <v>0</v>
      </c>
      <c r="D764" s="426" t="s">
        <v>118</v>
      </c>
    </row>
    <row r="765" spans="1:4" x14ac:dyDescent="0.2">
      <c r="A765" s="424" t="s">
        <v>693</v>
      </c>
      <c r="B765" s="424">
        <v>0.84</v>
      </c>
      <c r="C765" s="425">
        <f t="shared" si="67"/>
        <v>0</v>
      </c>
      <c r="D765" s="426" t="s">
        <v>118</v>
      </c>
    </row>
    <row r="766" spans="1:4" x14ac:dyDescent="0.2">
      <c r="A766" s="424" t="s">
        <v>693</v>
      </c>
      <c r="B766" s="424">
        <v>1.1200000000000001</v>
      </c>
      <c r="C766" s="425">
        <f t="shared" si="67"/>
        <v>0</v>
      </c>
      <c r="D766" s="426" t="s">
        <v>118</v>
      </c>
    </row>
    <row r="767" spans="1:4" x14ac:dyDescent="0.2">
      <c r="A767" s="424" t="s">
        <v>693</v>
      </c>
      <c r="B767" s="424">
        <v>1.4</v>
      </c>
      <c r="C767" s="425">
        <f t="shared" si="67"/>
        <v>0</v>
      </c>
      <c r="D767" s="426" t="s">
        <v>118</v>
      </c>
    </row>
    <row r="768" spans="1:4" x14ac:dyDescent="0.2">
      <c r="A768" s="424" t="s">
        <v>687</v>
      </c>
      <c r="B768" s="424">
        <v>0.28000000000000003</v>
      </c>
      <c r="C768" s="425">
        <f t="shared" si="67"/>
        <v>0</v>
      </c>
      <c r="D768" s="426" t="s">
        <v>118</v>
      </c>
    </row>
    <row r="769" spans="1:4" x14ac:dyDescent="0.2">
      <c r="A769" s="424" t="s">
        <v>687</v>
      </c>
      <c r="B769" s="424">
        <v>0.56000000000000005</v>
      </c>
      <c r="C769" s="425">
        <f t="shared" si="67"/>
        <v>0</v>
      </c>
      <c r="D769" s="426" t="s">
        <v>118</v>
      </c>
    </row>
    <row r="770" spans="1:4" x14ac:dyDescent="0.2">
      <c r="A770" s="424" t="s">
        <v>687</v>
      </c>
      <c r="B770" s="424">
        <v>0.7</v>
      </c>
      <c r="C770" s="425">
        <f t="shared" si="67"/>
        <v>0</v>
      </c>
      <c r="D770" s="426" t="s">
        <v>118</v>
      </c>
    </row>
    <row r="771" spans="1:4" x14ac:dyDescent="0.2">
      <c r="A771" s="424" t="s">
        <v>687</v>
      </c>
      <c r="B771" s="424">
        <v>0.84</v>
      </c>
      <c r="C771" s="425">
        <f t="shared" si="67"/>
        <v>0</v>
      </c>
      <c r="D771" s="426" t="s">
        <v>118</v>
      </c>
    </row>
    <row r="772" spans="1:4" x14ac:dyDescent="0.2">
      <c r="A772" s="424" t="s">
        <v>687</v>
      </c>
      <c r="B772" s="424">
        <v>1.1200000000000001</v>
      </c>
      <c r="C772" s="425">
        <f t="shared" si="67"/>
        <v>0</v>
      </c>
      <c r="D772" s="426" t="s">
        <v>118</v>
      </c>
    </row>
    <row r="773" spans="1:4" x14ac:dyDescent="0.2">
      <c r="A773" s="424" t="s">
        <v>687</v>
      </c>
      <c r="B773" s="424">
        <v>1.4</v>
      </c>
      <c r="C773" s="425">
        <f t="shared" si="67"/>
        <v>0</v>
      </c>
      <c r="D773" s="426" t="s">
        <v>118</v>
      </c>
    </row>
    <row r="774" spans="1:4" x14ac:dyDescent="0.2">
      <c r="A774" s="424" t="s">
        <v>684</v>
      </c>
      <c r="B774" s="424">
        <v>0.28000000000000003</v>
      </c>
      <c r="C774" s="425">
        <f t="shared" si="67"/>
        <v>0</v>
      </c>
      <c r="D774" s="426" t="s">
        <v>118</v>
      </c>
    </row>
    <row r="775" spans="1:4" x14ac:dyDescent="0.2">
      <c r="A775" s="424" t="s">
        <v>684</v>
      </c>
      <c r="B775" s="424">
        <v>0.56000000000000005</v>
      </c>
      <c r="C775" s="425">
        <f t="shared" si="67"/>
        <v>0</v>
      </c>
      <c r="D775" s="426" t="s">
        <v>118</v>
      </c>
    </row>
    <row r="776" spans="1:4" x14ac:dyDescent="0.2">
      <c r="A776" s="424" t="s">
        <v>684</v>
      </c>
      <c r="B776" s="424">
        <v>0.7</v>
      </c>
      <c r="C776" s="425">
        <f t="shared" si="67"/>
        <v>0</v>
      </c>
      <c r="D776" s="426" t="s">
        <v>118</v>
      </c>
    </row>
    <row r="777" spans="1:4" x14ac:dyDescent="0.2">
      <c r="A777" s="424" t="s">
        <v>684</v>
      </c>
      <c r="B777" s="424">
        <v>0.84</v>
      </c>
      <c r="C777" s="425">
        <f t="shared" si="67"/>
        <v>0</v>
      </c>
      <c r="D777" s="426" t="s">
        <v>118</v>
      </c>
    </row>
    <row r="778" spans="1:4" x14ac:dyDescent="0.2">
      <c r="A778" s="424" t="s">
        <v>684</v>
      </c>
      <c r="B778" s="424">
        <v>1.1200000000000001</v>
      </c>
      <c r="C778" s="425">
        <f t="shared" si="67"/>
        <v>0</v>
      </c>
      <c r="D778" s="426" t="s">
        <v>118</v>
      </c>
    </row>
    <row r="779" spans="1:4" x14ac:dyDescent="0.2">
      <c r="A779" s="424" t="s">
        <v>684</v>
      </c>
      <c r="B779" s="424">
        <v>1.4</v>
      </c>
      <c r="C779" s="425">
        <f t="shared" si="67"/>
        <v>0</v>
      </c>
      <c r="D779" s="426" t="s">
        <v>118</v>
      </c>
    </row>
    <row r="780" spans="1:4" x14ac:dyDescent="0.2">
      <c r="A780" s="424" t="s">
        <v>730</v>
      </c>
      <c r="B780" s="424">
        <v>0</v>
      </c>
      <c r="C780" s="425">
        <f t="shared" ref="C780:C786" si="68">+C638</f>
        <v>0</v>
      </c>
      <c r="D780" s="427" t="s">
        <v>118</v>
      </c>
    </row>
    <row r="781" spans="1:4" x14ac:dyDescent="0.2">
      <c r="A781" s="424" t="s">
        <v>731</v>
      </c>
      <c r="B781" s="424">
        <v>0.28000000000000003</v>
      </c>
      <c r="C781" s="425">
        <f t="shared" si="68"/>
        <v>0</v>
      </c>
      <c r="D781" s="427" t="s">
        <v>118</v>
      </c>
    </row>
    <row r="782" spans="1:4" x14ac:dyDescent="0.2">
      <c r="A782" s="424" t="s">
        <v>731</v>
      </c>
      <c r="B782" s="424">
        <v>0.56000000000000005</v>
      </c>
      <c r="C782" s="425">
        <f t="shared" si="68"/>
        <v>0</v>
      </c>
      <c r="D782" s="427" t="s">
        <v>118</v>
      </c>
    </row>
    <row r="783" spans="1:4" x14ac:dyDescent="0.2">
      <c r="A783" s="424" t="s">
        <v>731</v>
      </c>
      <c r="B783" s="424">
        <v>0.7</v>
      </c>
      <c r="C783" s="425">
        <f t="shared" si="68"/>
        <v>0</v>
      </c>
      <c r="D783" s="427" t="s">
        <v>118</v>
      </c>
    </row>
    <row r="784" spans="1:4" x14ac:dyDescent="0.2">
      <c r="A784" s="424" t="s">
        <v>731</v>
      </c>
      <c r="B784" s="424">
        <v>0.84</v>
      </c>
      <c r="C784" s="425">
        <f t="shared" si="68"/>
        <v>0</v>
      </c>
      <c r="D784" s="427" t="s">
        <v>118</v>
      </c>
    </row>
    <row r="785" spans="1:4" x14ac:dyDescent="0.2">
      <c r="A785" s="424" t="s">
        <v>731</v>
      </c>
      <c r="B785" s="424">
        <v>1.1200000000000001</v>
      </c>
      <c r="C785" s="425">
        <f t="shared" si="68"/>
        <v>0</v>
      </c>
      <c r="D785" s="427" t="s">
        <v>118</v>
      </c>
    </row>
    <row r="786" spans="1:4" x14ac:dyDescent="0.2">
      <c r="A786" s="424" t="s">
        <v>731</v>
      </c>
      <c r="B786" s="424">
        <v>1.4</v>
      </c>
      <c r="C786" s="425">
        <f t="shared" si="68"/>
        <v>0</v>
      </c>
      <c r="D786" s="427" t="s">
        <v>118</v>
      </c>
    </row>
    <row r="787" spans="1:4" x14ac:dyDescent="0.2">
      <c r="A787" s="424" t="s">
        <v>706</v>
      </c>
      <c r="B787" s="424">
        <v>0</v>
      </c>
      <c r="C787" s="425">
        <f>+C563+C645</f>
        <v>0</v>
      </c>
      <c r="D787" s="427" t="s">
        <v>118</v>
      </c>
    </row>
    <row r="788" spans="1:4" x14ac:dyDescent="0.2">
      <c r="A788" s="424" t="s">
        <v>702</v>
      </c>
      <c r="B788" s="424"/>
      <c r="C788" s="425">
        <f>+C564</f>
        <v>0</v>
      </c>
      <c r="D788" s="427" t="s">
        <v>118</v>
      </c>
    </row>
    <row r="789" spans="1:4" x14ac:dyDescent="0.2">
      <c r="A789" s="424"/>
      <c r="B789" s="424"/>
      <c r="C789" s="428"/>
      <c r="D789" s="428"/>
    </row>
    <row r="790" spans="1:4" x14ac:dyDescent="0.2">
      <c r="A790" s="424"/>
      <c r="B790" s="424">
        <v>0</v>
      </c>
      <c r="C790" s="428"/>
      <c r="D790" s="428"/>
    </row>
    <row r="791" spans="1:4" x14ac:dyDescent="0.2">
      <c r="A791" s="424"/>
      <c r="B791" s="424">
        <v>0</v>
      </c>
      <c r="C791" s="428"/>
      <c r="D791" s="428"/>
    </row>
    <row r="792" spans="1:4" x14ac:dyDescent="0.2">
      <c r="A792" s="424"/>
      <c r="B792" s="424">
        <v>0</v>
      </c>
      <c r="C792" s="428"/>
      <c r="D792" s="428"/>
    </row>
    <row r="793" spans="1:4" x14ac:dyDescent="0.2">
      <c r="A793" s="424"/>
      <c r="B793" s="424">
        <v>0</v>
      </c>
      <c r="C793" s="428"/>
      <c r="D793" s="428"/>
    </row>
    <row r="794" spans="1:4" x14ac:dyDescent="0.2">
      <c r="A794" s="424"/>
      <c r="B794" s="424">
        <v>0</v>
      </c>
      <c r="C794" s="428"/>
      <c r="D794" s="428"/>
    </row>
    <row r="795" spans="1:4" x14ac:dyDescent="0.2">
      <c r="A795" s="424"/>
      <c r="B795" s="424">
        <v>0</v>
      </c>
      <c r="C795" s="428"/>
      <c r="D795" s="428"/>
    </row>
    <row r="796" spans="1:4" x14ac:dyDescent="0.2">
      <c r="A796" s="424"/>
      <c r="B796" s="424">
        <v>0</v>
      </c>
      <c r="C796" s="428"/>
      <c r="D796" s="428"/>
    </row>
    <row r="797" spans="1:4" x14ac:dyDescent="0.2">
      <c r="A797" s="424"/>
      <c r="B797" s="424">
        <v>0</v>
      </c>
      <c r="C797" s="428"/>
      <c r="D797" s="428"/>
    </row>
    <row r="798" spans="1:4" x14ac:dyDescent="0.2">
      <c r="A798" s="424"/>
      <c r="B798" s="424">
        <v>0</v>
      </c>
      <c r="C798" s="428"/>
      <c r="D798" s="428"/>
    </row>
    <row r="799" spans="1:4" x14ac:dyDescent="0.2">
      <c r="A799" s="424"/>
      <c r="B799" s="424"/>
      <c r="C799" s="428"/>
      <c r="D799" s="428"/>
    </row>
    <row r="800" spans="1:4" x14ac:dyDescent="0.2">
      <c r="A800" s="424"/>
      <c r="B800" s="424">
        <v>0</v>
      </c>
      <c r="C800" s="428"/>
      <c r="D800" s="428"/>
    </row>
    <row r="801" spans="1:4" x14ac:dyDescent="0.2">
      <c r="A801" s="424"/>
      <c r="B801" s="424">
        <v>0</v>
      </c>
      <c r="C801" s="428"/>
      <c r="D801" s="428"/>
    </row>
    <row r="802" spans="1:4" x14ac:dyDescent="0.2">
      <c r="A802" s="424"/>
      <c r="B802" s="424">
        <v>0</v>
      </c>
      <c r="C802" s="428"/>
      <c r="D802" s="428"/>
    </row>
    <row r="803" spans="1:4" x14ac:dyDescent="0.2">
      <c r="A803" s="424"/>
      <c r="B803" s="424"/>
      <c r="C803" s="428"/>
      <c r="D803" s="428"/>
    </row>
    <row r="804" spans="1:4" x14ac:dyDescent="0.2">
      <c r="A804" s="424"/>
      <c r="B804" s="424"/>
      <c r="C804" s="428"/>
      <c r="D804" s="428"/>
    </row>
    <row r="805" spans="1:4" x14ac:dyDescent="0.2">
      <c r="A805" s="424"/>
      <c r="B805" s="424">
        <v>0</v>
      </c>
      <c r="C805" s="428"/>
      <c r="D805" s="428"/>
    </row>
    <row r="806" spans="1:4" x14ac:dyDescent="0.2">
      <c r="A806" s="424"/>
      <c r="B806" s="424"/>
      <c r="C806" s="428"/>
      <c r="D806" s="428"/>
    </row>
    <row r="807" spans="1:4" x14ac:dyDescent="0.2">
      <c r="A807" s="424"/>
      <c r="B807" s="424"/>
      <c r="C807" s="428"/>
      <c r="D807" s="428"/>
    </row>
    <row r="808" spans="1:4" x14ac:dyDescent="0.2">
      <c r="A808" s="424"/>
      <c r="B808" s="424">
        <v>0</v>
      </c>
      <c r="C808" s="428"/>
      <c r="D808" s="428"/>
    </row>
    <row r="809" spans="1:4" x14ac:dyDescent="0.2">
      <c r="A809" s="424"/>
      <c r="B809" s="424">
        <v>0</v>
      </c>
      <c r="C809" s="428"/>
      <c r="D809" s="428"/>
    </row>
    <row r="810" spans="1:4" x14ac:dyDescent="0.2">
      <c r="A810" s="424"/>
      <c r="B810" s="424">
        <v>0</v>
      </c>
      <c r="C810" s="428"/>
      <c r="D810" s="428"/>
    </row>
    <row r="811" spans="1:4" x14ac:dyDescent="0.2">
      <c r="A811" s="424"/>
      <c r="B811" s="424">
        <v>0</v>
      </c>
      <c r="C811" s="428"/>
      <c r="D811" s="428"/>
    </row>
    <row r="812" spans="1:4" x14ac:dyDescent="0.2">
      <c r="A812" s="424"/>
      <c r="B812" s="424">
        <v>0</v>
      </c>
      <c r="C812" s="428"/>
      <c r="D812" s="428"/>
    </row>
    <row r="813" spans="1:4" x14ac:dyDescent="0.2">
      <c r="A813" s="424"/>
      <c r="B813" s="424">
        <v>0</v>
      </c>
      <c r="C813" s="428"/>
      <c r="D813" s="428"/>
    </row>
    <row r="814" spans="1:4" x14ac:dyDescent="0.2">
      <c r="A814" s="424"/>
      <c r="B814" s="424"/>
      <c r="C814" s="425"/>
      <c r="D814" s="426"/>
    </row>
    <row r="815" spans="1:4" x14ac:dyDescent="0.2">
      <c r="A815" s="424"/>
      <c r="B815" s="424"/>
      <c r="C815" s="425"/>
      <c r="D815" s="426"/>
    </row>
    <row r="816" spans="1:4" x14ac:dyDescent="0.2">
      <c r="A816" s="424"/>
      <c r="B816" s="424"/>
      <c r="C816" s="425"/>
      <c r="D816" s="426"/>
    </row>
    <row r="817" spans="1:4" x14ac:dyDescent="0.2">
      <c r="A817" s="424"/>
      <c r="B817" s="424"/>
      <c r="C817" s="425"/>
      <c r="D817" s="426"/>
    </row>
    <row r="818" spans="1:4" x14ac:dyDescent="0.2">
      <c r="A818" s="424"/>
      <c r="B818" s="424"/>
      <c r="C818" s="425"/>
      <c r="D818" s="426"/>
    </row>
    <row r="819" spans="1:4" x14ac:dyDescent="0.2">
      <c r="A819" s="424"/>
      <c r="B819" s="424"/>
      <c r="C819" s="425"/>
      <c r="D819" s="426"/>
    </row>
    <row r="820" spans="1:4" x14ac:dyDescent="0.2">
      <c r="A820" s="424"/>
      <c r="B820" s="424"/>
      <c r="C820" s="428"/>
      <c r="D820" s="428"/>
    </row>
    <row r="821" spans="1:4" x14ac:dyDescent="0.2">
      <c r="A821" s="424"/>
      <c r="B821" s="424"/>
      <c r="C821" s="428"/>
      <c r="D821" s="428"/>
    </row>
    <row r="822" spans="1:4" x14ac:dyDescent="0.2">
      <c r="A822" s="424"/>
      <c r="B822" s="424"/>
      <c r="C822" s="428"/>
      <c r="D822" s="428"/>
    </row>
    <row r="823" spans="1:4" x14ac:dyDescent="0.2">
      <c r="A823" s="424"/>
      <c r="B823" s="424"/>
      <c r="C823" s="428"/>
      <c r="D823" s="428"/>
    </row>
    <row r="824" spans="1:4" x14ac:dyDescent="0.2">
      <c r="A824" s="424"/>
      <c r="B824" s="424"/>
      <c r="C824" s="428"/>
      <c r="D824" s="428"/>
    </row>
    <row r="825" spans="1:4" x14ac:dyDescent="0.2">
      <c r="A825" s="424"/>
      <c r="B825" s="424"/>
      <c r="C825" s="428"/>
      <c r="D825" s="428"/>
    </row>
    <row r="826" spans="1:4" x14ac:dyDescent="0.2">
      <c r="A826" s="424"/>
      <c r="B826" s="424"/>
      <c r="C826" s="428"/>
      <c r="D826" s="428"/>
    </row>
    <row r="827" spans="1:4" x14ac:dyDescent="0.2">
      <c r="A827" s="424"/>
      <c r="B827" s="424"/>
      <c r="C827" s="428"/>
      <c r="D827" s="428"/>
    </row>
    <row r="828" spans="1:4" x14ac:dyDescent="0.2">
      <c r="A828" s="424"/>
      <c r="B828" s="424"/>
      <c r="C828" s="428"/>
      <c r="D828" s="428"/>
    </row>
    <row r="829" spans="1:4" x14ac:dyDescent="0.2">
      <c r="A829" s="424"/>
      <c r="B829" s="424"/>
      <c r="C829" s="428"/>
      <c r="D829" s="428"/>
    </row>
    <row r="830" spans="1:4" x14ac:dyDescent="0.2">
      <c r="A830" s="424"/>
      <c r="B830" s="424"/>
      <c r="C830" s="428"/>
      <c r="D830" s="428"/>
    </row>
    <row r="831" spans="1:4" x14ac:dyDescent="0.2">
      <c r="A831" s="424"/>
      <c r="B831" s="424"/>
      <c r="C831" s="428"/>
      <c r="D831" s="428"/>
    </row>
    <row r="832" spans="1:4" x14ac:dyDescent="0.2">
      <c r="A832" s="424"/>
      <c r="B832" s="424"/>
      <c r="C832" s="428"/>
      <c r="D832" s="428"/>
    </row>
    <row r="833" spans="1:4" x14ac:dyDescent="0.2">
      <c r="A833" s="424"/>
      <c r="B833" s="424"/>
      <c r="C833" s="428"/>
      <c r="D833" s="428"/>
    </row>
    <row r="834" spans="1:4" x14ac:dyDescent="0.2">
      <c r="A834" s="424"/>
      <c r="B834" s="424"/>
      <c r="C834" s="428"/>
      <c r="D834" s="428"/>
    </row>
    <row r="835" spans="1:4" x14ac:dyDescent="0.2">
      <c r="A835" s="424"/>
      <c r="B835" s="424"/>
      <c r="C835" s="428"/>
      <c r="D835" s="428"/>
    </row>
    <row r="836" spans="1:4" x14ac:dyDescent="0.2">
      <c r="A836" s="424"/>
      <c r="B836" s="424"/>
      <c r="C836" s="428"/>
      <c r="D836" s="428"/>
    </row>
    <row r="837" spans="1:4" x14ac:dyDescent="0.2">
      <c r="A837" s="424"/>
      <c r="B837" s="424"/>
      <c r="C837" s="428"/>
      <c r="D837" s="428"/>
    </row>
    <row r="838" spans="1:4" x14ac:dyDescent="0.2">
      <c r="A838" s="424"/>
      <c r="B838" s="424"/>
      <c r="C838" s="425"/>
      <c r="D838" s="426"/>
    </row>
  </sheetData>
  <sheetProtection password="9291" sheet="1" objects="1" scenarios="1"/>
  <phoneticPr fontId="25" type="noConversion"/>
  <pageMargins left="0.75" right="0.75" top="1" bottom="1" header="0" footer="0"/>
  <pageSetup orientation="portrait" horizontalDpi="300" verticalDpi="300" r:id="rId1"/>
  <headerFooter alignWithMargins="0"/>
  <cellWatches>
    <cellWatch r="E531"/>
    <cellWatch r="C528"/>
  </cellWatch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2:AA411"/>
  <sheetViews>
    <sheetView zoomScale="75" workbookViewId="0">
      <selection activeCell="C285" sqref="C285"/>
    </sheetView>
  </sheetViews>
  <sheetFormatPr baseColWidth="10" defaultRowHeight="12.75" x14ac:dyDescent="0.2"/>
  <cols>
    <col min="1" max="1" width="27.28515625" style="7" customWidth="1"/>
    <col min="2" max="2" width="7.28515625" style="7" customWidth="1"/>
    <col min="3" max="3" width="10.140625" style="7" customWidth="1"/>
    <col min="4" max="4" width="7.5703125" style="7" customWidth="1"/>
    <col min="5" max="5" width="6.85546875" style="7" customWidth="1"/>
    <col min="6" max="6" width="6.42578125" style="7" customWidth="1"/>
    <col min="7" max="7" width="6.28515625" style="7" customWidth="1"/>
    <col min="8" max="8" width="9.42578125" style="7" customWidth="1"/>
    <col min="9" max="10" width="11.42578125" style="7"/>
    <col min="11" max="11" width="20" style="7" customWidth="1"/>
    <col min="12" max="12" width="6.28515625" style="7" customWidth="1"/>
    <col min="13" max="13" width="6.7109375" style="7" customWidth="1"/>
    <col min="14" max="14" width="6.28515625" style="7" customWidth="1"/>
    <col min="15" max="15" width="5.85546875" style="7" customWidth="1"/>
    <col min="16" max="16" width="6.28515625" style="7" customWidth="1"/>
    <col min="17" max="17" width="4.7109375" style="7" customWidth="1"/>
    <col min="18" max="18" width="5.7109375" style="7" customWidth="1"/>
    <col min="19" max="19" width="5.5703125" style="7" customWidth="1"/>
    <col min="20" max="20" width="11.42578125" style="7"/>
    <col min="21" max="21" width="26" style="7" customWidth="1"/>
    <col min="22" max="22" width="7.5703125" style="824" customWidth="1"/>
    <col min="23" max="23" width="8.85546875" style="7" customWidth="1"/>
    <col min="24" max="25" width="9.85546875" style="7" customWidth="1"/>
    <col min="26" max="26" width="9.28515625" style="7" customWidth="1"/>
    <col min="27" max="27" width="9.42578125" style="7" customWidth="1"/>
    <col min="28" max="16384" width="11.42578125" style="7"/>
  </cols>
  <sheetData>
    <row r="2" spans="1:27" x14ac:dyDescent="0.2">
      <c r="A2" s="116"/>
      <c r="B2" s="117">
        <f>+Cant.!N15</f>
        <v>0</v>
      </c>
    </row>
    <row r="3" spans="1:27" x14ac:dyDescent="0.2">
      <c r="A3" s="116"/>
      <c r="B3" s="119"/>
      <c r="C3" s="120"/>
      <c r="D3" s="120"/>
      <c r="E3" s="120"/>
      <c r="F3" s="120"/>
      <c r="G3" s="120"/>
      <c r="H3" s="120"/>
      <c r="I3" s="120"/>
      <c r="J3" s="132"/>
      <c r="K3" s="132"/>
      <c r="L3" s="132"/>
      <c r="M3" s="132"/>
      <c r="N3" s="132"/>
      <c r="O3" s="132"/>
      <c r="P3" s="132"/>
      <c r="Q3" s="120"/>
      <c r="R3" s="120"/>
      <c r="S3" s="120"/>
      <c r="T3" s="120"/>
      <c r="U3" s="120"/>
      <c r="V3" s="388"/>
      <c r="W3" s="120"/>
      <c r="X3" s="120"/>
      <c r="Y3" s="120"/>
      <c r="Z3" s="120"/>
      <c r="AA3" s="120"/>
    </row>
    <row r="4" spans="1:27" x14ac:dyDescent="0.2">
      <c r="A4" s="116" t="s">
        <v>414</v>
      </c>
      <c r="B4" s="121">
        <f>IF(B2&gt;0,1,0)</f>
        <v>0</v>
      </c>
      <c r="J4" s="132"/>
      <c r="K4" s="132"/>
      <c r="L4" s="132"/>
      <c r="M4" s="132"/>
      <c r="N4" s="132"/>
      <c r="O4" s="132"/>
      <c r="P4" s="132"/>
      <c r="Q4" s="120"/>
      <c r="R4" s="120"/>
      <c r="S4" s="120"/>
      <c r="T4" s="120"/>
      <c r="U4" s="120"/>
      <c r="V4" s="388"/>
      <c r="W4" s="120"/>
      <c r="X4" s="120"/>
      <c r="Y4" s="120"/>
      <c r="Z4" s="120"/>
      <c r="AA4" s="120"/>
    </row>
    <row r="5" spans="1:27" ht="18" x14ac:dyDescent="0.25">
      <c r="A5" s="116"/>
      <c r="B5" s="117"/>
      <c r="C5" s="122"/>
      <c r="D5" s="122"/>
      <c r="E5" s="122"/>
      <c r="F5" s="122"/>
      <c r="G5" s="122"/>
      <c r="H5" s="122"/>
      <c r="I5" s="122"/>
      <c r="J5" s="386"/>
      <c r="K5" s="386"/>
      <c r="L5" s="386"/>
      <c r="M5" s="386"/>
      <c r="N5" s="386"/>
      <c r="O5" s="386"/>
      <c r="P5" s="386"/>
      <c r="Q5" s="120"/>
      <c r="R5" s="120"/>
      <c r="S5" s="120"/>
      <c r="T5" s="120"/>
      <c r="U5" s="430"/>
      <c r="V5" s="386"/>
      <c r="W5" s="386"/>
      <c r="X5" s="430"/>
      <c r="Y5" s="430"/>
      <c r="Z5" s="430"/>
      <c r="AA5" s="430"/>
    </row>
    <row r="6" spans="1:27" ht="15.75" x14ac:dyDescent="0.25">
      <c r="A6" s="116"/>
      <c r="B6" s="122" t="s">
        <v>418</v>
      </c>
      <c r="C6" s="122"/>
      <c r="D6" s="122"/>
      <c r="E6" s="122"/>
      <c r="F6" s="122"/>
      <c r="G6" s="122"/>
      <c r="H6" s="122"/>
      <c r="I6" s="122"/>
      <c r="J6" s="135"/>
      <c r="K6" s="135"/>
      <c r="L6" s="135"/>
      <c r="M6" s="135"/>
      <c r="N6" s="135"/>
      <c r="O6" s="135"/>
      <c r="P6" s="135"/>
      <c r="Q6" s="120"/>
      <c r="R6" s="120"/>
      <c r="S6" s="120"/>
      <c r="T6" s="120"/>
      <c r="U6" s="136"/>
      <c r="V6" s="384"/>
      <c r="W6" s="136"/>
      <c r="X6" s="136"/>
      <c r="Y6" s="136"/>
      <c r="Z6" s="136"/>
      <c r="AA6" s="136"/>
    </row>
    <row r="7" spans="1:27" ht="15.75" x14ac:dyDescent="0.25">
      <c r="A7" s="123" t="s">
        <v>105</v>
      </c>
      <c r="B7" s="124">
        <v>0.28000000000000003</v>
      </c>
      <c r="C7" s="124">
        <v>0.56000000000000005</v>
      </c>
      <c r="D7" s="124">
        <v>0.7</v>
      </c>
      <c r="E7" s="124">
        <v>0.84</v>
      </c>
      <c r="F7" s="125">
        <v>1.1200000000000001</v>
      </c>
      <c r="G7" s="124">
        <v>1.4</v>
      </c>
      <c r="H7" s="124" t="s">
        <v>420</v>
      </c>
      <c r="J7" s="135"/>
      <c r="K7" s="132"/>
      <c r="L7" s="132"/>
      <c r="M7" s="132"/>
      <c r="N7" s="132"/>
      <c r="O7" s="132"/>
      <c r="P7" s="132"/>
      <c r="Q7" s="120"/>
      <c r="R7" s="120"/>
      <c r="S7" s="120"/>
      <c r="T7" s="120"/>
      <c r="U7" s="136"/>
      <c r="V7" s="388"/>
      <c r="W7" s="120"/>
      <c r="X7" s="120"/>
      <c r="Y7" s="120"/>
      <c r="Z7" s="120"/>
      <c r="AA7" s="120"/>
    </row>
    <row r="8" spans="1:27" ht="15.75" x14ac:dyDescent="0.25">
      <c r="A8" s="124" t="s">
        <v>422</v>
      </c>
      <c r="B8" s="126">
        <f>(Cant.!N21)*$B$4</f>
        <v>0</v>
      </c>
      <c r="C8" s="126">
        <f>(Cant.!O21)*$B$4</f>
        <v>0</v>
      </c>
      <c r="D8" s="126">
        <f>(Cant.!P21)*$B$4</f>
        <v>0</v>
      </c>
      <c r="E8" s="126">
        <f>(Cant.!Q21)*$B$4</f>
        <v>0</v>
      </c>
      <c r="F8" s="126">
        <f>(Cant.!R21)*$B$4</f>
        <v>0</v>
      </c>
      <c r="G8" s="126">
        <f>(Cant.!S21)*$B$4</f>
        <v>0</v>
      </c>
      <c r="H8" s="126">
        <f>(Cant.!T21)*$B$4</f>
        <v>0</v>
      </c>
      <c r="J8" s="135"/>
      <c r="K8" s="135"/>
      <c r="L8" s="135"/>
      <c r="M8" s="135"/>
      <c r="N8" s="135"/>
      <c r="O8" s="135"/>
      <c r="P8" s="135"/>
      <c r="Q8" s="120"/>
      <c r="R8" s="120"/>
      <c r="S8" s="120"/>
      <c r="T8" s="120"/>
      <c r="U8" s="136"/>
      <c r="V8" s="384"/>
      <c r="W8" s="136"/>
      <c r="X8" s="136"/>
      <c r="Y8" s="136"/>
      <c r="Z8" s="136"/>
      <c r="AA8" s="136"/>
    </row>
    <row r="9" spans="1:27" ht="15.75" x14ac:dyDescent="0.25">
      <c r="A9" s="124" t="s">
        <v>424</v>
      </c>
      <c r="B9" s="126">
        <f>(Cant.!N22)*$B$4</f>
        <v>0</v>
      </c>
      <c r="C9" s="126">
        <f>(Cant.!O22)*$B$4</f>
        <v>0</v>
      </c>
      <c r="D9" s="126">
        <f>(Cant.!P22)*$B$4</f>
        <v>0</v>
      </c>
      <c r="E9" s="126">
        <f>(Cant.!Q22)*$B$4</f>
        <v>0</v>
      </c>
      <c r="F9" s="126">
        <f>(Cant.!R22)*$B$4</f>
        <v>0</v>
      </c>
      <c r="G9" s="126">
        <f>(Cant.!S22)*$B$4</f>
        <v>0</v>
      </c>
      <c r="H9" s="126">
        <f>(Cant.!T22)*$B$4</f>
        <v>0</v>
      </c>
      <c r="J9" s="135"/>
      <c r="K9" s="135"/>
      <c r="L9" s="135"/>
      <c r="M9" s="135"/>
      <c r="N9" s="135"/>
      <c r="O9" s="135"/>
      <c r="P9" s="135"/>
      <c r="Q9" s="120"/>
      <c r="R9" s="120"/>
      <c r="S9" s="120"/>
      <c r="T9" s="120"/>
      <c r="U9" s="136"/>
      <c r="V9" s="384"/>
      <c r="W9" s="136"/>
      <c r="X9" s="136"/>
      <c r="Y9" s="136"/>
      <c r="Z9" s="136"/>
      <c r="AA9" s="136"/>
    </row>
    <row r="10" spans="1:27" ht="15.75" x14ac:dyDescent="0.25">
      <c r="A10" s="124" t="s">
        <v>426</v>
      </c>
      <c r="B10" s="126">
        <f>(Cant.!N23)*$B$4</f>
        <v>0</v>
      </c>
      <c r="C10" s="126">
        <f>(Cant.!O23)*$B$4</f>
        <v>0</v>
      </c>
      <c r="D10" s="126">
        <f>(Cant.!P23)*$B$4</f>
        <v>0</v>
      </c>
      <c r="E10" s="126">
        <f>(Cant.!Q23)*$B$4</f>
        <v>0</v>
      </c>
      <c r="F10" s="126">
        <f>(Cant.!R23)*$B$4</f>
        <v>0</v>
      </c>
      <c r="G10" s="126">
        <f>(Cant.!S23)*$B$4</f>
        <v>0</v>
      </c>
      <c r="H10" s="126">
        <f>(Cant.!T23)*$B$4</f>
        <v>0</v>
      </c>
      <c r="J10" s="135"/>
      <c r="K10" s="132"/>
      <c r="L10" s="132"/>
      <c r="M10" s="132"/>
      <c r="N10" s="132"/>
      <c r="O10" s="132"/>
      <c r="P10" s="132"/>
      <c r="Q10" s="120"/>
      <c r="R10" s="120"/>
      <c r="S10" s="120"/>
      <c r="T10" s="120"/>
      <c r="U10" s="136"/>
      <c r="V10" s="388"/>
      <c r="W10" s="120"/>
      <c r="X10" s="120"/>
      <c r="Y10" s="120"/>
      <c r="Z10" s="120"/>
      <c r="AA10" s="120"/>
    </row>
    <row r="11" spans="1:27" ht="15.75" x14ac:dyDescent="0.25">
      <c r="A11" s="124" t="s">
        <v>429</v>
      </c>
      <c r="B11" s="126">
        <f>(Cant.!N24)*$B$4</f>
        <v>0</v>
      </c>
      <c r="C11" s="126">
        <f>(Cant.!O24)*$B$4</f>
        <v>0</v>
      </c>
      <c r="D11" s="126">
        <f>(Cant.!P24)*$B$4</f>
        <v>0</v>
      </c>
      <c r="E11" s="126">
        <f>(Cant.!Q24)*$B$4</f>
        <v>0</v>
      </c>
      <c r="F11" s="126">
        <f>(Cant.!R24)*$B$4</f>
        <v>0</v>
      </c>
      <c r="G11" s="126">
        <f>(Cant.!S24)*$B$4</f>
        <v>0</v>
      </c>
      <c r="H11" s="126">
        <f>(Cant.!T24)*$B$4</f>
        <v>0</v>
      </c>
      <c r="J11" s="135"/>
      <c r="K11" s="135"/>
      <c r="L11" s="135"/>
      <c r="M11" s="135"/>
      <c r="N11" s="135"/>
      <c r="O11" s="135"/>
      <c r="P11" s="135"/>
      <c r="Q11" s="120"/>
      <c r="R11" s="120"/>
      <c r="S11" s="120"/>
      <c r="T11" s="120"/>
      <c r="U11" s="136"/>
      <c r="V11" s="384"/>
      <c r="W11" s="136"/>
      <c r="X11" s="136"/>
      <c r="Y11" s="136"/>
      <c r="Z11" s="136"/>
      <c r="AA11" s="136"/>
    </row>
    <row r="12" spans="1:27" ht="15.75" x14ac:dyDescent="0.25">
      <c r="A12" s="124" t="s">
        <v>431</v>
      </c>
      <c r="B12" s="126">
        <f>(Cant.!N25)*$B$4</f>
        <v>0</v>
      </c>
      <c r="C12" s="126">
        <f>(Cant.!O25)*$B$4</f>
        <v>0</v>
      </c>
      <c r="D12" s="126">
        <f>(Cant.!P25)*$B$4</f>
        <v>0</v>
      </c>
      <c r="E12" s="126">
        <f>(Cant.!Q25)*$B$4</f>
        <v>0</v>
      </c>
      <c r="F12" s="126">
        <f>(Cant.!R25)*$B$4</f>
        <v>0</v>
      </c>
      <c r="G12" s="126">
        <f>(Cant.!S25)*$B$4</f>
        <v>0</v>
      </c>
      <c r="H12" s="126">
        <f>(Cant.!T25)*$B$4</f>
        <v>0</v>
      </c>
      <c r="J12" s="135"/>
      <c r="K12" s="135"/>
      <c r="L12" s="135"/>
      <c r="M12" s="135"/>
      <c r="N12" s="135"/>
      <c r="O12" s="135"/>
      <c r="P12" s="135"/>
      <c r="Q12" s="120"/>
      <c r="R12" s="120"/>
      <c r="S12" s="120"/>
      <c r="T12" s="120"/>
      <c r="U12" s="136"/>
      <c r="V12" s="384"/>
      <c r="W12" s="136"/>
      <c r="X12" s="136"/>
      <c r="Y12" s="136"/>
      <c r="Z12" s="136"/>
      <c r="AA12" s="136"/>
    </row>
    <row r="13" spans="1:27" x14ac:dyDescent="0.2">
      <c r="A13" s="128"/>
      <c r="B13" s="129"/>
      <c r="C13" s="129"/>
      <c r="D13" s="129"/>
      <c r="E13" s="129"/>
      <c r="F13" s="129"/>
      <c r="G13" s="129"/>
      <c r="H13" s="129"/>
      <c r="J13" s="132"/>
      <c r="K13" s="132"/>
      <c r="L13" s="132"/>
      <c r="M13" s="132"/>
      <c r="N13" s="132"/>
      <c r="O13" s="132"/>
      <c r="P13" s="132"/>
      <c r="Q13" s="120"/>
      <c r="R13" s="120"/>
      <c r="S13" s="120"/>
      <c r="T13" s="120"/>
      <c r="U13" s="120"/>
      <c r="V13" s="388"/>
      <c r="W13" s="120"/>
      <c r="X13" s="120"/>
      <c r="Y13" s="120"/>
      <c r="Z13" s="120"/>
      <c r="AA13" s="120"/>
    </row>
    <row r="14" spans="1:27" ht="18" x14ac:dyDescent="0.25">
      <c r="A14" s="130" t="s">
        <v>436</v>
      </c>
      <c r="B14" s="129"/>
      <c r="C14" s="129"/>
      <c r="D14" s="129"/>
      <c r="E14" s="129"/>
      <c r="F14" s="129"/>
      <c r="G14" s="129"/>
      <c r="H14" s="129"/>
      <c r="J14" s="386"/>
      <c r="K14" s="386"/>
      <c r="L14" s="386"/>
      <c r="M14" s="386"/>
      <c r="N14" s="386"/>
      <c r="O14" s="386"/>
      <c r="P14" s="386"/>
      <c r="Q14" s="120"/>
      <c r="R14" s="120"/>
      <c r="S14" s="120"/>
      <c r="T14" s="120"/>
      <c r="U14" s="1737"/>
      <c r="V14" s="1737"/>
      <c r="W14" s="1737"/>
      <c r="X14" s="1737"/>
      <c r="Y14" s="1737"/>
      <c r="Z14" s="1737"/>
      <c r="AA14" s="1737"/>
    </row>
    <row r="15" spans="1:27" ht="15.75" x14ac:dyDescent="0.25">
      <c r="A15" s="131" t="s">
        <v>438</v>
      </c>
      <c r="B15" s="126">
        <f>(Cant.!N28)*$B$4</f>
        <v>0</v>
      </c>
      <c r="C15" s="126">
        <f>(Cant.!O28)*$B$4</f>
        <v>0</v>
      </c>
      <c r="D15" s="126">
        <f>(Cant.!P28)*$B$4</f>
        <v>0</v>
      </c>
      <c r="E15" s="126">
        <f>(Cant.!Q28)*$B$4</f>
        <v>0</v>
      </c>
      <c r="F15" s="126">
        <f>(Cant.!R28)*$B$4</f>
        <v>0</v>
      </c>
      <c r="G15" s="126">
        <f>(Cant.!S28)*$B$4</f>
        <v>0</v>
      </c>
      <c r="H15" s="126">
        <f>(Cant.!T28)*$B$4</f>
        <v>0</v>
      </c>
      <c r="J15" s="135"/>
      <c r="K15" s="135"/>
      <c r="L15" s="135"/>
      <c r="M15" s="135"/>
      <c r="N15" s="135"/>
      <c r="O15" s="135"/>
      <c r="P15" s="135"/>
      <c r="Q15" s="120"/>
      <c r="R15" s="120"/>
      <c r="S15" s="120"/>
      <c r="T15" s="120"/>
      <c r="U15" s="136"/>
      <c r="V15" s="384"/>
      <c r="W15" s="136"/>
      <c r="X15" s="136"/>
      <c r="Y15" s="136"/>
      <c r="Z15" s="136"/>
      <c r="AA15" s="136"/>
    </row>
    <row r="16" spans="1:27" ht="15.75" x14ac:dyDescent="0.25">
      <c r="A16" s="131" t="s">
        <v>501</v>
      </c>
      <c r="B16" s="126">
        <f>(Cant.!N29)*$B$4</f>
        <v>0</v>
      </c>
      <c r="C16" s="126">
        <f>(Cant.!O29)*$B$4</f>
        <v>0</v>
      </c>
      <c r="D16" s="126">
        <f>(Cant.!P29)*$B$4</f>
        <v>0</v>
      </c>
      <c r="E16" s="126">
        <f>(Cant.!Q29)*$B$4</f>
        <v>0</v>
      </c>
      <c r="F16" s="126">
        <f>(Cant.!R29)*$B$4</f>
        <v>0</v>
      </c>
      <c r="G16" s="126">
        <f>(Cant.!S29)*$B$4</f>
        <v>0</v>
      </c>
      <c r="H16" s="126">
        <f>(Cant.!T29)*$B$4</f>
        <v>0</v>
      </c>
      <c r="J16" s="135"/>
      <c r="K16" s="135"/>
      <c r="L16" s="135"/>
      <c r="M16" s="135"/>
      <c r="N16" s="135"/>
      <c r="O16" s="135"/>
      <c r="P16" s="135"/>
      <c r="Q16" s="120"/>
      <c r="R16" s="120"/>
      <c r="S16" s="120"/>
      <c r="T16" s="120"/>
      <c r="U16" s="136"/>
      <c r="V16" s="384"/>
      <c r="W16" s="136"/>
      <c r="X16" s="136"/>
      <c r="Y16" s="136"/>
      <c r="Z16" s="136"/>
      <c r="AA16" s="136"/>
    </row>
    <row r="17" spans="1:27" ht="15.75" x14ac:dyDescent="0.25">
      <c r="A17" s="131" t="s">
        <v>439</v>
      </c>
      <c r="B17" s="126">
        <f>(Cant.!N30)*$B$4</f>
        <v>0</v>
      </c>
      <c r="C17" s="126">
        <f>(Cant.!O30)*$B$4</f>
        <v>0</v>
      </c>
      <c r="D17" s="126">
        <f>(Cant.!P30)*$B$4</f>
        <v>0</v>
      </c>
      <c r="E17" s="126">
        <f>(Cant.!Q30)*$B$4</f>
        <v>0</v>
      </c>
      <c r="F17" s="126">
        <f>(Cant.!R30)*$B$4</f>
        <v>0</v>
      </c>
      <c r="G17" s="126">
        <f>(Cant.!S30)*$B$4</f>
        <v>0</v>
      </c>
      <c r="H17" s="126">
        <f>(Cant.!T30)*$B$4</f>
        <v>0</v>
      </c>
      <c r="J17" s="135"/>
      <c r="K17" s="135"/>
      <c r="L17" s="135"/>
      <c r="M17" s="135"/>
      <c r="N17" s="135"/>
      <c r="O17" s="135"/>
      <c r="P17" s="135"/>
      <c r="Q17" s="120"/>
      <c r="R17" s="120"/>
      <c r="S17" s="120"/>
      <c r="T17" s="120"/>
      <c r="U17" s="136"/>
      <c r="V17" s="384"/>
      <c r="W17" s="136"/>
      <c r="X17" s="136"/>
      <c r="Y17" s="136"/>
      <c r="Z17" s="136"/>
      <c r="AA17" s="136"/>
    </row>
    <row r="18" spans="1:27" ht="15.75" x14ac:dyDescent="0.25">
      <c r="A18" s="131" t="s">
        <v>505</v>
      </c>
      <c r="B18" s="126">
        <f>(Cant.!N31)*$B$4</f>
        <v>0</v>
      </c>
      <c r="C18" s="126">
        <f>(Cant.!O31)*$B$4</f>
        <v>0</v>
      </c>
      <c r="D18" s="126">
        <f>(Cant.!P31)*$B$4</f>
        <v>0</v>
      </c>
      <c r="E18" s="126">
        <f>(Cant.!Q31)*$B$4</f>
        <v>0</v>
      </c>
      <c r="F18" s="126">
        <f>(Cant.!R31)*$B$4</f>
        <v>0</v>
      </c>
      <c r="G18" s="126">
        <f>(Cant.!S31)*$B$4</f>
        <v>0</v>
      </c>
      <c r="H18" s="126">
        <f>(Cant.!T31)*$B$4</f>
        <v>0</v>
      </c>
      <c r="J18" s="135"/>
      <c r="K18" s="135"/>
      <c r="L18" s="135"/>
      <c r="M18" s="135"/>
      <c r="N18" s="135"/>
      <c r="O18" s="135"/>
      <c r="P18" s="135"/>
      <c r="Q18" s="120"/>
      <c r="R18" s="120"/>
      <c r="S18" s="120"/>
      <c r="T18" s="120"/>
      <c r="U18" s="136"/>
      <c r="V18" s="384"/>
      <c r="W18" s="136"/>
      <c r="X18" s="136"/>
      <c r="Y18" s="136"/>
      <c r="Z18" s="136"/>
      <c r="AA18" s="136"/>
    </row>
    <row r="19" spans="1:27" ht="15.75" x14ac:dyDescent="0.25">
      <c r="A19" s="132"/>
      <c r="B19" s="132"/>
      <c r="C19" s="132"/>
      <c r="D19" s="132"/>
      <c r="E19" s="132"/>
      <c r="F19" s="132"/>
      <c r="G19" s="132"/>
      <c r="H19" s="132"/>
      <c r="I19" s="132"/>
      <c r="J19" s="135"/>
      <c r="K19" s="135"/>
      <c r="L19" s="135"/>
      <c r="M19" s="135"/>
      <c r="N19" s="135"/>
      <c r="O19" s="135"/>
      <c r="P19" s="135"/>
      <c r="Q19" s="120"/>
      <c r="R19" s="120"/>
      <c r="S19" s="120"/>
      <c r="T19" s="120"/>
      <c r="U19" s="136"/>
      <c r="V19" s="384"/>
      <c r="W19" s="136"/>
      <c r="X19" s="136"/>
      <c r="Y19" s="136"/>
      <c r="Z19" s="136"/>
      <c r="AA19" s="136"/>
    </row>
    <row r="20" spans="1:27" ht="15.75" x14ac:dyDescent="0.25">
      <c r="A20" s="133"/>
      <c r="B20" s="128"/>
      <c r="C20" s="134"/>
      <c r="D20" s="134"/>
      <c r="E20" s="134"/>
      <c r="F20" s="134"/>
      <c r="G20" s="134"/>
      <c r="H20" s="134"/>
      <c r="I20" s="134"/>
      <c r="J20" s="135"/>
      <c r="K20" s="135"/>
      <c r="L20" s="135"/>
      <c r="M20" s="135"/>
      <c r="N20" s="135"/>
      <c r="O20" s="135"/>
      <c r="P20" s="135"/>
      <c r="Q20" s="120"/>
      <c r="R20" s="120"/>
      <c r="S20" s="120"/>
      <c r="T20" s="120"/>
      <c r="U20" s="136"/>
      <c r="V20" s="384"/>
      <c r="W20" s="136"/>
      <c r="X20" s="136"/>
      <c r="Y20" s="136"/>
      <c r="Z20" s="136"/>
      <c r="AA20" s="136"/>
    </row>
    <row r="21" spans="1:27" ht="15.75" x14ac:dyDescent="0.25">
      <c r="A21" s="135">
        <v>0</v>
      </c>
      <c r="B21" s="132"/>
      <c r="C21" s="132"/>
      <c r="D21" s="132"/>
      <c r="E21" s="132"/>
      <c r="F21" s="132"/>
      <c r="G21" s="132"/>
      <c r="H21" s="132"/>
      <c r="I21" s="132"/>
      <c r="J21" s="135"/>
      <c r="K21" s="132"/>
      <c r="L21" s="132"/>
      <c r="M21" s="132"/>
      <c r="N21" s="132"/>
      <c r="O21" s="132"/>
      <c r="P21" s="132"/>
      <c r="Q21" s="120"/>
      <c r="R21" s="120"/>
      <c r="S21" s="120"/>
      <c r="T21" s="120"/>
      <c r="U21" s="136"/>
      <c r="V21" s="388"/>
      <c r="W21" s="388"/>
      <c r="X21" s="388"/>
      <c r="Y21" s="388"/>
      <c r="Z21" s="120"/>
      <c r="AA21" s="120"/>
    </row>
    <row r="22" spans="1:27" ht="15.75" x14ac:dyDescent="0.25">
      <c r="A22" s="136">
        <v>0</v>
      </c>
      <c r="B22" s="136"/>
      <c r="C22" s="136"/>
      <c r="D22" s="136"/>
      <c r="E22" s="136"/>
      <c r="F22" s="136"/>
      <c r="G22" s="136"/>
      <c r="H22" s="136"/>
      <c r="I22" s="120"/>
      <c r="J22" s="136"/>
      <c r="K22" s="136"/>
      <c r="L22" s="136"/>
      <c r="M22" s="136"/>
      <c r="N22" s="136"/>
      <c r="O22" s="136"/>
      <c r="P22" s="136"/>
      <c r="Q22" s="120"/>
      <c r="R22" s="120"/>
      <c r="S22" s="120"/>
      <c r="T22" s="120"/>
      <c r="U22" s="136"/>
      <c r="V22" s="384"/>
      <c r="W22" s="136"/>
      <c r="X22" s="136"/>
      <c r="Y22" s="136"/>
      <c r="Z22" s="136"/>
      <c r="AA22" s="136"/>
    </row>
    <row r="23" spans="1:27" ht="18" x14ac:dyDescent="0.25">
      <c r="A23" s="397" t="s">
        <v>443</v>
      </c>
      <c r="B23" s="319"/>
      <c r="C23" s="319"/>
      <c r="D23" s="319"/>
      <c r="E23" s="319"/>
      <c r="F23" s="319"/>
      <c r="G23" s="319"/>
      <c r="H23" s="319"/>
      <c r="I23" s="319"/>
    </row>
    <row r="24" spans="1:27" x14ac:dyDescent="0.2">
      <c r="A24" s="7" t="s">
        <v>444</v>
      </c>
      <c r="C24" s="7">
        <v>0.3</v>
      </c>
      <c r="D24" s="7">
        <v>0.6</v>
      </c>
      <c r="E24" s="7">
        <v>0.7</v>
      </c>
      <c r="F24" s="7">
        <v>0.85</v>
      </c>
      <c r="G24" s="7">
        <v>1.1000000000000001</v>
      </c>
      <c r="H24" s="7">
        <v>1.4</v>
      </c>
      <c r="W24" s="825"/>
      <c r="X24" s="825"/>
    </row>
    <row r="25" spans="1:27" x14ac:dyDescent="0.2">
      <c r="A25" s="7" t="s">
        <v>445</v>
      </c>
      <c r="C25" s="316">
        <v>0.28000000000000003</v>
      </c>
      <c r="D25" s="316">
        <v>0.56000000000000005</v>
      </c>
      <c r="E25" s="316">
        <v>0.7</v>
      </c>
      <c r="F25" s="316">
        <v>0.84</v>
      </c>
      <c r="G25" s="316">
        <v>1.1200000000000001</v>
      </c>
      <c r="H25" s="316">
        <v>1.4</v>
      </c>
    </row>
    <row r="26" spans="1:27" ht="15.75" x14ac:dyDescent="0.25">
      <c r="A26" s="822" t="s">
        <v>105</v>
      </c>
      <c r="B26" s="822"/>
      <c r="C26" s="826">
        <f t="shared" ref="C26:H26" si="0">+B8</f>
        <v>0</v>
      </c>
      <c r="D26" s="826">
        <f t="shared" si="0"/>
        <v>0</v>
      </c>
      <c r="E26" s="826">
        <f t="shared" si="0"/>
        <v>0</v>
      </c>
      <c r="F26" s="826">
        <f t="shared" si="0"/>
        <v>0</v>
      </c>
      <c r="G26" s="826">
        <f t="shared" si="0"/>
        <v>0</v>
      </c>
      <c r="H26" s="826">
        <f t="shared" si="0"/>
        <v>0</v>
      </c>
      <c r="I26" s="317" t="s">
        <v>446</v>
      </c>
    </row>
    <row r="27" spans="1:27" x14ac:dyDescent="0.2">
      <c r="A27" s="7" t="s">
        <v>450</v>
      </c>
      <c r="B27" s="7">
        <v>1</v>
      </c>
      <c r="C27" s="7">
        <f>0.158*C26</f>
        <v>0</v>
      </c>
      <c r="D27" s="7">
        <f>0.316*D26</f>
        <v>0</v>
      </c>
      <c r="E27" s="7">
        <f>0.395*E26</f>
        <v>0</v>
      </c>
      <c r="F27" s="7">
        <f>0.475*F26</f>
        <v>0</v>
      </c>
      <c r="G27" s="7">
        <f>0.633*G26</f>
        <v>0</v>
      </c>
      <c r="H27" s="7">
        <f>0.833*H26</f>
        <v>0</v>
      </c>
      <c r="I27" s="392">
        <f>SUM(C27:H27)</f>
        <v>0</v>
      </c>
    </row>
    <row r="28" spans="1:27" x14ac:dyDescent="0.2">
      <c r="A28" s="7" t="s">
        <v>719</v>
      </c>
      <c r="B28" s="7">
        <v>1</v>
      </c>
      <c r="C28" s="7">
        <f>0.3*C26</f>
        <v>0</v>
      </c>
      <c r="D28" s="7">
        <f>0.6*D26</f>
        <v>0</v>
      </c>
      <c r="E28" s="7">
        <f>0.7*E26</f>
        <v>0</v>
      </c>
      <c r="F28" s="7">
        <f>0.85*F26</f>
        <v>0</v>
      </c>
      <c r="G28" s="7">
        <f>1.1*G26</f>
        <v>0</v>
      </c>
      <c r="H28" s="7">
        <f>1.4*H26</f>
        <v>0</v>
      </c>
      <c r="I28" s="392">
        <f t="shared" ref="I28:I40" si="1">SUM(C28:H28)</f>
        <v>0</v>
      </c>
    </row>
    <row r="29" spans="1:27" x14ac:dyDescent="0.2">
      <c r="A29" s="7" t="s">
        <v>720</v>
      </c>
      <c r="B29" s="7">
        <v>2</v>
      </c>
      <c r="C29" s="823">
        <f>B29*C26</f>
        <v>0</v>
      </c>
      <c r="D29" s="823">
        <f>B29*D26</f>
        <v>0</v>
      </c>
      <c r="E29" s="823">
        <f>B29*E26</f>
        <v>0</v>
      </c>
      <c r="F29" s="823">
        <f>B29*F26</f>
        <v>0</v>
      </c>
      <c r="G29" s="823">
        <f>B29*G26</f>
        <v>0</v>
      </c>
      <c r="H29" s="823">
        <f>B29*H26</f>
        <v>0</v>
      </c>
      <c r="I29" s="392">
        <f t="shared" si="1"/>
        <v>0</v>
      </c>
    </row>
    <row r="30" spans="1:27" x14ac:dyDescent="0.2">
      <c r="A30" s="7" t="s">
        <v>723</v>
      </c>
      <c r="B30" s="7">
        <v>1</v>
      </c>
      <c r="C30" s="7">
        <f>B30*C26</f>
        <v>0</v>
      </c>
      <c r="D30" s="7">
        <f>B30*D26</f>
        <v>0</v>
      </c>
      <c r="E30" s="7">
        <f>B30*E26</f>
        <v>0</v>
      </c>
      <c r="F30" s="7">
        <f>B30*F26</f>
        <v>0</v>
      </c>
      <c r="G30" s="7">
        <f>B30*G26</f>
        <v>0</v>
      </c>
      <c r="H30" s="7">
        <f>B30*H26</f>
        <v>0</v>
      </c>
      <c r="I30" s="392">
        <f t="shared" si="1"/>
        <v>0</v>
      </c>
    </row>
    <row r="31" spans="1:27" x14ac:dyDescent="0.2">
      <c r="A31" s="7" t="s">
        <v>672</v>
      </c>
      <c r="B31" s="7">
        <v>5</v>
      </c>
      <c r="C31" s="7">
        <f t="shared" ref="C31:H31" si="2">+($B31+C25)*C26</f>
        <v>0</v>
      </c>
      <c r="D31" s="7">
        <f t="shared" si="2"/>
        <v>0</v>
      </c>
      <c r="E31" s="7">
        <f t="shared" si="2"/>
        <v>0</v>
      </c>
      <c r="F31" s="7">
        <f t="shared" si="2"/>
        <v>0</v>
      </c>
      <c r="G31" s="7">
        <f t="shared" si="2"/>
        <v>0</v>
      </c>
      <c r="H31" s="7">
        <f t="shared" si="2"/>
        <v>0</v>
      </c>
      <c r="I31" s="392">
        <f t="shared" si="1"/>
        <v>0</v>
      </c>
    </row>
    <row r="32" spans="1:27" x14ac:dyDescent="0.2">
      <c r="A32" s="7" t="s">
        <v>705</v>
      </c>
      <c r="B32" s="7">
        <v>4</v>
      </c>
      <c r="C32" s="7">
        <f>B32*C26</f>
        <v>0</v>
      </c>
      <c r="D32" s="7">
        <f>B32*D26</f>
        <v>0</v>
      </c>
      <c r="E32" s="7">
        <f>B32*E26</f>
        <v>0</v>
      </c>
      <c r="F32" s="7">
        <f>B32*F26</f>
        <v>0</v>
      </c>
      <c r="G32" s="7">
        <f>B32*G26</f>
        <v>0</v>
      </c>
      <c r="H32" s="7">
        <f>B32*H26</f>
        <v>0</v>
      </c>
      <c r="I32" s="392">
        <f t="shared" si="1"/>
        <v>0</v>
      </c>
    </row>
    <row r="33" spans="1:9" x14ac:dyDescent="0.2">
      <c r="A33" s="7" t="s">
        <v>673</v>
      </c>
      <c r="B33" s="7">
        <v>13</v>
      </c>
      <c r="C33" s="7">
        <f t="shared" ref="C33:H33" si="3">C26*$B33</f>
        <v>0</v>
      </c>
      <c r="D33" s="7">
        <f t="shared" si="3"/>
        <v>0</v>
      </c>
      <c r="E33" s="7">
        <f t="shared" si="3"/>
        <v>0</v>
      </c>
      <c r="F33" s="7">
        <f t="shared" si="3"/>
        <v>0</v>
      </c>
      <c r="G33" s="7">
        <f t="shared" si="3"/>
        <v>0</v>
      </c>
      <c r="H33" s="7">
        <f t="shared" si="3"/>
        <v>0</v>
      </c>
      <c r="I33" s="392">
        <f t="shared" si="1"/>
        <v>0</v>
      </c>
    </row>
    <row r="34" spans="1:9" x14ac:dyDescent="0.2">
      <c r="A34" s="7" t="s">
        <v>727</v>
      </c>
      <c r="B34" s="7">
        <v>2</v>
      </c>
      <c r="C34" s="7">
        <f>+B34*C26</f>
        <v>0</v>
      </c>
      <c r="D34" s="7">
        <f>+B34*D26</f>
        <v>0</v>
      </c>
      <c r="E34" s="7">
        <f>+B34*E26</f>
        <v>0</v>
      </c>
      <c r="F34" s="7">
        <f>+B34*F26</f>
        <v>0</v>
      </c>
      <c r="G34" s="7">
        <f>+B34*G26</f>
        <v>0</v>
      </c>
      <c r="H34" s="7">
        <f>+B34*H26</f>
        <v>0</v>
      </c>
      <c r="I34" s="392">
        <f t="shared" si="1"/>
        <v>0</v>
      </c>
    </row>
    <row r="35" spans="1:9" x14ac:dyDescent="0.2">
      <c r="A35" s="7" t="s">
        <v>728</v>
      </c>
      <c r="B35" s="7">
        <v>4</v>
      </c>
      <c r="C35" s="7">
        <f t="shared" ref="C35:H35" si="4">$B35*C26</f>
        <v>0</v>
      </c>
      <c r="D35" s="7">
        <f t="shared" si="4"/>
        <v>0</v>
      </c>
      <c r="E35" s="7">
        <f t="shared" si="4"/>
        <v>0</v>
      </c>
      <c r="F35" s="7">
        <f t="shared" si="4"/>
        <v>0</v>
      </c>
      <c r="G35" s="7">
        <f t="shared" si="4"/>
        <v>0</v>
      </c>
      <c r="H35" s="7">
        <f t="shared" si="4"/>
        <v>0</v>
      </c>
      <c r="I35" s="392">
        <f t="shared" si="1"/>
        <v>0</v>
      </c>
    </row>
    <row r="36" spans="1:9" x14ac:dyDescent="0.2">
      <c r="A36" s="7" t="s">
        <v>730</v>
      </c>
      <c r="B36" s="7">
        <v>2</v>
      </c>
      <c r="C36" s="7">
        <f t="shared" ref="C36:H36" si="5">+$B36*C26</f>
        <v>0</v>
      </c>
      <c r="D36" s="7">
        <f t="shared" si="5"/>
        <v>0</v>
      </c>
      <c r="E36" s="7">
        <f t="shared" si="5"/>
        <v>0</v>
      </c>
      <c r="F36" s="7">
        <f t="shared" si="5"/>
        <v>0</v>
      </c>
      <c r="G36" s="7">
        <f t="shared" si="5"/>
        <v>0</v>
      </c>
      <c r="H36" s="7">
        <f t="shared" si="5"/>
        <v>0</v>
      </c>
      <c r="I36" s="392">
        <f t="shared" si="1"/>
        <v>0</v>
      </c>
    </row>
    <row r="37" spans="1:9" x14ac:dyDescent="0.2">
      <c r="A37" s="7" t="s">
        <v>731</v>
      </c>
      <c r="B37" s="7">
        <v>1</v>
      </c>
      <c r="C37" s="392">
        <f t="shared" ref="C37:H37" si="6">+$B37*C26</f>
        <v>0</v>
      </c>
      <c r="D37" s="392">
        <f t="shared" si="6"/>
        <v>0</v>
      </c>
      <c r="E37" s="392">
        <f t="shared" si="6"/>
        <v>0</v>
      </c>
      <c r="F37" s="392">
        <f t="shared" si="6"/>
        <v>0</v>
      </c>
      <c r="G37" s="392">
        <f t="shared" si="6"/>
        <v>0</v>
      </c>
      <c r="H37" s="392">
        <f t="shared" si="6"/>
        <v>0</v>
      </c>
      <c r="I37" s="392">
        <f t="shared" si="1"/>
        <v>0</v>
      </c>
    </row>
    <row r="38" spans="1:9" x14ac:dyDescent="0.2">
      <c r="A38" s="7" t="s">
        <v>725</v>
      </c>
      <c r="B38" s="7">
        <v>1</v>
      </c>
      <c r="C38" s="7">
        <f>0.3*C26</f>
        <v>0</v>
      </c>
      <c r="D38" s="7">
        <f>0.6*D26</f>
        <v>0</v>
      </c>
      <c r="E38" s="7">
        <f>0.7*E26</f>
        <v>0</v>
      </c>
      <c r="F38" s="7">
        <f>0.85*F26</f>
        <v>0</v>
      </c>
      <c r="G38" s="7">
        <f>1.1*G26</f>
        <v>0</v>
      </c>
      <c r="H38" s="7">
        <f>1.4*H26</f>
        <v>0</v>
      </c>
      <c r="I38" s="392">
        <f t="shared" si="1"/>
        <v>0</v>
      </c>
    </row>
    <row r="39" spans="1:9" x14ac:dyDescent="0.2">
      <c r="A39" s="7" t="s">
        <v>676</v>
      </c>
      <c r="B39" s="7">
        <v>1</v>
      </c>
      <c r="C39" s="7">
        <f t="shared" ref="C39:H39" si="7">+C25*C26</f>
        <v>0</v>
      </c>
      <c r="D39" s="7">
        <f t="shared" si="7"/>
        <v>0</v>
      </c>
      <c r="E39" s="7">
        <f t="shared" si="7"/>
        <v>0</v>
      </c>
      <c r="F39" s="7">
        <f t="shared" si="7"/>
        <v>0</v>
      </c>
      <c r="G39" s="7">
        <f t="shared" si="7"/>
        <v>0</v>
      </c>
      <c r="H39" s="7">
        <f t="shared" si="7"/>
        <v>0</v>
      </c>
      <c r="I39" s="392">
        <f t="shared" si="1"/>
        <v>0</v>
      </c>
    </row>
    <row r="40" spans="1:9" x14ac:dyDescent="0.2">
      <c r="A40" s="7" t="s">
        <v>627</v>
      </c>
      <c r="B40" s="7">
        <v>4</v>
      </c>
      <c r="C40" s="7">
        <f t="shared" ref="C40:H40" si="8">$B40*C26</f>
        <v>0</v>
      </c>
      <c r="D40" s="7">
        <f t="shared" si="8"/>
        <v>0</v>
      </c>
      <c r="E40" s="7">
        <f t="shared" si="8"/>
        <v>0</v>
      </c>
      <c r="F40" s="7">
        <f t="shared" si="8"/>
        <v>0</v>
      </c>
      <c r="G40" s="7">
        <f t="shared" si="8"/>
        <v>0</v>
      </c>
      <c r="H40" s="7">
        <f t="shared" si="8"/>
        <v>0</v>
      </c>
      <c r="I40" s="392">
        <f t="shared" si="1"/>
        <v>0</v>
      </c>
    </row>
    <row r="41" spans="1:9" x14ac:dyDescent="0.2">
      <c r="A41" s="7">
        <v>0</v>
      </c>
    </row>
    <row r="42" spans="1:9" ht="18" x14ac:dyDescent="0.25">
      <c r="A42" s="397" t="s">
        <v>448</v>
      </c>
      <c r="B42" s="319"/>
      <c r="C42" s="319"/>
      <c r="D42" s="319"/>
      <c r="E42" s="319"/>
      <c r="F42" s="319"/>
      <c r="G42" s="319"/>
      <c r="H42" s="319"/>
      <c r="I42" s="319"/>
    </row>
    <row r="43" spans="1:9" x14ac:dyDescent="0.2">
      <c r="A43" s="7" t="s">
        <v>444</v>
      </c>
      <c r="C43" s="7">
        <v>0.3</v>
      </c>
      <c r="D43" s="7">
        <v>0.6</v>
      </c>
      <c r="E43" s="7">
        <v>0.7</v>
      </c>
      <c r="F43" s="7">
        <v>0.85</v>
      </c>
      <c r="G43" s="7">
        <v>1.1000000000000001</v>
      </c>
      <c r="H43" s="7">
        <v>1.4</v>
      </c>
    </row>
    <row r="44" spans="1:9" x14ac:dyDescent="0.2">
      <c r="A44" s="7" t="s">
        <v>445</v>
      </c>
      <c r="C44" s="316">
        <v>0.28000000000000003</v>
      </c>
      <c r="D44" s="316">
        <v>0.56000000000000005</v>
      </c>
      <c r="E44" s="316">
        <v>0.7</v>
      </c>
      <c r="F44" s="316">
        <v>0.84</v>
      </c>
      <c r="G44" s="316">
        <v>1.1200000000000001</v>
      </c>
      <c r="H44" s="316">
        <v>1.4</v>
      </c>
    </row>
    <row r="45" spans="1:9" ht="15.75" x14ac:dyDescent="0.25">
      <c r="A45" s="822" t="s">
        <v>105</v>
      </c>
      <c r="B45" s="822"/>
      <c r="C45" s="826">
        <f t="shared" ref="C45:H45" si="9">+B9</f>
        <v>0</v>
      </c>
      <c r="D45" s="826">
        <f t="shared" si="9"/>
        <v>0</v>
      </c>
      <c r="E45" s="826">
        <f t="shared" si="9"/>
        <v>0</v>
      </c>
      <c r="F45" s="826">
        <f t="shared" si="9"/>
        <v>0</v>
      </c>
      <c r="G45" s="826">
        <f t="shared" si="9"/>
        <v>0</v>
      </c>
      <c r="H45" s="826">
        <f t="shared" si="9"/>
        <v>0</v>
      </c>
      <c r="I45" s="317" t="s">
        <v>446</v>
      </c>
    </row>
    <row r="46" spans="1:9" x14ac:dyDescent="0.2">
      <c r="A46" s="7" t="s">
        <v>450</v>
      </c>
      <c r="B46" s="7">
        <v>1</v>
      </c>
      <c r="C46" s="7">
        <f>0.0166*C45</f>
        <v>0</v>
      </c>
      <c r="D46" s="7">
        <f>0.033*D45</f>
        <v>0</v>
      </c>
      <c r="E46" s="7">
        <f>0.041*E45</f>
        <v>0</v>
      </c>
      <c r="F46" s="7">
        <f>0.05*F45</f>
        <v>0</v>
      </c>
      <c r="G46" s="7">
        <f>0.06*G45</f>
        <v>0</v>
      </c>
      <c r="H46" s="7">
        <f>0.09*H45</f>
        <v>0</v>
      </c>
      <c r="I46" s="392">
        <f>SUM(C46:H46)</f>
        <v>0</v>
      </c>
    </row>
    <row r="47" spans="1:9" x14ac:dyDescent="0.2">
      <c r="A47" s="7" t="s">
        <v>719</v>
      </c>
      <c r="B47" s="7">
        <v>1</v>
      </c>
      <c r="C47" s="7">
        <f t="shared" ref="C47:H47" si="10">+(C44*2)*C45</f>
        <v>0</v>
      </c>
      <c r="D47" s="7">
        <f t="shared" si="10"/>
        <v>0</v>
      </c>
      <c r="E47" s="7">
        <f t="shared" si="10"/>
        <v>0</v>
      </c>
      <c r="F47" s="7">
        <f t="shared" si="10"/>
        <v>0</v>
      </c>
      <c r="G47" s="7">
        <f t="shared" si="10"/>
        <v>0</v>
      </c>
      <c r="H47" s="7">
        <f t="shared" si="10"/>
        <v>0</v>
      </c>
      <c r="I47" s="392">
        <f t="shared" ref="I47:I62" si="11">SUM(C47:H47)</f>
        <v>0</v>
      </c>
    </row>
    <row r="48" spans="1:9" x14ac:dyDescent="0.2">
      <c r="A48" s="7" t="s">
        <v>720</v>
      </c>
      <c r="B48" s="7">
        <v>2</v>
      </c>
      <c r="C48" s="823">
        <f>B48*C45</f>
        <v>0</v>
      </c>
      <c r="D48" s="823">
        <f>B48*D45</f>
        <v>0</v>
      </c>
      <c r="E48" s="823">
        <f>B48*E45</f>
        <v>0</v>
      </c>
      <c r="F48" s="823">
        <f>B48*F45</f>
        <v>0</v>
      </c>
      <c r="G48" s="823">
        <f>B48*G45</f>
        <v>0</v>
      </c>
      <c r="H48" s="823">
        <f>B48*H45</f>
        <v>0</v>
      </c>
      <c r="I48" s="392">
        <f t="shared" si="11"/>
        <v>0</v>
      </c>
    </row>
    <row r="49" spans="1:9" x14ac:dyDescent="0.2">
      <c r="A49" s="7" t="s">
        <v>723</v>
      </c>
      <c r="B49" s="7">
        <v>1</v>
      </c>
      <c r="C49" s="7">
        <f>B49*C45</f>
        <v>0</v>
      </c>
      <c r="D49" s="7">
        <f>B49*D45</f>
        <v>0</v>
      </c>
      <c r="E49" s="7">
        <f>B49*E45</f>
        <v>0</v>
      </c>
      <c r="F49" s="7">
        <f>B49*F45</f>
        <v>0</v>
      </c>
      <c r="G49" s="7">
        <f>B49*G45</f>
        <v>0</v>
      </c>
      <c r="H49" s="7">
        <f>B49*H45</f>
        <v>0</v>
      </c>
      <c r="I49" s="392">
        <f t="shared" si="11"/>
        <v>0</v>
      </c>
    </row>
    <row r="50" spans="1:9" x14ac:dyDescent="0.2">
      <c r="A50" s="7" t="s">
        <v>672</v>
      </c>
      <c r="B50" s="7">
        <v>5</v>
      </c>
      <c r="C50" s="7">
        <f t="shared" ref="C50:H50" si="12">+($B50+C44)*C45</f>
        <v>0</v>
      </c>
      <c r="D50" s="7">
        <f t="shared" si="12"/>
        <v>0</v>
      </c>
      <c r="E50" s="7">
        <f t="shared" si="12"/>
        <v>0</v>
      </c>
      <c r="F50" s="7">
        <f t="shared" si="12"/>
        <v>0</v>
      </c>
      <c r="G50" s="7">
        <f t="shared" si="12"/>
        <v>0</v>
      </c>
      <c r="H50" s="7">
        <f t="shared" si="12"/>
        <v>0</v>
      </c>
      <c r="I50" s="392">
        <f t="shared" si="11"/>
        <v>0</v>
      </c>
    </row>
    <row r="51" spans="1:9" x14ac:dyDescent="0.2">
      <c r="A51" s="7" t="s">
        <v>705</v>
      </c>
      <c r="B51" s="7">
        <v>4</v>
      </c>
      <c r="C51" s="7">
        <f>B51*C45</f>
        <v>0</v>
      </c>
      <c r="D51" s="7">
        <f>B51*D45</f>
        <v>0</v>
      </c>
      <c r="E51" s="7">
        <f>B51*E45</f>
        <v>0</v>
      </c>
      <c r="F51" s="7">
        <f>B51*F45</f>
        <v>0</v>
      </c>
      <c r="G51" s="7">
        <f>B51*G45</f>
        <v>0</v>
      </c>
      <c r="H51" s="7">
        <f>B51*H45</f>
        <v>0</v>
      </c>
      <c r="I51" s="392">
        <f t="shared" si="11"/>
        <v>0</v>
      </c>
    </row>
    <row r="52" spans="1:9" x14ac:dyDescent="0.2">
      <c r="A52" s="7" t="s">
        <v>673</v>
      </c>
      <c r="B52" s="7">
        <v>13</v>
      </c>
      <c r="C52" s="7">
        <f t="shared" ref="C52:H52" si="13">C45*$B52</f>
        <v>0</v>
      </c>
      <c r="D52" s="7">
        <f t="shared" si="13"/>
        <v>0</v>
      </c>
      <c r="E52" s="7">
        <f t="shared" si="13"/>
        <v>0</v>
      </c>
      <c r="F52" s="7">
        <f t="shared" si="13"/>
        <v>0</v>
      </c>
      <c r="G52" s="7">
        <f t="shared" si="13"/>
        <v>0</v>
      </c>
      <c r="H52" s="7">
        <f t="shared" si="13"/>
        <v>0</v>
      </c>
      <c r="I52" s="392">
        <f t="shared" si="11"/>
        <v>0</v>
      </c>
    </row>
    <row r="53" spans="1:9" x14ac:dyDescent="0.2">
      <c r="A53" s="7" t="s">
        <v>727</v>
      </c>
      <c r="B53" s="7">
        <v>2</v>
      </c>
      <c r="C53" s="7">
        <f>+B53*C45</f>
        <v>0</v>
      </c>
      <c r="D53" s="7">
        <f>+B53*D45</f>
        <v>0</v>
      </c>
      <c r="E53" s="7">
        <f>+B53*E45</f>
        <v>0</v>
      </c>
      <c r="F53" s="7">
        <f>+B53*F45</f>
        <v>0</v>
      </c>
      <c r="G53" s="7">
        <f>+B53*G45</f>
        <v>0</v>
      </c>
      <c r="H53" s="7">
        <f>+B53*H45</f>
        <v>0</v>
      </c>
      <c r="I53" s="392">
        <f t="shared" si="11"/>
        <v>0</v>
      </c>
    </row>
    <row r="54" spans="1:9" x14ac:dyDescent="0.2">
      <c r="A54" s="7" t="s">
        <v>728</v>
      </c>
      <c r="B54" s="7">
        <v>4</v>
      </c>
      <c r="C54" s="7">
        <f t="shared" ref="C54:H54" si="14">$B54*C45</f>
        <v>0</v>
      </c>
      <c r="D54" s="7">
        <f t="shared" si="14"/>
        <v>0</v>
      </c>
      <c r="E54" s="7">
        <f t="shared" si="14"/>
        <v>0</v>
      </c>
      <c r="F54" s="7">
        <f t="shared" si="14"/>
        <v>0</v>
      </c>
      <c r="G54" s="7">
        <f t="shared" si="14"/>
        <v>0</v>
      </c>
      <c r="H54" s="7">
        <f t="shared" si="14"/>
        <v>0</v>
      </c>
      <c r="I54" s="392">
        <f t="shared" si="11"/>
        <v>0</v>
      </c>
    </row>
    <row r="55" spans="1:9" x14ac:dyDescent="0.2">
      <c r="A55" s="7" t="s">
        <v>730</v>
      </c>
      <c r="B55" s="7">
        <v>2</v>
      </c>
      <c r="C55" s="7">
        <f t="shared" ref="C55:H55" si="15">+$B55*C45</f>
        <v>0</v>
      </c>
      <c r="D55" s="7">
        <f t="shared" si="15"/>
        <v>0</v>
      </c>
      <c r="E55" s="7">
        <f t="shared" si="15"/>
        <v>0</v>
      </c>
      <c r="F55" s="7">
        <f t="shared" si="15"/>
        <v>0</v>
      </c>
      <c r="G55" s="7">
        <f t="shared" si="15"/>
        <v>0</v>
      </c>
      <c r="H55" s="7">
        <f t="shared" si="15"/>
        <v>0</v>
      </c>
      <c r="I55" s="392">
        <f t="shared" si="11"/>
        <v>0</v>
      </c>
    </row>
    <row r="56" spans="1:9" x14ac:dyDescent="0.2">
      <c r="A56" s="7" t="s">
        <v>731</v>
      </c>
      <c r="B56" s="7">
        <v>1</v>
      </c>
      <c r="C56" s="392">
        <f t="shared" ref="C56:H56" si="16">+$B56*C45</f>
        <v>0</v>
      </c>
      <c r="D56" s="392">
        <f t="shared" si="16"/>
        <v>0</v>
      </c>
      <c r="E56" s="392">
        <f t="shared" si="16"/>
        <v>0</v>
      </c>
      <c r="F56" s="392">
        <f t="shared" si="16"/>
        <v>0</v>
      </c>
      <c r="G56" s="392">
        <f t="shared" si="16"/>
        <v>0</v>
      </c>
      <c r="H56" s="392">
        <f t="shared" si="16"/>
        <v>0</v>
      </c>
      <c r="I56" s="392">
        <f t="shared" si="11"/>
        <v>0</v>
      </c>
    </row>
    <row r="57" spans="1:9" x14ac:dyDescent="0.2">
      <c r="A57" s="7" t="s">
        <v>725</v>
      </c>
      <c r="B57" s="7">
        <v>1</v>
      </c>
      <c r="C57" s="7">
        <f>0.3*C45</f>
        <v>0</v>
      </c>
      <c r="D57" s="7">
        <f>0.6*D45</f>
        <v>0</v>
      </c>
      <c r="E57" s="7">
        <f>0.7*E45</f>
        <v>0</v>
      </c>
      <c r="F57" s="7">
        <f>0.85*F45</f>
        <v>0</v>
      </c>
      <c r="G57" s="7">
        <f>1.1*G45</f>
        <v>0</v>
      </c>
      <c r="H57" s="7">
        <f>1.4*H45</f>
        <v>0</v>
      </c>
      <c r="I57" s="392">
        <f t="shared" si="11"/>
        <v>0</v>
      </c>
    </row>
    <row r="58" spans="1:9" x14ac:dyDescent="0.2">
      <c r="A58" s="7" t="s">
        <v>729</v>
      </c>
      <c r="B58" s="7">
        <v>1</v>
      </c>
      <c r="C58" s="392">
        <f t="shared" ref="C58:H58" si="17">+$B58*C45</f>
        <v>0</v>
      </c>
      <c r="D58" s="392">
        <f t="shared" si="17"/>
        <v>0</v>
      </c>
      <c r="E58" s="392">
        <f t="shared" si="17"/>
        <v>0</v>
      </c>
      <c r="F58" s="392">
        <f t="shared" si="17"/>
        <v>0</v>
      </c>
      <c r="G58" s="392">
        <f t="shared" si="17"/>
        <v>0</v>
      </c>
      <c r="H58" s="392">
        <f t="shared" si="17"/>
        <v>0</v>
      </c>
      <c r="I58" s="392">
        <f t="shared" si="11"/>
        <v>0</v>
      </c>
    </row>
    <row r="59" spans="1:9" x14ac:dyDescent="0.2">
      <c r="A59" s="7" t="s">
        <v>110</v>
      </c>
      <c r="B59" s="7">
        <v>6.88</v>
      </c>
      <c r="C59" s="7">
        <f t="shared" ref="C59:H59" si="18">+$B59*C45</f>
        <v>0</v>
      </c>
      <c r="D59" s="7">
        <f t="shared" si="18"/>
        <v>0</v>
      </c>
      <c r="E59" s="7">
        <f t="shared" si="18"/>
        <v>0</v>
      </c>
      <c r="F59" s="7">
        <f t="shared" si="18"/>
        <v>0</v>
      </c>
      <c r="G59" s="7">
        <f t="shared" si="18"/>
        <v>0</v>
      </c>
      <c r="H59" s="7">
        <f t="shared" si="18"/>
        <v>0</v>
      </c>
      <c r="I59" s="392">
        <f t="shared" si="11"/>
        <v>0</v>
      </c>
    </row>
    <row r="60" spans="1:9" x14ac:dyDescent="0.2">
      <c r="A60" s="7" t="s">
        <v>722</v>
      </c>
      <c r="B60" s="7">
        <v>4</v>
      </c>
      <c r="C60" s="7">
        <f>0.28*4*C45</f>
        <v>0</v>
      </c>
      <c r="D60" s="7">
        <f>0.56*4*D45</f>
        <v>0</v>
      </c>
      <c r="E60" s="7">
        <f>0.7*4*E45</f>
        <v>0</v>
      </c>
      <c r="F60" s="7">
        <f>0.84*4*F45</f>
        <v>0</v>
      </c>
      <c r="G60" s="7">
        <f>1.12*4*G45</f>
        <v>0</v>
      </c>
      <c r="H60" s="7">
        <f>1.4*4*H45</f>
        <v>0</v>
      </c>
      <c r="I60" s="392">
        <f t="shared" si="11"/>
        <v>0</v>
      </c>
    </row>
    <row r="61" spans="1:9" x14ac:dyDescent="0.2">
      <c r="A61" s="7" t="s">
        <v>676</v>
      </c>
      <c r="B61" s="7">
        <v>1</v>
      </c>
      <c r="C61" s="7">
        <f t="shared" ref="C61:H61" si="19">+C44*C45</f>
        <v>0</v>
      </c>
      <c r="D61" s="7">
        <f t="shared" si="19"/>
        <v>0</v>
      </c>
      <c r="E61" s="7">
        <f t="shared" si="19"/>
        <v>0</v>
      </c>
      <c r="F61" s="7">
        <f t="shared" si="19"/>
        <v>0</v>
      </c>
      <c r="G61" s="7">
        <f t="shared" si="19"/>
        <v>0</v>
      </c>
      <c r="H61" s="7">
        <f t="shared" si="19"/>
        <v>0</v>
      </c>
      <c r="I61" s="392">
        <f t="shared" si="11"/>
        <v>0</v>
      </c>
    </row>
    <row r="62" spans="1:9" x14ac:dyDescent="0.2">
      <c r="A62" s="7" t="s">
        <v>627</v>
      </c>
      <c r="B62" s="7">
        <v>4</v>
      </c>
      <c r="C62" s="7">
        <f t="shared" ref="C62:H62" si="20">$B62*C45</f>
        <v>0</v>
      </c>
      <c r="D62" s="7">
        <f t="shared" si="20"/>
        <v>0</v>
      </c>
      <c r="E62" s="7">
        <f t="shared" si="20"/>
        <v>0</v>
      </c>
      <c r="F62" s="7">
        <f t="shared" si="20"/>
        <v>0</v>
      </c>
      <c r="G62" s="7">
        <f t="shared" si="20"/>
        <v>0</v>
      </c>
      <c r="H62" s="7">
        <f t="shared" si="20"/>
        <v>0</v>
      </c>
      <c r="I62" s="392">
        <f t="shared" si="11"/>
        <v>0</v>
      </c>
    </row>
    <row r="63" spans="1:9" x14ac:dyDescent="0.2">
      <c r="A63" s="7">
        <v>0</v>
      </c>
    </row>
    <row r="64" spans="1:9" x14ac:dyDescent="0.2">
      <c r="A64" s="7">
        <v>0</v>
      </c>
    </row>
    <row r="65" spans="1:9" ht="18" x14ac:dyDescent="0.25">
      <c r="A65" s="397" t="s">
        <v>451</v>
      </c>
      <c r="B65" s="319"/>
      <c r="C65" s="319"/>
      <c r="D65" s="319"/>
      <c r="E65" s="319"/>
      <c r="F65" s="319"/>
      <c r="G65" s="319"/>
      <c r="H65" s="319"/>
      <c r="I65" s="319"/>
    </row>
    <row r="66" spans="1:9" x14ac:dyDescent="0.2">
      <c r="A66" s="7" t="s">
        <v>444</v>
      </c>
      <c r="C66" s="7">
        <v>0.3</v>
      </c>
      <c r="D66" s="7">
        <v>0.6</v>
      </c>
      <c r="E66" s="7">
        <v>0.7</v>
      </c>
      <c r="F66" s="7">
        <v>0.85</v>
      </c>
      <c r="G66" s="7">
        <v>1.1000000000000001</v>
      </c>
      <c r="H66" s="7">
        <v>1.4</v>
      </c>
    </row>
    <row r="67" spans="1:9" x14ac:dyDescent="0.2">
      <c r="A67" s="7" t="s">
        <v>445</v>
      </c>
      <c r="C67" s="316">
        <v>0.28000000000000003</v>
      </c>
      <c r="D67" s="316">
        <v>0.56000000000000005</v>
      </c>
      <c r="E67" s="316">
        <v>0.7</v>
      </c>
      <c r="F67" s="316">
        <v>0.84</v>
      </c>
      <c r="G67" s="316">
        <v>1.1200000000000001</v>
      </c>
      <c r="H67" s="316">
        <v>1.4</v>
      </c>
    </row>
    <row r="68" spans="1:9" ht="15.75" x14ac:dyDescent="0.25">
      <c r="A68" s="822" t="s">
        <v>105</v>
      </c>
      <c r="B68" s="822"/>
      <c r="C68" s="826">
        <f t="shared" ref="C68:H68" si="21">+B10</f>
        <v>0</v>
      </c>
      <c r="D68" s="826">
        <f t="shared" si="21"/>
        <v>0</v>
      </c>
      <c r="E68" s="826">
        <f t="shared" si="21"/>
        <v>0</v>
      </c>
      <c r="F68" s="826">
        <f t="shared" si="21"/>
        <v>0</v>
      </c>
      <c r="G68" s="826">
        <f t="shared" si="21"/>
        <v>0</v>
      </c>
      <c r="H68" s="826">
        <f t="shared" si="21"/>
        <v>0</v>
      </c>
      <c r="I68" s="317" t="s">
        <v>446</v>
      </c>
    </row>
    <row r="69" spans="1:9" x14ac:dyDescent="0.2">
      <c r="A69" s="7" t="s">
        <v>450</v>
      </c>
      <c r="B69" s="7">
        <v>1</v>
      </c>
      <c r="C69" s="7">
        <f>0.066*C68</f>
        <v>0</v>
      </c>
      <c r="D69" s="7">
        <f>0.133*D68</f>
        <v>0</v>
      </c>
      <c r="E69" s="7">
        <f>0.166*E68</f>
        <v>0</v>
      </c>
      <c r="F69" s="7">
        <f>0.2*F68</f>
        <v>0</v>
      </c>
      <c r="G69" s="7">
        <f>0.266*G68</f>
        <v>0</v>
      </c>
      <c r="H69" s="7">
        <f>0.33*H68</f>
        <v>0</v>
      </c>
      <c r="I69" s="392">
        <f>SUM(C69:H69)</f>
        <v>0</v>
      </c>
    </row>
    <row r="70" spans="1:9" x14ac:dyDescent="0.2">
      <c r="A70" s="7" t="s">
        <v>719</v>
      </c>
      <c r="B70" s="7">
        <v>1</v>
      </c>
      <c r="C70" s="7">
        <f t="shared" ref="C70:H70" si="22">+(C67*2)*C68</f>
        <v>0</v>
      </c>
      <c r="D70" s="7">
        <f t="shared" si="22"/>
        <v>0</v>
      </c>
      <c r="E70" s="7">
        <f t="shared" si="22"/>
        <v>0</v>
      </c>
      <c r="F70" s="7">
        <f t="shared" si="22"/>
        <v>0</v>
      </c>
      <c r="G70" s="7">
        <f t="shared" si="22"/>
        <v>0</v>
      </c>
      <c r="H70" s="7">
        <f t="shared" si="22"/>
        <v>0</v>
      </c>
      <c r="I70" s="392">
        <f t="shared" ref="I70:I85" si="23">SUM(C70:H70)</f>
        <v>0</v>
      </c>
    </row>
    <row r="71" spans="1:9" x14ac:dyDescent="0.2">
      <c r="A71" s="7" t="s">
        <v>720</v>
      </c>
      <c r="B71" s="7">
        <v>2</v>
      </c>
      <c r="C71" s="823">
        <f>B71*C68</f>
        <v>0</v>
      </c>
      <c r="D71" s="823">
        <f>B71*D68</f>
        <v>0</v>
      </c>
      <c r="E71" s="823">
        <f>B71*E68</f>
        <v>0</v>
      </c>
      <c r="F71" s="823">
        <f>B71*F68</f>
        <v>0</v>
      </c>
      <c r="G71" s="823">
        <f>B71*G68</f>
        <v>0</v>
      </c>
      <c r="H71" s="823">
        <f>B71*H68</f>
        <v>0</v>
      </c>
      <c r="I71" s="392">
        <f t="shared" si="23"/>
        <v>0</v>
      </c>
    </row>
    <row r="72" spans="1:9" x14ac:dyDescent="0.2">
      <c r="A72" s="7" t="s">
        <v>723</v>
      </c>
      <c r="B72" s="7">
        <v>1</v>
      </c>
      <c r="C72" s="7">
        <f>B72*C68</f>
        <v>0</v>
      </c>
      <c r="D72" s="7">
        <f>B72*D68</f>
        <v>0</v>
      </c>
      <c r="E72" s="7">
        <f>B72*E68</f>
        <v>0</v>
      </c>
      <c r="F72" s="7">
        <f>B72*F68</f>
        <v>0</v>
      </c>
      <c r="G72" s="7">
        <f>B72*G68</f>
        <v>0</v>
      </c>
      <c r="H72" s="7">
        <f>B72*H68</f>
        <v>0</v>
      </c>
      <c r="I72" s="392">
        <f t="shared" si="23"/>
        <v>0</v>
      </c>
    </row>
    <row r="73" spans="1:9" x14ac:dyDescent="0.2">
      <c r="A73" s="7" t="s">
        <v>672</v>
      </c>
      <c r="B73" s="7">
        <v>5</v>
      </c>
      <c r="C73" s="7">
        <f t="shared" ref="C73:H73" si="24">+($B73+C67)*C68</f>
        <v>0</v>
      </c>
      <c r="D73" s="7">
        <f t="shared" si="24"/>
        <v>0</v>
      </c>
      <c r="E73" s="7">
        <f t="shared" si="24"/>
        <v>0</v>
      </c>
      <c r="F73" s="7">
        <f t="shared" si="24"/>
        <v>0</v>
      </c>
      <c r="G73" s="7">
        <f t="shared" si="24"/>
        <v>0</v>
      </c>
      <c r="H73" s="7">
        <f t="shared" si="24"/>
        <v>0</v>
      </c>
      <c r="I73" s="392">
        <f t="shared" si="23"/>
        <v>0</v>
      </c>
    </row>
    <row r="74" spans="1:9" x14ac:dyDescent="0.2">
      <c r="A74" s="7" t="s">
        <v>705</v>
      </c>
      <c r="B74" s="7">
        <v>4</v>
      </c>
      <c r="C74" s="7">
        <f>B74*C68</f>
        <v>0</v>
      </c>
      <c r="D74" s="7">
        <f>B74*D68</f>
        <v>0</v>
      </c>
      <c r="E74" s="7">
        <f>B74*E68</f>
        <v>0</v>
      </c>
      <c r="F74" s="7">
        <f>B74*F68</f>
        <v>0</v>
      </c>
      <c r="G74" s="7">
        <f>B74*G68</f>
        <v>0</v>
      </c>
      <c r="H74" s="7">
        <f>B74*H68</f>
        <v>0</v>
      </c>
      <c r="I74" s="392">
        <f t="shared" si="23"/>
        <v>0</v>
      </c>
    </row>
    <row r="75" spans="1:9" x14ac:dyDescent="0.2">
      <c r="A75" s="7" t="s">
        <v>673</v>
      </c>
      <c r="B75" s="7">
        <v>13</v>
      </c>
      <c r="C75" s="7">
        <f t="shared" ref="C75:H75" si="25">C68*$B75</f>
        <v>0</v>
      </c>
      <c r="D75" s="7">
        <f t="shared" si="25"/>
        <v>0</v>
      </c>
      <c r="E75" s="7">
        <f t="shared" si="25"/>
        <v>0</v>
      </c>
      <c r="F75" s="7">
        <f t="shared" si="25"/>
        <v>0</v>
      </c>
      <c r="G75" s="7">
        <f t="shared" si="25"/>
        <v>0</v>
      </c>
      <c r="H75" s="7">
        <f t="shared" si="25"/>
        <v>0</v>
      </c>
      <c r="I75" s="392">
        <f t="shared" si="23"/>
        <v>0</v>
      </c>
    </row>
    <row r="76" spans="1:9" x14ac:dyDescent="0.2">
      <c r="A76" s="7" t="s">
        <v>727</v>
      </c>
      <c r="B76" s="7">
        <v>2</v>
      </c>
      <c r="C76" s="7">
        <f>+B76*C68</f>
        <v>0</v>
      </c>
      <c r="D76" s="7">
        <f>+B76*D68</f>
        <v>0</v>
      </c>
      <c r="E76" s="7">
        <f>+B76*E68</f>
        <v>0</v>
      </c>
      <c r="F76" s="7">
        <f>+B76*F68</f>
        <v>0</v>
      </c>
      <c r="G76" s="7">
        <f>+B76*G68</f>
        <v>0</v>
      </c>
      <c r="H76" s="7">
        <f>+B76*H68</f>
        <v>0</v>
      </c>
      <c r="I76" s="392">
        <f t="shared" si="23"/>
        <v>0</v>
      </c>
    </row>
    <row r="77" spans="1:9" x14ac:dyDescent="0.2">
      <c r="A77" s="7" t="s">
        <v>728</v>
      </c>
      <c r="B77" s="7">
        <v>4</v>
      </c>
      <c r="C77" s="7">
        <f t="shared" ref="C77:H77" si="26">$B77*C68</f>
        <v>0</v>
      </c>
      <c r="D77" s="7">
        <f t="shared" si="26"/>
        <v>0</v>
      </c>
      <c r="E77" s="7">
        <f t="shared" si="26"/>
        <v>0</v>
      </c>
      <c r="F77" s="7">
        <f t="shared" si="26"/>
        <v>0</v>
      </c>
      <c r="G77" s="7">
        <f t="shared" si="26"/>
        <v>0</v>
      </c>
      <c r="H77" s="7">
        <f t="shared" si="26"/>
        <v>0</v>
      </c>
      <c r="I77" s="392">
        <f t="shared" si="23"/>
        <v>0</v>
      </c>
    </row>
    <row r="78" spans="1:9" x14ac:dyDescent="0.2">
      <c r="A78" s="7" t="s">
        <v>730</v>
      </c>
      <c r="B78" s="7">
        <v>2</v>
      </c>
      <c r="C78" s="7">
        <f t="shared" ref="C78:H78" si="27">+$B78*C68</f>
        <v>0</v>
      </c>
      <c r="D78" s="7">
        <f t="shared" si="27"/>
        <v>0</v>
      </c>
      <c r="E78" s="7">
        <f t="shared" si="27"/>
        <v>0</v>
      </c>
      <c r="F78" s="7">
        <f t="shared" si="27"/>
        <v>0</v>
      </c>
      <c r="G78" s="7">
        <f t="shared" si="27"/>
        <v>0</v>
      </c>
      <c r="H78" s="7">
        <f t="shared" si="27"/>
        <v>0</v>
      </c>
      <c r="I78" s="392">
        <f t="shared" si="23"/>
        <v>0</v>
      </c>
    </row>
    <row r="79" spans="1:9" x14ac:dyDescent="0.2">
      <c r="A79" s="7" t="s">
        <v>731</v>
      </c>
      <c r="B79" s="7">
        <v>1</v>
      </c>
      <c r="C79" s="392">
        <f t="shared" ref="C79:H79" si="28">+$B79*C68</f>
        <v>0</v>
      </c>
      <c r="D79" s="392">
        <f t="shared" si="28"/>
        <v>0</v>
      </c>
      <c r="E79" s="392">
        <f t="shared" si="28"/>
        <v>0</v>
      </c>
      <c r="F79" s="392">
        <f t="shared" si="28"/>
        <v>0</v>
      </c>
      <c r="G79" s="392">
        <f t="shared" si="28"/>
        <v>0</v>
      </c>
      <c r="H79" s="392">
        <f t="shared" si="28"/>
        <v>0</v>
      </c>
      <c r="I79" s="392">
        <f t="shared" si="23"/>
        <v>0</v>
      </c>
    </row>
    <row r="80" spans="1:9" x14ac:dyDescent="0.2">
      <c r="A80" s="7" t="s">
        <v>725</v>
      </c>
      <c r="B80" s="7">
        <v>1</v>
      </c>
      <c r="C80" s="7">
        <f>0.3*C68</f>
        <v>0</v>
      </c>
      <c r="D80" s="7">
        <f>0.6*D68</f>
        <v>0</v>
      </c>
      <c r="E80" s="7">
        <f>0.7*E68</f>
        <v>0</v>
      </c>
      <c r="F80" s="7">
        <f>0.85*F68</f>
        <v>0</v>
      </c>
      <c r="G80" s="7">
        <f>1.1*G68</f>
        <v>0</v>
      </c>
      <c r="H80" s="7">
        <f>1.4*H68</f>
        <v>0</v>
      </c>
      <c r="I80" s="392">
        <f t="shared" si="23"/>
        <v>0</v>
      </c>
    </row>
    <row r="81" spans="1:9" x14ac:dyDescent="0.2">
      <c r="A81" s="7" t="s">
        <v>732</v>
      </c>
      <c r="B81" s="7">
        <v>1</v>
      </c>
      <c r="C81" s="392">
        <f t="shared" ref="C81:H81" si="29">+$B81*C68</f>
        <v>0</v>
      </c>
      <c r="D81" s="392">
        <f t="shared" si="29"/>
        <v>0</v>
      </c>
      <c r="E81" s="392">
        <f t="shared" si="29"/>
        <v>0</v>
      </c>
      <c r="F81" s="392">
        <f t="shared" si="29"/>
        <v>0</v>
      </c>
      <c r="G81" s="392">
        <f t="shared" si="29"/>
        <v>0</v>
      </c>
      <c r="H81" s="392">
        <f t="shared" si="29"/>
        <v>0</v>
      </c>
      <c r="I81" s="392">
        <f t="shared" si="23"/>
        <v>0</v>
      </c>
    </row>
    <row r="82" spans="1:9" x14ac:dyDescent="0.2">
      <c r="A82" s="7" t="s">
        <v>722</v>
      </c>
      <c r="B82" s="7">
        <v>4</v>
      </c>
      <c r="C82" s="7">
        <f>0.28*4*C$68</f>
        <v>0</v>
      </c>
      <c r="D82" s="7">
        <f>0.56*4*D$68</f>
        <v>0</v>
      </c>
      <c r="E82" s="7">
        <f>0.7*4*E$68</f>
        <v>0</v>
      </c>
      <c r="F82" s="7">
        <f>0.84*4*F$68</f>
        <v>0</v>
      </c>
      <c r="G82" s="7">
        <f>1.12*4*G$68</f>
        <v>0</v>
      </c>
      <c r="H82" s="7">
        <f>1.4*4*H$68</f>
        <v>0</v>
      </c>
      <c r="I82" s="392">
        <f t="shared" si="23"/>
        <v>0</v>
      </c>
    </row>
    <row r="83" spans="1:9" x14ac:dyDescent="0.2">
      <c r="A83" s="7" t="s">
        <v>110</v>
      </c>
      <c r="B83" s="7">
        <v>4.4000000000000004</v>
      </c>
      <c r="C83" s="7">
        <f t="shared" ref="C83:H83" si="30">+$B83*C$68</f>
        <v>0</v>
      </c>
      <c r="D83" s="7">
        <f t="shared" si="30"/>
        <v>0</v>
      </c>
      <c r="E83" s="7">
        <f t="shared" si="30"/>
        <v>0</v>
      </c>
      <c r="F83" s="7">
        <f t="shared" si="30"/>
        <v>0</v>
      </c>
      <c r="G83" s="7">
        <f t="shared" si="30"/>
        <v>0</v>
      </c>
      <c r="H83" s="7">
        <f t="shared" si="30"/>
        <v>0</v>
      </c>
      <c r="I83" s="392">
        <f t="shared" si="23"/>
        <v>0</v>
      </c>
    </row>
    <row r="84" spans="1:9" x14ac:dyDescent="0.2">
      <c r="A84" s="7" t="s">
        <v>676</v>
      </c>
      <c r="B84" s="7">
        <v>1</v>
      </c>
      <c r="C84" s="7">
        <f t="shared" ref="C84:H84" si="31">+C67*C68</f>
        <v>0</v>
      </c>
      <c r="D84" s="7">
        <f t="shared" si="31"/>
        <v>0</v>
      </c>
      <c r="E84" s="7">
        <f t="shared" si="31"/>
        <v>0</v>
      </c>
      <c r="F84" s="7">
        <f t="shared" si="31"/>
        <v>0</v>
      </c>
      <c r="G84" s="7">
        <f t="shared" si="31"/>
        <v>0</v>
      </c>
      <c r="H84" s="7">
        <f t="shared" si="31"/>
        <v>0</v>
      </c>
      <c r="I84" s="392">
        <f t="shared" si="23"/>
        <v>0</v>
      </c>
    </row>
    <row r="85" spans="1:9" x14ac:dyDescent="0.2">
      <c r="A85" s="7" t="s">
        <v>627</v>
      </c>
      <c r="B85" s="7">
        <v>4</v>
      </c>
      <c r="C85" s="7">
        <f t="shared" ref="C85:H85" si="32">$B85*C68</f>
        <v>0</v>
      </c>
      <c r="D85" s="7">
        <f t="shared" si="32"/>
        <v>0</v>
      </c>
      <c r="E85" s="7">
        <f t="shared" si="32"/>
        <v>0</v>
      </c>
      <c r="F85" s="7">
        <f t="shared" si="32"/>
        <v>0</v>
      </c>
      <c r="G85" s="7">
        <f t="shared" si="32"/>
        <v>0</v>
      </c>
      <c r="H85" s="7">
        <f t="shared" si="32"/>
        <v>0</v>
      </c>
      <c r="I85" s="392">
        <f t="shared" si="23"/>
        <v>0</v>
      </c>
    </row>
    <row r="86" spans="1:9" x14ac:dyDescent="0.2">
      <c r="A86" s="7">
        <v>0</v>
      </c>
    </row>
    <row r="87" spans="1:9" x14ac:dyDescent="0.2">
      <c r="A87" s="7">
        <v>0</v>
      </c>
    </row>
    <row r="88" spans="1:9" x14ac:dyDescent="0.2">
      <c r="A88" s="7">
        <v>0</v>
      </c>
    </row>
    <row r="89" spans="1:9" ht="18" x14ac:dyDescent="0.25">
      <c r="A89" s="397" t="s">
        <v>429</v>
      </c>
      <c r="B89" s="319"/>
      <c r="C89" s="319"/>
      <c r="D89" s="319"/>
      <c r="E89" s="319"/>
      <c r="F89" s="319"/>
      <c r="G89" s="319"/>
      <c r="H89" s="319"/>
      <c r="I89" s="319"/>
    </row>
    <row r="90" spans="1:9" x14ac:dyDescent="0.2">
      <c r="A90" s="7" t="s">
        <v>444</v>
      </c>
      <c r="C90" s="7">
        <v>0.3</v>
      </c>
      <c r="D90" s="7">
        <v>0.6</v>
      </c>
      <c r="E90" s="7">
        <v>0.7</v>
      </c>
      <c r="F90" s="7">
        <v>0.85</v>
      </c>
      <c r="G90" s="7">
        <v>1.1000000000000001</v>
      </c>
      <c r="H90" s="7">
        <v>1.4</v>
      </c>
    </row>
    <row r="91" spans="1:9" x14ac:dyDescent="0.2">
      <c r="A91" s="7" t="s">
        <v>445</v>
      </c>
      <c r="C91" s="316">
        <v>0.28000000000000003</v>
      </c>
      <c r="D91" s="316">
        <v>0.56000000000000005</v>
      </c>
      <c r="E91" s="316">
        <v>0.7</v>
      </c>
      <c r="F91" s="316">
        <v>0.84</v>
      </c>
      <c r="G91" s="316">
        <v>1.1200000000000001</v>
      </c>
      <c r="H91" s="316">
        <v>1.4</v>
      </c>
    </row>
    <row r="92" spans="1:9" ht="15.75" x14ac:dyDescent="0.25">
      <c r="A92" s="822" t="s">
        <v>105</v>
      </c>
      <c r="B92" s="822"/>
      <c r="C92" s="826">
        <f t="shared" ref="C92:H92" si="33">+B11</f>
        <v>0</v>
      </c>
      <c r="D92" s="826">
        <f t="shared" si="33"/>
        <v>0</v>
      </c>
      <c r="E92" s="826">
        <f t="shared" si="33"/>
        <v>0</v>
      </c>
      <c r="F92" s="826">
        <f t="shared" si="33"/>
        <v>0</v>
      </c>
      <c r="G92" s="826">
        <f t="shared" si="33"/>
        <v>0</v>
      </c>
      <c r="H92" s="826">
        <f t="shared" si="33"/>
        <v>0</v>
      </c>
      <c r="I92" s="317" t="s">
        <v>446</v>
      </c>
    </row>
    <row r="93" spans="1:9" x14ac:dyDescent="0.2">
      <c r="A93" s="7" t="s">
        <v>450</v>
      </c>
      <c r="B93" s="7">
        <v>1</v>
      </c>
      <c r="C93" s="7">
        <f>0.066*C92</f>
        <v>0</v>
      </c>
      <c r="D93" s="7">
        <f>0.133*D92</f>
        <v>0</v>
      </c>
      <c r="E93" s="7">
        <f>0.166*E92</f>
        <v>0</v>
      </c>
      <c r="F93" s="7">
        <f>0.2*F92</f>
        <v>0</v>
      </c>
      <c r="G93" s="7">
        <f>0.266*G92</f>
        <v>0</v>
      </c>
      <c r="H93" s="7">
        <f>0.33*H92</f>
        <v>0</v>
      </c>
      <c r="I93" s="392">
        <f>SUM(C93:H93)</f>
        <v>0</v>
      </c>
    </row>
    <row r="94" spans="1:9" x14ac:dyDescent="0.2">
      <c r="A94" s="7" t="s">
        <v>719</v>
      </c>
      <c r="B94" s="7">
        <v>1</v>
      </c>
      <c r="C94" s="7">
        <f t="shared" ref="C94:H94" si="34">+(C91*2)*C92</f>
        <v>0</v>
      </c>
      <c r="D94" s="7">
        <f t="shared" si="34"/>
        <v>0</v>
      </c>
      <c r="E94" s="7">
        <f t="shared" si="34"/>
        <v>0</v>
      </c>
      <c r="F94" s="7">
        <f t="shared" si="34"/>
        <v>0</v>
      </c>
      <c r="G94" s="7">
        <f t="shared" si="34"/>
        <v>0</v>
      </c>
      <c r="H94" s="7">
        <f t="shared" si="34"/>
        <v>0</v>
      </c>
      <c r="I94" s="392">
        <f t="shared" ref="I94:I112" si="35">SUM(C94:H94)</f>
        <v>0</v>
      </c>
    </row>
    <row r="95" spans="1:9" x14ac:dyDescent="0.2">
      <c r="A95" s="7" t="s">
        <v>720</v>
      </c>
      <c r="B95" s="7">
        <v>2</v>
      </c>
      <c r="C95" s="823">
        <f>B95*C92</f>
        <v>0</v>
      </c>
      <c r="D95" s="823">
        <f>B95*D92</f>
        <v>0</v>
      </c>
      <c r="E95" s="823">
        <f>B95*E92</f>
        <v>0</v>
      </c>
      <c r="F95" s="823">
        <f>B95*F92</f>
        <v>0</v>
      </c>
      <c r="G95" s="823">
        <f>B95*G92</f>
        <v>0</v>
      </c>
      <c r="H95" s="823">
        <f>B95*H92</f>
        <v>0</v>
      </c>
      <c r="I95" s="392">
        <f t="shared" si="35"/>
        <v>0</v>
      </c>
    </row>
    <row r="96" spans="1:9" x14ac:dyDescent="0.2">
      <c r="A96" s="7" t="s">
        <v>723</v>
      </c>
      <c r="B96" s="7">
        <v>1</v>
      </c>
      <c r="C96" s="7">
        <f>B96*C92</f>
        <v>0</v>
      </c>
      <c r="D96" s="7">
        <f>B96*D92</f>
        <v>0</v>
      </c>
      <c r="E96" s="7">
        <f>B96*E92</f>
        <v>0</v>
      </c>
      <c r="F96" s="7">
        <f>B96*F92</f>
        <v>0</v>
      </c>
      <c r="G96" s="7">
        <f>B96*G92</f>
        <v>0</v>
      </c>
      <c r="H96" s="7">
        <f>B96*H92</f>
        <v>0</v>
      </c>
      <c r="I96" s="392">
        <f t="shared" si="35"/>
        <v>0</v>
      </c>
    </row>
    <row r="97" spans="1:9" x14ac:dyDescent="0.2">
      <c r="A97" s="7" t="s">
        <v>672</v>
      </c>
      <c r="B97" s="7">
        <v>5</v>
      </c>
      <c r="C97" s="7">
        <f t="shared" ref="C97:H97" si="36">+($B97+C91)*C92</f>
        <v>0</v>
      </c>
      <c r="D97" s="7">
        <f t="shared" si="36"/>
        <v>0</v>
      </c>
      <c r="E97" s="7">
        <f t="shared" si="36"/>
        <v>0</v>
      </c>
      <c r="F97" s="7">
        <f t="shared" si="36"/>
        <v>0</v>
      </c>
      <c r="G97" s="7">
        <f t="shared" si="36"/>
        <v>0</v>
      </c>
      <c r="H97" s="7">
        <f t="shared" si="36"/>
        <v>0</v>
      </c>
      <c r="I97" s="392">
        <f t="shared" si="35"/>
        <v>0</v>
      </c>
    </row>
    <row r="98" spans="1:9" x14ac:dyDescent="0.2">
      <c r="A98" s="7" t="s">
        <v>705</v>
      </c>
      <c r="B98" s="7">
        <v>4</v>
      </c>
      <c r="C98" s="7">
        <f>B98*C92</f>
        <v>0</v>
      </c>
      <c r="D98" s="7">
        <f>B98*D92</f>
        <v>0</v>
      </c>
      <c r="E98" s="7">
        <f>B98*E92</f>
        <v>0</v>
      </c>
      <c r="F98" s="7">
        <f>B98*F92</f>
        <v>0</v>
      </c>
      <c r="G98" s="7">
        <f>B98*G92</f>
        <v>0</v>
      </c>
      <c r="H98" s="7">
        <f>B98*H92</f>
        <v>0</v>
      </c>
      <c r="I98" s="392">
        <f t="shared" si="35"/>
        <v>0</v>
      </c>
    </row>
    <row r="99" spans="1:9" x14ac:dyDescent="0.2">
      <c r="A99" s="7" t="s">
        <v>673</v>
      </c>
      <c r="B99" s="7">
        <v>13</v>
      </c>
      <c r="C99" s="7">
        <f t="shared" ref="C99:H99" si="37">C92*$B99</f>
        <v>0</v>
      </c>
      <c r="D99" s="7">
        <f t="shared" si="37"/>
        <v>0</v>
      </c>
      <c r="E99" s="7">
        <f t="shared" si="37"/>
        <v>0</v>
      </c>
      <c r="F99" s="7">
        <f t="shared" si="37"/>
        <v>0</v>
      </c>
      <c r="G99" s="7">
        <f t="shared" si="37"/>
        <v>0</v>
      </c>
      <c r="H99" s="7">
        <f t="shared" si="37"/>
        <v>0</v>
      </c>
      <c r="I99" s="392">
        <f t="shared" si="35"/>
        <v>0</v>
      </c>
    </row>
    <row r="100" spans="1:9" x14ac:dyDescent="0.2">
      <c r="A100" s="7" t="s">
        <v>727</v>
      </c>
      <c r="B100" s="7">
        <v>2</v>
      </c>
      <c r="C100" s="7">
        <f>+B100*C92</f>
        <v>0</v>
      </c>
      <c r="D100" s="7">
        <f>+B100*D92</f>
        <v>0</v>
      </c>
      <c r="E100" s="7">
        <f>+B100*E92</f>
        <v>0</v>
      </c>
      <c r="F100" s="7">
        <f>+B100*F92</f>
        <v>0</v>
      </c>
      <c r="G100" s="7">
        <f>+B100*G92</f>
        <v>0</v>
      </c>
      <c r="H100" s="7">
        <f>+B100*H92</f>
        <v>0</v>
      </c>
      <c r="I100" s="392">
        <f t="shared" si="35"/>
        <v>0</v>
      </c>
    </row>
    <row r="101" spans="1:9" x14ac:dyDescent="0.2">
      <c r="A101" s="7" t="s">
        <v>728</v>
      </c>
      <c r="B101" s="7">
        <v>4</v>
      </c>
      <c r="C101" s="7">
        <f t="shared" ref="C101:H101" si="38">$B101*C92</f>
        <v>0</v>
      </c>
      <c r="D101" s="7">
        <f t="shared" si="38"/>
        <v>0</v>
      </c>
      <c r="E101" s="7">
        <f t="shared" si="38"/>
        <v>0</v>
      </c>
      <c r="F101" s="7">
        <f t="shared" si="38"/>
        <v>0</v>
      </c>
      <c r="G101" s="7">
        <f t="shared" si="38"/>
        <v>0</v>
      </c>
      <c r="H101" s="7">
        <f t="shared" si="38"/>
        <v>0</v>
      </c>
      <c r="I101" s="392">
        <f t="shared" si="35"/>
        <v>0</v>
      </c>
    </row>
    <row r="102" spans="1:9" x14ac:dyDescent="0.2">
      <c r="A102" s="7" t="s">
        <v>730</v>
      </c>
      <c r="B102" s="7">
        <v>2</v>
      </c>
      <c r="C102" s="7">
        <f t="shared" ref="C102:H102" si="39">+$B102*C92</f>
        <v>0</v>
      </c>
      <c r="D102" s="7">
        <f t="shared" si="39"/>
        <v>0</v>
      </c>
      <c r="E102" s="7">
        <f t="shared" si="39"/>
        <v>0</v>
      </c>
      <c r="F102" s="7">
        <f t="shared" si="39"/>
        <v>0</v>
      </c>
      <c r="G102" s="7">
        <f t="shared" si="39"/>
        <v>0</v>
      </c>
      <c r="H102" s="7">
        <f t="shared" si="39"/>
        <v>0</v>
      </c>
      <c r="I102" s="392">
        <f t="shared" si="35"/>
        <v>0</v>
      </c>
    </row>
    <row r="103" spans="1:9" x14ac:dyDescent="0.2">
      <c r="A103" s="7" t="s">
        <v>731</v>
      </c>
      <c r="B103" s="7">
        <v>1</v>
      </c>
      <c r="C103" s="392">
        <f t="shared" ref="C103:H103" si="40">+$B103*C92</f>
        <v>0</v>
      </c>
      <c r="D103" s="392">
        <f t="shared" si="40"/>
        <v>0</v>
      </c>
      <c r="E103" s="392">
        <f t="shared" si="40"/>
        <v>0</v>
      </c>
      <c r="F103" s="392">
        <f t="shared" si="40"/>
        <v>0</v>
      </c>
      <c r="G103" s="392">
        <f t="shared" si="40"/>
        <v>0</v>
      </c>
      <c r="H103" s="392">
        <f t="shared" si="40"/>
        <v>0</v>
      </c>
      <c r="I103" s="392">
        <f t="shared" si="35"/>
        <v>0</v>
      </c>
    </row>
    <row r="104" spans="1:9" x14ac:dyDescent="0.2">
      <c r="A104" s="7" t="s">
        <v>725</v>
      </c>
      <c r="B104" s="7">
        <v>1</v>
      </c>
      <c r="C104" s="7">
        <f>0.3*C92</f>
        <v>0</v>
      </c>
      <c r="D104" s="7">
        <f>0.6*D92</f>
        <v>0</v>
      </c>
      <c r="E104" s="7">
        <f>0.7*E92</f>
        <v>0</v>
      </c>
      <c r="F104" s="7">
        <f>0.85*F92</f>
        <v>0</v>
      </c>
      <c r="G104" s="7">
        <f>1.1*G92</f>
        <v>0</v>
      </c>
      <c r="H104" s="7">
        <f>1.4*H92</f>
        <v>0</v>
      </c>
      <c r="I104" s="392">
        <f t="shared" si="35"/>
        <v>0</v>
      </c>
    </row>
    <row r="105" spans="1:9" x14ac:dyDescent="0.2">
      <c r="A105" s="7" t="s">
        <v>681</v>
      </c>
      <c r="B105" s="7">
        <v>4</v>
      </c>
      <c r="C105" s="7">
        <f t="shared" ref="C105:H105" si="41">+$B105*C92</f>
        <v>0</v>
      </c>
      <c r="D105" s="7">
        <f t="shared" si="41"/>
        <v>0</v>
      </c>
      <c r="E105" s="7">
        <f t="shared" si="41"/>
        <v>0</v>
      </c>
      <c r="F105" s="7">
        <f t="shared" si="41"/>
        <v>0</v>
      </c>
      <c r="G105" s="7">
        <f t="shared" si="41"/>
        <v>0</v>
      </c>
      <c r="H105" s="7">
        <f t="shared" si="41"/>
        <v>0</v>
      </c>
      <c r="I105" s="392">
        <f t="shared" si="35"/>
        <v>0</v>
      </c>
    </row>
    <row r="106" spans="1:9" x14ac:dyDescent="0.2">
      <c r="A106" s="7" t="s">
        <v>682</v>
      </c>
      <c r="B106" s="7">
        <v>8</v>
      </c>
      <c r="C106" s="7">
        <f t="shared" ref="C106:H106" si="42">+$B106*C92</f>
        <v>0</v>
      </c>
      <c r="D106" s="7">
        <f t="shared" si="42"/>
        <v>0</v>
      </c>
      <c r="E106" s="7">
        <f t="shared" si="42"/>
        <v>0</v>
      </c>
      <c r="F106" s="7">
        <f t="shared" si="42"/>
        <v>0</v>
      </c>
      <c r="G106" s="7">
        <f t="shared" si="42"/>
        <v>0</v>
      </c>
      <c r="H106" s="7">
        <f t="shared" si="42"/>
        <v>0</v>
      </c>
      <c r="I106" s="392">
        <f t="shared" si="35"/>
        <v>0</v>
      </c>
    </row>
    <row r="107" spans="1:9" x14ac:dyDescent="0.2">
      <c r="A107" s="7" t="s">
        <v>683</v>
      </c>
      <c r="B107" s="7">
        <v>8</v>
      </c>
      <c r="C107" s="7">
        <f t="shared" ref="C107:H107" si="43">+$B107*C92</f>
        <v>0</v>
      </c>
      <c r="D107" s="7">
        <f t="shared" si="43"/>
        <v>0</v>
      </c>
      <c r="E107" s="7">
        <f t="shared" si="43"/>
        <v>0</v>
      </c>
      <c r="F107" s="7">
        <f t="shared" si="43"/>
        <v>0</v>
      </c>
      <c r="G107" s="7">
        <f t="shared" si="43"/>
        <v>0</v>
      </c>
      <c r="H107" s="7">
        <f t="shared" si="43"/>
        <v>0</v>
      </c>
      <c r="I107" s="392">
        <f t="shared" si="35"/>
        <v>0</v>
      </c>
    </row>
    <row r="108" spans="1:9" x14ac:dyDescent="0.2">
      <c r="A108" s="7" t="s">
        <v>684</v>
      </c>
      <c r="B108" s="7">
        <v>2</v>
      </c>
      <c r="C108" s="392">
        <f t="shared" ref="C108:H108" si="44">+$B108*C92</f>
        <v>0</v>
      </c>
      <c r="D108" s="392">
        <f t="shared" si="44"/>
        <v>0</v>
      </c>
      <c r="E108" s="392">
        <f t="shared" si="44"/>
        <v>0</v>
      </c>
      <c r="F108" s="392">
        <f t="shared" si="44"/>
        <v>0</v>
      </c>
      <c r="G108" s="392">
        <f t="shared" si="44"/>
        <v>0</v>
      </c>
      <c r="H108" s="392">
        <f t="shared" si="44"/>
        <v>0</v>
      </c>
      <c r="I108" s="392">
        <f t="shared" si="35"/>
        <v>0</v>
      </c>
    </row>
    <row r="109" spans="1:9" x14ac:dyDescent="0.2">
      <c r="A109" s="7" t="s">
        <v>722</v>
      </c>
      <c r="B109" s="7">
        <v>1</v>
      </c>
      <c r="C109" s="7">
        <f t="shared" ref="C109:H109" si="45">C$91*2*C$92</f>
        <v>0</v>
      </c>
      <c r="D109" s="7">
        <f t="shared" si="45"/>
        <v>0</v>
      </c>
      <c r="E109" s="7">
        <f t="shared" si="45"/>
        <v>0</v>
      </c>
      <c r="F109" s="7">
        <f t="shared" si="45"/>
        <v>0</v>
      </c>
      <c r="G109" s="7">
        <f t="shared" si="45"/>
        <v>0</v>
      </c>
      <c r="H109" s="7">
        <f t="shared" si="45"/>
        <v>0</v>
      </c>
      <c r="I109" s="392">
        <f t="shared" si="35"/>
        <v>0</v>
      </c>
    </row>
    <row r="110" spans="1:9" x14ac:dyDescent="0.2">
      <c r="A110" s="7" t="s">
        <v>110</v>
      </c>
      <c r="B110" s="7">
        <v>4.4000000000000004</v>
      </c>
      <c r="C110" s="7">
        <f t="shared" ref="C110:H110" si="46">$B110*C92</f>
        <v>0</v>
      </c>
      <c r="D110" s="7">
        <f t="shared" si="46"/>
        <v>0</v>
      </c>
      <c r="E110" s="7">
        <f t="shared" si="46"/>
        <v>0</v>
      </c>
      <c r="F110" s="7">
        <f t="shared" si="46"/>
        <v>0</v>
      </c>
      <c r="G110" s="7">
        <f t="shared" si="46"/>
        <v>0</v>
      </c>
      <c r="H110" s="7">
        <f t="shared" si="46"/>
        <v>0</v>
      </c>
      <c r="I110" s="392">
        <f t="shared" si="35"/>
        <v>0</v>
      </c>
    </row>
    <row r="111" spans="1:9" x14ac:dyDescent="0.2">
      <c r="A111" s="7" t="s">
        <v>676</v>
      </c>
      <c r="B111" s="7">
        <v>1</v>
      </c>
      <c r="C111" s="7">
        <f t="shared" ref="C111:H111" si="47">+C91*C92</f>
        <v>0</v>
      </c>
      <c r="D111" s="7">
        <f t="shared" si="47"/>
        <v>0</v>
      </c>
      <c r="E111" s="7">
        <f t="shared" si="47"/>
        <v>0</v>
      </c>
      <c r="F111" s="7">
        <f t="shared" si="47"/>
        <v>0</v>
      </c>
      <c r="G111" s="7">
        <f t="shared" si="47"/>
        <v>0</v>
      </c>
      <c r="H111" s="7">
        <f t="shared" si="47"/>
        <v>0</v>
      </c>
      <c r="I111" s="392">
        <f t="shared" si="35"/>
        <v>0</v>
      </c>
    </row>
    <row r="112" spans="1:9" x14ac:dyDescent="0.2">
      <c r="A112" s="7" t="s">
        <v>627</v>
      </c>
      <c r="B112" s="7">
        <v>4</v>
      </c>
      <c r="C112" s="7">
        <f t="shared" ref="C112:H112" si="48">$B112*C92</f>
        <v>0</v>
      </c>
      <c r="D112" s="7">
        <f t="shared" si="48"/>
        <v>0</v>
      </c>
      <c r="E112" s="7">
        <f t="shared" si="48"/>
        <v>0</v>
      </c>
      <c r="F112" s="7">
        <f t="shared" si="48"/>
        <v>0</v>
      </c>
      <c r="G112" s="7">
        <f t="shared" si="48"/>
        <v>0</v>
      </c>
      <c r="H112" s="7">
        <f t="shared" si="48"/>
        <v>0</v>
      </c>
      <c r="I112" s="392">
        <f t="shared" si="35"/>
        <v>0</v>
      </c>
    </row>
    <row r="113" spans="1:9" x14ac:dyDescent="0.2">
      <c r="A113" s="7">
        <v>0</v>
      </c>
      <c r="I113" s="392"/>
    </row>
    <row r="114" spans="1:9" x14ac:dyDescent="0.2">
      <c r="A114" s="7">
        <v>0</v>
      </c>
      <c r="I114" s="392"/>
    </row>
    <row r="115" spans="1:9" ht="18" x14ac:dyDescent="0.25">
      <c r="B115" s="386"/>
      <c r="C115" s="386"/>
      <c r="D115" s="386" t="s">
        <v>436</v>
      </c>
      <c r="E115" s="386"/>
      <c r="F115" s="386"/>
      <c r="G115" s="386"/>
      <c r="H115" s="386"/>
      <c r="I115" s="386"/>
    </row>
    <row r="116" spans="1:9" ht="15.75" x14ac:dyDescent="0.25">
      <c r="A116" s="822" t="s">
        <v>453</v>
      </c>
    </row>
    <row r="117" spans="1:9" ht="15.75" x14ac:dyDescent="0.25">
      <c r="A117" s="822" t="s">
        <v>454</v>
      </c>
      <c r="B117" s="822"/>
      <c r="C117" s="826">
        <f t="shared" ref="C117:H117" si="49">+B15</f>
        <v>0</v>
      </c>
      <c r="D117" s="826">
        <f t="shared" si="49"/>
        <v>0</v>
      </c>
      <c r="E117" s="826">
        <f t="shared" si="49"/>
        <v>0</v>
      </c>
      <c r="F117" s="826">
        <f t="shared" si="49"/>
        <v>0</v>
      </c>
      <c r="G117" s="826">
        <f t="shared" si="49"/>
        <v>0</v>
      </c>
      <c r="H117" s="826">
        <f t="shared" si="49"/>
        <v>0</v>
      </c>
      <c r="I117" s="317" t="s">
        <v>446</v>
      </c>
    </row>
    <row r="118" spans="1:9" x14ac:dyDescent="0.2">
      <c r="A118" s="7" t="s">
        <v>450</v>
      </c>
      <c r="B118" s="7">
        <v>1</v>
      </c>
      <c r="C118" s="7">
        <f>0.0416*C117</f>
        <v>0</v>
      </c>
      <c r="D118" s="7">
        <f>0.0833*D117</f>
        <v>0</v>
      </c>
      <c r="E118" s="7">
        <f>0.104*E117</f>
        <v>0</v>
      </c>
      <c r="F118" s="7">
        <f>0.125*F117</f>
        <v>0</v>
      </c>
      <c r="G118" s="7">
        <f>0.166*G117</f>
        <v>0</v>
      </c>
      <c r="H118" s="7">
        <f>0.25*H117</f>
        <v>0</v>
      </c>
      <c r="I118" s="392">
        <f>SUM(C118:H118)</f>
        <v>0</v>
      </c>
    </row>
    <row r="119" spans="1:9" x14ac:dyDescent="0.2">
      <c r="A119" s="7" t="s">
        <v>673</v>
      </c>
      <c r="B119" s="7">
        <v>7</v>
      </c>
      <c r="C119" s="7">
        <f t="shared" ref="C119:H119" si="50">C117*$B119</f>
        <v>0</v>
      </c>
      <c r="D119" s="7">
        <f t="shared" si="50"/>
        <v>0</v>
      </c>
      <c r="E119" s="7">
        <f t="shared" si="50"/>
        <v>0</v>
      </c>
      <c r="F119" s="7">
        <f t="shared" si="50"/>
        <v>0</v>
      </c>
      <c r="G119" s="7">
        <f t="shared" si="50"/>
        <v>0</v>
      </c>
      <c r="H119" s="7">
        <f t="shared" si="50"/>
        <v>0</v>
      </c>
      <c r="I119" s="392">
        <f>SUM(C119:H119)</f>
        <v>0</v>
      </c>
    </row>
    <row r="120" spans="1:9" x14ac:dyDescent="0.2">
      <c r="A120" s="7" t="s">
        <v>691</v>
      </c>
      <c r="C120" s="7">
        <f>0.56*C117</f>
        <v>0</v>
      </c>
      <c r="D120" s="7">
        <f>1.12*D117</f>
        <v>0</v>
      </c>
      <c r="E120" s="7">
        <f>1.4*E117</f>
        <v>0</v>
      </c>
      <c r="F120" s="7">
        <f>1.68*F117</f>
        <v>0</v>
      </c>
      <c r="G120" s="7">
        <f>2.24*G117</f>
        <v>0</v>
      </c>
      <c r="H120" s="7">
        <f>2.8*H117</f>
        <v>0</v>
      </c>
      <c r="I120" s="392">
        <f>SUM(C120:H120)</f>
        <v>0</v>
      </c>
    </row>
    <row r="121" spans="1:9" x14ac:dyDescent="0.2">
      <c r="A121" s="7" t="s">
        <v>672</v>
      </c>
      <c r="B121" s="7">
        <v>1</v>
      </c>
      <c r="C121" s="7">
        <f>0.28*C117</f>
        <v>0</v>
      </c>
      <c r="D121" s="7">
        <f>0.56*D117</f>
        <v>0</v>
      </c>
      <c r="E121" s="7">
        <f>0.7*E117</f>
        <v>0</v>
      </c>
      <c r="F121" s="7">
        <f>0.84*F117</f>
        <v>0</v>
      </c>
      <c r="G121" s="7">
        <f>1.12*G117</f>
        <v>0</v>
      </c>
      <c r="H121" s="7">
        <f>1.4*H117</f>
        <v>0</v>
      </c>
      <c r="I121" s="392">
        <f>SUM(C121:H121)</f>
        <v>0</v>
      </c>
    </row>
    <row r="122" spans="1:9" x14ac:dyDescent="0.2">
      <c r="A122" s="7">
        <v>0</v>
      </c>
    </row>
    <row r="123" spans="1:9" ht="15.75" x14ac:dyDescent="0.25">
      <c r="A123" s="822" t="s">
        <v>686</v>
      </c>
      <c r="B123" s="822"/>
      <c r="C123" s="826">
        <f t="shared" ref="C123:H123" si="51">+B16</f>
        <v>0</v>
      </c>
      <c r="D123" s="826">
        <f t="shared" si="51"/>
        <v>0</v>
      </c>
      <c r="E123" s="826">
        <f t="shared" si="51"/>
        <v>0</v>
      </c>
      <c r="F123" s="826">
        <f t="shared" si="51"/>
        <v>0</v>
      </c>
      <c r="G123" s="826">
        <f t="shared" si="51"/>
        <v>0</v>
      </c>
      <c r="H123" s="826">
        <f t="shared" si="51"/>
        <v>0</v>
      </c>
      <c r="I123" s="317" t="s">
        <v>446</v>
      </c>
    </row>
    <row r="124" spans="1:9" x14ac:dyDescent="0.2">
      <c r="A124" s="7" t="s">
        <v>687</v>
      </c>
      <c r="B124" s="7">
        <v>1</v>
      </c>
      <c r="C124" s="392">
        <f t="shared" ref="C124:H124" si="52">+$B124*C123</f>
        <v>0</v>
      </c>
      <c r="D124" s="392">
        <f t="shared" si="52"/>
        <v>0</v>
      </c>
      <c r="E124" s="392">
        <f t="shared" si="52"/>
        <v>0</v>
      </c>
      <c r="F124" s="392">
        <f t="shared" si="52"/>
        <v>0</v>
      </c>
      <c r="G124" s="392">
        <f t="shared" si="52"/>
        <v>0</v>
      </c>
      <c r="H124" s="392">
        <f t="shared" si="52"/>
        <v>0</v>
      </c>
      <c r="I124" s="392">
        <f t="shared" ref="I124:I129" si="53">SUM(C124:H124)</f>
        <v>0</v>
      </c>
    </row>
    <row r="125" spans="1:9" x14ac:dyDescent="0.2">
      <c r="A125" s="7" t="s">
        <v>688</v>
      </c>
      <c r="B125" s="7">
        <v>4</v>
      </c>
      <c r="C125" s="7">
        <f t="shared" ref="C125:H125" si="54">C123*$B125</f>
        <v>0</v>
      </c>
      <c r="D125" s="7">
        <f t="shared" si="54"/>
        <v>0</v>
      </c>
      <c r="E125" s="7">
        <f t="shared" si="54"/>
        <v>0</v>
      </c>
      <c r="F125" s="7">
        <f t="shared" si="54"/>
        <v>0</v>
      </c>
      <c r="G125" s="7">
        <f t="shared" si="54"/>
        <v>0</v>
      </c>
      <c r="H125" s="7">
        <f t="shared" si="54"/>
        <v>0</v>
      </c>
      <c r="I125" s="392">
        <f t="shared" si="53"/>
        <v>0</v>
      </c>
    </row>
    <row r="126" spans="1:9" x14ac:dyDescent="0.2">
      <c r="A126" s="7" t="s">
        <v>110</v>
      </c>
      <c r="B126" s="7">
        <v>1.8</v>
      </c>
      <c r="C126" s="7">
        <f t="shared" ref="C126:H126" si="55">$B126*C123</f>
        <v>0</v>
      </c>
      <c r="D126" s="7">
        <f t="shared" si="55"/>
        <v>0</v>
      </c>
      <c r="E126" s="7">
        <f t="shared" si="55"/>
        <v>0</v>
      </c>
      <c r="F126" s="7">
        <f t="shared" si="55"/>
        <v>0</v>
      </c>
      <c r="G126" s="7">
        <f t="shared" si="55"/>
        <v>0</v>
      </c>
      <c r="H126" s="7">
        <f t="shared" si="55"/>
        <v>0</v>
      </c>
      <c r="I126" s="392">
        <f t="shared" si="53"/>
        <v>0</v>
      </c>
    </row>
    <row r="127" spans="1:9" x14ac:dyDescent="0.2">
      <c r="A127" s="7" t="s">
        <v>722</v>
      </c>
      <c r="B127" s="7">
        <v>1</v>
      </c>
      <c r="C127" s="7">
        <f>0.56*C123</f>
        <v>0</v>
      </c>
      <c r="D127" s="7">
        <f>1.12*D123</f>
        <v>0</v>
      </c>
      <c r="E127" s="7">
        <f>1.4*E123</f>
        <v>0</v>
      </c>
      <c r="F127" s="7">
        <f>1.68*F123</f>
        <v>0</v>
      </c>
      <c r="G127" s="7">
        <f>2.24*G123</f>
        <v>0</v>
      </c>
      <c r="H127" s="7">
        <f>2.24*H123</f>
        <v>0</v>
      </c>
      <c r="I127" s="392">
        <f t="shared" si="53"/>
        <v>0</v>
      </c>
    </row>
    <row r="128" spans="1:9" x14ac:dyDescent="0.2">
      <c r="A128" s="7" t="s">
        <v>691</v>
      </c>
      <c r="B128" s="7">
        <v>1</v>
      </c>
      <c r="I128" s="392">
        <f t="shared" si="53"/>
        <v>0</v>
      </c>
    </row>
    <row r="129" spans="1:9" x14ac:dyDescent="0.2">
      <c r="A129" s="7" t="s">
        <v>672</v>
      </c>
      <c r="B129" s="7">
        <v>1</v>
      </c>
      <c r="C129" s="7">
        <f>0.28*C123</f>
        <v>0</v>
      </c>
      <c r="D129" s="7">
        <f>0.56*D123</f>
        <v>0</v>
      </c>
      <c r="E129" s="7">
        <f>0.7*E123</f>
        <v>0</v>
      </c>
      <c r="F129" s="7">
        <f>0.84*F123</f>
        <v>0</v>
      </c>
      <c r="G129" s="7">
        <f>1.12*G123</f>
        <v>0</v>
      </c>
      <c r="H129" s="7">
        <f>1.4*H123</f>
        <v>0</v>
      </c>
      <c r="I129" s="392">
        <f t="shared" si="53"/>
        <v>0</v>
      </c>
    </row>
    <row r="130" spans="1:9" x14ac:dyDescent="0.2">
      <c r="A130" s="7">
        <v>0</v>
      </c>
    </row>
    <row r="131" spans="1:9" ht="15.75" x14ac:dyDescent="0.25">
      <c r="A131" s="822" t="s">
        <v>455</v>
      </c>
    </row>
    <row r="132" spans="1:9" ht="15.75" x14ac:dyDescent="0.25">
      <c r="A132" s="822" t="s">
        <v>454</v>
      </c>
      <c r="B132" s="822"/>
      <c r="C132" s="826">
        <f t="shared" ref="C132:H132" si="56">+B17</f>
        <v>0</v>
      </c>
      <c r="D132" s="826">
        <f t="shared" si="56"/>
        <v>0</v>
      </c>
      <c r="E132" s="826">
        <f t="shared" si="56"/>
        <v>0</v>
      </c>
      <c r="F132" s="826">
        <f t="shared" si="56"/>
        <v>0</v>
      </c>
      <c r="G132" s="826">
        <f t="shared" si="56"/>
        <v>0</v>
      </c>
      <c r="H132" s="826">
        <f t="shared" si="56"/>
        <v>0</v>
      </c>
      <c r="I132" s="317" t="s">
        <v>446</v>
      </c>
    </row>
    <row r="133" spans="1:9" x14ac:dyDescent="0.2">
      <c r="A133" s="7" t="s">
        <v>450</v>
      </c>
      <c r="B133" s="7">
        <v>1</v>
      </c>
      <c r="C133" s="7">
        <f>0.0832*C132</f>
        <v>0</v>
      </c>
      <c r="D133" s="7">
        <f>0.166*D132</f>
        <v>0</v>
      </c>
      <c r="E133" s="7">
        <f>0.208*E132</f>
        <v>0</v>
      </c>
      <c r="F133" s="7">
        <f>0.25*F132</f>
        <v>0</v>
      </c>
      <c r="G133" s="7">
        <f>0.332*G132</f>
        <v>0</v>
      </c>
      <c r="H133" s="7">
        <f>0.5*H132</f>
        <v>0</v>
      </c>
      <c r="I133" s="392">
        <f>SUM(C133:H133)</f>
        <v>0</v>
      </c>
    </row>
    <row r="134" spans="1:9" x14ac:dyDescent="0.2">
      <c r="A134" s="7" t="s">
        <v>673</v>
      </c>
      <c r="B134" s="7">
        <v>7</v>
      </c>
      <c r="C134" s="7">
        <f t="shared" ref="C134:H134" si="57">C132*$B134</f>
        <v>0</v>
      </c>
      <c r="D134" s="7">
        <f t="shared" si="57"/>
        <v>0</v>
      </c>
      <c r="E134" s="7">
        <f t="shared" si="57"/>
        <v>0</v>
      </c>
      <c r="F134" s="7">
        <f t="shared" si="57"/>
        <v>0</v>
      </c>
      <c r="G134" s="7">
        <f t="shared" si="57"/>
        <v>0</v>
      </c>
      <c r="H134" s="7">
        <f t="shared" si="57"/>
        <v>0</v>
      </c>
      <c r="I134" s="392">
        <f>SUM(C134:H134)</f>
        <v>0</v>
      </c>
    </row>
    <row r="135" spans="1:9" x14ac:dyDescent="0.2">
      <c r="A135" s="7" t="s">
        <v>672</v>
      </c>
      <c r="B135" s="7">
        <v>1</v>
      </c>
      <c r="C135" s="7">
        <f>0.28*C132</f>
        <v>0</v>
      </c>
      <c r="D135" s="7">
        <f>0.56*D132</f>
        <v>0</v>
      </c>
      <c r="E135" s="7">
        <f>0.7*E132</f>
        <v>0</v>
      </c>
      <c r="F135" s="7">
        <f>0.84*F132</f>
        <v>0</v>
      </c>
      <c r="G135" s="7">
        <f>1.12*G132</f>
        <v>0</v>
      </c>
      <c r="H135" s="7">
        <f>1.4*H132</f>
        <v>0</v>
      </c>
      <c r="I135" s="392">
        <f>SUM(C135:H135)</f>
        <v>0</v>
      </c>
    </row>
    <row r="136" spans="1:9" x14ac:dyDescent="0.2">
      <c r="A136" s="7" t="s">
        <v>691</v>
      </c>
      <c r="B136" s="7">
        <v>1</v>
      </c>
      <c r="C136" s="7">
        <f>0.56*C132</f>
        <v>0</v>
      </c>
      <c r="D136" s="7">
        <f>1.12*D132</f>
        <v>0</v>
      </c>
      <c r="E136" s="7">
        <f>1.4*E132</f>
        <v>0</v>
      </c>
      <c r="F136" s="7">
        <f>1.68*F132</f>
        <v>0</v>
      </c>
      <c r="G136" s="7">
        <f>2.24*G132</f>
        <v>0</v>
      </c>
      <c r="H136" s="7">
        <f>2.8*H132</f>
        <v>0</v>
      </c>
      <c r="I136" s="392">
        <f>SUM(C136:H136)</f>
        <v>0</v>
      </c>
    </row>
    <row r="137" spans="1:9" x14ac:dyDescent="0.2">
      <c r="A137" s="7">
        <v>0</v>
      </c>
    </row>
    <row r="138" spans="1:9" ht="15.75" x14ac:dyDescent="0.25">
      <c r="A138" s="822" t="s">
        <v>686</v>
      </c>
      <c r="B138" s="822"/>
      <c r="C138" s="826">
        <f t="shared" ref="C138:H138" si="58">+B18</f>
        <v>0</v>
      </c>
      <c r="D138" s="826">
        <f t="shared" si="58"/>
        <v>0</v>
      </c>
      <c r="E138" s="826">
        <f t="shared" si="58"/>
        <v>0</v>
      </c>
      <c r="F138" s="826">
        <f t="shared" si="58"/>
        <v>0</v>
      </c>
      <c r="G138" s="826">
        <f t="shared" si="58"/>
        <v>0</v>
      </c>
      <c r="H138" s="826">
        <f t="shared" si="58"/>
        <v>0</v>
      </c>
      <c r="I138" s="317" t="s">
        <v>446</v>
      </c>
    </row>
    <row r="139" spans="1:9" x14ac:dyDescent="0.2">
      <c r="A139" s="7" t="s">
        <v>693</v>
      </c>
      <c r="B139" s="7">
        <v>1</v>
      </c>
      <c r="C139" s="392">
        <f t="shared" ref="C139:H139" si="59">+$B139*C138</f>
        <v>0</v>
      </c>
      <c r="D139" s="392">
        <f t="shared" si="59"/>
        <v>0</v>
      </c>
      <c r="E139" s="392">
        <f t="shared" si="59"/>
        <v>0</v>
      </c>
      <c r="F139" s="392">
        <f t="shared" si="59"/>
        <v>0</v>
      </c>
      <c r="G139" s="392">
        <f t="shared" si="59"/>
        <v>0</v>
      </c>
      <c r="H139" s="392">
        <f t="shared" si="59"/>
        <v>0</v>
      </c>
      <c r="I139" s="392">
        <f t="shared" ref="I139:I144" si="60">SUM(C139:H139)</f>
        <v>0</v>
      </c>
    </row>
    <row r="140" spans="1:9" x14ac:dyDescent="0.2">
      <c r="A140" s="7" t="s">
        <v>688</v>
      </c>
      <c r="B140" s="7">
        <v>4</v>
      </c>
      <c r="C140" s="7">
        <f t="shared" ref="C140:H140" si="61">C138*$B140</f>
        <v>0</v>
      </c>
      <c r="D140" s="7">
        <f t="shared" si="61"/>
        <v>0</v>
      </c>
      <c r="E140" s="7">
        <f t="shared" si="61"/>
        <v>0</v>
      </c>
      <c r="F140" s="7">
        <f t="shared" si="61"/>
        <v>0</v>
      </c>
      <c r="G140" s="7">
        <f t="shared" si="61"/>
        <v>0</v>
      </c>
      <c r="H140" s="7">
        <f t="shared" si="61"/>
        <v>0</v>
      </c>
      <c r="I140" s="392">
        <f t="shared" si="60"/>
        <v>0</v>
      </c>
    </row>
    <row r="141" spans="1:9" x14ac:dyDescent="0.2">
      <c r="A141" s="7" t="s">
        <v>110</v>
      </c>
      <c r="B141" s="7">
        <v>1.8</v>
      </c>
      <c r="C141" s="7">
        <f t="shared" ref="C141:H141" si="62">$B141*C138</f>
        <v>0</v>
      </c>
      <c r="D141" s="7">
        <f t="shared" si="62"/>
        <v>0</v>
      </c>
      <c r="E141" s="7">
        <f t="shared" si="62"/>
        <v>0</v>
      </c>
      <c r="F141" s="7">
        <f t="shared" si="62"/>
        <v>0</v>
      </c>
      <c r="G141" s="7">
        <f t="shared" si="62"/>
        <v>0</v>
      </c>
      <c r="H141" s="7">
        <f t="shared" si="62"/>
        <v>0</v>
      </c>
      <c r="I141" s="392">
        <f t="shared" si="60"/>
        <v>0</v>
      </c>
    </row>
    <row r="142" spans="1:9" x14ac:dyDescent="0.2">
      <c r="A142" s="7" t="s">
        <v>722</v>
      </c>
      <c r="B142" s="7">
        <v>1</v>
      </c>
      <c r="C142" s="7">
        <f>0.56*C138</f>
        <v>0</v>
      </c>
      <c r="D142" s="7">
        <f>1.12*D138</f>
        <v>0</v>
      </c>
      <c r="E142" s="7">
        <f>1.4*E138</f>
        <v>0</v>
      </c>
      <c r="F142" s="7">
        <f>1.68*F138</f>
        <v>0</v>
      </c>
      <c r="G142" s="7">
        <f>2.24*G138</f>
        <v>0</v>
      </c>
      <c r="H142" s="7">
        <f>2.8*H138</f>
        <v>0</v>
      </c>
      <c r="I142" s="392">
        <f t="shared" si="60"/>
        <v>0</v>
      </c>
    </row>
    <row r="143" spans="1:9" x14ac:dyDescent="0.2">
      <c r="A143" s="7" t="s">
        <v>691</v>
      </c>
      <c r="I143" s="392">
        <f t="shared" si="60"/>
        <v>0</v>
      </c>
    </row>
    <row r="144" spans="1:9" x14ac:dyDescent="0.2">
      <c r="A144" s="7" t="s">
        <v>672</v>
      </c>
      <c r="B144" s="7">
        <v>1</v>
      </c>
      <c r="C144" s="7">
        <f>0.28*C138</f>
        <v>0</v>
      </c>
      <c r="D144" s="7">
        <f>0.56*D138</f>
        <v>0</v>
      </c>
      <c r="E144" s="7">
        <f>0.7*E138</f>
        <v>0</v>
      </c>
      <c r="F144" s="7">
        <f>0.84*F138</f>
        <v>0</v>
      </c>
      <c r="G144" s="7">
        <f>1.12*G138</f>
        <v>0</v>
      </c>
      <c r="H144" s="7">
        <f>1.4*H138</f>
        <v>0</v>
      </c>
      <c r="I144" s="392">
        <f t="shared" si="60"/>
        <v>0</v>
      </c>
    </row>
    <row r="145" spans="1:10" x14ac:dyDescent="0.2">
      <c r="A145" s="7">
        <v>0</v>
      </c>
    </row>
    <row r="146" spans="1:10" x14ac:dyDescent="0.2">
      <c r="A146" s="7">
        <v>0</v>
      </c>
    </row>
    <row r="147" spans="1:10" ht="15.75" x14ac:dyDescent="0.25">
      <c r="A147" s="822" t="s">
        <v>694</v>
      </c>
      <c r="B147" s="120"/>
      <c r="C147" s="120"/>
      <c r="D147" s="120"/>
      <c r="E147" s="120"/>
      <c r="F147" s="120"/>
      <c r="G147" s="120"/>
      <c r="H147" s="120"/>
      <c r="I147" s="120"/>
      <c r="J147" s="120"/>
    </row>
    <row r="148" spans="1:10" x14ac:dyDescent="0.2">
      <c r="A148" s="7" t="s">
        <v>444</v>
      </c>
      <c r="B148" s="824"/>
      <c r="C148" s="7">
        <v>0.85</v>
      </c>
      <c r="I148" s="120"/>
      <c r="J148" s="120"/>
    </row>
    <row r="149" spans="1:10" x14ac:dyDescent="0.2">
      <c r="A149" s="7" t="s">
        <v>445</v>
      </c>
      <c r="B149" s="824"/>
      <c r="C149" s="316">
        <v>0.84</v>
      </c>
      <c r="I149" s="120"/>
      <c r="J149" s="120"/>
    </row>
    <row r="150" spans="1:10" ht="15.75" x14ac:dyDescent="0.25">
      <c r="A150" s="822" t="s">
        <v>105</v>
      </c>
      <c r="B150" s="827"/>
      <c r="C150" s="826">
        <f>+E12</f>
        <v>0</v>
      </c>
      <c r="D150" s="317" t="s">
        <v>446</v>
      </c>
      <c r="I150" s="120"/>
      <c r="J150" s="120"/>
    </row>
    <row r="151" spans="1:10" x14ac:dyDescent="0.2">
      <c r="A151" s="7" t="s">
        <v>695</v>
      </c>
      <c r="B151" s="824">
        <v>1</v>
      </c>
      <c r="C151" s="7">
        <f>+B151*C150</f>
        <v>0</v>
      </c>
      <c r="D151" s="392">
        <f t="shared" ref="D151:D163" si="63">SUM(C151:C151)</f>
        <v>0</v>
      </c>
      <c r="I151" s="120"/>
      <c r="J151" s="120"/>
    </row>
    <row r="152" spans="1:10" x14ac:dyDescent="0.2">
      <c r="A152" s="7" t="s">
        <v>719</v>
      </c>
      <c r="B152" s="824">
        <v>1</v>
      </c>
      <c r="C152" s="7">
        <f>0.85*C150</f>
        <v>0</v>
      </c>
      <c r="D152" s="392">
        <f t="shared" si="63"/>
        <v>0</v>
      </c>
      <c r="I152" s="120"/>
      <c r="J152" s="120"/>
    </row>
    <row r="153" spans="1:10" x14ac:dyDescent="0.2">
      <c r="A153" s="7" t="s">
        <v>696</v>
      </c>
      <c r="B153" s="824">
        <v>1</v>
      </c>
      <c r="C153" s="823">
        <f>B153*C150</f>
        <v>0</v>
      </c>
      <c r="D153" s="392">
        <f t="shared" si="63"/>
        <v>0</v>
      </c>
      <c r="I153" s="120"/>
      <c r="J153" s="120"/>
    </row>
    <row r="154" spans="1:10" x14ac:dyDescent="0.2">
      <c r="A154" s="7" t="s">
        <v>723</v>
      </c>
      <c r="B154" s="824">
        <v>2</v>
      </c>
      <c r="C154" s="7">
        <f>B154*C150</f>
        <v>0</v>
      </c>
      <c r="D154" s="392">
        <f t="shared" si="63"/>
        <v>0</v>
      </c>
      <c r="I154" s="120"/>
      <c r="J154" s="120"/>
    </row>
    <row r="155" spans="1:10" x14ac:dyDescent="0.2">
      <c r="A155" s="7" t="s">
        <v>672</v>
      </c>
      <c r="B155" s="824">
        <v>5</v>
      </c>
      <c r="C155" s="7">
        <f>B155*C150</f>
        <v>0</v>
      </c>
      <c r="D155" s="392">
        <f t="shared" si="63"/>
        <v>0</v>
      </c>
      <c r="I155" s="120"/>
      <c r="J155" s="120"/>
    </row>
    <row r="156" spans="1:10" x14ac:dyDescent="0.2">
      <c r="A156" s="7" t="s">
        <v>705</v>
      </c>
      <c r="B156" s="824">
        <f>IF(V24=12,4,8)</f>
        <v>8</v>
      </c>
      <c r="C156" s="7">
        <f>B156*C150</f>
        <v>0</v>
      </c>
      <c r="D156" s="392">
        <f t="shared" si="63"/>
        <v>0</v>
      </c>
      <c r="I156" s="120"/>
      <c r="J156" s="120"/>
    </row>
    <row r="157" spans="1:10" x14ac:dyDescent="0.2">
      <c r="A157" s="7" t="s">
        <v>673</v>
      </c>
      <c r="B157" s="824">
        <v>6</v>
      </c>
      <c r="C157" s="7">
        <f>C150*B157</f>
        <v>0</v>
      </c>
      <c r="D157" s="392">
        <f t="shared" si="63"/>
        <v>0</v>
      </c>
      <c r="I157" s="120"/>
      <c r="J157" s="120"/>
    </row>
    <row r="158" spans="1:10" x14ac:dyDescent="0.2">
      <c r="A158" s="120" t="s">
        <v>698</v>
      </c>
      <c r="B158" s="824">
        <v>22</v>
      </c>
      <c r="C158" s="7">
        <f>+B158*C150</f>
        <v>0</v>
      </c>
      <c r="D158" s="392">
        <f t="shared" si="63"/>
        <v>0</v>
      </c>
      <c r="I158" s="120"/>
      <c r="J158" s="120"/>
    </row>
    <row r="159" spans="1:10" x14ac:dyDescent="0.2">
      <c r="A159" s="7" t="s">
        <v>699</v>
      </c>
      <c r="B159" s="824">
        <v>3</v>
      </c>
      <c r="C159" s="7">
        <f>B159*C150</f>
        <v>0</v>
      </c>
      <c r="D159" s="392">
        <f t="shared" si="63"/>
        <v>0</v>
      </c>
      <c r="I159" s="120"/>
      <c r="J159" s="120"/>
    </row>
    <row r="160" spans="1:10" x14ac:dyDescent="0.2">
      <c r="A160" s="7" t="s">
        <v>700</v>
      </c>
      <c r="B160" s="824">
        <v>1</v>
      </c>
      <c r="C160" s="7">
        <f>+B160*C150</f>
        <v>0</v>
      </c>
      <c r="D160" s="392">
        <f t="shared" si="63"/>
        <v>0</v>
      </c>
      <c r="I160" s="120"/>
      <c r="J160" s="120"/>
    </row>
    <row r="161" spans="1:23" x14ac:dyDescent="0.2">
      <c r="A161" s="120" t="s">
        <v>701</v>
      </c>
      <c r="B161" s="824">
        <v>6</v>
      </c>
      <c r="C161" s="7">
        <f>+B161*C150</f>
        <v>0</v>
      </c>
      <c r="D161" s="392">
        <f t="shared" si="63"/>
        <v>0</v>
      </c>
      <c r="I161" s="120"/>
      <c r="J161" s="120"/>
    </row>
    <row r="162" spans="1:23" x14ac:dyDescent="0.2">
      <c r="A162" s="7" t="s">
        <v>676</v>
      </c>
      <c r="B162" s="824">
        <v>1</v>
      </c>
      <c r="C162" s="7">
        <f>+C149*C150</f>
        <v>0</v>
      </c>
      <c r="D162" s="392">
        <f t="shared" si="63"/>
        <v>0</v>
      </c>
      <c r="I162" s="120"/>
      <c r="J162" s="120"/>
    </row>
    <row r="163" spans="1:23" x14ac:dyDescent="0.2">
      <c r="A163" s="7">
        <v>0</v>
      </c>
      <c r="B163" s="824"/>
      <c r="D163" s="392">
        <f t="shared" si="63"/>
        <v>0</v>
      </c>
      <c r="I163" s="120"/>
      <c r="J163" s="120"/>
    </row>
    <row r="164" spans="1:23" x14ac:dyDescent="0.2">
      <c r="A164" s="7">
        <v>0</v>
      </c>
      <c r="B164" s="824"/>
      <c r="I164" s="120"/>
      <c r="J164" s="120"/>
    </row>
    <row r="165" spans="1:23" x14ac:dyDescent="0.2">
      <c r="A165" s="7">
        <v>0</v>
      </c>
      <c r="B165" s="824"/>
      <c r="I165" s="120"/>
      <c r="J165" s="120"/>
    </row>
    <row r="166" spans="1:23" x14ac:dyDescent="0.2">
      <c r="A166" s="120">
        <v>0</v>
      </c>
      <c r="B166" s="824"/>
      <c r="I166" s="337"/>
      <c r="J166" s="120"/>
    </row>
    <row r="167" spans="1:23" ht="18" x14ac:dyDescent="0.25">
      <c r="A167" s="828" t="s">
        <v>456</v>
      </c>
      <c r="B167" s="824"/>
      <c r="C167" s="824" t="s">
        <v>457</v>
      </c>
      <c r="D167" s="319" t="s">
        <v>458</v>
      </c>
      <c r="E167" s="824" t="s">
        <v>459</v>
      </c>
      <c r="I167" s="132"/>
      <c r="J167" s="120"/>
    </row>
    <row r="168" spans="1:23" x14ac:dyDescent="0.2">
      <c r="A168" s="7">
        <v>0</v>
      </c>
      <c r="B168" s="824"/>
      <c r="E168" s="825"/>
      <c r="F168" s="825"/>
      <c r="I168" s="120"/>
      <c r="J168" s="120"/>
    </row>
    <row r="169" spans="1:23" x14ac:dyDescent="0.2">
      <c r="A169" s="7" t="s">
        <v>444</v>
      </c>
      <c r="B169" s="824"/>
      <c r="I169" s="120"/>
      <c r="J169" s="120"/>
    </row>
    <row r="170" spans="1:23" ht="15.75" x14ac:dyDescent="0.25">
      <c r="A170" s="7" t="s">
        <v>445</v>
      </c>
      <c r="B170" s="824"/>
      <c r="E170" s="316"/>
      <c r="I170" s="136"/>
      <c r="J170" s="120"/>
    </row>
    <row r="171" spans="1:23" ht="15.75" x14ac:dyDescent="0.25">
      <c r="A171" s="822" t="s">
        <v>105</v>
      </c>
      <c r="B171" s="827"/>
      <c r="C171" s="826">
        <f>+H8</f>
        <v>0</v>
      </c>
      <c r="D171" s="826">
        <f>+H9</f>
        <v>0</v>
      </c>
      <c r="E171" s="826">
        <f>+H10</f>
        <v>0</v>
      </c>
      <c r="F171" s="317" t="s">
        <v>446</v>
      </c>
      <c r="I171" s="409"/>
      <c r="J171" s="120"/>
      <c r="U171" s="829"/>
      <c r="V171" s="830"/>
    </row>
    <row r="172" spans="1:23" x14ac:dyDescent="0.2">
      <c r="A172" s="7" t="s">
        <v>460</v>
      </c>
      <c r="B172" s="824">
        <v>1</v>
      </c>
      <c r="C172" s="7">
        <f>2*C171</f>
        <v>0</v>
      </c>
      <c r="D172" s="823">
        <f>1/6*D171</f>
        <v>0</v>
      </c>
      <c r="E172" s="7">
        <f>1*E171</f>
        <v>0</v>
      </c>
      <c r="F172" s="392">
        <f>SUM(C172:E172)</f>
        <v>0</v>
      </c>
      <c r="I172" s="409"/>
      <c r="J172" s="120"/>
      <c r="U172" s="829"/>
      <c r="V172" s="830"/>
    </row>
    <row r="173" spans="1:23" x14ac:dyDescent="0.2">
      <c r="A173" s="7" t="s">
        <v>721</v>
      </c>
      <c r="B173" s="824">
        <v>1</v>
      </c>
      <c r="C173" s="7">
        <f>6*C171</f>
        <v>0</v>
      </c>
      <c r="D173" s="7">
        <f>3*D171</f>
        <v>0</v>
      </c>
      <c r="E173" s="7">
        <f>4*E171</f>
        <v>0</v>
      </c>
      <c r="F173" s="392">
        <f t="shared" ref="F173:F186" si="64">SUM(C173:E173)</f>
        <v>0</v>
      </c>
      <c r="I173" s="409"/>
      <c r="J173" s="120"/>
      <c r="U173" s="829"/>
      <c r="V173" s="830"/>
    </row>
    <row r="174" spans="1:23" x14ac:dyDescent="0.2">
      <c r="A174" s="7" t="s">
        <v>704</v>
      </c>
      <c r="B174" s="824">
        <v>1</v>
      </c>
      <c r="C174" s="7">
        <v>0</v>
      </c>
      <c r="D174" s="392">
        <f>D171*1</f>
        <v>0</v>
      </c>
      <c r="E174" s="392">
        <f>1*E171</f>
        <v>0</v>
      </c>
      <c r="F174" s="392">
        <f t="shared" si="64"/>
        <v>0</v>
      </c>
      <c r="I174" s="409"/>
      <c r="J174" s="120"/>
      <c r="U174" s="829"/>
      <c r="V174" s="830"/>
      <c r="W174" s="831"/>
    </row>
    <row r="175" spans="1:23" x14ac:dyDescent="0.2">
      <c r="A175" s="7" t="s">
        <v>723</v>
      </c>
      <c r="B175" s="824">
        <v>2</v>
      </c>
      <c r="C175" s="7">
        <f>+$B175*C171</f>
        <v>0</v>
      </c>
      <c r="D175" s="7">
        <f>+$B175*D171</f>
        <v>0</v>
      </c>
      <c r="E175" s="7">
        <f>+$B175*E171</f>
        <v>0</v>
      </c>
      <c r="F175" s="392">
        <f t="shared" si="64"/>
        <v>0</v>
      </c>
      <c r="I175" s="409"/>
      <c r="J175" s="120"/>
      <c r="U175" s="829"/>
      <c r="V175" s="830"/>
    </row>
    <row r="176" spans="1:23" x14ac:dyDescent="0.2">
      <c r="A176" s="7" t="s">
        <v>672</v>
      </c>
      <c r="B176" s="824">
        <v>5</v>
      </c>
      <c r="C176" s="7">
        <f>+$B176*C171</f>
        <v>0</v>
      </c>
      <c r="D176" s="7">
        <f>+$B176*D171</f>
        <v>0</v>
      </c>
      <c r="E176" s="7">
        <f>+$B176*E171</f>
        <v>0</v>
      </c>
      <c r="F176" s="392">
        <f t="shared" si="64"/>
        <v>0</v>
      </c>
      <c r="I176" s="409"/>
      <c r="J176" s="120"/>
      <c r="U176" s="829"/>
      <c r="V176" s="830"/>
    </row>
    <row r="177" spans="1:23" x14ac:dyDescent="0.2">
      <c r="A177" s="7" t="s">
        <v>705</v>
      </c>
      <c r="B177" s="824">
        <v>6</v>
      </c>
      <c r="C177" s="7">
        <f>+$B177*C171</f>
        <v>0</v>
      </c>
      <c r="D177" s="7">
        <f>+$B177*D171</f>
        <v>0</v>
      </c>
      <c r="E177" s="7">
        <f>+$B177*E171</f>
        <v>0</v>
      </c>
      <c r="F177" s="392">
        <f t="shared" si="64"/>
        <v>0</v>
      </c>
      <c r="I177" s="409"/>
      <c r="J177" s="120"/>
      <c r="U177" s="829"/>
      <c r="V177" s="830"/>
    </row>
    <row r="178" spans="1:23" x14ac:dyDescent="0.2">
      <c r="A178" s="7" t="s">
        <v>673</v>
      </c>
      <c r="B178" s="824">
        <v>10</v>
      </c>
      <c r="C178" s="7">
        <f>10*C171</f>
        <v>0</v>
      </c>
      <c r="D178" s="7">
        <f>8*D171</f>
        <v>0</v>
      </c>
      <c r="E178" s="7">
        <f>10*E171</f>
        <v>0</v>
      </c>
      <c r="F178" s="392">
        <f t="shared" si="64"/>
        <v>0</v>
      </c>
      <c r="I178" s="409"/>
      <c r="J178" s="120"/>
      <c r="U178" s="829"/>
      <c r="V178" s="830"/>
    </row>
    <row r="179" spans="1:23" x14ac:dyDescent="0.2">
      <c r="A179" s="7" t="s">
        <v>726</v>
      </c>
      <c r="B179" s="824">
        <v>3</v>
      </c>
      <c r="C179" s="7">
        <f>+$B179*C171</f>
        <v>0</v>
      </c>
      <c r="D179" s="7">
        <f>+$B179*D171</f>
        <v>0</v>
      </c>
      <c r="E179" s="7">
        <f>+$B179*E171</f>
        <v>0</v>
      </c>
      <c r="F179" s="392">
        <f t="shared" si="64"/>
        <v>0</v>
      </c>
      <c r="I179" s="409"/>
      <c r="J179" s="120"/>
      <c r="U179" s="829"/>
      <c r="V179" s="830"/>
    </row>
    <row r="180" spans="1:23" x14ac:dyDescent="0.2">
      <c r="A180" s="7" t="s">
        <v>728</v>
      </c>
      <c r="B180" s="824">
        <v>6</v>
      </c>
      <c r="C180" s="7">
        <f>+$B180*C171</f>
        <v>0</v>
      </c>
      <c r="D180" s="7">
        <f>+$B180*D171</f>
        <v>0</v>
      </c>
      <c r="E180" s="7">
        <f>+$B180*E171</f>
        <v>0</v>
      </c>
      <c r="F180" s="392">
        <f t="shared" si="64"/>
        <v>0</v>
      </c>
      <c r="I180" s="409"/>
      <c r="J180" s="120"/>
      <c r="U180" s="829"/>
      <c r="V180" s="830"/>
    </row>
    <row r="181" spans="1:23" x14ac:dyDescent="0.2">
      <c r="A181" s="7" t="s">
        <v>730</v>
      </c>
      <c r="B181" s="824">
        <v>3</v>
      </c>
      <c r="C181" s="7">
        <f>+$B181*C171</f>
        <v>0</v>
      </c>
      <c r="D181" s="7">
        <f>+$B181*D171</f>
        <v>0</v>
      </c>
      <c r="E181" s="7">
        <f>+$B181*E171</f>
        <v>0</v>
      </c>
      <c r="F181" s="392">
        <f t="shared" si="64"/>
        <v>0</v>
      </c>
      <c r="I181" s="409"/>
      <c r="J181" s="120"/>
      <c r="U181" s="829"/>
      <c r="V181" s="830"/>
    </row>
    <row r="182" spans="1:23" x14ac:dyDescent="0.2">
      <c r="A182" s="7" t="s">
        <v>706</v>
      </c>
      <c r="B182" s="824">
        <v>1</v>
      </c>
      <c r="C182" s="7">
        <f>+$B182*C171</f>
        <v>0</v>
      </c>
      <c r="D182" s="7">
        <f>+$B182*D171</f>
        <v>0</v>
      </c>
      <c r="E182" s="7">
        <f>+$B182*E171</f>
        <v>0</v>
      </c>
      <c r="F182" s="392">
        <f t="shared" si="64"/>
        <v>0</v>
      </c>
      <c r="I182" s="409"/>
      <c r="J182" s="120"/>
      <c r="U182" s="829"/>
      <c r="V182" s="830"/>
    </row>
    <row r="183" spans="1:23" x14ac:dyDescent="0.2">
      <c r="A183" s="7" t="s">
        <v>720</v>
      </c>
      <c r="B183" s="824">
        <v>3</v>
      </c>
      <c r="C183" s="7">
        <f>+$B183*C171</f>
        <v>0</v>
      </c>
      <c r="D183" s="7">
        <f>+$B183*D171</f>
        <v>0</v>
      </c>
      <c r="E183" s="7">
        <f>+$B183*E171</f>
        <v>0</v>
      </c>
      <c r="F183" s="392">
        <f t="shared" si="64"/>
        <v>0</v>
      </c>
      <c r="I183" s="409"/>
      <c r="J183" s="120"/>
      <c r="U183" s="829"/>
      <c r="V183" s="830"/>
    </row>
    <row r="184" spans="1:23" x14ac:dyDescent="0.2">
      <c r="A184" s="7" t="s">
        <v>627</v>
      </c>
      <c r="B184" s="824">
        <v>16</v>
      </c>
      <c r="C184" s="7">
        <f>+$B184*C171</f>
        <v>0</v>
      </c>
      <c r="D184" s="7">
        <f>+$B184*D171</f>
        <v>0</v>
      </c>
      <c r="E184" s="7">
        <f>+$B184*E171</f>
        <v>0</v>
      </c>
      <c r="F184" s="392">
        <f t="shared" si="64"/>
        <v>0</v>
      </c>
      <c r="I184" s="409"/>
      <c r="J184" s="120"/>
      <c r="U184" s="829"/>
      <c r="V184" s="830"/>
    </row>
    <row r="185" spans="1:23" x14ac:dyDescent="0.2">
      <c r="A185" s="7" t="s">
        <v>653</v>
      </c>
      <c r="B185" s="824">
        <v>1</v>
      </c>
      <c r="C185" s="7">
        <v>0</v>
      </c>
      <c r="D185" s="7">
        <f>+B185*D171</f>
        <v>0</v>
      </c>
      <c r="E185" s="7">
        <f>+B185*E171</f>
        <v>0</v>
      </c>
      <c r="F185" s="392">
        <f t="shared" si="64"/>
        <v>0</v>
      </c>
      <c r="I185" s="409"/>
      <c r="J185" s="120"/>
      <c r="U185" s="829"/>
      <c r="V185" s="830"/>
      <c r="W185" s="831"/>
    </row>
    <row r="186" spans="1:23" x14ac:dyDescent="0.2">
      <c r="A186" s="7" t="s">
        <v>110</v>
      </c>
      <c r="B186" s="824">
        <v>4</v>
      </c>
      <c r="C186" s="7">
        <v>0</v>
      </c>
      <c r="D186" s="7">
        <f>6.88*D171</f>
        <v>0</v>
      </c>
      <c r="E186" s="7">
        <f>4.4*E171</f>
        <v>0</v>
      </c>
      <c r="F186" s="392">
        <f t="shared" si="64"/>
        <v>0</v>
      </c>
      <c r="I186" s="409"/>
      <c r="J186" s="120"/>
      <c r="U186" s="829"/>
      <c r="V186" s="830"/>
    </row>
    <row r="187" spans="1:23" x14ac:dyDescent="0.2">
      <c r="A187" s="7">
        <v>0</v>
      </c>
      <c r="B187" s="824"/>
      <c r="F187" s="832"/>
      <c r="I187" s="409"/>
      <c r="J187" s="120"/>
      <c r="U187" s="829"/>
      <c r="V187" s="830"/>
    </row>
    <row r="188" spans="1:23" x14ac:dyDescent="0.2">
      <c r="A188" s="7">
        <v>0</v>
      </c>
      <c r="B188" s="824"/>
      <c r="F188" s="832"/>
      <c r="I188" s="409"/>
      <c r="J188" s="120"/>
      <c r="U188" s="829"/>
      <c r="V188" s="830"/>
    </row>
    <row r="189" spans="1:23" ht="15.75" x14ac:dyDescent="0.25">
      <c r="A189" s="822" t="s">
        <v>461</v>
      </c>
      <c r="B189" s="824"/>
      <c r="I189" s="409"/>
      <c r="J189" s="120"/>
      <c r="U189" s="829"/>
      <c r="V189" s="830"/>
    </row>
    <row r="190" spans="1:23" ht="15.75" x14ac:dyDescent="0.25">
      <c r="A190" s="822" t="s">
        <v>454</v>
      </c>
      <c r="B190" s="827"/>
      <c r="C190" s="826"/>
      <c r="D190" s="826">
        <f>+H15</f>
        <v>0</v>
      </c>
      <c r="E190" s="826"/>
      <c r="F190" s="317" t="s">
        <v>446</v>
      </c>
      <c r="G190" s="120"/>
      <c r="H190" s="120"/>
      <c r="I190" s="411"/>
      <c r="J190" s="120"/>
      <c r="U190" s="829"/>
      <c r="V190" s="830"/>
    </row>
    <row r="191" spans="1:23" x14ac:dyDescent="0.2">
      <c r="A191" s="7" t="s">
        <v>460</v>
      </c>
      <c r="B191" s="824">
        <v>0.5</v>
      </c>
      <c r="C191" s="7">
        <f>+$B191*C190</f>
        <v>0</v>
      </c>
      <c r="D191" s="7">
        <f>+$B191*D190</f>
        <v>0</v>
      </c>
      <c r="E191" s="7">
        <f>+$B191*E190</f>
        <v>0</v>
      </c>
      <c r="F191" s="392">
        <f t="shared" ref="F191:F196" si="65">SUM(C191:E191)</f>
        <v>0</v>
      </c>
      <c r="G191" s="120"/>
      <c r="H191" s="120"/>
      <c r="I191" s="411"/>
      <c r="J191" s="120"/>
      <c r="U191" s="829"/>
      <c r="V191" s="830"/>
    </row>
    <row r="192" spans="1:23" x14ac:dyDescent="0.2">
      <c r="A192" s="7" t="s">
        <v>721</v>
      </c>
      <c r="B192" s="824">
        <v>2</v>
      </c>
      <c r="C192" s="7">
        <f>+$B192*C190</f>
        <v>0</v>
      </c>
      <c r="D192" s="7">
        <f>+$B192*D190</f>
        <v>0</v>
      </c>
      <c r="E192" s="7">
        <f>+$B192*E190</f>
        <v>0</v>
      </c>
      <c r="F192" s="392">
        <f t="shared" si="65"/>
        <v>0</v>
      </c>
      <c r="G192" s="120"/>
      <c r="H192" s="120"/>
      <c r="I192" s="409"/>
      <c r="J192" s="120"/>
      <c r="U192" s="829"/>
      <c r="V192" s="830"/>
    </row>
    <row r="193" spans="1:22" x14ac:dyDescent="0.2">
      <c r="A193" s="7" t="s">
        <v>673</v>
      </c>
      <c r="B193" s="824">
        <v>6</v>
      </c>
      <c r="C193" s="7">
        <f>+$B193*C190</f>
        <v>0</v>
      </c>
      <c r="D193" s="7">
        <f>+$B193*D190</f>
        <v>0</v>
      </c>
      <c r="E193" s="7">
        <f>+$B193*E190</f>
        <v>0</v>
      </c>
      <c r="F193" s="392">
        <f t="shared" si="65"/>
        <v>0</v>
      </c>
      <c r="G193" s="120"/>
      <c r="H193" s="120"/>
      <c r="I193" s="409"/>
      <c r="J193" s="120"/>
      <c r="U193" s="829"/>
      <c r="V193" s="830"/>
    </row>
    <row r="194" spans="1:22" ht="15.75" x14ac:dyDescent="0.25">
      <c r="A194" s="7" t="s">
        <v>708</v>
      </c>
      <c r="B194" s="824">
        <v>1</v>
      </c>
      <c r="C194" s="7">
        <f>+$B194*C190</f>
        <v>0</v>
      </c>
      <c r="D194" s="7">
        <f>+$B194*D190</f>
        <v>0</v>
      </c>
      <c r="E194" s="7">
        <f>+$B194*E190</f>
        <v>0</v>
      </c>
      <c r="F194" s="392">
        <f t="shared" si="65"/>
        <v>0</v>
      </c>
      <c r="G194" s="136"/>
      <c r="H194" s="120"/>
      <c r="I194" s="409"/>
      <c r="J194" s="120"/>
      <c r="U194" s="829"/>
      <c r="V194" s="830"/>
    </row>
    <row r="195" spans="1:22" x14ac:dyDescent="0.2">
      <c r="A195" s="7" t="s">
        <v>628</v>
      </c>
      <c r="B195" s="824">
        <v>1</v>
      </c>
      <c r="C195" s="7">
        <f>+$B195*C190</f>
        <v>0</v>
      </c>
      <c r="D195" s="7">
        <v>0</v>
      </c>
      <c r="E195" s="7">
        <v>0</v>
      </c>
      <c r="F195" s="392">
        <f t="shared" si="65"/>
        <v>0</v>
      </c>
      <c r="G195" s="409"/>
      <c r="H195" s="120"/>
      <c r="I195" s="409"/>
      <c r="J195" s="120"/>
      <c r="U195" s="829"/>
      <c r="V195" s="830"/>
    </row>
    <row r="196" spans="1:22" ht="15.75" x14ac:dyDescent="0.25">
      <c r="A196" s="7" t="s">
        <v>653</v>
      </c>
      <c r="B196" s="824">
        <v>1</v>
      </c>
      <c r="C196" s="7">
        <f>+$B196*C190</f>
        <v>0</v>
      </c>
      <c r="D196" s="7">
        <f>1*D190</f>
        <v>0</v>
      </c>
      <c r="E196" s="7">
        <f>1*E190</f>
        <v>0</v>
      </c>
      <c r="F196" s="392">
        <f t="shared" si="65"/>
        <v>0</v>
      </c>
      <c r="G196" s="136"/>
      <c r="H196" s="120"/>
      <c r="I196" s="409"/>
      <c r="J196" s="120"/>
      <c r="U196" s="829"/>
      <c r="V196" s="830"/>
    </row>
    <row r="197" spans="1:22" ht="15.75" x14ac:dyDescent="0.25">
      <c r="A197" s="7">
        <v>0</v>
      </c>
      <c r="B197" s="824"/>
      <c r="F197" s="833"/>
      <c r="G197" s="136"/>
      <c r="H197" s="120"/>
      <c r="I197" s="409"/>
      <c r="J197" s="120"/>
      <c r="U197" s="829"/>
      <c r="V197" s="830"/>
    </row>
    <row r="198" spans="1:22" ht="15.75" x14ac:dyDescent="0.25">
      <c r="A198" s="7">
        <v>0</v>
      </c>
      <c r="B198" s="824"/>
      <c r="F198" s="833"/>
      <c r="G198" s="136"/>
      <c r="H198" s="120"/>
      <c r="I198" s="409"/>
      <c r="J198" s="120"/>
      <c r="U198" s="829"/>
      <c r="V198" s="830"/>
    </row>
    <row r="199" spans="1:22" ht="15.75" x14ac:dyDescent="0.25">
      <c r="A199" s="7">
        <v>0</v>
      </c>
      <c r="B199" s="824"/>
      <c r="F199" s="833"/>
      <c r="G199" s="136"/>
      <c r="H199" s="120"/>
      <c r="I199" s="409"/>
      <c r="J199" s="120"/>
      <c r="U199" s="829"/>
      <c r="V199" s="830"/>
    </row>
    <row r="200" spans="1:22" ht="15.75" x14ac:dyDescent="0.25">
      <c r="A200" s="822" t="s">
        <v>686</v>
      </c>
      <c r="B200" s="827"/>
      <c r="C200" s="826"/>
      <c r="D200" s="826">
        <f>+H16</f>
        <v>0</v>
      </c>
      <c r="E200" s="826"/>
      <c r="F200" s="317" t="s">
        <v>446</v>
      </c>
      <c r="G200" s="120"/>
      <c r="H200" s="120"/>
      <c r="I200" s="409"/>
      <c r="J200" s="120"/>
      <c r="U200" s="829"/>
      <c r="V200" s="830"/>
    </row>
    <row r="201" spans="1:22" ht="15.75" x14ac:dyDescent="0.25">
      <c r="A201" s="7" t="s">
        <v>709</v>
      </c>
      <c r="B201" s="824">
        <v>1</v>
      </c>
      <c r="C201" s="7">
        <f t="shared" ref="C201:E202" si="66">+$B201*C200</f>
        <v>0</v>
      </c>
      <c r="D201" s="7">
        <f t="shared" si="66"/>
        <v>0</v>
      </c>
      <c r="E201" s="7">
        <f t="shared" si="66"/>
        <v>0</v>
      </c>
      <c r="F201" s="392">
        <f>SUM(C201:E201)</f>
        <v>0</v>
      </c>
      <c r="G201" s="136"/>
      <c r="H201" s="120"/>
      <c r="I201" s="409"/>
      <c r="J201" s="120"/>
      <c r="U201" s="829"/>
      <c r="V201" s="830"/>
    </row>
    <row r="202" spans="1:22" x14ac:dyDescent="0.2">
      <c r="A202" s="7" t="s">
        <v>110</v>
      </c>
      <c r="B202" s="824">
        <v>2</v>
      </c>
      <c r="C202" s="7">
        <f t="shared" si="66"/>
        <v>0</v>
      </c>
      <c r="D202" s="7">
        <f t="shared" si="66"/>
        <v>0</v>
      </c>
      <c r="E202" s="7">
        <f t="shared" si="66"/>
        <v>0</v>
      </c>
      <c r="F202" s="392">
        <f>SUM(C202:E202)</f>
        <v>0</v>
      </c>
      <c r="G202" s="409"/>
      <c r="H202" s="120"/>
      <c r="I202" s="409"/>
      <c r="J202" s="120"/>
      <c r="U202" s="829"/>
      <c r="V202" s="830"/>
    </row>
    <row r="203" spans="1:22" x14ac:dyDescent="0.2">
      <c r="A203" s="7" t="s">
        <v>653</v>
      </c>
      <c r="B203" s="824">
        <v>2</v>
      </c>
      <c r="C203" s="7">
        <f>+$B203*C200</f>
        <v>0</v>
      </c>
      <c r="D203" s="7">
        <f>1*D200</f>
        <v>0</v>
      </c>
      <c r="E203" s="7">
        <f>1*E200</f>
        <v>0</v>
      </c>
      <c r="F203" s="392">
        <f>SUM(C203:E203)</f>
        <v>0</v>
      </c>
      <c r="G203" s="409"/>
      <c r="H203" s="120"/>
      <c r="I203" s="409"/>
      <c r="J203" s="120"/>
      <c r="U203" s="829"/>
      <c r="V203" s="830"/>
    </row>
    <row r="204" spans="1:22" x14ac:dyDescent="0.2">
      <c r="A204" s="7" t="s">
        <v>710</v>
      </c>
      <c r="B204" s="824"/>
      <c r="D204" s="7">
        <f>1*D200</f>
        <v>0</v>
      </c>
      <c r="E204" s="7">
        <f>1*E200</f>
        <v>0</v>
      </c>
      <c r="F204" s="392">
        <f>SUM(C204:E204)</f>
        <v>0</v>
      </c>
      <c r="G204" s="120"/>
      <c r="H204" s="120"/>
      <c r="I204" s="409"/>
      <c r="J204" s="120"/>
      <c r="U204" s="829"/>
      <c r="V204" s="830"/>
    </row>
    <row r="205" spans="1:22" ht="15.75" x14ac:dyDescent="0.25">
      <c r="A205" s="7">
        <v>0</v>
      </c>
      <c r="B205" s="824"/>
      <c r="F205" s="833"/>
      <c r="G205" s="136"/>
      <c r="H205" s="120"/>
      <c r="I205" s="409"/>
      <c r="J205" s="120"/>
      <c r="U205" s="829"/>
      <c r="V205" s="830"/>
    </row>
    <row r="206" spans="1:22" x14ac:dyDescent="0.2">
      <c r="A206" s="7">
        <v>0</v>
      </c>
      <c r="B206" s="824"/>
      <c r="G206" s="409"/>
      <c r="H206" s="120"/>
      <c r="I206" s="409"/>
      <c r="J206" s="120"/>
      <c r="U206" s="829"/>
      <c r="V206" s="830"/>
    </row>
    <row r="207" spans="1:22" ht="15.75" x14ac:dyDescent="0.25">
      <c r="A207" s="822" t="s">
        <v>455</v>
      </c>
      <c r="B207" s="824"/>
      <c r="G207" s="409"/>
      <c r="H207" s="120"/>
      <c r="I207" s="409"/>
      <c r="J207" s="120"/>
      <c r="U207" s="829"/>
      <c r="V207" s="830"/>
    </row>
    <row r="208" spans="1:22" ht="15.75" x14ac:dyDescent="0.25">
      <c r="A208" s="822" t="s">
        <v>454</v>
      </c>
      <c r="B208" s="827"/>
      <c r="C208" s="826"/>
      <c r="D208" s="826">
        <f>+H17</f>
        <v>0</v>
      </c>
      <c r="E208" s="826"/>
      <c r="F208" s="317" t="s">
        <v>446</v>
      </c>
      <c r="G208" s="120"/>
      <c r="H208" s="120"/>
      <c r="I208" s="409"/>
      <c r="J208" s="120"/>
      <c r="U208" s="829"/>
      <c r="V208" s="830"/>
    </row>
    <row r="209" spans="1:22" ht="15.75" x14ac:dyDescent="0.25">
      <c r="A209" s="7" t="s">
        <v>460</v>
      </c>
      <c r="B209" s="824">
        <v>1</v>
      </c>
      <c r="C209" s="7">
        <f>+$B209*C208</f>
        <v>0</v>
      </c>
      <c r="D209" s="7">
        <f>+$B209*D208</f>
        <v>0</v>
      </c>
      <c r="E209" s="7">
        <f>+$B209*E208</f>
        <v>0</v>
      </c>
      <c r="F209" s="392">
        <f t="shared" ref="F209:F214" si="67">SUM(C209:E209)</f>
        <v>0</v>
      </c>
      <c r="G209" s="136"/>
      <c r="H209" s="120"/>
      <c r="I209" s="409"/>
      <c r="J209" s="120"/>
      <c r="U209" s="829"/>
      <c r="V209" s="830"/>
    </row>
    <row r="210" spans="1:22" x14ac:dyDescent="0.2">
      <c r="A210" s="7" t="s">
        <v>721</v>
      </c>
      <c r="B210" s="824">
        <v>3</v>
      </c>
      <c r="C210" s="7">
        <f>+$B210*C208</f>
        <v>0</v>
      </c>
      <c r="D210" s="7">
        <f>+$B210*D208</f>
        <v>0</v>
      </c>
      <c r="E210" s="7">
        <f>+$B210*E208</f>
        <v>0</v>
      </c>
      <c r="F210" s="392">
        <f t="shared" si="67"/>
        <v>0</v>
      </c>
      <c r="G210" s="409"/>
      <c r="H210" s="120"/>
      <c r="I210" s="409"/>
      <c r="J210" s="120"/>
      <c r="U210" s="829"/>
    </row>
    <row r="211" spans="1:22" x14ac:dyDescent="0.2">
      <c r="A211" s="7" t="s">
        <v>673</v>
      </c>
      <c r="B211" s="824">
        <v>8</v>
      </c>
      <c r="C211" s="7">
        <f>+$B211*C208</f>
        <v>0</v>
      </c>
      <c r="D211" s="7">
        <f>+$B211*D208</f>
        <v>0</v>
      </c>
      <c r="E211" s="7">
        <f>+$B211*E208</f>
        <v>0</v>
      </c>
      <c r="F211" s="392">
        <f t="shared" si="67"/>
        <v>0</v>
      </c>
      <c r="G211" s="409"/>
      <c r="H211" s="120"/>
      <c r="I211" s="409"/>
      <c r="J211" s="120"/>
      <c r="U211" s="829"/>
    </row>
    <row r="212" spans="1:22" x14ac:dyDescent="0.2">
      <c r="A212" s="7" t="s">
        <v>708</v>
      </c>
      <c r="B212" s="824">
        <v>1</v>
      </c>
      <c r="C212" s="7">
        <f>+$B212*C208</f>
        <v>0</v>
      </c>
      <c r="D212" s="7">
        <f>+$B212*D208</f>
        <v>0</v>
      </c>
      <c r="E212" s="7">
        <f>+$B212*E208</f>
        <v>0</v>
      </c>
      <c r="F212" s="392">
        <f t="shared" si="67"/>
        <v>0</v>
      </c>
      <c r="G212" s="409"/>
      <c r="H212" s="120"/>
      <c r="I212" s="409"/>
      <c r="J212" s="120"/>
      <c r="U212" s="829"/>
    </row>
    <row r="213" spans="1:22" x14ac:dyDescent="0.2">
      <c r="A213" s="7" t="s">
        <v>628</v>
      </c>
      <c r="B213" s="824">
        <v>1</v>
      </c>
      <c r="C213" s="7">
        <f>+$B213*C208</f>
        <v>0</v>
      </c>
      <c r="D213" s="7">
        <v>0</v>
      </c>
      <c r="E213" s="7">
        <v>0</v>
      </c>
      <c r="F213" s="392">
        <f t="shared" si="67"/>
        <v>0</v>
      </c>
      <c r="G213" s="409"/>
      <c r="H213" s="120"/>
      <c r="I213" s="409"/>
      <c r="J213" s="120"/>
      <c r="U213" s="829"/>
    </row>
    <row r="214" spans="1:22" x14ac:dyDescent="0.2">
      <c r="A214" s="7" t="s">
        <v>653</v>
      </c>
      <c r="B214" s="824"/>
      <c r="C214" s="7">
        <v>0</v>
      </c>
      <c r="D214" s="7">
        <f>1*D208</f>
        <v>0</v>
      </c>
      <c r="E214" s="7">
        <f>1*E208</f>
        <v>0</v>
      </c>
      <c r="F214" s="392">
        <f t="shared" si="67"/>
        <v>0</v>
      </c>
      <c r="G214" s="120"/>
      <c r="H214" s="120"/>
      <c r="I214" s="409"/>
      <c r="J214" s="120"/>
      <c r="U214" s="829"/>
    </row>
    <row r="215" spans="1:22" x14ac:dyDescent="0.2">
      <c r="A215" s="7">
        <v>0</v>
      </c>
      <c r="B215" s="824"/>
      <c r="G215" s="120"/>
      <c r="H215" s="120"/>
      <c r="I215" s="409"/>
      <c r="J215" s="120"/>
    </row>
    <row r="216" spans="1:22" ht="15.75" x14ac:dyDescent="0.25">
      <c r="A216" s="822" t="s">
        <v>686</v>
      </c>
      <c r="B216" s="827"/>
      <c r="C216" s="826"/>
      <c r="D216" s="826">
        <f>+H18</f>
        <v>0</v>
      </c>
      <c r="E216" s="826"/>
      <c r="F216" s="317" t="s">
        <v>446</v>
      </c>
      <c r="G216" s="120"/>
      <c r="H216" s="120"/>
      <c r="I216" s="409"/>
      <c r="J216" s="120"/>
    </row>
    <row r="217" spans="1:22" x14ac:dyDescent="0.2">
      <c r="A217" s="7" t="s">
        <v>712</v>
      </c>
      <c r="B217" s="824">
        <v>1</v>
      </c>
      <c r="C217" s="7">
        <f>+$B217*C216</f>
        <v>0</v>
      </c>
      <c r="D217" s="7">
        <f>+$B217*D216</f>
        <v>0</v>
      </c>
      <c r="E217" s="7">
        <f>+$B217*E216</f>
        <v>0</v>
      </c>
      <c r="F217" s="392">
        <f>SUM(C217:E217)</f>
        <v>0</v>
      </c>
      <c r="G217" s="120"/>
      <c r="H217" s="120"/>
      <c r="I217" s="409"/>
      <c r="J217" s="120"/>
    </row>
    <row r="218" spans="1:22" x14ac:dyDescent="0.2">
      <c r="A218" s="7" t="s">
        <v>110</v>
      </c>
      <c r="B218" s="824">
        <v>4</v>
      </c>
      <c r="C218" s="7">
        <f>+$B218*C216</f>
        <v>0</v>
      </c>
      <c r="D218" s="7">
        <f>+$B218*D216</f>
        <v>0</v>
      </c>
      <c r="E218" s="7">
        <f>+$B218*E216</f>
        <v>0</v>
      </c>
      <c r="F218" s="392">
        <f>SUM(C218:E218)</f>
        <v>0</v>
      </c>
      <c r="G218" s="120"/>
      <c r="H218" s="120"/>
      <c r="I218" s="409"/>
      <c r="J218" s="120"/>
    </row>
    <row r="219" spans="1:22" x14ac:dyDescent="0.2">
      <c r="A219" s="7" t="s">
        <v>653</v>
      </c>
      <c r="B219" s="824">
        <v>2</v>
      </c>
      <c r="C219" s="7">
        <f>+$B219*C216</f>
        <v>0</v>
      </c>
      <c r="D219" s="7">
        <f>1*D216</f>
        <v>0</v>
      </c>
      <c r="E219" s="7">
        <f>1*E216</f>
        <v>0</v>
      </c>
      <c r="F219" s="392">
        <f>SUM(C219:E219)</f>
        <v>0</v>
      </c>
      <c r="G219" s="120"/>
      <c r="H219" s="120"/>
      <c r="I219" s="409"/>
      <c r="J219" s="120"/>
    </row>
    <row r="220" spans="1:22" x14ac:dyDescent="0.2">
      <c r="A220" s="7" t="s">
        <v>710</v>
      </c>
      <c r="B220" s="824"/>
      <c r="C220" s="7">
        <v>0</v>
      </c>
      <c r="D220" s="7">
        <f>1*D216</f>
        <v>0</v>
      </c>
      <c r="E220" s="7">
        <f>1*E216</f>
        <v>0</v>
      </c>
      <c r="F220" s="392">
        <f>SUM(C220:E220)</f>
        <v>0</v>
      </c>
      <c r="G220" s="120"/>
      <c r="H220" s="120"/>
      <c r="I220" s="409"/>
      <c r="J220" s="120"/>
    </row>
    <row r="221" spans="1:22" x14ac:dyDescent="0.2">
      <c r="A221" s="7">
        <v>0</v>
      </c>
      <c r="B221" s="824"/>
      <c r="F221" s="392"/>
      <c r="G221" s="120"/>
      <c r="H221" s="120"/>
      <c r="I221" s="409"/>
      <c r="J221" s="120"/>
    </row>
    <row r="222" spans="1:22" x14ac:dyDescent="0.2">
      <c r="A222" s="7">
        <v>0</v>
      </c>
      <c r="B222" s="824"/>
      <c r="G222" s="120"/>
      <c r="H222" s="120"/>
      <c r="I222" s="409"/>
      <c r="J222" s="120"/>
    </row>
    <row r="223" spans="1:22" ht="15.75" x14ac:dyDescent="0.25">
      <c r="A223" s="7">
        <v>0</v>
      </c>
      <c r="U223" s="822"/>
    </row>
    <row r="224" spans="1:22" ht="15.75" x14ac:dyDescent="0.25">
      <c r="A224" s="7">
        <v>0</v>
      </c>
      <c r="U224" s="822"/>
    </row>
    <row r="225" spans="1:21" ht="15.75" x14ac:dyDescent="0.25">
      <c r="A225" s="7">
        <v>0</v>
      </c>
      <c r="U225" s="822"/>
    </row>
    <row r="226" spans="1:21" ht="15.75" x14ac:dyDescent="0.25">
      <c r="A226" s="7">
        <v>0</v>
      </c>
      <c r="U226" s="822"/>
    </row>
    <row r="227" spans="1:21" ht="15.75" x14ac:dyDescent="0.25">
      <c r="A227" s="7">
        <v>0</v>
      </c>
      <c r="U227" s="822"/>
    </row>
    <row r="228" spans="1:21" ht="15.75" x14ac:dyDescent="0.25">
      <c r="A228" s="7">
        <v>0</v>
      </c>
      <c r="U228" s="822"/>
    </row>
    <row r="229" spans="1:21" x14ac:dyDescent="0.2">
      <c r="A229" s="7">
        <v>0</v>
      </c>
    </row>
    <row r="230" spans="1:21" x14ac:dyDescent="0.2">
      <c r="A230" s="7">
        <v>0</v>
      </c>
    </row>
    <row r="231" spans="1:21" x14ac:dyDescent="0.2">
      <c r="A231" s="7">
        <v>0</v>
      </c>
    </row>
    <row r="232" spans="1:21" x14ac:dyDescent="0.2">
      <c r="A232" s="7">
        <v>0</v>
      </c>
    </row>
    <row r="233" spans="1:21" x14ac:dyDescent="0.2">
      <c r="A233" s="7">
        <v>0</v>
      </c>
    </row>
    <row r="234" spans="1:21" x14ac:dyDescent="0.2">
      <c r="A234" s="7">
        <v>0</v>
      </c>
    </row>
    <row r="235" spans="1:21" x14ac:dyDescent="0.2">
      <c r="A235" s="7">
        <v>0</v>
      </c>
    </row>
    <row r="236" spans="1:21" x14ac:dyDescent="0.2">
      <c r="A236" s="7">
        <v>0</v>
      </c>
    </row>
    <row r="237" spans="1:21" x14ac:dyDescent="0.2">
      <c r="A237" s="7">
        <v>0</v>
      </c>
    </row>
    <row r="238" spans="1:21" x14ac:dyDescent="0.2">
      <c r="A238" s="120">
        <v>0</v>
      </c>
    </row>
    <row r="239" spans="1:21" x14ac:dyDescent="0.2">
      <c r="A239" s="7">
        <v>0</v>
      </c>
    </row>
    <row r="240" spans="1:21" x14ac:dyDescent="0.2">
      <c r="A240" s="7">
        <v>0</v>
      </c>
    </row>
    <row r="241" spans="1:4" x14ac:dyDescent="0.2">
      <c r="A241" s="7">
        <v>0</v>
      </c>
    </row>
    <row r="242" spans="1:4" x14ac:dyDescent="0.2">
      <c r="A242" s="7">
        <v>0</v>
      </c>
    </row>
    <row r="243" spans="1:4" x14ac:dyDescent="0.2">
      <c r="A243" s="7">
        <v>0</v>
      </c>
    </row>
    <row r="244" spans="1:4" x14ac:dyDescent="0.2">
      <c r="A244" s="7">
        <v>0</v>
      </c>
    </row>
    <row r="245" spans="1:4" x14ac:dyDescent="0.2">
      <c r="A245" s="7">
        <v>0</v>
      </c>
    </row>
    <row r="246" spans="1:4" x14ac:dyDescent="0.2">
      <c r="A246" s="7">
        <v>0</v>
      </c>
    </row>
    <row r="247" spans="1:4" x14ac:dyDescent="0.2">
      <c r="A247" s="7">
        <v>0</v>
      </c>
    </row>
    <row r="248" spans="1:4" x14ac:dyDescent="0.2">
      <c r="A248" s="7">
        <v>0</v>
      </c>
    </row>
    <row r="249" spans="1:4" x14ac:dyDescent="0.2">
      <c r="A249" s="7">
        <v>0</v>
      </c>
    </row>
    <row r="250" spans="1:4" x14ac:dyDescent="0.2">
      <c r="A250" s="7">
        <v>0</v>
      </c>
    </row>
    <row r="251" spans="1:4" x14ac:dyDescent="0.2">
      <c r="A251" s="834" t="s">
        <v>704</v>
      </c>
      <c r="B251" s="834" t="s">
        <v>448</v>
      </c>
      <c r="C251" s="835">
        <f>+D174</f>
        <v>0</v>
      </c>
      <c r="D251" s="836" t="s">
        <v>118</v>
      </c>
    </row>
    <row r="252" spans="1:4" x14ac:dyDescent="0.2">
      <c r="A252" s="834" t="s">
        <v>704</v>
      </c>
      <c r="B252" s="834" t="s">
        <v>451</v>
      </c>
      <c r="C252" s="835">
        <f>+E174</f>
        <v>0</v>
      </c>
      <c r="D252" s="836" t="s">
        <v>118</v>
      </c>
    </row>
    <row r="253" spans="1:4" x14ac:dyDescent="0.2">
      <c r="A253" s="834" t="s">
        <v>712</v>
      </c>
      <c r="B253" s="834"/>
      <c r="C253" s="835">
        <f>+F217</f>
        <v>0</v>
      </c>
      <c r="D253" s="836" t="s">
        <v>118</v>
      </c>
    </row>
    <row r="254" spans="1:4" x14ac:dyDescent="0.2">
      <c r="A254" s="834" t="s">
        <v>709</v>
      </c>
      <c r="B254" s="834"/>
      <c r="C254" s="835">
        <f>+F201</f>
        <v>0</v>
      </c>
      <c r="D254" s="836" t="s">
        <v>118</v>
      </c>
    </row>
    <row r="255" spans="1:4" x14ac:dyDescent="0.2">
      <c r="A255" s="834" t="s">
        <v>450</v>
      </c>
      <c r="B255" s="834"/>
      <c r="C255" s="835">
        <f>+I27+I46+I69+I93+I118+I133</f>
        <v>0</v>
      </c>
      <c r="D255" s="836" t="s">
        <v>115</v>
      </c>
    </row>
    <row r="256" spans="1:4" x14ac:dyDescent="0.2">
      <c r="A256" s="834" t="s">
        <v>719</v>
      </c>
      <c r="B256" s="834"/>
      <c r="C256" s="835">
        <f>+I28+I47+I70+I94+D152</f>
        <v>0</v>
      </c>
      <c r="D256" s="836" t="s">
        <v>667</v>
      </c>
    </row>
    <row r="257" spans="1:4" x14ac:dyDescent="0.2">
      <c r="A257" s="834" t="s">
        <v>720</v>
      </c>
      <c r="B257" s="834"/>
      <c r="C257" s="835">
        <f>+I29+I48+I71+I95+F183</f>
        <v>0</v>
      </c>
      <c r="D257" s="836" t="s">
        <v>118</v>
      </c>
    </row>
    <row r="258" spans="1:4" x14ac:dyDescent="0.2">
      <c r="A258" s="834" t="s">
        <v>699</v>
      </c>
      <c r="B258" s="834"/>
      <c r="C258" s="835">
        <f>+D159</f>
        <v>0</v>
      </c>
      <c r="D258" s="836" t="s">
        <v>118</v>
      </c>
    </row>
    <row r="259" spans="1:4" x14ac:dyDescent="0.2">
      <c r="A259" s="834" t="s">
        <v>721</v>
      </c>
      <c r="B259" s="834"/>
      <c r="C259" s="835">
        <f>+F173+F192+F210</f>
        <v>0</v>
      </c>
      <c r="D259" s="836" t="s">
        <v>118</v>
      </c>
    </row>
    <row r="260" spans="1:4" x14ac:dyDescent="0.2">
      <c r="A260" s="834" t="s">
        <v>110</v>
      </c>
      <c r="B260" s="834"/>
      <c r="C260" s="835">
        <f>+I59+I83+I110+I126+I141+F186+F202+F218</f>
        <v>0</v>
      </c>
      <c r="D260" s="836" t="s">
        <v>667</v>
      </c>
    </row>
    <row r="261" spans="1:4" x14ac:dyDescent="0.2">
      <c r="A261" s="834" t="s">
        <v>691</v>
      </c>
      <c r="B261" s="834"/>
      <c r="C261" s="835">
        <f>+I120+I128+I136+I143</f>
        <v>0</v>
      </c>
      <c r="D261" s="836" t="s">
        <v>667</v>
      </c>
    </row>
    <row r="262" spans="1:4" x14ac:dyDescent="0.2">
      <c r="A262" s="834" t="s">
        <v>722</v>
      </c>
      <c r="C262" s="835">
        <f>+I60+I82+I109+I127+I142</f>
        <v>0</v>
      </c>
      <c r="D262" s="836" t="s">
        <v>667</v>
      </c>
    </row>
    <row r="263" spans="1:4" x14ac:dyDescent="0.2">
      <c r="A263" s="834" t="s">
        <v>723</v>
      </c>
      <c r="C263" s="835">
        <f>+I30+I49+I72+I96+D154+F175</f>
        <v>0</v>
      </c>
      <c r="D263" s="836" t="s">
        <v>724</v>
      </c>
    </row>
    <row r="264" spans="1:4" x14ac:dyDescent="0.2">
      <c r="A264" s="834" t="s">
        <v>700</v>
      </c>
      <c r="C264" s="835">
        <f>+D160</f>
        <v>0</v>
      </c>
      <c r="D264" s="836" t="s">
        <v>118</v>
      </c>
    </row>
    <row r="265" spans="1:4" x14ac:dyDescent="0.2">
      <c r="A265" s="834" t="s">
        <v>681</v>
      </c>
      <c r="C265" s="835">
        <f>+I105</f>
        <v>0</v>
      </c>
      <c r="D265" s="836" t="s">
        <v>118</v>
      </c>
    </row>
    <row r="266" spans="1:4" x14ac:dyDescent="0.2">
      <c r="A266" s="834" t="s">
        <v>725</v>
      </c>
      <c r="C266" s="835">
        <f>(+I38+I57+I80+I104)*1.1</f>
        <v>0</v>
      </c>
      <c r="D266" s="836" t="s">
        <v>667</v>
      </c>
    </row>
    <row r="267" spans="1:4" x14ac:dyDescent="0.2">
      <c r="A267" s="834" t="s">
        <v>683</v>
      </c>
      <c r="C267" s="835">
        <f>+I107</f>
        <v>0</v>
      </c>
      <c r="D267" s="836" t="s">
        <v>118</v>
      </c>
    </row>
    <row r="268" spans="1:4" x14ac:dyDescent="0.2">
      <c r="A268" s="834" t="s">
        <v>460</v>
      </c>
      <c r="C268" s="835">
        <f>+F172+F191+F209</f>
        <v>0</v>
      </c>
      <c r="D268" s="836" t="s">
        <v>115</v>
      </c>
    </row>
    <row r="269" spans="1:4" x14ac:dyDescent="0.2">
      <c r="A269" s="834" t="s">
        <v>696</v>
      </c>
      <c r="C269" s="835">
        <f>+D153</f>
        <v>0</v>
      </c>
      <c r="D269" s="836" t="s">
        <v>118</v>
      </c>
    </row>
    <row r="270" spans="1:4" x14ac:dyDescent="0.2">
      <c r="A270" s="834" t="s">
        <v>672</v>
      </c>
      <c r="C270" s="835">
        <f>(+I31+I50+I73+I97+I121+I129+I135+I144+D155+F176)*1.05</f>
        <v>0</v>
      </c>
      <c r="D270" s="836" t="s">
        <v>667</v>
      </c>
    </row>
    <row r="271" spans="1:4" x14ac:dyDescent="0.2">
      <c r="A271" s="834" t="s">
        <v>628</v>
      </c>
      <c r="C271" s="835">
        <f>+F195+F213</f>
        <v>0</v>
      </c>
      <c r="D271" s="836" t="s">
        <v>118</v>
      </c>
    </row>
    <row r="272" spans="1:4" x14ac:dyDescent="0.2">
      <c r="A272" s="834" t="s">
        <v>710</v>
      </c>
      <c r="C272" s="835">
        <f>+F204+F220</f>
        <v>0</v>
      </c>
      <c r="D272" s="836" t="s">
        <v>118</v>
      </c>
    </row>
    <row r="273" spans="1:4" x14ac:dyDescent="0.2">
      <c r="A273" s="834" t="s">
        <v>653</v>
      </c>
      <c r="C273" s="835">
        <f>+F185+F196+F203+F214+F219</f>
        <v>0</v>
      </c>
      <c r="D273" s="836" t="s">
        <v>118</v>
      </c>
    </row>
    <row r="274" spans="1:4" x14ac:dyDescent="0.2">
      <c r="A274" s="834" t="s">
        <v>695</v>
      </c>
      <c r="C274" s="835">
        <f>+D151</f>
        <v>0</v>
      </c>
      <c r="D274" s="836" t="s">
        <v>118</v>
      </c>
    </row>
    <row r="275" spans="1:4" x14ac:dyDescent="0.2">
      <c r="A275" s="834" t="s">
        <v>688</v>
      </c>
      <c r="C275" s="835">
        <f>+I125+I140</f>
        <v>0</v>
      </c>
      <c r="D275" s="836" t="s">
        <v>118</v>
      </c>
    </row>
    <row r="276" spans="1:4" x14ac:dyDescent="0.2">
      <c r="A276" s="834" t="s">
        <v>705</v>
      </c>
      <c r="C276" s="835">
        <f>+I32+I51+I74+I98+D156+F177</f>
        <v>0</v>
      </c>
      <c r="D276" s="836" t="s">
        <v>118</v>
      </c>
    </row>
    <row r="277" spans="1:4" x14ac:dyDescent="0.2">
      <c r="A277" s="834" t="s">
        <v>708</v>
      </c>
      <c r="C277" s="835">
        <f>+F194+F212</f>
        <v>0</v>
      </c>
      <c r="D277" s="836" t="s">
        <v>118</v>
      </c>
    </row>
    <row r="278" spans="1:4" x14ac:dyDescent="0.2">
      <c r="A278" s="834" t="s">
        <v>726</v>
      </c>
      <c r="C278" s="835">
        <f>+F179</f>
        <v>0</v>
      </c>
      <c r="D278" s="836" t="s">
        <v>118</v>
      </c>
    </row>
    <row r="279" spans="1:4" x14ac:dyDescent="0.2">
      <c r="A279" s="834" t="s">
        <v>701</v>
      </c>
      <c r="C279" s="835">
        <f>+D161</f>
        <v>0</v>
      </c>
      <c r="D279" s="836" t="s">
        <v>118</v>
      </c>
    </row>
    <row r="280" spans="1:4" x14ac:dyDescent="0.2">
      <c r="A280" s="834" t="s">
        <v>682</v>
      </c>
      <c r="C280" s="835">
        <f>+I106</f>
        <v>0</v>
      </c>
      <c r="D280" s="836" t="s">
        <v>118</v>
      </c>
    </row>
    <row r="281" spans="1:4" x14ac:dyDescent="0.2">
      <c r="A281" s="834" t="s">
        <v>627</v>
      </c>
      <c r="C281" s="835">
        <f>+I40+I62+I85+I112+F184</f>
        <v>0</v>
      </c>
      <c r="D281" s="836" t="s">
        <v>118</v>
      </c>
    </row>
    <row r="282" spans="1:4" x14ac:dyDescent="0.2">
      <c r="A282" s="834" t="s">
        <v>698</v>
      </c>
      <c r="C282" s="835">
        <f>+D158</f>
        <v>0</v>
      </c>
      <c r="D282" s="836" t="s">
        <v>118</v>
      </c>
    </row>
    <row r="283" spans="1:4" x14ac:dyDescent="0.2">
      <c r="A283" s="834" t="s">
        <v>673</v>
      </c>
      <c r="C283" s="835">
        <f>+I33+I52+I75+I99+I119+I134+D157+F178+F193+F211</f>
        <v>0</v>
      </c>
      <c r="D283" s="836" t="s">
        <v>118</v>
      </c>
    </row>
    <row r="284" spans="1:4" x14ac:dyDescent="0.2">
      <c r="A284" s="834" t="s">
        <v>727</v>
      </c>
      <c r="C284" s="835">
        <f>+I34+I53+I76+I100</f>
        <v>0</v>
      </c>
      <c r="D284" s="836" t="s">
        <v>118</v>
      </c>
    </row>
    <row r="285" spans="1:4" x14ac:dyDescent="0.2">
      <c r="A285" s="834" t="s">
        <v>728</v>
      </c>
      <c r="C285" s="835">
        <f>+I35+I54+I77+I101+F180</f>
        <v>0</v>
      </c>
      <c r="D285" s="836" t="s">
        <v>118</v>
      </c>
    </row>
    <row r="286" spans="1:4" x14ac:dyDescent="0.2">
      <c r="A286" s="834" t="s">
        <v>676</v>
      </c>
      <c r="C286" s="835">
        <f>(+I39+I61+I84+I111+D162)*1.1</f>
        <v>0</v>
      </c>
      <c r="D286" s="836" t="s">
        <v>667</v>
      </c>
    </row>
    <row r="287" spans="1:4" x14ac:dyDescent="0.2">
      <c r="A287" s="834" t="s">
        <v>729</v>
      </c>
      <c r="B287" s="834">
        <v>0.28000000000000003</v>
      </c>
      <c r="C287" s="835">
        <f>+C58</f>
        <v>0</v>
      </c>
      <c r="D287" s="836" t="s">
        <v>118</v>
      </c>
    </row>
    <row r="288" spans="1:4" x14ac:dyDescent="0.2">
      <c r="A288" s="834" t="s">
        <v>729</v>
      </c>
      <c r="B288" s="834">
        <v>0.56000000000000005</v>
      </c>
      <c r="C288" s="835">
        <f>+D58</f>
        <v>0</v>
      </c>
      <c r="D288" s="836" t="s">
        <v>118</v>
      </c>
    </row>
    <row r="289" spans="1:4" x14ac:dyDescent="0.2">
      <c r="A289" s="834" t="s">
        <v>729</v>
      </c>
      <c r="B289" s="834">
        <v>0.7</v>
      </c>
      <c r="C289" s="835">
        <f>+E58</f>
        <v>0</v>
      </c>
      <c r="D289" s="836" t="s">
        <v>118</v>
      </c>
    </row>
    <row r="290" spans="1:4" x14ac:dyDescent="0.2">
      <c r="A290" s="834" t="s">
        <v>729</v>
      </c>
      <c r="B290" s="834">
        <v>0.84</v>
      </c>
      <c r="C290" s="835">
        <f>+F58</f>
        <v>0</v>
      </c>
      <c r="D290" s="836" t="s">
        <v>118</v>
      </c>
    </row>
    <row r="291" spans="1:4" x14ac:dyDescent="0.2">
      <c r="A291" s="834" t="s">
        <v>729</v>
      </c>
      <c r="B291" s="834">
        <v>1.1200000000000001</v>
      </c>
      <c r="C291" s="835">
        <f>+G58</f>
        <v>0</v>
      </c>
      <c r="D291" s="836" t="s">
        <v>118</v>
      </c>
    </row>
    <row r="292" spans="1:4" x14ac:dyDescent="0.2">
      <c r="A292" s="834" t="s">
        <v>729</v>
      </c>
      <c r="B292" s="834">
        <v>1.4</v>
      </c>
      <c r="C292" s="835">
        <f>+H58</f>
        <v>0</v>
      </c>
      <c r="D292" s="836" t="s">
        <v>118</v>
      </c>
    </row>
    <row r="293" spans="1:4" x14ac:dyDescent="0.2">
      <c r="A293" s="834" t="s">
        <v>732</v>
      </c>
      <c r="B293" s="834">
        <v>0.28000000000000003</v>
      </c>
      <c r="C293" s="835">
        <f>+C81</f>
        <v>0</v>
      </c>
      <c r="D293" s="836" t="s">
        <v>118</v>
      </c>
    </row>
    <row r="294" spans="1:4" x14ac:dyDescent="0.2">
      <c r="A294" s="834" t="s">
        <v>732</v>
      </c>
      <c r="B294" s="834">
        <v>0.56000000000000005</v>
      </c>
      <c r="C294" s="835">
        <f>+D81</f>
        <v>0</v>
      </c>
      <c r="D294" s="836" t="s">
        <v>118</v>
      </c>
    </row>
    <row r="295" spans="1:4" x14ac:dyDescent="0.2">
      <c r="A295" s="834" t="s">
        <v>732</v>
      </c>
      <c r="B295" s="834">
        <v>0.7</v>
      </c>
      <c r="C295" s="835">
        <f>+E81</f>
        <v>0</v>
      </c>
      <c r="D295" s="836" t="s">
        <v>118</v>
      </c>
    </row>
    <row r="296" spans="1:4" x14ac:dyDescent="0.2">
      <c r="A296" s="834" t="s">
        <v>732</v>
      </c>
      <c r="B296" s="834">
        <v>0.84</v>
      </c>
      <c r="C296" s="835">
        <f>+F81</f>
        <v>0</v>
      </c>
      <c r="D296" s="836" t="s">
        <v>118</v>
      </c>
    </row>
    <row r="297" spans="1:4" x14ac:dyDescent="0.2">
      <c r="A297" s="834" t="s">
        <v>732</v>
      </c>
      <c r="B297" s="834">
        <v>1.1200000000000001</v>
      </c>
      <c r="C297" s="835">
        <f>+G81</f>
        <v>0</v>
      </c>
      <c r="D297" s="836" t="s">
        <v>118</v>
      </c>
    </row>
    <row r="298" spans="1:4" x14ac:dyDescent="0.2">
      <c r="A298" s="834" t="s">
        <v>732</v>
      </c>
      <c r="B298" s="834">
        <v>1.4</v>
      </c>
      <c r="C298" s="835">
        <f>+H81</f>
        <v>0</v>
      </c>
      <c r="D298" s="836" t="s">
        <v>118</v>
      </c>
    </row>
    <row r="299" spans="1:4" x14ac:dyDescent="0.2">
      <c r="A299" s="834" t="s">
        <v>693</v>
      </c>
      <c r="B299" s="834">
        <v>0.28000000000000003</v>
      </c>
      <c r="C299" s="835">
        <f>+C139</f>
        <v>0</v>
      </c>
      <c r="D299" s="836" t="s">
        <v>118</v>
      </c>
    </row>
    <row r="300" spans="1:4" x14ac:dyDescent="0.2">
      <c r="A300" s="834" t="s">
        <v>693</v>
      </c>
      <c r="B300" s="834">
        <v>0.56000000000000005</v>
      </c>
      <c r="C300" s="835">
        <f>+D139</f>
        <v>0</v>
      </c>
      <c r="D300" s="836" t="s">
        <v>118</v>
      </c>
    </row>
    <row r="301" spans="1:4" x14ac:dyDescent="0.2">
      <c r="A301" s="834" t="s">
        <v>693</v>
      </c>
      <c r="B301" s="834">
        <v>0.7</v>
      </c>
      <c r="C301" s="835">
        <f>+E139</f>
        <v>0</v>
      </c>
      <c r="D301" s="836" t="s">
        <v>118</v>
      </c>
    </row>
    <row r="302" spans="1:4" x14ac:dyDescent="0.2">
      <c r="A302" s="834" t="s">
        <v>693</v>
      </c>
      <c r="B302" s="834">
        <v>0.84</v>
      </c>
      <c r="C302" s="835">
        <f>+F139</f>
        <v>0</v>
      </c>
      <c r="D302" s="836" t="s">
        <v>118</v>
      </c>
    </row>
    <row r="303" spans="1:4" x14ac:dyDescent="0.2">
      <c r="A303" s="834" t="s">
        <v>693</v>
      </c>
      <c r="B303" s="834">
        <v>1.1200000000000001</v>
      </c>
      <c r="C303" s="835">
        <f>+G139</f>
        <v>0</v>
      </c>
      <c r="D303" s="836" t="s">
        <v>118</v>
      </c>
    </row>
    <row r="304" spans="1:4" x14ac:dyDescent="0.2">
      <c r="A304" s="834" t="s">
        <v>693</v>
      </c>
      <c r="B304" s="834">
        <v>1.4</v>
      </c>
      <c r="C304" s="835">
        <f>+H139</f>
        <v>0</v>
      </c>
      <c r="D304" s="836" t="s">
        <v>118</v>
      </c>
    </row>
    <row r="305" spans="1:4" x14ac:dyDescent="0.2">
      <c r="A305" s="834" t="s">
        <v>687</v>
      </c>
      <c r="B305" s="834">
        <v>0.28000000000000003</v>
      </c>
      <c r="C305" s="835">
        <f>+C124</f>
        <v>0</v>
      </c>
      <c r="D305" s="836" t="s">
        <v>118</v>
      </c>
    </row>
    <row r="306" spans="1:4" x14ac:dyDescent="0.2">
      <c r="A306" s="834" t="s">
        <v>687</v>
      </c>
      <c r="B306" s="834">
        <v>0.56000000000000005</v>
      </c>
      <c r="C306" s="835">
        <f>+D124</f>
        <v>0</v>
      </c>
      <c r="D306" s="836" t="s">
        <v>118</v>
      </c>
    </row>
    <row r="307" spans="1:4" x14ac:dyDescent="0.2">
      <c r="A307" s="834" t="s">
        <v>687</v>
      </c>
      <c r="B307" s="834">
        <v>0.7</v>
      </c>
      <c r="C307" s="835">
        <f>+E124</f>
        <v>0</v>
      </c>
      <c r="D307" s="836" t="s">
        <v>118</v>
      </c>
    </row>
    <row r="308" spans="1:4" x14ac:dyDescent="0.2">
      <c r="A308" s="834" t="s">
        <v>687</v>
      </c>
      <c r="B308" s="834">
        <v>0.84</v>
      </c>
      <c r="C308" s="835">
        <f>+F124</f>
        <v>0</v>
      </c>
      <c r="D308" s="836" t="s">
        <v>118</v>
      </c>
    </row>
    <row r="309" spans="1:4" x14ac:dyDescent="0.2">
      <c r="A309" s="834" t="s">
        <v>687</v>
      </c>
      <c r="B309" s="834">
        <v>1.1200000000000001</v>
      </c>
      <c r="C309" s="835">
        <f>+G124</f>
        <v>0</v>
      </c>
      <c r="D309" s="836" t="s">
        <v>118</v>
      </c>
    </row>
    <row r="310" spans="1:4" x14ac:dyDescent="0.2">
      <c r="A310" s="834" t="s">
        <v>687</v>
      </c>
      <c r="B310" s="834">
        <v>1.4</v>
      </c>
      <c r="C310" s="835">
        <f>+H124</f>
        <v>0</v>
      </c>
      <c r="D310" s="836" t="s">
        <v>118</v>
      </c>
    </row>
    <row r="311" spans="1:4" x14ac:dyDescent="0.2">
      <c r="A311" s="834" t="s">
        <v>684</v>
      </c>
      <c r="B311" s="834">
        <v>0.28000000000000003</v>
      </c>
      <c r="C311" s="835">
        <f>+C108</f>
        <v>0</v>
      </c>
      <c r="D311" s="836" t="s">
        <v>118</v>
      </c>
    </row>
    <row r="312" spans="1:4" x14ac:dyDescent="0.2">
      <c r="A312" s="834" t="s">
        <v>684</v>
      </c>
      <c r="B312" s="834">
        <v>0.56000000000000005</v>
      </c>
      <c r="C312" s="835">
        <f>+D108</f>
        <v>0</v>
      </c>
      <c r="D312" s="836" t="s">
        <v>118</v>
      </c>
    </row>
    <row r="313" spans="1:4" x14ac:dyDescent="0.2">
      <c r="A313" s="834" t="s">
        <v>684</v>
      </c>
      <c r="B313" s="834">
        <v>0.7</v>
      </c>
      <c r="C313" s="835">
        <f>+E108</f>
        <v>0</v>
      </c>
      <c r="D313" s="836" t="s">
        <v>118</v>
      </c>
    </row>
    <row r="314" spans="1:4" x14ac:dyDescent="0.2">
      <c r="A314" s="834" t="s">
        <v>684</v>
      </c>
      <c r="B314" s="834">
        <v>0.84</v>
      </c>
      <c r="C314" s="835">
        <f>+F108</f>
        <v>0</v>
      </c>
      <c r="D314" s="836" t="s">
        <v>118</v>
      </c>
    </row>
    <row r="315" spans="1:4" x14ac:dyDescent="0.2">
      <c r="A315" s="834" t="s">
        <v>684</v>
      </c>
      <c r="B315" s="834">
        <v>1.1200000000000001</v>
      </c>
      <c r="C315" s="835">
        <f>+G108</f>
        <v>0</v>
      </c>
      <c r="D315" s="836" t="s">
        <v>118</v>
      </c>
    </row>
    <row r="316" spans="1:4" x14ac:dyDescent="0.2">
      <c r="A316" s="834" t="s">
        <v>684</v>
      </c>
      <c r="B316" s="834">
        <v>1.4</v>
      </c>
      <c r="C316" s="835">
        <f>+H108</f>
        <v>0</v>
      </c>
      <c r="D316" s="836" t="s">
        <v>118</v>
      </c>
    </row>
    <row r="317" spans="1:4" x14ac:dyDescent="0.2">
      <c r="A317" s="834" t="s">
        <v>730</v>
      </c>
      <c r="C317" s="835">
        <f>+I36+I55+I78+I102+F181</f>
        <v>0</v>
      </c>
      <c r="D317" s="836" t="s">
        <v>118</v>
      </c>
    </row>
    <row r="318" spans="1:4" x14ac:dyDescent="0.2">
      <c r="A318" s="834" t="s">
        <v>731</v>
      </c>
      <c r="B318" s="834">
        <v>0.28000000000000003</v>
      </c>
      <c r="C318" s="835">
        <f>+C37+C56+C79+C103</f>
        <v>0</v>
      </c>
      <c r="D318" s="836" t="s">
        <v>118</v>
      </c>
    </row>
    <row r="319" spans="1:4" x14ac:dyDescent="0.2">
      <c r="A319" s="834" t="s">
        <v>731</v>
      </c>
      <c r="B319" s="834">
        <v>0.56000000000000005</v>
      </c>
      <c r="C319" s="835">
        <f>+D37+D56+D79+D103</f>
        <v>0</v>
      </c>
      <c r="D319" s="836" t="s">
        <v>118</v>
      </c>
    </row>
    <row r="320" spans="1:4" x14ac:dyDescent="0.2">
      <c r="A320" s="834" t="s">
        <v>731</v>
      </c>
      <c r="B320" s="834">
        <v>0.7</v>
      </c>
      <c r="C320" s="835">
        <f>+E37+E56+E79+E103</f>
        <v>0</v>
      </c>
      <c r="D320" s="836" t="s">
        <v>118</v>
      </c>
    </row>
    <row r="321" spans="1:4" x14ac:dyDescent="0.2">
      <c r="A321" s="834" t="s">
        <v>731</v>
      </c>
      <c r="B321" s="834">
        <v>0.84</v>
      </c>
      <c r="C321" s="835">
        <f>+F37+F56+F79+F103</f>
        <v>0</v>
      </c>
      <c r="D321" s="836" t="s">
        <v>118</v>
      </c>
    </row>
    <row r="322" spans="1:4" x14ac:dyDescent="0.2">
      <c r="A322" s="834" t="s">
        <v>731</v>
      </c>
      <c r="B322" s="834">
        <v>1.1200000000000001</v>
      </c>
      <c r="C322" s="835">
        <f>+G37+G56+G79+G103</f>
        <v>0</v>
      </c>
      <c r="D322" s="836" t="s">
        <v>118</v>
      </c>
    </row>
    <row r="323" spans="1:4" x14ac:dyDescent="0.2">
      <c r="A323" s="834" t="s">
        <v>731</v>
      </c>
      <c r="B323" s="834">
        <v>1.4</v>
      </c>
      <c r="C323" s="835">
        <f>+H37+H56+H79+H103</f>
        <v>0</v>
      </c>
      <c r="D323" s="836" t="s">
        <v>118</v>
      </c>
    </row>
    <row r="324" spans="1:4" x14ac:dyDescent="0.2">
      <c r="A324" s="834" t="s">
        <v>706</v>
      </c>
      <c r="C324" s="835">
        <f>+F182</f>
        <v>0</v>
      </c>
      <c r="D324" s="836" t="s">
        <v>118</v>
      </c>
    </row>
    <row r="340" spans="1:1" ht="15.75" x14ac:dyDescent="0.25">
      <c r="A340" s="822"/>
    </row>
    <row r="341" spans="1:1" ht="15.75" x14ac:dyDescent="0.25">
      <c r="A341" s="822"/>
    </row>
    <row r="342" spans="1:1" ht="15.75" x14ac:dyDescent="0.25">
      <c r="A342" s="822"/>
    </row>
    <row r="343" spans="1:1" ht="15.75" x14ac:dyDescent="0.25">
      <c r="A343" s="822"/>
    </row>
    <row r="344" spans="1:1" ht="15.75" x14ac:dyDescent="0.25">
      <c r="A344" s="822"/>
    </row>
    <row r="345" spans="1:1" ht="15.75" x14ac:dyDescent="0.25">
      <c r="A345" s="822"/>
    </row>
    <row r="373" spans="1:1" ht="15.75" x14ac:dyDescent="0.25">
      <c r="A373" s="822"/>
    </row>
    <row r="374" spans="1:1" ht="15.75" x14ac:dyDescent="0.25">
      <c r="A374" s="822"/>
    </row>
    <row r="375" spans="1:1" ht="15.75" x14ac:dyDescent="0.25">
      <c r="A375" s="822"/>
    </row>
    <row r="376" spans="1:1" ht="15.75" x14ac:dyDescent="0.25">
      <c r="A376" s="822"/>
    </row>
    <row r="377" spans="1:1" ht="18" x14ac:dyDescent="0.25">
      <c r="A377" s="397"/>
    </row>
    <row r="378" spans="1:1" ht="18" x14ac:dyDescent="0.25">
      <c r="A378" s="397"/>
    </row>
    <row r="387" spans="1:1" ht="15.75" x14ac:dyDescent="0.25">
      <c r="A387" s="822"/>
    </row>
    <row r="388" spans="1:1" ht="15.75" x14ac:dyDescent="0.25">
      <c r="A388" s="822"/>
    </row>
    <row r="389" spans="1:1" ht="15.75" x14ac:dyDescent="0.25">
      <c r="A389" s="822"/>
    </row>
    <row r="390" spans="1:1" ht="15.75" x14ac:dyDescent="0.25">
      <c r="A390" s="822"/>
    </row>
    <row r="391" spans="1:1" ht="15.75" x14ac:dyDescent="0.25">
      <c r="A391" s="822"/>
    </row>
    <row r="392" spans="1:1" ht="15.75" x14ac:dyDescent="0.25">
      <c r="A392" s="822"/>
    </row>
    <row r="393" spans="1:1" ht="15.75" x14ac:dyDescent="0.25">
      <c r="A393" s="822"/>
    </row>
    <row r="394" spans="1:1" ht="15.75" x14ac:dyDescent="0.25">
      <c r="A394" s="822"/>
    </row>
    <row r="395" spans="1:1" ht="15.75" x14ac:dyDescent="0.25">
      <c r="A395" s="822"/>
    </row>
    <row r="411" spans="1:1" ht="18" x14ac:dyDescent="0.25">
      <c r="A411" s="828"/>
    </row>
  </sheetData>
  <sheetProtection password="9291" sheet="1" objects="1" scenarios="1"/>
  <mergeCells count="1">
    <mergeCell ref="U14:AA14"/>
  </mergeCells>
  <phoneticPr fontId="25" type="noConversion"/>
  <pageMargins left="0.75" right="0.75" top="1" bottom="1" header="0" footer="0"/>
  <pageSetup orientation="portrait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U387"/>
  <sheetViews>
    <sheetView topLeftCell="A2" zoomScale="70" workbookViewId="0">
      <selection activeCell="C2" sqref="C2"/>
    </sheetView>
  </sheetViews>
  <sheetFormatPr baseColWidth="10" defaultRowHeight="12.75" x14ac:dyDescent="0.2"/>
  <cols>
    <col min="1" max="1" width="16.42578125" style="409" customWidth="1"/>
    <col min="2" max="2" width="11.28515625" style="120" customWidth="1"/>
    <col min="3" max="16384" width="11.42578125" style="120"/>
  </cols>
  <sheetData>
    <row r="1" spans="1:9" ht="13.5" thickBot="1" x14ac:dyDescent="0.25">
      <c r="A1" s="409">
        <v>0</v>
      </c>
    </row>
    <row r="2" spans="1:9" ht="18.75" thickBot="1" x14ac:dyDescent="0.3">
      <c r="A2" s="487" t="s">
        <v>755</v>
      </c>
      <c r="B2" s="386">
        <v>1</v>
      </c>
      <c r="C2" s="488">
        <f>+Cant.!AO13</f>
        <v>0</v>
      </c>
      <c r="D2" s="488"/>
      <c r="E2" s="488"/>
      <c r="F2" s="486">
        <f>(I53*1)</f>
        <v>0</v>
      </c>
      <c r="G2" s="120" t="s">
        <v>994</v>
      </c>
    </row>
    <row r="3" spans="1:9" x14ac:dyDescent="0.2">
      <c r="A3" s="120">
        <v>0</v>
      </c>
      <c r="B3" s="414" t="s">
        <v>479</v>
      </c>
    </row>
    <row r="4" spans="1:9" ht="18" x14ac:dyDescent="0.25">
      <c r="A4" s="120">
        <v>0</v>
      </c>
      <c r="B4" s="489">
        <v>28</v>
      </c>
      <c r="C4" s="489">
        <v>56</v>
      </c>
      <c r="D4" s="489">
        <v>70</v>
      </c>
      <c r="E4" s="489">
        <v>84</v>
      </c>
      <c r="F4" s="489">
        <v>112</v>
      </c>
      <c r="G4" s="489">
        <v>1.4</v>
      </c>
      <c r="H4" s="489" t="s">
        <v>757</v>
      </c>
    </row>
    <row r="5" spans="1:9" x14ac:dyDescent="0.2">
      <c r="A5" s="490">
        <v>40</v>
      </c>
      <c r="B5" s="491">
        <f>+Cant.!AO16</f>
        <v>0</v>
      </c>
      <c r="C5" s="491">
        <f>+Cant.!AP16</f>
        <v>0</v>
      </c>
      <c r="D5" s="491">
        <f>+Cant.!AQ16</f>
        <v>0</v>
      </c>
      <c r="E5" s="491">
        <f>+Cant.!AR16</f>
        <v>0</v>
      </c>
      <c r="F5" s="491">
        <f>+Cant.!AS16</f>
        <v>0</v>
      </c>
      <c r="G5" s="491">
        <f>+Cant.!AT16</f>
        <v>0</v>
      </c>
      <c r="H5" s="491">
        <f>+Cant.!AU16</f>
        <v>0</v>
      </c>
    </row>
    <row r="6" spans="1:9" x14ac:dyDescent="0.2">
      <c r="A6" s="490">
        <v>28</v>
      </c>
      <c r="B6" s="491">
        <f>+Cant.!AO17</f>
        <v>0</v>
      </c>
      <c r="C6" s="491">
        <f>+Cant.!AP17</f>
        <v>0</v>
      </c>
      <c r="D6" s="491">
        <f>+Cant.!AQ17</f>
        <v>0</v>
      </c>
      <c r="E6" s="491">
        <f>+Cant.!AR17</f>
        <v>0</v>
      </c>
      <c r="F6" s="491">
        <f>+Cant.!AS17</f>
        <v>0</v>
      </c>
      <c r="G6" s="491">
        <f>+Cant.!AT17</f>
        <v>0</v>
      </c>
      <c r="H6" s="491">
        <f>+Cant.!AU17</f>
        <v>0</v>
      </c>
    </row>
    <row r="7" spans="1:9" x14ac:dyDescent="0.2">
      <c r="A7" s="490"/>
      <c r="B7" s="491"/>
      <c r="C7" s="491"/>
      <c r="D7" s="491"/>
      <c r="E7" s="491"/>
      <c r="F7" s="491"/>
      <c r="G7" s="491"/>
      <c r="H7" s="491"/>
    </row>
    <row r="8" spans="1:9" x14ac:dyDescent="0.2">
      <c r="A8" s="492">
        <v>0</v>
      </c>
      <c r="B8" s="493" t="s">
        <v>404</v>
      </c>
    </row>
    <row r="9" spans="1:9" x14ac:dyDescent="0.2">
      <c r="A9" s="492">
        <v>0</v>
      </c>
      <c r="B9" s="414" t="s">
        <v>758</v>
      </c>
    </row>
    <row r="10" spans="1:9" x14ac:dyDescent="0.2">
      <c r="A10" s="490" t="s">
        <v>422</v>
      </c>
      <c r="B10" s="491">
        <f>+Cant.!AO22</f>
        <v>0</v>
      </c>
      <c r="C10" s="491">
        <f>+Cant.!AP22</f>
        <v>0</v>
      </c>
      <c r="D10" s="491">
        <f>+Cant.!AQ22</f>
        <v>0</v>
      </c>
      <c r="E10" s="491">
        <f>+Cant.!AR22</f>
        <v>0</v>
      </c>
      <c r="F10" s="491">
        <f>+Cant.!AS22</f>
        <v>0</v>
      </c>
      <c r="G10" s="491">
        <f>+Cant.!AT22</f>
        <v>0</v>
      </c>
      <c r="H10" s="491">
        <f>+Cant.!AU22</f>
        <v>0</v>
      </c>
    </row>
    <row r="11" spans="1:9" x14ac:dyDescent="0.2">
      <c r="A11" s="118" t="s">
        <v>426</v>
      </c>
      <c r="B11" s="491">
        <f>+Cant.!AO23</f>
        <v>0</v>
      </c>
      <c r="C11" s="491">
        <f>+Cant.!AP23</f>
        <v>0</v>
      </c>
      <c r="D11" s="491">
        <f>+Cant.!AQ23</f>
        <v>0</v>
      </c>
      <c r="E11" s="491">
        <f>+Cant.!AR23</f>
        <v>0</v>
      </c>
      <c r="F11" s="491">
        <f>+Cant.!AS23</f>
        <v>0</v>
      </c>
      <c r="G11" s="491">
        <f>+Cant.!AT23</f>
        <v>0</v>
      </c>
      <c r="H11" s="491">
        <f>+Cant.!AU23</f>
        <v>0</v>
      </c>
      <c r="I11"/>
    </row>
    <row r="12" spans="1:9" x14ac:dyDescent="0.2">
      <c r="A12" s="118" t="s">
        <v>429</v>
      </c>
      <c r="B12" s="491">
        <f>+Cant.!AO24</f>
        <v>0</v>
      </c>
      <c r="C12" s="491">
        <f>+Cant.!AP24</f>
        <v>0</v>
      </c>
      <c r="D12" s="491">
        <f>+Cant.!AQ24</f>
        <v>0</v>
      </c>
      <c r="E12" s="491">
        <f>+Cant.!AR24</f>
        <v>0</v>
      </c>
      <c r="F12" s="491">
        <f>+Cant.!AS24</f>
        <v>0</v>
      </c>
      <c r="G12" s="491">
        <f>+Cant.!AT24</f>
        <v>0</v>
      </c>
      <c r="H12" s="491">
        <f>+Cant.!AU24</f>
        <v>0</v>
      </c>
      <c r="I12"/>
    </row>
    <row r="13" spans="1:9" x14ac:dyDescent="0.2">
      <c r="A13" s="118" t="s">
        <v>759</v>
      </c>
      <c r="B13" s="491">
        <f>+Cant.!AO25</f>
        <v>0</v>
      </c>
      <c r="C13" s="491">
        <f>+Cant.!AP25</f>
        <v>0</v>
      </c>
      <c r="D13" s="491">
        <f>+Cant.!AQ25</f>
        <v>0</v>
      </c>
      <c r="E13" s="491">
        <f>+Cant.!AR25</f>
        <v>0</v>
      </c>
      <c r="F13" s="491">
        <f>+Cant.!AS25</f>
        <v>0</v>
      </c>
      <c r="G13" s="491">
        <f>+Cant.!AT25</f>
        <v>0</v>
      </c>
      <c r="H13" s="491">
        <f>+Cant.!AU25</f>
        <v>0</v>
      </c>
      <c r="I13"/>
    </row>
    <row r="14" spans="1:9" x14ac:dyDescent="0.2">
      <c r="A14" s="118" t="s">
        <v>760</v>
      </c>
      <c r="B14" s="491">
        <f>+Cant.!AO26</f>
        <v>0</v>
      </c>
      <c r="C14" s="491">
        <f>+Cant.!AP26</f>
        <v>0</v>
      </c>
      <c r="D14" s="491">
        <f>+Cant.!AQ26</f>
        <v>0</v>
      </c>
      <c r="E14" s="491">
        <f>+Cant.!AR26</f>
        <v>0</v>
      </c>
      <c r="F14" s="491">
        <f>+Cant.!AS26</f>
        <v>0</v>
      </c>
      <c r="G14" s="491">
        <f>+Cant.!AT26</f>
        <v>0</v>
      </c>
      <c r="H14" s="491">
        <f>+Cant.!AU26</f>
        <v>0</v>
      </c>
      <c r="I14"/>
    </row>
    <row r="15" spans="1:9" x14ac:dyDescent="0.2">
      <c r="A15" s="118" t="s">
        <v>761</v>
      </c>
      <c r="B15" s="494">
        <f>+Cant.!AO27</f>
        <v>0</v>
      </c>
      <c r="C15" s="491">
        <f>+Cant.!AP27</f>
        <v>0</v>
      </c>
      <c r="D15" s="491">
        <f>+Cant.!AQ27</f>
        <v>0</v>
      </c>
      <c r="E15" s="491">
        <f>+Cant.!AR27</f>
        <v>0</v>
      </c>
      <c r="F15" s="491">
        <f>+Cant.!AS27</f>
        <v>0</v>
      </c>
      <c r="G15" s="494">
        <f>+Cant.!AT27</f>
        <v>0</v>
      </c>
      <c r="H15" s="494">
        <f>+Cant.!AU27</f>
        <v>0</v>
      </c>
      <c r="I15"/>
    </row>
    <row r="16" spans="1:9" x14ac:dyDescent="0.2">
      <c r="A16" s="118" t="s">
        <v>762</v>
      </c>
      <c r="B16" s="494">
        <f>+Cant.!AO28</f>
        <v>0</v>
      </c>
      <c r="C16" s="491" t="b">
        <f>+Cant.!AP28</f>
        <v>0</v>
      </c>
      <c r="D16" s="491" t="b">
        <f>+Cant.!AQ28</f>
        <v>0</v>
      </c>
      <c r="E16" s="491" t="b">
        <f>+Cant.!AR28</f>
        <v>0</v>
      </c>
      <c r="F16" s="491" t="b">
        <f>+Cant.!AS28</f>
        <v>0</v>
      </c>
      <c r="G16" s="494">
        <f>+Cant.!AT28</f>
        <v>0</v>
      </c>
      <c r="H16" s="494">
        <f>+Cant.!AU28</f>
        <v>0</v>
      </c>
      <c r="I16"/>
    </row>
    <row r="17" spans="1:21" ht="18" x14ac:dyDescent="0.25">
      <c r="A17" s="414">
        <v>0</v>
      </c>
      <c r="C17" s="404"/>
      <c r="D17"/>
      <c r="E17"/>
      <c r="F17"/>
      <c r="G17"/>
      <c r="H17"/>
      <c r="I17"/>
      <c r="M17" s="225"/>
      <c r="N17" s="225"/>
      <c r="O17" s="225"/>
      <c r="P17" s="225"/>
      <c r="Q17" s="225"/>
      <c r="R17" s="225"/>
      <c r="S17" s="225"/>
      <c r="T17" s="225"/>
      <c r="U17" s="225"/>
    </row>
    <row r="18" spans="1:21" ht="15" customHeight="1" x14ac:dyDescent="0.25">
      <c r="A18" s="414">
        <v>0</v>
      </c>
      <c r="B18" s="414" t="s">
        <v>479</v>
      </c>
      <c r="C18" s="404"/>
      <c r="D18"/>
      <c r="E18"/>
      <c r="F18"/>
      <c r="G18"/>
      <c r="H18"/>
      <c r="I18"/>
      <c r="M18" s="225"/>
      <c r="N18" s="225"/>
      <c r="O18" s="225"/>
      <c r="P18" s="225"/>
      <c r="Q18" s="225"/>
      <c r="R18" s="225"/>
      <c r="S18" s="225"/>
      <c r="T18" s="225"/>
      <c r="U18" s="225"/>
    </row>
    <row r="19" spans="1:21" ht="18.75" thickBot="1" x14ac:dyDescent="0.3">
      <c r="A19" s="414">
        <v>0</v>
      </c>
      <c r="B19" s="489">
        <v>28</v>
      </c>
      <c r="C19" s="489">
        <v>56</v>
      </c>
      <c r="D19" s="489">
        <v>70</v>
      </c>
      <c r="E19" s="489">
        <v>84</v>
      </c>
      <c r="F19" s="489">
        <v>112</v>
      </c>
      <c r="G19" s="489">
        <v>1.4</v>
      </c>
      <c r="H19" s="489" t="s">
        <v>757</v>
      </c>
      <c r="I19"/>
      <c r="M19" s="225"/>
      <c r="N19" s="228"/>
      <c r="O19" s="228"/>
      <c r="P19" s="225"/>
      <c r="Q19" s="225"/>
      <c r="R19" s="225"/>
      <c r="S19" s="225"/>
      <c r="T19" s="225"/>
      <c r="U19" s="225"/>
    </row>
    <row r="20" spans="1:21" ht="15.75" x14ac:dyDescent="0.25">
      <c r="A20" s="495">
        <v>0</v>
      </c>
      <c r="B20" s="496">
        <v>0.34</v>
      </c>
      <c r="C20" s="496">
        <v>0.62</v>
      </c>
      <c r="D20" s="496">
        <v>0.76</v>
      </c>
      <c r="E20" s="496">
        <v>0.9</v>
      </c>
      <c r="F20" s="496">
        <v>1.18</v>
      </c>
      <c r="G20" s="496">
        <v>1.46</v>
      </c>
      <c r="H20" s="496">
        <v>1.43</v>
      </c>
      <c r="I20" s="497"/>
      <c r="M20" s="225"/>
      <c r="N20" s="225"/>
      <c r="O20" s="83"/>
      <c r="P20" s="83"/>
      <c r="Q20" s="83"/>
      <c r="R20" s="83"/>
      <c r="S20" s="225"/>
      <c r="T20" s="225"/>
      <c r="U20" s="225"/>
    </row>
    <row r="21" spans="1:21" x14ac:dyDescent="0.2">
      <c r="A21" s="498">
        <v>40</v>
      </c>
      <c r="B21" s="499">
        <f t="shared" ref="B21:H21" si="0">+B5</f>
        <v>0</v>
      </c>
      <c r="C21" s="499">
        <f t="shared" si="0"/>
        <v>0</v>
      </c>
      <c r="D21" s="499">
        <f t="shared" si="0"/>
        <v>0</v>
      </c>
      <c r="E21" s="499">
        <f t="shared" si="0"/>
        <v>0</v>
      </c>
      <c r="F21" s="499">
        <f t="shared" si="0"/>
        <v>0</v>
      </c>
      <c r="G21" s="499">
        <f>+G5</f>
        <v>0</v>
      </c>
      <c r="H21" s="499">
        <f t="shared" si="0"/>
        <v>0</v>
      </c>
      <c r="I21" s="500"/>
      <c r="M21" s="225"/>
      <c r="N21" s="83"/>
      <c r="O21" s="83"/>
      <c r="P21" s="83"/>
      <c r="Q21" s="83"/>
      <c r="R21" s="83"/>
      <c r="S21" s="83"/>
      <c r="T21" s="83"/>
      <c r="U21" s="225"/>
    </row>
    <row r="22" spans="1:21" ht="12.75" customHeight="1" thickBot="1" x14ac:dyDescent="0.3">
      <c r="A22" s="501">
        <v>0</v>
      </c>
      <c r="B22" s="502">
        <f t="shared" ref="B22:H22" si="1">+(CEILING((B21/3),1)*B20)</f>
        <v>0</v>
      </c>
      <c r="C22" s="502">
        <f t="shared" si="1"/>
        <v>0</v>
      </c>
      <c r="D22" s="502">
        <f t="shared" si="1"/>
        <v>0</v>
      </c>
      <c r="E22" s="502">
        <f t="shared" si="1"/>
        <v>0</v>
      </c>
      <c r="F22" s="502">
        <f t="shared" si="1"/>
        <v>0</v>
      </c>
      <c r="G22" s="502">
        <f t="shared" si="1"/>
        <v>0</v>
      </c>
      <c r="H22" s="502">
        <f t="shared" si="1"/>
        <v>0</v>
      </c>
      <c r="I22" s="503">
        <f>SUM(B22:H22)</f>
        <v>0</v>
      </c>
      <c r="M22" s="318"/>
      <c r="N22" s="83"/>
      <c r="O22" s="83"/>
      <c r="P22" s="83"/>
      <c r="Q22" s="83"/>
      <c r="R22" s="83"/>
      <c r="S22" s="83"/>
      <c r="T22" s="83"/>
      <c r="U22" s="225"/>
    </row>
    <row r="23" spans="1:21" ht="12.75" customHeight="1" x14ac:dyDescent="0.25">
      <c r="A23" s="498">
        <v>28</v>
      </c>
      <c r="B23" s="499">
        <f t="shared" ref="B23:H23" si="2">+B6</f>
        <v>0</v>
      </c>
      <c r="C23" s="499">
        <f t="shared" si="2"/>
        <v>0</v>
      </c>
      <c r="D23" s="499">
        <f t="shared" si="2"/>
        <v>0</v>
      </c>
      <c r="E23" s="499">
        <f t="shared" si="2"/>
        <v>0</v>
      </c>
      <c r="F23" s="499">
        <f t="shared" si="2"/>
        <v>0</v>
      </c>
      <c r="G23" s="499">
        <f>+G6</f>
        <v>0</v>
      </c>
      <c r="H23" s="499">
        <f t="shared" si="2"/>
        <v>0</v>
      </c>
      <c r="I23" s="504"/>
      <c r="M23" s="318"/>
      <c r="N23" s="83"/>
      <c r="O23" s="83"/>
      <c r="P23" s="83"/>
      <c r="Q23" s="83"/>
      <c r="R23" s="83"/>
      <c r="S23" s="83"/>
      <c r="T23" s="83"/>
      <c r="U23" s="225"/>
    </row>
    <row r="24" spans="1:21" ht="12.75" customHeight="1" thickBot="1" x14ac:dyDescent="0.3">
      <c r="A24" s="498">
        <v>0</v>
      </c>
      <c r="B24" s="502">
        <f t="shared" ref="B24:H24" si="3">+(CEILING((B23/4),1)*B20)</f>
        <v>0</v>
      </c>
      <c r="C24" s="502">
        <f t="shared" si="3"/>
        <v>0</v>
      </c>
      <c r="D24" s="502">
        <f t="shared" si="3"/>
        <v>0</v>
      </c>
      <c r="E24" s="502">
        <f t="shared" si="3"/>
        <v>0</v>
      </c>
      <c r="F24" s="502">
        <f t="shared" si="3"/>
        <v>0</v>
      </c>
      <c r="G24" s="502">
        <f t="shared" si="3"/>
        <v>0</v>
      </c>
      <c r="H24" s="502">
        <f t="shared" si="3"/>
        <v>0</v>
      </c>
      <c r="I24" s="504">
        <f>SUM(B24:H24)</f>
        <v>0</v>
      </c>
      <c r="M24" s="318"/>
      <c r="N24" s="83"/>
      <c r="O24" s="83"/>
      <c r="P24" s="83"/>
      <c r="Q24" s="83"/>
      <c r="R24" s="83"/>
      <c r="S24" s="83"/>
      <c r="T24" s="83"/>
      <c r="U24" s="225"/>
    </row>
    <row r="25" spans="1:21" ht="15" customHeight="1" x14ac:dyDescent="0.25">
      <c r="A25" s="505"/>
      <c r="B25" s="506"/>
      <c r="C25" s="506"/>
      <c r="D25" s="506"/>
      <c r="E25" s="506"/>
      <c r="F25" s="506"/>
      <c r="G25" s="506"/>
      <c r="H25" s="506"/>
      <c r="I25" s="507"/>
      <c r="M25" s="225"/>
      <c r="N25" s="228"/>
      <c r="O25" s="228"/>
      <c r="P25" s="225"/>
      <c r="Q25" s="225"/>
      <c r="R25" s="225"/>
      <c r="S25" s="225"/>
      <c r="T25" s="225"/>
      <c r="U25" s="225"/>
    </row>
    <row r="26" spans="1:21" ht="13.5" thickBot="1" x14ac:dyDescent="0.25">
      <c r="A26" s="501"/>
      <c r="B26" s="502"/>
      <c r="C26" s="502"/>
      <c r="D26" s="502"/>
      <c r="E26" s="502"/>
      <c r="F26" s="502"/>
      <c r="G26" s="502"/>
      <c r="H26" s="502"/>
      <c r="I26" s="503"/>
      <c r="M26" s="225"/>
      <c r="N26" s="225"/>
      <c r="O26" s="83"/>
      <c r="P26" s="83"/>
      <c r="Q26" s="83"/>
      <c r="R26" s="83"/>
      <c r="S26" s="225"/>
      <c r="T26" s="225"/>
      <c r="U26" s="225"/>
    </row>
    <row r="27" spans="1:21" ht="15.75" x14ac:dyDescent="0.25">
      <c r="A27" s="414">
        <v>0</v>
      </c>
      <c r="B27" s="493" t="s">
        <v>404</v>
      </c>
      <c r="C27" s="6"/>
      <c r="D27" s="6"/>
      <c r="E27" s="6"/>
      <c r="F27" s="6"/>
      <c r="G27" s="6"/>
      <c r="H27" s="6"/>
      <c r="I27" s="333"/>
      <c r="M27" s="225"/>
      <c r="N27" s="499"/>
      <c r="O27" s="83"/>
      <c r="P27" s="83"/>
      <c r="Q27" s="83"/>
      <c r="R27" s="83"/>
      <c r="S27" s="83"/>
      <c r="T27" s="229"/>
      <c r="U27" s="225"/>
    </row>
    <row r="28" spans="1:21" ht="13.5" thickBot="1" x14ac:dyDescent="0.25">
      <c r="A28" s="414">
        <v>0</v>
      </c>
      <c r="B28" s="414" t="s">
        <v>758</v>
      </c>
      <c r="C28"/>
      <c r="D28"/>
      <c r="E28"/>
      <c r="F28"/>
      <c r="G28"/>
      <c r="H28"/>
      <c r="I28"/>
      <c r="M28" s="225"/>
      <c r="N28" s="83"/>
      <c r="O28" s="83"/>
      <c r="P28" s="83"/>
      <c r="Q28" s="83"/>
      <c r="R28" s="83"/>
      <c r="S28" s="83"/>
      <c r="T28" s="83"/>
      <c r="U28" s="225"/>
    </row>
    <row r="29" spans="1:21" x14ac:dyDescent="0.2">
      <c r="A29" s="495">
        <v>0</v>
      </c>
      <c r="B29" s="508">
        <v>1.9</v>
      </c>
      <c r="C29" s="496">
        <v>1.9</v>
      </c>
      <c r="D29" s="496">
        <v>1.9</v>
      </c>
      <c r="E29" s="496">
        <v>1.9</v>
      </c>
      <c r="F29" s="496">
        <v>1.9</v>
      </c>
      <c r="G29" s="496">
        <v>1.9</v>
      </c>
      <c r="H29" s="496">
        <v>1.9</v>
      </c>
      <c r="I29" s="507"/>
      <c r="M29" s="225"/>
      <c r="N29" s="227"/>
      <c r="O29" s="227"/>
      <c r="P29" s="227"/>
      <c r="Q29" s="227"/>
      <c r="R29" s="227"/>
      <c r="S29" s="227"/>
      <c r="T29" s="227"/>
      <c r="U29" s="225"/>
    </row>
    <row r="30" spans="1:21" x14ac:dyDescent="0.2">
      <c r="A30" s="498" t="s">
        <v>457</v>
      </c>
      <c r="B30" s="499">
        <f>IF(B10-A31-F10&lt;=0,0,B10-A31-F10)</f>
        <v>0</v>
      </c>
      <c r="C30" s="499">
        <f>IF(C10&lt;=E10,0,C10-E10)</f>
        <v>0</v>
      </c>
      <c r="D30" s="499">
        <f>+D10</f>
        <v>0</v>
      </c>
      <c r="E30" s="499">
        <f>+E10</f>
        <v>0</v>
      </c>
      <c r="F30" s="499">
        <f>+F10</f>
        <v>0</v>
      </c>
      <c r="G30" s="499">
        <f>+G10</f>
        <v>0</v>
      </c>
      <c r="H30" s="499">
        <f>+H10</f>
        <v>0</v>
      </c>
      <c r="I30" s="500"/>
      <c r="J30" s="120">
        <v>2</v>
      </c>
      <c r="M30" s="225"/>
      <c r="N30" s="499"/>
      <c r="O30" s="83"/>
      <c r="P30" s="83"/>
      <c r="Q30" s="83"/>
      <c r="R30" s="83"/>
      <c r="S30" s="83"/>
      <c r="T30" s="83"/>
      <c r="U30" s="225"/>
    </row>
    <row r="31" spans="1:21" ht="15" customHeight="1" thickBot="1" x14ac:dyDescent="0.3">
      <c r="A31" s="509">
        <f>IF(E10-D10-C10&lt;=0,0,(E10-D10-C10)*2)</f>
        <v>0</v>
      </c>
      <c r="B31" s="502">
        <f>+(CEILING((B30/4),1)*B29)</f>
        <v>0</v>
      </c>
      <c r="C31" s="502">
        <f>+(CEILING((C30/2),1)*C29)</f>
        <v>0</v>
      </c>
      <c r="D31" s="502">
        <f>+(CEILING((D30/2),1)*D29)</f>
        <v>0</v>
      </c>
      <c r="E31" s="502">
        <f>+E29*E30</f>
        <v>0</v>
      </c>
      <c r="F31" s="502">
        <f>+F29*F30</f>
        <v>0</v>
      </c>
      <c r="G31" s="502">
        <f>+G29*G30</f>
        <v>0</v>
      </c>
      <c r="H31" s="502">
        <f>+H29*H30</f>
        <v>0</v>
      </c>
      <c r="I31" s="503">
        <f>SUM(B31:H31)</f>
        <v>0</v>
      </c>
      <c r="L31" s="120">
        <v>28</v>
      </c>
      <c r="M31" s="499"/>
      <c r="N31" s="228"/>
      <c r="O31" s="228"/>
      <c r="P31" s="225"/>
      <c r="Q31" s="225"/>
      <c r="R31" s="225"/>
      <c r="S31" s="225"/>
      <c r="T31" s="225"/>
      <c r="U31" s="225"/>
    </row>
    <row r="32" spans="1:21" x14ac:dyDescent="0.2">
      <c r="A32" s="495"/>
      <c r="B32" s="508"/>
      <c r="C32" s="496"/>
      <c r="D32" s="496"/>
      <c r="E32" s="496"/>
      <c r="F32" s="496"/>
      <c r="G32" s="496"/>
      <c r="H32" s="496"/>
      <c r="I32" s="507"/>
      <c r="M32" s="225"/>
      <c r="N32" s="225"/>
      <c r="O32" s="83"/>
      <c r="P32" s="83"/>
      <c r="Q32" s="83"/>
      <c r="R32" s="83"/>
      <c r="S32" s="225"/>
      <c r="T32" s="225"/>
      <c r="U32" s="225"/>
    </row>
    <row r="33" spans="1:21" ht="15.75" x14ac:dyDescent="0.25">
      <c r="A33" s="498"/>
      <c r="B33" s="499"/>
      <c r="C33" s="499"/>
      <c r="D33" s="499"/>
      <c r="E33" s="499"/>
      <c r="F33" s="499"/>
      <c r="G33" s="499"/>
      <c r="H33" s="499"/>
      <c r="I33" s="500"/>
      <c r="L33" s="120">
        <v>56</v>
      </c>
      <c r="M33" s="499"/>
      <c r="N33" s="83"/>
      <c r="O33" s="83"/>
      <c r="P33" s="83"/>
      <c r="Q33" s="83"/>
      <c r="R33" s="83"/>
      <c r="S33" s="83"/>
      <c r="T33" s="229"/>
      <c r="U33" s="225"/>
    </row>
    <row r="34" spans="1:21" ht="13.5" thickBot="1" x14ac:dyDescent="0.25">
      <c r="A34" s="509"/>
      <c r="B34" s="502"/>
      <c r="C34" s="502"/>
      <c r="D34" s="502"/>
      <c r="E34" s="502"/>
      <c r="F34" s="502"/>
      <c r="G34" s="502"/>
      <c r="H34" s="502"/>
      <c r="I34" s="503"/>
      <c r="M34" s="225"/>
      <c r="N34" s="83"/>
      <c r="O34" s="83"/>
      <c r="P34" s="83"/>
      <c r="Q34" s="83"/>
      <c r="R34" s="83"/>
      <c r="S34" s="83"/>
      <c r="T34" s="83"/>
      <c r="U34" s="225"/>
    </row>
    <row r="35" spans="1:21" x14ac:dyDescent="0.2">
      <c r="A35" s="495">
        <v>0</v>
      </c>
      <c r="B35" s="508">
        <v>0.85</v>
      </c>
      <c r="C35" s="496">
        <v>0.85</v>
      </c>
      <c r="D35" s="496">
        <v>0.85</v>
      </c>
      <c r="E35" s="496">
        <v>0.85</v>
      </c>
      <c r="F35" s="496">
        <v>0.85</v>
      </c>
      <c r="G35" s="496">
        <v>0.85</v>
      </c>
      <c r="H35" s="496">
        <v>0.85</v>
      </c>
      <c r="I35" s="507"/>
      <c r="M35" s="225"/>
      <c r="N35" s="83"/>
      <c r="O35" s="83"/>
      <c r="P35" s="83"/>
      <c r="Q35" s="83"/>
      <c r="R35" s="83"/>
      <c r="S35" s="83"/>
      <c r="T35" s="83"/>
      <c r="U35" s="225"/>
    </row>
    <row r="36" spans="1:21" x14ac:dyDescent="0.2">
      <c r="A36" s="498" t="s">
        <v>459</v>
      </c>
      <c r="B36" s="499">
        <f>IF(B11-A37-F11&lt;=0,0,B11-A37-F11)</f>
        <v>0</v>
      </c>
      <c r="C36" s="499">
        <f>IF(C11+D11&lt;=E11,0,C11+D11-E11)</f>
        <v>0</v>
      </c>
      <c r="D36" s="499"/>
      <c r="E36" s="499">
        <f>+E11</f>
        <v>0</v>
      </c>
      <c r="F36" s="499">
        <f>+F11</f>
        <v>0</v>
      </c>
      <c r="G36" s="499">
        <f>+G11</f>
        <v>0</v>
      </c>
      <c r="H36" s="499">
        <f>+H11</f>
        <v>0</v>
      </c>
      <c r="I36" s="500"/>
      <c r="J36" s="120">
        <v>2</v>
      </c>
      <c r="M36" s="225"/>
      <c r="N36" s="227"/>
      <c r="O36" s="227"/>
      <c r="P36" s="227"/>
      <c r="Q36" s="227"/>
      <c r="R36" s="227"/>
      <c r="S36" s="227"/>
      <c r="T36" s="227"/>
      <c r="U36" s="225"/>
    </row>
    <row r="37" spans="1:21" ht="13.5" thickBot="1" x14ac:dyDescent="0.25">
      <c r="A37" s="509">
        <f>IF(E11-D11-C11&lt;=0,0,(E11-D11-C11)*2)</f>
        <v>0</v>
      </c>
      <c r="B37" s="502">
        <f>+(CEILING((B36/4),1)*B35)</f>
        <v>0</v>
      </c>
      <c r="C37" s="502">
        <f>+(CEILING((C36/2),1)*C35)</f>
        <v>0</v>
      </c>
      <c r="D37" s="502">
        <f>+(CEILING((D36/2),1)*D35)</f>
        <v>0</v>
      </c>
      <c r="E37" s="502">
        <f>+E35*E36</f>
        <v>0</v>
      </c>
      <c r="F37" s="502">
        <f>+F35*F36</f>
        <v>0</v>
      </c>
      <c r="G37" s="502">
        <f>+G35*G36</f>
        <v>0</v>
      </c>
      <c r="H37" s="502">
        <f>+H35*H36</f>
        <v>0</v>
      </c>
      <c r="I37" s="503">
        <f>SUM(B37:H37)</f>
        <v>0</v>
      </c>
      <c r="M37" s="225"/>
      <c r="N37" s="83"/>
      <c r="O37" s="83"/>
      <c r="P37" s="83"/>
      <c r="Q37" s="83"/>
      <c r="R37" s="83"/>
      <c r="S37" s="83"/>
      <c r="T37" s="83"/>
      <c r="U37" s="225"/>
    </row>
    <row r="38" spans="1:21" x14ac:dyDescent="0.2">
      <c r="A38" s="495">
        <v>0</v>
      </c>
      <c r="B38" s="508">
        <v>0.85</v>
      </c>
      <c r="C38" s="496">
        <v>0.85</v>
      </c>
      <c r="D38" s="496">
        <v>0.85</v>
      </c>
      <c r="E38" s="496">
        <v>0.85</v>
      </c>
      <c r="F38" s="496">
        <v>0.85</v>
      </c>
      <c r="G38" s="496">
        <v>0.85</v>
      </c>
      <c r="H38" s="496">
        <v>0.85</v>
      </c>
      <c r="I38" s="507"/>
      <c r="M38" s="225"/>
      <c r="N38" s="83"/>
      <c r="O38" s="83"/>
      <c r="P38" s="83"/>
      <c r="Q38" s="83"/>
      <c r="R38" s="83"/>
      <c r="S38" s="83"/>
      <c r="T38" s="83"/>
      <c r="U38" s="225"/>
    </row>
    <row r="39" spans="1:21" x14ac:dyDescent="0.2">
      <c r="A39" s="498" t="s">
        <v>763</v>
      </c>
      <c r="B39" s="499">
        <f>IF(B12-A40-F12&lt;=0,0,B12-A40-F12)</f>
        <v>0</v>
      </c>
      <c r="C39" s="499">
        <f>IF(C12+D12&lt;=E12,0,C12+D12-E12)</f>
        <v>0</v>
      </c>
      <c r="D39" s="499"/>
      <c r="E39" s="499">
        <f>+E12</f>
        <v>0</v>
      </c>
      <c r="F39" s="499">
        <f>+F12</f>
        <v>0</v>
      </c>
      <c r="G39" s="499">
        <f>+G12</f>
        <v>0</v>
      </c>
      <c r="H39" s="499">
        <f>+H12</f>
        <v>0</v>
      </c>
      <c r="I39" s="500"/>
      <c r="J39" s="120">
        <v>2</v>
      </c>
      <c r="M39" s="225"/>
      <c r="N39" s="83"/>
      <c r="O39" s="83"/>
      <c r="P39" s="83"/>
      <c r="Q39" s="83"/>
      <c r="R39" s="83"/>
      <c r="S39" s="83"/>
      <c r="T39" s="83"/>
      <c r="U39" s="225"/>
    </row>
    <row r="40" spans="1:21" ht="13.5" thickBot="1" x14ac:dyDescent="0.25">
      <c r="A40" s="510">
        <f>IF(E12-D12-C12&lt;=0,0,(E12-D12-C12)*2)</f>
        <v>0</v>
      </c>
      <c r="B40" s="502">
        <f>+(CEILING((B39/4),1)*B38)</f>
        <v>0</v>
      </c>
      <c r="C40" s="502">
        <f>+(CEILING((C39/2),1)*C38)</f>
        <v>0</v>
      </c>
      <c r="D40" s="502">
        <f>+(CEILING((D39/2),1)*D38)</f>
        <v>0</v>
      </c>
      <c r="E40" s="502">
        <f>+E38*E39</f>
        <v>0</v>
      </c>
      <c r="F40" s="502">
        <f>+F38*F39</f>
        <v>0</v>
      </c>
      <c r="G40" s="502">
        <f>+G38*G39</f>
        <v>0</v>
      </c>
      <c r="H40" s="502">
        <f>+H38*H39</f>
        <v>0</v>
      </c>
      <c r="I40" s="503">
        <f>SUM(B40:H40)</f>
        <v>0</v>
      </c>
      <c r="M40" s="225"/>
      <c r="N40" s="83"/>
      <c r="O40" s="83"/>
      <c r="P40" s="83"/>
      <c r="Q40" s="83"/>
      <c r="R40" s="83"/>
      <c r="S40" s="83"/>
      <c r="T40" s="83"/>
      <c r="U40" s="225"/>
    </row>
    <row r="41" spans="1:21" x14ac:dyDescent="0.2">
      <c r="A41" s="511">
        <f>IF(E13-D13-C13&lt;=0,0,(E13-D13-C13)*2)</f>
        <v>0</v>
      </c>
      <c r="B41" s="496">
        <v>0.34</v>
      </c>
      <c r="C41" s="496">
        <v>0.62</v>
      </c>
      <c r="D41" s="496">
        <v>0.76</v>
      </c>
      <c r="E41" s="496">
        <v>0.9</v>
      </c>
      <c r="F41" s="496">
        <v>1.18</v>
      </c>
      <c r="G41" s="496">
        <v>1.46</v>
      </c>
      <c r="H41" s="496">
        <v>1.43</v>
      </c>
      <c r="I41" s="507"/>
      <c r="M41" s="225"/>
      <c r="N41" s="83"/>
      <c r="O41" s="83"/>
      <c r="P41" s="83"/>
      <c r="Q41" s="83"/>
      <c r="R41" s="83"/>
      <c r="S41" s="83"/>
      <c r="T41" s="83"/>
      <c r="U41" s="225"/>
    </row>
    <row r="42" spans="1:21" ht="18" x14ac:dyDescent="0.25">
      <c r="A42" s="512" t="s">
        <v>106</v>
      </c>
      <c r="B42" s="499">
        <f>IF(B13-A41-F13&lt;=0,0,B13-A41-F13)</f>
        <v>0</v>
      </c>
      <c r="C42" s="499">
        <f>IF(C13+D13&lt;=E13,0,C13+D13-E13)</f>
        <v>0</v>
      </c>
      <c r="D42" s="499"/>
      <c r="E42" s="499">
        <f>+E13</f>
        <v>0</v>
      </c>
      <c r="F42" s="499">
        <f>+F13</f>
        <v>0</v>
      </c>
      <c r="G42" s="499">
        <f>+G13</f>
        <v>0</v>
      </c>
      <c r="H42" s="499">
        <f>+H13</f>
        <v>0</v>
      </c>
      <c r="I42" s="500"/>
      <c r="J42" s="120">
        <v>1.5</v>
      </c>
      <c r="K42" s="120">
        <v>5</v>
      </c>
      <c r="M42" s="225"/>
      <c r="N42" s="228"/>
      <c r="O42" s="228"/>
      <c r="P42" s="225"/>
      <c r="Q42" s="225"/>
      <c r="R42" s="225"/>
      <c r="S42" s="225"/>
      <c r="T42" s="225"/>
      <c r="U42" s="225"/>
    </row>
    <row r="43" spans="1:21" ht="13.5" thickBot="1" x14ac:dyDescent="0.25">
      <c r="A43" s="501" t="s">
        <v>764</v>
      </c>
      <c r="B43" s="502">
        <f t="shared" ref="B43:H43" si="4">+(CEILING((B42/3),1)*B41)</f>
        <v>0</v>
      </c>
      <c r="C43" s="502">
        <f t="shared" si="4"/>
        <v>0</v>
      </c>
      <c r="D43" s="502">
        <f t="shared" si="4"/>
        <v>0</v>
      </c>
      <c r="E43" s="502">
        <f t="shared" si="4"/>
        <v>0</v>
      </c>
      <c r="F43" s="502">
        <f t="shared" si="4"/>
        <v>0</v>
      </c>
      <c r="G43" s="502">
        <f t="shared" si="4"/>
        <v>0</v>
      </c>
      <c r="H43" s="502">
        <f t="shared" si="4"/>
        <v>0</v>
      </c>
      <c r="I43" s="503">
        <f>SUM(B43:H43)</f>
        <v>0</v>
      </c>
      <c r="M43" s="225"/>
      <c r="N43" s="225"/>
      <c r="O43" s="83"/>
      <c r="P43" s="83"/>
      <c r="Q43" s="83"/>
      <c r="R43" s="83"/>
      <c r="S43" s="225"/>
      <c r="T43" s="225"/>
      <c r="U43" s="225"/>
    </row>
    <row r="44" spans="1:21" x14ac:dyDescent="0.2">
      <c r="A44" s="511">
        <f>IF(E14-D14-C14&lt;=0,0,(E14-D14-C14)*2)</f>
        <v>0</v>
      </c>
      <c r="B44" s="508">
        <v>1.07</v>
      </c>
      <c r="C44" s="496">
        <v>1.07</v>
      </c>
      <c r="D44" s="496">
        <v>1.07</v>
      </c>
      <c r="E44" s="496">
        <v>1.07</v>
      </c>
      <c r="F44" s="496">
        <v>1.07</v>
      </c>
      <c r="G44" s="496">
        <v>1.07</v>
      </c>
      <c r="H44" s="496">
        <v>1.07</v>
      </c>
      <c r="I44" s="507"/>
      <c r="M44" s="225"/>
      <c r="N44" s="225"/>
      <c r="O44" s="83"/>
      <c r="P44" s="83"/>
      <c r="Q44" s="83"/>
      <c r="R44" s="83"/>
      <c r="S44" s="225"/>
      <c r="T44" s="225"/>
      <c r="U44" s="225"/>
    </row>
    <row r="45" spans="1:21" x14ac:dyDescent="0.2">
      <c r="A45" s="512" t="s">
        <v>106</v>
      </c>
      <c r="B45" s="499">
        <f>IF(B14-A44-F14&lt;=0,0,B14-A44-F14)</f>
        <v>0</v>
      </c>
      <c r="C45" s="499">
        <f>IF(C14+D14&lt;=E14,0,C14+D14-E14)</f>
        <v>0</v>
      </c>
      <c r="D45" s="499"/>
      <c r="E45" s="499">
        <f>+E14</f>
        <v>0</v>
      </c>
      <c r="F45" s="499">
        <f>+F14</f>
        <v>0</v>
      </c>
      <c r="G45" s="499">
        <f>+G14</f>
        <v>0</v>
      </c>
      <c r="H45" s="499">
        <f>+H14</f>
        <v>0</v>
      </c>
      <c r="I45" s="500"/>
      <c r="M45" s="225"/>
      <c r="N45" s="225"/>
      <c r="O45" s="83"/>
      <c r="P45" s="83"/>
      <c r="Q45" s="83"/>
      <c r="R45" s="83"/>
      <c r="S45" s="225"/>
      <c r="T45" s="225"/>
      <c r="U45" s="225"/>
    </row>
    <row r="46" spans="1:21" ht="13.5" thickBot="1" x14ac:dyDescent="0.25">
      <c r="A46" s="501" t="s">
        <v>765</v>
      </c>
      <c r="B46" s="502">
        <f>+(CEILING((B45/4),1)*B44)</f>
        <v>0</v>
      </c>
      <c r="C46" s="502">
        <f>+(CEILING((C45/2),1)*C44)</f>
        <v>0</v>
      </c>
      <c r="D46" s="502">
        <f>+(CEILING((D45/2),1)*D44)</f>
        <v>0</v>
      </c>
      <c r="E46" s="502">
        <f>+E44*E45</f>
        <v>0</v>
      </c>
      <c r="F46" s="502">
        <f>+F44*F45</f>
        <v>0</v>
      </c>
      <c r="G46" s="502">
        <f>+G44*G45</f>
        <v>0</v>
      </c>
      <c r="H46" s="502">
        <f>+H44*H45</f>
        <v>0</v>
      </c>
      <c r="I46" s="503">
        <f>SUM(B46:H46)</f>
        <v>0</v>
      </c>
      <c r="M46" s="225"/>
      <c r="N46" s="225"/>
      <c r="O46" s="83"/>
      <c r="P46" s="83"/>
      <c r="Q46" s="83"/>
      <c r="R46" s="83"/>
      <c r="S46" s="225"/>
      <c r="T46" s="225"/>
      <c r="U46" s="225"/>
    </row>
    <row r="47" spans="1:21" x14ac:dyDescent="0.2">
      <c r="A47" s="495">
        <v>0</v>
      </c>
      <c r="B47" s="496"/>
      <c r="C47" s="496">
        <v>0.62</v>
      </c>
      <c r="D47" s="496">
        <v>0.76</v>
      </c>
      <c r="E47" s="496">
        <v>0.9</v>
      </c>
      <c r="F47" s="496">
        <v>1.18</v>
      </c>
      <c r="G47" s="496"/>
      <c r="H47" s="496"/>
      <c r="I47" s="507"/>
      <c r="M47" s="225"/>
      <c r="N47" s="225"/>
      <c r="O47" s="83"/>
      <c r="P47" s="83"/>
      <c r="Q47" s="83"/>
      <c r="R47" s="83"/>
      <c r="S47" s="225"/>
      <c r="T47" s="225"/>
      <c r="U47" s="225"/>
    </row>
    <row r="48" spans="1:21" x14ac:dyDescent="0.2">
      <c r="A48" s="512" t="s">
        <v>766</v>
      </c>
      <c r="B48" s="499"/>
      <c r="C48" s="499">
        <f>+C15</f>
        <v>0</v>
      </c>
      <c r="D48" s="499">
        <f>+D15</f>
        <v>0</v>
      </c>
      <c r="E48" s="499">
        <f>+E15</f>
        <v>0</v>
      </c>
      <c r="F48" s="499">
        <f>+F15</f>
        <v>0</v>
      </c>
      <c r="G48" s="499"/>
      <c r="H48" s="499"/>
      <c r="I48" s="500"/>
      <c r="M48" s="225"/>
      <c r="N48" s="225"/>
      <c r="O48" s="83"/>
      <c r="P48" s="83"/>
      <c r="Q48" s="83"/>
      <c r="R48" s="83"/>
      <c r="S48" s="225"/>
      <c r="T48" s="225"/>
      <c r="U48" s="225"/>
    </row>
    <row r="49" spans="1:21" ht="13.5" thickBot="1" x14ac:dyDescent="0.25">
      <c r="A49" s="513">
        <v>0</v>
      </c>
      <c r="B49" s="514"/>
      <c r="C49" s="514">
        <f>+(CEILING((C48/3),1)*C47)</f>
        <v>0</v>
      </c>
      <c r="D49" s="514">
        <f>+(CEILING((D48/3),1)*D47)</f>
        <v>0</v>
      </c>
      <c r="E49" s="514">
        <f>+(CEILING((E48/3),1)*E47)</f>
        <v>0</v>
      </c>
      <c r="F49" s="514">
        <f>+(CEILING((F48/3),1)*F47)</f>
        <v>0</v>
      </c>
      <c r="G49" s="514"/>
      <c r="H49" s="502"/>
      <c r="I49" s="503">
        <f>SUM(B49:H49)</f>
        <v>0</v>
      </c>
      <c r="M49" s="225"/>
      <c r="N49" s="225"/>
      <c r="O49" s="83"/>
      <c r="P49" s="83"/>
      <c r="Q49" s="83"/>
      <c r="R49" s="83"/>
      <c r="S49" s="225"/>
      <c r="T49" s="225"/>
      <c r="U49" s="225"/>
    </row>
    <row r="50" spans="1:21" x14ac:dyDescent="0.2">
      <c r="A50" s="495">
        <v>0</v>
      </c>
      <c r="B50" s="508"/>
      <c r="C50" s="496">
        <v>0.62</v>
      </c>
      <c r="D50" s="496">
        <v>0.76</v>
      </c>
      <c r="E50" s="496">
        <v>0.9</v>
      </c>
      <c r="F50" s="496">
        <v>1.18</v>
      </c>
      <c r="G50" s="496"/>
      <c r="H50" s="496"/>
      <c r="I50" s="507"/>
      <c r="M50" s="225"/>
      <c r="N50" s="225"/>
      <c r="O50" s="83"/>
      <c r="P50" s="83"/>
      <c r="Q50" s="83"/>
      <c r="R50" s="83"/>
      <c r="S50" s="225"/>
      <c r="T50" s="225"/>
      <c r="U50" s="225"/>
    </row>
    <row r="51" spans="1:21" x14ac:dyDescent="0.2">
      <c r="A51" s="512" t="s">
        <v>767</v>
      </c>
      <c r="B51" s="515"/>
      <c r="C51" s="499" t="b">
        <f>+C16</f>
        <v>0</v>
      </c>
      <c r="D51" s="499" t="b">
        <f>+D16</f>
        <v>0</v>
      </c>
      <c r="E51" s="499" t="b">
        <f>+E16</f>
        <v>0</v>
      </c>
      <c r="F51" s="499" t="b">
        <f>+F16</f>
        <v>0</v>
      </c>
      <c r="G51" s="499"/>
      <c r="H51" s="499"/>
      <c r="I51" s="500"/>
      <c r="M51" s="225"/>
      <c r="N51" s="225"/>
      <c r="O51" s="83"/>
      <c r="P51" s="83"/>
      <c r="Q51" s="83"/>
      <c r="R51" s="83"/>
      <c r="S51" s="225"/>
      <c r="T51" s="225"/>
      <c r="U51" s="225"/>
    </row>
    <row r="52" spans="1:21" ht="13.5" thickBot="1" x14ac:dyDescent="0.25">
      <c r="A52" s="513">
        <v>0</v>
      </c>
      <c r="B52" s="516"/>
      <c r="C52" s="514">
        <f>+(CEILING((C51/5),1)*C50)</f>
        <v>0</v>
      </c>
      <c r="D52" s="514">
        <f>+(CEILING((D51/5),1)*D50)</f>
        <v>0</v>
      </c>
      <c r="E52" s="514">
        <f>+(CEILING((E51/5),1)*E50)</f>
        <v>0</v>
      </c>
      <c r="F52" s="514">
        <f>+(CEILING((F51/5),1)*F50)</f>
        <v>0</v>
      </c>
      <c r="G52" s="514"/>
      <c r="H52" s="502"/>
      <c r="I52" s="503">
        <f>SUM(B52:H52)</f>
        <v>0</v>
      </c>
      <c r="M52" s="225"/>
      <c r="N52" s="225"/>
      <c r="O52" s="83"/>
      <c r="P52" s="83"/>
      <c r="Q52" s="83"/>
      <c r="R52" s="83"/>
      <c r="S52" s="225"/>
      <c r="T52" s="225"/>
      <c r="U52" s="225"/>
    </row>
    <row r="53" spans="1:21" ht="13.5" thickBot="1" x14ac:dyDescent="0.25">
      <c r="A53" s="414">
        <v>0</v>
      </c>
      <c r="B53" s="333"/>
      <c r="C53" s="333"/>
      <c r="D53" s="333"/>
      <c r="E53" s="333"/>
      <c r="F53" s="333"/>
      <c r="G53" s="333"/>
      <c r="H53" s="333"/>
      <c r="I53" s="517">
        <f>SUM(I22:I46)</f>
        <v>0</v>
      </c>
      <c r="M53" s="225"/>
      <c r="N53" s="225"/>
      <c r="O53" s="83"/>
      <c r="P53" s="83"/>
      <c r="Q53" s="83"/>
      <c r="R53" s="83"/>
      <c r="S53" s="225"/>
      <c r="T53" s="225"/>
      <c r="U53" s="225"/>
    </row>
    <row r="54" spans="1:21" x14ac:dyDescent="0.2">
      <c r="A54" s="414">
        <v>0</v>
      </c>
      <c r="B54" s="333"/>
      <c r="C54" s="333"/>
      <c r="D54" s="333"/>
      <c r="E54" s="333"/>
      <c r="F54" s="333"/>
      <c r="G54" s="333"/>
      <c r="H54" s="333"/>
      <c r="I54" s="333"/>
      <c r="M54" s="225"/>
      <c r="N54" s="225"/>
      <c r="O54" s="83"/>
      <c r="P54" s="83"/>
      <c r="Q54" s="83"/>
      <c r="R54" s="83"/>
      <c r="S54" s="225"/>
      <c r="T54" s="225"/>
      <c r="U54" s="225"/>
    </row>
    <row r="55" spans="1:21" ht="13.5" thickBot="1" x14ac:dyDescent="0.25">
      <c r="A55" s="400">
        <v>0</v>
      </c>
      <c r="B55" s="227"/>
      <c r="C55" s="227"/>
      <c r="D55" s="227"/>
      <c r="E55" s="227"/>
      <c r="F55" s="227"/>
      <c r="G55" s="227"/>
      <c r="H55" s="227"/>
      <c r="I55" s="225"/>
      <c r="M55" s="225"/>
      <c r="N55" s="225"/>
      <c r="O55" s="83"/>
      <c r="P55" s="83"/>
      <c r="Q55" s="83"/>
      <c r="R55" s="83"/>
      <c r="S55" s="225"/>
      <c r="T55" s="225"/>
      <c r="U55" s="225"/>
    </row>
    <row r="56" spans="1:21" ht="18.75" thickBot="1" x14ac:dyDescent="0.3">
      <c r="A56" s="487" t="s">
        <v>755</v>
      </c>
      <c r="B56" s="386">
        <v>2</v>
      </c>
      <c r="C56" s="488">
        <f>+Cant.!AO33</f>
        <v>0</v>
      </c>
      <c r="D56" s="488"/>
      <c r="E56" s="488"/>
      <c r="F56" s="486">
        <f>(I107*1)</f>
        <v>0</v>
      </c>
      <c r="G56" s="120" t="s">
        <v>994</v>
      </c>
      <c r="M56" s="225"/>
      <c r="N56" s="83"/>
      <c r="O56" s="83"/>
      <c r="P56" s="83"/>
      <c r="Q56" s="83"/>
      <c r="R56" s="83"/>
      <c r="S56" s="83"/>
      <c r="T56" s="229"/>
      <c r="U56" s="225"/>
    </row>
    <row r="57" spans="1:21" x14ac:dyDescent="0.2">
      <c r="A57" s="120">
        <v>0</v>
      </c>
      <c r="B57" s="414" t="s">
        <v>479</v>
      </c>
      <c r="M57" s="225"/>
      <c r="N57" s="83"/>
      <c r="O57" s="83"/>
      <c r="P57" s="83"/>
      <c r="Q57" s="83"/>
      <c r="R57" s="83"/>
      <c r="S57" s="83"/>
      <c r="T57" s="83"/>
      <c r="U57" s="225"/>
    </row>
    <row r="58" spans="1:21" ht="18" x14ac:dyDescent="0.25">
      <c r="A58" s="120">
        <v>0</v>
      </c>
      <c r="B58" s="489">
        <v>28</v>
      </c>
      <c r="C58" s="489">
        <v>56</v>
      </c>
      <c r="D58" s="489">
        <v>70</v>
      </c>
      <c r="E58" s="489">
        <v>84</v>
      </c>
      <c r="F58" s="489">
        <v>112</v>
      </c>
      <c r="G58" s="489">
        <v>1.4</v>
      </c>
      <c r="H58" s="489" t="s">
        <v>757</v>
      </c>
      <c r="M58" s="225"/>
      <c r="N58" s="83"/>
      <c r="O58" s="83"/>
      <c r="P58" s="83"/>
      <c r="Q58" s="83"/>
      <c r="R58" s="83"/>
      <c r="S58" s="83"/>
      <c r="T58" s="83"/>
      <c r="U58" s="225"/>
    </row>
    <row r="59" spans="1:21" x14ac:dyDescent="0.2">
      <c r="A59" s="490">
        <v>40</v>
      </c>
      <c r="B59" s="491">
        <f>+Cant.!AO37</f>
        <v>0</v>
      </c>
      <c r="C59" s="491">
        <f>+Cant.!AP37</f>
        <v>0</v>
      </c>
      <c r="D59" s="491">
        <f>+Cant.!AQ37</f>
        <v>0</v>
      </c>
      <c r="E59" s="491">
        <f>+Cant.!AR37</f>
        <v>0</v>
      </c>
      <c r="F59" s="491">
        <f>+Cant.!AS37</f>
        <v>0</v>
      </c>
      <c r="G59" s="491">
        <f>+Cant.!AT37</f>
        <v>0</v>
      </c>
      <c r="H59" s="491">
        <f>+Cant.!AU37</f>
        <v>0</v>
      </c>
      <c r="M59" s="225"/>
      <c r="N59" s="227"/>
      <c r="O59" s="227"/>
      <c r="P59" s="227"/>
      <c r="Q59" s="227"/>
      <c r="R59" s="227"/>
      <c r="S59" s="227"/>
      <c r="T59" s="227"/>
      <c r="U59" s="225"/>
    </row>
    <row r="60" spans="1:21" x14ac:dyDescent="0.2">
      <c r="A60" s="490">
        <v>28</v>
      </c>
      <c r="B60" s="491">
        <f>+Cant.!AO38</f>
        <v>0</v>
      </c>
      <c r="C60" s="491">
        <f>+Cant.!AP38</f>
        <v>0</v>
      </c>
      <c r="D60" s="491">
        <f>+Cant.!AQ38</f>
        <v>0</v>
      </c>
      <c r="E60" s="491">
        <f>+Cant.!AR38</f>
        <v>0</v>
      </c>
      <c r="F60" s="491">
        <f>+Cant.!AS38</f>
        <v>0</v>
      </c>
      <c r="G60" s="491">
        <f>+Cant.!AT38</f>
        <v>0</v>
      </c>
      <c r="H60" s="491">
        <f>+Cant.!AU38</f>
        <v>0</v>
      </c>
      <c r="M60" s="225"/>
      <c r="N60" s="225"/>
      <c r="O60" s="225"/>
      <c r="P60" s="225"/>
      <c r="Q60" s="225"/>
      <c r="R60" s="225"/>
      <c r="S60" s="225"/>
      <c r="T60" s="225"/>
      <c r="U60" s="225"/>
    </row>
    <row r="61" spans="1:21" x14ac:dyDescent="0.2">
      <c r="A61" s="490"/>
      <c r="B61" s="491"/>
      <c r="C61" s="491"/>
      <c r="D61" s="491"/>
      <c r="E61" s="491"/>
      <c r="F61" s="491"/>
      <c r="G61" s="491"/>
      <c r="H61" s="491"/>
      <c r="M61" s="225"/>
      <c r="N61" s="225"/>
      <c r="O61" s="225"/>
      <c r="P61" s="225"/>
      <c r="Q61" s="225"/>
      <c r="R61" s="225"/>
      <c r="S61" s="225"/>
      <c r="T61" s="225"/>
      <c r="U61" s="225"/>
    </row>
    <row r="62" spans="1:21" x14ac:dyDescent="0.2">
      <c r="A62" s="492">
        <v>0</v>
      </c>
      <c r="B62" s="493" t="s">
        <v>404</v>
      </c>
      <c r="M62" s="225"/>
      <c r="N62" s="225"/>
      <c r="O62" s="225"/>
      <c r="P62" s="225"/>
      <c r="Q62" s="225"/>
      <c r="R62" s="225"/>
      <c r="S62" s="225"/>
      <c r="T62" s="225"/>
      <c r="U62" s="225"/>
    </row>
    <row r="63" spans="1:21" x14ac:dyDescent="0.2">
      <c r="A63" s="492">
        <v>0</v>
      </c>
      <c r="B63" s="414" t="s">
        <v>758</v>
      </c>
      <c r="M63" s="225"/>
      <c r="N63" s="225"/>
      <c r="O63" s="225"/>
      <c r="P63" s="225"/>
      <c r="Q63" s="225"/>
      <c r="R63" s="225"/>
      <c r="S63" s="225"/>
      <c r="T63" s="225"/>
      <c r="U63" s="225"/>
    </row>
    <row r="64" spans="1:21" x14ac:dyDescent="0.2">
      <c r="A64" s="490" t="s">
        <v>422</v>
      </c>
      <c r="B64" s="491">
        <f>+Cant.!AO43</f>
        <v>0</v>
      </c>
      <c r="C64" s="491">
        <f>+Cant.!AP43</f>
        <v>0</v>
      </c>
      <c r="D64" s="491">
        <f>+Cant.!AQ43</f>
        <v>0</v>
      </c>
      <c r="E64" s="491">
        <f>+Cant.!AR43</f>
        <v>0</v>
      </c>
      <c r="F64" s="491">
        <f>+Cant.!AS43</f>
        <v>0</v>
      </c>
      <c r="G64" s="491">
        <f>+Cant.!AT43</f>
        <v>0</v>
      </c>
      <c r="H64" s="491">
        <f>+Cant.!AU43</f>
        <v>0</v>
      </c>
      <c r="M64" s="225"/>
      <c r="N64" s="225"/>
      <c r="O64" s="225"/>
      <c r="P64" s="225"/>
      <c r="Q64" s="225"/>
      <c r="R64" s="225"/>
      <c r="S64" s="225"/>
      <c r="T64" s="225"/>
      <c r="U64" s="225"/>
    </row>
    <row r="65" spans="1:21" x14ac:dyDescent="0.2">
      <c r="A65" s="118" t="s">
        <v>426</v>
      </c>
      <c r="B65" s="491">
        <f>+Cant.!AO44</f>
        <v>0</v>
      </c>
      <c r="C65" s="491">
        <f>+Cant.!AP44</f>
        <v>0</v>
      </c>
      <c r="D65" s="491">
        <f>+Cant.!AQ44</f>
        <v>0</v>
      </c>
      <c r="E65" s="491">
        <f>+Cant.!AR44</f>
        <v>0</v>
      </c>
      <c r="F65" s="491">
        <f>+Cant.!AS44</f>
        <v>0</v>
      </c>
      <c r="G65" s="491">
        <f>+Cant.!AT44</f>
        <v>0</v>
      </c>
      <c r="H65" s="491">
        <f>+Cant.!AU44</f>
        <v>0</v>
      </c>
      <c r="I65"/>
      <c r="M65" s="225"/>
      <c r="N65" s="225"/>
      <c r="O65" s="225"/>
      <c r="P65" s="225"/>
      <c r="Q65" s="225"/>
      <c r="R65" s="225"/>
      <c r="S65" s="225"/>
      <c r="T65" s="225"/>
      <c r="U65" s="225"/>
    </row>
    <row r="66" spans="1:21" x14ac:dyDescent="0.2">
      <c r="A66" s="118" t="s">
        <v>429</v>
      </c>
      <c r="B66" s="491">
        <f>+Cant.!AO45</f>
        <v>0</v>
      </c>
      <c r="C66" s="491">
        <f>+Cant.!AP45</f>
        <v>0</v>
      </c>
      <c r="D66" s="491">
        <f>+Cant.!AQ45</f>
        <v>0</v>
      </c>
      <c r="E66" s="491">
        <f>+Cant.!AR45</f>
        <v>0</v>
      </c>
      <c r="F66" s="491">
        <f>+Cant.!AS45</f>
        <v>0</v>
      </c>
      <c r="G66" s="491">
        <f>+Cant.!AT45</f>
        <v>0</v>
      </c>
      <c r="H66" s="491">
        <f>+Cant.!AU45</f>
        <v>0</v>
      </c>
      <c r="I66"/>
      <c r="M66" s="225"/>
      <c r="N66" s="225"/>
      <c r="O66" s="225"/>
      <c r="P66" s="225"/>
      <c r="Q66" s="225"/>
      <c r="R66" s="225"/>
      <c r="S66" s="225"/>
      <c r="T66" s="225"/>
      <c r="U66" s="225"/>
    </row>
    <row r="67" spans="1:21" x14ac:dyDescent="0.2">
      <c r="A67" s="118" t="s">
        <v>759</v>
      </c>
      <c r="B67" s="491">
        <f>+Cant.!AO46</f>
        <v>0</v>
      </c>
      <c r="C67" s="491">
        <f>+Cant.!AP46</f>
        <v>0</v>
      </c>
      <c r="D67" s="491">
        <f>+Cant.!AQ46</f>
        <v>0</v>
      </c>
      <c r="E67" s="491">
        <f>+Cant.!AR46</f>
        <v>0</v>
      </c>
      <c r="F67" s="491">
        <f>+Cant.!AS46</f>
        <v>0</v>
      </c>
      <c r="G67" s="491">
        <f>+Cant.!AT46</f>
        <v>0</v>
      </c>
      <c r="H67" s="491">
        <f>+Cant.!AU46</f>
        <v>0</v>
      </c>
      <c r="I67"/>
      <c r="M67" s="225"/>
      <c r="N67" s="225"/>
      <c r="O67" s="225"/>
      <c r="P67" s="225"/>
      <c r="Q67" s="225"/>
      <c r="R67" s="225"/>
      <c r="S67" s="225"/>
      <c r="T67" s="225"/>
      <c r="U67" s="225"/>
    </row>
    <row r="68" spans="1:21" x14ac:dyDescent="0.2">
      <c r="A68" s="118" t="s">
        <v>760</v>
      </c>
      <c r="B68" s="491">
        <f>+Cant.!AO47</f>
        <v>0</v>
      </c>
      <c r="C68" s="491">
        <f>+Cant.!AP47</f>
        <v>0</v>
      </c>
      <c r="D68" s="491">
        <f>+Cant.!AQ47</f>
        <v>0</v>
      </c>
      <c r="E68" s="491">
        <f>+Cant.!AR47</f>
        <v>0</v>
      </c>
      <c r="F68" s="491">
        <f>+Cant.!AS47</f>
        <v>0</v>
      </c>
      <c r="G68" s="491">
        <f>+Cant.!AT47</f>
        <v>0</v>
      </c>
      <c r="H68" s="491">
        <f>+Cant.!AU47</f>
        <v>0</v>
      </c>
      <c r="I68"/>
      <c r="M68" s="225"/>
      <c r="N68" s="225"/>
      <c r="O68" s="225"/>
      <c r="P68" s="225"/>
      <c r="Q68" s="225"/>
      <c r="R68" s="225"/>
      <c r="S68" s="225"/>
      <c r="T68" s="225"/>
      <c r="U68" s="225"/>
    </row>
    <row r="69" spans="1:21" x14ac:dyDescent="0.2">
      <c r="A69" s="118" t="s">
        <v>761</v>
      </c>
      <c r="B69" s="494">
        <f>+Cant.!AO48</f>
        <v>0</v>
      </c>
      <c r="C69" s="491">
        <f>+Cant.!AP48</f>
        <v>0</v>
      </c>
      <c r="D69" s="491">
        <f>+Cant.!AQ48</f>
        <v>0</v>
      </c>
      <c r="E69" s="491">
        <f>+Cant.!AR48</f>
        <v>0</v>
      </c>
      <c r="F69" s="491">
        <f>+Cant.!AS48</f>
        <v>0</v>
      </c>
      <c r="G69" s="494">
        <f>+Cant.!AT48</f>
        <v>0</v>
      </c>
      <c r="H69" s="494">
        <f>+Cant.!AU48</f>
        <v>0</v>
      </c>
      <c r="I69"/>
      <c r="M69" s="225"/>
      <c r="N69" s="225"/>
      <c r="O69" s="225"/>
      <c r="P69" s="225"/>
      <c r="Q69" s="225"/>
      <c r="R69" s="225"/>
      <c r="S69" s="225"/>
      <c r="T69" s="225"/>
      <c r="U69" s="225"/>
    </row>
    <row r="70" spans="1:21" x14ac:dyDescent="0.2">
      <c r="A70" s="118" t="s">
        <v>762</v>
      </c>
      <c r="B70" s="494">
        <f>+Cant.!AO49</f>
        <v>0</v>
      </c>
      <c r="C70" s="491" t="b">
        <f>+Cant.!AP49</f>
        <v>0</v>
      </c>
      <c r="D70" s="491" t="b">
        <f>+Cant.!AQ49</f>
        <v>0</v>
      </c>
      <c r="E70" s="491" t="b">
        <f>+Cant.!AR49</f>
        <v>0</v>
      </c>
      <c r="F70" s="491" t="b">
        <f>+Cant.!AS49</f>
        <v>0</v>
      </c>
      <c r="G70" s="494">
        <f>+Cant.!AT49</f>
        <v>0</v>
      </c>
      <c r="H70" s="494">
        <f>+Cant.!AU49</f>
        <v>0</v>
      </c>
      <c r="I70"/>
    </row>
    <row r="71" spans="1:21" ht="18" x14ac:dyDescent="0.25">
      <c r="A71" s="414">
        <v>0</v>
      </c>
      <c r="C71" s="404"/>
      <c r="D71"/>
      <c r="E71"/>
      <c r="F71"/>
      <c r="G71"/>
      <c r="H71"/>
      <c r="I71"/>
    </row>
    <row r="72" spans="1:21" ht="18" x14ac:dyDescent="0.25">
      <c r="A72" s="414">
        <v>0</v>
      </c>
      <c r="B72" s="414" t="s">
        <v>479</v>
      </c>
      <c r="C72" s="404"/>
      <c r="D72"/>
      <c r="E72"/>
      <c r="F72"/>
      <c r="G72"/>
      <c r="H72"/>
      <c r="I72"/>
    </row>
    <row r="73" spans="1:21" ht="18.75" thickBot="1" x14ac:dyDescent="0.3">
      <c r="A73" s="414">
        <v>0</v>
      </c>
      <c r="B73" s="489">
        <v>28</v>
      </c>
      <c r="C73" s="489">
        <v>56</v>
      </c>
      <c r="D73" s="489">
        <v>70</v>
      </c>
      <c r="E73" s="489">
        <v>84</v>
      </c>
      <c r="F73" s="489">
        <v>112</v>
      </c>
      <c r="G73" s="489">
        <v>1.4</v>
      </c>
      <c r="H73" s="489" t="s">
        <v>757</v>
      </c>
      <c r="I73"/>
    </row>
    <row r="74" spans="1:21" ht="15.75" x14ac:dyDescent="0.25">
      <c r="A74" s="495">
        <v>0</v>
      </c>
      <c r="B74" s="496">
        <v>0.34</v>
      </c>
      <c r="C74" s="496">
        <v>0.62</v>
      </c>
      <c r="D74" s="496">
        <v>0.76</v>
      </c>
      <c r="E74" s="496">
        <v>0.9</v>
      </c>
      <c r="F74" s="496">
        <v>1.18</v>
      </c>
      <c r="G74" s="496">
        <v>1.46</v>
      </c>
      <c r="H74" s="496">
        <v>1.43</v>
      </c>
      <c r="I74" s="497"/>
    </row>
    <row r="75" spans="1:21" x14ac:dyDescent="0.2">
      <c r="A75" s="498">
        <v>40</v>
      </c>
      <c r="B75" s="499">
        <f t="shared" ref="B75:H75" si="5">+B59</f>
        <v>0</v>
      </c>
      <c r="C75" s="499">
        <f t="shared" si="5"/>
        <v>0</v>
      </c>
      <c r="D75" s="499">
        <f t="shared" si="5"/>
        <v>0</v>
      </c>
      <c r="E75" s="499">
        <f t="shared" si="5"/>
        <v>0</v>
      </c>
      <c r="F75" s="499">
        <f t="shared" si="5"/>
        <v>0</v>
      </c>
      <c r="G75" s="499">
        <f t="shared" si="5"/>
        <v>0</v>
      </c>
      <c r="H75" s="499">
        <f t="shared" si="5"/>
        <v>0</v>
      </c>
      <c r="I75" s="500"/>
    </row>
    <row r="76" spans="1:21" ht="13.5" thickBot="1" x14ac:dyDescent="0.25">
      <c r="A76" s="501">
        <v>0</v>
      </c>
      <c r="B76" s="502">
        <f t="shared" ref="B76:H76" si="6">+(CEILING((B75/3),1)*B74)</f>
        <v>0</v>
      </c>
      <c r="C76" s="502">
        <f t="shared" si="6"/>
        <v>0</v>
      </c>
      <c r="D76" s="502">
        <f t="shared" si="6"/>
        <v>0</v>
      </c>
      <c r="E76" s="502">
        <f t="shared" si="6"/>
        <v>0</v>
      </c>
      <c r="F76" s="502">
        <f t="shared" si="6"/>
        <v>0</v>
      </c>
      <c r="G76" s="502">
        <f t="shared" si="6"/>
        <v>0</v>
      </c>
      <c r="H76" s="502">
        <f t="shared" si="6"/>
        <v>0</v>
      </c>
      <c r="I76" s="503">
        <f>SUM(B76:H76)</f>
        <v>0</v>
      </c>
    </row>
    <row r="77" spans="1:21" x14ac:dyDescent="0.2">
      <c r="A77" s="498">
        <v>28</v>
      </c>
      <c r="B77" s="499">
        <f t="shared" ref="B77:H77" si="7">+B60</f>
        <v>0</v>
      </c>
      <c r="C77" s="499">
        <f t="shared" si="7"/>
        <v>0</v>
      </c>
      <c r="D77" s="499">
        <f t="shared" si="7"/>
        <v>0</v>
      </c>
      <c r="E77" s="499">
        <f t="shared" si="7"/>
        <v>0</v>
      </c>
      <c r="F77" s="499">
        <f t="shared" si="7"/>
        <v>0</v>
      </c>
      <c r="G77" s="499">
        <f t="shared" si="7"/>
        <v>0</v>
      </c>
      <c r="H77" s="499">
        <f t="shared" si="7"/>
        <v>0</v>
      </c>
      <c r="I77" s="504"/>
    </row>
    <row r="78" spans="1:21" ht="13.5" thickBot="1" x14ac:dyDescent="0.25">
      <c r="A78" s="498">
        <v>0</v>
      </c>
      <c r="B78" s="502">
        <f t="shared" ref="B78:H78" si="8">+(CEILING((B77/4),1)*B74)</f>
        <v>0</v>
      </c>
      <c r="C78" s="502">
        <f t="shared" si="8"/>
        <v>0</v>
      </c>
      <c r="D78" s="502">
        <f t="shared" si="8"/>
        <v>0</v>
      </c>
      <c r="E78" s="502">
        <f t="shared" si="8"/>
        <v>0</v>
      </c>
      <c r="F78" s="502">
        <f t="shared" si="8"/>
        <v>0</v>
      </c>
      <c r="G78" s="502">
        <f t="shared" si="8"/>
        <v>0</v>
      </c>
      <c r="H78" s="502">
        <f t="shared" si="8"/>
        <v>0</v>
      </c>
      <c r="I78" s="504">
        <f>SUM(B78:H78)</f>
        <v>0</v>
      </c>
    </row>
    <row r="79" spans="1:21" x14ac:dyDescent="0.2">
      <c r="A79" s="505"/>
      <c r="B79" s="506"/>
      <c r="C79" s="506"/>
      <c r="D79" s="506"/>
      <c r="E79" s="506"/>
      <c r="F79" s="506"/>
      <c r="G79" s="506"/>
      <c r="H79" s="506"/>
      <c r="I79" s="507"/>
    </row>
    <row r="80" spans="1:21" ht="13.5" thickBot="1" x14ac:dyDescent="0.25">
      <c r="A80" s="501"/>
      <c r="B80" s="502"/>
      <c r="C80" s="502"/>
      <c r="D80" s="502"/>
      <c r="E80" s="502"/>
      <c r="F80" s="502"/>
      <c r="G80" s="502"/>
      <c r="H80" s="502"/>
      <c r="I80" s="503"/>
    </row>
    <row r="81" spans="1:9" x14ac:dyDescent="0.2">
      <c r="A81" s="414">
        <v>0</v>
      </c>
      <c r="B81" s="493" t="s">
        <v>404</v>
      </c>
      <c r="C81" s="6"/>
      <c r="D81" s="6"/>
      <c r="E81" s="6"/>
      <c r="F81" s="6"/>
      <c r="G81" s="6"/>
      <c r="H81" s="6"/>
      <c r="I81" s="333"/>
    </row>
    <row r="82" spans="1:9" ht="13.5" thickBot="1" x14ac:dyDescent="0.25">
      <c r="A82" s="414">
        <v>0</v>
      </c>
      <c r="B82" s="414" t="s">
        <v>758</v>
      </c>
      <c r="C82"/>
      <c r="D82"/>
      <c r="E82"/>
      <c r="F82"/>
      <c r="G82"/>
      <c r="H82"/>
      <c r="I82"/>
    </row>
    <row r="83" spans="1:9" x14ac:dyDescent="0.2">
      <c r="A83" s="495">
        <v>0</v>
      </c>
      <c r="B83" s="508">
        <v>1.9</v>
      </c>
      <c r="C83" s="496">
        <v>1.9</v>
      </c>
      <c r="D83" s="496">
        <v>1.9</v>
      </c>
      <c r="E83" s="496">
        <v>1.9</v>
      </c>
      <c r="F83" s="496">
        <v>1.9</v>
      </c>
      <c r="G83" s="496">
        <v>1.9</v>
      </c>
      <c r="H83" s="496">
        <v>1.9</v>
      </c>
      <c r="I83" s="507"/>
    </row>
    <row r="84" spans="1:9" x14ac:dyDescent="0.2">
      <c r="A84" s="498" t="s">
        <v>457</v>
      </c>
      <c r="B84" s="499">
        <f>IF(B64-A85-F64&lt;=0,0,B64-A85-F64)</f>
        <v>0</v>
      </c>
      <c r="C84" s="499">
        <f>IF(C64&lt;=E64,0,C64-E64)</f>
        <v>0</v>
      </c>
      <c r="D84" s="499">
        <f>+D64</f>
        <v>0</v>
      </c>
      <c r="E84" s="499">
        <f>+E64</f>
        <v>0</v>
      </c>
      <c r="F84" s="499">
        <f>+F64</f>
        <v>0</v>
      </c>
      <c r="G84" s="499">
        <f>+G64</f>
        <v>0</v>
      </c>
      <c r="H84" s="499">
        <f>+H64</f>
        <v>0</v>
      </c>
      <c r="I84" s="500"/>
    </row>
    <row r="85" spans="1:9" ht="13.5" thickBot="1" x14ac:dyDescent="0.25">
      <c r="A85" s="509">
        <f>IF(E64-D64-C64&lt;=0,0,(E64-D64-C64)*2)</f>
        <v>0</v>
      </c>
      <c r="B85" s="502">
        <f>+(CEILING((B84/4),1)*B83)</f>
        <v>0</v>
      </c>
      <c r="C85" s="502">
        <f>+(CEILING((C84/2),1)*C83)</f>
        <v>0</v>
      </c>
      <c r="D85" s="502">
        <f>+(CEILING((D84/2),1)*D83)</f>
        <v>0</v>
      </c>
      <c r="E85" s="502">
        <f>+E83*E84</f>
        <v>0</v>
      </c>
      <c r="F85" s="502">
        <f>+F83*F84</f>
        <v>0</v>
      </c>
      <c r="G85" s="502">
        <f>+G83*G84</f>
        <v>0</v>
      </c>
      <c r="H85" s="502">
        <f>+H83*H84</f>
        <v>0</v>
      </c>
      <c r="I85" s="503">
        <f>SUM(B85:H85)</f>
        <v>0</v>
      </c>
    </row>
    <row r="86" spans="1:9" x14ac:dyDescent="0.2">
      <c r="A86" s="495"/>
      <c r="B86" s="508"/>
      <c r="C86" s="496"/>
      <c r="D86" s="496"/>
      <c r="E86" s="496"/>
      <c r="F86" s="496"/>
      <c r="G86" s="496"/>
      <c r="H86" s="496"/>
      <c r="I86" s="507"/>
    </row>
    <row r="87" spans="1:9" x14ac:dyDescent="0.2">
      <c r="A87" s="498"/>
      <c r="B87" s="499"/>
      <c r="C87" s="499"/>
      <c r="D87" s="499"/>
      <c r="E87" s="499"/>
      <c r="F87" s="499"/>
      <c r="G87" s="499"/>
      <c r="H87" s="499"/>
      <c r="I87" s="500"/>
    </row>
    <row r="88" spans="1:9" ht="13.5" thickBot="1" x14ac:dyDescent="0.25">
      <c r="A88" s="509"/>
      <c r="B88" s="502"/>
      <c r="C88" s="502"/>
      <c r="D88" s="502"/>
      <c r="E88" s="502"/>
      <c r="F88" s="502"/>
      <c r="G88" s="502"/>
      <c r="H88" s="502"/>
      <c r="I88" s="503"/>
    </row>
    <row r="89" spans="1:9" x14ac:dyDescent="0.2">
      <c r="A89" s="495">
        <v>0</v>
      </c>
      <c r="B89" s="508">
        <v>0.85</v>
      </c>
      <c r="C89" s="496">
        <v>0.85</v>
      </c>
      <c r="D89" s="496">
        <v>0.85</v>
      </c>
      <c r="E89" s="496">
        <v>0.85</v>
      </c>
      <c r="F89" s="496">
        <v>0.85</v>
      </c>
      <c r="G89" s="496">
        <v>0.85</v>
      </c>
      <c r="H89" s="496">
        <v>0.85</v>
      </c>
      <c r="I89" s="507"/>
    </row>
    <row r="90" spans="1:9" x14ac:dyDescent="0.2">
      <c r="A90" s="498" t="s">
        <v>459</v>
      </c>
      <c r="B90" s="499">
        <f>IF(B65-A91-F65&lt;=0,0,B65-A91-F65)</f>
        <v>0</v>
      </c>
      <c r="C90" s="499">
        <f>IF(C65+D65&lt;=E65,0,C65+D65-E65)</f>
        <v>0</v>
      </c>
      <c r="D90" s="499"/>
      <c r="E90" s="499">
        <f>+E65</f>
        <v>0</v>
      </c>
      <c r="F90" s="499">
        <f>+F65</f>
        <v>0</v>
      </c>
      <c r="G90" s="499">
        <f>+G65</f>
        <v>0</v>
      </c>
      <c r="H90" s="499">
        <f>+H65</f>
        <v>0</v>
      </c>
      <c r="I90" s="500"/>
    </row>
    <row r="91" spans="1:9" ht="13.5" thickBot="1" x14ac:dyDescent="0.25">
      <c r="A91" s="509">
        <f>IF(E65-D65-C65&lt;=0,0,(E65-D65-C65)*2)</f>
        <v>0</v>
      </c>
      <c r="B91" s="502">
        <f>+(CEILING((B90/4),1)*B89)</f>
        <v>0</v>
      </c>
      <c r="C91" s="502">
        <f>+(CEILING((C90/2),1)*C89)</f>
        <v>0</v>
      </c>
      <c r="D91" s="502">
        <f>+(CEILING((D90/2),1)*D89)</f>
        <v>0</v>
      </c>
      <c r="E91" s="502">
        <f>+E89*E90</f>
        <v>0</v>
      </c>
      <c r="F91" s="502">
        <f>+F89*F90</f>
        <v>0</v>
      </c>
      <c r="G91" s="502">
        <f>+G89*G90</f>
        <v>0</v>
      </c>
      <c r="H91" s="502">
        <f>+H89*H90</f>
        <v>0</v>
      </c>
      <c r="I91" s="503">
        <f>SUM(B91:H91)</f>
        <v>0</v>
      </c>
    </row>
    <row r="92" spans="1:9" x14ac:dyDescent="0.2">
      <c r="A92" s="495">
        <v>0</v>
      </c>
      <c r="B92" s="508">
        <v>0.85</v>
      </c>
      <c r="C92" s="496">
        <v>0.85</v>
      </c>
      <c r="D92" s="496">
        <v>0.85</v>
      </c>
      <c r="E92" s="496">
        <v>0.85</v>
      </c>
      <c r="F92" s="496">
        <v>0.85</v>
      </c>
      <c r="G92" s="496">
        <v>0.85</v>
      </c>
      <c r="H92" s="496">
        <v>0.85</v>
      </c>
      <c r="I92" s="507"/>
    </row>
    <row r="93" spans="1:9" x14ac:dyDescent="0.2">
      <c r="A93" s="498" t="s">
        <v>763</v>
      </c>
      <c r="B93" s="499">
        <f>IF(B66-A94-F66&lt;=0,0,B66-A94-F66)</f>
        <v>0</v>
      </c>
      <c r="C93" s="499">
        <f>IF(C66+D66&lt;=E66,0,C66+D66-E66)</f>
        <v>0</v>
      </c>
      <c r="D93" s="499"/>
      <c r="E93" s="499">
        <f>+E66</f>
        <v>0</v>
      </c>
      <c r="F93" s="499">
        <f>+F66</f>
        <v>0</v>
      </c>
      <c r="G93" s="499">
        <f>+G66</f>
        <v>0</v>
      </c>
      <c r="H93" s="499">
        <f>+H66</f>
        <v>0</v>
      </c>
      <c r="I93" s="500"/>
    </row>
    <row r="94" spans="1:9" ht="13.5" thickBot="1" x14ac:dyDescent="0.25">
      <c r="A94" s="510">
        <f>IF(E66-D66-C66&lt;=0,0,(E66-D66-C66)*2)</f>
        <v>0</v>
      </c>
      <c r="B94" s="502">
        <f>+(CEILING((B93/4),1)*B92)</f>
        <v>0</v>
      </c>
      <c r="C94" s="502">
        <f>+(CEILING((C93/2),1)*C92)</f>
        <v>0</v>
      </c>
      <c r="D94" s="502">
        <f>+(CEILING((D93/2),1)*D92)</f>
        <v>0</v>
      </c>
      <c r="E94" s="502">
        <f>+E92*E93</f>
        <v>0</v>
      </c>
      <c r="F94" s="502">
        <f>+F92*F93</f>
        <v>0</v>
      </c>
      <c r="G94" s="502">
        <f>+G92*G93</f>
        <v>0</v>
      </c>
      <c r="H94" s="502">
        <f>+H92*H93</f>
        <v>0</v>
      </c>
      <c r="I94" s="503">
        <f>SUM(B94:H94)</f>
        <v>0</v>
      </c>
    </row>
    <row r="95" spans="1:9" x14ac:dyDescent="0.2">
      <c r="A95" s="511">
        <f>IF(E67-D67-C67&lt;=0,0,(E67-D67-C67)*2)</f>
        <v>0</v>
      </c>
      <c r="B95" s="496">
        <v>0.34</v>
      </c>
      <c r="C95" s="496">
        <v>0.62</v>
      </c>
      <c r="D95" s="496">
        <v>0.76</v>
      </c>
      <c r="E95" s="496">
        <v>0.9</v>
      </c>
      <c r="F95" s="496">
        <v>1.18</v>
      </c>
      <c r="G95" s="496">
        <v>1.46</v>
      </c>
      <c r="H95" s="496">
        <v>1.43</v>
      </c>
      <c r="I95" s="507"/>
    </row>
    <row r="96" spans="1:9" x14ac:dyDescent="0.2">
      <c r="A96" s="512" t="s">
        <v>106</v>
      </c>
      <c r="B96" s="499">
        <f>IF(B67-A95-F67&lt;=0,0,B67-A95-F67)</f>
        <v>0</v>
      </c>
      <c r="C96" s="499">
        <f>IF(C67+D67&lt;=E67,0,C67+D67-E67)</f>
        <v>0</v>
      </c>
      <c r="D96" s="499"/>
      <c r="E96" s="499">
        <f>+E67</f>
        <v>0</v>
      </c>
      <c r="F96" s="499">
        <f>+F67</f>
        <v>0</v>
      </c>
      <c r="G96" s="499">
        <f>+G67</f>
        <v>0</v>
      </c>
      <c r="H96" s="499">
        <f>+H67</f>
        <v>0</v>
      </c>
      <c r="I96" s="500"/>
    </row>
    <row r="97" spans="1:9" ht="13.5" thickBot="1" x14ac:dyDescent="0.25">
      <c r="A97" s="501" t="s">
        <v>764</v>
      </c>
      <c r="B97" s="502">
        <f t="shared" ref="B97:H97" si="9">+(CEILING((B96/3),1)*B95)</f>
        <v>0</v>
      </c>
      <c r="C97" s="502">
        <f t="shared" si="9"/>
        <v>0</v>
      </c>
      <c r="D97" s="502">
        <f t="shared" si="9"/>
        <v>0</v>
      </c>
      <c r="E97" s="502">
        <f t="shared" si="9"/>
        <v>0</v>
      </c>
      <c r="F97" s="502">
        <f t="shared" si="9"/>
        <v>0</v>
      </c>
      <c r="G97" s="502">
        <f t="shared" si="9"/>
        <v>0</v>
      </c>
      <c r="H97" s="502">
        <f t="shared" si="9"/>
        <v>0</v>
      </c>
      <c r="I97" s="503">
        <f>SUM(B97:H97)</f>
        <v>0</v>
      </c>
    </row>
    <row r="98" spans="1:9" x14ac:dyDescent="0.2">
      <c r="A98" s="511">
        <f>IF(E68-D68-C68&lt;=0,0,(E68-D68-C68)*2)</f>
        <v>0</v>
      </c>
      <c r="B98" s="508">
        <v>1.07</v>
      </c>
      <c r="C98" s="496">
        <v>1.07</v>
      </c>
      <c r="D98" s="496">
        <v>1.07</v>
      </c>
      <c r="E98" s="496">
        <v>1.07</v>
      </c>
      <c r="F98" s="496">
        <v>1.07</v>
      </c>
      <c r="G98" s="496">
        <v>1.07</v>
      </c>
      <c r="H98" s="496">
        <v>1.07</v>
      </c>
      <c r="I98" s="507"/>
    </row>
    <row r="99" spans="1:9" x14ac:dyDescent="0.2">
      <c r="A99" s="512" t="s">
        <v>106</v>
      </c>
      <c r="B99" s="499">
        <f>IF(B68-A98-F68&lt;=0,0,B68-A98-F68)</f>
        <v>0</v>
      </c>
      <c r="C99" s="499">
        <f>IF(C68+D68&lt;=E68,0,C68+D68-E68)</f>
        <v>0</v>
      </c>
      <c r="D99" s="499"/>
      <c r="E99" s="499">
        <f>+E68</f>
        <v>0</v>
      </c>
      <c r="F99" s="499">
        <f>+F68</f>
        <v>0</v>
      </c>
      <c r="G99" s="499">
        <f>+G68</f>
        <v>0</v>
      </c>
      <c r="H99" s="499">
        <f>+H68</f>
        <v>0</v>
      </c>
      <c r="I99" s="500"/>
    </row>
    <row r="100" spans="1:9" ht="13.5" thickBot="1" x14ac:dyDescent="0.25">
      <c r="A100" s="501" t="s">
        <v>765</v>
      </c>
      <c r="B100" s="502">
        <f>+(CEILING((B99/4),1)*B98)</f>
        <v>0</v>
      </c>
      <c r="C100" s="502">
        <f>+(CEILING((C99/2),1)*C98)</f>
        <v>0</v>
      </c>
      <c r="D100" s="502">
        <f>+(CEILING((D99/2),1)*D98)</f>
        <v>0</v>
      </c>
      <c r="E100" s="502">
        <f>+E98*E99</f>
        <v>0</v>
      </c>
      <c r="F100" s="502">
        <f>+F98*F99</f>
        <v>0</v>
      </c>
      <c r="G100" s="502">
        <f>+G98*G99</f>
        <v>0</v>
      </c>
      <c r="H100" s="502">
        <f>+H98*H99</f>
        <v>0</v>
      </c>
      <c r="I100" s="503">
        <f>SUM(B100:H100)</f>
        <v>0</v>
      </c>
    </row>
    <row r="101" spans="1:9" x14ac:dyDescent="0.2">
      <c r="A101" s="495">
        <v>0</v>
      </c>
      <c r="B101" s="496"/>
      <c r="C101" s="496">
        <v>0.62</v>
      </c>
      <c r="D101" s="496">
        <v>0.76</v>
      </c>
      <c r="E101" s="496">
        <v>0.9</v>
      </c>
      <c r="F101" s="496">
        <v>1.18</v>
      </c>
      <c r="G101" s="496"/>
      <c r="H101" s="496"/>
      <c r="I101" s="507"/>
    </row>
    <row r="102" spans="1:9" x14ac:dyDescent="0.2">
      <c r="A102" s="512" t="s">
        <v>766</v>
      </c>
      <c r="B102" s="499"/>
      <c r="C102" s="499">
        <f>+C69</f>
        <v>0</v>
      </c>
      <c r="D102" s="499">
        <f>+D69</f>
        <v>0</v>
      </c>
      <c r="E102" s="499">
        <f>+E69</f>
        <v>0</v>
      </c>
      <c r="F102" s="499">
        <f>+F69</f>
        <v>0</v>
      </c>
      <c r="G102" s="499"/>
      <c r="H102" s="499"/>
      <c r="I102" s="500"/>
    </row>
    <row r="103" spans="1:9" ht="13.5" thickBot="1" x14ac:dyDescent="0.25">
      <c r="A103" s="513">
        <v>0</v>
      </c>
      <c r="B103" s="514"/>
      <c r="C103" s="514">
        <f>+(CEILING((C102/3),1)*C101)</f>
        <v>0</v>
      </c>
      <c r="D103" s="514">
        <f>+(CEILING((D102/3),1)*D101)</f>
        <v>0</v>
      </c>
      <c r="E103" s="514">
        <f>+(CEILING((E102/3),1)*E101)</f>
        <v>0</v>
      </c>
      <c r="F103" s="514">
        <f>+(CEILING((F102/3),1)*F101)</f>
        <v>0</v>
      </c>
      <c r="G103" s="514"/>
      <c r="H103" s="502"/>
      <c r="I103" s="503">
        <f>SUM(B103:H103)</f>
        <v>0</v>
      </c>
    </row>
    <row r="104" spans="1:9" x14ac:dyDescent="0.2">
      <c r="A104" s="495">
        <v>0</v>
      </c>
      <c r="B104" s="508"/>
      <c r="C104" s="496">
        <v>0.62</v>
      </c>
      <c r="D104" s="496">
        <v>0.76</v>
      </c>
      <c r="E104" s="496">
        <v>0.9</v>
      </c>
      <c r="F104" s="496">
        <v>1.18</v>
      </c>
      <c r="G104" s="496"/>
      <c r="H104" s="496"/>
      <c r="I104" s="507"/>
    </row>
    <row r="105" spans="1:9" x14ac:dyDescent="0.2">
      <c r="A105" s="512" t="s">
        <v>767</v>
      </c>
      <c r="B105" s="515"/>
      <c r="C105" s="499" t="b">
        <f>+C70</f>
        <v>0</v>
      </c>
      <c r="D105" s="499" t="b">
        <f>+D70</f>
        <v>0</v>
      </c>
      <c r="E105" s="499" t="b">
        <f>+E70</f>
        <v>0</v>
      </c>
      <c r="F105" s="499" t="b">
        <f>+F70</f>
        <v>0</v>
      </c>
      <c r="G105" s="499"/>
      <c r="H105" s="499"/>
      <c r="I105" s="500"/>
    </row>
    <row r="106" spans="1:9" ht="13.5" thickBot="1" x14ac:dyDescent="0.25">
      <c r="A106" s="513">
        <v>0</v>
      </c>
      <c r="B106" s="516"/>
      <c r="C106" s="514">
        <f>+(CEILING((C105/5),1)*C104)</f>
        <v>0</v>
      </c>
      <c r="D106" s="514">
        <f>+(CEILING((D105/5),1)*D104)</f>
        <v>0</v>
      </c>
      <c r="E106" s="514">
        <f>+(CEILING((E105/5),1)*E104)</f>
        <v>0</v>
      </c>
      <c r="F106" s="514">
        <f>+(CEILING((F105/5),1)*F104)</f>
        <v>0</v>
      </c>
      <c r="G106" s="514"/>
      <c r="H106" s="502"/>
      <c r="I106" s="503">
        <f>SUM(B106:H106)</f>
        <v>0</v>
      </c>
    </row>
    <row r="107" spans="1:9" ht="13.5" thickBot="1" x14ac:dyDescent="0.25">
      <c r="A107" s="414">
        <v>0</v>
      </c>
      <c r="B107" s="333"/>
      <c r="C107" s="333"/>
      <c r="D107" s="333"/>
      <c r="E107" s="333"/>
      <c r="F107" s="333"/>
      <c r="G107" s="333"/>
      <c r="H107" s="333"/>
      <c r="I107" s="517">
        <f>SUM(I76:I100)</f>
        <v>0</v>
      </c>
    </row>
    <row r="108" spans="1:9" x14ac:dyDescent="0.2">
      <c r="A108" s="409">
        <v>0</v>
      </c>
    </row>
    <row r="109" spans="1:9" ht="13.5" thickBot="1" x14ac:dyDescent="0.25">
      <c r="A109" s="409">
        <v>0</v>
      </c>
    </row>
    <row r="110" spans="1:9" ht="18.75" thickBot="1" x14ac:dyDescent="0.3">
      <c r="A110" s="487" t="s">
        <v>755</v>
      </c>
      <c r="B110" s="386">
        <v>3</v>
      </c>
      <c r="C110" s="488">
        <f>+Cant.!AO54</f>
        <v>0</v>
      </c>
      <c r="D110" s="488"/>
      <c r="E110" s="488"/>
      <c r="F110" s="486">
        <f>(I161*1)</f>
        <v>0</v>
      </c>
      <c r="G110" s="120" t="s">
        <v>994</v>
      </c>
    </row>
    <row r="111" spans="1:9" x14ac:dyDescent="0.2">
      <c r="A111" s="120">
        <v>0</v>
      </c>
      <c r="B111" s="414" t="s">
        <v>479</v>
      </c>
    </row>
    <row r="112" spans="1:9" ht="18" x14ac:dyDescent="0.25">
      <c r="A112" s="120">
        <v>0</v>
      </c>
      <c r="B112" s="489">
        <v>28</v>
      </c>
      <c r="C112" s="489">
        <v>56</v>
      </c>
      <c r="D112" s="489">
        <v>70</v>
      </c>
      <c r="E112" s="489">
        <v>84</v>
      </c>
      <c r="F112" s="489">
        <v>112</v>
      </c>
      <c r="G112" s="489">
        <v>1.4</v>
      </c>
      <c r="H112" s="489" t="s">
        <v>757</v>
      </c>
    </row>
    <row r="113" spans="1:9" x14ac:dyDescent="0.2">
      <c r="A113" s="490">
        <v>40</v>
      </c>
      <c r="B113" s="491">
        <f>+Cant.!AO57</f>
        <v>0</v>
      </c>
      <c r="C113" s="491">
        <f>+Cant.!AP57</f>
        <v>0</v>
      </c>
      <c r="D113" s="491">
        <f>+Cant.!AQ57</f>
        <v>0</v>
      </c>
      <c r="E113" s="491">
        <f>+Cant.!AR57</f>
        <v>0</v>
      </c>
      <c r="F113" s="491">
        <f>+Cant.!AS57</f>
        <v>0</v>
      </c>
      <c r="G113" s="491">
        <f>+Cant.!AT57</f>
        <v>0</v>
      </c>
      <c r="H113" s="491">
        <f>+Cant.!AU57</f>
        <v>0</v>
      </c>
    </row>
    <row r="114" spans="1:9" x14ac:dyDescent="0.2">
      <c r="A114" s="490"/>
      <c r="B114" s="491"/>
      <c r="C114" s="491"/>
      <c r="D114" s="491"/>
      <c r="E114" s="491"/>
      <c r="F114" s="491"/>
      <c r="G114" s="491"/>
      <c r="H114" s="491"/>
    </row>
    <row r="115" spans="1:9" x14ac:dyDescent="0.2">
      <c r="A115" s="490"/>
      <c r="B115" s="491"/>
      <c r="C115" s="491"/>
      <c r="D115" s="491"/>
      <c r="E115" s="491"/>
      <c r="F115" s="491"/>
      <c r="G115" s="491"/>
      <c r="H115" s="491"/>
    </row>
    <row r="116" spans="1:9" x14ac:dyDescent="0.2">
      <c r="A116" s="492">
        <v>0</v>
      </c>
      <c r="B116" s="493" t="s">
        <v>404</v>
      </c>
    </row>
    <row r="117" spans="1:9" x14ac:dyDescent="0.2">
      <c r="A117" s="492">
        <v>0</v>
      </c>
      <c r="B117" s="414" t="s">
        <v>758</v>
      </c>
    </row>
    <row r="118" spans="1:9" x14ac:dyDescent="0.2">
      <c r="A118" s="490" t="s">
        <v>422</v>
      </c>
      <c r="B118" s="491">
        <f>+Cant.!AO63</f>
        <v>0</v>
      </c>
      <c r="C118" s="491">
        <f>+Cant.!AP63</f>
        <v>0</v>
      </c>
      <c r="D118" s="491">
        <f>+Cant.!AQ63</f>
        <v>0</v>
      </c>
      <c r="E118" s="491">
        <f>+Cant.!AR63</f>
        <v>0</v>
      </c>
      <c r="F118" s="491">
        <f>+Cant.!AS63</f>
        <v>0</v>
      </c>
      <c r="G118" s="491">
        <f>+Cant.!AT63</f>
        <v>0</v>
      </c>
      <c r="H118" s="491">
        <f>+Cant.!AU63</f>
        <v>0</v>
      </c>
    </row>
    <row r="119" spans="1:9" x14ac:dyDescent="0.2">
      <c r="A119" s="118" t="s">
        <v>426</v>
      </c>
      <c r="B119" s="491">
        <f>+Cant.!AO64</f>
        <v>0</v>
      </c>
      <c r="C119" s="491">
        <f>+Cant.!AP64</f>
        <v>0</v>
      </c>
      <c r="D119" s="491">
        <f>+Cant.!AQ64</f>
        <v>0</v>
      </c>
      <c r="E119" s="491">
        <f>+Cant.!AR64</f>
        <v>0</v>
      </c>
      <c r="F119" s="491">
        <f>+Cant.!AS64</f>
        <v>0</v>
      </c>
      <c r="G119" s="491">
        <f>+Cant.!AT64</f>
        <v>0</v>
      </c>
      <c r="H119" s="491">
        <f>+Cant.!AU64</f>
        <v>0</v>
      </c>
      <c r="I119"/>
    </row>
    <row r="120" spans="1:9" x14ac:dyDescent="0.2">
      <c r="A120" s="118" t="s">
        <v>429</v>
      </c>
      <c r="B120" s="491">
        <f>+Cant.!AO65</f>
        <v>0</v>
      </c>
      <c r="C120" s="491">
        <f>+Cant.!AP65</f>
        <v>0</v>
      </c>
      <c r="D120" s="491">
        <f>+Cant.!AQ65</f>
        <v>0</v>
      </c>
      <c r="E120" s="491">
        <f>+Cant.!AR65</f>
        <v>0</v>
      </c>
      <c r="F120" s="491">
        <f>+Cant.!AS65</f>
        <v>0</v>
      </c>
      <c r="G120" s="491">
        <f>+Cant.!AT65</f>
        <v>0</v>
      </c>
      <c r="H120" s="491">
        <f>+Cant.!AU65</f>
        <v>0</v>
      </c>
      <c r="I120"/>
    </row>
    <row r="121" spans="1:9" x14ac:dyDescent="0.2">
      <c r="A121" s="118" t="s">
        <v>759</v>
      </c>
      <c r="B121" s="491">
        <f>+Cant.!AO66</f>
        <v>0</v>
      </c>
      <c r="C121" s="491">
        <f>+Cant.!AP66</f>
        <v>0</v>
      </c>
      <c r="D121" s="491">
        <f>+Cant.!AQ66</f>
        <v>0</v>
      </c>
      <c r="E121" s="491">
        <f>+Cant.!AR66</f>
        <v>0</v>
      </c>
      <c r="F121" s="491">
        <f>+Cant.!AS66</f>
        <v>0</v>
      </c>
      <c r="G121" s="491">
        <f>+Cant.!AT66</f>
        <v>0</v>
      </c>
      <c r="H121" s="491">
        <f>+Cant.!AU66</f>
        <v>0</v>
      </c>
      <c r="I121"/>
    </row>
    <row r="122" spans="1:9" x14ac:dyDescent="0.2">
      <c r="A122" s="118" t="s">
        <v>760</v>
      </c>
      <c r="B122" s="491">
        <f>+Cant.!AO67</f>
        <v>0</v>
      </c>
      <c r="C122" s="491">
        <f>+Cant.!AP67</f>
        <v>0</v>
      </c>
      <c r="D122" s="491">
        <f>+Cant.!AQ67</f>
        <v>0</v>
      </c>
      <c r="E122" s="491">
        <f>+Cant.!AR67</f>
        <v>0</v>
      </c>
      <c r="F122" s="491">
        <f>+Cant.!AS67</f>
        <v>0</v>
      </c>
      <c r="G122" s="491">
        <f>+Cant.!AT67</f>
        <v>0</v>
      </c>
      <c r="H122" s="491">
        <f>+Cant.!AU67</f>
        <v>0</v>
      </c>
      <c r="I122"/>
    </row>
    <row r="123" spans="1:9" x14ac:dyDescent="0.2">
      <c r="A123" s="118" t="s">
        <v>761</v>
      </c>
      <c r="B123" s="494">
        <f>+Cant.!AO68</f>
        <v>0</v>
      </c>
      <c r="C123" s="491">
        <f>+Cant.!AP68</f>
        <v>0</v>
      </c>
      <c r="D123" s="491">
        <f>+Cant.!AQ68</f>
        <v>0</v>
      </c>
      <c r="E123" s="491">
        <f>+Cant.!AR68</f>
        <v>0</v>
      </c>
      <c r="F123" s="491">
        <f>+Cant.!AS68</f>
        <v>0</v>
      </c>
      <c r="G123" s="494">
        <f>+Cant.!AT68</f>
        <v>0</v>
      </c>
      <c r="H123" s="494">
        <f>+Cant.!AU68</f>
        <v>0</v>
      </c>
      <c r="I123"/>
    </row>
    <row r="124" spans="1:9" x14ac:dyDescent="0.2">
      <c r="A124" s="118" t="s">
        <v>762</v>
      </c>
      <c r="B124" s="494">
        <f>+Cant.!AO69</f>
        <v>0</v>
      </c>
      <c r="C124" s="491" t="b">
        <f>+Cant.!AP69</f>
        <v>0</v>
      </c>
      <c r="D124" s="491" t="b">
        <f>+Cant.!AQ69</f>
        <v>0</v>
      </c>
      <c r="E124" s="491" t="b">
        <f>+Cant.!AR69</f>
        <v>0</v>
      </c>
      <c r="F124" s="491" t="b">
        <f>+Cant.!AS69</f>
        <v>0</v>
      </c>
      <c r="G124" s="494">
        <f>+Cant.!AT69</f>
        <v>0</v>
      </c>
      <c r="H124" s="494">
        <f>+Cant.!AU69</f>
        <v>0</v>
      </c>
      <c r="I124"/>
    </row>
    <row r="125" spans="1:9" ht="18" x14ac:dyDescent="0.25">
      <c r="A125" s="414">
        <v>0</v>
      </c>
      <c r="C125" s="404"/>
      <c r="D125"/>
      <c r="E125"/>
      <c r="F125"/>
      <c r="G125"/>
      <c r="H125"/>
      <c r="I125"/>
    </row>
    <row r="126" spans="1:9" ht="18" x14ac:dyDescent="0.25">
      <c r="A126" s="414">
        <v>0</v>
      </c>
      <c r="B126" s="414" t="s">
        <v>479</v>
      </c>
      <c r="C126" s="404"/>
      <c r="D126"/>
      <c r="E126"/>
      <c r="F126"/>
      <c r="G126"/>
      <c r="H126"/>
      <c r="I126"/>
    </row>
    <row r="127" spans="1:9" ht="18.75" thickBot="1" x14ac:dyDescent="0.3">
      <c r="A127" s="414">
        <v>0</v>
      </c>
      <c r="B127" s="489">
        <v>28</v>
      </c>
      <c r="C127" s="489">
        <v>56</v>
      </c>
      <c r="D127" s="489">
        <v>70</v>
      </c>
      <c r="E127" s="489">
        <v>84</v>
      </c>
      <c r="F127" s="489">
        <v>112</v>
      </c>
      <c r="G127" s="489">
        <v>1.4</v>
      </c>
      <c r="H127" s="489" t="s">
        <v>757</v>
      </c>
      <c r="I127"/>
    </row>
    <row r="128" spans="1:9" ht="15.75" x14ac:dyDescent="0.25">
      <c r="A128" s="495">
        <v>0</v>
      </c>
      <c r="B128" s="496">
        <v>0.34</v>
      </c>
      <c r="C128" s="496">
        <v>0.62</v>
      </c>
      <c r="D128" s="496">
        <v>0.76</v>
      </c>
      <c r="E128" s="496">
        <v>0.9</v>
      </c>
      <c r="F128" s="496">
        <v>1.18</v>
      </c>
      <c r="G128" s="496">
        <v>1.46</v>
      </c>
      <c r="H128" s="496">
        <v>1.43</v>
      </c>
      <c r="I128" s="497"/>
    </row>
    <row r="129" spans="1:9" x14ac:dyDescent="0.2">
      <c r="A129" s="498">
        <v>40</v>
      </c>
      <c r="B129" s="499">
        <f t="shared" ref="B129:H129" si="10">+B113</f>
        <v>0</v>
      </c>
      <c r="C129" s="499">
        <f t="shared" si="10"/>
        <v>0</v>
      </c>
      <c r="D129" s="499">
        <f t="shared" si="10"/>
        <v>0</v>
      </c>
      <c r="E129" s="499">
        <f t="shared" si="10"/>
        <v>0</v>
      </c>
      <c r="F129" s="499">
        <f t="shared" si="10"/>
        <v>0</v>
      </c>
      <c r="G129" s="499">
        <f t="shared" si="10"/>
        <v>0</v>
      </c>
      <c r="H129" s="499">
        <f t="shared" si="10"/>
        <v>0</v>
      </c>
      <c r="I129" s="500"/>
    </row>
    <row r="130" spans="1:9" ht="13.5" thickBot="1" x14ac:dyDescent="0.25">
      <c r="A130" s="501">
        <v>0</v>
      </c>
      <c r="B130" s="502">
        <f t="shared" ref="B130:H130" si="11">+(CEILING((B129/3),1)*B128)</f>
        <v>0</v>
      </c>
      <c r="C130" s="502">
        <f t="shared" si="11"/>
        <v>0</v>
      </c>
      <c r="D130" s="502">
        <f t="shared" si="11"/>
        <v>0</v>
      </c>
      <c r="E130" s="502">
        <f t="shared" si="11"/>
        <v>0</v>
      </c>
      <c r="F130" s="502">
        <f t="shared" si="11"/>
        <v>0</v>
      </c>
      <c r="G130" s="502">
        <f t="shared" si="11"/>
        <v>0</v>
      </c>
      <c r="H130" s="502">
        <f t="shared" si="11"/>
        <v>0</v>
      </c>
      <c r="I130" s="503">
        <f>SUM(B130:H130)</f>
        <v>0</v>
      </c>
    </row>
    <row r="131" spans="1:9" x14ac:dyDescent="0.2">
      <c r="A131" s="498">
        <v>28</v>
      </c>
      <c r="B131" s="499">
        <f t="shared" ref="B131:H131" si="12">+B114</f>
        <v>0</v>
      </c>
      <c r="C131" s="499">
        <f t="shared" si="12"/>
        <v>0</v>
      </c>
      <c r="D131" s="499">
        <f t="shared" si="12"/>
        <v>0</v>
      </c>
      <c r="E131" s="499">
        <f t="shared" si="12"/>
        <v>0</v>
      </c>
      <c r="F131" s="499">
        <f t="shared" si="12"/>
        <v>0</v>
      </c>
      <c r="G131" s="499">
        <f t="shared" si="12"/>
        <v>0</v>
      </c>
      <c r="H131" s="499">
        <f t="shared" si="12"/>
        <v>0</v>
      </c>
      <c r="I131" s="504"/>
    </row>
    <row r="132" spans="1:9" ht="13.5" thickBot="1" x14ac:dyDescent="0.25">
      <c r="A132" s="498">
        <v>0</v>
      </c>
      <c r="B132" s="502">
        <f t="shared" ref="B132:H132" si="13">+(CEILING((B131/4),1)*B128)</f>
        <v>0</v>
      </c>
      <c r="C132" s="502">
        <f t="shared" si="13"/>
        <v>0</v>
      </c>
      <c r="D132" s="502">
        <f t="shared" si="13"/>
        <v>0</v>
      </c>
      <c r="E132" s="502">
        <f t="shared" si="13"/>
        <v>0</v>
      </c>
      <c r="F132" s="502">
        <f t="shared" si="13"/>
        <v>0</v>
      </c>
      <c r="G132" s="502">
        <f t="shared" si="13"/>
        <v>0</v>
      </c>
      <c r="H132" s="502">
        <f t="shared" si="13"/>
        <v>0</v>
      </c>
      <c r="I132" s="504">
        <f>SUM(B132:H132)</f>
        <v>0</v>
      </c>
    </row>
    <row r="133" spans="1:9" x14ac:dyDescent="0.2">
      <c r="A133" s="505"/>
      <c r="B133" s="506"/>
      <c r="C133" s="506"/>
      <c r="D133" s="506"/>
      <c r="E133" s="506"/>
      <c r="F133" s="506"/>
      <c r="G133" s="506"/>
      <c r="H133" s="506"/>
      <c r="I133" s="507"/>
    </row>
    <row r="134" spans="1:9" ht="13.5" thickBot="1" x14ac:dyDescent="0.25">
      <c r="A134" s="501"/>
      <c r="B134" s="502"/>
      <c r="C134" s="502"/>
      <c r="D134" s="502"/>
      <c r="E134" s="502"/>
      <c r="F134" s="502"/>
      <c r="G134" s="502"/>
      <c r="H134" s="502"/>
      <c r="I134" s="503"/>
    </row>
    <row r="135" spans="1:9" x14ac:dyDescent="0.2">
      <c r="A135" s="414">
        <v>0</v>
      </c>
      <c r="B135" s="493" t="s">
        <v>404</v>
      </c>
      <c r="C135" s="6"/>
      <c r="D135" s="6"/>
      <c r="E135" s="6"/>
      <c r="F135" s="6"/>
      <c r="G135" s="6"/>
      <c r="H135" s="6"/>
      <c r="I135" s="333"/>
    </row>
    <row r="136" spans="1:9" ht="13.5" thickBot="1" x14ac:dyDescent="0.25">
      <c r="A136" s="414">
        <v>0</v>
      </c>
      <c r="B136" s="414" t="s">
        <v>758</v>
      </c>
      <c r="C136"/>
      <c r="D136"/>
      <c r="E136"/>
      <c r="F136"/>
      <c r="G136"/>
      <c r="H136"/>
      <c r="I136"/>
    </row>
    <row r="137" spans="1:9" x14ac:dyDescent="0.2">
      <c r="A137" s="495">
        <v>0</v>
      </c>
      <c r="B137" s="508">
        <v>1.9</v>
      </c>
      <c r="C137" s="496">
        <v>1.9</v>
      </c>
      <c r="D137" s="496">
        <v>1.9</v>
      </c>
      <c r="E137" s="496">
        <v>1.9</v>
      </c>
      <c r="F137" s="496">
        <v>1.9</v>
      </c>
      <c r="G137" s="496">
        <v>1.9</v>
      </c>
      <c r="H137" s="496">
        <v>1.9</v>
      </c>
      <c r="I137" s="507"/>
    </row>
    <row r="138" spans="1:9" x14ac:dyDescent="0.2">
      <c r="A138" s="498" t="s">
        <v>457</v>
      </c>
      <c r="B138" s="499">
        <f>IF(B118-A139-F118&lt;=0,0,B118-A139-F118)</f>
        <v>0</v>
      </c>
      <c r="C138" s="499">
        <f>IF(C118&lt;=E118,0,C118-E118)</f>
        <v>0</v>
      </c>
      <c r="D138" s="499">
        <f>+D118</f>
        <v>0</v>
      </c>
      <c r="E138" s="499">
        <f>+E118</f>
        <v>0</v>
      </c>
      <c r="F138" s="499">
        <f>+F118</f>
        <v>0</v>
      </c>
      <c r="G138" s="499">
        <f>+G118</f>
        <v>0</v>
      </c>
      <c r="H138" s="499">
        <f>+H118</f>
        <v>0</v>
      </c>
      <c r="I138" s="500"/>
    </row>
    <row r="139" spans="1:9" ht="13.5" thickBot="1" x14ac:dyDescent="0.25">
      <c r="A139" s="509">
        <f>IF(E118-D118-C118&lt;=0,0,(E118-D118-C118)*2)</f>
        <v>0</v>
      </c>
      <c r="B139" s="502">
        <f>+(CEILING((B138/4),1)*B137)</f>
        <v>0</v>
      </c>
      <c r="C139" s="502">
        <f>+(CEILING((C138/2),1)*C137)</f>
        <v>0</v>
      </c>
      <c r="D139" s="502">
        <f>+(CEILING((D138/2),1)*D137)</f>
        <v>0</v>
      </c>
      <c r="E139" s="502">
        <f>+E137*E138</f>
        <v>0</v>
      </c>
      <c r="F139" s="502">
        <f>+F137*F138</f>
        <v>0</v>
      </c>
      <c r="G139" s="502">
        <f>+G137*G138</f>
        <v>0</v>
      </c>
      <c r="H139" s="502">
        <f>+H137*H138</f>
        <v>0</v>
      </c>
      <c r="I139" s="503">
        <f>SUM(B139:H139)</f>
        <v>0</v>
      </c>
    </row>
    <row r="140" spans="1:9" x14ac:dyDescent="0.2">
      <c r="A140" s="495"/>
      <c r="B140" s="508"/>
      <c r="C140" s="496"/>
      <c r="D140" s="496"/>
      <c r="E140" s="496"/>
      <c r="F140" s="496"/>
      <c r="G140" s="496"/>
      <c r="H140" s="496"/>
      <c r="I140" s="507"/>
    </row>
    <row r="141" spans="1:9" x14ac:dyDescent="0.2">
      <c r="A141" s="498"/>
      <c r="B141" s="499"/>
      <c r="C141" s="499"/>
      <c r="D141" s="499"/>
      <c r="E141" s="499"/>
      <c r="F141" s="499"/>
      <c r="G141" s="499"/>
      <c r="H141" s="499"/>
      <c r="I141" s="500"/>
    </row>
    <row r="142" spans="1:9" ht="13.5" thickBot="1" x14ac:dyDescent="0.25">
      <c r="A142" s="509"/>
      <c r="B142" s="502"/>
      <c r="C142" s="502"/>
      <c r="D142" s="502"/>
      <c r="E142" s="502"/>
      <c r="F142" s="502"/>
      <c r="G142" s="502"/>
      <c r="H142" s="502"/>
      <c r="I142" s="503"/>
    </row>
    <row r="143" spans="1:9" x14ac:dyDescent="0.2">
      <c r="A143" s="495">
        <v>0</v>
      </c>
      <c r="B143" s="508">
        <v>0.85</v>
      </c>
      <c r="C143" s="496">
        <v>0.85</v>
      </c>
      <c r="D143" s="496">
        <v>0.85</v>
      </c>
      <c r="E143" s="496">
        <v>0.85</v>
      </c>
      <c r="F143" s="496">
        <v>0.85</v>
      </c>
      <c r="G143" s="496">
        <v>0.85</v>
      </c>
      <c r="H143" s="496">
        <v>0.85</v>
      </c>
      <c r="I143" s="507"/>
    </row>
    <row r="144" spans="1:9" x14ac:dyDescent="0.2">
      <c r="A144" s="498" t="s">
        <v>459</v>
      </c>
      <c r="B144" s="499">
        <f>IF(B119-A145-F119&lt;=0,0,B119-A145-F119)</f>
        <v>0</v>
      </c>
      <c r="C144" s="499">
        <f>IF(C119+D119&lt;=E119,0,C119+D119-E119)</f>
        <v>0</v>
      </c>
      <c r="D144" s="499"/>
      <c r="E144" s="499">
        <f>+E119</f>
        <v>0</v>
      </c>
      <c r="F144" s="499">
        <f>+F119</f>
        <v>0</v>
      </c>
      <c r="G144" s="499">
        <f>+G119</f>
        <v>0</v>
      </c>
      <c r="H144" s="499">
        <f>+H119</f>
        <v>0</v>
      </c>
      <c r="I144" s="500"/>
    </row>
    <row r="145" spans="1:9" ht="13.5" thickBot="1" x14ac:dyDescent="0.25">
      <c r="A145" s="509">
        <f>IF(E119-D119-C119&lt;=0,0,(E119-D119-C119)*2)</f>
        <v>0</v>
      </c>
      <c r="B145" s="502">
        <f>+(CEILING((B144/4),1)*B143)</f>
        <v>0</v>
      </c>
      <c r="C145" s="502">
        <f>+(CEILING((C144/2),1)*C143)</f>
        <v>0</v>
      </c>
      <c r="D145" s="502">
        <f>+(CEILING((D144/2),1)*D143)</f>
        <v>0</v>
      </c>
      <c r="E145" s="502">
        <f>+E143*E144</f>
        <v>0</v>
      </c>
      <c r="F145" s="502">
        <f>+F143*F144</f>
        <v>0</v>
      </c>
      <c r="G145" s="502">
        <f>+G143*G144</f>
        <v>0</v>
      </c>
      <c r="H145" s="502">
        <f>+H143*H144</f>
        <v>0</v>
      </c>
      <c r="I145" s="503">
        <f>SUM(B145:H145)</f>
        <v>0</v>
      </c>
    </row>
    <row r="146" spans="1:9" x14ac:dyDescent="0.2">
      <c r="A146" s="495">
        <v>0</v>
      </c>
      <c r="B146" s="508">
        <v>0.85</v>
      </c>
      <c r="C146" s="496">
        <v>0.85</v>
      </c>
      <c r="D146" s="496">
        <v>0.85</v>
      </c>
      <c r="E146" s="496">
        <v>0.85</v>
      </c>
      <c r="F146" s="496">
        <v>0.85</v>
      </c>
      <c r="G146" s="496">
        <v>0.85</v>
      </c>
      <c r="H146" s="496">
        <v>0.85</v>
      </c>
      <c r="I146" s="507"/>
    </row>
    <row r="147" spans="1:9" x14ac:dyDescent="0.2">
      <c r="A147" s="498" t="s">
        <v>763</v>
      </c>
      <c r="B147" s="499">
        <f>IF(B120-A148-F120&lt;=0,0,B120-A148-F120)</f>
        <v>0</v>
      </c>
      <c r="C147" s="499">
        <f>IF(C120+D120&lt;=E120,0,C120+D120-E120)</f>
        <v>0</v>
      </c>
      <c r="D147" s="499"/>
      <c r="E147" s="499">
        <f>+E120</f>
        <v>0</v>
      </c>
      <c r="F147" s="499">
        <f>+F120</f>
        <v>0</v>
      </c>
      <c r="G147" s="499">
        <f>+G120</f>
        <v>0</v>
      </c>
      <c r="H147" s="499">
        <f>+H120</f>
        <v>0</v>
      </c>
      <c r="I147" s="500"/>
    </row>
    <row r="148" spans="1:9" ht="13.5" thickBot="1" x14ac:dyDescent="0.25">
      <c r="A148" s="510">
        <f>IF(E120-D120-C120&lt;=0,0,(E120-D120-C120)*2)</f>
        <v>0</v>
      </c>
      <c r="B148" s="502">
        <f>+(CEILING((B147/4),1)*B146)</f>
        <v>0</v>
      </c>
      <c r="C148" s="502">
        <f>+(CEILING((C147/2),1)*C146)</f>
        <v>0</v>
      </c>
      <c r="D148" s="502">
        <f>+(CEILING((D147/2),1)*D146)</f>
        <v>0</v>
      </c>
      <c r="E148" s="502">
        <f>+E146*E147</f>
        <v>0</v>
      </c>
      <c r="F148" s="502">
        <f>+F146*F147</f>
        <v>0</v>
      </c>
      <c r="G148" s="502">
        <f>+G146*G147</f>
        <v>0</v>
      </c>
      <c r="H148" s="502">
        <f>+H146*H147</f>
        <v>0</v>
      </c>
      <c r="I148" s="503">
        <f>SUM(B148:H148)</f>
        <v>0</v>
      </c>
    </row>
    <row r="149" spans="1:9" x14ac:dyDescent="0.2">
      <c r="A149" s="511">
        <f>IF(E121-D121-C121&lt;=0,0,(E121-D121-C121)*2)</f>
        <v>0</v>
      </c>
      <c r="B149" s="496">
        <v>0.34</v>
      </c>
      <c r="C149" s="496">
        <v>0.62</v>
      </c>
      <c r="D149" s="496">
        <v>0.76</v>
      </c>
      <c r="E149" s="496">
        <v>0.9</v>
      </c>
      <c r="F149" s="496">
        <v>1.18</v>
      </c>
      <c r="G149" s="496">
        <v>1.46</v>
      </c>
      <c r="H149" s="496">
        <v>1.43</v>
      </c>
      <c r="I149" s="507"/>
    </row>
    <row r="150" spans="1:9" x14ac:dyDescent="0.2">
      <c r="A150" s="512" t="s">
        <v>106</v>
      </c>
      <c r="B150" s="499">
        <f>IF(B121-A149-F121&lt;=0,0,B121-A149-F121)</f>
        <v>0</v>
      </c>
      <c r="C150" s="499">
        <f>IF(C121+D121&lt;=E121,0,C121+D121-E121)</f>
        <v>0</v>
      </c>
      <c r="D150" s="499"/>
      <c r="E150" s="499">
        <f>+E121</f>
        <v>0</v>
      </c>
      <c r="F150" s="499">
        <f>+F121</f>
        <v>0</v>
      </c>
      <c r="G150" s="499">
        <f>+G121</f>
        <v>0</v>
      </c>
      <c r="H150" s="499">
        <f>+H121</f>
        <v>0</v>
      </c>
      <c r="I150" s="500"/>
    </row>
    <row r="151" spans="1:9" ht="13.5" thickBot="1" x14ac:dyDescent="0.25">
      <c r="A151" s="501" t="s">
        <v>764</v>
      </c>
      <c r="B151" s="502">
        <f t="shared" ref="B151:H151" si="14">+(CEILING((B150/3),1)*B149)</f>
        <v>0</v>
      </c>
      <c r="C151" s="502">
        <f t="shared" si="14"/>
        <v>0</v>
      </c>
      <c r="D151" s="502">
        <f t="shared" si="14"/>
        <v>0</v>
      </c>
      <c r="E151" s="502">
        <f t="shared" si="14"/>
        <v>0</v>
      </c>
      <c r="F151" s="502">
        <f t="shared" si="14"/>
        <v>0</v>
      </c>
      <c r="G151" s="502">
        <f t="shared" si="14"/>
        <v>0</v>
      </c>
      <c r="H151" s="502">
        <f t="shared" si="14"/>
        <v>0</v>
      </c>
      <c r="I151" s="503">
        <f>SUM(B151:H151)</f>
        <v>0</v>
      </c>
    </row>
    <row r="152" spans="1:9" x14ac:dyDescent="0.2">
      <c r="A152" s="511">
        <f>IF(E122-D122-C122&lt;=0,0,(E122-D122-C122)*2)</f>
        <v>0</v>
      </c>
      <c r="B152" s="508">
        <v>1.07</v>
      </c>
      <c r="C152" s="496">
        <v>1.07</v>
      </c>
      <c r="D152" s="496">
        <v>1.07</v>
      </c>
      <c r="E152" s="496">
        <v>1.07</v>
      </c>
      <c r="F152" s="496">
        <v>1.07</v>
      </c>
      <c r="G152" s="496">
        <v>1.07</v>
      </c>
      <c r="H152" s="496">
        <v>1.07</v>
      </c>
      <c r="I152" s="507"/>
    </row>
    <row r="153" spans="1:9" x14ac:dyDescent="0.2">
      <c r="A153" s="512" t="s">
        <v>106</v>
      </c>
      <c r="B153" s="499">
        <f>IF(B122-A152-F122&lt;=0,0,B122-A152-F122)</f>
        <v>0</v>
      </c>
      <c r="C153" s="499">
        <f>IF(C122+D122&lt;=E122,0,C122+D122-E122)</f>
        <v>0</v>
      </c>
      <c r="D153" s="499"/>
      <c r="E153" s="499">
        <f>+E122</f>
        <v>0</v>
      </c>
      <c r="F153" s="499">
        <f>+F122</f>
        <v>0</v>
      </c>
      <c r="G153" s="499">
        <f>+G122</f>
        <v>0</v>
      </c>
      <c r="H153" s="499">
        <f>+H122</f>
        <v>0</v>
      </c>
      <c r="I153" s="500"/>
    </row>
    <row r="154" spans="1:9" ht="13.5" thickBot="1" x14ac:dyDescent="0.25">
      <c r="A154" s="501" t="s">
        <v>765</v>
      </c>
      <c r="B154" s="502">
        <f>+(CEILING((B153/4),1)*B152)</f>
        <v>0</v>
      </c>
      <c r="C154" s="502">
        <f>+(CEILING((C153/2),1)*C152)</f>
        <v>0</v>
      </c>
      <c r="D154" s="502">
        <f>+(CEILING((D153/2),1)*D152)</f>
        <v>0</v>
      </c>
      <c r="E154" s="502">
        <f>+E152*E153</f>
        <v>0</v>
      </c>
      <c r="F154" s="502">
        <f>+F152*F153</f>
        <v>0</v>
      </c>
      <c r="G154" s="502">
        <f>+G152*G153</f>
        <v>0</v>
      </c>
      <c r="H154" s="502">
        <f>+H152*H153</f>
        <v>0</v>
      </c>
      <c r="I154" s="503">
        <f>SUM(B154:H154)</f>
        <v>0</v>
      </c>
    </row>
    <row r="155" spans="1:9" x14ac:dyDescent="0.2">
      <c r="A155" s="495">
        <v>0</v>
      </c>
      <c r="B155" s="496"/>
      <c r="C155" s="496">
        <v>0.62</v>
      </c>
      <c r="D155" s="496">
        <v>0.76</v>
      </c>
      <c r="E155" s="496">
        <v>0.9</v>
      </c>
      <c r="F155" s="496">
        <v>1.18</v>
      </c>
      <c r="G155" s="496"/>
      <c r="H155" s="496"/>
      <c r="I155" s="507"/>
    </row>
    <row r="156" spans="1:9" x14ac:dyDescent="0.2">
      <c r="A156" s="512" t="s">
        <v>766</v>
      </c>
      <c r="B156" s="499"/>
      <c r="C156" s="499">
        <f>+C123</f>
        <v>0</v>
      </c>
      <c r="D156" s="499">
        <f>+D123</f>
        <v>0</v>
      </c>
      <c r="E156" s="499">
        <f>+E123</f>
        <v>0</v>
      </c>
      <c r="F156" s="499">
        <f>+F123</f>
        <v>0</v>
      </c>
      <c r="G156" s="499"/>
      <c r="H156" s="499"/>
      <c r="I156" s="500"/>
    </row>
    <row r="157" spans="1:9" ht="13.5" thickBot="1" x14ac:dyDescent="0.25">
      <c r="A157" s="513">
        <v>0</v>
      </c>
      <c r="B157" s="514"/>
      <c r="C157" s="514">
        <f>+(CEILING((C156/3),1)*C155)</f>
        <v>0</v>
      </c>
      <c r="D157" s="514">
        <f>+(CEILING((D156/3),1)*D155)</f>
        <v>0</v>
      </c>
      <c r="E157" s="514">
        <f>+(CEILING((E156/3),1)*E155)</f>
        <v>0</v>
      </c>
      <c r="F157" s="514">
        <f>+(CEILING((F156/3),1)*F155)</f>
        <v>0</v>
      </c>
      <c r="G157" s="514"/>
      <c r="H157" s="502"/>
      <c r="I157" s="503">
        <f>SUM(B157:H157)</f>
        <v>0</v>
      </c>
    </row>
    <row r="158" spans="1:9" x14ac:dyDescent="0.2">
      <c r="A158" s="495">
        <v>0</v>
      </c>
      <c r="B158" s="508"/>
      <c r="C158" s="496">
        <v>0.62</v>
      </c>
      <c r="D158" s="496">
        <v>0.76</v>
      </c>
      <c r="E158" s="496">
        <v>0.9</v>
      </c>
      <c r="F158" s="496">
        <v>1.18</v>
      </c>
      <c r="G158" s="496"/>
      <c r="H158" s="496"/>
      <c r="I158" s="507"/>
    </row>
    <row r="159" spans="1:9" x14ac:dyDescent="0.2">
      <c r="A159" s="512" t="s">
        <v>767</v>
      </c>
      <c r="B159" s="515"/>
      <c r="C159" s="499" t="b">
        <f>+C124</f>
        <v>0</v>
      </c>
      <c r="D159" s="499" t="b">
        <f>+D124</f>
        <v>0</v>
      </c>
      <c r="E159" s="499" t="b">
        <f>+E124</f>
        <v>0</v>
      </c>
      <c r="F159" s="499" t="b">
        <f>+F124</f>
        <v>0</v>
      </c>
      <c r="G159" s="499"/>
      <c r="H159" s="499"/>
      <c r="I159" s="500"/>
    </row>
    <row r="160" spans="1:9" ht="13.5" thickBot="1" x14ac:dyDescent="0.25">
      <c r="A160" s="513">
        <v>0</v>
      </c>
      <c r="B160" s="516"/>
      <c r="C160" s="514">
        <f>+(CEILING((C159/5),1)*C158)</f>
        <v>0</v>
      </c>
      <c r="D160" s="514">
        <f>+(CEILING((D159/5),1)*D158)</f>
        <v>0</v>
      </c>
      <c r="E160" s="514">
        <f>+(CEILING((E159/5),1)*E158)</f>
        <v>0</v>
      </c>
      <c r="F160" s="514">
        <f>+(CEILING((F159/5),1)*F158)</f>
        <v>0</v>
      </c>
      <c r="G160" s="514"/>
      <c r="H160" s="502"/>
      <c r="I160" s="503">
        <f>SUM(B160:H160)</f>
        <v>0</v>
      </c>
    </row>
    <row r="161" spans="1:9" ht="13.5" thickBot="1" x14ac:dyDescent="0.25">
      <c r="A161" s="414">
        <v>0</v>
      </c>
      <c r="B161" s="333"/>
      <c r="C161" s="333"/>
      <c r="D161" s="333"/>
      <c r="E161" s="333"/>
      <c r="F161" s="333"/>
      <c r="G161" s="333"/>
      <c r="H161" s="333"/>
      <c r="I161" s="517">
        <f>SUM(I130:I154)</f>
        <v>0</v>
      </c>
    </row>
    <row r="162" spans="1:9" x14ac:dyDescent="0.2">
      <c r="A162" s="409">
        <v>0</v>
      </c>
    </row>
    <row r="163" spans="1:9" ht="13.5" thickBot="1" x14ac:dyDescent="0.25">
      <c r="A163" s="409">
        <v>0</v>
      </c>
    </row>
    <row r="164" spans="1:9" ht="18.75" thickBot="1" x14ac:dyDescent="0.3">
      <c r="A164" s="487" t="s">
        <v>755</v>
      </c>
      <c r="B164" s="386">
        <v>4</v>
      </c>
      <c r="C164" s="488">
        <f>+Cant.!AO74</f>
        <v>0</v>
      </c>
      <c r="D164" s="488"/>
      <c r="E164" s="488"/>
      <c r="F164" s="753">
        <f>(I215*1)</f>
        <v>0</v>
      </c>
      <c r="G164" s="120" t="s">
        <v>756</v>
      </c>
    </row>
    <row r="165" spans="1:9" x14ac:dyDescent="0.2">
      <c r="A165" s="120">
        <v>0</v>
      </c>
      <c r="B165" s="414" t="s">
        <v>479</v>
      </c>
    </row>
    <row r="166" spans="1:9" ht="18" x14ac:dyDescent="0.25">
      <c r="A166" s="120">
        <v>0</v>
      </c>
      <c r="B166" s="489">
        <v>28</v>
      </c>
      <c r="C166" s="489">
        <v>56</v>
      </c>
      <c r="D166" s="489">
        <v>70</v>
      </c>
      <c r="E166" s="489">
        <v>84</v>
      </c>
      <c r="F166" s="489">
        <v>112</v>
      </c>
      <c r="G166" s="489">
        <v>1.4</v>
      </c>
      <c r="H166" s="489" t="s">
        <v>757</v>
      </c>
    </row>
    <row r="167" spans="1:9" x14ac:dyDescent="0.2">
      <c r="A167" s="490">
        <v>40</v>
      </c>
      <c r="B167" s="491">
        <f>+Cant.!AO77</f>
        <v>0</v>
      </c>
      <c r="C167" s="491">
        <f>+Cant.!AP77</f>
        <v>0</v>
      </c>
      <c r="D167" s="491">
        <f>+Cant.!AQ77</f>
        <v>0</v>
      </c>
      <c r="E167" s="491">
        <f>+Cant.!AR77</f>
        <v>0</v>
      </c>
      <c r="F167" s="491">
        <f>+Cant.!AS77</f>
        <v>0</v>
      </c>
      <c r="G167" s="491">
        <f>+Cant.!AT77</f>
        <v>0</v>
      </c>
      <c r="H167" s="491">
        <f>+Cant.!AU77</f>
        <v>0</v>
      </c>
    </row>
    <row r="168" spans="1:9" x14ac:dyDescent="0.2">
      <c r="A168" s="490">
        <v>28</v>
      </c>
      <c r="B168" s="491">
        <f>+Cant.!AO78</f>
        <v>0</v>
      </c>
      <c r="C168" s="491">
        <f>+Cant.!AP78</f>
        <v>0</v>
      </c>
      <c r="D168" s="491">
        <f>+Cant.!AQ78</f>
        <v>0</v>
      </c>
      <c r="E168" s="491">
        <f>+Cant.!AR78</f>
        <v>0</v>
      </c>
      <c r="F168" s="491">
        <f>+Cant.!AS78</f>
        <v>0</v>
      </c>
      <c r="G168" s="491">
        <f>+Cant.!AT78</f>
        <v>0</v>
      </c>
      <c r="H168" s="491">
        <f>+Cant.!AU78</f>
        <v>0</v>
      </c>
    </row>
    <row r="169" spans="1:9" x14ac:dyDescent="0.2">
      <c r="A169" s="490">
        <v>20</v>
      </c>
      <c r="B169" s="491">
        <f>+Cant.!AO79</f>
        <v>0</v>
      </c>
      <c r="C169" s="491">
        <f>+Cant.!AP79</f>
        <v>0</v>
      </c>
      <c r="D169" s="491">
        <f>+Cant.!AQ79</f>
        <v>0</v>
      </c>
      <c r="E169" s="491">
        <f>+Cant.!AR79</f>
        <v>0</v>
      </c>
      <c r="F169" s="491">
        <f>+Cant.!AS79</f>
        <v>0</v>
      </c>
      <c r="G169" s="491">
        <f>+Cant.!AT79</f>
        <v>0</v>
      </c>
      <c r="H169" s="491">
        <f>+Cant.!AU79</f>
        <v>0</v>
      </c>
    </row>
    <row r="170" spans="1:9" x14ac:dyDescent="0.2">
      <c r="A170" s="492">
        <v>0</v>
      </c>
      <c r="B170" s="493" t="s">
        <v>404</v>
      </c>
    </row>
    <row r="171" spans="1:9" x14ac:dyDescent="0.2">
      <c r="A171" s="492">
        <v>0</v>
      </c>
      <c r="B171" s="414" t="s">
        <v>758</v>
      </c>
    </row>
    <row r="172" spans="1:9" x14ac:dyDescent="0.2">
      <c r="A172" s="490" t="s">
        <v>422</v>
      </c>
      <c r="B172" s="491">
        <f>+Cant.!AO83</f>
        <v>0</v>
      </c>
      <c r="C172" s="491">
        <f>+Cant.!AP83</f>
        <v>0</v>
      </c>
      <c r="D172" s="491">
        <f>+Cant.!AQ83</f>
        <v>0</v>
      </c>
      <c r="E172" s="491">
        <f>+Cant.!AR83</f>
        <v>0</v>
      </c>
      <c r="F172" s="491">
        <f>+Cant.!AS83</f>
        <v>0</v>
      </c>
      <c r="G172" s="491">
        <f>+Cant.!AT83</f>
        <v>0</v>
      </c>
      <c r="H172" s="491">
        <f>+Cant.!AU83</f>
        <v>0</v>
      </c>
    </row>
    <row r="173" spans="1:9" x14ac:dyDescent="0.2">
      <c r="A173" s="118" t="s">
        <v>426</v>
      </c>
      <c r="B173" s="491">
        <f>+Cant.!AO84</f>
        <v>0</v>
      </c>
      <c r="C173" s="491">
        <f>+Cant.!AP84</f>
        <v>0</v>
      </c>
      <c r="D173" s="491">
        <f>+Cant.!AQ84</f>
        <v>0</v>
      </c>
      <c r="E173" s="491">
        <f>+Cant.!AR84</f>
        <v>0</v>
      </c>
      <c r="F173" s="491">
        <f>+Cant.!AS84</f>
        <v>0</v>
      </c>
      <c r="G173" s="491">
        <f>+Cant.!AT84</f>
        <v>0</v>
      </c>
      <c r="H173" s="491">
        <f>+Cant.!AU84</f>
        <v>0</v>
      </c>
      <c r="I173"/>
    </row>
    <row r="174" spans="1:9" x14ac:dyDescent="0.2">
      <c r="A174" s="118" t="s">
        <v>429</v>
      </c>
      <c r="B174" s="491">
        <f>+Cant.!AO85</f>
        <v>0</v>
      </c>
      <c r="C174" s="491">
        <f>+Cant.!AP85</f>
        <v>0</v>
      </c>
      <c r="D174" s="491">
        <f>+Cant.!AQ85</f>
        <v>0</v>
      </c>
      <c r="E174" s="491">
        <f>+Cant.!AR85</f>
        <v>0</v>
      </c>
      <c r="F174" s="491">
        <f>+Cant.!AS85</f>
        <v>0</v>
      </c>
      <c r="G174" s="491">
        <f>+Cant.!AT85</f>
        <v>0</v>
      </c>
      <c r="H174" s="491">
        <f>+Cant.!AU85</f>
        <v>0</v>
      </c>
      <c r="I174"/>
    </row>
    <row r="175" spans="1:9" x14ac:dyDescent="0.2">
      <c r="A175" s="118" t="s">
        <v>759</v>
      </c>
      <c r="B175" s="491">
        <f>+Cant.!AO86</f>
        <v>0</v>
      </c>
      <c r="C175" s="491">
        <f>+Cant.!AP86</f>
        <v>0</v>
      </c>
      <c r="D175" s="491">
        <f>+Cant.!AQ86</f>
        <v>0</v>
      </c>
      <c r="E175" s="491">
        <f>+Cant.!AR86</f>
        <v>0</v>
      </c>
      <c r="F175" s="491">
        <f>+Cant.!AS86</f>
        <v>0</v>
      </c>
      <c r="G175" s="491">
        <f>+Cant.!AT86</f>
        <v>0</v>
      </c>
      <c r="H175" s="491">
        <f>+Cant.!AU86</f>
        <v>0</v>
      </c>
      <c r="I175"/>
    </row>
    <row r="176" spans="1:9" x14ac:dyDescent="0.2">
      <c r="A176" s="118" t="s">
        <v>760</v>
      </c>
      <c r="B176" s="491">
        <f>+Cant.!AO87</f>
        <v>0</v>
      </c>
      <c r="C176" s="491">
        <f>+Cant.!AP87</f>
        <v>0</v>
      </c>
      <c r="D176" s="491">
        <f>+Cant.!AQ87</f>
        <v>0</v>
      </c>
      <c r="E176" s="491">
        <f>+Cant.!AR87</f>
        <v>0</v>
      </c>
      <c r="F176" s="491">
        <f>+Cant.!AS87</f>
        <v>0</v>
      </c>
      <c r="G176" s="491">
        <f>+Cant.!AT87</f>
        <v>0</v>
      </c>
      <c r="H176" s="491">
        <f>+Cant.!AU87</f>
        <v>0</v>
      </c>
      <c r="I176"/>
    </row>
    <row r="177" spans="1:9" x14ac:dyDescent="0.2">
      <c r="A177" s="118" t="s">
        <v>761</v>
      </c>
      <c r="B177" s="494">
        <f>+Cant.!AO88</f>
        <v>0</v>
      </c>
      <c r="C177" s="491">
        <f>+Cant.!AP88</f>
        <v>0</v>
      </c>
      <c r="D177" s="491">
        <f>+Cant.!AQ88</f>
        <v>0</v>
      </c>
      <c r="E177" s="491">
        <f>+Cant.!AR88</f>
        <v>0</v>
      </c>
      <c r="F177" s="491">
        <f>+Cant.!AS88</f>
        <v>0</v>
      </c>
      <c r="G177" s="494">
        <f>+Cant.!AT88</f>
        <v>0</v>
      </c>
      <c r="H177" s="494">
        <f>+Cant.!AU88</f>
        <v>0</v>
      </c>
      <c r="I177"/>
    </row>
    <row r="178" spans="1:9" x14ac:dyDescent="0.2">
      <c r="A178" s="118" t="s">
        <v>762</v>
      </c>
      <c r="B178" s="494">
        <f>+Cant.!AO89</f>
        <v>0</v>
      </c>
      <c r="C178" s="491" t="b">
        <f>+Cant.!AP89</f>
        <v>0</v>
      </c>
      <c r="D178" s="491" t="b">
        <f>+Cant.!AQ89</f>
        <v>0</v>
      </c>
      <c r="E178" s="491" t="b">
        <f>+Cant.!AR89</f>
        <v>0</v>
      </c>
      <c r="F178" s="491" t="b">
        <f>+Cant.!AS89</f>
        <v>0</v>
      </c>
      <c r="G178" s="494">
        <f>+Cant.!AT89</f>
        <v>0</v>
      </c>
      <c r="H178" s="494">
        <f>+Cant.!AU89</f>
        <v>0</v>
      </c>
      <c r="I178"/>
    </row>
    <row r="179" spans="1:9" ht="18" x14ac:dyDescent="0.25">
      <c r="A179" s="414">
        <v>0</v>
      </c>
      <c r="C179" s="404"/>
      <c r="D179"/>
      <c r="E179"/>
      <c r="F179"/>
      <c r="G179"/>
      <c r="H179"/>
      <c r="I179"/>
    </row>
    <row r="180" spans="1:9" ht="18" x14ac:dyDescent="0.25">
      <c r="A180" s="414">
        <v>0</v>
      </c>
      <c r="B180" s="414" t="s">
        <v>479</v>
      </c>
      <c r="C180" s="404"/>
      <c r="D180"/>
      <c r="E180"/>
      <c r="F180"/>
      <c r="G180"/>
      <c r="H180"/>
      <c r="I180"/>
    </row>
    <row r="181" spans="1:9" ht="18.75" thickBot="1" x14ac:dyDescent="0.3">
      <c r="A181" s="414">
        <v>0</v>
      </c>
      <c r="B181" s="489">
        <v>28</v>
      </c>
      <c r="C181" s="489">
        <v>56</v>
      </c>
      <c r="D181" s="489">
        <v>70</v>
      </c>
      <c r="E181" s="489">
        <v>84</v>
      </c>
      <c r="F181" s="489">
        <v>112</v>
      </c>
      <c r="G181" s="489">
        <v>1.4</v>
      </c>
      <c r="H181" s="489" t="s">
        <v>757</v>
      </c>
      <c r="I181"/>
    </row>
    <row r="182" spans="1:9" ht="15.75" x14ac:dyDescent="0.25">
      <c r="A182" s="495">
        <v>0</v>
      </c>
      <c r="B182" s="496">
        <v>0.34</v>
      </c>
      <c r="C182" s="496">
        <v>0.62</v>
      </c>
      <c r="D182" s="496">
        <v>0.76</v>
      </c>
      <c r="E182" s="496">
        <v>0.9</v>
      </c>
      <c r="F182" s="496">
        <v>1.18</v>
      </c>
      <c r="G182" s="496">
        <v>1.46</v>
      </c>
      <c r="H182" s="496">
        <v>1.43</v>
      </c>
      <c r="I182" s="497"/>
    </row>
    <row r="183" spans="1:9" x14ac:dyDescent="0.2">
      <c r="A183" s="498">
        <v>40</v>
      </c>
      <c r="B183" s="499">
        <f t="shared" ref="B183:H183" si="15">+B167</f>
        <v>0</v>
      </c>
      <c r="C183" s="499">
        <f t="shared" si="15"/>
        <v>0</v>
      </c>
      <c r="D183" s="499">
        <f t="shared" si="15"/>
        <v>0</v>
      </c>
      <c r="E183" s="499">
        <f t="shared" si="15"/>
        <v>0</v>
      </c>
      <c r="F183" s="499">
        <f t="shared" si="15"/>
        <v>0</v>
      </c>
      <c r="G183" s="499">
        <f t="shared" si="15"/>
        <v>0</v>
      </c>
      <c r="H183" s="499">
        <f t="shared" si="15"/>
        <v>0</v>
      </c>
      <c r="I183" s="500"/>
    </row>
    <row r="184" spans="1:9" x14ac:dyDescent="0.2">
      <c r="A184" s="498">
        <v>0</v>
      </c>
      <c r="B184" s="1000">
        <f t="shared" ref="B184:H184" si="16">+(CEILING((B183/3),1)*B182)</f>
        <v>0</v>
      </c>
      <c r="C184" s="1000">
        <f t="shared" si="16"/>
        <v>0</v>
      </c>
      <c r="D184" s="1000">
        <f t="shared" si="16"/>
        <v>0</v>
      </c>
      <c r="E184" s="1000">
        <f t="shared" si="16"/>
        <v>0</v>
      </c>
      <c r="F184" s="1000">
        <f t="shared" si="16"/>
        <v>0</v>
      </c>
      <c r="G184" s="1000">
        <f t="shared" si="16"/>
        <v>0</v>
      </c>
      <c r="H184" s="1000">
        <f t="shared" si="16"/>
        <v>0</v>
      </c>
      <c r="I184" s="504">
        <f>SUM(B184:H184)</f>
        <v>0</v>
      </c>
    </row>
    <row r="185" spans="1:9" x14ac:dyDescent="0.2">
      <c r="A185" s="326"/>
      <c r="B185" s="351"/>
      <c r="C185" s="351"/>
      <c r="D185" s="351"/>
      <c r="E185" s="351"/>
      <c r="F185" s="351"/>
      <c r="G185" s="351"/>
      <c r="H185" s="351"/>
      <c r="I185" s="333"/>
    </row>
    <row r="186" spans="1:9" x14ac:dyDescent="0.2">
      <c r="A186" s="326"/>
      <c r="B186" s="333"/>
      <c r="C186" s="333"/>
      <c r="D186" s="333"/>
      <c r="E186" s="333"/>
      <c r="F186" s="333"/>
      <c r="G186" s="333"/>
      <c r="H186" s="333"/>
      <c r="I186" s="333"/>
    </row>
    <row r="187" spans="1:9" x14ac:dyDescent="0.2">
      <c r="A187" s="326"/>
      <c r="B187" s="351"/>
      <c r="C187" s="351"/>
      <c r="D187" s="351"/>
      <c r="E187" s="351"/>
      <c r="F187" s="351"/>
      <c r="G187" s="351"/>
      <c r="H187" s="351"/>
      <c r="I187" s="8"/>
    </row>
    <row r="188" spans="1:9" x14ac:dyDescent="0.2">
      <c r="A188" s="326"/>
      <c r="B188" s="333"/>
      <c r="C188" s="333"/>
      <c r="D188" s="333"/>
      <c r="E188" s="333"/>
      <c r="F188" s="333"/>
      <c r="G188" s="333"/>
      <c r="H188" s="333"/>
      <c r="I188" s="333"/>
    </row>
    <row r="189" spans="1:9" x14ac:dyDescent="0.2">
      <c r="A189" s="414">
        <v>0</v>
      </c>
      <c r="B189" s="493" t="s">
        <v>404</v>
      </c>
      <c r="C189" s="6"/>
      <c r="D189" s="6"/>
      <c r="E189" s="6"/>
      <c r="F189" s="6"/>
      <c r="G189" s="6"/>
      <c r="H189" s="6"/>
      <c r="I189" s="333"/>
    </row>
    <row r="190" spans="1:9" ht="13.5" thickBot="1" x14ac:dyDescent="0.25">
      <c r="A190" s="414">
        <v>0</v>
      </c>
      <c r="B190" s="414" t="s">
        <v>758</v>
      </c>
      <c r="C190"/>
      <c r="D190"/>
      <c r="E190"/>
      <c r="F190"/>
      <c r="G190"/>
      <c r="H190"/>
      <c r="I190"/>
    </row>
    <row r="191" spans="1:9" x14ac:dyDescent="0.2">
      <c r="A191" s="495">
        <v>0</v>
      </c>
      <c r="B191" s="508">
        <v>1.9</v>
      </c>
      <c r="C191" s="508">
        <v>1.9</v>
      </c>
      <c r="D191" s="508">
        <v>1.9</v>
      </c>
      <c r="E191" s="508">
        <v>1.9</v>
      </c>
      <c r="F191" s="508">
        <v>1.9</v>
      </c>
      <c r="G191" s="508">
        <v>1.9</v>
      </c>
      <c r="H191" s="508">
        <v>1.9</v>
      </c>
      <c r="I191" s="507"/>
    </row>
    <row r="192" spans="1:9" x14ac:dyDescent="0.2">
      <c r="A192" s="498" t="s">
        <v>457</v>
      </c>
      <c r="B192" s="499">
        <f>IF(B172-A193-F172&lt;=0,0,B172-A193-F172)</f>
        <v>0</v>
      </c>
      <c r="C192" s="499">
        <f>IF(C172&lt;=E172,0,C172-E172)</f>
        <v>0</v>
      </c>
      <c r="D192" s="499">
        <f>+D172</f>
        <v>0</v>
      </c>
      <c r="E192" s="499">
        <f>+E172</f>
        <v>0</v>
      </c>
      <c r="F192" s="499">
        <f>+F172</f>
        <v>0</v>
      </c>
      <c r="G192" s="499">
        <f>+G172</f>
        <v>0</v>
      </c>
      <c r="H192" s="499">
        <f>+H172</f>
        <v>0</v>
      </c>
      <c r="I192" s="500"/>
    </row>
    <row r="193" spans="1:9" ht="13.5" thickBot="1" x14ac:dyDescent="0.25">
      <c r="A193" s="509">
        <f>IF(E172-D172-C172&lt;=0,0,(E172-D172-C172)*2)</f>
        <v>0</v>
      </c>
      <c r="B193" s="502">
        <f>+(CEILING((B192/4),1)*B191)</f>
        <v>0</v>
      </c>
      <c r="C193" s="502">
        <f>+(CEILING((C192/2),1)*C191)</f>
        <v>0</v>
      </c>
      <c r="D193" s="502">
        <f>+(CEILING((D192/2),1)*D191)</f>
        <v>0</v>
      </c>
      <c r="E193" s="502">
        <f>+E191*E192</f>
        <v>0</v>
      </c>
      <c r="F193" s="502">
        <f>+F191*F192</f>
        <v>0</v>
      </c>
      <c r="G193" s="502">
        <f>+G191*G192</f>
        <v>0</v>
      </c>
      <c r="H193" s="502">
        <f>+H191*H192</f>
        <v>0</v>
      </c>
      <c r="I193" s="503">
        <f>SUM(B193:H193)</f>
        <v>0</v>
      </c>
    </row>
    <row r="194" spans="1:9" x14ac:dyDescent="0.2">
      <c r="A194" s="495"/>
      <c r="B194" s="508"/>
      <c r="C194" s="496"/>
      <c r="D194" s="496"/>
      <c r="E194" s="496"/>
      <c r="F194" s="496"/>
      <c r="G194" s="496"/>
      <c r="H194" s="496"/>
      <c r="I194" s="507"/>
    </row>
    <row r="195" spans="1:9" x14ac:dyDescent="0.2">
      <c r="A195" s="498"/>
      <c r="B195" s="499"/>
      <c r="C195" s="499"/>
      <c r="D195" s="499"/>
      <c r="E195" s="499"/>
      <c r="F195" s="499"/>
      <c r="G195" s="499"/>
      <c r="H195" s="499"/>
      <c r="I195" s="500"/>
    </row>
    <row r="196" spans="1:9" ht="13.5" thickBot="1" x14ac:dyDescent="0.25">
      <c r="A196" s="509"/>
      <c r="B196" s="502"/>
      <c r="C196" s="502"/>
      <c r="D196" s="502"/>
      <c r="E196" s="502"/>
      <c r="F196" s="502"/>
      <c r="G196" s="502"/>
      <c r="H196" s="502"/>
      <c r="I196" s="503"/>
    </row>
    <row r="197" spans="1:9" x14ac:dyDescent="0.2">
      <c r="A197" s="495">
        <v>0</v>
      </c>
      <c r="B197" s="508">
        <v>0.85</v>
      </c>
      <c r="C197" s="496">
        <v>0.85</v>
      </c>
      <c r="D197" s="496">
        <v>0.85</v>
      </c>
      <c r="E197" s="496">
        <v>0.85</v>
      </c>
      <c r="F197" s="496">
        <v>0.85</v>
      </c>
      <c r="G197" s="496">
        <v>0.85</v>
      </c>
      <c r="H197" s="496">
        <v>0.85</v>
      </c>
      <c r="I197" s="507"/>
    </row>
    <row r="198" spans="1:9" x14ac:dyDescent="0.2">
      <c r="A198" s="498" t="s">
        <v>459</v>
      </c>
      <c r="B198" s="499">
        <f>IF(B173-A199-F173&lt;=0,0,B173-A199-F173)</f>
        <v>0</v>
      </c>
      <c r="C198" s="499">
        <f>IF(C173+D173&lt;=E173,0,C173+D173-E173)</f>
        <v>0</v>
      </c>
      <c r="D198" s="499"/>
      <c r="E198" s="499">
        <f>+E173</f>
        <v>0</v>
      </c>
      <c r="F198" s="499">
        <f>+F173</f>
        <v>0</v>
      </c>
      <c r="G198" s="499">
        <f>+G173</f>
        <v>0</v>
      </c>
      <c r="H198" s="499">
        <f>+H173</f>
        <v>0</v>
      </c>
      <c r="I198" s="500"/>
    </row>
    <row r="199" spans="1:9" ht="13.5" thickBot="1" x14ac:dyDescent="0.25">
      <c r="A199" s="509">
        <f>IF(E173-D173-C173&lt;=0,0,(E173-D173-C173)*2)</f>
        <v>0</v>
      </c>
      <c r="B199" s="502">
        <f>+(CEILING((B198/4),1)*B197)</f>
        <v>0</v>
      </c>
      <c r="C199" s="502">
        <f>+(CEILING((C198/2),1)*C197)</f>
        <v>0</v>
      </c>
      <c r="D199" s="502">
        <f>+(CEILING((D198/2),1)*D197)</f>
        <v>0</v>
      </c>
      <c r="E199" s="502">
        <f>+E197*E198</f>
        <v>0</v>
      </c>
      <c r="F199" s="502">
        <f>+F197*F198</f>
        <v>0</v>
      </c>
      <c r="G199" s="502">
        <f>+G197*G198</f>
        <v>0</v>
      </c>
      <c r="H199" s="502">
        <f>+H197*H198</f>
        <v>0</v>
      </c>
      <c r="I199" s="503">
        <f>SUM(B199:H199)</f>
        <v>0</v>
      </c>
    </row>
    <row r="200" spans="1:9" x14ac:dyDescent="0.2">
      <c r="A200" s="495">
        <v>0</v>
      </c>
      <c r="B200" s="508">
        <v>0.85</v>
      </c>
      <c r="C200" s="496">
        <v>0.85</v>
      </c>
      <c r="D200" s="496">
        <v>0.85</v>
      </c>
      <c r="E200" s="496">
        <v>0.85</v>
      </c>
      <c r="F200" s="496">
        <v>0.85</v>
      </c>
      <c r="G200" s="496">
        <v>0.85</v>
      </c>
      <c r="H200" s="496">
        <v>0.85</v>
      </c>
      <c r="I200" s="507"/>
    </row>
    <row r="201" spans="1:9" x14ac:dyDescent="0.2">
      <c r="A201" s="498" t="s">
        <v>763</v>
      </c>
      <c r="B201" s="499">
        <f>IF(B174-A202-F174&lt;=0,0,B174-A202-F174)</f>
        <v>0</v>
      </c>
      <c r="C201" s="499">
        <f>IF(C174+D174&lt;=E174,0,C174+D174-E174)</f>
        <v>0</v>
      </c>
      <c r="D201" s="499"/>
      <c r="E201" s="499">
        <f>+E174</f>
        <v>0</v>
      </c>
      <c r="F201" s="499">
        <f>+F174</f>
        <v>0</v>
      </c>
      <c r="G201" s="499">
        <f>+G174</f>
        <v>0</v>
      </c>
      <c r="H201" s="499">
        <f>+H174</f>
        <v>0</v>
      </c>
      <c r="I201" s="500"/>
    </row>
    <row r="202" spans="1:9" ht="13.5" thickBot="1" x14ac:dyDescent="0.25">
      <c r="A202" s="510">
        <f>IF(E174-D174-C174&lt;=0,0,(E174-D174-C174)*2)</f>
        <v>0</v>
      </c>
      <c r="B202" s="502">
        <f>+(CEILING((B201/4),1)*B200)</f>
        <v>0</v>
      </c>
      <c r="C202" s="502">
        <f>+(CEILING((C201/2),1)*C200)</f>
        <v>0</v>
      </c>
      <c r="D202" s="502">
        <f>+(CEILING((D201/2),1)*D200)</f>
        <v>0</v>
      </c>
      <c r="E202" s="502">
        <f>+E200*E201</f>
        <v>0</v>
      </c>
      <c r="F202" s="502">
        <f>+F200*F201</f>
        <v>0</v>
      </c>
      <c r="G202" s="502">
        <f>+G200*G201</f>
        <v>0</v>
      </c>
      <c r="H202" s="502">
        <f>+H200*H201</f>
        <v>0</v>
      </c>
      <c r="I202" s="503">
        <f>SUM(B202:H202)</f>
        <v>0</v>
      </c>
    </row>
    <row r="203" spans="1:9" x14ac:dyDescent="0.2">
      <c r="A203" s="511">
        <f>IF(E175-D175-C175&lt;=0,0,(E175-D175-C175)*2)</f>
        <v>0</v>
      </c>
      <c r="B203" s="496">
        <v>0.34</v>
      </c>
      <c r="C203" s="496">
        <v>0.62</v>
      </c>
      <c r="D203" s="496">
        <v>0.76</v>
      </c>
      <c r="E203" s="496">
        <v>0.9</v>
      </c>
      <c r="F203" s="496">
        <v>1.18</v>
      </c>
      <c r="G203" s="496">
        <v>1.46</v>
      </c>
      <c r="H203" s="496">
        <v>1.43</v>
      </c>
      <c r="I203" s="507"/>
    </row>
    <row r="204" spans="1:9" x14ac:dyDescent="0.2">
      <c r="A204" s="512" t="s">
        <v>106</v>
      </c>
      <c r="B204" s="499">
        <f>IF(B175-A203-F175&lt;=0,0,B175-A203-F175)</f>
        <v>0</v>
      </c>
      <c r="C204" s="499">
        <f>IF(C175+D175&lt;=E175,0,C175+D175-E175)</f>
        <v>0</v>
      </c>
      <c r="D204" s="499"/>
      <c r="E204" s="499">
        <f>+E175</f>
        <v>0</v>
      </c>
      <c r="F204" s="499">
        <f>+F175</f>
        <v>0</v>
      </c>
      <c r="G204" s="499">
        <f>+G175</f>
        <v>0</v>
      </c>
      <c r="H204" s="499">
        <f>+H175</f>
        <v>0</v>
      </c>
      <c r="I204" s="500"/>
    </row>
    <row r="205" spans="1:9" ht="13.5" thickBot="1" x14ac:dyDescent="0.25">
      <c r="A205" s="501" t="s">
        <v>764</v>
      </c>
      <c r="B205" s="502">
        <f t="shared" ref="B205:H205" si="17">+(CEILING((B204/3),1)*B203)</f>
        <v>0</v>
      </c>
      <c r="C205" s="502">
        <f t="shared" si="17"/>
        <v>0</v>
      </c>
      <c r="D205" s="502">
        <f t="shared" si="17"/>
        <v>0</v>
      </c>
      <c r="E205" s="502">
        <f t="shared" si="17"/>
        <v>0</v>
      </c>
      <c r="F205" s="502">
        <f t="shared" si="17"/>
        <v>0</v>
      </c>
      <c r="G205" s="502">
        <f t="shared" si="17"/>
        <v>0</v>
      </c>
      <c r="H205" s="502">
        <f t="shared" si="17"/>
        <v>0</v>
      </c>
      <c r="I205" s="503">
        <f>SUM(B205:H205)</f>
        <v>0</v>
      </c>
    </row>
    <row r="206" spans="1:9" x14ac:dyDescent="0.2">
      <c r="A206" s="511">
        <f>IF(E176-D176-C176&lt;=0,0,(E176-D176-C176)*2)</f>
        <v>0</v>
      </c>
      <c r="B206" s="508">
        <v>1.07</v>
      </c>
      <c r="C206" s="496">
        <v>1.07</v>
      </c>
      <c r="D206" s="496">
        <v>1.07</v>
      </c>
      <c r="E206" s="496">
        <v>1.07</v>
      </c>
      <c r="F206" s="496">
        <v>1.07</v>
      </c>
      <c r="G206" s="496">
        <v>1.07</v>
      </c>
      <c r="H206" s="496">
        <v>1.07</v>
      </c>
      <c r="I206" s="507"/>
    </row>
    <row r="207" spans="1:9" x14ac:dyDescent="0.2">
      <c r="A207" s="512" t="s">
        <v>106</v>
      </c>
      <c r="B207" s="499">
        <f>IF(B176-A206-F176&lt;=0,0,B176-A206-F176)</f>
        <v>0</v>
      </c>
      <c r="C207" s="499">
        <f>IF(C176+D176&lt;=E176,0,C176+D176-E176)</f>
        <v>0</v>
      </c>
      <c r="D207" s="499"/>
      <c r="E207" s="499">
        <f>+E176</f>
        <v>0</v>
      </c>
      <c r="F207" s="499">
        <f>+F176</f>
        <v>0</v>
      </c>
      <c r="G207" s="499">
        <f>+G176</f>
        <v>0</v>
      </c>
      <c r="H207" s="499">
        <f>+H176</f>
        <v>0</v>
      </c>
      <c r="I207" s="500"/>
    </row>
    <row r="208" spans="1:9" ht="13.5" thickBot="1" x14ac:dyDescent="0.25">
      <c r="A208" s="501" t="s">
        <v>765</v>
      </c>
      <c r="B208" s="502">
        <f>+(CEILING((B207/4),1)*B206)</f>
        <v>0</v>
      </c>
      <c r="C208" s="502">
        <f>+(CEILING((C207/2),1)*C206)</f>
        <v>0</v>
      </c>
      <c r="D208" s="502">
        <f>+(CEILING((D207/2),1)*D206)</f>
        <v>0</v>
      </c>
      <c r="E208" s="502">
        <f>+E206*E207</f>
        <v>0</v>
      </c>
      <c r="F208" s="502">
        <f>+F206*F207</f>
        <v>0</v>
      </c>
      <c r="G208" s="502">
        <f>+G206*G207</f>
        <v>0</v>
      </c>
      <c r="H208" s="502">
        <f>+H206*H207</f>
        <v>0</v>
      </c>
      <c r="I208" s="503">
        <f>SUM(B208:H208)</f>
        <v>0</v>
      </c>
    </row>
    <row r="209" spans="1:9" x14ac:dyDescent="0.2">
      <c r="A209" s="495">
        <v>0</v>
      </c>
      <c r="B209" s="496"/>
      <c r="C209" s="496">
        <v>0.62</v>
      </c>
      <c r="D209" s="496">
        <v>0.76</v>
      </c>
      <c r="E209" s="496">
        <v>0.9</v>
      </c>
      <c r="F209" s="496">
        <v>1.18</v>
      </c>
      <c r="G209" s="496"/>
      <c r="H209" s="496"/>
      <c r="I209" s="507"/>
    </row>
    <row r="210" spans="1:9" x14ac:dyDescent="0.2">
      <c r="A210" s="512" t="s">
        <v>766</v>
      </c>
      <c r="B210" s="499"/>
      <c r="C210" s="499">
        <f>+C177</f>
        <v>0</v>
      </c>
      <c r="D210" s="499">
        <f>+D177</f>
        <v>0</v>
      </c>
      <c r="E210" s="499">
        <f>+E177</f>
        <v>0</v>
      </c>
      <c r="F210" s="499">
        <f>+F177</f>
        <v>0</v>
      </c>
      <c r="G210" s="499"/>
      <c r="H210" s="499"/>
      <c r="I210" s="500"/>
    </row>
    <row r="211" spans="1:9" ht="13.5" thickBot="1" x14ac:dyDescent="0.25">
      <c r="A211" s="513">
        <v>0</v>
      </c>
      <c r="B211" s="514"/>
      <c r="C211" s="514">
        <f>+(CEILING((C210/3),1)*C209)</f>
        <v>0</v>
      </c>
      <c r="D211" s="514">
        <f>+(CEILING((D210/3),1)*D209)</f>
        <v>0</v>
      </c>
      <c r="E211" s="514">
        <f>+(CEILING((E210/3),1)*E209)</f>
        <v>0</v>
      </c>
      <c r="F211" s="514">
        <f>+(CEILING((F210/3),1)*F209)</f>
        <v>0</v>
      </c>
      <c r="G211" s="514"/>
      <c r="H211" s="502"/>
      <c r="I211" s="503">
        <f>SUM(B211:H211)</f>
        <v>0</v>
      </c>
    </row>
    <row r="212" spans="1:9" x14ac:dyDescent="0.2">
      <c r="A212" s="495">
        <v>0</v>
      </c>
      <c r="B212" s="508"/>
      <c r="C212" s="496">
        <v>0.62</v>
      </c>
      <c r="D212" s="496">
        <v>0.76</v>
      </c>
      <c r="E212" s="496">
        <v>0.9</v>
      </c>
      <c r="F212" s="496">
        <v>1.18</v>
      </c>
      <c r="G212" s="496"/>
      <c r="H212" s="496"/>
      <c r="I212" s="507"/>
    </row>
    <row r="213" spans="1:9" x14ac:dyDescent="0.2">
      <c r="A213" s="512" t="s">
        <v>767</v>
      </c>
      <c r="B213" s="515"/>
      <c r="C213" s="499" t="b">
        <f>+C178</f>
        <v>0</v>
      </c>
      <c r="D213" s="499" t="b">
        <f>+D178</f>
        <v>0</v>
      </c>
      <c r="E213" s="499" t="b">
        <f>+E178</f>
        <v>0</v>
      </c>
      <c r="F213" s="499" t="b">
        <f>+F178</f>
        <v>0</v>
      </c>
      <c r="G213" s="499"/>
      <c r="H213" s="499"/>
      <c r="I213" s="500"/>
    </row>
    <row r="214" spans="1:9" ht="13.5" thickBot="1" x14ac:dyDescent="0.25">
      <c r="A214" s="513">
        <v>0</v>
      </c>
      <c r="B214" s="516"/>
      <c r="C214" s="514">
        <f>+(CEILING((C213/5),1)*C212)</f>
        <v>0</v>
      </c>
      <c r="D214" s="514">
        <f>+(CEILING((D213/5),1)*D212)</f>
        <v>0</v>
      </c>
      <c r="E214" s="514">
        <f>+(CEILING((E213/5),1)*E212)</f>
        <v>0</v>
      </c>
      <c r="F214" s="514">
        <f>+(CEILING((F213/5),1)*F212)</f>
        <v>0</v>
      </c>
      <c r="G214" s="514"/>
      <c r="H214" s="502"/>
      <c r="I214" s="503">
        <f>SUM(B214:H214)</f>
        <v>0</v>
      </c>
    </row>
    <row r="215" spans="1:9" ht="13.5" thickBot="1" x14ac:dyDescent="0.25">
      <c r="A215" s="414">
        <v>0</v>
      </c>
      <c r="B215" s="333"/>
      <c r="C215" s="333"/>
      <c r="D215" s="333"/>
      <c r="E215" s="333"/>
      <c r="F215" s="333"/>
      <c r="G215" s="333"/>
      <c r="H215" s="333"/>
      <c r="I215" s="517">
        <f>SUM(I184:I208)</f>
        <v>0</v>
      </c>
    </row>
    <row r="216" spans="1:9" x14ac:dyDescent="0.2">
      <c r="A216" s="409">
        <v>0</v>
      </c>
    </row>
    <row r="217" spans="1:9" ht="13.5" thickBot="1" x14ac:dyDescent="0.25">
      <c r="A217" s="409">
        <v>0</v>
      </c>
    </row>
    <row r="218" spans="1:9" ht="18.75" thickBot="1" x14ac:dyDescent="0.3">
      <c r="A218" s="487" t="s">
        <v>755</v>
      </c>
      <c r="B218" s="386">
        <v>5</v>
      </c>
      <c r="C218" s="488">
        <f>+Cant.!AY13</f>
        <v>0</v>
      </c>
      <c r="D218" s="488"/>
      <c r="E218" s="488"/>
      <c r="F218" s="486">
        <f>CEILING((I269*1),1)</f>
        <v>0</v>
      </c>
      <c r="G218" s="120" t="s">
        <v>756</v>
      </c>
    </row>
    <row r="219" spans="1:9" x14ac:dyDescent="0.2">
      <c r="A219" s="120">
        <v>0</v>
      </c>
      <c r="B219" s="414" t="s">
        <v>479</v>
      </c>
    </row>
    <row r="220" spans="1:9" ht="18" x14ac:dyDescent="0.25">
      <c r="A220" s="120">
        <v>0</v>
      </c>
      <c r="B220" s="489">
        <v>28</v>
      </c>
      <c r="C220" s="489">
        <v>56</v>
      </c>
      <c r="D220" s="489">
        <v>70</v>
      </c>
      <c r="E220" s="489">
        <v>84</v>
      </c>
      <c r="F220" s="489">
        <v>112</v>
      </c>
      <c r="G220" s="489"/>
      <c r="H220" s="489" t="s">
        <v>757</v>
      </c>
    </row>
    <row r="221" spans="1:9" x14ac:dyDescent="0.2">
      <c r="A221" s="490">
        <v>40</v>
      </c>
      <c r="B221" s="491">
        <f>+Cant.!AY16</f>
        <v>0</v>
      </c>
      <c r="C221" s="491">
        <f>+Cant.!AZ16</f>
        <v>0</v>
      </c>
      <c r="D221" s="491">
        <f>+Cant.!BA16</f>
        <v>0</v>
      </c>
      <c r="E221" s="491">
        <f>+Cant.!BB16</f>
        <v>0</v>
      </c>
      <c r="F221" s="491">
        <f>+Cant.!BC16</f>
        <v>0</v>
      </c>
      <c r="G221" s="491">
        <f>+Cant.!BD16</f>
        <v>0</v>
      </c>
      <c r="H221" s="491">
        <f>+Cant.!BE16</f>
        <v>0</v>
      </c>
    </row>
    <row r="222" spans="1:9" x14ac:dyDescent="0.2">
      <c r="A222" s="490">
        <v>28</v>
      </c>
      <c r="B222" s="491">
        <f>+Cant.!AY17</f>
        <v>0</v>
      </c>
      <c r="C222" s="491">
        <f>+Cant.!AZ17</f>
        <v>0</v>
      </c>
      <c r="D222" s="491">
        <f>+Cant.!BA17</f>
        <v>0</v>
      </c>
      <c r="E222" s="491">
        <f>+Cant.!BB17</f>
        <v>0</v>
      </c>
      <c r="F222" s="491">
        <f>+Cant.!BC17</f>
        <v>0</v>
      </c>
      <c r="G222" s="491">
        <f>+Cant.!BD17</f>
        <v>0</v>
      </c>
      <c r="H222" s="491">
        <f>+Cant.!BE17</f>
        <v>0</v>
      </c>
    </row>
    <row r="223" spans="1:9" x14ac:dyDescent="0.2">
      <c r="A223" s="490">
        <v>20</v>
      </c>
      <c r="B223" s="491">
        <f>+Cant.!AY18</f>
        <v>0</v>
      </c>
      <c r="C223" s="491">
        <f>+Cant.!AZ18</f>
        <v>0</v>
      </c>
      <c r="D223" s="491">
        <f>+Cant.!BA18</f>
        <v>0</v>
      </c>
      <c r="E223" s="491">
        <f>+Cant.!BB18</f>
        <v>0</v>
      </c>
      <c r="F223" s="491">
        <f>+Cant.!BC18</f>
        <v>0</v>
      </c>
      <c r="G223" s="491">
        <f>+Cant.!BD18</f>
        <v>0</v>
      </c>
      <c r="H223" s="491">
        <f>+Cant.!BE18</f>
        <v>0</v>
      </c>
    </row>
    <row r="224" spans="1:9" x14ac:dyDescent="0.2">
      <c r="A224" s="492">
        <v>0</v>
      </c>
      <c r="B224" s="493" t="s">
        <v>404</v>
      </c>
    </row>
    <row r="225" spans="1:9" x14ac:dyDescent="0.2">
      <c r="A225" s="492">
        <v>0</v>
      </c>
      <c r="B225" s="414" t="s">
        <v>758</v>
      </c>
    </row>
    <row r="226" spans="1:9" x14ac:dyDescent="0.2">
      <c r="A226" s="490" t="s">
        <v>422</v>
      </c>
      <c r="B226" s="491">
        <f>+Cant.!AY22</f>
        <v>0</v>
      </c>
      <c r="C226" s="491">
        <f>+Cant.!AZ22</f>
        <v>0</v>
      </c>
      <c r="D226" s="491">
        <f>+Cant.!BA22</f>
        <v>0</v>
      </c>
      <c r="E226" s="491">
        <f>+Cant.!BB22</f>
        <v>0</v>
      </c>
      <c r="F226" s="491">
        <f>+Cant.!BC22</f>
        <v>0</v>
      </c>
      <c r="G226" s="491">
        <f>+Cant.!BD22</f>
        <v>0</v>
      </c>
      <c r="H226" s="491">
        <f>+Cant.!BE22</f>
        <v>0</v>
      </c>
    </row>
    <row r="227" spans="1:9" x14ac:dyDescent="0.2">
      <c r="A227" s="118" t="s">
        <v>426</v>
      </c>
      <c r="B227" s="491">
        <f>+Cant.!AY24</f>
        <v>0</v>
      </c>
      <c r="C227" s="491">
        <f>+Cant.!AZ24</f>
        <v>0</v>
      </c>
      <c r="D227" s="491">
        <f>+Cant.!BA24</f>
        <v>0</v>
      </c>
      <c r="E227" s="491">
        <f>+Cant.!BB24</f>
        <v>0</v>
      </c>
      <c r="F227" s="491">
        <f>+Cant.!BC24</f>
        <v>0</v>
      </c>
      <c r="G227" s="491">
        <f>+Cant.!BD24</f>
        <v>0</v>
      </c>
      <c r="H227" s="491">
        <f>+Cant.!BE24</f>
        <v>0</v>
      </c>
      <c r="I227"/>
    </row>
    <row r="228" spans="1:9" x14ac:dyDescent="0.2">
      <c r="A228" s="118" t="s">
        <v>429</v>
      </c>
      <c r="B228" s="491">
        <f>+Cant.!AY25</f>
        <v>0</v>
      </c>
      <c r="C228" s="491">
        <f>+Cant.!AZ25</f>
        <v>0</v>
      </c>
      <c r="D228" s="491">
        <f>+Cant.!BA25</f>
        <v>0</v>
      </c>
      <c r="E228" s="491">
        <f>+Cant.!BB25</f>
        <v>0</v>
      </c>
      <c r="F228" s="491">
        <f>+Cant.!BC25</f>
        <v>0</v>
      </c>
      <c r="G228" s="491">
        <f>+Cant.!BD25</f>
        <v>0</v>
      </c>
      <c r="H228" s="491">
        <f>+Cant.!BE25</f>
        <v>0</v>
      </c>
      <c r="I228"/>
    </row>
    <row r="229" spans="1:9" x14ac:dyDescent="0.2">
      <c r="A229" s="118" t="s">
        <v>759</v>
      </c>
      <c r="B229" s="491">
        <f>+Cant.!AY26</f>
        <v>0</v>
      </c>
      <c r="C229" s="491">
        <f>+Cant.!AZ26</f>
        <v>0</v>
      </c>
      <c r="D229" s="491">
        <f>+Cant.!BA26</f>
        <v>0</v>
      </c>
      <c r="E229" s="491">
        <f>+Cant.!BB26</f>
        <v>0</v>
      </c>
      <c r="F229" s="491">
        <f>+Cant.!BC26</f>
        <v>0</v>
      </c>
      <c r="G229" s="491">
        <f>+Cant.!BD26</f>
        <v>0</v>
      </c>
      <c r="H229" s="491">
        <f>+Cant.!BE26</f>
        <v>0</v>
      </c>
      <c r="I229"/>
    </row>
    <row r="230" spans="1:9" x14ac:dyDescent="0.2">
      <c r="A230" s="118" t="s">
        <v>760</v>
      </c>
      <c r="B230" s="491">
        <f>+Cant.!AY27</f>
        <v>0</v>
      </c>
      <c r="C230" s="491">
        <f>+Cant.!AZ27</f>
        <v>0</v>
      </c>
      <c r="D230" s="491">
        <f>+Cant.!BA27</f>
        <v>0</v>
      </c>
      <c r="E230" s="491">
        <f>+Cant.!BB27</f>
        <v>0</v>
      </c>
      <c r="F230" s="491">
        <f>+Cant.!BC27</f>
        <v>0</v>
      </c>
      <c r="G230" s="491">
        <f>+Cant.!BD27</f>
        <v>0</v>
      </c>
      <c r="H230" s="491">
        <f>+Cant.!BE27</f>
        <v>0</v>
      </c>
      <c r="I230"/>
    </row>
    <row r="231" spans="1:9" x14ac:dyDescent="0.2">
      <c r="A231" s="118" t="s">
        <v>761</v>
      </c>
      <c r="B231" s="494">
        <f>+Cant.!AY28</f>
        <v>0</v>
      </c>
      <c r="C231" s="491">
        <f>+Cant.!AZ28</f>
        <v>0</v>
      </c>
      <c r="D231" s="491">
        <f>+Cant.!BA28</f>
        <v>0</v>
      </c>
      <c r="E231" s="491">
        <f>+Cant.!BB28</f>
        <v>0</v>
      </c>
      <c r="F231" s="491">
        <f>+Cant.!BC28</f>
        <v>0</v>
      </c>
      <c r="G231" s="494">
        <f>+Cant.!BD28</f>
        <v>0</v>
      </c>
      <c r="H231" s="494">
        <f>+Cant.!BE28</f>
        <v>0</v>
      </c>
      <c r="I231"/>
    </row>
    <row r="232" spans="1:9" x14ac:dyDescent="0.2">
      <c r="A232" s="118" t="s">
        <v>762</v>
      </c>
      <c r="B232" s="494">
        <f>+Cant.!AY29</f>
        <v>0</v>
      </c>
      <c r="C232" s="491">
        <f>+Cant.!AZ29</f>
        <v>0</v>
      </c>
      <c r="D232" s="491">
        <f>+Cant.!BA29</f>
        <v>0</v>
      </c>
      <c r="E232" s="491">
        <f>+Cant.!BB29</f>
        <v>0</v>
      </c>
      <c r="F232" s="491">
        <f>+Cant.!BC29</f>
        <v>0</v>
      </c>
      <c r="G232" s="494">
        <f>+Cant.!BD29</f>
        <v>0</v>
      </c>
      <c r="H232" s="494">
        <f>+Cant.!BE29</f>
        <v>0</v>
      </c>
      <c r="I232"/>
    </row>
    <row r="233" spans="1:9" ht="18" x14ac:dyDescent="0.25">
      <c r="A233" s="414">
        <v>0</v>
      </c>
      <c r="C233" s="404"/>
      <c r="D233"/>
      <c r="E233"/>
      <c r="F233"/>
      <c r="G233"/>
      <c r="H233"/>
      <c r="I233"/>
    </row>
    <row r="234" spans="1:9" ht="18" x14ac:dyDescent="0.25">
      <c r="A234" s="414">
        <v>0</v>
      </c>
      <c r="B234" s="414" t="s">
        <v>479</v>
      </c>
      <c r="C234" s="404"/>
      <c r="D234"/>
      <c r="E234"/>
      <c r="F234"/>
      <c r="G234"/>
      <c r="H234"/>
      <c r="I234"/>
    </row>
    <row r="235" spans="1:9" ht="18.75" thickBot="1" x14ac:dyDescent="0.3">
      <c r="A235" s="414">
        <v>0</v>
      </c>
      <c r="B235" s="489">
        <v>28</v>
      </c>
      <c r="C235" s="489">
        <v>56</v>
      </c>
      <c r="D235" s="489">
        <v>70</v>
      </c>
      <c r="E235" s="489">
        <v>84</v>
      </c>
      <c r="F235" s="489">
        <v>112</v>
      </c>
      <c r="G235" s="489">
        <v>140</v>
      </c>
      <c r="H235" s="489" t="s">
        <v>757</v>
      </c>
      <c r="I235"/>
    </row>
    <row r="236" spans="1:9" ht="15.75" x14ac:dyDescent="0.25">
      <c r="A236" s="495">
        <v>0</v>
      </c>
      <c r="B236" s="496">
        <v>0.46</v>
      </c>
      <c r="C236" s="496">
        <v>0.46</v>
      </c>
      <c r="D236" s="496">
        <v>0.46</v>
      </c>
      <c r="E236" s="496">
        <v>0.46</v>
      </c>
      <c r="F236" s="496">
        <v>0.46</v>
      </c>
      <c r="G236" s="496">
        <v>0.46</v>
      </c>
      <c r="H236" s="496">
        <v>0.46</v>
      </c>
      <c r="I236" s="497"/>
    </row>
    <row r="237" spans="1:9" x14ac:dyDescent="0.2">
      <c r="A237" s="498">
        <v>40</v>
      </c>
      <c r="B237" s="499">
        <f>IF(B221&lt;=E221+A238,0,B221-E221-A238)</f>
        <v>0</v>
      </c>
      <c r="C237" s="499">
        <f>IF(C221&lt;=D221,0,C221-D221)</f>
        <v>0</v>
      </c>
      <c r="D237" s="499">
        <f>+D221</f>
        <v>0</v>
      </c>
      <c r="E237" s="499">
        <f>+E221</f>
        <v>0</v>
      </c>
      <c r="F237" s="499">
        <f>+F221</f>
        <v>0</v>
      </c>
      <c r="G237" s="499">
        <f>+G221</f>
        <v>0</v>
      </c>
      <c r="H237" s="499">
        <f>+H221</f>
        <v>0</v>
      </c>
      <c r="I237" s="500"/>
    </row>
    <row r="238" spans="1:9" ht="13.5" thickBot="1" x14ac:dyDescent="0.25">
      <c r="A238" s="509">
        <f>IF(C221-D221&lt;=0,D221-C221)</f>
        <v>0</v>
      </c>
      <c r="B238" s="502">
        <f>+(CEILING((B237/4),1)*B236)</f>
        <v>0</v>
      </c>
      <c r="C238" s="502">
        <f>+(CEILING((C237/2),1)*C236)</f>
        <v>0</v>
      </c>
      <c r="D238" s="502">
        <f>+(CEILING((D237/1),1)*D236)</f>
        <v>0</v>
      </c>
      <c r="E238" s="502">
        <f>+E236*E237</f>
        <v>0</v>
      </c>
      <c r="F238" s="502">
        <f>+F236*F237</f>
        <v>0</v>
      </c>
      <c r="G238" s="502">
        <f>+G236*G237</f>
        <v>0</v>
      </c>
      <c r="H238" s="502">
        <f>+H236*H237</f>
        <v>0</v>
      </c>
      <c r="I238" s="503">
        <f>SUM(B238:H238)</f>
        <v>0</v>
      </c>
    </row>
    <row r="239" spans="1:9" x14ac:dyDescent="0.2">
      <c r="A239" s="498">
        <v>28</v>
      </c>
      <c r="B239" s="499">
        <f>IF(B222&lt;=E222+A240,0,B222-E222-A240)</f>
        <v>0</v>
      </c>
      <c r="C239" s="499">
        <f>IF(C223&lt;=D223,0,C223-D223)</f>
        <v>0</v>
      </c>
      <c r="D239" s="499">
        <f>+D222</f>
        <v>0</v>
      </c>
      <c r="E239" s="499">
        <f>+E222</f>
        <v>0</v>
      </c>
      <c r="F239" s="499">
        <f>+F222</f>
        <v>0</v>
      </c>
      <c r="G239" s="499">
        <f>+G222</f>
        <v>0</v>
      </c>
      <c r="H239" s="499">
        <f>+H222</f>
        <v>0</v>
      </c>
      <c r="I239" s="504"/>
    </row>
    <row r="240" spans="1:9" ht="13.5" thickBot="1" x14ac:dyDescent="0.25">
      <c r="A240" s="509">
        <f>IF(C222-D222&lt;=0,D222-C222)</f>
        <v>0</v>
      </c>
      <c r="B240" s="502">
        <f>+(CEILING((B239/4),1)*0.34)</f>
        <v>0</v>
      </c>
      <c r="C240" s="502">
        <f>+(CEILING((C239/2),1)*0.34)</f>
        <v>0</v>
      </c>
      <c r="D240" s="502">
        <f>+(CEILING((D239/1),1)*0.34)</f>
        <v>0</v>
      </c>
      <c r="E240" s="502">
        <f>+E239*0.34</f>
        <v>0</v>
      </c>
      <c r="F240" s="502">
        <f>+F239*0.34</f>
        <v>0</v>
      </c>
      <c r="G240" s="502">
        <f>+G239*0.34</f>
        <v>0</v>
      </c>
      <c r="H240" s="502">
        <f>+H239*0.34</f>
        <v>0</v>
      </c>
      <c r="I240" s="504">
        <f>SUM(B240:H240)</f>
        <v>0</v>
      </c>
    </row>
    <row r="241" spans="1:9" x14ac:dyDescent="0.2">
      <c r="A241" s="505">
        <v>20</v>
      </c>
      <c r="B241" s="499">
        <f>IF(B223&lt;=E223+A242,0,B223-E223-A242)</f>
        <v>0</v>
      </c>
      <c r="C241" s="499">
        <f>IF(C223&lt;=D223,0,C223-D223)</f>
        <v>0</v>
      </c>
      <c r="D241" s="499">
        <f>+D223</f>
        <v>0</v>
      </c>
      <c r="E241" s="499">
        <f>+E223</f>
        <v>0</v>
      </c>
      <c r="F241" s="499">
        <f>+F223</f>
        <v>0</v>
      </c>
      <c r="G241" s="499">
        <f>+G223</f>
        <v>0</v>
      </c>
      <c r="H241" s="499">
        <f>+H223</f>
        <v>0</v>
      </c>
      <c r="I241" s="507"/>
    </row>
    <row r="242" spans="1:9" ht="13.5" thickBot="1" x14ac:dyDescent="0.25">
      <c r="A242" s="509">
        <f>IF(C223-D223&lt;=0,D223-C223)</f>
        <v>0</v>
      </c>
      <c r="B242" s="502">
        <f>+(CEILING((B241/4),1)*0.26)</f>
        <v>0</v>
      </c>
      <c r="C242" s="502">
        <f>+(CEILING((C241/2),1)*0.26)</f>
        <v>0</v>
      </c>
      <c r="D242" s="502">
        <f>+(CEILING((D241/1),1)*0.26)</f>
        <v>0</v>
      </c>
      <c r="E242" s="502">
        <f>+E241*0.26</f>
        <v>0</v>
      </c>
      <c r="F242" s="502">
        <f>+F241*0.26</f>
        <v>0</v>
      </c>
      <c r="G242" s="502">
        <f>+G241*0.26</f>
        <v>0</v>
      </c>
      <c r="H242" s="502">
        <f>+H241*0.26</f>
        <v>0</v>
      </c>
      <c r="I242" s="503">
        <f>SUM(B242:H242)</f>
        <v>0</v>
      </c>
    </row>
    <row r="243" spans="1:9" x14ac:dyDescent="0.2">
      <c r="A243" s="414">
        <v>0</v>
      </c>
      <c r="B243" s="493" t="s">
        <v>404</v>
      </c>
      <c r="C243" s="6"/>
      <c r="D243" s="6"/>
      <c r="E243" s="6"/>
      <c r="F243" s="6"/>
      <c r="G243" s="6"/>
      <c r="H243" s="6"/>
      <c r="I243" s="333"/>
    </row>
    <row r="244" spans="1:9" ht="13.5" thickBot="1" x14ac:dyDescent="0.25">
      <c r="A244" s="414">
        <v>0</v>
      </c>
      <c r="B244" s="414" t="s">
        <v>758</v>
      </c>
      <c r="C244"/>
      <c r="D244"/>
      <c r="E244"/>
      <c r="F244"/>
      <c r="G244"/>
      <c r="H244"/>
      <c r="I244"/>
    </row>
    <row r="245" spans="1:9" x14ac:dyDescent="0.2">
      <c r="A245" s="495">
        <v>0</v>
      </c>
      <c r="B245" s="508">
        <v>2</v>
      </c>
      <c r="C245" s="496">
        <v>2</v>
      </c>
      <c r="D245" s="496">
        <v>2</v>
      </c>
      <c r="E245" s="496">
        <v>2</v>
      </c>
      <c r="F245" s="496">
        <v>2</v>
      </c>
      <c r="G245" s="496">
        <v>2</v>
      </c>
      <c r="H245" s="496">
        <v>2</v>
      </c>
      <c r="I245" s="507"/>
    </row>
    <row r="246" spans="1:9" x14ac:dyDescent="0.2">
      <c r="A246" s="498" t="s">
        <v>457</v>
      </c>
      <c r="B246" s="499">
        <f>IF(B226&lt;=E226+A247,0,B226-E226-A247)</f>
        <v>0</v>
      </c>
      <c r="C246" s="499">
        <f>IF(C226&lt;=D226,0,C226-D226)</f>
        <v>0</v>
      </c>
      <c r="D246" s="499">
        <f>+D226</f>
        <v>0</v>
      </c>
      <c r="E246" s="499">
        <f>+E226</f>
        <v>0</v>
      </c>
      <c r="F246" s="499">
        <f>+F226</f>
        <v>0</v>
      </c>
      <c r="G246" s="499">
        <f>+G226</f>
        <v>0</v>
      </c>
      <c r="H246" s="499">
        <f>+H226</f>
        <v>0</v>
      </c>
      <c r="I246" s="500"/>
    </row>
    <row r="247" spans="1:9" ht="13.5" thickBot="1" x14ac:dyDescent="0.25">
      <c r="A247" s="509">
        <f>IF(C226-D226&lt;=0,D226-C226)</f>
        <v>0</v>
      </c>
      <c r="B247" s="502">
        <f>+(CEILING((B246/4),1)*B245)</f>
        <v>0</v>
      </c>
      <c r="C247" s="502">
        <f>+(CEILING((C246/2),1)*C245)</f>
        <v>0</v>
      </c>
      <c r="D247" s="502">
        <f>+(CEILING((D246/1),1)*D245)</f>
        <v>0</v>
      </c>
      <c r="E247" s="502">
        <f>+E245*E246</f>
        <v>0</v>
      </c>
      <c r="F247" s="502">
        <f>+F245*F246</f>
        <v>0</v>
      </c>
      <c r="G247" s="502">
        <f>+G245*G246</f>
        <v>0</v>
      </c>
      <c r="H247" s="502">
        <f>+H245*H246</f>
        <v>0</v>
      </c>
      <c r="I247" s="503">
        <f>SUM(B247:H247)</f>
        <v>0</v>
      </c>
    </row>
    <row r="248" spans="1:9" x14ac:dyDescent="0.2">
      <c r="A248" s="495"/>
      <c r="B248" s="508"/>
      <c r="C248" s="496"/>
      <c r="D248" s="496"/>
      <c r="E248" s="496"/>
      <c r="F248" s="496"/>
      <c r="G248" s="496"/>
      <c r="H248" s="496"/>
      <c r="I248" s="507"/>
    </row>
    <row r="249" spans="1:9" x14ac:dyDescent="0.2">
      <c r="A249" s="498"/>
      <c r="B249" s="499"/>
      <c r="C249" s="499"/>
      <c r="D249" s="499"/>
      <c r="E249" s="499"/>
      <c r="F249" s="499"/>
      <c r="G249" s="499"/>
      <c r="H249" s="499"/>
      <c r="I249" s="500"/>
    </row>
    <row r="250" spans="1:9" ht="13.5" thickBot="1" x14ac:dyDescent="0.25">
      <c r="A250" s="509"/>
      <c r="B250" s="502"/>
      <c r="C250" s="502"/>
      <c r="D250" s="502"/>
      <c r="E250" s="502"/>
      <c r="F250" s="502"/>
      <c r="G250" s="502"/>
      <c r="H250" s="502"/>
      <c r="I250" s="503"/>
    </row>
    <row r="251" spans="1:9" x14ac:dyDescent="0.2">
      <c r="A251" s="495">
        <v>0</v>
      </c>
      <c r="B251" s="508">
        <v>0.85</v>
      </c>
      <c r="C251" s="496">
        <v>0.85</v>
      </c>
      <c r="D251" s="496">
        <v>0.85</v>
      </c>
      <c r="E251" s="496">
        <v>0.85</v>
      </c>
      <c r="F251" s="496">
        <v>0.85</v>
      </c>
      <c r="G251" s="496">
        <v>0.85</v>
      </c>
      <c r="H251" s="496">
        <v>0.85</v>
      </c>
      <c r="I251" s="507"/>
    </row>
    <row r="252" spans="1:9" x14ac:dyDescent="0.2">
      <c r="A252" s="498" t="s">
        <v>459</v>
      </c>
      <c r="B252" s="499">
        <f>IF(B227&lt;=E227+A253,0,B227-E227-A253)</f>
        <v>0</v>
      </c>
      <c r="C252" s="499">
        <f>IF(C227&lt;=D227,0,C227-D227)</f>
        <v>0</v>
      </c>
      <c r="D252" s="499">
        <f>+D227</f>
        <v>0</v>
      </c>
      <c r="E252" s="499">
        <f>+E227</f>
        <v>0</v>
      </c>
      <c r="F252" s="499">
        <f>+F227</f>
        <v>0</v>
      </c>
      <c r="G252" s="499">
        <f>+G227</f>
        <v>0</v>
      </c>
      <c r="H252" s="499">
        <f>+H227</f>
        <v>0</v>
      </c>
      <c r="I252" s="500"/>
    </row>
    <row r="253" spans="1:9" ht="13.5" thickBot="1" x14ac:dyDescent="0.25">
      <c r="A253" s="509">
        <f>IF(C227-D227&lt;=0,D227-C227)</f>
        <v>0</v>
      </c>
      <c r="B253" s="502">
        <f>+(CEILING((B252/4),1)*B251)</f>
        <v>0</v>
      </c>
      <c r="C253" s="502">
        <f>+(CEILING((C252/2),1)*C251)</f>
        <v>0</v>
      </c>
      <c r="D253" s="502">
        <f>+(CEILING((D252/1),1)*D251)</f>
        <v>0</v>
      </c>
      <c r="E253" s="502">
        <f>+E251*E252</f>
        <v>0</v>
      </c>
      <c r="F253" s="502">
        <f>+F251*F252</f>
        <v>0</v>
      </c>
      <c r="G253" s="502">
        <f>+G251*G252</f>
        <v>0</v>
      </c>
      <c r="H253" s="502">
        <f>+H251*H252</f>
        <v>0</v>
      </c>
      <c r="I253" s="503">
        <f>SUM(B253:H253)</f>
        <v>0</v>
      </c>
    </row>
    <row r="254" spans="1:9" x14ac:dyDescent="0.2">
      <c r="A254" s="495">
        <v>0</v>
      </c>
      <c r="B254" s="508">
        <v>0.85</v>
      </c>
      <c r="C254" s="496">
        <v>0.85</v>
      </c>
      <c r="D254" s="496">
        <v>0.85</v>
      </c>
      <c r="E254" s="496">
        <v>0.85</v>
      </c>
      <c r="F254" s="496">
        <v>0.85</v>
      </c>
      <c r="G254" s="496">
        <v>0.85</v>
      </c>
      <c r="H254" s="496">
        <v>0.85</v>
      </c>
      <c r="I254" s="507"/>
    </row>
    <row r="255" spans="1:9" x14ac:dyDescent="0.2">
      <c r="A255" s="498" t="s">
        <v>763</v>
      </c>
      <c r="B255" s="499">
        <f>IF(B228&lt;=E228+A256,0,B228-E228-A256)</f>
        <v>0</v>
      </c>
      <c r="C255" s="499">
        <f>IF(C228&lt;=D228,0,C228-D228)</f>
        <v>0</v>
      </c>
      <c r="D255" s="499">
        <f>+D228</f>
        <v>0</v>
      </c>
      <c r="E255" s="499">
        <f>+E228</f>
        <v>0</v>
      </c>
      <c r="F255" s="499">
        <f>+F228</f>
        <v>0</v>
      </c>
      <c r="G255" s="499">
        <f>+G228</f>
        <v>0</v>
      </c>
      <c r="H255" s="499">
        <f>+H228</f>
        <v>0</v>
      </c>
      <c r="I255" s="500"/>
    </row>
    <row r="256" spans="1:9" ht="13.5" thickBot="1" x14ac:dyDescent="0.25">
      <c r="A256" s="510">
        <f>IF(C228-D228&lt;=0,D228-C228)</f>
        <v>0</v>
      </c>
      <c r="B256" s="502">
        <f>+(CEILING((B255/4),1)*B254)</f>
        <v>0</v>
      </c>
      <c r="C256" s="502">
        <f>+(CEILING((C255/2),1)*C254)</f>
        <v>0</v>
      </c>
      <c r="D256" s="502">
        <f>+(CEILING((D255/1),1)*D254)</f>
        <v>0</v>
      </c>
      <c r="E256" s="502">
        <f>+E254*E255</f>
        <v>0</v>
      </c>
      <c r="F256" s="502">
        <f>+F254*F255</f>
        <v>0</v>
      </c>
      <c r="G256" s="502">
        <f>+G254*G255</f>
        <v>0</v>
      </c>
      <c r="H256" s="502">
        <f>+H254*H255</f>
        <v>0</v>
      </c>
      <c r="I256" s="503">
        <f>SUM(B256:H256)</f>
        <v>0</v>
      </c>
    </row>
    <row r="257" spans="1:9" x14ac:dyDescent="0.2">
      <c r="A257" s="511">
        <f>IF(C229-D229&lt;=0,D229-C229)</f>
        <v>0</v>
      </c>
      <c r="B257" s="496">
        <v>0.34</v>
      </c>
      <c r="C257" s="496">
        <v>0.62</v>
      </c>
      <c r="D257" s="496">
        <v>0.76</v>
      </c>
      <c r="E257" s="496">
        <v>0.9</v>
      </c>
      <c r="F257" s="496">
        <v>1.18</v>
      </c>
      <c r="G257" s="496">
        <v>1.46</v>
      </c>
      <c r="H257" s="496">
        <v>1.43</v>
      </c>
      <c r="I257" s="507"/>
    </row>
    <row r="258" spans="1:9" x14ac:dyDescent="0.2">
      <c r="A258" s="512" t="s">
        <v>106</v>
      </c>
      <c r="B258" s="499">
        <f>IF(B229&lt;=E229+A257,0,B229-E229-A257)</f>
        <v>0</v>
      </c>
      <c r="C258" s="499">
        <f>IF(C229&lt;=D229,0,C229-D229)</f>
        <v>0</v>
      </c>
      <c r="D258" s="499">
        <f>+D229</f>
        <v>0</v>
      </c>
      <c r="E258" s="499">
        <f>+E229</f>
        <v>0</v>
      </c>
      <c r="F258" s="499">
        <f>+F229</f>
        <v>0</v>
      </c>
      <c r="G258" s="499">
        <f>+G229</f>
        <v>0</v>
      </c>
      <c r="H258" s="499">
        <f>+H229</f>
        <v>0</v>
      </c>
      <c r="I258" s="500"/>
    </row>
    <row r="259" spans="1:9" ht="13.5" thickBot="1" x14ac:dyDescent="0.25">
      <c r="A259" s="501" t="s">
        <v>764</v>
      </c>
      <c r="B259" s="502">
        <f t="shared" ref="B259:H259" si="18">+(CEILING((B258/3),1)*B257)</f>
        <v>0</v>
      </c>
      <c r="C259" s="502">
        <f t="shared" si="18"/>
        <v>0</v>
      </c>
      <c r="D259" s="502">
        <f t="shared" si="18"/>
        <v>0</v>
      </c>
      <c r="E259" s="502">
        <f t="shared" si="18"/>
        <v>0</v>
      </c>
      <c r="F259" s="502">
        <f t="shared" si="18"/>
        <v>0</v>
      </c>
      <c r="G259" s="502">
        <f t="shared" si="18"/>
        <v>0</v>
      </c>
      <c r="H259" s="502">
        <f t="shared" si="18"/>
        <v>0</v>
      </c>
      <c r="I259" s="503">
        <f>SUM(B259:H259)</f>
        <v>0</v>
      </c>
    </row>
    <row r="260" spans="1:9" x14ac:dyDescent="0.2">
      <c r="A260" s="510">
        <f>IF(C230-D230&lt;=0,D230-C230)</f>
        <v>0</v>
      </c>
      <c r="B260" s="496">
        <v>1.07</v>
      </c>
      <c r="C260" s="496">
        <v>1.07</v>
      </c>
      <c r="D260" s="496">
        <v>1.07</v>
      </c>
      <c r="E260" s="496">
        <v>1.07</v>
      </c>
      <c r="F260" s="496">
        <v>1.07</v>
      </c>
      <c r="G260" s="496">
        <v>1.07</v>
      </c>
      <c r="H260" s="496">
        <v>1.07</v>
      </c>
      <c r="I260" s="507"/>
    </row>
    <row r="261" spans="1:9" x14ac:dyDescent="0.2">
      <c r="A261" s="512" t="s">
        <v>106</v>
      </c>
      <c r="B261" s="499">
        <f>IF(B230&lt;=E230+A260,0,B230-E230-A260)</f>
        <v>0</v>
      </c>
      <c r="C261" s="499">
        <f>IF(C230&lt;=D230,0,C230-D230)</f>
        <v>0</v>
      </c>
      <c r="D261" s="499">
        <f>+D230</f>
        <v>0</v>
      </c>
      <c r="E261" s="499">
        <f>+E230</f>
        <v>0</v>
      </c>
      <c r="F261" s="499">
        <f>+F230</f>
        <v>0</v>
      </c>
      <c r="G261" s="499">
        <f>+G230</f>
        <v>0</v>
      </c>
      <c r="H261" s="499">
        <f>+H230</f>
        <v>0</v>
      </c>
      <c r="I261" s="500"/>
    </row>
    <row r="262" spans="1:9" ht="13.5" thickBot="1" x14ac:dyDescent="0.25">
      <c r="A262" s="501" t="s">
        <v>765</v>
      </c>
      <c r="B262" s="502">
        <f>+(CEILING((B261/4),1)*B260)</f>
        <v>0</v>
      </c>
      <c r="C262" s="502">
        <f>+(CEILING((C261/2),1)*C260)</f>
        <v>0</v>
      </c>
      <c r="D262" s="502">
        <f>+(CEILING((D261/1),1)*D260)</f>
        <v>0</v>
      </c>
      <c r="E262" s="502">
        <f>+E260*E261</f>
        <v>0</v>
      </c>
      <c r="F262" s="502">
        <f>+F260*F261</f>
        <v>0</v>
      </c>
      <c r="G262" s="502">
        <f>+G260*G261</f>
        <v>0</v>
      </c>
      <c r="H262" s="502">
        <f>+H260*H261</f>
        <v>0</v>
      </c>
      <c r="I262" s="503">
        <f>SUM(B262:H262)</f>
        <v>0</v>
      </c>
    </row>
    <row r="263" spans="1:9" x14ac:dyDescent="0.2">
      <c r="A263" s="512">
        <v>0</v>
      </c>
      <c r="B263" s="496"/>
      <c r="C263" s="496">
        <v>0.45</v>
      </c>
      <c r="D263" s="496">
        <v>0.45</v>
      </c>
      <c r="E263" s="496">
        <v>0.45</v>
      </c>
      <c r="F263" s="496">
        <v>0.45</v>
      </c>
      <c r="G263" s="496"/>
      <c r="H263" s="496"/>
      <c r="I263" s="507"/>
    </row>
    <row r="264" spans="1:9" x14ac:dyDescent="0.2">
      <c r="A264" s="512" t="s">
        <v>766</v>
      </c>
      <c r="B264" s="499"/>
      <c r="C264" s="499">
        <f>IF(C231&lt;=D264,0,C231-D264)</f>
        <v>0</v>
      </c>
      <c r="D264" s="499">
        <f>+D231</f>
        <v>0</v>
      </c>
      <c r="E264" s="499">
        <f>+E231</f>
        <v>0</v>
      </c>
      <c r="F264" s="499">
        <f>+F231</f>
        <v>0</v>
      </c>
      <c r="G264" s="499"/>
      <c r="H264" s="499"/>
      <c r="I264" s="500"/>
    </row>
    <row r="265" spans="1:9" ht="13.5" thickBot="1" x14ac:dyDescent="0.25">
      <c r="A265" s="513">
        <v>0</v>
      </c>
      <c r="B265" s="514"/>
      <c r="C265" s="502">
        <f>+(CEILING((C264/2),1)*C263)</f>
        <v>0</v>
      </c>
      <c r="D265" s="502">
        <f>+(CEILING((D264/1),1)*D263)</f>
        <v>0</v>
      </c>
      <c r="E265" s="502">
        <f>+E263*E264</f>
        <v>0</v>
      </c>
      <c r="F265" s="502">
        <f>+F263*F264</f>
        <v>0</v>
      </c>
      <c r="G265" s="502"/>
      <c r="H265" s="502"/>
      <c r="I265" s="503">
        <f>SUM(B265:H265)</f>
        <v>0</v>
      </c>
    </row>
    <row r="266" spans="1:9" x14ac:dyDescent="0.2">
      <c r="A266" s="495">
        <v>0</v>
      </c>
      <c r="B266" s="508"/>
      <c r="C266" s="496">
        <v>0.25</v>
      </c>
      <c r="D266" s="496">
        <v>0.25</v>
      </c>
      <c r="E266" s="496">
        <v>0.25</v>
      </c>
      <c r="F266" s="496">
        <v>0.25</v>
      </c>
      <c r="G266" s="496"/>
      <c r="H266" s="496"/>
      <c r="I266" s="507"/>
    </row>
    <row r="267" spans="1:9" x14ac:dyDescent="0.2">
      <c r="A267" s="512" t="s">
        <v>767</v>
      </c>
      <c r="B267" s="515"/>
      <c r="C267" s="499">
        <f>IF(C232&lt;=D267,0,C232-D267)</f>
        <v>0</v>
      </c>
      <c r="D267" s="499">
        <f>+D232</f>
        <v>0</v>
      </c>
      <c r="E267" s="499">
        <f>+E232</f>
        <v>0</v>
      </c>
      <c r="F267" s="499">
        <f>+F232</f>
        <v>0</v>
      </c>
      <c r="G267" s="499"/>
      <c r="H267" s="499"/>
      <c r="I267" s="500"/>
    </row>
    <row r="268" spans="1:9" ht="13.5" thickBot="1" x14ac:dyDescent="0.25">
      <c r="A268" s="513">
        <v>0</v>
      </c>
      <c r="B268" s="516"/>
      <c r="C268" s="502">
        <f>+(CEILING((C267/2),1)*C266)</f>
        <v>0</v>
      </c>
      <c r="D268" s="502">
        <f>+(CEILING((D267/1),1)*D266)</f>
        <v>0</v>
      </c>
      <c r="E268" s="502">
        <f>+E266*E267</f>
        <v>0</v>
      </c>
      <c r="F268" s="502">
        <f>+F266*F267</f>
        <v>0</v>
      </c>
      <c r="G268" s="502"/>
      <c r="H268" s="502"/>
      <c r="I268" s="503">
        <f>SUM(B268:H268)</f>
        <v>0</v>
      </c>
    </row>
    <row r="269" spans="1:9" ht="13.5" thickBot="1" x14ac:dyDescent="0.25">
      <c r="A269" s="414">
        <v>0</v>
      </c>
      <c r="B269" s="333"/>
      <c r="C269" s="333"/>
      <c r="D269" s="333"/>
      <c r="E269" s="333"/>
      <c r="F269" s="333"/>
      <c r="G269" s="333"/>
      <c r="H269" s="333"/>
      <c r="I269" s="517">
        <f>SUM(I236:I268)</f>
        <v>0</v>
      </c>
    </row>
    <row r="270" spans="1:9" x14ac:dyDescent="0.2">
      <c r="A270" s="409">
        <v>0</v>
      </c>
    </row>
    <row r="271" spans="1:9" ht="13.5" thickBot="1" x14ac:dyDescent="0.25">
      <c r="A271" s="409">
        <v>0</v>
      </c>
    </row>
    <row r="272" spans="1:9" ht="18.75" thickBot="1" x14ac:dyDescent="0.3">
      <c r="A272" s="487" t="s">
        <v>755</v>
      </c>
      <c r="B272" s="386">
        <v>6</v>
      </c>
      <c r="C272" s="488">
        <f>+Cant.!AY34</f>
        <v>0</v>
      </c>
      <c r="D272" s="488"/>
      <c r="E272" s="488"/>
      <c r="F272" s="486">
        <f>CEILING((I324*1),1)</f>
        <v>0</v>
      </c>
      <c r="G272" s="120" t="s">
        <v>756</v>
      </c>
    </row>
    <row r="273" spans="1:9" x14ac:dyDescent="0.2">
      <c r="A273" s="120">
        <v>0</v>
      </c>
      <c r="B273" s="414" t="s">
        <v>479</v>
      </c>
    </row>
    <row r="274" spans="1:9" ht="18" x14ac:dyDescent="0.25">
      <c r="A274" s="120">
        <v>0</v>
      </c>
      <c r="B274" s="489">
        <v>28</v>
      </c>
      <c r="C274" s="489">
        <v>56</v>
      </c>
      <c r="D274" s="489">
        <v>70</v>
      </c>
      <c r="E274" s="489">
        <v>84</v>
      </c>
      <c r="F274" s="489">
        <v>112</v>
      </c>
      <c r="G274" s="489"/>
      <c r="H274" s="489" t="s">
        <v>757</v>
      </c>
    </row>
    <row r="275" spans="1:9" x14ac:dyDescent="0.2">
      <c r="A275" s="490">
        <v>40</v>
      </c>
      <c r="B275" s="491">
        <f>+Cant.!AY38</f>
        <v>0</v>
      </c>
      <c r="C275" s="491">
        <f>+Cant.!AZ38</f>
        <v>0</v>
      </c>
      <c r="D275" s="491">
        <f>+Cant.!BA38</f>
        <v>0</v>
      </c>
      <c r="E275" s="491">
        <f>+Cant.!BB38</f>
        <v>0</v>
      </c>
      <c r="F275" s="491">
        <f>+Cant.!BC38</f>
        <v>0</v>
      </c>
      <c r="G275" s="491">
        <f>+Cant.!BD38</f>
        <v>0</v>
      </c>
      <c r="H275" s="491">
        <f>+Cant.!BE38</f>
        <v>0</v>
      </c>
    </row>
    <row r="276" spans="1:9" x14ac:dyDescent="0.2">
      <c r="A276" s="490">
        <v>28</v>
      </c>
      <c r="B276" s="491">
        <f>+Cant.!AY39</f>
        <v>0</v>
      </c>
      <c r="C276" s="491">
        <f>+Cant.!AZ39</f>
        <v>0</v>
      </c>
      <c r="D276" s="491">
        <f>+Cant.!BA39</f>
        <v>0</v>
      </c>
      <c r="E276" s="491">
        <f>+Cant.!BB39</f>
        <v>0</v>
      </c>
      <c r="F276" s="491">
        <f>+Cant.!BC39</f>
        <v>0</v>
      </c>
      <c r="G276" s="491">
        <f>+Cant.!BD39</f>
        <v>0</v>
      </c>
      <c r="H276" s="491">
        <f>+Cant.!BE39</f>
        <v>0</v>
      </c>
    </row>
    <row r="277" spans="1:9" x14ac:dyDescent="0.2">
      <c r="A277" s="490">
        <v>20</v>
      </c>
      <c r="B277" s="491">
        <f>+Cant.!AY40</f>
        <v>0</v>
      </c>
      <c r="C277" s="491">
        <f>+Cant.!AZ40</f>
        <v>0</v>
      </c>
      <c r="D277" s="491">
        <f>+Cant.!BA40</f>
        <v>0</v>
      </c>
      <c r="E277" s="491">
        <f>+Cant.!BB40</f>
        <v>0</v>
      </c>
      <c r="F277" s="491">
        <f>+Cant.!BC40</f>
        <v>0</v>
      </c>
      <c r="G277" s="491">
        <f>+Cant.!BD40</f>
        <v>0</v>
      </c>
      <c r="H277" s="491">
        <f>+Cant.!BE40</f>
        <v>0</v>
      </c>
    </row>
    <row r="278" spans="1:9" x14ac:dyDescent="0.2">
      <c r="A278" s="492">
        <v>0</v>
      </c>
      <c r="B278" s="493" t="s">
        <v>404</v>
      </c>
    </row>
    <row r="279" spans="1:9" x14ac:dyDescent="0.2">
      <c r="A279" s="492">
        <v>0</v>
      </c>
      <c r="B279" s="414" t="s">
        <v>758</v>
      </c>
    </row>
    <row r="280" spans="1:9" x14ac:dyDescent="0.2">
      <c r="A280" s="490" t="s">
        <v>422</v>
      </c>
      <c r="B280" s="491">
        <f>+Cant.!AY44</f>
        <v>0</v>
      </c>
      <c r="C280" s="491">
        <f>+Cant.!AZ44</f>
        <v>0</v>
      </c>
      <c r="D280" s="491">
        <f>+Cant.!BA44</f>
        <v>0</v>
      </c>
      <c r="E280" s="491">
        <f>+Cant.!BB44</f>
        <v>0</v>
      </c>
      <c r="F280" s="491">
        <f>+Cant.!BC44</f>
        <v>0</v>
      </c>
      <c r="G280" s="491">
        <f>+Cant.!BD44</f>
        <v>0</v>
      </c>
      <c r="H280" s="491">
        <f>+Cant.!BE44</f>
        <v>0</v>
      </c>
    </row>
    <row r="281" spans="1:9" x14ac:dyDescent="0.2">
      <c r="A281" s="490" t="s">
        <v>424</v>
      </c>
      <c r="B281" s="491">
        <f>+Cant.!AY45</f>
        <v>0</v>
      </c>
      <c r="C281" s="491">
        <f>+Cant.!AZ45</f>
        <v>0</v>
      </c>
      <c r="D281" s="491">
        <f>+Cant.!BA45</f>
        <v>0</v>
      </c>
      <c r="E281" s="491">
        <f>+Cant.!BB45</f>
        <v>0</v>
      </c>
      <c r="F281" s="491">
        <f>+Cant.!BC45</f>
        <v>0</v>
      </c>
      <c r="G281" s="491">
        <f>+Cant.!BD45</f>
        <v>0</v>
      </c>
      <c r="H281" s="491">
        <f>+Cant.!BE45</f>
        <v>0</v>
      </c>
    </row>
    <row r="282" spans="1:9" x14ac:dyDescent="0.2">
      <c r="A282" s="118" t="s">
        <v>426</v>
      </c>
      <c r="B282" s="491">
        <f>+Cant.!AY46</f>
        <v>0</v>
      </c>
      <c r="C282" s="491">
        <f>+Cant.!AZ46</f>
        <v>0</v>
      </c>
      <c r="D282" s="491">
        <f>+Cant.!BA46</f>
        <v>0</v>
      </c>
      <c r="E282" s="491">
        <f>+Cant.!BB46</f>
        <v>0</v>
      </c>
      <c r="F282" s="491">
        <f>+Cant.!BC46</f>
        <v>0</v>
      </c>
      <c r="G282" s="491">
        <f>+Cant.!BD46</f>
        <v>0</v>
      </c>
      <c r="H282" s="491">
        <f>+Cant.!BE46</f>
        <v>0</v>
      </c>
      <c r="I282"/>
    </row>
    <row r="283" spans="1:9" x14ac:dyDescent="0.2">
      <c r="A283" s="118" t="s">
        <v>429</v>
      </c>
      <c r="B283" s="491">
        <f>+Cant.!AY47</f>
        <v>0</v>
      </c>
      <c r="C283" s="491">
        <f>+Cant.!AZ47</f>
        <v>0</v>
      </c>
      <c r="D283" s="491">
        <f>+Cant.!BA47</f>
        <v>0</v>
      </c>
      <c r="E283" s="491">
        <f>+Cant.!BB47</f>
        <v>0</v>
      </c>
      <c r="F283" s="491">
        <f>+Cant.!BC47</f>
        <v>0</v>
      </c>
      <c r="G283" s="491">
        <f>+Cant.!BD47</f>
        <v>0</v>
      </c>
      <c r="H283" s="491">
        <f>+Cant.!BE47</f>
        <v>0</v>
      </c>
      <c r="I283"/>
    </row>
    <row r="284" spans="1:9" x14ac:dyDescent="0.2">
      <c r="A284" s="118" t="s">
        <v>759</v>
      </c>
      <c r="B284" s="491">
        <f>+Cant.!AY48</f>
        <v>0</v>
      </c>
      <c r="C284" s="491">
        <f>+Cant.!AZ48</f>
        <v>0</v>
      </c>
      <c r="D284" s="491">
        <f>+Cant.!BA48</f>
        <v>0</v>
      </c>
      <c r="E284" s="491">
        <f>+Cant.!BB48</f>
        <v>0</v>
      </c>
      <c r="F284" s="491">
        <f>+Cant.!BC48</f>
        <v>0</v>
      </c>
      <c r="G284" s="491">
        <f>+Cant.!BD48</f>
        <v>0</v>
      </c>
      <c r="H284" s="491">
        <f>+Cant.!BE48</f>
        <v>0</v>
      </c>
      <c r="I284"/>
    </row>
    <row r="285" spans="1:9" x14ac:dyDescent="0.2">
      <c r="A285" s="118" t="s">
        <v>760</v>
      </c>
      <c r="B285" s="491">
        <f>+Cant.!AY49</f>
        <v>0</v>
      </c>
      <c r="C285" s="491">
        <f>+Cant.!AZ49</f>
        <v>0</v>
      </c>
      <c r="D285" s="491">
        <f>+Cant.!BA49</f>
        <v>0</v>
      </c>
      <c r="E285" s="491">
        <f>+Cant.!BB49</f>
        <v>0</v>
      </c>
      <c r="F285" s="491">
        <f>+Cant.!BC49</f>
        <v>0</v>
      </c>
      <c r="G285" s="491">
        <f>+Cant.!BD49</f>
        <v>0</v>
      </c>
      <c r="H285" s="491">
        <f>+Cant.!BE49</f>
        <v>0</v>
      </c>
      <c r="I285"/>
    </row>
    <row r="286" spans="1:9" x14ac:dyDescent="0.2">
      <c r="A286" s="118" t="s">
        <v>761</v>
      </c>
      <c r="B286" s="494">
        <f>+Cant.!AY50</f>
        <v>0</v>
      </c>
      <c r="C286" s="491">
        <f>+Cant.!AZ50</f>
        <v>0</v>
      </c>
      <c r="D286" s="491">
        <f>+Cant.!BA50</f>
        <v>0</v>
      </c>
      <c r="E286" s="491">
        <f>+Cant.!BB50</f>
        <v>0</v>
      </c>
      <c r="F286" s="491">
        <f>+Cant.!BC50</f>
        <v>0</v>
      </c>
      <c r="G286" s="494">
        <f>+Cant.!BD50</f>
        <v>0</v>
      </c>
      <c r="H286" s="494">
        <f>+Cant.!BE50</f>
        <v>0</v>
      </c>
      <c r="I286"/>
    </row>
    <row r="287" spans="1:9" x14ac:dyDescent="0.2">
      <c r="A287" s="118" t="s">
        <v>762</v>
      </c>
      <c r="B287" s="494">
        <f>+Cant.!AY51</f>
        <v>0</v>
      </c>
      <c r="C287" s="491">
        <f>+Cant.!AZ51</f>
        <v>0</v>
      </c>
      <c r="D287" s="491">
        <f>+Cant.!BA51</f>
        <v>0</v>
      </c>
      <c r="E287" s="491">
        <f>+Cant.!BB51</f>
        <v>0</v>
      </c>
      <c r="F287" s="491">
        <f>+Cant.!BC51</f>
        <v>0</v>
      </c>
      <c r="G287" s="494">
        <f>+Cant.!BD51</f>
        <v>0</v>
      </c>
      <c r="H287" s="494">
        <f>+Cant.!BE51</f>
        <v>0</v>
      </c>
      <c r="I287"/>
    </row>
    <row r="288" spans="1:9" ht="18" x14ac:dyDescent="0.25">
      <c r="A288" s="414">
        <v>0</v>
      </c>
      <c r="C288" s="404"/>
      <c r="D288"/>
      <c r="E288"/>
      <c r="F288"/>
      <c r="G288"/>
      <c r="H288"/>
      <c r="I288"/>
    </row>
    <row r="289" spans="1:9" ht="18" x14ac:dyDescent="0.25">
      <c r="A289" s="414">
        <v>0</v>
      </c>
      <c r="B289" s="414" t="s">
        <v>479</v>
      </c>
      <c r="C289" s="404"/>
      <c r="D289"/>
      <c r="E289"/>
      <c r="F289"/>
      <c r="G289"/>
      <c r="H289"/>
      <c r="I289"/>
    </row>
    <row r="290" spans="1:9" ht="18.75" thickBot="1" x14ac:dyDescent="0.3">
      <c r="A290" s="414">
        <v>0</v>
      </c>
      <c r="B290" s="489">
        <v>28</v>
      </c>
      <c r="C290" s="489">
        <v>56</v>
      </c>
      <c r="D290" s="489">
        <v>70</v>
      </c>
      <c r="E290" s="489">
        <v>84</v>
      </c>
      <c r="F290" s="489">
        <v>112</v>
      </c>
      <c r="G290" s="489">
        <v>140</v>
      </c>
      <c r="H290" s="489" t="s">
        <v>757</v>
      </c>
      <c r="I290"/>
    </row>
    <row r="291" spans="1:9" ht="15.75" x14ac:dyDescent="0.25">
      <c r="A291" s="495">
        <v>0</v>
      </c>
      <c r="B291" s="496">
        <v>0.46</v>
      </c>
      <c r="C291" s="496">
        <v>0.46</v>
      </c>
      <c r="D291" s="496">
        <v>0.46</v>
      </c>
      <c r="E291" s="496">
        <v>0.46</v>
      </c>
      <c r="F291" s="496">
        <v>0.46</v>
      </c>
      <c r="G291" s="496">
        <v>0.46</v>
      </c>
      <c r="H291" s="496">
        <v>0.46</v>
      </c>
      <c r="I291" s="497"/>
    </row>
    <row r="292" spans="1:9" x14ac:dyDescent="0.2">
      <c r="A292" s="498">
        <v>40</v>
      </c>
      <c r="B292" s="499">
        <f>IF(B275&lt;=E275+A293,0,B275-E275-A293)</f>
        <v>0</v>
      </c>
      <c r="C292" s="499">
        <f>IF(C275&lt;=D275,0,C275-D275)</f>
        <v>0</v>
      </c>
      <c r="D292" s="499">
        <f>+D275</f>
        <v>0</v>
      </c>
      <c r="E292" s="499">
        <f>+E275</f>
        <v>0</v>
      </c>
      <c r="F292" s="499">
        <f>+F275</f>
        <v>0</v>
      </c>
      <c r="G292" s="499">
        <f>+G275</f>
        <v>0</v>
      </c>
      <c r="H292" s="499">
        <f>+H275</f>
        <v>0</v>
      </c>
      <c r="I292" s="500"/>
    </row>
    <row r="293" spans="1:9" ht="13.5" thickBot="1" x14ac:dyDescent="0.25">
      <c r="A293" s="509">
        <f>IF(C275-D275&lt;=0,D275-C275)</f>
        <v>0</v>
      </c>
      <c r="B293" s="502">
        <f>+(CEILING((B292/4),1)*B291)</f>
        <v>0</v>
      </c>
      <c r="C293" s="502">
        <f>+(CEILING((C292/2),1)*C291)</f>
        <v>0</v>
      </c>
      <c r="D293" s="502">
        <f>+(CEILING((D292/1),1)*D291)</f>
        <v>0</v>
      </c>
      <c r="E293" s="502">
        <f>+E291*E292</f>
        <v>0</v>
      </c>
      <c r="F293" s="502">
        <f>+F291*F292</f>
        <v>0</v>
      </c>
      <c r="G293" s="502">
        <f>+G291*G292</f>
        <v>0</v>
      </c>
      <c r="H293" s="502">
        <f>+H291*H292</f>
        <v>0</v>
      </c>
      <c r="I293" s="503">
        <f>SUM(B293:H293)</f>
        <v>0</v>
      </c>
    </row>
    <row r="294" spans="1:9" x14ac:dyDescent="0.2">
      <c r="A294" s="498">
        <v>28</v>
      </c>
      <c r="B294" s="499">
        <f>IF(B276&lt;=E276+A295,0,B276-E276-A295)</f>
        <v>0</v>
      </c>
      <c r="C294" s="499">
        <f>IF(C277&lt;=D277,0,C277-D277)</f>
        <v>0</v>
      </c>
      <c r="D294" s="499">
        <f>+D276</f>
        <v>0</v>
      </c>
      <c r="E294" s="499">
        <f>+E276</f>
        <v>0</v>
      </c>
      <c r="F294" s="499">
        <f>+F276</f>
        <v>0</v>
      </c>
      <c r="G294" s="499">
        <f>+G276</f>
        <v>0</v>
      </c>
      <c r="H294" s="499">
        <f>+H276</f>
        <v>0</v>
      </c>
      <c r="I294" s="504"/>
    </row>
    <row r="295" spans="1:9" ht="13.5" thickBot="1" x14ac:dyDescent="0.25">
      <c r="A295" s="509">
        <f>IF(C276-D276&lt;=0,D276-C276)</f>
        <v>0</v>
      </c>
      <c r="B295" s="502">
        <f>+(CEILING((B294/4),1)*0.34)</f>
        <v>0</v>
      </c>
      <c r="C295" s="502">
        <f>+(CEILING((C294/2),1)*0.34)</f>
        <v>0</v>
      </c>
      <c r="D295" s="502">
        <f>+(CEILING((D294/1),1)*0.34)</f>
        <v>0</v>
      </c>
      <c r="E295" s="502">
        <f>+E294*0.34</f>
        <v>0</v>
      </c>
      <c r="F295" s="502">
        <f>+F294*0.34</f>
        <v>0</v>
      </c>
      <c r="G295" s="502">
        <f>+G294*0.34</f>
        <v>0</v>
      </c>
      <c r="H295" s="502">
        <f>+H294*0.34</f>
        <v>0</v>
      </c>
      <c r="I295" s="504">
        <f>SUM(B295:H295)</f>
        <v>0</v>
      </c>
    </row>
    <row r="296" spans="1:9" x14ac:dyDescent="0.2">
      <c r="A296" s="505">
        <v>20</v>
      </c>
      <c r="B296" s="499">
        <f>IF(B277&lt;=E277+A297,0,B277-E277-A297)</f>
        <v>0</v>
      </c>
      <c r="C296" s="499">
        <f>IF(C277&lt;=D277,0,C277-D277)</f>
        <v>0</v>
      </c>
      <c r="D296" s="499">
        <f>+D277</f>
        <v>0</v>
      </c>
      <c r="E296" s="499">
        <f>+E277</f>
        <v>0</v>
      </c>
      <c r="F296" s="499">
        <f>+F277</f>
        <v>0</v>
      </c>
      <c r="G296" s="499">
        <f>+G277</f>
        <v>0</v>
      </c>
      <c r="H296" s="499">
        <f>+H277</f>
        <v>0</v>
      </c>
      <c r="I296" s="507"/>
    </row>
    <row r="297" spans="1:9" ht="13.5" thickBot="1" x14ac:dyDescent="0.25">
      <c r="A297" s="509">
        <f>IF(C277-D277&lt;=0,D277-C277)</f>
        <v>0</v>
      </c>
      <c r="B297" s="502">
        <f>+(CEILING((B296/4),1)*0.26)</f>
        <v>0</v>
      </c>
      <c r="C297" s="502">
        <f>+(CEILING((C296/2),1)*0.26)</f>
        <v>0</v>
      </c>
      <c r="D297" s="502">
        <f>+(CEILING((D296/1),1)*0.26)</f>
        <v>0</v>
      </c>
      <c r="E297" s="502">
        <f>+E296*0.26</f>
        <v>0</v>
      </c>
      <c r="F297" s="502">
        <f>+F296*0.26</f>
        <v>0</v>
      </c>
      <c r="G297" s="502">
        <f>+G296*0.26</f>
        <v>0</v>
      </c>
      <c r="H297" s="502">
        <f>+H296*0.26</f>
        <v>0</v>
      </c>
      <c r="I297" s="503">
        <f>SUM(B297:H297)</f>
        <v>0</v>
      </c>
    </row>
    <row r="298" spans="1:9" x14ac:dyDescent="0.2">
      <c r="A298" s="414">
        <v>0</v>
      </c>
      <c r="B298" s="493" t="s">
        <v>404</v>
      </c>
      <c r="C298" s="6"/>
      <c r="D298" s="6"/>
      <c r="E298" s="6"/>
      <c r="F298" s="6"/>
      <c r="G298" s="6"/>
      <c r="H298" s="6"/>
      <c r="I298" s="333"/>
    </row>
    <row r="299" spans="1:9" ht="13.5" thickBot="1" x14ac:dyDescent="0.25">
      <c r="A299" s="414">
        <v>0</v>
      </c>
      <c r="B299" s="414" t="s">
        <v>758</v>
      </c>
      <c r="C299"/>
      <c r="D299"/>
      <c r="E299"/>
      <c r="F299"/>
      <c r="G299"/>
      <c r="H299"/>
      <c r="I299"/>
    </row>
    <row r="300" spans="1:9" x14ac:dyDescent="0.2">
      <c r="A300" s="495">
        <v>0</v>
      </c>
      <c r="B300" s="508">
        <v>2</v>
      </c>
      <c r="C300" s="496">
        <v>2</v>
      </c>
      <c r="D300" s="496">
        <v>2</v>
      </c>
      <c r="E300" s="496">
        <v>2</v>
      </c>
      <c r="F300" s="496">
        <v>2</v>
      </c>
      <c r="G300" s="496">
        <v>2</v>
      </c>
      <c r="H300" s="496">
        <v>2</v>
      </c>
      <c r="I300" s="507"/>
    </row>
    <row r="301" spans="1:9" x14ac:dyDescent="0.2">
      <c r="A301" s="498" t="s">
        <v>457</v>
      </c>
      <c r="B301" s="499">
        <f>IF(B280&lt;=E280+A302,0,B280-E280-A302)</f>
        <v>0</v>
      </c>
      <c r="C301" s="499">
        <f>IF(C280&lt;=D280,0,C280-D280)</f>
        <v>0</v>
      </c>
      <c r="D301" s="499">
        <f>+D280</f>
        <v>0</v>
      </c>
      <c r="E301" s="499">
        <f>+E280</f>
        <v>0</v>
      </c>
      <c r="F301" s="499">
        <f>+F280</f>
        <v>0</v>
      </c>
      <c r="G301" s="499">
        <f>+G280</f>
        <v>0</v>
      </c>
      <c r="H301" s="499">
        <f>+H280</f>
        <v>0</v>
      </c>
      <c r="I301" s="500"/>
    </row>
    <row r="302" spans="1:9" ht="13.5" thickBot="1" x14ac:dyDescent="0.25">
      <c r="A302" s="509">
        <f>IF(C280-D280&lt;=0,D280-C280)</f>
        <v>0</v>
      </c>
      <c r="B302" s="502">
        <f>+(CEILING((B301/4),1)*B300)</f>
        <v>0</v>
      </c>
      <c r="C302" s="502">
        <f>+(CEILING((C301/2),1)*C300)</f>
        <v>0</v>
      </c>
      <c r="D302" s="502">
        <f>+(CEILING((D301/1),1)*D300)</f>
        <v>0</v>
      </c>
      <c r="E302" s="502">
        <f>+E300*E301</f>
        <v>0</v>
      </c>
      <c r="F302" s="502">
        <f>+F300*F301</f>
        <v>0</v>
      </c>
      <c r="G302" s="502">
        <f>+G300*G301</f>
        <v>0</v>
      </c>
      <c r="H302" s="502">
        <f>+H300*H301</f>
        <v>0</v>
      </c>
      <c r="I302" s="503">
        <f>SUM(B302:H302)</f>
        <v>0</v>
      </c>
    </row>
    <row r="303" spans="1:9" x14ac:dyDescent="0.2">
      <c r="A303" s="495"/>
      <c r="B303" s="508"/>
      <c r="C303" s="496"/>
      <c r="D303" s="496"/>
      <c r="E303" s="496"/>
      <c r="F303" s="496"/>
      <c r="G303" s="496"/>
      <c r="H303" s="496"/>
      <c r="I303" s="507"/>
    </row>
    <row r="304" spans="1:9" x14ac:dyDescent="0.2">
      <c r="A304" s="498"/>
      <c r="B304" s="499"/>
      <c r="C304" s="499"/>
      <c r="D304" s="499"/>
      <c r="E304" s="499"/>
      <c r="F304" s="499"/>
      <c r="G304" s="499"/>
      <c r="H304" s="499"/>
      <c r="I304" s="500"/>
    </row>
    <row r="305" spans="1:9" ht="13.5" thickBot="1" x14ac:dyDescent="0.25">
      <c r="A305" s="509"/>
      <c r="B305" s="502"/>
      <c r="C305" s="502"/>
      <c r="D305" s="502"/>
      <c r="E305" s="502"/>
      <c r="F305" s="502"/>
      <c r="G305" s="502"/>
      <c r="H305" s="502"/>
      <c r="I305" s="503"/>
    </row>
    <row r="306" spans="1:9" x14ac:dyDescent="0.2">
      <c r="A306" s="495">
        <v>0</v>
      </c>
      <c r="B306" s="508">
        <v>0.85</v>
      </c>
      <c r="C306" s="496">
        <v>0.85</v>
      </c>
      <c r="D306" s="496">
        <v>0.85</v>
      </c>
      <c r="E306" s="496">
        <v>0.85</v>
      </c>
      <c r="F306" s="496">
        <v>0.85</v>
      </c>
      <c r="G306" s="496">
        <v>0.85</v>
      </c>
      <c r="H306" s="496">
        <v>0.85</v>
      </c>
      <c r="I306" s="507"/>
    </row>
    <row r="307" spans="1:9" x14ac:dyDescent="0.2">
      <c r="A307" s="498" t="s">
        <v>459</v>
      </c>
      <c r="B307" s="499">
        <f>IF(B282&lt;=E282+A308,0,B282-E282-A308)</f>
        <v>0</v>
      </c>
      <c r="C307" s="499">
        <f>IF(C282&lt;=D282,0,C282-D282)</f>
        <v>0</v>
      </c>
      <c r="D307" s="499">
        <f>+D282</f>
        <v>0</v>
      </c>
      <c r="E307" s="499">
        <f>+E282</f>
        <v>0</v>
      </c>
      <c r="F307" s="499">
        <f>+F282</f>
        <v>0</v>
      </c>
      <c r="G307" s="499">
        <f>+G282</f>
        <v>0</v>
      </c>
      <c r="H307" s="499">
        <f>+H282</f>
        <v>0</v>
      </c>
      <c r="I307" s="500"/>
    </row>
    <row r="308" spans="1:9" ht="13.5" thickBot="1" x14ac:dyDescent="0.25">
      <c r="A308" s="509">
        <f>IF(C282-D282&lt;=0,D282-C282)</f>
        <v>0</v>
      </c>
      <c r="B308" s="502">
        <f>+(CEILING((B307/4),1)*B306)</f>
        <v>0</v>
      </c>
      <c r="C308" s="502">
        <f>+(CEILING((C307/2),1)*C306)</f>
        <v>0</v>
      </c>
      <c r="D308" s="502">
        <f>+(CEILING((D307/1),1)*D306)</f>
        <v>0</v>
      </c>
      <c r="E308" s="502">
        <f>+E306*E307</f>
        <v>0</v>
      </c>
      <c r="F308" s="502">
        <f>+F306*F307</f>
        <v>0</v>
      </c>
      <c r="G308" s="502">
        <f>+G306*G307</f>
        <v>0</v>
      </c>
      <c r="H308" s="502">
        <f>+H306*H307</f>
        <v>0</v>
      </c>
      <c r="I308" s="503">
        <f>SUM(B308:H308)</f>
        <v>0</v>
      </c>
    </row>
    <row r="309" spans="1:9" x14ac:dyDescent="0.2">
      <c r="A309" s="495">
        <v>0</v>
      </c>
      <c r="B309" s="508">
        <v>0.85</v>
      </c>
      <c r="C309" s="496">
        <v>0.85</v>
      </c>
      <c r="D309" s="496">
        <v>0.85</v>
      </c>
      <c r="E309" s="496">
        <v>0.85</v>
      </c>
      <c r="F309" s="496">
        <v>0.85</v>
      </c>
      <c r="G309" s="496">
        <v>0.85</v>
      </c>
      <c r="H309" s="496">
        <v>0.85</v>
      </c>
      <c r="I309" s="507"/>
    </row>
    <row r="310" spans="1:9" x14ac:dyDescent="0.2">
      <c r="A310" s="498" t="s">
        <v>763</v>
      </c>
      <c r="B310" s="499">
        <f>IF(B283&lt;=E283+A311,0,B283-E283-A311)</f>
        <v>0</v>
      </c>
      <c r="C310" s="499">
        <f>IF(C283&lt;=D283,0,C283-D283)</f>
        <v>0</v>
      </c>
      <c r="D310" s="499">
        <f>+D283</f>
        <v>0</v>
      </c>
      <c r="E310" s="499">
        <f>+E283</f>
        <v>0</v>
      </c>
      <c r="F310" s="499">
        <f>+F283</f>
        <v>0</v>
      </c>
      <c r="G310" s="499">
        <f>+G283</f>
        <v>0</v>
      </c>
      <c r="H310" s="499">
        <f>+H283</f>
        <v>0</v>
      </c>
      <c r="I310" s="500"/>
    </row>
    <row r="311" spans="1:9" ht="13.5" thickBot="1" x14ac:dyDescent="0.25">
      <c r="A311" s="510">
        <f>IF(C283-D283&lt;=0,D283-C283)</f>
        <v>0</v>
      </c>
      <c r="B311" s="502">
        <f>+(CEILING((B310/4),1)*B309)</f>
        <v>0</v>
      </c>
      <c r="C311" s="502">
        <f>+(CEILING((C310/2),1)*C309)</f>
        <v>0</v>
      </c>
      <c r="D311" s="502">
        <f>+(CEILING((D310/1),1)*D309)</f>
        <v>0</v>
      </c>
      <c r="E311" s="502">
        <f>+E309*E310</f>
        <v>0</v>
      </c>
      <c r="F311" s="502">
        <f>+F309*F310</f>
        <v>0</v>
      </c>
      <c r="G311" s="502">
        <f>+G309*G310</f>
        <v>0</v>
      </c>
      <c r="H311" s="502">
        <f>+H309*H310</f>
        <v>0</v>
      </c>
      <c r="I311" s="503">
        <f>SUM(B311:H311)</f>
        <v>0</v>
      </c>
    </row>
    <row r="312" spans="1:9" x14ac:dyDescent="0.2">
      <c r="A312" s="511">
        <f>IF(C284-D284&lt;=0,D284-C284)</f>
        <v>0</v>
      </c>
      <c r="B312" s="496">
        <v>0.34</v>
      </c>
      <c r="C312" s="496">
        <v>0.62</v>
      </c>
      <c r="D312" s="496">
        <v>0.76</v>
      </c>
      <c r="E312" s="496">
        <v>0.9</v>
      </c>
      <c r="F312" s="496">
        <v>1.18</v>
      </c>
      <c r="G312" s="496">
        <v>1.46</v>
      </c>
      <c r="H312" s="496">
        <v>1.43</v>
      </c>
      <c r="I312" s="507"/>
    </row>
    <row r="313" spans="1:9" x14ac:dyDescent="0.2">
      <c r="A313" s="512" t="s">
        <v>106</v>
      </c>
      <c r="B313" s="499">
        <f>IF(B284&lt;=E284+A312,0,B284-E284-A312)</f>
        <v>0</v>
      </c>
      <c r="C313" s="499">
        <f>IF(C284&lt;=D284,0,C284-D284)</f>
        <v>0</v>
      </c>
      <c r="D313" s="499">
        <f>+D284</f>
        <v>0</v>
      </c>
      <c r="E313" s="499">
        <f>+E284</f>
        <v>0</v>
      </c>
      <c r="F313" s="499">
        <f>+F284</f>
        <v>0</v>
      </c>
      <c r="G313" s="499">
        <f>+G284</f>
        <v>0</v>
      </c>
      <c r="H313" s="499">
        <f>+H284</f>
        <v>0</v>
      </c>
      <c r="I313" s="500"/>
    </row>
    <row r="314" spans="1:9" ht="13.5" thickBot="1" x14ac:dyDescent="0.25">
      <c r="A314" s="501" t="s">
        <v>764</v>
      </c>
      <c r="B314" s="502">
        <f t="shared" ref="B314:H314" si="19">+(CEILING((B313/3),1)*B312)</f>
        <v>0</v>
      </c>
      <c r="C314" s="502">
        <f t="shared" si="19"/>
        <v>0</v>
      </c>
      <c r="D314" s="502">
        <f t="shared" si="19"/>
        <v>0</v>
      </c>
      <c r="E314" s="502">
        <f t="shared" si="19"/>
        <v>0</v>
      </c>
      <c r="F314" s="502">
        <f t="shared" si="19"/>
        <v>0</v>
      </c>
      <c r="G314" s="502">
        <f t="shared" si="19"/>
        <v>0</v>
      </c>
      <c r="H314" s="502">
        <f t="shared" si="19"/>
        <v>0</v>
      </c>
      <c r="I314" s="503">
        <f>SUM(B314:H314)</f>
        <v>0</v>
      </c>
    </row>
    <row r="315" spans="1:9" x14ac:dyDescent="0.2">
      <c r="A315" s="510">
        <f>IF(C285-D285&lt;=0,D285-C285)</f>
        <v>0</v>
      </c>
      <c r="B315" s="496">
        <v>1.07</v>
      </c>
      <c r="C315" s="496">
        <v>1.07</v>
      </c>
      <c r="D315" s="496">
        <v>1.07</v>
      </c>
      <c r="E315" s="496">
        <v>1.07</v>
      </c>
      <c r="F315" s="496">
        <v>1.07</v>
      </c>
      <c r="G315" s="496">
        <v>1.07</v>
      </c>
      <c r="H315" s="496">
        <v>1.07</v>
      </c>
      <c r="I315" s="507"/>
    </row>
    <row r="316" spans="1:9" x14ac:dyDescent="0.2">
      <c r="A316" s="512" t="s">
        <v>106</v>
      </c>
      <c r="B316" s="499">
        <f>IF(B285&lt;=E285+A315,0,B285-E285-A315)</f>
        <v>0</v>
      </c>
      <c r="C316" s="499">
        <f>IF(C285&lt;=D285,0,C285-D285)</f>
        <v>0</v>
      </c>
      <c r="D316" s="499">
        <f>+D285</f>
        <v>0</v>
      </c>
      <c r="E316" s="499">
        <f>+E285</f>
        <v>0</v>
      </c>
      <c r="F316" s="499">
        <f>+F285</f>
        <v>0</v>
      </c>
      <c r="G316" s="499">
        <f>+G285</f>
        <v>0</v>
      </c>
      <c r="H316" s="499">
        <f>+H285</f>
        <v>0</v>
      </c>
      <c r="I316" s="500"/>
    </row>
    <row r="317" spans="1:9" ht="13.5" thickBot="1" x14ac:dyDescent="0.25">
      <c r="A317" s="501" t="s">
        <v>765</v>
      </c>
      <c r="B317" s="502">
        <f>+(CEILING((B316/4),1)*B315)</f>
        <v>0</v>
      </c>
      <c r="C317" s="502">
        <f>+(CEILING((C316/2),1)*C315)</f>
        <v>0</v>
      </c>
      <c r="D317" s="502">
        <f>+(CEILING((D316/1),1)*D315)</f>
        <v>0</v>
      </c>
      <c r="E317" s="502">
        <f>+E315*E316</f>
        <v>0</v>
      </c>
      <c r="F317" s="502">
        <f>+F315*F316</f>
        <v>0</v>
      </c>
      <c r="G317" s="502">
        <f>+G315*G316</f>
        <v>0</v>
      </c>
      <c r="H317" s="502">
        <f>+H315*H316</f>
        <v>0</v>
      </c>
      <c r="I317" s="503">
        <f>SUM(B317:H317)</f>
        <v>0</v>
      </c>
    </row>
    <row r="318" spans="1:9" x14ac:dyDescent="0.2">
      <c r="A318" s="512">
        <v>0</v>
      </c>
      <c r="B318" s="496"/>
      <c r="C318" s="496">
        <v>0.45</v>
      </c>
      <c r="D318" s="496">
        <v>0.45</v>
      </c>
      <c r="E318" s="496">
        <v>0.45</v>
      </c>
      <c r="F318" s="496">
        <v>0.45</v>
      </c>
      <c r="G318" s="496"/>
      <c r="H318" s="496"/>
      <c r="I318" s="507"/>
    </row>
    <row r="319" spans="1:9" x14ac:dyDescent="0.2">
      <c r="A319" s="512" t="s">
        <v>766</v>
      </c>
      <c r="B319" s="499"/>
      <c r="C319" s="499">
        <f>IF(C286&lt;=D319,0,C286-D319)</f>
        <v>0</v>
      </c>
      <c r="D319" s="499">
        <f>+D286</f>
        <v>0</v>
      </c>
      <c r="E319" s="499">
        <f>+E286</f>
        <v>0</v>
      </c>
      <c r="F319" s="499">
        <f>+F286</f>
        <v>0</v>
      </c>
      <c r="G319" s="499"/>
      <c r="H319" s="499"/>
      <c r="I319" s="500"/>
    </row>
    <row r="320" spans="1:9" ht="13.5" thickBot="1" x14ac:dyDescent="0.25">
      <c r="A320" s="513">
        <v>0</v>
      </c>
      <c r="B320" s="514"/>
      <c r="C320" s="502">
        <f>+(CEILING((C319/2),1)*C318)</f>
        <v>0</v>
      </c>
      <c r="D320" s="502">
        <f>+(CEILING((D319/1),1)*D318)</f>
        <v>0</v>
      </c>
      <c r="E320" s="502">
        <f>+E318*E319</f>
        <v>0</v>
      </c>
      <c r="F320" s="502">
        <f>+F318*F319</f>
        <v>0</v>
      </c>
      <c r="G320" s="502"/>
      <c r="H320" s="502"/>
      <c r="I320" s="503">
        <f>SUM(B320:H320)</f>
        <v>0</v>
      </c>
    </row>
    <row r="321" spans="1:9" x14ac:dyDescent="0.2">
      <c r="A321" s="495">
        <v>0</v>
      </c>
      <c r="B321" s="508"/>
      <c r="C321" s="496">
        <v>0.25</v>
      </c>
      <c r="D321" s="496">
        <v>0.25</v>
      </c>
      <c r="E321" s="496">
        <v>0.25</v>
      </c>
      <c r="F321" s="496">
        <v>0.25</v>
      </c>
      <c r="G321" s="496"/>
      <c r="H321" s="496"/>
      <c r="I321" s="507"/>
    </row>
    <row r="322" spans="1:9" x14ac:dyDescent="0.2">
      <c r="A322" s="512" t="s">
        <v>767</v>
      </c>
      <c r="B322" s="515"/>
      <c r="C322" s="499">
        <f>IF(C287&lt;=D322,0,C287-D322)</f>
        <v>0</v>
      </c>
      <c r="D322" s="499">
        <f>+D287</f>
        <v>0</v>
      </c>
      <c r="E322" s="499">
        <f>+E287</f>
        <v>0</v>
      </c>
      <c r="F322" s="499">
        <f>+F287</f>
        <v>0</v>
      </c>
      <c r="G322" s="499"/>
      <c r="H322" s="499"/>
      <c r="I322" s="500"/>
    </row>
    <row r="323" spans="1:9" ht="13.5" thickBot="1" x14ac:dyDescent="0.25">
      <c r="A323" s="513">
        <v>0</v>
      </c>
      <c r="B323" s="516"/>
      <c r="C323" s="502">
        <f>+(CEILING((C322/2),1)*C321)</f>
        <v>0</v>
      </c>
      <c r="D323" s="502">
        <f>+(CEILING((D322/1),1)*D321)</f>
        <v>0</v>
      </c>
      <c r="E323" s="502">
        <f>+E321*E322</f>
        <v>0</v>
      </c>
      <c r="F323" s="502">
        <f>+F321*F322</f>
        <v>0</v>
      </c>
      <c r="G323" s="502"/>
      <c r="H323" s="502"/>
      <c r="I323" s="503">
        <f>SUM(B323:H323)</f>
        <v>0</v>
      </c>
    </row>
    <row r="324" spans="1:9" ht="13.5" thickBot="1" x14ac:dyDescent="0.25">
      <c r="A324" s="414">
        <v>0</v>
      </c>
      <c r="B324" s="333"/>
      <c r="C324" s="333"/>
      <c r="D324" s="333"/>
      <c r="E324" s="333"/>
      <c r="F324" s="333"/>
      <c r="G324" s="333"/>
      <c r="H324" s="333"/>
      <c r="I324" s="517">
        <f>SUM(I291:I323)</f>
        <v>0</v>
      </c>
    </row>
    <row r="325" spans="1:9" ht="13.5" thickBot="1" x14ac:dyDescent="0.25">
      <c r="A325" s="409">
        <v>0</v>
      </c>
    </row>
    <row r="326" spans="1:9" ht="18.75" thickBot="1" x14ac:dyDescent="0.3">
      <c r="A326" s="487" t="s">
        <v>755</v>
      </c>
      <c r="B326" s="386">
        <v>7</v>
      </c>
      <c r="C326" s="488">
        <f>+Cant.!AY57</f>
        <v>0</v>
      </c>
      <c r="D326" s="488"/>
      <c r="E326" s="488"/>
      <c r="F326" s="486">
        <f>CEILING((I378*1),1)</f>
        <v>0</v>
      </c>
      <c r="G326" s="120" t="s">
        <v>756</v>
      </c>
    </row>
    <row r="327" spans="1:9" x14ac:dyDescent="0.2">
      <c r="A327" s="120">
        <v>0</v>
      </c>
      <c r="B327" s="414" t="s">
        <v>479</v>
      </c>
    </row>
    <row r="328" spans="1:9" ht="18" x14ac:dyDescent="0.25">
      <c r="A328" s="120">
        <v>0</v>
      </c>
      <c r="B328" s="489">
        <v>28</v>
      </c>
      <c r="C328" s="489">
        <v>56</v>
      </c>
      <c r="D328" s="489">
        <v>70</v>
      </c>
      <c r="E328" s="489">
        <v>84</v>
      </c>
      <c r="F328" s="489">
        <v>112</v>
      </c>
      <c r="G328" s="489"/>
      <c r="H328" s="489" t="s">
        <v>757</v>
      </c>
    </row>
    <row r="329" spans="1:9" x14ac:dyDescent="0.2">
      <c r="A329" s="490">
        <v>40</v>
      </c>
      <c r="B329" s="491">
        <f>+Cant.!AY60</f>
        <v>0</v>
      </c>
      <c r="C329" s="491">
        <f>+Cant.!AZ60</f>
        <v>0</v>
      </c>
      <c r="D329" s="491">
        <f>+Cant.!BA60</f>
        <v>0</v>
      </c>
      <c r="E329" s="491">
        <f>+Cant.!BB60</f>
        <v>0</v>
      </c>
      <c r="F329" s="491">
        <f>+Cant.!BC60</f>
        <v>0</v>
      </c>
      <c r="G329" s="491">
        <f>+Cant.!BD60</f>
        <v>0</v>
      </c>
      <c r="H329" s="491">
        <f>+Cant.!BE60</f>
        <v>0</v>
      </c>
    </row>
    <row r="330" spans="1:9" x14ac:dyDescent="0.2">
      <c r="A330" s="490">
        <v>28</v>
      </c>
      <c r="B330" s="491">
        <f>+Cant.!AY61</f>
        <v>0</v>
      </c>
      <c r="C330" s="491">
        <f>+Cant.!AZ61</f>
        <v>0</v>
      </c>
      <c r="D330" s="491">
        <f>+Cant.!BA61</f>
        <v>0</v>
      </c>
      <c r="E330" s="491">
        <f>+Cant.!BB61</f>
        <v>0</v>
      </c>
      <c r="F330" s="491">
        <f>+Cant.!BC61</f>
        <v>0</v>
      </c>
      <c r="G330" s="491">
        <f>+Cant.!BD61</f>
        <v>0</v>
      </c>
      <c r="H330" s="491">
        <f>+Cant.!BE61</f>
        <v>0</v>
      </c>
    </row>
    <row r="331" spans="1:9" x14ac:dyDescent="0.2">
      <c r="A331" s="490">
        <v>20</v>
      </c>
      <c r="B331" s="491">
        <f>+Cant.!AY62</f>
        <v>0</v>
      </c>
      <c r="C331" s="491">
        <f>+Cant.!AZ62</f>
        <v>0</v>
      </c>
      <c r="D331" s="491">
        <f>+Cant.!BA62</f>
        <v>0</v>
      </c>
      <c r="E331" s="491">
        <f>+Cant.!BB62</f>
        <v>0</v>
      </c>
      <c r="F331" s="491">
        <f>+Cant.!BC62</f>
        <v>0</v>
      </c>
      <c r="G331" s="491">
        <f>+Cant.!BD62</f>
        <v>0</v>
      </c>
      <c r="H331" s="491">
        <f>+Cant.!BE62</f>
        <v>0</v>
      </c>
    </row>
    <row r="332" spans="1:9" x14ac:dyDescent="0.2">
      <c r="A332" s="492">
        <v>0</v>
      </c>
      <c r="B332" s="493" t="s">
        <v>404</v>
      </c>
    </row>
    <row r="333" spans="1:9" x14ac:dyDescent="0.2">
      <c r="A333" s="492">
        <v>0</v>
      </c>
      <c r="B333" s="414" t="s">
        <v>758</v>
      </c>
    </row>
    <row r="334" spans="1:9" x14ac:dyDescent="0.2">
      <c r="A334" s="490" t="s">
        <v>422</v>
      </c>
      <c r="B334" s="491">
        <f>+Cant.!AY66</f>
        <v>0</v>
      </c>
      <c r="C334" s="491">
        <f>+Cant.!AZ66</f>
        <v>0</v>
      </c>
      <c r="D334" s="491">
        <f>+Cant.!BA66</f>
        <v>0</v>
      </c>
      <c r="E334" s="491">
        <f>+Cant.!BB66</f>
        <v>0</v>
      </c>
      <c r="F334" s="491">
        <f>+Cant.!BC66</f>
        <v>0</v>
      </c>
      <c r="G334" s="491">
        <f>+Cant.!BD66</f>
        <v>0</v>
      </c>
      <c r="H334" s="491">
        <f>+Cant.!BE66</f>
        <v>0</v>
      </c>
    </row>
    <row r="335" spans="1:9" x14ac:dyDescent="0.2">
      <c r="A335" s="490" t="s">
        <v>424</v>
      </c>
      <c r="B335" s="491">
        <f>+Cant.!AY67</f>
        <v>0</v>
      </c>
      <c r="C335" s="491">
        <f>+Cant.!AZ67</f>
        <v>0</v>
      </c>
      <c r="D335" s="491">
        <f>+Cant.!BA67</f>
        <v>0</v>
      </c>
      <c r="E335" s="491">
        <f>+Cant.!BB67</f>
        <v>0</v>
      </c>
      <c r="F335" s="491">
        <f>+Cant.!BC67</f>
        <v>0</v>
      </c>
      <c r="G335" s="491">
        <f>+Cant.!BD67</f>
        <v>0</v>
      </c>
      <c r="H335" s="491">
        <f>+Cant.!BE67</f>
        <v>0</v>
      </c>
    </row>
    <row r="336" spans="1:9" x14ac:dyDescent="0.2">
      <c r="A336" s="118" t="s">
        <v>426</v>
      </c>
      <c r="B336" s="491">
        <f>+Cant.!AY68</f>
        <v>0</v>
      </c>
      <c r="C336" s="491">
        <f>+Cant.!AZ68</f>
        <v>0</v>
      </c>
      <c r="D336" s="491">
        <f>+Cant.!BA68</f>
        <v>0</v>
      </c>
      <c r="E336" s="491">
        <f>+Cant.!BB68</f>
        <v>0</v>
      </c>
      <c r="F336" s="491">
        <f>+Cant.!BC68</f>
        <v>0</v>
      </c>
      <c r="G336" s="491">
        <f>+Cant.!BD68</f>
        <v>0</v>
      </c>
      <c r="H336" s="491">
        <f>+Cant.!BE68</f>
        <v>0</v>
      </c>
      <c r="I336"/>
    </row>
    <row r="337" spans="1:9" x14ac:dyDescent="0.2">
      <c r="A337" s="118" t="s">
        <v>429</v>
      </c>
      <c r="B337" s="491">
        <f>+Cant.!AY69</f>
        <v>0</v>
      </c>
      <c r="C337" s="491">
        <f>+Cant.!AZ69</f>
        <v>0</v>
      </c>
      <c r="D337" s="491">
        <f>+Cant.!BA69</f>
        <v>0</v>
      </c>
      <c r="E337" s="491">
        <f>+Cant.!BB69</f>
        <v>0</v>
      </c>
      <c r="F337" s="491">
        <f>+Cant.!BC69</f>
        <v>0</v>
      </c>
      <c r="G337" s="491">
        <f>+Cant.!BD69</f>
        <v>0</v>
      </c>
      <c r="H337" s="491">
        <f>+Cant.!BE69</f>
        <v>0</v>
      </c>
      <c r="I337"/>
    </row>
    <row r="338" spans="1:9" x14ac:dyDescent="0.2">
      <c r="A338" s="118" t="s">
        <v>759</v>
      </c>
      <c r="B338" s="491">
        <f>+Cant.!AY70</f>
        <v>0</v>
      </c>
      <c r="C338" s="491">
        <f>+Cant.!AZ70</f>
        <v>0</v>
      </c>
      <c r="D338" s="491">
        <f>+Cant.!BA70</f>
        <v>0</v>
      </c>
      <c r="E338" s="491">
        <f>+Cant.!BB70</f>
        <v>0</v>
      </c>
      <c r="F338" s="491">
        <f>+Cant.!BC70</f>
        <v>0</v>
      </c>
      <c r="G338" s="491">
        <f>+Cant.!BD70</f>
        <v>0</v>
      </c>
      <c r="H338" s="491">
        <f>+Cant.!BE70</f>
        <v>0</v>
      </c>
      <c r="I338"/>
    </row>
    <row r="339" spans="1:9" x14ac:dyDescent="0.2">
      <c r="A339" s="118" t="s">
        <v>760</v>
      </c>
      <c r="B339" s="491">
        <f>+Cant.!AY71</f>
        <v>0</v>
      </c>
      <c r="C339" s="491">
        <f>+Cant.!AZ71</f>
        <v>0</v>
      </c>
      <c r="D339" s="491">
        <f>+Cant.!BA71</f>
        <v>0</v>
      </c>
      <c r="E339" s="491">
        <f>+Cant.!BB71</f>
        <v>0</v>
      </c>
      <c r="F339" s="491">
        <f>+Cant.!BC71</f>
        <v>0</v>
      </c>
      <c r="G339" s="491">
        <f>+Cant.!BD71</f>
        <v>0</v>
      </c>
      <c r="H339" s="491">
        <f>+Cant.!BE71</f>
        <v>0</v>
      </c>
      <c r="I339"/>
    </row>
    <row r="340" spans="1:9" x14ac:dyDescent="0.2">
      <c r="A340" s="118" t="s">
        <v>761</v>
      </c>
      <c r="B340" s="494">
        <f>+Cant.!AY72</f>
        <v>0</v>
      </c>
      <c r="C340" s="491">
        <f>+Cant.!AZ72</f>
        <v>0</v>
      </c>
      <c r="D340" s="491">
        <f>+Cant.!BA72</f>
        <v>0</v>
      </c>
      <c r="E340" s="491">
        <f>+Cant.!BB72</f>
        <v>0</v>
      </c>
      <c r="F340" s="491">
        <f>+Cant.!BC72</f>
        <v>0</v>
      </c>
      <c r="G340" s="494">
        <f>+Cant.!BD72</f>
        <v>0</v>
      </c>
      <c r="H340" s="494">
        <f>+Cant.!BE72</f>
        <v>0</v>
      </c>
      <c r="I340"/>
    </row>
    <row r="341" spans="1:9" x14ac:dyDescent="0.2">
      <c r="A341" s="118" t="s">
        <v>762</v>
      </c>
      <c r="B341" s="494">
        <f>+Cant.!AY73</f>
        <v>0</v>
      </c>
      <c r="C341" s="491">
        <f>+Cant.!AZ73</f>
        <v>0</v>
      </c>
      <c r="D341" s="491">
        <f>+Cant.!BA73</f>
        <v>0</v>
      </c>
      <c r="E341" s="491">
        <f>+Cant.!BB73</f>
        <v>0</v>
      </c>
      <c r="F341" s="491">
        <f>+Cant.!BC73</f>
        <v>0</v>
      </c>
      <c r="G341" s="494">
        <f>+Cant.!BD73</f>
        <v>0</v>
      </c>
      <c r="H341" s="494">
        <f>+Cant.!BE73</f>
        <v>0</v>
      </c>
      <c r="I341"/>
    </row>
    <row r="342" spans="1:9" ht="18" x14ac:dyDescent="0.25">
      <c r="A342" s="414">
        <v>0</v>
      </c>
      <c r="C342" s="404"/>
      <c r="D342"/>
      <c r="E342"/>
      <c r="F342"/>
      <c r="G342"/>
      <c r="H342"/>
      <c r="I342"/>
    </row>
    <row r="343" spans="1:9" ht="18" x14ac:dyDescent="0.25">
      <c r="A343" s="414">
        <v>0</v>
      </c>
      <c r="B343" s="414" t="s">
        <v>479</v>
      </c>
      <c r="C343" s="404"/>
      <c r="D343"/>
      <c r="E343"/>
      <c r="F343"/>
      <c r="G343"/>
      <c r="H343"/>
      <c r="I343"/>
    </row>
    <row r="344" spans="1:9" ht="18.75" thickBot="1" x14ac:dyDescent="0.3">
      <c r="A344" s="414">
        <v>0</v>
      </c>
      <c r="B344" s="489">
        <v>28</v>
      </c>
      <c r="C344" s="489">
        <v>56</v>
      </c>
      <c r="D344" s="489">
        <v>70</v>
      </c>
      <c r="E344" s="489">
        <v>84</v>
      </c>
      <c r="F344" s="489">
        <v>112</v>
      </c>
      <c r="G344" s="489">
        <v>140</v>
      </c>
      <c r="H344" s="489" t="s">
        <v>757</v>
      </c>
      <c r="I344"/>
    </row>
    <row r="345" spans="1:9" ht="15.75" x14ac:dyDescent="0.25">
      <c r="A345" s="495">
        <v>0</v>
      </c>
      <c r="B345" s="496">
        <v>0.46</v>
      </c>
      <c r="C345" s="496">
        <v>0.46</v>
      </c>
      <c r="D345" s="496">
        <v>0.46</v>
      </c>
      <c r="E345" s="496">
        <v>0.46</v>
      </c>
      <c r="F345" s="496">
        <v>0.46</v>
      </c>
      <c r="G345" s="496">
        <v>0.46</v>
      </c>
      <c r="H345" s="496">
        <v>0.46</v>
      </c>
      <c r="I345" s="497"/>
    </row>
    <row r="346" spans="1:9" x14ac:dyDescent="0.2">
      <c r="A346" s="498">
        <v>40</v>
      </c>
      <c r="B346" s="499">
        <f>IF(B329&lt;=E329+A347,0,B329-E329-A347)</f>
        <v>0</v>
      </c>
      <c r="C346" s="499">
        <f>IF(C329&lt;=D329,0,C329-D329)</f>
        <v>0</v>
      </c>
      <c r="D346" s="499">
        <f>+D329</f>
        <v>0</v>
      </c>
      <c r="E346" s="499">
        <f>+E329</f>
        <v>0</v>
      </c>
      <c r="F346" s="499">
        <f>+F329</f>
        <v>0</v>
      </c>
      <c r="G346" s="499">
        <f>+G329</f>
        <v>0</v>
      </c>
      <c r="H346" s="499">
        <f>+H329</f>
        <v>0</v>
      </c>
      <c r="I346" s="500"/>
    </row>
    <row r="347" spans="1:9" ht="13.5" thickBot="1" x14ac:dyDescent="0.25">
      <c r="A347" s="509">
        <f>IF(C329-D329&lt;=0,D329-C329)</f>
        <v>0</v>
      </c>
      <c r="B347" s="502">
        <f>+(CEILING((B346/4),1)*B345)</f>
        <v>0</v>
      </c>
      <c r="C347" s="502">
        <f>+(CEILING((C346/2),1)*C345)</f>
        <v>0</v>
      </c>
      <c r="D347" s="502">
        <f>+(CEILING((D346/1),1)*D345)</f>
        <v>0</v>
      </c>
      <c r="E347" s="502">
        <f>+E345*E346</f>
        <v>0</v>
      </c>
      <c r="F347" s="502">
        <f>+F345*F346</f>
        <v>0</v>
      </c>
      <c r="G347" s="502">
        <f>+G345*G346</f>
        <v>0</v>
      </c>
      <c r="H347" s="502">
        <f>+H345*H346</f>
        <v>0</v>
      </c>
      <c r="I347" s="503">
        <f>SUM(B347:H347)</f>
        <v>0</v>
      </c>
    </row>
    <row r="348" spans="1:9" x14ac:dyDescent="0.2">
      <c r="A348" s="498">
        <v>28</v>
      </c>
      <c r="B348" s="499">
        <f>IF(B330&lt;=E330+A349,0,B330-E330-A349)</f>
        <v>0</v>
      </c>
      <c r="C348" s="499">
        <f>IF(C331&lt;=D331,0,C331-D331)</f>
        <v>0</v>
      </c>
      <c r="D348" s="499">
        <f>+D330</f>
        <v>0</v>
      </c>
      <c r="E348" s="499">
        <f>+E330</f>
        <v>0</v>
      </c>
      <c r="F348" s="499">
        <f>+F330</f>
        <v>0</v>
      </c>
      <c r="G348" s="499">
        <f>+G330</f>
        <v>0</v>
      </c>
      <c r="H348" s="499">
        <f>+H330</f>
        <v>0</v>
      </c>
      <c r="I348" s="504"/>
    </row>
    <row r="349" spans="1:9" ht="13.5" thickBot="1" x14ac:dyDescent="0.25">
      <c r="A349" s="509">
        <f>IF(C330-D330&lt;=0,D330-C330)</f>
        <v>0</v>
      </c>
      <c r="B349" s="502">
        <f>+(CEILING((B348/4),1)*0.34)</f>
        <v>0</v>
      </c>
      <c r="C349" s="502">
        <f>+(CEILING((C348/2),1)*0.34)</f>
        <v>0</v>
      </c>
      <c r="D349" s="502">
        <f>+(CEILING((D348/1),1)*0.34)</f>
        <v>0</v>
      </c>
      <c r="E349" s="502">
        <f>+E348*0.34</f>
        <v>0</v>
      </c>
      <c r="F349" s="502">
        <f>+F348*0.34</f>
        <v>0</v>
      </c>
      <c r="G349" s="502">
        <f>+G348*0.34</f>
        <v>0</v>
      </c>
      <c r="H349" s="502">
        <f>+H348*0.34</f>
        <v>0</v>
      </c>
      <c r="I349" s="504">
        <f>SUM(B349:H349)</f>
        <v>0</v>
      </c>
    </row>
    <row r="350" spans="1:9" x14ac:dyDescent="0.2">
      <c r="A350" s="505">
        <v>20</v>
      </c>
      <c r="B350" s="499">
        <f>IF(B331&lt;=E331+A351,0,B331-E331-A351)</f>
        <v>0</v>
      </c>
      <c r="C350" s="499">
        <f>IF(C331&lt;=D331,0,C331-D331)</f>
        <v>0</v>
      </c>
      <c r="D350" s="499">
        <f>+D331</f>
        <v>0</v>
      </c>
      <c r="E350" s="499">
        <f>+E331</f>
        <v>0</v>
      </c>
      <c r="F350" s="499">
        <f>+F331</f>
        <v>0</v>
      </c>
      <c r="G350" s="499">
        <f>+G331</f>
        <v>0</v>
      </c>
      <c r="H350" s="499">
        <f>+H331</f>
        <v>0</v>
      </c>
      <c r="I350" s="507"/>
    </row>
    <row r="351" spans="1:9" ht="13.5" thickBot="1" x14ac:dyDescent="0.25">
      <c r="A351" s="509">
        <f>IF(C331-D331&lt;=0,D331-C331)</f>
        <v>0</v>
      </c>
      <c r="B351" s="502">
        <f>+(CEILING((B350/4),1)*0.26)</f>
        <v>0</v>
      </c>
      <c r="C351" s="502">
        <f>+(CEILING((C350/2),1)*0.26)</f>
        <v>0</v>
      </c>
      <c r="D351" s="502">
        <f>+(CEILING((D350/1),1)*0.26)</f>
        <v>0</v>
      </c>
      <c r="E351" s="502">
        <f>+E350*0.26</f>
        <v>0</v>
      </c>
      <c r="F351" s="502">
        <f>+F350*0.26</f>
        <v>0</v>
      </c>
      <c r="G351" s="502">
        <f>+G350*0.26</f>
        <v>0</v>
      </c>
      <c r="H351" s="502">
        <f>+H350*0.26</f>
        <v>0</v>
      </c>
      <c r="I351" s="503">
        <f>SUM(B351:H351)</f>
        <v>0</v>
      </c>
    </row>
    <row r="352" spans="1:9" x14ac:dyDescent="0.2">
      <c r="A352" s="414">
        <v>0</v>
      </c>
      <c r="B352" s="493" t="s">
        <v>404</v>
      </c>
      <c r="C352" s="6"/>
      <c r="D352" s="6"/>
      <c r="E352" s="6"/>
      <c r="F352" s="6"/>
      <c r="G352" s="6"/>
      <c r="H352" s="6"/>
      <c r="I352" s="333"/>
    </row>
    <row r="353" spans="1:9" ht="13.5" thickBot="1" x14ac:dyDescent="0.25">
      <c r="A353" s="414">
        <v>0</v>
      </c>
      <c r="B353" s="414" t="s">
        <v>758</v>
      </c>
      <c r="C353"/>
      <c r="D353"/>
      <c r="E353"/>
      <c r="F353"/>
      <c r="G353"/>
      <c r="H353"/>
      <c r="I353"/>
    </row>
    <row r="354" spans="1:9" x14ac:dyDescent="0.2">
      <c r="A354" s="495">
        <v>0</v>
      </c>
      <c r="B354" s="508">
        <v>2</v>
      </c>
      <c r="C354" s="496">
        <v>2</v>
      </c>
      <c r="D354" s="496">
        <v>2</v>
      </c>
      <c r="E354" s="496">
        <v>2</v>
      </c>
      <c r="F354" s="496">
        <v>2</v>
      </c>
      <c r="G354" s="496">
        <v>2</v>
      </c>
      <c r="H354" s="496">
        <v>2</v>
      </c>
      <c r="I354" s="507"/>
    </row>
    <row r="355" spans="1:9" x14ac:dyDescent="0.2">
      <c r="A355" s="498" t="s">
        <v>457</v>
      </c>
      <c r="B355" s="499">
        <f>IF(B334&lt;=E334+A356,0,B334-E334-A356)</f>
        <v>0</v>
      </c>
      <c r="C355" s="499">
        <f>IF(C334&lt;=D334,0,C334-D334)</f>
        <v>0</v>
      </c>
      <c r="D355" s="499">
        <f>+D334</f>
        <v>0</v>
      </c>
      <c r="E355" s="499">
        <f>+E334</f>
        <v>0</v>
      </c>
      <c r="F355" s="499">
        <f>+F334</f>
        <v>0</v>
      </c>
      <c r="G355" s="499">
        <f>+G334</f>
        <v>0</v>
      </c>
      <c r="H355" s="499">
        <f>+H334</f>
        <v>0</v>
      </c>
      <c r="I355" s="500"/>
    </row>
    <row r="356" spans="1:9" ht="13.5" thickBot="1" x14ac:dyDescent="0.25">
      <c r="A356" s="509">
        <f>IF(C334-D334&lt;=0,D334-C334)</f>
        <v>0</v>
      </c>
      <c r="B356" s="502">
        <f>+(CEILING((B355/4),1)*B354)</f>
        <v>0</v>
      </c>
      <c r="C356" s="502">
        <f>+(CEILING((C355/2),1)*C354)</f>
        <v>0</v>
      </c>
      <c r="D356" s="502">
        <f>+(CEILING((D355/1),1)*D354)</f>
        <v>0</v>
      </c>
      <c r="E356" s="502">
        <f>+E354*E355</f>
        <v>0</v>
      </c>
      <c r="F356" s="502">
        <f>+F354*F355</f>
        <v>0</v>
      </c>
      <c r="G356" s="502">
        <f>+G354*G355</f>
        <v>0</v>
      </c>
      <c r="H356" s="502">
        <f>+H354*H355</f>
        <v>0</v>
      </c>
      <c r="I356" s="503">
        <f>SUM(B356:H356)</f>
        <v>0</v>
      </c>
    </row>
    <row r="357" spans="1:9" x14ac:dyDescent="0.2">
      <c r="A357" s="495"/>
      <c r="B357" s="508"/>
      <c r="C357" s="496"/>
      <c r="D357" s="496"/>
      <c r="E357" s="496"/>
      <c r="F357" s="496"/>
      <c r="G357" s="496"/>
      <c r="H357" s="496"/>
      <c r="I357" s="507"/>
    </row>
    <row r="358" spans="1:9" x14ac:dyDescent="0.2">
      <c r="A358" s="498"/>
      <c r="B358" s="499"/>
      <c r="C358" s="499"/>
      <c r="D358" s="499"/>
      <c r="E358" s="499"/>
      <c r="F358" s="499"/>
      <c r="G358" s="499"/>
      <c r="H358" s="499"/>
      <c r="I358" s="500"/>
    </row>
    <row r="359" spans="1:9" ht="13.5" thickBot="1" x14ac:dyDescent="0.25">
      <c r="A359" s="509"/>
      <c r="B359" s="502"/>
      <c r="C359" s="502"/>
      <c r="D359" s="502"/>
      <c r="E359" s="502"/>
      <c r="F359" s="502"/>
      <c r="G359" s="502"/>
      <c r="H359" s="502"/>
      <c r="I359" s="503"/>
    </row>
    <row r="360" spans="1:9" x14ac:dyDescent="0.2">
      <c r="A360" s="495">
        <v>0</v>
      </c>
      <c r="B360" s="508">
        <v>0.85</v>
      </c>
      <c r="C360" s="496">
        <v>0.85</v>
      </c>
      <c r="D360" s="496">
        <v>0.85</v>
      </c>
      <c r="E360" s="496">
        <v>0.85</v>
      </c>
      <c r="F360" s="496">
        <v>0.85</v>
      </c>
      <c r="G360" s="496">
        <v>0.85</v>
      </c>
      <c r="H360" s="496">
        <v>0.85</v>
      </c>
      <c r="I360" s="507"/>
    </row>
    <row r="361" spans="1:9" x14ac:dyDescent="0.2">
      <c r="A361" s="498" t="s">
        <v>459</v>
      </c>
      <c r="B361" s="499">
        <f>IF(B336&lt;=E336+A362,0,B336-E336-A362)</f>
        <v>0</v>
      </c>
      <c r="C361" s="499">
        <f>IF(C336&lt;=D336,0,C336-D336)</f>
        <v>0</v>
      </c>
      <c r="D361" s="499">
        <f>+D336</f>
        <v>0</v>
      </c>
      <c r="E361" s="499">
        <f>+E336</f>
        <v>0</v>
      </c>
      <c r="F361" s="499">
        <f>+F336</f>
        <v>0</v>
      </c>
      <c r="G361" s="499">
        <f>+G336</f>
        <v>0</v>
      </c>
      <c r="H361" s="499">
        <f>+H336</f>
        <v>0</v>
      </c>
      <c r="I361" s="500"/>
    </row>
    <row r="362" spans="1:9" ht="13.5" thickBot="1" x14ac:dyDescent="0.25">
      <c r="A362" s="509">
        <f>IF(C336-D336&lt;=0,D336-C336)</f>
        <v>0</v>
      </c>
      <c r="B362" s="502">
        <f>+(CEILING((B361/4),1)*B360)</f>
        <v>0</v>
      </c>
      <c r="C362" s="502">
        <f>+(CEILING((C361/2),1)*C360)</f>
        <v>0</v>
      </c>
      <c r="D362" s="502">
        <f>+(CEILING((D361/1),1)*D360)</f>
        <v>0</v>
      </c>
      <c r="E362" s="502">
        <f>+E360*E361</f>
        <v>0</v>
      </c>
      <c r="F362" s="502">
        <f>+F360*F361</f>
        <v>0</v>
      </c>
      <c r="G362" s="502">
        <f>+G360*G361</f>
        <v>0</v>
      </c>
      <c r="H362" s="502">
        <f>+H360*H361</f>
        <v>0</v>
      </c>
      <c r="I362" s="503">
        <f>SUM(B362:H362)</f>
        <v>0</v>
      </c>
    </row>
    <row r="363" spans="1:9" x14ac:dyDescent="0.2">
      <c r="A363" s="495">
        <v>0</v>
      </c>
      <c r="B363" s="508">
        <v>0.85</v>
      </c>
      <c r="C363" s="496">
        <v>0.85</v>
      </c>
      <c r="D363" s="496">
        <v>0.85</v>
      </c>
      <c r="E363" s="496">
        <v>0.85</v>
      </c>
      <c r="F363" s="496">
        <v>0.85</v>
      </c>
      <c r="G363" s="496">
        <v>0.85</v>
      </c>
      <c r="H363" s="496">
        <v>0.85</v>
      </c>
      <c r="I363" s="507"/>
    </row>
    <row r="364" spans="1:9" x14ac:dyDescent="0.2">
      <c r="A364" s="498" t="s">
        <v>763</v>
      </c>
      <c r="B364" s="499">
        <f>IF(B337&lt;=E337+A365,0,B337-E337-A365)</f>
        <v>0</v>
      </c>
      <c r="C364" s="499">
        <f>IF(C337&lt;=D337,0,C337-D337)</f>
        <v>0</v>
      </c>
      <c r="D364" s="499">
        <f>+D337</f>
        <v>0</v>
      </c>
      <c r="E364" s="499">
        <f>+E337</f>
        <v>0</v>
      </c>
      <c r="F364" s="499">
        <f>+F337</f>
        <v>0</v>
      </c>
      <c r="G364" s="499">
        <f>+G337</f>
        <v>0</v>
      </c>
      <c r="H364" s="499">
        <f>+H337</f>
        <v>0</v>
      </c>
      <c r="I364" s="500"/>
    </row>
    <row r="365" spans="1:9" ht="13.5" thickBot="1" x14ac:dyDescent="0.25">
      <c r="A365" s="510">
        <f>IF(C337-D337&lt;=0,D337-C337)</f>
        <v>0</v>
      </c>
      <c r="B365" s="502">
        <f>+(CEILING((B364/4),1)*B363)</f>
        <v>0</v>
      </c>
      <c r="C365" s="502">
        <f>+(CEILING((C364/2),1)*C363)</f>
        <v>0</v>
      </c>
      <c r="D365" s="502">
        <f>+(CEILING((D364/1),1)*D363)</f>
        <v>0</v>
      </c>
      <c r="E365" s="502">
        <f>+E363*E364</f>
        <v>0</v>
      </c>
      <c r="F365" s="502">
        <f>+F363*F364</f>
        <v>0</v>
      </c>
      <c r="G365" s="502">
        <f>+G363*G364</f>
        <v>0</v>
      </c>
      <c r="H365" s="502">
        <f>+H363*H364</f>
        <v>0</v>
      </c>
      <c r="I365" s="503">
        <f>SUM(B365:H365)</f>
        <v>0</v>
      </c>
    </row>
    <row r="366" spans="1:9" x14ac:dyDescent="0.2">
      <c r="A366" s="511">
        <f>IF(C338-D338&lt;=0,D338-C338)</f>
        <v>0</v>
      </c>
      <c r="B366" s="496">
        <v>0.56999999999999995</v>
      </c>
      <c r="C366" s="496">
        <v>0.56999999999999995</v>
      </c>
      <c r="D366" s="496">
        <v>0.56999999999999995</v>
      </c>
      <c r="E366" s="496">
        <v>0.56999999999999995</v>
      </c>
      <c r="F366" s="496">
        <v>0.56999999999999995</v>
      </c>
      <c r="G366" s="496">
        <v>0.56999999999999995</v>
      </c>
      <c r="H366" s="496">
        <v>0.56999999999999995</v>
      </c>
      <c r="I366" s="507"/>
    </row>
    <row r="367" spans="1:9" x14ac:dyDescent="0.2">
      <c r="A367" s="512" t="s">
        <v>106</v>
      </c>
      <c r="B367" s="499">
        <f>IF(B338&lt;=E338+A366,0,B338-E338-A366)</f>
        <v>0</v>
      </c>
      <c r="C367" s="499">
        <f>IF(C338&lt;=D338,0,C338-D338)</f>
        <v>0</v>
      </c>
      <c r="D367" s="499">
        <f>+D338</f>
        <v>0</v>
      </c>
      <c r="E367" s="499">
        <f>+E338</f>
        <v>0</v>
      </c>
      <c r="F367" s="499">
        <f>+F338</f>
        <v>0</v>
      </c>
      <c r="G367" s="499">
        <f>+G338</f>
        <v>0</v>
      </c>
      <c r="H367" s="499">
        <f>+H338</f>
        <v>0</v>
      </c>
      <c r="I367" s="500"/>
    </row>
    <row r="368" spans="1:9" ht="13.5" thickBot="1" x14ac:dyDescent="0.25">
      <c r="A368" s="501" t="s">
        <v>764</v>
      </c>
      <c r="B368" s="502">
        <f>+(CEILING((B367/4),1)*B366)</f>
        <v>0</v>
      </c>
      <c r="C368" s="502">
        <f>+(CEILING((C367/2),1)*C366)</f>
        <v>0</v>
      </c>
      <c r="D368" s="502">
        <f>+(CEILING((D367/1),1)*D366)</f>
        <v>0</v>
      </c>
      <c r="E368" s="502">
        <f>+E366*E367</f>
        <v>0</v>
      </c>
      <c r="F368" s="502">
        <f>+F366*F367</f>
        <v>0</v>
      </c>
      <c r="G368" s="502">
        <f>+G366*G367</f>
        <v>0</v>
      </c>
      <c r="H368" s="502">
        <f>+H366*H367</f>
        <v>0</v>
      </c>
      <c r="I368" s="503">
        <f>SUM(B368:H368)</f>
        <v>0</v>
      </c>
    </row>
    <row r="369" spans="1:9" x14ac:dyDescent="0.2">
      <c r="A369" s="510">
        <f>IF(C339-D339&lt;=0,D339-C339)</f>
        <v>0</v>
      </c>
      <c r="B369" s="496">
        <v>1.07</v>
      </c>
      <c r="C369" s="496">
        <v>1.07</v>
      </c>
      <c r="D369" s="496">
        <v>1.07</v>
      </c>
      <c r="E369" s="496">
        <v>1.07</v>
      </c>
      <c r="F369" s="496">
        <v>1.07</v>
      </c>
      <c r="G369" s="496">
        <v>1.07</v>
      </c>
      <c r="H369" s="496">
        <v>1.07</v>
      </c>
      <c r="I369" s="507"/>
    </row>
    <row r="370" spans="1:9" x14ac:dyDescent="0.2">
      <c r="A370" s="512" t="s">
        <v>106</v>
      </c>
      <c r="B370" s="499">
        <f>IF(B339&lt;=E339+A369,0,B339-E339-A369)</f>
        <v>0</v>
      </c>
      <c r="C370" s="499">
        <f>IF(C339&lt;=D339,0,C339-D339)</f>
        <v>0</v>
      </c>
      <c r="D370" s="499">
        <f>+D339</f>
        <v>0</v>
      </c>
      <c r="E370" s="499">
        <f>+E339</f>
        <v>0</v>
      </c>
      <c r="F370" s="499">
        <f>+F339</f>
        <v>0</v>
      </c>
      <c r="G370" s="499">
        <f>+G339</f>
        <v>0</v>
      </c>
      <c r="H370" s="499">
        <f>+H339</f>
        <v>0</v>
      </c>
      <c r="I370" s="500"/>
    </row>
    <row r="371" spans="1:9" ht="13.5" thickBot="1" x14ac:dyDescent="0.25">
      <c r="A371" s="501" t="s">
        <v>765</v>
      </c>
      <c r="B371" s="502">
        <f>+(CEILING((B370/4),1)*B369)</f>
        <v>0</v>
      </c>
      <c r="C371" s="502">
        <f>+(CEILING((C370/2),1)*C369)</f>
        <v>0</v>
      </c>
      <c r="D371" s="502">
        <f>+(CEILING((D370/1),1)*D369)</f>
        <v>0</v>
      </c>
      <c r="E371" s="502">
        <f>+E369*E370</f>
        <v>0</v>
      </c>
      <c r="F371" s="502">
        <f>+F369*F370</f>
        <v>0</v>
      </c>
      <c r="G371" s="502">
        <f>+G369*G370</f>
        <v>0</v>
      </c>
      <c r="H371" s="502">
        <f>+H369*H370</f>
        <v>0</v>
      </c>
      <c r="I371" s="503">
        <f>SUM(B371:H371)</f>
        <v>0</v>
      </c>
    </row>
    <row r="372" spans="1:9" x14ac:dyDescent="0.2">
      <c r="A372" s="512">
        <v>0</v>
      </c>
      <c r="B372" s="496"/>
      <c r="C372" s="496">
        <v>0.45</v>
      </c>
      <c r="D372" s="496">
        <v>0.45</v>
      </c>
      <c r="E372" s="496">
        <v>0.45</v>
      </c>
      <c r="F372" s="496">
        <v>0.45</v>
      </c>
      <c r="G372" s="496"/>
      <c r="H372" s="496"/>
      <c r="I372" s="507"/>
    </row>
    <row r="373" spans="1:9" x14ac:dyDescent="0.2">
      <c r="A373" s="512" t="s">
        <v>766</v>
      </c>
      <c r="B373" s="499"/>
      <c r="C373" s="499">
        <f>IF(C340&lt;=D373,0,C340-D373)</f>
        <v>0</v>
      </c>
      <c r="D373" s="499">
        <f>+D340</f>
        <v>0</v>
      </c>
      <c r="E373" s="499">
        <f>+E340</f>
        <v>0</v>
      </c>
      <c r="F373" s="499">
        <f>+F340</f>
        <v>0</v>
      </c>
      <c r="G373" s="499"/>
      <c r="H373" s="499"/>
      <c r="I373" s="500"/>
    </row>
    <row r="374" spans="1:9" ht="13.5" thickBot="1" x14ac:dyDescent="0.25">
      <c r="A374" s="513">
        <v>0</v>
      </c>
      <c r="B374" s="514"/>
      <c r="C374" s="502">
        <f>+(CEILING((C373/2),1)*C372)</f>
        <v>0</v>
      </c>
      <c r="D374" s="502">
        <f>+(CEILING((D373/1),1)*D372)</f>
        <v>0</v>
      </c>
      <c r="E374" s="502">
        <f>+E372*E373</f>
        <v>0</v>
      </c>
      <c r="F374" s="502">
        <f>+F372*F373</f>
        <v>0</v>
      </c>
      <c r="G374" s="502"/>
      <c r="H374" s="502"/>
      <c r="I374" s="503">
        <f>SUM(B374:H374)</f>
        <v>0</v>
      </c>
    </row>
    <row r="375" spans="1:9" x14ac:dyDescent="0.2">
      <c r="A375" s="495">
        <v>0</v>
      </c>
      <c r="B375" s="508"/>
      <c r="C375" s="496">
        <v>0.25</v>
      </c>
      <c r="D375" s="496">
        <v>0.25</v>
      </c>
      <c r="E375" s="496">
        <v>0.25</v>
      </c>
      <c r="F375" s="496">
        <v>0.25</v>
      </c>
      <c r="G375" s="496"/>
      <c r="H375" s="496"/>
      <c r="I375" s="507"/>
    </row>
    <row r="376" spans="1:9" x14ac:dyDescent="0.2">
      <c r="A376" s="512" t="s">
        <v>767</v>
      </c>
      <c r="B376" s="515"/>
      <c r="C376" s="499">
        <f>IF(C341&lt;=D376,0,C341-D376)</f>
        <v>0</v>
      </c>
      <c r="D376" s="499">
        <f>+D341</f>
        <v>0</v>
      </c>
      <c r="E376" s="499">
        <f>+E341</f>
        <v>0</v>
      </c>
      <c r="F376" s="499">
        <f>+F341</f>
        <v>0</v>
      </c>
      <c r="G376" s="499"/>
      <c r="H376" s="499"/>
      <c r="I376" s="500"/>
    </row>
    <row r="377" spans="1:9" ht="13.5" thickBot="1" x14ac:dyDescent="0.25">
      <c r="A377" s="513">
        <v>0</v>
      </c>
      <c r="B377" s="516"/>
      <c r="C377" s="502">
        <f>+(CEILING((C376/2),1)*C375)</f>
        <v>0</v>
      </c>
      <c r="D377" s="502">
        <f>+(CEILING((D376/1),1)*D375)</f>
        <v>0</v>
      </c>
      <c r="E377" s="502">
        <f>+E375*E376</f>
        <v>0</v>
      </c>
      <c r="F377" s="502">
        <f>+F375*F376</f>
        <v>0</v>
      </c>
      <c r="G377" s="502"/>
      <c r="H377" s="502"/>
      <c r="I377" s="503">
        <f>SUM(B377:H377)</f>
        <v>0</v>
      </c>
    </row>
    <row r="378" spans="1:9" ht="13.5" thickBot="1" x14ac:dyDescent="0.25">
      <c r="A378" s="414">
        <v>0</v>
      </c>
      <c r="B378" s="333"/>
      <c r="C378" s="333"/>
      <c r="D378" s="333"/>
      <c r="E378" s="333"/>
      <c r="F378" s="333"/>
      <c r="G378" s="333"/>
      <c r="H378" s="333"/>
      <c r="I378" s="517">
        <f>SUM(I345:I377)</f>
        <v>0</v>
      </c>
    </row>
    <row r="379" spans="1:9" x14ac:dyDescent="0.2">
      <c r="A379" s="409">
        <v>0</v>
      </c>
    </row>
    <row r="380" spans="1:9" x14ac:dyDescent="0.2">
      <c r="A380" s="409">
        <v>0</v>
      </c>
    </row>
    <row r="381" spans="1:9" x14ac:dyDescent="0.2">
      <c r="A381" s="311" t="s">
        <v>768</v>
      </c>
      <c r="B381" s="120">
        <f>+C2</f>
        <v>0</v>
      </c>
      <c r="C381" s="518">
        <f>+F2</f>
        <v>0</v>
      </c>
      <c r="D381" s="120" t="str">
        <f>+G2</f>
        <v>MT - LIN.</v>
      </c>
    </row>
    <row r="382" spans="1:9" x14ac:dyDescent="0.2">
      <c r="A382" s="311" t="s">
        <v>769</v>
      </c>
      <c r="B382" s="120">
        <f>+C56</f>
        <v>0</v>
      </c>
      <c r="C382" s="972">
        <f>+F56</f>
        <v>0</v>
      </c>
      <c r="D382" s="120" t="str">
        <f>+G56</f>
        <v>MT - LIN.</v>
      </c>
    </row>
    <row r="383" spans="1:9" x14ac:dyDescent="0.2">
      <c r="A383" s="311" t="s">
        <v>770</v>
      </c>
      <c r="B383" s="120">
        <f>+C110</f>
        <v>0</v>
      </c>
      <c r="C383" s="518">
        <f>+F110</f>
        <v>0</v>
      </c>
      <c r="D383" s="120" t="str">
        <f>+G110</f>
        <v>MT - LIN.</v>
      </c>
    </row>
    <row r="384" spans="1:9" x14ac:dyDescent="0.2">
      <c r="A384" s="311" t="s">
        <v>771</v>
      </c>
      <c r="B384" s="120">
        <f>+C164</f>
        <v>0</v>
      </c>
      <c r="C384" s="518">
        <f>+F164</f>
        <v>0</v>
      </c>
      <c r="D384" s="120" t="str">
        <f>+G164</f>
        <v>MTS - LIN.</v>
      </c>
    </row>
    <row r="385" spans="1:4" x14ac:dyDescent="0.2">
      <c r="A385" s="311" t="s">
        <v>772</v>
      </c>
      <c r="B385" s="120">
        <f>+C218</f>
        <v>0</v>
      </c>
      <c r="C385" s="518">
        <f>+F218</f>
        <v>0</v>
      </c>
      <c r="D385" s="120" t="str">
        <f>+G218</f>
        <v>MTS - LIN.</v>
      </c>
    </row>
    <row r="386" spans="1:4" x14ac:dyDescent="0.2">
      <c r="A386" s="311" t="s">
        <v>773</v>
      </c>
      <c r="B386" s="120">
        <f>+C272</f>
        <v>0</v>
      </c>
      <c r="C386" s="518">
        <f>+F272</f>
        <v>0</v>
      </c>
      <c r="D386" s="120" t="str">
        <f>+G272</f>
        <v>MTS - LIN.</v>
      </c>
    </row>
    <row r="387" spans="1:4" x14ac:dyDescent="0.2">
      <c r="A387" s="311" t="s">
        <v>774</v>
      </c>
      <c r="B387" s="120">
        <f>+C326</f>
        <v>0</v>
      </c>
      <c r="C387" s="518">
        <f>+F326</f>
        <v>0</v>
      </c>
      <c r="D387" s="120" t="str">
        <f>+G326</f>
        <v>MTS - LIN.</v>
      </c>
    </row>
  </sheetData>
  <sheetProtection password="AD51" sheet="1" objects="1" scenarios="1"/>
  <autoFilter ref="A1:M387"/>
  <phoneticPr fontId="25" type="noConversion"/>
  <pageMargins left="0.75" right="0.75" top="1" bottom="1" header="0" footer="0"/>
  <pageSetup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 enableFormatConditionsCalculation="0">
    <tabColor indexed="27"/>
    <pageSetUpPr autoPageBreaks="0"/>
  </sheetPr>
  <dimension ref="A1:FQ141"/>
  <sheetViews>
    <sheetView showGridLines="0" zoomScale="90" zoomScaleNormal="90" workbookViewId="0">
      <selection activeCell="K45" sqref="K45"/>
    </sheetView>
  </sheetViews>
  <sheetFormatPr baseColWidth="10" defaultColWidth="0" defaultRowHeight="25.5" zeroHeight="1" x14ac:dyDescent="0.35"/>
  <cols>
    <col min="1" max="1" width="8.7109375" style="30" customWidth="1"/>
    <col min="2" max="2" width="6.140625" style="30" customWidth="1"/>
    <col min="3" max="14" width="11.7109375" style="30" customWidth="1"/>
    <col min="15" max="15" width="0.140625" style="30" customWidth="1"/>
    <col min="16" max="27" width="2" style="50" hidden="1" customWidth="1"/>
    <col min="28" max="87" width="2" style="699" hidden="1" customWidth="1"/>
    <col min="88" max="90" width="3.7109375" style="699" hidden="1" customWidth="1"/>
    <col min="91" max="91" width="4" style="699" hidden="1" customWidth="1"/>
    <col min="92" max="92" width="3.7109375" style="699" hidden="1" customWidth="1"/>
    <col min="93" max="93" width="4" style="699" hidden="1" customWidth="1"/>
    <col min="94" max="105" width="3.7109375" style="699" hidden="1" customWidth="1"/>
    <col min="106" max="106" width="2.85546875" style="699" hidden="1" customWidth="1"/>
    <col min="107" max="114" width="3.7109375" style="699" hidden="1" customWidth="1"/>
    <col min="115" max="118" width="3.7109375" style="50" hidden="1" customWidth="1"/>
    <col min="119" max="119" width="10.85546875" style="50" hidden="1" customWidth="1"/>
    <col min="120" max="131" width="3.7109375" style="50" hidden="1" customWidth="1"/>
    <col min="132" max="132" width="10.85546875" style="50" hidden="1" customWidth="1"/>
    <col min="133" max="133" width="3.7109375" style="50" hidden="1" customWidth="1"/>
    <col min="134" max="157" width="3.7109375" style="699" hidden="1" customWidth="1"/>
    <col min="158" max="158" width="10.85546875" style="699" hidden="1" customWidth="1"/>
    <col min="159" max="170" width="3.7109375" style="699" hidden="1" customWidth="1"/>
    <col min="171" max="171" width="11" style="699" hidden="1" customWidth="1"/>
    <col min="172" max="172" width="3.7109375" style="699" hidden="1" customWidth="1"/>
    <col min="173" max="173" width="3.5703125" style="699" hidden="1" customWidth="1"/>
    <col min="174" max="243" width="3.7109375" style="699" hidden="1" customWidth="1"/>
    <col min="244" max="16384" width="3.7109375" style="699" hidden="1"/>
  </cols>
  <sheetData>
    <row r="1" spans="1:113" x14ac:dyDescent="0.35">
      <c r="A1" s="1365"/>
      <c r="B1" s="1365"/>
      <c r="C1" s="1365"/>
      <c r="D1" s="1365"/>
      <c r="E1" s="1365"/>
      <c r="F1" s="1366" t="s">
        <v>1310</v>
      </c>
      <c r="G1" s="1367"/>
      <c r="H1" s="1367"/>
      <c r="I1" s="1367"/>
      <c r="J1" s="1367"/>
      <c r="K1" s="1367"/>
      <c r="L1" s="1367"/>
      <c r="M1" s="1367"/>
      <c r="N1" s="1368"/>
    </row>
    <row r="2" spans="1:113" x14ac:dyDescent="0.35">
      <c r="A2" s="1365"/>
      <c r="B2" s="1365"/>
      <c r="C2" s="1365"/>
      <c r="D2" s="1365"/>
      <c r="E2" s="1365"/>
      <c r="F2" s="1369"/>
      <c r="G2" s="1370"/>
      <c r="H2" s="1370"/>
      <c r="I2" s="1370"/>
      <c r="J2" s="1370"/>
      <c r="K2" s="1370"/>
      <c r="L2" s="1370"/>
      <c r="M2" s="1370"/>
      <c r="N2" s="1371"/>
    </row>
    <row r="3" spans="1:113" ht="24.75" customHeight="1" x14ac:dyDescent="0.35">
      <c r="A3" s="1292" t="s">
        <v>1306</v>
      </c>
      <c r="B3" s="1293"/>
      <c r="C3" s="1294"/>
      <c r="D3" s="1294"/>
      <c r="E3" s="1291"/>
      <c r="F3" s="1291"/>
      <c r="G3" s="1291"/>
      <c r="H3" s="1289"/>
      <c r="I3" s="1290" t="s">
        <v>465</v>
      </c>
      <c r="J3" s="1373">
        <f>+'2 M-A +'!L1</f>
        <v>0</v>
      </c>
      <c r="K3" s="1373"/>
      <c r="L3" s="1373"/>
      <c r="M3" s="1373"/>
      <c r="N3" s="1373"/>
    </row>
    <row r="4" spans="1:113" ht="24.75" customHeight="1" x14ac:dyDescent="0.35">
      <c r="A4" s="1295" t="s">
        <v>1307</v>
      </c>
      <c r="B4" s="1296"/>
      <c r="C4" s="1372">
        <f>+'5 ALMACEN '!D2</f>
        <v>0</v>
      </c>
      <c r="D4" s="1372"/>
      <c r="E4" s="1372"/>
      <c r="F4" s="1372"/>
      <c r="G4" s="1372"/>
      <c r="H4" s="1372"/>
      <c r="I4" s="1295" t="s">
        <v>1308</v>
      </c>
      <c r="J4" s="1376">
        <f>+'5 ALMACEN '!S2</f>
        <v>0</v>
      </c>
      <c r="K4" s="1376"/>
      <c r="L4" s="1376"/>
      <c r="M4" s="1376"/>
      <c r="N4" s="1376"/>
    </row>
    <row r="5" spans="1:113" ht="3" customHeight="1" thickBot="1" x14ac:dyDescent="0.4"/>
    <row r="6" spans="1:113" s="700" customFormat="1" ht="16.5" customHeight="1" thickBot="1" x14ac:dyDescent="0.25">
      <c r="A6" s="1377" t="s">
        <v>1139</v>
      </c>
      <c r="B6" s="1378"/>
      <c r="C6" s="1378"/>
      <c r="D6" s="1378"/>
      <c r="E6" s="1378"/>
      <c r="F6" s="1378"/>
      <c r="G6" s="1378"/>
      <c r="H6" s="1378"/>
      <c r="I6" s="1378"/>
      <c r="J6" s="1378"/>
      <c r="K6" s="1378"/>
      <c r="L6" s="1378"/>
      <c r="M6" s="1378"/>
      <c r="N6" s="1379"/>
      <c r="O6" s="55"/>
    </row>
    <row r="7" spans="1:113" s="700" customFormat="1" ht="8.25" hidden="1" customHeight="1" x14ac:dyDescent="0.35">
      <c r="A7" s="1382" t="s">
        <v>1118</v>
      </c>
      <c r="B7" s="1382"/>
      <c r="C7" s="1260">
        <f t="shared" ref="C7:N7" si="0">+$B$40</f>
        <v>0</v>
      </c>
      <c r="D7" s="1260">
        <f t="shared" si="0"/>
        <v>0</v>
      </c>
      <c r="E7" s="1260">
        <f t="shared" si="0"/>
        <v>0</v>
      </c>
      <c r="F7" s="1260">
        <f t="shared" si="0"/>
        <v>0</v>
      </c>
      <c r="G7" s="1260">
        <f t="shared" si="0"/>
        <v>0</v>
      </c>
      <c r="H7" s="1260">
        <f t="shared" si="0"/>
        <v>0</v>
      </c>
      <c r="I7" s="1260">
        <f t="shared" si="0"/>
        <v>0</v>
      </c>
      <c r="J7" s="1260">
        <f t="shared" si="0"/>
        <v>0</v>
      </c>
      <c r="K7" s="1260">
        <f t="shared" si="0"/>
        <v>0</v>
      </c>
      <c r="L7" s="1260">
        <f t="shared" si="0"/>
        <v>0</v>
      </c>
      <c r="M7" s="1260">
        <f t="shared" si="0"/>
        <v>0</v>
      </c>
      <c r="N7" s="1260">
        <f t="shared" si="0"/>
        <v>0</v>
      </c>
      <c r="CK7" s="699"/>
      <c r="CM7" s="699"/>
      <c r="CO7" s="699"/>
      <c r="CQ7" s="699"/>
      <c r="CS7" s="699"/>
      <c r="CU7" s="699"/>
      <c r="CW7" s="699"/>
      <c r="CY7" s="699"/>
      <c r="DA7" s="699"/>
      <c r="DC7" s="699"/>
      <c r="DE7" s="699"/>
      <c r="DG7" s="699"/>
      <c r="DI7" s="699"/>
    </row>
    <row r="8" spans="1:113" s="700" customFormat="1" ht="8.25" hidden="1" customHeight="1" x14ac:dyDescent="0.35">
      <c r="A8" s="1382"/>
      <c r="B8" s="1382"/>
      <c r="C8" s="1064">
        <f t="shared" ref="C8:N8" si="1">+$B$41</f>
        <v>0</v>
      </c>
      <c r="D8" s="1064">
        <f t="shared" si="1"/>
        <v>0</v>
      </c>
      <c r="E8" s="1064">
        <f t="shared" si="1"/>
        <v>0</v>
      </c>
      <c r="F8" s="1064">
        <f t="shared" si="1"/>
        <v>0</v>
      </c>
      <c r="G8" s="1064">
        <f t="shared" si="1"/>
        <v>0</v>
      </c>
      <c r="H8" s="1064">
        <f t="shared" si="1"/>
        <v>0</v>
      </c>
      <c r="I8" s="1064">
        <f t="shared" si="1"/>
        <v>0</v>
      </c>
      <c r="J8" s="1064">
        <f t="shared" si="1"/>
        <v>0</v>
      </c>
      <c r="K8" s="1064">
        <f t="shared" si="1"/>
        <v>0</v>
      </c>
      <c r="L8" s="1064">
        <f t="shared" si="1"/>
        <v>0</v>
      </c>
      <c r="M8" s="1064">
        <f t="shared" si="1"/>
        <v>0</v>
      </c>
      <c r="N8" s="1064">
        <f t="shared" si="1"/>
        <v>0</v>
      </c>
      <c r="CK8" s="699"/>
      <c r="CM8" s="699"/>
      <c r="CO8" s="699"/>
      <c r="CQ8" s="699"/>
      <c r="CS8" s="699"/>
      <c r="CU8" s="699"/>
      <c r="CW8" s="699"/>
      <c r="CY8" s="699"/>
      <c r="DA8" s="699"/>
      <c r="DC8" s="699"/>
      <c r="DE8" s="699"/>
      <c r="DG8" s="699"/>
      <c r="DI8" s="699"/>
    </row>
    <row r="9" spans="1:113" s="700" customFormat="1" ht="8.25" hidden="1" customHeight="1" x14ac:dyDescent="0.35">
      <c r="A9" s="1382"/>
      <c r="B9" s="1382"/>
      <c r="C9" s="1064">
        <f t="shared" ref="C9:N9" si="2">+$B$42</f>
        <v>0</v>
      </c>
      <c r="D9" s="1064">
        <f t="shared" si="2"/>
        <v>0</v>
      </c>
      <c r="E9" s="1064">
        <f t="shared" si="2"/>
        <v>0</v>
      </c>
      <c r="F9" s="1064">
        <f t="shared" si="2"/>
        <v>0</v>
      </c>
      <c r="G9" s="1064">
        <f t="shared" si="2"/>
        <v>0</v>
      </c>
      <c r="H9" s="1064">
        <f t="shared" si="2"/>
        <v>0</v>
      </c>
      <c r="I9" s="1064">
        <f t="shared" si="2"/>
        <v>0</v>
      </c>
      <c r="J9" s="1064">
        <f t="shared" si="2"/>
        <v>0</v>
      </c>
      <c r="K9" s="1064">
        <f t="shared" si="2"/>
        <v>0</v>
      </c>
      <c r="L9" s="1064">
        <f t="shared" si="2"/>
        <v>0</v>
      </c>
      <c r="M9" s="1064">
        <f t="shared" si="2"/>
        <v>0</v>
      </c>
      <c r="N9" s="1064">
        <f t="shared" si="2"/>
        <v>0</v>
      </c>
      <c r="CK9" s="699"/>
      <c r="CM9" s="699"/>
      <c r="CO9" s="699"/>
      <c r="CQ9" s="699"/>
      <c r="CS9" s="699"/>
      <c r="CU9" s="699"/>
      <c r="CW9" s="699"/>
      <c r="CY9" s="699"/>
      <c r="DA9" s="699"/>
      <c r="DC9" s="699"/>
      <c r="DE9" s="699"/>
      <c r="DG9" s="699"/>
      <c r="DI9" s="699"/>
    </row>
    <row r="10" spans="1:113" s="700" customFormat="1" ht="8.25" hidden="1" customHeight="1" x14ac:dyDescent="0.35">
      <c r="A10" s="1382"/>
      <c r="B10" s="1382"/>
      <c r="C10" s="1064">
        <f t="shared" ref="C10:N10" si="3">+$B$43</f>
        <v>0</v>
      </c>
      <c r="D10" s="1064">
        <f t="shared" si="3"/>
        <v>0</v>
      </c>
      <c r="E10" s="1064">
        <f t="shared" si="3"/>
        <v>0</v>
      </c>
      <c r="F10" s="1064">
        <f t="shared" si="3"/>
        <v>0</v>
      </c>
      <c r="G10" s="1064">
        <f t="shared" si="3"/>
        <v>0</v>
      </c>
      <c r="H10" s="1064">
        <f t="shared" si="3"/>
        <v>0</v>
      </c>
      <c r="I10" s="1064">
        <f t="shared" si="3"/>
        <v>0</v>
      </c>
      <c r="J10" s="1064">
        <f t="shared" si="3"/>
        <v>0</v>
      </c>
      <c r="K10" s="1064">
        <f t="shared" si="3"/>
        <v>0</v>
      </c>
      <c r="L10" s="1064">
        <f t="shared" si="3"/>
        <v>0</v>
      </c>
      <c r="M10" s="1064">
        <f t="shared" si="3"/>
        <v>0</v>
      </c>
      <c r="N10" s="1064">
        <f t="shared" si="3"/>
        <v>0</v>
      </c>
      <c r="CK10" s="699"/>
      <c r="CM10" s="699"/>
      <c r="CO10" s="699"/>
      <c r="CQ10" s="699"/>
      <c r="CS10" s="699"/>
      <c r="CU10" s="699"/>
      <c r="CW10" s="699"/>
      <c r="CY10" s="699"/>
      <c r="DA10" s="699"/>
      <c r="DC10" s="699"/>
      <c r="DE10" s="699"/>
      <c r="DG10" s="699"/>
      <c r="DI10" s="699"/>
    </row>
    <row r="11" spans="1:113" s="700" customFormat="1" ht="8.25" hidden="1" customHeight="1" x14ac:dyDescent="0.35">
      <c r="A11" s="1382"/>
      <c r="B11" s="1382"/>
      <c r="C11" s="1064">
        <f t="shared" ref="C11:N11" si="4">+$B$44</f>
        <v>0</v>
      </c>
      <c r="D11" s="1064">
        <f t="shared" si="4"/>
        <v>0</v>
      </c>
      <c r="E11" s="1064">
        <f t="shared" si="4"/>
        <v>0</v>
      </c>
      <c r="F11" s="1064">
        <f t="shared" si="4"/>
        <v>0</v>
      </c>
      <c r="G11" s="1064">
        <f t="shared" si="4"/>
        <v>0</v>
      </c>
      <c r="H11" s="1064">
        <f t="shared" si="4"/>
        <v>0</v>
      </c>
      <c r="I11" s="1064">
        <f t="shared" si="4"/>
        <v>0</v>
      </c>
      <c r="J11" s="1064">
        <f t="shared" si="4"/>
        <v>0</v>
      </c>
      <c r="K11" s="1064">
        <f t="shared" si="4"/>
        <v>0</v>
      </c>
      <c r="L11" s="1064">
        <f t="shared" si="4"/>
        <v>0</v>
      </c>
      <c r="M11" s="1064">
        <f t="shared" si="4"/>
        <v>0</v>
      </c>
      <c r="N11" s="1064">
        <f t="shared" si="4"/>
        <v>0</v>
      </c>
      <c r="CK11" s="699"/>
      <c r="CM11" s="699"/>
      <c r="CO11" s="699"/>
      <c r="CQ11" s="699"/>
      <c r="CS11" s="699"/>
      <c r="CU11" s="699"/>
      <c r="CW11" s="699"/>
      <c r="CY11" s="699"/>
      <c r="DA11" s="699"/>
      <c r="DC11" s="699"/>
      <c r="DE11" s="699"/>
      <c r="DG11" s="699"/>
      <c r="DI11" s="699"/>
    </row>
    <row r="12" spans="1:113" s="700" customFormat="1" ht="8.25" hidden="1" customHeight="1" x14ac:dyDescent="0.35">
      <c r="A12" s="1382"/>
      <c r="B12" s="1382"/>
      <c r="C12" s="1064">
        <f t="shared" ref="C12:N12" si="5">+$B$45</f>
        <v>0</v>
      </c>
      <c r="D12" s="1064">
        <f t="shared" si="5"/>
        <v>0</v>
      </c>
      <c r="E12" s="1064">
        <f t="shared" si="5"/>
        <v>0</v>
      </c>
      <c r="F12" s="1064">
        <f t="shared" si="5"/>
        <v>0</v>
      </c>
      <c r="G12" s="1064">
        <f t="shared" si="5"/>
        <v>0</v>
      </c>
      <c r="H12" s="1064">
        <f t="shared" si="5"/>
        <v>0</v>
      </c>
      <c r="I12" s="1064">
        <f t="shared" si="5"/>
        <v>0</v>
      </c>
      <c r="J12" s="1064">
        <f t="shared" si="5"/>
        <v>0</v>
      </c>
      <c r="K12" s="1064">
        <f t="shared" si="5"/>
        <v>0</v>
      </c>
      <c r="L12" s="1064">
        <f t="shared" si="5"/>
        <v>0</v>
      </c>
      <c r="M12" s="1064">
        <f t="shared" si="5"/>
        <v>0</v>
      </c>
      <c r="N12" s="1064">
        <f t="shared" si="5"/>
        <v>0</v>
      </c>
      <c r="CK12" s="699"/>
      <c r="CM12" s="699"/>
      <c r="CO12" s="699"/>
      <c r="CQ12" s="699"/>
      <c r="CS12" s="699"/>
      <c r="CU12" s="699"/>
      <c r="CW12" s="699"/>
      <c r="CY12" s="699"/>
      <c r="DA12" s="699"/>
      <c r="DC12" s="699"/>
      <c r="DE12" s="699"/>
      <c r="DG12" s="699"/>
      <c r="DI12" s="699"/>
    </row>
    <row r="13" spans="1:113" s="700" customFormat="1" ht="8.25" hidden="1" customHeight="1" x14ac:dyDescent="0.35">
      <c r="A13" s="1382"/>
      <c r="B13" s="1382"/>
      <c r="C13" s="1064">
        <f t="shared" ref="C13:N13" si="6">+$B$46</f>
        <v>0</v>
      </c>
      <c r="D13" s="1064">
        <f t="shared" si="6"/>
        <v>0</v>
      </c>
      <c r="E13" s="1064">
        <f t="shared" si="6"/>
        <v>0</v>
      </c>
      <c r="F13" s="1064">
        <f t="shared" si="6"/>
        <v>0</v>
      </c>
      <c r="G13" s="1064">
        <f t="shared" si="6"/>
        <v>0</v>
      </c>
      <c r="H13" s="1064">
        <f t="shared" si="6"/>
        <v>0</v>
      </c>
      <c r="I13" s="1064">
        <f t="shared" si="6"/>
        <v>0</v>
      </c>
      <c r="J13" s="1064">
        <f t="shared" si="6"/>
        <v>0</v>
      </c>
      <c r="K13" s="1064">
        <f t="shared" si="6"/>
        <v>0</v>
      </c>
      <c r="L13" s="1064">
        <f t="shared" si="6"/>
        <v>0</v>
      </c>
      <c r="M13" s="1064">
        <f t="shared" si="6"/>
        <v>0</v>
      </c>
      <c r="N13" s="1064">
        <f t="shared" si="6"/>
        <v>0</v>
      </c>
      <c r="CK13" s="699"/>
      <c r="CM13" s="699"/>
      <c r="CO13" s="699"/>
      <c r="CQ13" s="699"/>
      <c r="CS13" s="699"/>
      <c r="CU13" s="699"/>
      <c r="CW13" s="699"/>
      <c r="CY13" s="699"/>
      <c r="DA13" s="699"/>
      <c r="DC13" s="699"/>
      <c r="DE13" s="699"/>
      <c r="DG13" s="699"/>
      <c r="DI13" s="699"/>
    </row>
    <row r="14" spans="1:113" s="700" customFormat="1" ht="8.25" hidden="1" customHeight="1" x14ac:dyDescent="0.35">
      <c r="A14" s="1382"/>
      <c r="B14" s="1382"/>
      <c r="C14" s="1064">
        <f t="shared" ref="C14:N14" si="7">+$B$47</f>
        <v>0</v>
      </c>
      <c r="D14" s="1064">
        <f t="shared" si="7"/>
        <v>0</v>
      </c>
      <c r="E14" s="1064">
        <f t="shared" si="7"/>
        <v>0</v>
      </c>
      <c r="F14" s="1064">
        <f t="shared" si="7"/>
        <v>0</v>
      </c>
      <c r="G14" s="1064">
        <f t="shared" si="7"/>
        <v>0</v>
      </c>
      <c r="H14" s="1064">
        <f t="shared" si="7"/>
        <v>0</v>
      </c>
      <c r="I14" s="1064">
        <f t="shared" si="7"/>
        <v>0</v>
      </c>
      <c r="J14" s="1064">
        <f t="shared" si="7"/>
        <v>0</v>
      </c>
      <c r="K14" s="1064">
        <f t="shared" si="7"/>
        <v>0</v>
      </c>
      <c r="L14" s="1064">
        <f t="shared" si="7"/>
        <v>0</v>
      </c>
      <c r="M14" s="1064">
        <f t="shared" si="7"/>
        <v>0</v>
      </c>
      <c r="N14" s="1064">
        <f t="shared" si="7"/>
        <v>0</v>
      </c>
      <c r="CK14" s="699"/>
      <c r="CM14" s="699"/>
      <c r="CO14" s="699"/>
      <c r="CQ14" s="699"/>
      <c r="CS14" s="699"/>
      <c r="CU14" s="699"/>
      <c r="CW14" s="699"/>
      <c r="CY14" s="699"/>
      <c r="DA14" s="699"/>
      <c r="DC14" s="699"/>
      <c r="DE14" s="699"/>
      <c r="DG14" s="699"/>
      <c r="DI14" s="699"/>
    </row>
    <row r="15" spans="1:113" s="700" customFormat="1" ht="8.25" hidden="1" customHeight="1" x14ac:dyDescent="0.35">
      <c r="A15" s="1383"/>
      <c r="B15" s="1383"/>
      <c r="C15" s="1064">
        <f t="shared" ref="C15:N15" si="8">+$B$48</f>
        <v>0</v>
      </c>
      <c r="D15" s="1064">
        <f t="shared" si="8"/>
        <v>0</v>
      </c>
      <c r="E15" s="1064">
        <f t="shared" si="8"/>
        <v>0</v>
      </c>
      <c r="F15" s="1064">
        <f t="shared" si="8"/>
        <v>0</v>
      </c>
      <c r="G15" s="1064">
        <f t="shared" si="8"/>
        <v>0</v>
      </c>
      <c r="H15" s="1064">
        <f t="shared" si="8"/>
        <v>0</v>
      </c>
      <c r="I15" s="1064">
        <f t="shared" si="8"/>
        <v>0</v>
      </c>
      <c r="J15" s="1064">
        <f t="shared" si="8"/>
        <v>0</v>
      </c>
      <c r="K15" s="1064">
        <f t="shared" si="8"/>
        <v>0</v>
      </c>
      <c r="L15" s="1064">
        <f t="shared" si="8"/>
        <v>0</v>
      </c>
      <c r="M15" s="1064">
        <f t="shared" si="8"/>
        <v>0</v>
      </c>
      <c r="N15" s="1064">
        <f t="shared" si="8"/>
        <v>0</v>
      </c>
      <c r="CK15" s="699"/>
      <c r="CM15" s="699"/>
      <c r="CO15" s="699"/>
      <c r="CQ15" s="699"/>
      <c r="CS15" s="699"/>
      <c r="CU15" s="699"/>
      <c r="CW15" s="699"/>
      <c r="CY15" s="699"/>
      <c r="DA15" s="699"/>
      <c r="DC15" s="699"/>
      <c r="DE15" s="699"/>
      <c r="DG15" s="699"/>
      <c r="DI15" s="699"/>
    </row>
    <row r="16" spans="1:113" ht="15.75" customHeight="1" x14ac:dyDescent="0.35">
      <c r="A16" s="1380" t="s">
        <v>1132</v>
      </c>
      <c r="B16" s="1297" t="s">
        <v>10</v>
      </c>
      <c r="C16" s="1058"/>
      <c r="D16" s="1058"/>
      <c r="E16" s="1058"/>
      <c r="F16" s="1058"/>
      <c r="G16" s="1058"/>
      <c r="H16" s="1058"/>
      <c r="I16" s="1058"/>
      <c r="J16" s="1058"/>
      <c r="K16" s="1058"/>
      <c r="L16" s="1058"/>
      <c r="M16" s="1058"/>
      <c r="N16" s="1075"/>
      <c r="P16" s="1384" t="s">
        <v>1052</v>
      </c>
      <c r="Q16" s="1384"/>
      <c r="R16" s="1384"/>
      <c r="S16" s="1384"/>
      <c r="T16" s="1384"/>
      <c r="U16" s="1384"/>
      <c r="V16" s="1384"/>
      <c r="W16" s="1384"/>
      <c r="X16" s="1384"/>
      <c r="Y16" s="1384"/>
      <c r="Z16" s="1384"/>
      <c r="AA16" s="1384"/>
      <c r="AB16" s="1384"/>
      <c r="AC16" s="1384"/>
      <c r="AD16" s="1384"/>
      <c r="AE16" s="1384"/>
      <c r="AF16" s="1384"/>
      <c r="AG16" s="1384"/>
      <c r="AH16" s="1384"/>
      <c r="AI16" s="1384"/>
      <c r="AJ16" s="1384"/>
      <c r="AK16" s="1384"/>
      <c r="AL16" s="1384"/>
      <c r="AM16" s="975"/>
      <c r="AN16" s="1385" t="s">
        <v>1053</v>
      </c>
      <c r="AO16" s="1386"/>
      <c r="AP16" s="1386"/>
      <c r="AQ16" s="1386"/>
      <c r="AR16" s="1386"/>
      <c r="AS16" s="1386"/>
      <c r="AT16" s="1386"/>
      <c r="AU16" s="1386"/>
      <c r="AV16" s="1386"/>
      <c r="AW16" s="1386"/>
      <c r="AX16" s="1386"/>
      <c r="AY16" s="1386"/>
      <c r="AZ16" s="1386"/>
      <c r="BA16" s="1386"/>
      <c r="BB16" s="1386"/>
      <c r="BC16" s="1386"/>
      <c r="BD16" s="1386"/>
      <c r="BE16" s="1386"/>
      <c r="BF16" s="1386"/>
      <c r="BG16" s="1386"/>
      <c r="BH16" s="1386"/>
      <c r="BI16" s="1386"/>
      <c r="BJ16" s="1387"/>
      <c r="BL16" s="1384" t="s">
        <v>1054</v>
      </c>
      <c r="BM16" s="1384"/>
      <c r="BN16" s="1384"/>
      <c r="BO16" s="1384"/>
      <c r="BP16" s="1384"/>
      <c r="BQ16" s="1384"/>
      <c r="BR16" s="1384"/>
      <c r="BS16" s="1384"/>
      <c r="BT16" s="1384"/>
      <c r="BU16" s="1384"/>
      <c r="BV16" s="1384"/>
      <c r="BW16" s="1384"/>
      <c r="BX16" s="1384"/>
      <c r="BY16" s="1384"/>
      <c r="BZ16" s="1384"/>
      <c r="CA16" s="1384"/>
      <c r="CB16" s="1384"/>
      <c r="CC16" s="1384"/>
      <c r="CD16" s="1384"/>
      <c r="CE16" s="1384"/>
      <c r="CF16" s="1384"/>
      <c r="CG16" s="1384"/>
      <c r="CH16" s="1384"/>
    </row>
    <row r="17" spans="1:113" ht="15.75" customHeight="1" x14ac:dyDescent="0.35">
      <c r="A17" s="1381"/>
      <c r="B17" s="1298" t="s">
        <v>778</v>
      </c>
      <c r="C17" s="1065"/>
      <c r="D17" s="1065"/>
      <c r="E17" s="1065"/>
      <c r="F17" s="1065"/>
      <c r="G17" s="1065"/>
      <c r="H17" s="1065"/>
      <c r="I17" s="1065"/>
      <c r="J17" s="1065"/>
      <c r="K17" s="1065"/>
      <c r="L17" s="1065"/>
      <c r="M17" s="1065"/>
      <c r="N17" s="1076"/>
      <c r="P17" s="976">
        <f>IF(C17=$B$46,IF(C$34&gt;8,IF(C$34&lt;31,IF(C16=20,1/16,IF(C16=40,0.75/8,IF(C16=60,1/8,IF(C16&gt;80,1/8,0)))))))*C$35</f>
        <v>0</v>
      </c>
      <c r="Q17" s="976"/>
      <c r="R17" s="976">
        <f>IF(D17=$B$46,IF(D$34&gt;8,IF(D$34&lt;31,IF(D16=20,1/16,IF(D16=40,0.75/8,IF(D16=60,1/8,IF(D16&gt;80,1/8,0)))))))*D$35</f>
        <v>0</v>
      </c>
      <c r="S17" s="976"/>
      <c r="T17" s="976">
        <f>IF(E17=$B$46,IF(E$34&gt;8,IF(E$34&lt;31,IF(E16=20,1/16,IF(E16=40,0.75/8,IF(E16=60,1/8,IF(E16&gt;80,1/8,0)))))))*E$35</f>
        <v>0</v>
      </c>
      <c r="U17" s="976"/>
      <c r="V17" s="976">
        <f>IF(F17=$B$46,IF(F$34&gt;8,IF(F$34&lt;31,IF(F16=20,1/16,IF(F16=40,0.75/8,IF(F16=60,1/8,IF(F16&gt;80,1/8,0)))))))*F$35</f>
        <v>0</v>
      </c>
      <c r="W17" s="976"/>
      <c r="X17" s="976">
        <f>IF(G17=$B$46,IF(G$34&gt;8,IF(G$34&lt;31,IF(G16=20,1/16,IF(G16=40,0.75/8,IF(G16=60,1/8,IF(G16&gt;80,1/8,0)))))))*G$35</f>
        <v>0</v>
      </c>
      <c r="Y17" s="976"/>
      <c r="Z17" s="976">
        <f>IF(H17=$B$46,IF(H$34&gt;8,IF(H$34&lt;31,IF(H16=20,1/16,IF(H16=40,0.75/8,IF(H16=60,1/8,IF(H16&gt;80,1/8,0)))))))*H$35</f>
        <v>0</v>
      </c>
      <c r="AA17" s="976"/>
      <c r="AB17" s="976">
        <f>IF(I17=$B$46,IF(I$34&gt;8,IF(I$34&lt;31,IF(I16=20,1/16,IF(I16=40,0.75/8,IF(I16=60,1/8,IF(I16&gt;80,1/8,0)))))))*I$35</f>
        <v>0</v>
      </c>
      <c r="AC17" s="976"/>
      <c r="AD17" s="976">
        <f>IF(J17=$B$46,IF(J$34&gt;8,IF(J$34&lt;31,IF(J16=20,1/16,IF(J16=40,0.75/8,IF(J16=60,1/8,IF(J16&gt;80,1/8,0)))))))*J$35</f>
        <v>0</v>
      </c>
      <c r="AE17" s="976"/>
      <c r="AF17" s="976">
        <f>IF(K17=$B$46,IF(K$34&gt;8,IF(K$34&lt;31,IF(K16=20,1/16,IF(K16=40,0.75/8,IF(K16=60,1/8,IF(K16&gt;80,1/8,0)))))))*K$35</f>
        <v>0</v>
      </c>
      <c r="AG17" s="976"/>
      <c r="AH17" s="976">
        <f>IF(L17=$B$46,IF(L$34&gt;8,IF(L$34&lt;31,IF(L16=20,1/16,IF(L16=40,0.75/8,IF(L16=60,1/8,IF(L16&gt;80,1/8,0)))))))*L$35</f>
        <v>0</v>
      </c>
      <c r="AI17" s="976"/>
      <c r="AJ17" s="976">
        <f>IF(M17=$B$46,IF(M$34&gt;8,IF(M$34&lt;31,IF(M16=20,1/16,IF(M16=40,0.75/8,IF(M16=60,1/8,IF(M16&gt;80,1/8,0)))))))*M$35</f>
        <v>0</v>
      </c>
      <c r="AK17" s="976"/>
      <c r="AL17" s="976">
        <f>IF(N17=$B$46,IF(N$34&gt;8,IF(N$34&lt;31,IF(N16=20,1/16,IF(N16=40,0.75/8,IF(N16=60,1/8,IF(N16&gt;80,1/8,0)))))))*N$35</f>
        <v>0</v>
      </c>
      <c r="AN17" s="976">
        <f>IF(C17=$B$46,IF(C$34&gt;30,IF(C$34&lt;61,IF(C16&gt;=20,IF(C16&lt;40,1/9,IF(C16&gt;=40,IF(C16&lt;60,0.75/4,IF(C16&gt;=60,1/4,0))))))))*C$35</f>
        <v>0</v>
      </c>
      <c r="AO17" s="976"/>
      <c r="AP17" s="976">
        <f>IF(D17=$B$46,IF(D$34&gt;30,IF(D$34&lt;61,IF(D16&gt;=20,IF(D16&lt;40,1/9,IF(D16&gt;=40,IF(D16&lt;60,0.75/4,IF(D16&gt;=60,1/4,0))))))))*D$35</f>
        <v>0</v>
      </c>
      <c r="AQ17" s="976"/>
      <c r="AR17" s="976">
        <f>IF(E17=$B$46,IF(E$34&gt;30,IF(E$34&lt;61,IF(E16&gt;=20,IF(E16&lt;40,1/9,IF(E16&gt;=40,IF(E16&lt;60,0.75/4,IF(E16&gt;=60,1/4,0))))))))*E$35</f>
        <v>0</v>
      </c>
      <c r="AS17" s="976"/>
      <c r="AT17" s="976">
        <f>IF(F17=$B$46,IF(F$34&gt;30,IF(F$34&lt;61,IF(F16&gt;=20,IF(F16&lt;40,1/9,IF(F16&gt;=40,IF(F16&lt;60,0.75/4,IF(F16&gt;=60,1/4,0))))))))*F$35</f>
        <v>0</v>
      </c>
      <c r="AU17" s="976"/>
      <c r="AV17" s="976">
        <f>IF(G17=$B$46,IF(G$34&gt;30,IF(G$34&lt;61,IF(G16&gt;=20,IF(G16&lt;40,1/9,IF(G16&gt;=40,IF(G16&lt;60,0.75/4,IF(G16&gt;=60,1/4,0))))))))*G$35</f>
        <v>0</v>
      </c>
      <c r="AW17" s="976"/>
      <c r="AX17" s="976">
        <f>IF(H17=$B$46,IF(H$34&gt;30,IF(H$34&lt;61,IF(H16&gt;=20,IF(H16&lt;40,1/9,IF(H16&gt;=40,IF(H16&lt;60,0.75/4,IF(H16&gt;=60,1/4,0))))))))*H$35</f>
        <v>0</v>
      </c>
      <c r="AY17" s="976"/>
      <c r="AZ17" s="976">
        <f>IF(I17=$B$46,IF(I$34&gt;30,IF(I$34&lt;61,IF(I16&gt;=20,IF(I16&lt;40,1/9,IF(I16&gt;=40,IF(I16&lt;60,0.75/4,IF(I16&gt;=60,1/4,0))))))))*I$35</f>
        <v>0</v>
      </c>
      <c r="BA17" s="976"/>
      <c r="BB17" s="976">
        <f>IF(J17=$B$46,IF(J$34&gt;30,IF(J$34&lt;61,IF(J16&gt;=20,IF(J16&lt;40,1/9,IF(J16&gt;=40,IF(J16&lt;60,0.75/4,IF(J16&gt;=60,1/4,0))))))))*J$35</f>
        <v>0</v>
      </c>
      <c r="BC17" s="976"/>
      <c r="BD17" s="976">
        <f>IF(K17=$B$46,IF(K$34&gt;30,IF(K$34&lt;61,IF(K16&gt;=20,IF(K16&lt;40,1/9,IF(K16&gt;=40,IF(K16&lt;60,0.75/4,IF(K16&gt;=60,1/4,0))))))))*K$35</f>
        <v>0</v>
      </c>
      <c r="BE17" s="976"/>
      <c r="BF17" s="976">
        <f>IF(L17=$B$46,IF(L$34&gt;30,IF(L$34&lt;61,IF(L16&gt;=20,IF(L16&lt;40,1/9,IF(L16&gt;=40,IF(L16&lt;60,0.75/4,IF(L16&gt;=60,1/4,0))))))))*L$35</f>
        <v>0</v>
      </c>
      <c r="BG17" s="976"/>
      <c r="BH17" s="976">
        <f>IF(M17=$B$46,IF(M$34&gt;30,IF(M$34&lt;61,IF(M16&gt;=20,IF(M16&lt;40,1/9,IF(M16&gt;=40,IF(M16&lt;60,0.75/4,IF(M16&gt;=60,1/4,0))))))))*M$35</f>
        <v>0</v>
      </c>
      <c r="BI17" s="976"/>
      <c r="BJ17" s="976">
        <f>IF(N17=$B$46,IF(N$34&gt;30,IF(N$34&lt;61,IF(N16&gt;=20,IF(N16&lt;40,1/9,IF(N16&gt;=40,IF(N16&lt;60,0.75/4,IF(N16&gt;=60,1/4,0))))))))*N$35</f>
        <v>0</v>
      </c>
      <c r="BL17" s="976">
        <f>IF(C17=$B$46,IF(C$34&gt;60,IF(C$34&lt;76,IF(C16&gt;=10,IF(C16&lt;20,1/7,IF(C16&gt;=20,IF(C16&lt;60,1/3,IF(C16&gt;=60,1/3,0))))))))*C$35</f>
        <v>0</v>
      </c>
      <c r="BM17" s="976"/>
      <c r="BN17" s="976">
        <f>IF(D17=$B$46,IF(D$34&gt;60,IF(D$34&lt;76,IF(D16&gt;=10,IF(D16&lt;20,1/7,IF(D16&gt;=20,IF(D16&lt;60,1/3,IF(D16&gt;=60,1/3,0))))))))*D$35</f>
        <v>0</v>
      </c>
      <c r="BO17" s="976"/>
      <c r="BP17" s="976">
        <f>IF(E17=$B$46,IF(E$34&gt;60,IF(E$34&lt;76,IF(E16&gt;=10,IF(E16&lt;20,1/7,IF(E16&gt;=20,IF(E16&lt;60,1/3,IF(E16&gt;=60,1/3,0))))))))*E$35</f>
        <v>0</v>
      </c>
      <c r="BQ17" s="976"/>
      <c r="BR17" s="976">
        <f>IF(F17=$B$46,IF(F$34&gt;60,IF(F$34&lt;76,IF(F16&gt;=10,IF(F16&lt;20,1/7,IF(F16&gt;=20,IF(F16&lt;60,1/3,IF(F16&gt;=60,1/3,0))))))))*F$35</f>
        <v>0</v>
      </c>
      <c r="BS17" s="976"/>
      <c r="BT17" s="976">
        <f>IF(G17=$B$46,IF(G$34&gt;60,IF(G$34&lt;76,IF(G16&gt;=10,IF(G16&lt;20,1/7,IF(G16&gt;=20,IF(G16&lt;60,1/3,IF(G16&gt;=60,1/3,0))))))))*G$35</f>
        <v>0</v>
      </c>
      <c r="BU17" s="976"/>
      <c r="BV17" s="976">
        <f>IF(H17=$B$46,IF(H$34&gt;60,IF(H$34&lt;76,IF(H16&gt;=10,IF(H16&lt;20,1/7,IF(H16&gt;=20,IF(H16&lt;60,1/3,IF(H16&gt;=60,1/3,0))))))))*H$35</f>
        <v>0</v>
      </c>
      <c r="BW17" s="976"/>
      <c r="BX17" s="976">
        <f>IF(I17=$B$46,IF(I$34&gt;60,IF(I$34&lt;76,IF(I16&gt;=10,IF(I16&lt;20,1/7,IF(I16&gt;=20,IF(I16&lt;60,1/3,IF(I16&gt;=60,1/3,0))))))))*I$35</f>
        <v>0</v>
      </c>
      <c r="BY17" s="976"/>
      <c r="BZ17" s="976">
        <f>IF(J17=$B$46,IF(J$34&gt;60,IF(J$34&lt;76,IF(J16&gt;=10,IF(J16&lt;20,1/7,IF(J16&gt;=20,IF(J16&lt;60,1/3,IF(J16&gt;=60,1/3,0))))))))*J$35</f>
        <v>0</v>
      </c>
      <c r="CA17" s="976"/>
      <c r="CB17" s="976">
        <f>IF(K17=$B$46,IF(K$34&gt;60,IF(K$34&lt;76,IF(K16&gt;=10,IF(K16&lt;20,1/7,IF(K16&gt;=20,IF(K16&lt;60,1/3,IF(K16&gt;=60,1/3,0))))))))*K$35</f>
        <v>0</v>
      </c>
      <c r="CC17" s="976"/>
      <c r="CD17" s="976">
        <f>IF(L17=$B$46,IF(L$34&gt;60,IF(L$34&lt;76,IF(L16&gt;=10,IF(L16&lt;20,1/7,IF(L16&gt;=20,IF(L16&lt;60,1/3,IF(L16&gt;=60,1/3,0))))))))*L$35</f>
        <v>0</v>
      </c>
      <c r="CE17" s="976"/>
      <c r="CF17" s="976">
        <f>IF(M17=$B$46,IF(M$34&gt;60,IF(M$34&lt;76,IF(M16&gt;=10,IF(M16&lt;20,1/7,IF(M16&gt;=20,IF(M16&lt;60,1/3,IF(M16&gt;=60,1/3,0))))))))*M$35</f>
        <v>0</v>
      </c>
      <c r="CG17" s="976"/>
      <c r="CH17" s="976">
        <f>IF(N17=$B$46,IF(N$34&gt;60,IF(N$34&lt;76,IF(N16&gt;=10,IF(N16&lt;20,1/7,IF(N16&gt;=20,IF(N16&lt;60,1/3,IF(N16&gt;=60,1/3,0))))))))*N$35</f>
        <v>0</v>
      </c>
      <c r="CK17" s="699">
        <f>IF(C$28=146,IF(C$34=60,IF(OR(C$29=$B$44,C$29=$B$45,),1,0)))*C$35</f>
        <v>0</v>
      </c>
      <c r="CM17" s="699">
        <f>IF(D$28=146,IF(D$34=60,IF(OR(D$29=$B$44,D$29=$B$45,),1,0)))*D$35</f>
        <v>0</v>
      </c>
      <c r="CO17" s="699">
        <f>IF(E$28=146,IF(E$34=60,IF(OR(E$29=$B$44,E$29=$B$45,),1,0)))*E$35</f>
        <v>0</v>
      </c>
      <c r="CQ17" s="699">
        <f>IF(F$28=146,IF(F$34=60,IF(OR(F$29=$B$44,F$29=$B$45,),1,0)))*F$35</f>
        <v>0</v>
      </c>
      <c r="CS17" s="699">
        <f>IF(G$28=146,IF(G$34=60,IF(OR(G$29=$B$44,G$29=$B$45,),1,0)))*G$35</f>
        <v>0</v>
      </c>
      <c r="CU17" s="699">
        <f>IF(H$28=146,IF(H$34=60,IF(OR(H$29=$B$44,H$29=$B$45,),1,0)))*H$35</f>
        <v>0</v>
      </c>
      <c r="CW17" s="699">
        <f>IF(I$28=146,IF(I$34=60,IF(OR(I$29=$B$44,I$29=$B$45,),1,0)))*I$35</f>
        <v>0</v>
      </c>
      <c r="CY17" s="699">
        <f>IF(J$28=146,IF(J$34=60,IF(OR(J$29=$B$44,J$29=$B$45,),1,0)))*J$35</f>
        <v>0</v>
      </c>
      <c r="DA17" s="699">
        <f>IF(K$28=146,IF(K$34=60,IF(OR(K$29=$B$44,K$29=$B$45,),1,0)))*K$35</f>
        <v>0</v>
      </c>
      <c r="DC17" s="699">
        <f>IF(L$28=146,IF(L$34=60,IF(OR(L$29=$B$44,L$29=$B$45,),1,0)))*L$35</f>
        <v>0</v>
      </c>
      <c r="DE17" s="699">
        <f>IF(M$28=146,IF(M$34=60,IF(OR(M$29=$B$44,M$29=$B$45,),1,0)))*M$35</f>
        <v>0</v>
      </c>
      <c r="DG17" s="699">
        <f>IF(N$28=146,IF(N$34=60,IF(OR(N$29=$B$44,N$29=$B$45,),1,0)))*N$35</f>
        <v>0</v>
      </c>
      <c r="DI17" s="974">
        <f>SUM(CK17:DG17)</f>
        <v>0</v>
      </c>
    </row>
    <row r="18" spans="1:113" ht="15.75" customHeight="1" x14ac:dyDescent="0.35">
      <c r="A18" s="1380" t="s">
        <v>1138</v>
      </c>
      <c r="B18" s="1297" t="s">
        <v>10</v>
      </c>
      <c r="C18" s="1058"/>
      <c r="D18" s="1058"/>
      <c r="E18" s="1058"/>
      <c r="F18" s="1058"/>
      <c r="G18" s="1058"/>
      <c r="H18" s="1058"/>
      <c r="I18" s="1058"/>
      <c r="J18" s="1058"/>
      <c r="K18" s="1058"/>
      <c r="L18" s="1058"/>
      <c r="M18" s="1058"/>
      <c r="N18" s="1075"/>
      <c r="P18" s="976"/>
      <c r="Q18" s="976"/>
      <c r="R18" s="976"/>
      <c r="S18" s="976"/>
      <c r="T18" s="976"/>
      <c r="U18" s="976"/>
      <c r="V18" s="976"/>
      <c r="W18" s="976"/>
      <c r="X18" s="976"/>
      <c r="Y18" s="976"/>
      <c r="Z18" s="976"/>
      <c r="AA18" s="976"/>
      <c r="AB18" s="976"/>
      <c r="AC18" s="976"/>
      <c r="AD18" s="976"/>
      <c r="AE18" s="976"/>
      <c r="AF18" s="976"/>
      <c r="AG18" s="976"/>
      <c r="AH18" s="976"/>
      <c r="AI18" s="976"/>
      <c r="AJ18" s="976"/>
      <c r="AK18" s="976"/>
      <c r="AL18" s="976"/>
      <c r="AN18" s="976"/>
      <c r="AO18" s="976"/>
      <c r="AP18" s="976"/>
      <c r="AQ18" s="976"/>
      <c r="AR18" s="976"/>
      <c r="AS18" s="976"/>
      <c r="AT18" s="976"/>
      <c r="AU18" s="976"/>
      <c r="AV18" s="976"/>
      <c r="AW18" s="976"/>
      <c r="AX18" s="976"/>
      <c r="AY18" s="976"/>
      <c r="AZ18" s="976"/>
      <c r="BA18" s="976"/>
      <c r="BB18" s="976"/>
      <c r="BC18" s="976"/>
      <c r="BD18" s="976"/>
      <c r="BE18" s="976"/>
      <c r="BF18" s="976"/>
      <c r="BG18" s="976"/>
      <c r="BH18" s="976"/>
      <c r="BI18" s="976"/>
      <c r="BJ18" s="976"/>
      <c r="BL18" s="976"/>
      <c r="BM18" s="976"/>
      <c r="BN18" s="976"/>
      <c r="BO18" s="976"/>
      <c r="BP18" s="976"/>
      <c r="BQ18" s="976"/>
      <c r="BR18" s="976"/>
      <c r="BS18" s="976"/>
      <c r="BT18" s="976"/>
      <c r="BU18" s="976"/>
      <c r="BV18" s="976"/>
      <c r="BW18" s="976"/>
      <c r="BX18" s="976"/>
      <c r="BY18" s="976"/>
      <c r="BZ18" s="976"/>
      <c r="CA18" s="976"/>
      <c r="CB18" s="976"/>
      <c r="CC18" s="976"/>
      <c r="CD18" s="976"/>
      <c r="CE18" s="976"/>
      <c r="CF18" s="976"/>
      <c r="CG18" s="976"/>
      <c r="CH18" s="976"/>
    </row>
    <row r="19" spans="1:113" ht="15.75" customHeight="1" x14ac:dyDescent="0.35">
      <c r="A19" s="1381"/>
      <c r="B19" s="1298" t="s">
        <v>778</v>
      </c>
      <c r="C19" s="1065"/>
      <c r="D19" s="1065"/>
      <c r="E19" s="1065"/>
      <c r="F19" s="1065"/>
      <c r="G19" s="1065"/>
      <c r="H19" s="1065"/>
      <c r="I19" s="1065"/>
      <c r="J19" s="1065"/>
      <c r="K19" s="1065"/>
      <c r="L19" s="1065"/>
      <c r="M19" s="1065"/>
      <c r="N19" s="1076"/>
      <c r="P19" s="976">
        <f>IF(C19=$B$46,IF(C$34&gt;8,IF(C$34&lt;31,IF(C18=20,1/16,IF(C18=40,0.75/8,IF(C18=60,1/8,IF(C18&gt;80,1/8,0)))))))*C$35</f>
        <v>0</v>
      </c>
      <c r="Q19" s="976"/>
      <c r="R19" s="976">
        <f>IF(D19=$B$46,IF(D$34&gt;8,IF(D$34&lt;31,IF(D18=20,1/16,IF(D18=40,0.75/8,IF(D18=60,1/8,IF(D18&gt;80,1/8,0)))))))*D$35</f>
        <v>0</v>
      </c>
      <c r="S19" s="976"/>
      <c r="T19" s="976">
        <f>IF(E19=$B$46,IF(E$34&gt;8,IF(E$34&lt;31,IF(E18=20,1/16,IF(E18=40,0.75/8,IF(E18=60,1/8,IF(E18&gt;80,1/8,0)))))))*E$35</f>
        <v>0</v>
      </c>
      <c r="U19" s="976"/>
      <c r="V19" s="976">
        <f>IF(F19=$B$46,IF(F$34&gt;8,IF(F$34&lt;31,IF(F18=20,1/16,IF(F18=40,0.75/8,IF(F18=60,1/8,IF(F18&gt;80,1/8,0)))))))*F$35</f>
        <v>0</v>
      </c>
      <c r="W19" s="976"/>
      <c r="X19" s="976">
        <f>IF(G19=$B$46,IF(G$34&gt;8,IF(G$34&lt;31,IF(G18=20,1/16,IF(G18=40,0.75/8,IF(G18=60,1/8,IF(G18&gt;80,1/8,0)))))))*G$35</f>
        <v>0</v>
      </c>
      <c r="Y19" s="976"/>
      <c r="Z19" s="976">
        <f>IF(H19=$B$46,IF(H$34&gt;8,IF(H$34&lt;31,IF(H18=20,1/16,IF(H18=40,0.75/8,IF(H18=60,1/8,IF(H18&gt;80,1/8,0)))))))*H$35</f>
        <v>0</v>
      </c>
      <c r="AA19" s="976"/>
      <c r="AB19" s="976">
        <f>IF(I19=$B$46,IF(I$34&gt;8,IF(I$34&lt;31,IF(I18=20,1/16,IF(I18=40,0.75/8,IF(I18=60,1/8,IF(I18&gt;80,1/8,0)))))))*I$35</f>
        <v>0</v>
      </c>
      <c r="AC19" s="976"/>
      <c r="AD19" s="976">
        <f>IF(J19=$B$46,IF(J$34&gt;8,IF(J$34&lt;31,IF(J18=20,1/16,IF(J18=40,0.75/8,IF(J18=60,1/8,IF(J18&gt;80,1/8,0)))))))*J$35</f>
        <v>0</v>
      </c>
      <c r="AE19" s="976"/>
      <c r="AF19" s="976">
        <f>IF(K19=$B$46,IF(K$34&gt;8,IF(K$34&lt;31,IF(K18=20,1/16,IF(K18=40,0.75/8,IF(K18=60,1/8,IF(K18&gt;80,1/8,0)))))))*K$35</f>
        <v>0</v>
      </c>
      <c r="AG19" s="976"/>
      <c r="AH19" s="976">
        <f>IF(L19=$B$46,IF(L$34&gt;8,IF(L$34&lt;31,IF(L18=20,1/16,IF(L18=40,0.75/8,IF(L18=60,1/8,IF(L18&gt;80,1/8,0)))))))*L$35</f>
        <v>0</v>
      </c>
      <c r="AI19" s="976"/>
      <c r="AJ19" s="976">
        <f>IF(M19=$B$46,IF(M$34&gt;8,IF(M$34&lt;31,IF(M18=20,1/16,IF(M18=40,0.75/8,IF(M18=60,1/8,IF(M18&gt;80,1/8,0)))))))*M$35</f>
        <v>0</v>
      </c>
      <c r="AK19" s="976"/>
      <c r="AL19" s="976">
        <f>IF(N19=$B$46,IF(N$34&gt;8,IF(N$34&lt;31,IF(N18=20,1/16,IF(N18=40,0.75/8,IF(N18=60,1/8,IF(N18&gt;80,1/8,0)))))))*N$35</f>
        <v>0</v>
      </c>
      <c r="AN19" s="976">
        <f>IF(C19=$B$46,IF(C$34&gt;30,IF(C$34&lt;61,IF(C18&gt;=20,IF(C18&lt;40,1/9,IF(C18&gt;=40,IF(C18&lt;60,0.75/4,IF(C18&gt;=60,1/4,0))))))))*C$35</f>
        <v>0</v>
      </c>
      <c r="AO19" s="976"/>
      <c r="AP19" s="976">
        <f>IF(D19=$B$46,IF(D$34&gt;30,IF(D$34&lt;61,IF(D18&gt;=20,IF(D18&lt;40,1/9,IF(D18&gt;=40,IF(D18&lt;60,0.75/4,IF(D18&gt;=60,1/4,0))))))))*D$35</f>
        <v>0</v>
      </c>
      <c r="AQ19" s="976"/>
      <c r="AR19" s="976">
        <f>IF(E19=$B$46,IF(E$34&gt;30,IF(E$34&lt;61,IF(E18&gt;=20,IF(E18&lt;40,1/9,IF(E18&gt;=40,IF(E18&lt;60,0.75/4,IF(E18&gt;=60,1/4,0))))))))*E$35</f>
        <v>0</v>
      </c>
      <c r="AS19" s="976"/>
      <c r="AT19" s="976">
        <f>IF(F19=$B$46,IF(F$34&gt;30,IF(F$34&lt;61,IF(F18&gt;=20,IF(F18&lt;40,1/9,IF(F18&gt;=40,IF(F18&lt;60,0.75/4,IF(F18&gt;=60,1/4,0))))))))*F$35</f>
        <v>0</v>
      </c>
      <c r="AU19" s="976"/>
      <c r="AV19" s="976">
        <f>IF(G19=$B$46,IF(G$34&gt;30,IF(G$34&lt;61,IF(G18&gt;=20,IF(G18&lt;40,1/9,IF(G18&gt;=40,IF(G18&lt;60,0.75/4,IF(G18&gt;=60,1/4,0))))))))*G$35</f>
        <v>0</v>
      </c>
      <c r="AW19" s="976"/>
      <c r="AX19" s="976">
        <f>IF(H19=$B$46,IF(H$34&gt;30,IF(H$34&lt;61,IF(H18&gt;=20,IF(H18&lt;40,1/9,IF(H18&gt;=40,IF(H18&lt;60,0.75/4,IF(H18&gt;=60,1/4,0))))))))*H$35</f>
        <v>0</v>
      </c>
      <c r="AY19" s="976"/>
      <c r="AZ19" s="976">
        <f>IF(I19=$B$46,IF(I$34&gt;30,IF(I$34&lt;61,IF(I18&gt;=20,IF(I18&lt;40,1/9,IF(I18&gt;=40,IF(I18&lt;60,0.75/4,IF(I18&gt;=60,1/4,0))))))))*I$35</f>
        <v>0</v>
      </c>
      <c r="BA19" s="976"/>
      <c r="BB19" s="976">
        <f>IF(J19=$B$46,IF(J$34&gt;30,IF(J$34&lt;61,IF(J18&gt;=20,IF(J18&lt;40,1/9,IF(J18&gt;=40,IF(J18&lt;60,0.75/4,IF(J18&gt;=60,1/4,0))))))))*J$35</f>
        <v>0</v>
      </c>
      <c r="BC19" s="976"/>
      <c r="BD19" s="976">
        <f>IF(K19=$B$46,IF(K$34&gt;30,IF(K$34&lt;61,IF(K18&gt;=20,IF(K18&lt;40,1/9,IF(K18&gt;=40,IF(K18&lt;60,0.75/4,IF(K18&gt;=60,1/4,0))))))))*K$35</f>
        <v>0</v>
      </c>
      <c r="BE19" s="976"/>
      <c r="BF19" s="976">
        <f>IF(L19=$B$46,IF(L$34&gt;30,IF(L$34&lt;61,IF(L18&gt;=20,IF(L18&lt;40,1/9,IF(L18&gt;=40,IF(L18&lt;60,0.75/4,IF(L18&gt;=60,1/4,0))))))))*L$35</f>
        <v>0</v>
      </c>
      <c r="BG19" s="976"/>
      <c r="BH19" s="976">
        <f>IF(M19=$B$46,IF(M$34&gt;30,IF(M$34&lt;61,IF(M18&gt;=20,IF(M18&lt;40,1/9,IF(M18&gt;=40,IF(M18&lt;60,0.75/4,IF(M18&gt;=60,1/4,0))))))))*M$35</f>
        <v>0</v>
      </c>
      <c r="BI19" s="976"/>
      <c r="BJ19" s="976">
        <f>IF(N19=$B$46,IF(N$34&gt;30,IF(N$34&lt;61,IF(N18&gt;=20,IF(N18&lt;40,1/9,IF(N18&gt;=40,IF(N18&lt;60,0.75/4,IF(N18&gt;=60,1/4,0))))))))*N$35</f>
        <v>0</v>
      </c>
      <c r="BL19" s="976">
        <f>IF(C19=$B$46,IF(C$34&gt;60,IF(C$34&lt;76,IF(C18&gt;=10,IF(C18&lt;20,1/7,IF(C18&gt;=20,IF(C18&lt;60,1/3,IF(C18&gt;=60,1/3,0))))))))*C$35</f>
        <v>0</v>
      </c>
      <c r="BM19" s="976"/>
      <c r="BN19" s="976">
        <f>IF(D19=$B$46,IF(D$34&gt;60,IF(D$34&lt;76,IF(D18&gt;=10,IF(D18&lt;20,1/7,IF(D18&gt;=20,IF(D18&lt;60,1/3,IF(D18&gt;=60,1/3,0))))))))*D$35</f>
        <v>0</v>
      </c>
      <c r="BO19" s="976"/>
      <c r="BP19" s="976">
        <f>IF(E19=$B$46,IF(E$34&gt;60,IF(E$34&lt;76,IF(E18&gt;=10,IF(E18&lt;20,1/7,IF(E18&gt;=20,IF(E18&lt;60,1/3,IF(E18&gt;=60,1/3,0))))))))*E$35</f>
        <v>0</v>
      </c>
      <c r="BQ19" s="976"/>
      <c r="BR19" s="976">
        <f>IF(F19=$B$46,IF(F$34&gt;60,IF(F$34&lt;76,IF(F18&gt;=10,IF(F18&lt;20,1/7,IF(F18&gt;=20,IF(F18&lt;60,1/3,IF(F18&gt;=60,1/3,0))))))))*F$35</f>
        <v>0</v>
      </c>
      <c r="BS19" s="976"/>
      <c r="BT19" s="976">
        <f>IF(G19=$B$46,IF(G$34&gt;60,IF(G$34&lt;76,IF(G18&gt;=10,IF(G18&lt;20,1/7,IF(G18&gt;=20,IF(G18&lt;60,1/3,IF(G18&gt;=60,1/3,0))))))))*G$35</f>
        <v>0</v>
      </c>
      <c r="BU19" s="976"/>
      <c r="BV19" s="976">
        <f>IF(H19=$B$46,IF(H$34&gt;60,IF(H$34&lt;76,IF(H18&gt;=10,IF(H18&lt;20,1/7,IF(H18&gt;=20,IF(H18&lt;60,1/3,IF(H18&gt;=60,1/3,0))))))))*H$35</f>
        <v>0</v>
      </c>
      <c r="BW19" s="976"/>
      <c r="BX19" s="976">
        <f>IF(I19=$B$46,IF(I$34&gt;60,IF(I$34&lt;76,IF(I18&gt;=10,IF(I18&lt;20,1/7,IF(I18&gt;=20,IF(I18&lt;60,1/3,IF(I18&gt;=60,1/3,0))))))))*I$35</f>
        <v>0</v>
      </c>
      <c r="BY19" s="976"/>
      <c r="BZ19" s="976">
        <f>IF(J19=$B$46,IF(J$34&gt;60,IF(J$34&lt;76,IF(J18&gt;=10,IF(J18&lt;20,1/7,IF(J18&gt;=20,IF(J18&lt;60,1/3,IF(J18&gt;=60,1/3,0))))))))*J$35</f>
        <v>0</v>
      </c>
      <c r="CA19" s="976"/>
      <c r="CB19" s="976">
        <f>IF(K19=$B$46,IF(K$34&gt;60,IF(K$34&lt;76,IF(K18&gt;=10,IF(K18&lt;20,1/7,IF(K18&gt;=20,IF(K18&lt;60,1/3,IF(K18&gt;=60,1/3,0))))))))*K$35</f>
        <v>0</v>
      </c>
      <c r="CC19" s="976"/>
      <c r="CD19" s="976">
        <f>IF(L19=$B$46,IF(L$34&gt;60,IF(L$34&lt;76,IF(L18&gt;=10,IF(L18&lt;20,1/7,IF(L18&gt;=20,IF(L18&lt;60,1/3,IF(L18&gt;=60,1/3,0))))))))*L$35</f>
        <v>0</v>
      </c>
      <c r="CE19" s="976"/>
      <c r="CF19" s="976">
        <f>IF(M19=$B$46,IF(M$34&gt;60,IF(M$34&lt;76,IF(M18&gt;=10,IF(M18&lt;20,1/7,IF(M18&gt;=20,IF(M18&lt;60,1/3,IF(M18&gt;=60,1/3,0))))))))*M$35</f>
        <v>0</v>
      </c>
      <c r="CG19" s="976"/>
      <c r="CH19" s="976">
        <f>IF(N19=$B$46,IF(N$34&gt;60,IF(N$34&lt;76,IF(N18&gt;=10,IF(N18&lt;20,1/7,IF(N18&gt;=20,IF(N18&lt;60,1/3,IF(N18&gt;=60,1/3,0))))))))*N$35</f>
        <v>0</v>
      </c>
      <c r="CK19" s="699">
        <f>IF(C$28=146,IF(C$34=75,IF(OR(C$29=$B$44,C$29=$B$45,),1,0)))*C$35</f>
        <v>0</v>
      </c>
      <c r="CM19" s="699">
        <f>IF(D$28=146,IF(D$34=75,IF(OR(D$29=$B$44,D$29=$B$45,),1,0)))*D$35</f>
        <v>0</v>
      </c>
      <c r="CO19" s="699">
        <f>IF(E$28=146,IF(E$34=75,IF(OR(E$29=$B$44,E$29=$B$45,),1,0)))*E$35</f>
        <v>0</v>
      </c>
      <c r="CQ19" s="699">
        <f>IF(F$28=146,IF(F$34=75,IF(OR(F$29=$B$44,F$29=$B$45,),1,0)))*F$35</f>
        <v>0</v>
      </c>
      <c r="CS19" s="699">
        <f>IF(G$28=146,IF(G$34=75,IF(OR(G$29=$B$44,G$29=$B$45,),1,0)))*G$35</f>
        <v>0</v>
      </c>
      <c r="CU19" s="699">
        <f>IF(H$28=146,IF(H$34=75,IF(OR(H$29=$B$44,H$29=$B$45,),1,0)))*H$35</f>
        <v>0</v>
      </c>
      <c r="CW19" s="699">
        <f>IF(I$28=146,IF(I$34=75,IF(OR(I$29=$B$44,I$29=$B$45,),1,0)))*I$35</f>
        <v>0</v>
      </c>
      <c r="CY19" s="699">
        <f>IF(J$28=146,IF(J$34=75,IF(OR(J$29=$B$44,J$29=$B$45,),1,0)))*J$35</f>
        <v>0</v>
      </c>
      <c r="DA19" s="699">
        <f>IF(K$28=146,IF(K$34=75,IF(OR(K$29=$B$44,K$29=$B$45,),1,0)))*K$35</f>
        <v>0</v>
      </c>
      <c r="DC19" s="699">
        <f>IF(L$28=146,IF(L$34=75,IF(OR(L$29=$B$44,L$29=$B$45,),1,0)))*L$35</f>
        <v>0</v>
      </c>
      <c r="DE19" s="699">
        <f>IF(M$28=146,IF(M$34=75,IF(OR(M$29=$B$44,M$29=$B$45,),1,0)))*M$35</f>
        <v>0</v>
      </c>
      <c r="DG19" s="699">
        <f>IF(N$28=146,IF(N$34=75,IF(OR(N$29=$B$44,N$29=$B$45,),1,0)))*N$35</f>
        <v>0</v>
      </c>
      <c r="DI19" s="974">
        <f>SUM(CK19:DG19)</f>
        <v>0</v>
      </c>
    </row>
    <row r="20" spans="1:113" ht="15.75" customHeight="1" x14ac:dyDescent="0.35">
      <c r="A20" s="1380" t="s">
        <v>1134</v>
      </c>
      <c r="B20" s="1297" t="s">
        <v>10</v>
      </c>
      <c r="C20" s="1058"/>
      <c r="D20" s="1058"/>
      <c r="E20" s="1058"/>
      <c r="F20" s="1058"/>
      <c r="G20" s="1058"/>
      <c r="H20" s="1058"/>
      <c r="I20" s="1058"/>
      <c r="J20" s="1058"/>
      <c r="K20" s="1058"/>
      <c r="L20" s="1058"/>
      <c r="M20" s="1058"/>
      <c r="N20" s="1075"/>
      <c r="P20" s="1384" t="s">
        <v>1052</v>
      </c>
      <c r="Q20" s="1384"/>
      <c r="R20" s="1384"/>
      <c r="S20" s="1384"/>
      <c r="T20" s="1384"/>
      <c r="U20" s="1384"/>
      <c r="V20" s="1384"/>
      <c r="W20" s="1384"/>
      <c r="X20" s="1384"/>
      <c r="Y20" s="1384"/>
      <c r="Z20" s="1384"/>
      <c r="AA20" s="1384"/>
      <c r="AB20" s="1384"/>
      <c r="AC20" s="1384"/>
      <c r="AD20" s="1384"/>
      <c r="AE20" s="1384"/>
      <c r="AF20" s="1384"/>
      <c r="AG20" s="1384"/>
      <c r="AH20" s="1384"/>
      <c r="AI20" s="1384"/>
      <c r="AJ20" s="1384"/>
      <c r="AK20" s="1384"/>
      <c r="AL20" s="1384"/>
      <c r="AM20" s="975"/>
      <c r="AN20" s="1385" t="s">
        <v>1053</v>
      </c>
      <c r="AO20" s="1386"/>
      <c r="AP20" s="1386"/>
      <c r="AQ20" s="1386"/>
      <c r="AR20" s="1386"/>
      <c r="AS20" s="1386"/>
      <c r="AT20" s="1386"/>
      <c r="AU20" s="1386"/>
      <c r="AV20" s="1386"/>
      <c r="AW20" s="1386"/>
      <c r="AX20" s="1386"/>
      <c r="AY20" s="1386"/>
      <c r="AZ20" s="1386"/>
      <c r="BA20" s="1386"/>
      <c r="BB20" s="1386"/>
      <c r="BC20" s="1386"/>
      <c r="BD20" s="1386"/>
      <c r="BE20" s="1386"/>
      <c r="BF20" s="1386"/>
      <c r="BG20" s="1386"/>
      <c r="BH20" s="1386"/>
      <c r="BI20" s="1386"/>
      <c r="BJ20" s="1387"/>
      <c r="BL20" s="1384" t="s">
        <v>1054</v>
      </c>
      <c r="BM20" s="1384"/>
      <c r="BN20" s="1384"/>
      <c r="BO20" s="1384"/>
      <c r="BP20" s="1384"/>
      <c r="BQ20" s="1384"/>
      <c r="BR20" s="1384"/>
      <c r="BS20" s="1384"/>
      <c r="BT20" s="1384"/>
      <c r="BU20" s="1384"/>
      <c r="BV20" s="1384"/>
      <c r="BW20" s="1384"/>
      <c r="BX20" s="1384"/>
      <c r="BY20" s="1384"/>
      <c r="BZ20" s="1384"/>
      <c r="CA20" s="1384"/>
      <c r="CB20" s="1384"/>
      <c r="CC20" s="1384"/>
      <c r="CD20" s="1384"/>
      <c r="CE20" s="1384"/>
      <c r="CF20" s="1384"/>
      <c r="CG20" s="1384"/>
      <c r="CH20" s="1384"/>
    </row>
    <row r="21" spans="1:113" ht="15.75" customHeight="1" x14ac:dyDescent="0.35">
      <c r="A21" s="1381"/>
      <c r="B21" s="1298" t="s">
        <v>778</v>
      </c>
      <c r="C21" s="1065"/>
      <c r="D21" s="1065"/>
      <c r="E21" s="1065"/>
      <c r="F21" s="1065"/>
      <c r="G21" s="1065"/>
      <c r="H21" s="1065"/>
      <c r="I21" s="1065"/>
      <c r="J21" s="1065"/>
      <c r="K21" s="1065"/>
      <c r="L21" s="1065"/>
      <c r="M21" s="1065"/>
      <c r="N21" s="1076"/>
      <c r="P21" s="976">
        <f>IF(C21=$B$46,IF(C$34&gt;8,IF(C$34&lt;31,IF(C20=20,1/16,IF(C20=40,0.75/8,IF(C20=60,1/8,IF(C20&gt;80,1/8,0)))))))*C$35</f>
        <v>0</v>
      </c>
      <c r="Q21" s="976"/>
      <c r="R21" s="976">
        <f>IF(D21=$B$46,IF(D$34&gt;8,IF(D$34&lt;31,IF(D20=20,1/16,IF(D20=40,0.75/8,IF(D20=60,1/8,IF(D20&gt;80,1/8,0)))))))*D$35</f>
        <v>0</v>
      </c>
      <c r="S21" s="976"/>
      <c r="T21" s="976">
        <f>IF(E21=$B$46,IF(E$34&gt;8,IF(E$34&lt;31,IF(E20=20,1/16,IF(E20=40,0.75/8,IF(E20=60,1/8,IF(E20&gt;80,1/8,0)))))))*E$35</f>
        <v>0</v>
      </c>
      <c r="U21" s="976"/>
      <c r="V21" s="976">
        <f>IF(F21=$B$46,IF(F$34&gt;8,IF(F$34&lt;31,IF(F20=20,1/16,IF(F20=40,0.75/8,IF(F20=60,1/8,IF(F20&gt;80,1/8,0)))))))*F$35</f>
        <v>0</v>
      </c>
      <c r="W21" s="976"/>
      <c r="X21" s="976">
        <f>IF(G21=$B$46,IF(G$34&gt;8,IF(G$34&lt;31,IF(G20=20,1/16,IF(G20=40,0.75/8,IF(G20=60,1/8,IF(G20&gt;80,1/8,0)))))))*G$35</f>
        <v>0</v>
      </c>
      <c r="Y21" s="976"/>
      <c r="Z21" s="976">
        <f>IF(H21=$B$46,IF(H$34&gt;8,IF(H$34&lt;31,IF(H20=20,1/16,IF(H20=40,0.75/8,IF(H20=60,1/8,IF(H20&gt;80,1/8,0)))))))*H$35</f>
        <v>0</v>
      </c>
      <c r="AA21" s="976"/>
      <c r="AB21" s="976">
        <f>IF(I21=$B$46,IF(I$34&gt;8,IF(I$34&lt;31,IF(I20=20,1/16,IF(I20=40,0.75/8,IF(I20=60,1/8,IF(I20&gt;80,1/8,0)))))))*I$35</f>
        <v>0</v>
      </c>
      <c r="AC21" s="976"/>
      <c r="AD21" s="976">
        <f>IF(J21=$B$46,IF(J$34&gt;8,IF(J$34&lt;31,IF(J20=20,1/16,IF(J20=40,0.75/8,IF(J20=60,1/8,IF(J20&gt;80,1/8,0)))))))*J$35</f>
        <v>0</v>
      </c>
      <c r="AE21" s="976"/>
      <c r="AF21" s="976">
        <f>IF(K21=$B$46,IF(K$34&gt;8,IF(K$34&lt;31,IF(K20=20,1/16,IF(K20=40,0.75/8,IF(K20=60,1/8,IF(K20&gt;80,1/8,0)))))))*K$35</f>
        <v>0</v>
      </c>
      <c r="AG21" s="976"/>
      <c r="AH21" s="976">
        <f>IF(L21=$B$46,IF(L$34&gt;8,IF(L$34&lt;31,IF(L20=20,1/16,IF(L20=40,0.75/8,IF(L20=60,1/8,IF(L20&gt;80,1/8,0)))))))*L$35</f>
        <v>0</v>
      </c>
      <c r="AI21" s="976"/>
      <c r="AJ21" s="976">
        <f>IF(M21=$B$46,IF(M$34&gt;8,IF(M$34&lt;31,IF(M20=20,1/16,IF(M20=40,0.75/8,IF(M20=60,1/8,IF(M20&gt;80,1/8,0)))))))*M$35</f>
        <v>0</v>
      </c>
      <c r="AK21" s="976"/>
      <c r="AL21" s="976">
        <f>IF(N21=$B$46,IF(N$34&gt;8,IF(N$34&lt;31,IF(N20=20,1/16,IF(N20=40,0.75/8,IF(N20=60,1/8,IF(N20&gt;80,1/8,0)))))))*N$35</f>
        <v>0</v>
      </c>
      <c r="AN21" s="976">
        <f>IF(C21=$B$46,IF(C$34&gt;30,IF(C$34&lt;61,IF(C20&gt;=20,IF(C20&lt;40,1/9,IF(C20&gt;=40,IF(C20&lt;60,0.75/4,IF(C20&gt;=60,1/4,0))))))))*C$35</f>
        <v>0</v>
      </c>
      <c r="AO21" s="976"/>
      <c r="AP21" s="976">
        <f>IF(D21=$B$46,IF(D$34&gt;30,IF(D$34&lt;61,IF(D20&gt;=20,IF(D20&lt;40,1/9,IF(D20&gt;=40,IF(D20&lt;60,0.75/4,IF(D20&gt;=60,1/4,0))))))))*D$35</f>
        <v>0</v>
      </c>
      <c r="AQ21" s="976"/>
      <c r="AR21" s="976">
        <f>IF(E21=$B$46,IF(E$34&gt;30,IF(E$34&lt;61,IF(E20&gt;=20,IF(E20&lt;40,1/9,IF(E20&gt;=40,IF(E20&lt;60,0.75/4,IF(E20&gt;=60,1/4,0))))))))*E$35</f>
        <v>0</v>
      </c>
      <c r="AS21" s="976"/>
      <c r="AT21" s="976">
        <f>IF(F21=$B$46,IF(F$34&gt;30,IF(F$34&lt;61,IF(F20&gt;=20,IF(F20&lt;40,1/9,IF(F20&gt;=40,IF(F20&lt;60,0.75/4,IF(F20&gt;=60,1/4,0))))))))*F$35</f>
        <v>0</v>
      </c>
      <c r="AU21" s="976"/>
      <c r="AV21" s="976">
        <f>IF(G21=$B$46,IF(G$34&gt;30,IF(G$34&lt;61,IF(G20&gt;=20,IF(G20&lt;40,1/9,IF(G20&gt;=40,IF(G20&lt;60,0.75/4,IF(G20&gt;=60,1/4,0))))))))*G$35</f>
        <v>0</v>
      </c>
      <c r="AW21" s="976"/>
      <c r="AX21" s="976">
        <f>IF(H21=$B$46,IF(H$34&gt;30,IF(H$34&lt;61,IF(H20&gt;=20,IF(H20&lt;40,1/9,IF(H20&gt;=40,IF(H20&lt;60,0.75/4,IF(H20&gt;=60,1/4,0))))))))*H$35</f>
        <v>0</v>
      </c>
      <c r="AY21" s="976"/>
      <c r="AZ21" s="976">
        <f>IF(I21=$B$46,IF(I$34&gt;30,IF(I$34&lt;61,IF(I20&gt;=20,IF(I20&lt;40,1/9,IF(I20&gt;=40,IF(I20&lt;60,0.75/4,IF(I20&gt;=60,1/4,0))))))))*I$35</f>
        <v>0</v>
      </c>
      <c r="BA21" s="976"/>
      <c r="BB21" s="976">
        <f>IF(J21=$B$46,IF(J$34&gt;30,IF(J$34&lt;61,IF(J20&gt;=20,IF(J20&lt;40,1/9,IF(J20&gt;=40,IF(J20&lt;60,0.75/4,IF(J20&gt;=60,1/4,0))))))))*J$35</f>
        <v>0</v>
      </c>
      <c r="BC21" s="976"/>
      <c r="BD21" s="976">
        <f>IF(K21=$B$46,IF(K$34&gt;30,IF(K$34&lt;61,IF(K20&gt;=20,IF(K20&lt;40,1/9,IF(K20&gt;=40,IF(K20&lt;60,0.75/4,IF(K20&gt;=60,1/4,0))))))))*K$35</f>
        <v>0</v>
      </c>
      <c r="BE21" s="976"/>
      <c r="BF21" s="976">
        <f>IF(L21=$B$46,IF(L$34&gt;30,IF(L$34&lt;61,IF(L20&gt;=20,IF(L20&lt;40,1/9,IF(L20&gt;=40,IF(L20&lt;60,0.75/4,IF(L20&gt;=60,1/4,0))))))))*L$35</f>
        <v>0</v>
      </c>
      <c r="BG21" s="976"/>
      <c r="BH21" s="976">
        <f>IF(M21=$B$46,IF(M$34&gt;30,IF(M$34&lt;61,IF(M20&gt;=20,IF(M20&lt;40,1/9,IF(M20&gt;=40,IF(M20&lt;60,0.75/4,IF(M20&gt;=60,1/4,0))))))))*M$35</f>
        <v>0</v>
      </c>
      <c r="BI21" s="976"/>
      <c r="BJ21" s="976">
        <f>IF(N21=$B$46,IF(N$34&gt;30,IF(N$34&lt;61,IF(N20&gt;=20,IF(N20&lt;40,1/9,IF(N20&gt;=40,IF(N20&lt;60,0.75/4,IF(N20&gt;=60,1/4,0))))))))*N$35</f>
        <v>0</v>
      </c>
      <c r="BL21" s="976">
        <f>IF(C21=$B$46,IF(C$34&gt;60,IF(C$34&lt;76,IF(C20&gt;=10,IF(C20&lt;20,1/7,IF(C20&gt;=20,IF(C20&lt;60,1/3,IF(C20&gt;=60,1/3,0))))))))*C$35</f>
        <v>0</v>
      </c>
      <c r="BM21" s="976"/>
      <c r="BN21" s="976">
        <f>IF(D21=$B$46,IF(D$34&gt;60,IF(D$34&lt;76,IF(D20&gt;=10,IF(D20&lt;20,1/7,IF(D20&gt;=20,IF(D20&lt;60,1/3,IF(D20&gt;=60,1/3,0))))))))*D$35</f>
        <v>0</v>
      </c>
      <c r="BO21" s="976"/>
      <c r="BP21" s="976">
        <f>IF(E21=$B$46,IF(E$34&gt;60,IF(E$34&lt;76,IF(E20&gt;=10,IF(E20&lt;20,1/7,IF(E20&gt;=20,IF(E20&lt;60,1/3,IF(E20&gt;=60,1/3,0))))))))*E$35</f>
        <v>0</v>
      </c>
      <c r="BQ21" s="976"/>
      <c r="BR21" s="976">
        <f>IF(F21=$B$46,IF(F$34&gt;60,IF(F$34&lt;76,IF(F20&gt;=10,IF(F20&lt;20,1/7,IF(F20&gt;=20,IF(F20&lt;60,1/3,IF(F20&gt;=60,1/3,0))))))))*F$35</f>
        <v>0</v>
      </c>
      <c r="BS21" s="976"/>
      <c r="BT21" s="976">
        <f>IF(G21=$B$46,IF(G$34&gt;60,IF(G$34&lt;76,IF(G20&gt;=10,IF(G20&lt;20,1/7,IF(G20&gt;=20,IF(G20&lt;60,1/3,IF(G20&gt;=60,1/3,0))))))))*G$35</f>
        <v>0</v>
      </c>
      <c r="BU21" s="976"/>
      <c r="BV21" s="976">
        <f>IF(H21=$B$46,IF(H$34&gt;60,IF(H$34&lt;76,IF(H20&gt;=10,IF(H20&lt;20,1/7,IF(H20&gt;=20,IF(H20&lt;60,1/3,IF(H20&gt;=60,1/3,0))))))))*H$35</f>
        <v>0</v>
      </c>
      <c r="BW21" s="976"/>
      <c r="BX21" s="976">
        <f>IF(I21=$B$46,IF(I$34&gt;60,IF(I$34&lt;76,IF(I20&gt;=10,IF(I20&lt;20,1/7,IF(I20&gt;=20,IF(I20&lt;60,1/3,IF(I20&gt;=60,1/3,0))))))))*I$35</f>
        <v>0</v>
      </c>
      <c r="BY21" s="976"/>
      <c r="BZ21" s="976">
        <f>IF(J21=$B$46,IF(J$34&gt;60,IF(J$34&lt;76,IF(J20&gt;=10,IF(J20&lt;20,1/7,IF(J20&gt;=20,IF(J20&lt;60,1/3,IF(J20&gt;=60,1/3,0))))))))*J$35</f>
        <v>0</v>
      </c>
      <c r="CA21" s="976"/>
      <c r="CB21" s="976">
        <f>IF(K21=$B$46,IF(K$34&gt;60,IF(K$34&lt;76,IF(K20&gt;=10,IF(K20&lt;20,1/7,IF(K20&gt;=20,IF(K20&lt;60,1/3,IF(K20&gt;=60,1/3,0))))))))*K$35</f>
        <v>0</v>
      </c>
      <c r="CC21" s="976"/>
      <c r="CD21" s="976">
        <f>IF(L21=$B$46,IF(L$34&gt;60,IF(L$34&lt;76,IF(L20&gt;=10,IF(L20&lt;20,1/7,IF(L20&gt;=20,IF(L20&lt;60,1/3,IF(L20&gt;=60,1/3,0))))))))*L$35</f>
        <v>0</v>
      </c>
      <c r="CE21" s="976"/>
      <c r="CF21" s="976">
        <f>IF(M21=$B$46,IF(M$34&gt;60,IF(M$34&lt;76,IF(M20&gt;=10,IF(M20&lt;20,1/7,IF(M20&gt;=20,IF(M20&lt;60,1/3,IF(M20&gt;=60,1/3,0))))))))*M$35</f>
        <v>0</v>
      </c>
      <c r="CG21" s="976"/>
      <c r="CH21" s="976">
        <f>IF(N21=$B$46,IF(N$34&gt;60,IF(N$34&lt;76,IF(N20&gt;=10,IF(N20&lt;20,1/7,IF(N20&gt;=20,IF(N20&lt;60,1/3,IF(N20&gt;=60,1/3,0))))))))*N$35</f>
        <v>0</v>
      </c>
      <c r="CK21" s="699">
        <f>IF(C$28=146,IF(C$34=60,IF(OR(C$29=$B$44,C$29=$B$45,),1,0)))*C$35</f>
        <v>0</v>
      </c>
      <c r="CM21" s="699">
        <f>IF(D$28=146,IF(D$34=60,IF(OR(D$29=$B$44,D$29=$B$45,),1,0)))*D$35</f>
        <v>0</v>
      </c>
      <c r="CO21" s="699">
        <f>IF(E$28=146,IF(E$34=60,IF(OR(E$29=$B$44,E$29=$B$45,),1,0)))*E$35</f>
        <v>0</v>
      </c>
      <c r="CQ21" s="699">
        <f>IF(F$28=146,IF(F$34=60,IF(OR(F$29=$B$44,F$29=$B$45,),1,0)))*F$35</f>
        <v>0</v>
      </c>
      <c r="CS21" s="699">
        <f>IF(G$28=146,IF(G$34=60,IF(OR(G$29=$B$44,G$29=$B$45,),1,0)))*G$35</f>
        <v>0</v>
      </c>
      <c r="CU21" s="699">
        <f>IF(H$28=146,IF(H$34=60,IF(OR(H$29=$B$44,H$29=$B$45,),1,0)))*H$35</f>
        <v>0</v>
      </c>
      <c r="CW21" s="699">
        <f>IF(I$28=146,IF(I$34=60,IF(OR(I$29=$B$44,I$29=$B$45,),1,0)))*I$35</f>
        <v>0</v>
      </c>
      <c r="CY21" s="699">
        <f>IF(J$28=146,IF(J$34=60,IF(OR(J$29=$B$44,J$29=$B$45,),1,0)))*J$35</f>
        <v>0</v>
      </c>
      <c r="DA21" s="699">
        <f>IF(K$28=146,IF(K$34=60,IF(OR(K$29=$B$44,K$29=$B$45,),1,0)))*K$35</f>
        <v>0</v>
      </c>
      <c r="DC21" s="699">
        <f>IF(L$28=146,IF(L$34=60,IF(OR(L$29=$B$44,L$29=$B$45,),1,0)))*L$35</f>
        <v>0</v>
      </c>
      <c r="DE21" s="699">
        <f>IF(M$28=146,IF(M$34=60,IF(OR(M$29=$B$44,M$29=$B$45,),1,0)))*M$35</f>
        <v>0</v>
      </c>
      <c r="DG21" s="699">
        <f>IF(N$28=146,IF(N$34=60,IF(OR(N$29=$B$44,N$29=$B$45,),1,0)))*N$35</f>
        <v>0</v>
      </c>
      <c r="DI21" s="974">
        <f>SUM(CK21:DG21)</f>
        <v>0</v>
      </c>
    </row>
    <row r="22" spans="1:113" ht="15.75" customHeight="1" x14ac:dyDescent="0.35">
      <c r="A22" s="1380" t="s">
        <v>1135</v>
      </c>
      <c r="B22" s="1297" t="s">
        <v>10</v>
      </c>
      <c r="C22" s="1058"/>
      <c r="D22" s="1058"/>
      <c r="E22" s="1058"/>
      <c r="F22" s="1058"/>
      <c r="G22" s="1058"/>
      <c r="H22" s="1058"/>
      <c r="I22" s="1058"/>
      <c r="J22" s="1058"/>
      <c r="K22" s="1058"/>
      <c r="L22" s="1058"/>
      <c r="M22" s="1058"/>
      <c r="N22" s="1075"/>
      <c r="P22" s="976"/>
      <c r="Q22" s="976"/>
      <c r="R22" s="976"/>
      <c r="S22" s="976"/>
      <c r="T22" s="976"/>
      <c r="U22" s="976"/>
      <c r="V22" s="976"/>
      <c r="W22" s="976"/>
      <c r="X22" s="976"/>
      <c r="Y22" s="976"/>
      <c r="Z22" s="976"/>
      <c r="AA22" s="976"/>
      <c r="AB22" s="976"/>
      <c r="AC22" s="976"/>
      <c r="AD22" s="976"/>
      <c r="AE22" s="976"/>
      <c r="AF22" s="976"/>
      <c r="AG22" s="976"/>
      <c r="AH22" s="976"/>
      <c r="AI22" s="976"/>
      <c r="AJ22" s="976"/>
      <c r="AK22" s="976"/>
      <c r="AL22" s="976"/>
      <c r="AN22" s="976"/>
      <c r="AO22" s="976"/>
      <c r="AP22" s="976"/>
      <c r="AQ22" s="976"/>
      <c r="AR22" s="976"/>
      <c r="AS22" s="976"/>
      <c r="AT22" s="976"/>
      <c r="AU22" s="976"/>
      <c r="AV22" s="976"/>
      <c r="AW22" s="976"/>
      <c r="AX22" s="976"/>
      <c r="AY22" s="976"/>
      <c r="AZ22" s="976"/>
      <c r="BA22" s="976"/>
      <c r="BB22" s="976"/>
      <c r="BC22" s="976"/>
      <c r="BD22" s="976"/>
      <c r="BE22" s="976"/>
      <c r="BF22" s="976"/>
      <c r="BG22" s="976"/>
      <c r="BH22" s="976"/>
      <c r="BI22" s="976"/>
      <c r="BJ22" s="976"/>
      <c r="BL22" s="976"/>
      <c r="BM22" s="976"/>
      <c r="BN22" s="976"/>
      <c r="BO22" s="976"/>
      <c r="BP22" s="976"/>
      <c r="BQ22" s="976"/>
      <c r="BR22" s="976"/>
      <c r="BS22" s="976"/>
      <c r="BT22" s="976"/>
      <c r="BU22" s="976"/>
      <c r="BV22" s="976"/>
      <c r="BW22" s="976"/>
      <c r="BX22" s="976"/>
      <c r="BY22" s="976"/>
      <c r="BZ22" s="976"/>
      <c r="CA22" s="976"/>
      <c r="CB22" s="976"/>
      <c r="CC22" s="976"/>
      <c r="CD22" s="976"/>
      <c r="CE22" s="976"/>
      <c r="CF22" s="976"/>
      <c r="CG22" s="976"/>
      <c r="CH22" s="976"/>
    </row>
    <row r="23" spans="1:113" ht="15.75" customHeight="1" x14ac:dyDescent="0.35">
      <c r="A23" s="1381"/>
      <c r="B23" s="1298" t="s">
        <v>778</v>
      </c>
      <c r="C23" s="1065"/>
      <c r="D23" s="1065"/>
      <c r="E23" s="1065"/>
      <c r="F23" s="1065"/>
      <c r="G23" s="1065"/>
      <c r="H23" s="1065"/>
      <c r="I23" s="1065"/>
      <c r="J23" s="1065"/>
      <c r="K23" s="1065"/>
      <c r="L23" s="1065"/>
      <c r="M23" s="1065"/>
      <c r="N23" s="1076"/>
      <c r="P23" s="976">
        <f>IF(C23=$B$46,IF(C$34&gt;8,IF(C$34&lt;31,IF(C22=20,1/16,IF(C22=40,0.75/8,IF(C22=60,1/8,IF(C22&gt;80,1/8,0)))))))*C$35</f>
        <v>0</v>
      </c>
      <c r="Q23" s="976"/>
      <c r="R23" s="976">
        <f>IF(D23=$B$46,IF(D$34&gt;8,IF(D$34&lt;31,IF(D22=20,1/16,IF(D22=40,0.75/8,IF(D22=60,1/8,IF(D22&gt;80,1/8,0)))))))*D$35</f>
        <v>0</v>
      </c>
      <c r="S23" s="976"/>
      <c r="T23" s="976">
        <f>IF(E23=$B$46,IF(E$34&gt;8,IF(E$34&lt;31,IF(E22=20,1/16,IF(E22=40,0.75/8,IF(E22=60,1/8,IF(E22&gt;80,1/8,0)))))))*E$35</f>
        <v>0</v>
      </c>
      <c r="U23" s="976"/>
      <c r="V23" s="976">
        <f>IF(F23=$B$46,IF(F$34&gt;8,IF(F$34&lt;31,IF(F22=20,1/16,IF(F22=40,0.75/8,IF(F22=60,1/8,IF(F22&gt;80,1/8,0)))))))*F$35</f>
        <v>0</v>
      </c>
      <c r="W23" s="976"/>
      <c r="X23" s="976">
        <f>IF(G23=$B$46,IF(G$34&gt;8,IF(G$34&lt;31,IF(G22=20,1/16,IF(G22=40,0.75/8,IF(G22=60,1/8,IF(G22&gt;80,1/8,0)))))))*G$35</f>
        <v>0</v>
      </c>
      <c r="Y23" s="976"/>
      <c r="Z23" s="976">
        <f>IF(H23=$B$46,IF(H$34&gt;8,IF(H$34&lt;31,IF(H22=20,1/16,IF(H22=40,0.75/8,IF(H22=60,1/8,IF(H22&gt;80,1/8,0)))))))*H$35</f>
        <v>0</v>
      </c>
      <c r="AA23" s="976"/>
      <c r="AB23" s="976">
        <f>IF(I23=$B$46,IF(I$34&gt;8,IF(I$34&lt;31,IF(I22=20,1/16,IF(I22=40,0.75/8,IF(I22=60,1/8,IF(I22&gt;80,1/8,0)))))))*I$35</f>
        <v>0</v>
      </c>
      <c r="AC23" s="976"/>
      <c r="AD23" s="976">
        <f>IF(J23=$B$46,IF(J$34&gt;8,IF(J$34&lt;31,IF(J22=20,1/16,IF(J22=40,0.75/8,IF(J22=60,1/8,IF(J22&gt;80,1/8,0)))))))*J$35</f>
        <v>0</v>
      </c>
      <c r="AE23" s="976"/>
      <c r="AF23" s="976">
        <f>IF(K23=$B$46,IF(K$34&gt;8,IF(K$34&lt;31,IF(K22=20,1/16,IF(K22=40,0.75/8,IF(K22=60,1/8,IF(K22&gt;80,1/8,0)))))))*K$35</f>
        <v>0</v>
      </c>
      <c r="AG23" s="976"/>
      <c r="AH23" s="976">
        <f>IF(L23=$B$46,IF(L$34&gt;8,IF(L$34&lt;31,IF(L22=20,1/16,IF(L22=40,0.75/8,IF(L22=60,1/8,IF(L22&gt;80,1/8,0)))))))*L$35</f>
        <v>0</v>
      </c>
      <c r="AI23" s="976"/>
      <c r="AJ23" s="976">
        <f>IF(M23=$B$46,IF(M$34&gt;8,IF(M$34&lt;31,IF(M22=20,1/16,IF(M22=40,0.75/8,IF(M22=60,1/8,IF(M22&gt;80,1/8,0)))))))*M$35</f>
        <v>0</v>
      </c>
      <c r="AK23" s="976"/>
      <c r="AL23" s="976">
        <f>IF(N23=$B$46,IF(N$34&gt;8,IF(N$34&lt;31,IF(N22=20,1/16,IF(N22=40,0.75/8,IF(N22=60,1/8,IF(N22&gt;80,1/8,0)))))))*N$35</f>
        <v>0</v>
      </c>
      <c r="AN23" s="976">
        <f>IF(C23=$B$46,IF(C$34&gt;30,IF(C$34&lt;61,IF(C22&gt;=20,IF(C22&lt;40,1/9,IF(C22&gt;=40,IF(C22&lt;60,0.75/4,IF(C22&gt;=60,1/4,0))))))))*C$35</f>
        <v>0</v>
      </c>
      <c r="AO23" s="976"/>
      <c r="AP23" s="976">
        <f>IF(D23=$B$46,IF(D$34&gt;30,IF(D$34&lt;61,IF(D22&gt;=20,IF(D22&lt;40,1/9,IF(D22&gt;=40,IF(D22&lt;60,0.75/4,IF(D22&gt;=60,1/4,0))))))))*D$35</f>
        <v>0</v>
      </c>
      <c r="AQ23" s="976"/>
      <c r="AR23" s="976">
        <f>IF(E23=$B$46,IF(E$34&gt;30,IF(E$34&lt;61,IF(E22&gt;=20,IF(E22&lt;40,1/9,IF(E22&gt;=40,IF(E22&lt;60,0.75/4,IF(E22&gt;=60,1/4,0))))))))*E$35</f>
        <v>0</v>
      </c>
      <c r="AS23" s="976"/>
      <c r="AT23" s="976">
        <f>IF(F23=$B$46,IF(F$34&gt;30,IF(F$34&lt;61,IF(F22&gt;=20,IF(F22&lt;40,1/9,IF(F22&gt;=40,IF(F22&lt;60,0.75/4,IF(F22&gt;=60,1/4,0))))))))*F$35</f>
        <v>0</v>
      </c>
      <c r="AU23" s="976"/>
      <c r="AV23" s="976">
        <f>IF(G23=$B$46,IF(G$34&gt;30,IF(G$34&lt;61,IF(G22&gt;=20,IF(G22&lt;40,1/9,IF(G22&gt;=40,IF(G22&lt;60,0.75/4,IF(G22&gt;=60,1/4,0))))))))*G$35</f>
        <v>0</v>
      </c>
      <c r="AW23" s="976"/>
      <c r="AX23" s="976">
        <f>IF(H23=$B$46,IF(H$34&gt;30,IF(H$34&lt;61,IF(H22&gt;=20,IF(H22&lt;40,1/9,IF(H22&gt;=40,IF(H22&lt;60,0.75/4,IF(H22&gt;=60,1/4,0))))))))*H$35</f>
        <v>0</v>
      </c>
      <c r="AY23" s="976"/>
      <c r="AZ23" s="976">
        <f>IF(I23=$B$46,IF(I$34&gt;30,IF(I$34&lt;61,IF(I22&gt;=20,IF(I22&lt;40,1/9,IF(I22&gt;=40,IF(I22&lt;60,0.75/4,IF(I22&gt;=60,1/4,0))))))))*I$35</f>
        <v>0</v>
      </c>
      <c r="BA23" s="976"/>
      <c r="BB23" s="976">
        <f>IF(J23=$B$46,IF(J$34&gt;30,IF(J$34&lt;61,IF(J22&gt;=20,IF(J22&lt;40,1/9,IF(J22&gt;=40,IF(J22&lt;60,0.75/4,IF(J22&gt;=60,1/4,0))))))))*J$35</f>
        <v>0</v>
      </c>
      <c r="BC23" s="976"/>
      <c r="BD23" s="976">
        <f>IF(K23=$B$46,IF(K$34&gt;30,IF(K$34&lt;61,IF(K22&gt;=20,IF(K22&lt;40,1/9,IF(K22&gt;=40,IF(K22&lt;60,0.75/4,IF(K22&gt;=60,1/4,0))))))))*K$35</f>
        <v>0</v>
      </c>
      <c r="BE23" s="976"/>
      <c r="BF23" s="976">
        <f>IF(L23=$B$46,IF(L$34&gt;30,IF(L$34&lt;61,IF(L22&gt;=20,IF(L22&lt;40,1/9,IF(L22&gt;=40,IF(L22&lt;60,0.75/4,IF(L22&gt;=60,1/4,0))))))))*L$35</f>
        <v>0</v>
      </c>
      <c r="BG23" s="976"/>
      <c r="BH23" s="976">
        <f>IF(M23=$B$46,IF(M$34&gt;30,IF(M$34&lt;61,IF(M22&gt;=20,IF(M22&lt;40,1/9,IF(M22&gt;=40,IF(M22&lt;60,0.75/4,IF(M22&gt;=60,1/4,0))))))))*M$35</f>
        <v>0</v>
      </c>
      <c r="BI23" s="976"/>
      <c r="BJ23" s="976">
        <f>IF(N23=$B$46,IF(N$34&gt;30,IF(N$34&lt;61,IF(N22&gt;=20,IF(N22&lt;40,1/9,IF(N22&gt;=40,IF(N22&lt;60,0.75/4,IF(N22&gt;=60,1/4,0))))))))*N$35</f>
        <v>0</v>
      </c>
      <c r="BL23" s="976">
        <f>IF(C23=$B$46,IF(C$34&gt;60,IF(C$34&lt;76,IF(C22&gt;=10,IF(C22&lt;20,1/7,IF(C22&gt;=20,IF(C22&lt;60,1/3,IF(C22&gt;=60,1/3,0))))))))*C$35</f>
        <v>0</v>
      </c>
      <c r="BM23" s="976"/>
      <c r="BN23" s="976">
        <f>IF(D23=$B$46,IF(D$34&gt;60,IF(D$34&lt;76,IF(D22&gt;=10,IF(D22&lt;20,1/7,IF(D22&gt;=20,IF(D22&lt;60,1/3,IF(D22&gt;=60,1/3,0))))))))*D$35</f>
        <v>0</v>
      </c>
      <c r="BO23" s="976"/>
      <c r="BP23" s="976">
        <f>IF(E23=$B$46,IF(E$34&gt;60,IF(E$34&lt;76,IF(E22&gt;=10,IF(E22&lt;20,1/7,IF(E22&gt;=20,IF(E22&lt;60,1/3,IF(E22&gt;=60,1/3,0))))))))*E$35</f>
        <v>0</v>
      </c>
      <c r="BQ23" s="976"/>
      <c r="BR23" s="976">
        <f>IF(F23=$B$46,IF(F$34&gt;60,IF(F$34&lt;76,IF(F22&gt;=10,IF(F22&lt;20,1/7,IF(F22&gt;=20,IF(F22&lt;60,1/3,IF(F22&gt;=60,1/3,0))))))))*F$35</f>
        <v>0</v>
      </c>
      <c r="BS23" s="976"/>
      <c r="BT23" s="976">
        <f>IF(G23=$B$46,IF(G$34&gt;60,IF(G$34&lt;76,IF(G22&gt;=10,IF(G22&lt;20,1/7,IF(G22&gt;=20,IF(G22&lt;60,1/3,IF(G22&gt;=60,1/3,0))))))))*G$35</f>
        <v>0</v>
      </c>
      <c r="BU23" s="976"/>
      <c r="BV23" s="976">
        <f>IF(H23=$B$46,IF(H$34&gt;60,IF(H$34&lt;76,IF(H22&gt;=10,IF(H22&lt;20,1/7,IF(H22&gt;=20,IF(H22&lt;60,1/3,IF(H22&gt;=60,1/3,0))))))))*H$35</f>
        <v>0</v>
      </c>
      <c r="BW23" s="976"/>
      <c r="BX23" s="976">
        <f>IF(I23=$B$46,IF(I$34&gt;60,IF(I$34&lt;76,IF(I22&gt;=10,IF(I22&lt;20,1/7,IF(I22&gt;=20,IF(I22&lt;60,1/3,IF(I22&gt;=60,1/3,0))))))))*I$35</f>
        <v>0</v>
      </c>
      <c r="BY23" s="976"/>
      <c r="BZ23" s="976">
        <f>IF(J23=$B$46,IF(J$34&gt;60,IF(J$34&lt;76,IF(J22&gt;=10,IF(J22&lt;20,1/7,IF(J22&gt;=20,IF(J22&lt;60,1/3,IF(J22&gt;=60,1/3,0))))))))*J$35</f>
        <v>0</v>
      </c>
      <c r="CA23" s="976"/>
      <c r="CB23" s="976">
        <f>IF(K23=$B$46,IF(K$34&gt;60,IF(K$34&lt;76,IF(K22&gt;=10,IF(K22&lt;20,1/7,IF(K22&gt;=20,IF(K22&lt;60,1/3,IF(K22&gt;=60,1/3,0))))))))*K$35</f>
        <v>0</v>
      </c>
      <c r="CC23" s="976"/>
      <c r="CD23" s="976">
        <f>IF(L23=$B$46,IF(L$34&gt;60,IF(L$34&lt;76,IF(L22&gt;=10,IF(L22&lt;20,1/7,IF(L22&gt;=20,IF(L22&lt;60,1/3,IF(L22&gt;=60,1/3,0))))))))*L$35</f>
        <v>0</v>
      </c>
      <c r="CE23" s="976"/>
      <c r="CF23" s="976">
        <f>IF(M23=$B$46,IF(M$34&gt;60,IF(M$34&lt;76,IF(M22&gt;=10,IF(M22&lt;20,1/7,IF(M22&gt;=20,IF(M22&lt;60,1/3,IF(M22&gt;=60,1/3,0))))))))*M$35</f>
        <v>0</v>
      </c>
      <c r="CG23" s="976"/>
      <c r="CH23" s="976">
        <f>IF(N23=$B$46,IF(N$34&gt;60,IF(N$34&lt;76,IF(N22&gt;=10,IF(N22&lt;20,1/7,IF(N22&gt;=20,IF(N22&lt;60,1/3,IF(N22&gt;=60,1/3,0))))))))*N$35</f>
        <v>0</v>
      </c>
      <c r="CK23" s="699">
        <f>IF(C$28=146,IF(C$34=75,IF(OR(C$29=$B$44,C$29=$B$45,),1,0)))*C$35</f>
        <v>0</v>
      </c>
      <c r="CM23" s="699">
        <f>IF(D$28=146,IF(D$34=75,IF(OR(D$29=$B$44,D$29=$B$45,),1,0)))*D$35</f>
        <v>0</v>
      </c>
      <c r="CO23" s="699">
        <f>IF(E$28=146,IF(E$34=75,IF(OR(E$29=$B$44,E$29=$B$45,),1,0)))*E$35</f>
        <v>0</v>
      </c>
      <c r="CQ23" s="699">
        <f>IF(F$28=146,IF(F$34=75,IF(OR(F$29=$B$44,F$29=$B$45,),1,0)))*F$35</f>
        <v>0</v>
      </c>
      <c r="CS23" s="699">
        <f>IF(G$28=146,IF(G$34=75,IF(OR(G$29=$B$44,G$29=$B$45,),1,0)))*G$35</f>
        <v>0</v>
      </c>
      <c r="CU23" s="699">
        <f>IF(H$28=146,IF(H$34=75,IF(OR(H$29=$B$44,H$29=$B$45,),1,0)))*H$35</f>
        <v>0</v>
      </c>
      <c r="CW23" s="699">
        <f>IF(I$28=146,IF(I$34=75,IF(OR(I$29=$B$44,I$29=$B$45,),1,0)))*I$35</f>
        <v>0</v>
      </c>
      <c r="CY23" s="699">
        <f>IF(J$28=146,IF(J$34=75,IF(OR(J$29=$B$44,J$29=$B$45,),1,0)))*J$35</f>
        <v>0</v>
      </c>
      <c r="DA23" s="699">
        <f>IF(K$28=146,IF(K$34=75,IF(OR(K$29=$B$44,K$29=$B$45,),1,0)))*K$35</f>
        <v>0</v>
      </c>
      <c r="DC23" s="699">
        <f>IF(L$28=146,IF(L$34=75,IF(OR(L$29=$B$44,L$29=$B$45,),1,0)))*L$35</f>
        <v>0</v>
      </c>
      <c r="DE23" s="699">
        <f>IF(M$28=146,IF(M$34=75,IF(OR(M$29=$B$44,M$29=$B$45,),1,0)))*M$35</f>
        <v>0</v>
      </c>
      <c r="DG23" s="699">
        <f>IF(N$28=146,IF(N$34=75,IF(OR(N$29=$B$44,N$29=$B$45,),1,0)))*N$35</f>
        <v>0</v>
      </c>
      <c r="DI23" s="974">
        <f>SUM(CK23:DG23)</f>
        <v>0</v>
      </c>
    </row>
    <row r="24" spans="1:113" ht="15.75" customHeight="1" x14ac:dyDescent="0.35">
      <c r="A24" s="1380" t="s">
        <v>1136</v>
      </c>
      <c r="B24" s="1297" t="s">
        <v>10</v>
      </c>
      <c r="C24" s="1058"/>
      <c r="D24" s="1058"/>
      <c r="E24" s="1058"/>
      <c r="F24" s="1058"/>
      <c r="G24" s="1058"/>
      <c r="H24" s="1058"/>
      <c r="I24" s="1058"/>
      <c r="J24" s="1058"/>
      <c r="K24" s="1058"/>
      <c r="L24" s="1058"/>
      <c r="M24" s="1058"/>
      <c r="N24" s="1075"/>
      <c r="P24" s="976"/>
      <c r="Q24" s="976"/>
      <c r="R24" s="976"/>
      <c r="S24" s="976"/>
      <c r="T24" s="976"/>
      <c r="U24" s="976"/>
      <c r="V24" s="976"/>
      <c r="W24" s="976"/>
      <c r="X24" s="976"/>
      <c r="Y24" s="976"/>
      <c r="Z24" s="976"/>
      <c r="AA24" s="976"/>
      <c r="AB24" s="976"/>
      <c r="AC24" s="976"/>
      <c r="AD24" s="976"/>
      <c r="AE24" s="976"/>
      <c r="AF24" s="976"/>
      <c r="AG24" s="976"/>
      <c r="AH24" s="976"/>
      <c r="AI24" s="976"/>
      <c r="AJ24" s="976"/>
      <c r="AK24" s="976"/>
      <c r="AL24" s="976"/>
      <c r="AN24" s="976"/>
      <c r="AO24" s="976"/>
      <c r="AP24" s="976"/>
      <c r="AQ24" s="976"/>
      <c r="AR24" s="976"/>
      <c r="AS24" s="976"/>
      <c r="AT24" s="976"/>
      <c r="AU24" s="976"/>
      <c r="AV24" s="976"/>
      <c r="AW24" s="976"/>
      <c r="AX24" s="976"/>
      <c r="AY24" s="976"/>
      <c r="AZ24" s="976"/>
      <c r="BA24" s="976"/>
      <c r="BB24" s="976"/>
      <c r="BC24" s="976"/>
      <c r="BD24" s="976"/>
      <c r="BE24" s="976"/>
      <c r="BF24" s="976"/>
      <c r="BG24" s="976"/>
      <c r="BH24" s="976"/>
      <c r="BI24" s="976"/>
      <c r="BJ24" s="976"/>
      <c r="BL24" s="976"/>
      <c r="BM24" s="976"/>
      <c r="BN24" s="976"/>
      <c r="BO24" s="976"/>
      <c r="BP24" s="976"/>
      <c r="BQ24" s="976"/>
      <c r="BR24" s="976"/>
      <c r="BS24" s="976"/>
      <c r="BT24" s="976"/>
      <c r="BU24" s="976"/>
      <c r="BV24" s="976"/>
      <c r="BW24" s="976"/>
      <c r="BX24" s="976"/>
      <c r="BY24" s="976"/>
      <c r="BZ24" s="976"/>
      <c r="CA24" s="976"/>
      <c r="CB24" s="976"/>
      <c r="CC24" s="976"/>
      <c r="CD24" s="976"/>
      <c r="CE24" s="976"/>
      <c r="CF24" s="976"/>
      <c r="CG24" s="976"/>
      <c r="CH24" s="976"/>
    </row>
    <row r="25" spans="1:113" ht="15.75" customHeight="1" x14ac:dyDescent="0.35">
      <c r="A25" s="1381"/>
      <c r="B25" s="1298" t="s">
        <v>778</v>
      </c>
      <c r="C25" s="1065"/>
      <c r="D25" s="1065"/>
      <c r="E25" s="1065"/>
      <c r="F25" s="1065"/>
      <c r="G25" s="1065"/>
      <c r="H25" s="1065"/>
      <c r="I25" s="1065"/>
      <c r="J25" s="1065"/>
      <c r="K25" s="1065"/>
      <c r="L25" s="1065"/>
      <c r="M25" s="1065"/>
      <c r="N25" s="1076"/>
      <c r="P25" s="976">
        <f>IF(C25=$B$46,IF(C$34&gt;8,IF(C$34&lt;31,IF(C24=20,1/16,IF(C24=40,0.75/8,IF(C24=60,1/8,IF(C24&gt;80,1/8,0)))))))*C$35</f>
        <v>0</v>
      </c>
      <c r="Q25" s="976"/>
      <c r="R25" s="976">
        <f>IF(D25=$B$46,IF(D$34&gt;8,IF(D$34&lt;31,IF(D24=20,1/16,IF(D24=40,0.75/8,IF(D24=60,1/8,IF(D24&gt;80,1/8,0)))))))*D$35</f>
        <v>0</v>
      </c>
      <c r="S25" s="976"/>
      <c r="T25" s="976">
        <f>IF(E25=$B$46,IF(E$34&gt;8,IF(E$34&lt;31,IF(E24=20,1/16,IF(E24=40,0.75/8,IF(E24=60,1/8,IF(E24&gt;80,1/8,0)))))))*E$35</f>
        <v>0</v>
      </c>
      <c r="U25" s="976"/>
      <c r="V25" s="976">
        <f>IF(F25=$B$46,IF(F$34&gt;8,IF(F$34&lt;31,IF(F24=20,1/16,IF(F24=40,0.75/8,IF(F24=60,1/8,IF(F24&gt;80,1/8,0)))))))*F$35</f>
        <v>0</v>
      </c>
      <c r="W25" s="976"/>
      <c r="X25" s="976">
        <f>IF(G25=$B$46,IF(G$34&gt;8,IF(G$34&lt;31,IF(G24=20,1/16,IF(G24=40,0.75/8,IF(G24=60,1/8,IF(G24&gt;80,1/8,0)))))))*G$35</f>
        <v>0</v>
      </c>
      <c r="Y25" s="976"/>
      <c r="Z25" s="976">
        <f>IF(H25=$B$46,IF(H$34&gt;8,IF(H$34&lt;31,IF(H24=20,1/16,IF(H24=40,0.75/8,IF(H24=60,1/8,IF(H24&gt;80,1/8,0)))))))*H$35</f>
        <v>0</v>
      </c>
      <c r="AA25" s="976"/>
      <c r="AB25" s="976">
        <f>IF(I25=$B$46,IF(I$34&gt;8,IF(I$34&lt;31,IF(I24=20,1/16,IF(I24=40,0.75/8,IF(I24=60,1/8,IF(I24&gt;80,1/8,0)))))))*I$35</f>
        <v>0</v>
      </c>
      <c r="AC25" s="976"/>
      <c r="AD25" s="976">
        <f>IF(J25=$B$46,IF(J$34&gt;8,IF(J$34&lt;31,IF(J24=20,1/16,IF(J24=40,0.75/8,IF(J24=60,1/8,IF(J24&gt;80,1/8,0)))))))*J$35</f>
        <v>0</v>
      </c>
      <c r="AE25" s="976"/>
      <c r="AF25" s="976">
        <f>IF(K25=$B$46,IF(K$34&gt;8,IF(K$34&lt;31,IF(K24=20,1/16,IF(K24=40,0.75/8,IF(K24=60,1/8,IF(K24&gt;80,1/8,0)))))))*K$35</f>
        <v>0</v>
      </c>
      <c r="AG25" s="976"/>
      <c r="AH25" s="976">
        <f>IF(L25=$B$46,IF(L$34&gt;8,IF(L$34&lt;31,IF(L24=20,1/16,IF(L24=40,0.75/8,IF(L24=60,1/8,IF(L24&gt;80,1/8,0)))))))*L$35</f>
        <v>0</v>
      </c>
      <c r="AI25" s="976"/>
      <c r="AJ25" s="976">
        <f>IF(M25=$B$46,IF(M$34&gt;8,IF(M$34&lt;31,IF(M24=20,1/16,IF(M24=40,0.75/8,IF(M24=60,1/8,IF(M24&gt;80,1/8,0)))))))*M$35</f>
        <v>0</v>
      </c>
      <c r="AK25" s="976"/>
      <c r="AL25" s="976">
        <f>IF(N25=$B$46,IF(N$34&gt;8,IF(N$34&lt;31,IF(N24=20,1/16,IF(N24=40,0.75/8,IF(N24=60,1/8,IF(N24&gt;80,1/8,0)))))))*N$35</f>
        <v>0</v>
      </c>
      <c r="AN25" s="976">
        <f>IF(C25=$B$46,IF(C$34&gt;30,IF(C$34&lt;61,IF(C24&gt;=20,IF(C24&lt;40,1/9,IF(C24&gt;=40,IF(C24&lt;60,0.75/4,IF(C24&gt;=60,1/4,0))))))))*C$35</f>
        <v>0</v>
      </c>
      <c r="AO25" s="976"/>
      <c r="AP25" s="976">
        <f>IF(D25=$B$46,IF(D$34&gt;30,IF(D$34&lt;61,IF(D24&gt;=20,IF(D24&lt;40,1/9,IF(D24&gt;=40,IF(D24&lt;60,0.75/4,IF(D24&gt;=60,1/4,0))))))))*D$35</f>
        <v>0</v>
      </c>
      <c r="AQ25" s="976"/>
      <c r="AR25" s="976">
        <f>IF(E25=$B$46,IF(E$34&gt;30,IF(E$34&lt;61,IF(E24&gt;=20,IF(E24&lt;40,1/9,IF(E24&gt;=40,IF(E24&lt;60,0.75/4,IF(E24&gt;=60,1/4,0))))))))*E$35</f>
        <v>0</v>
      </c>
      <c r="AS25" s="976"/>
      <c r="AT25" s="976">
        <f>IF(F25=$B$46,IF(F$34&gt;30,IF(F$34&lt;61,IF(F24&gt;=20,IF(F24&lt;40,1/9,IF(F24&gt;=40,IF(F24&lt;60,0.75/4,IF(F24&gt;=60,1/4,0))))))))*F$35</f>
        <v>0</v>
      </c>
      <c r="AU25" s="976"/>
      <c r="AV25" s="976">
        <f>IF(G25=$B$46,IF(G$34&gt;30,IF(G$34&lt;61,IF(G24&gt;=20,IF(G24&lt;40,1/9,IF(G24&gt;=40,IF(G24&lt;60,0.75/4,IF(G24&gt;=60,1/4,0))))))))*G$35</f>
        <v>0</v>
      </c>
      <c r="AW25" s="976"/>
      <c r="AX25" s="976">
        <f>IF(H25=$B$46,IF(H$34&gt;30,IF(H$34&lt;61,IF(H24&gt;=20,IF(H24&lt;40,1/9,IF(H24&gt;=40,IF(H24&lt;60,0.75/4,IF(H24&gt;=60,1/4,0))))))))*H$35</f>
        <v>0</v>
      </c>
      <c r="AY25" s="976"/>
      <c r="AZ25" s="976">
        <f>IF(I25=$B$46,IF(I$34&gt;30,IF(I$34&lt;61,IF(I24&gt;=20,IF(I24&lt;40,1/9,IF(I24&gt;=40,IF(I24&lt;60,0.75/4,IF(I24&gt;=60,1/4,0))))))))*I$35</f>
        <v>0</v>
      </c>
      <c r="BA25" s="976"/>
      <c r="BB25" s="976">
        <f>IF(J25=$B$46,IF(J$34&gt;30,IF(J$34&lt;61,IF(J24&gt;=20,IF(J24&lt;40,1/9,IF(J24&gt;=40,IF(J24&lt;60,0.75/4,IF(J24&gt;=60,1/4,0))))))))*J$35</f>
        <v>0</v>
      </c>
      <c r="BC25" s="976"/>
      <c r="BD25" s="976">
        <f>IF(K25=$B$46,IF(K$34&gt;30,IF(K$34&lt;61,IF(K24&gt;=20,IF(K24&lt;40,1/9,IF(K24&gt;=40,IF(K24&lt;60,0.75/4,IF(K24&gt;=60,1/4,0))))))))*K$35</f>
        <v>0</v>
      </c>
      <c r="BE25" s="976"/>
      <c r="BF25" s="976">
        <f>IF(L25=$B$46,IF(L$34&gt;30,IF(L$34&lt;61,IF(L24&gt;=20,IF(L24&lt;40,1/9,IF(L24&gt;=40,IF(L24&lt;60,0.75/4,IF(L24&gt;=60,1/4,0))))))))*L$35</f>
        <v>0</v>
      </c>
      <c r="BG25" s="976"/>
      <c r="BH25" s="976">
        <f>IF(M25=$B$46,IF(M$34&gt;30,IF(M$34&lt;61,IF(M24&gt;=20,IF(M24&lt;40,1/9,IF(M24&gt;=40,IF(M24&lt;60,0.75/4,IF(M24&gt;=60,1/4,0))))))))*M$35</f>
        <v>0</v>
      </c>
      <c r="BI25" s="976"/>
      <c r="BJ25" s="976">
        <f>IF(N25=$B$46,IF(N$34&gt;30,IF(N$34&lt;61,IF(N24&gt;=20,IF(N24&lt;40,1/9,IF(N24&gt;=40,IF(N24&lt;60,0.75/4,IF(N24&gt;=60,1/4,0))))))))*N$35</f>
        <v>0</v>
      </c>
      <c r="BL25" s="976">
        <f>IF(C25=$B$46,IF(C$34&gt;60,IF(C$34&lt;76,IF(C24&gt;=10,IF(C24&lt;20,1/7,IF(C24&gt;=20,IF(C24&lt;60,1/3,IF(C24&gt;=60,1/3,0))))))))*C$35</f>
        <v>0</v>
      </c>
      <c r="BM25" s="976"/>
      <c r="BN25" s="976">
        <f>IF(D25=$B$46,IF(D$34&gt;60,IF(D$34&lt;76,IF(D24&gt;=10,IF(D24&lt;20,1/7,IF(D24&gt;=20,IF(D24&lt;60,1/3,IF(D24&gt;=60,1/3,0))))))))*D$35</f>
        <v>0</v>
      </c>
      <c r="BO25" s="976"/>
      <c r="BP25" s="976">
        <f>IF(E25=$B$46,IF(E$34&gt;60,IF(E$34&lt;76,IF(E24&gt;=10,IF(E24&lt;20,1/7,IF(E24&gt;=20,IF(E24&lt;60,1/3,IF(E24&gt;=60,1/3,0))))))))*E$35</f>
        <v>0</v>
      </c>
      <c r="BQ25" s="976"/>
      <c r="BR25" s="976">
        <f>IF(F25=$B$46,IF(F$34&gt;60,IF(F$34&lt;76,IF(F24&gt;=10,IF(F24&lt;20,1/7,IF(F24&gt;=20,IF(F24&lt;60,1/3,IF(F24&gt;=60,1/3,0))))))))*F$35</f>
        <v>0</v>
      </c>
      <c r="BS25" s="976"/>
      <c r="BT25" s="976">
        <f>IF(G25=$B$46,IF(G$34&gt;60,IF(G$34&lt;76,IF(G24&gt;=10,IF(G24&lt;20,1/7,IF(G24&gt;=20,IF(G24&lt;60,1/3,IF(G24&gt;=60,1/3,0))))))))*G$35</f>
        <v>0</v>
      </c>
      <c r="BU25" s="976"/>
      <c r="BV25" s="976">
        <f>IF(H25=$B$46,IF(H$34&gt;60,IF(H$34&lt;76,IF(H24&gt;=10,IF(H24&lt;20,1/7,IF(H24&gt;=20,IF(H24&lt;60,1/3,IF(H24&gt;=60,1/3,0))))))))*H$35</f>
        <v>0</v>
      </c>
      <c r="BW25" s="976"/>
      <c r="BX25" s="976">
        <f>IF(I25=$B$46,IF(I$34&gt;60,IF(I$34&lt;76,IF(I24&gt;=10,IF(I24&lt;20,1/7,IF(I24&gt;=20,IF(I24&lt;60,1/3,IF(I24&gt;=60,1/3,0))))))))*I$35</f>
        <v>0</v>
      </c>
      <c r="BY25" s="976"/>
      <c r="BZ25" s="976">
        <f>IF(J25=$B$46,IF(J$34&gt;60,IF(J$34&lt;76,IF(J24&gt;=10,IF(J24&lt;20,1/7,IF(J24&gt;=20,IF(J24&lt;60,1/3,IF(J24&gt;=60,1/3,0))))))))*J$35</f>
        <v>0</v>
      </c>
      <c r="CA25" s="976"/>
      <c r="CB25" s="976">
        <f>IF(K25=$B$46,IF(K$34&gt;60,IF(K$34&lt;76,IF(K24&gt;=10,IF(K24&lt;20,1/7,IF(K24&gt;=20,IF(K24&lt;60,1/3,IF(K24&gt;=60,1/3,0))))))))*K$35</f>
        <v>0</v>
      </c>
      <c r="CC25" s="976"/>
      <c r="CD25" s="976">
        <f>IF(L25=$B$46,IF(L$34&gt;60,IF(L$34&lt;76,IF(L24&gt;=10,IF(L24&lt;20,1/7,IF(L24&gt;=20,IF(L24&lt;60,1/3,IF(L24&gt;=60,1/3,0))))))))*L$35</f>
        <v>0</v>
      </c>
      <c r="CE25" s="976"/>
      <c r="CF25" s="976">
        <f>IF(M25=$B$46,IF(M$34&gt;60,IF(M$34&lt;76,IF(M24&gt;=10,IF(M24&lt;20,1/7,IF(M24&gt;=20,IF(M24&lt;60,1/3,IF(M24&gt;=60,1/3,0))))))))*M$35</f>
        <v>0</v>
      </c>
      <c r="CG25" s="976"/>
      <c r="CH25" s="976">
        <f>IF(N25=$B$46,IF(N$34&gt;60,IF(N$34&lt;76,IF(N24&gt;=10,IF(N24&lt;20,1/7,IF(N24&gt;=20,IF(N24&lt;60,1/3,IF(N24&gt;=60,1/3,0))))))))*N$35</f>
        <v>0</v>
      </c>
      <c r="CK25" s="699">
        <f>IF(C$28=146,IF(C$34=90,IF(OR(C$29=$B$44,C$29=$B$45,),1,0)))*C$35</f>
        <v>0</v>
      </c>
      <c r="CM25" s="699">
        <f>IF(D$28=146,IF(D$34=90,IF(OR(D$29=$B$44,D$29=$B$45,),1,0)))*D$35</f>
        <v>0</v>
      </c>
      <c r="CO25" s="699">
        <f>IF(E$28=146,IF(E$34=90,IF(OR(E$29=$B$44,E$29=$B$45,),1,0)))*E$35</f>
        <v>0</v>
      </c>
      <c r="CQ25" s="699">
        <f>IF(F$28=146,IF(F$34=90,IF(OR(F$29=$B$44,F$29=$B$45,),1,0)))*F$35</f>
        <v>0</v>
      </c>
      <c r="CS25" s="699">
        <f>IF(G$28=146,IF(G$34=90,IF(OR(G$29=$B$44,G$29=$B$45,),1,0)))*G$35</f>
        <v>0</v>
      </c>
      <c r="CU25" s="699">
        <f>IF(H$28=146,IF(H$34=90,IF(OR(H$29=$B$44,H$29=$B$45,),1,0)))*H$35</f>
        <v>0</v>
      </c>
      <c r="CW25" s="699">
        <f>IF(I$28=146,IF(I$34=90,IF(OR(I$29=$B$44,I$29=$B$45,),1,0)))*I$35</f>
        <v>0</v>
      </c>
      <c r="CY25" s="699">
        <f>IF(J$28=146,IF(J$34=90,IF(OR(J$29=$B$44,J$29=$B$45,),1,0)))*J$35</f>
        <v>0</v>
      </c>
      <c r="DA25" s="699">
        <f>IF(K$28=146,IF(K$34=90,IF(OR(K$29=$B$44,K$29=$B$45,),1,0)))*K$35</f>
        <v>0</v>
      </c>
      <c r="DC25" s="699">
        <f>IF(L$28=146,IF(L$34=90,IF(OR(L$29=$B$44,L$29=$B$45,),1,0)))*L$35</f>
        <v>0</v>
      </c>
      <c r="DE25" s="699">
        <f>IF(M$28=146,IF(M$34=90,IF(OR(M$29=$B$44,M$29=$B$45,),1,0)))*M$35</f>
        <v>0</v>
      </c>
      <c r="DG25" s="699">
        <f>IF(N$28=146,IF(N$34=90,IF(OR(N$29=$B$44,N$29=$B$45,),1,0)))*N$35</f>
        <v>0</v>
      </c>
      <c r="DI25" s="974">
        <f>SUM(CK25:DG25)</f>
        <v>0</v>
      </c>
    </row>
    <row r="26" spans="1:113" ht="15.75" customHeight="1" x14ac:dyDescent="0.35">
      <c r="A26" s="1380" t="s">
        <v>1137</v>
      </c>
      <c r="B26" s="1297" t="s">
        <v>10</v>
      </c>
      <c r="C26" s="1058"/>
      <c r="D26" s="1058"/>
      <c r="E26" s="1058"/>
      <c r="F26" s="1058"/>
      <c r="G26" s="1058"/>
      <c r="H26" s="1058"/>
      <c r="I26" s="1058"/>
      <c r="J26" s="1058"/>
      <c r="K26" s="1058"/>
      <c r="L26" s="1058"/>
      <c r="M26" s="1058"/>
      <c r="N26" s="1075"/>
      <c r="P26" s="976"/>
      <c r="Q26" s="976"/>
      <c r="R26" s="976"/>
      <c r="S26" s="976"/>
      <c r="T26" s="976"/>
      <c r="U26" s="976"/>
      <c r="V26" s="976"/>
      <c r="W26" s="976"/>
      <c r="X26" s="976"/>
      <c r="Y26" s="976"/>
      <c r="Z26" s="976"/>
      <c r="AA26" s="976"/>
      <c r="AB26" s="976"/>
      <c r="AC26" s="976"/>
      <c r="AD26" s="976"/>
      <c r="AE26" s="976"/>
      <c r="AF26" s="976"/>
      <c r="AG26" s="976"/>
      <c r="AH26" s="976"/>
      <c r="AI26" s="976"/>
      <c r="AJ26" s="976"/>
      <c r="AK26" s="976"/>
      <c r="AL26" s="976"/>
      <c r="AN26" s="976"/>
      <c r="AO26" s="976"/>
      <c r="AP26" s="976"/>
      <c r="AQ26" s="976"/>
      <c r="AR26" s="976"/>
      <c r="AS26" s="976"/>
      <c r="AT26" s="976"/>
      <c r="AU26" s="976"/>
      <c r="AV26" s="976"/>
      <c r="AW26" s="976"/>
      <c r="AX26" s="976"/>
      <c r="AY26" s="976"/>
      <c r="AZ26" s="976"/>
      <c r="BA26" s="976"/>
      <c r="BB26" s="976"/>
      <c r="BC26" s="976"/>
      <c r="BD26" s="976"/>
      <c r="BE26" s="976"/>
      <c r="BF26" s="976"/>
      <c r="BG26" s="976"/>
      <c r="BH26" s="976"/>
      <c r="BI26" s="976"/>
      <c r="BJ26" s="976"/>
      <c r="BL26" s="976"/>
      <c r="BM26" s="976"/>
      <c r="BN26" s="976"/>
      <c r="BO26" s="976"/>
      <c r="BP26" s="976"/>
      <c r="BQ26" s="976"/>
      <c r="BR26" s="976"/>
      <c r="BS26" s="976"/>
      <c r="BT26" s="976"/>
      <c r="BU26" s="976"/>
      <c r="BV26" s="976"/>
      <c r="BW26" s="976"/>
      <c r="BX26" s="976"/>
      <c r="BY26" s="976"/>
      <c r="BZ26" s="976"/>
      <c r="CA26" s="976"/>
      <c r="CB26" s="976"/>
      <c r="CC26" s="976"/>
      <c r="CD26" s="976"/>
      <c r="CE26" s="976"/>
      <c r="CF26" s="976"/>
      <c r="CG26" s="976"/>
      <c r="CH26" s="976"/>
      <c r="CK26" s="565"/>
      <c r="CM26" s="565"/>
      <c r="CO26" s="565"/>
      <c r="CQ26" s="565"/>
      <c r="CS26" s="565"/>
      <c r="CU26" s="565"/>
      <c r="CW26" s="565"/>
      <c r="CY26" s="565"/>
      <c r="DA26" s="565"/>
      <c r="DC26" s="565"/>
      <c r="DE26" s="565"/>
      <c r="DG26" s="565"/>
    </row>
    <row r="27" spans="1:113" ht="15.75" customHeight="1" x14ac:dyDescent="0.35">
      <c r="A27" s="1381"/>
      <c r="B27" s="1298" t="s">
        <v>778</v>
      </c>
      <c r="C27" s="1065"/>
      <c r="D27" s="1065"/>
      <c r="E27" s="1065"/>
      <c r="F27" s="1065"/>
      <c r="G27" s="1065"/>
      <c r="H27" s="1065"/>
      <c r="I27" s="1065"/>
      <c r="J27" s="1065"/>
      <c r="K27" s="1065"/>
      <c r="L27" s="1065"/>
      <c r="M27" s="1065"/>
      <c r="N27" s="1076"/>
      <c r="P27" s="976">
        <f>IF(C27=$B$46,IF(C$34&gt;8,IF(C$34&lt;31,IF(C26=20,1/16,IF(C26=40,0.75/8,IF(C26=60,1/8,IF(C26&gt;80,1/8,0)))))))*C$35</f>
        <v>0</v>
      </c>
      <c r="Q27" s="976"/>
      <c r="R27" s="976">
        <f>IF(D27=$B$46,IF(D$34&gt;8,IF(D$34&lt;31,IF(D26=20,1/16,IF(D26=40,0.75/8,IF(D26=60,1/8,IF(D26&gt;80,1/8,0)))))))*D$35</f>
        <v>0</v>
      </c>
      <c r="S27" s="976"/>
      <c r="T27" s="976">
        <f>IF(E27=$B$46,IF(E$34&gt;8,IF(E$34&lt;31,IF(E26=20,1/16,IF(E26=40,0.75/8,IF(E26=60,1/8,IF(E26&gt;80,1/8,0)))))))*E$35</f>
        <v>0</v>
      </c>
      <c r="U27" s="976"/>
      <c r="V27" s="976">
        <f>IF(F27=$B$46,IF(F$34&gt;8,IF(F$34&lt;31,IF(F26=20,1/16,IF(F26=40,0.75/8,IF(F26=60,1/8,IF(F26&gt;80,1/8,0)))))))*F$35</f>
        <v>0</v>
      </c>
      <c r="W27" s="976"/>
      <c r="X27" s="976">
        <f>IF(G27=$B$46,IF(G$34&gt;8,IF(G$34&lt;31,IF(G26=20,1/16,IF(G26=40,0.75/8,IF(G26=60,1/8,IF(G26&gt;80,1/8,0)))))))*G$35</f>
        <v>0</v>
      </c>
      <c r="Y27" s="976"/>
      <c r="Z27" s="976">
        <f>IF(H27=$B$46,IF(H$34&gt;8,IF(H$34&lt;31,IF(H26=20,1/16,IF(H26=40,0.75/8,IF(H26=60,1/8,IF(H26&gt;80,1/8,0)))))))*H$35</f>
        <v>0</v>
      </c>
      <c r="AA27" s="976"/>
      <c r="AB27" s="976">
        <f>IF(I27=$B$46,IF(I$34&gt;8,IF(I$34&lt;31,IF(I26=20,1/16,IF(I26=40,0.75/8,IF(I26=60,1/8,IF(I26&gt;80,1/8,0)))))))*I$35</f>
        <v>0</v>
      </c>
      <c r="AC27" s="976"/>
      <c r="AD27" s="976">
        <f>IF(J27=$B$46,IF(J$34&gt;8,IF(J$34&lt;31,IF(J26=20,1/16,IF(J26=40,0.75/8,IF(J26=60,1/8,IF(J26&gt;80,1/8,0)))))))*J$35</f>
        <v>0</v>
      </c>
      <c r="AE27" s="976"/>
      <c r="AF27" s="976">
        <f>IF(K27=$B$46,IF(K$34&gt;8,IF(K$34&lt;31,IF(K26=20,1/16,IF(K26=40,0.75/8,IF(K26=60,1/8,IF(K26&gt;80,1/8,0)))))))*K$35</f>
        <v>0</v>
      </c>
      <c r="AG27" s="976"/>
      <c r="AH27" s="976">
        <f>IF(L27=$B$46,IF(L$34&gt;8,IF(L$34&lt;31,IF(L26=20,1/16,IF(L26=40,0.75/8,IF(L26=60,1/8,IF(L26&gt;80,1/8,0)))))))*L$35</f>
        <v>0</v>
      </c>
      <c r="AI27" s="976"/>
      <c r="AJ27" s="976">
        <f>IF(M27=$B$46,IF(M$34&gt;8,IF(M$34&lt;31,IF(M26=20,1/16,IF(M26=40,0.75/8,IF(M26=60,1/8,IF(M26&gt;80,1/8,0)))))))*M$35</f>
        <v>0</v>
      </c>
      <c r="AK27" s="976"/>
      <c r="AL27" s="976">
        <f>IF(N27=$B$46,IF(N$34&gt;8,IF(N$34&lt;31,IF(N26=20,1/16,IF(N26=40,0.75/8,IF(N26=60,1/8,IF(N26&gt;80,1/8,0)))))))*N$35</f>
        <v>0</v>
      </c>
      <c r="AN27" s="976">
        <f>IF(C27=$B$46,IF(C$34&gt;30,IF(C$34&lt;61,IF(C26&gt;=20,IF(C26&lt;40,1/9,IF(C26&gt;=40,IF(C26&lt;60,0.75/4,IF(C26&gt;=60,1/4,0))))))))*C$35</f>
        <v>0</v>
      </c>
      <c r="AO27" s="976"/>
      <c r="AP27" s="976">
        <f>IF(D27=$B$46,IF(D$34&gt;30,IF(D$34&lt;61,IF(D26&gt;=20,IF(D26&lt;40,1/9,IF(D26&gt;=40,IF(D26&lt;60,0.75/4,IF(D26&gt;=60,1/4,0))))))))*D$35</f>
        <v>0</v>
      </c>
      <c r="AQ27" s="976"/>
      <c r="AR27" s="976">
        <f>IF(E27=$B$46,IF(E$34&gt;30,IF(E$34&lt;61,IF(E26&gt;=20,IF(E26&lt;40,1/9,IF(E26&gt;=40,IF(E26&lt;60,0.75/4,IF(E26&gt;=60,1/4,0))))))))*E$35</f>
        <v>0</v>
      </c>
      <c r="AS27" s="976"/>
      <c r="AT27" s="976">
        <f>IF(F27=$B$46,IF(F$34&gt;30,IF(F$34&lt;61,IF(F26&gt;=20,IF(F26&lt;40,1/9,IF(F26&gt;=40,IF(F26&lt;60,0.75/4,IF(F26&gt;=60,1/4,0))))))))*F$35</f>
        <v>0</v>
      </c>
      <c r="AU27" s="976"/>
      <c r="AV27" s="976">
        <f>IF(G27=$B$46,IF(G$34&gt;30,IF(G$34&lt;61,IF(G26&gt;=20,IF(G26&lt;40,1/9,IF(G26&gt;=40,IF(G26&lt;60,0.75/4,IF(G26&gt;=60,1/4,0))))))))*G$35</f>
        <v>0</v>
      </c>
      <c r="AW27" s="976"/>
      <c r="AX27" s="976">
        <f>IF(H27=$B$46,IF(H$34&gt;30,IF(H$34&lt;61,IF(H26&gt;=20,IF(H26&lt;40,1/9,IF(H26&gt;=40,IF(H26&lt;60,0.75/4,IF(H26&gt;=60,1/4,0))))))))*H$35</f>
        <v>0</v>
      </c>
      <c r="AY27" s="976"/>
      <c r="AZ27" s="976">
        <f>IF(I27=$B$46,IF(I$34&gt;30,IF(I$34&lt;61,IF(I26&gt;=20,IF(I26&lt;40,1/9,IF(I26&gt;=40,IF(I26&lt;60,0.75/4,IF(I26&gt;=60,1/4,0))))))))*I$35</f>
        <v>0</v>
      </c>
      <c r="BA27" s="976"/>
      <c r="BB27" s="976">
        <f>IF(J27=$B$46,IF(J$34&gt;30,IF(J$34&lt;61,IF(J26&gt;=20,IF(J26&lt;40,1/9,IF(J26&gt;=40,IF(J26&lt;60,0.75/4,IF(J26&gt;=60,1/4,0))))))))*J$35</f>
        <v>0</v>
      </c>
      <c r="BC27" s="976"/>
      <c r="BD27" s="976">
        <f>IF(K27=$B$46,IF(K$34&gt;30,IF(K$34&lt;61,IF(K26&gt;=20,IF(K26&lt;40,1/9,IF(K26&gt;=40,IF(K26&lt;60,0.75/4,IF(K26&gt;=60,1/4,0))))))))*K$35</f>
        <v>0</v>
      </c>
      <c r="BE27" s="976"/>
      <c r="BF27" s="976">
        <f>IF(L27=$B$46,IF(L$34&gt;30,IF(L$34&lt;61,IF(L26&gt;=20,IF(L26&lt;40,1/9,IF(L26&gt;=40,IF(L26&lt;60,0.75/4,IF(L26&gt;=60,1/4,0))))))))*L$35</f>
        <v>0</v>
      </c>
      <c r="BG27" s="976"/>
      <c r="BH27" s="976">
        <f>IF(M27=$B$46,IF(M$34&gt;30,IF(M$34&lt;61,IF(M26&gt;=20,IF(M26&lt;40,1/9,IF(M26&gt;=40,IF(M26&lt;60,0.75/4,IF(M26&gt;=60,1/4,0))))))))*M$35</f>
        <v>0</v>
      </c>
      <c r="BI27" s="976"/>
      <c r="BJ27" s="976">
        <f>IF(N27=$B$46,IF(N$34&gt;30,IF(N$34&lt;61,IF(N26&gt;=20,IF(N26&lt;40,1/9,IF(N26&gt;=40,IF(N26&lt;60,0.75/4,IF(N26&gt;=60,1/4,0))))))))*N$35</f>
        <v>0</v>
      </c>
      <c r="BL27" s="976">
        <f>IF(C27=$B$46,IF(C$34&gt;60,IF(C$34&lt;76,IF(C26&gt;=10,IF(C26&lt;20,1/7,IF(C26&gt;=20,IF(C26&lt;60,1/3,IF(C26&gt;=60,1/3,0))))))))*C$35</f>
        <v>0</v>
      </c>
      <c r="BM27" s="976"/>
      <c r="BN27" s="976">
        <f>IF(D27=$B$46,IF(D$34&gt;60,IF(D$34&lt;76,IF(D26&gt;=10,IF(D26&lt;20,1/7,IF(D26&gt;=20,IF(D26&lt;60,1/3,IF(D26&gt;=60,1/3,0))))))))*D$35</f>
        <v>0</v>
      </c>
      <c r="BO27" s="976"/>
      <c r="BP27" s="976">
        <f>IF(E27=$B$46,IF(E$34&gt;60,IF(E$34&lt;76,IF(E26&gt;=10,IF(E26&lt;20,1/7,IF(E26&gt;=20,IF(E26&lt;60,1/3,IF(E26&gt;=60,1/3,0))))))))*E$35</f>
        <v>0</v>
      </c>
      <c r="BQ27" s="976"/>
      <c r="BR27" s="976">
        <f>IF(F27=$B$46,IF(F$34&gt;60,IF(F$34&lt;76,IF(F26&gt;=10,IF(F26&lt;20,1/7,IF(F26&gt;=20,IF(F26&lt;60,1/3,IF(F26&gt;=60,1/3,0))))))))*F$35</f>
        <v>0</v>
      </c>
      <c r="BS27" s="976"/>
      <c r="BT27" s="976">
        <f>IF(G27=$B$46,IF(G$34&gt;60,IF(G$34&lt;76,IF(G26&gt;=10,IF(G26&lt;20,1/7,IF(G26&gt;=20,IF(G26&lt;60,1/3,IF(G26&gt;=60,1/3,0))))))))*G$35</f>
        <v>0</v>
      </c>
      <c r="BU27" s="976"/>
      <c r="BV27" s="976">
        <f>IF(H27=$B$46,IF(H$34&gt;60,IF(H$34&lt;76,IF(H26&gt;=10,IF(H26&lt;20,1/7,IF(H26&gt;=20,IF(H26&lt;60,1/3,IF(H26&gt;=60,1/3,0))))))))*H$35</f>
        <v>0</v>
      </c>
      <c r="BW27" s="976"/>
      <c r="BX27" s="976">
        <f>IF(I27=$B$46,IF(I$34&gt;60,IF(I$34&lt;76,IF(I26&gt;=10,IF(I26&lt;20,1/7,IF(I26&gt;=20,IF(I26&lt;60,1/3,IF(I26&gt;=60,1/3,0))))))))*I$35</f>
        <v>0</v>
      </c>
      <c r="BY27" s="976"/>
      <c r="BZ27" s="976">
        <f>IF(J27=$B$46,IF(J$34&gt;60,IF(J$34&lt;76,IF(J26&gt;=10,IF(J26&lt;20,1/7,IF(J26&gt;=20,IF(J26&lt;60,1/3,IF(J26&gt;=60,1/3,0))))))))*J$35</f>
        <v>0</v>
      </c>
      <c r="CA27" s="976"/>
      <c r="CB27" s="976">
        <f>IF(K27=$B$46,IF(K$34&gt;60,IF(K$34&lt;76,IF(K26&gt;=10,IF(K26&lt;20,1/7,IF(K26&gt;=20,IF(K26&lt;60,1/3,IF(K26&gt;=60,1/3,0))))))))*K$35</f>
        <v>0</v>
      </c>
      <c r="CC27" s="976"/>
      <c r="CD27" s="976">
        <f>IF(L27=$B$46,IF(L$34&gt;60,IF(L$34&lt;76,IF(L26&gt;=10,IF(L26&lt;20,1/7,IF(L26&gt;=20,IF(L26&lt;60,1/3,IF(L26&gt;=60,1/3,0))))))))*L$35</f>
        <v>0</v>
      </c>
      <c r="CE27" s="976"/>
      <c r="CF27" s="976">
        <f>IF(M27=$B$46,IF(M$34&gt;60,IF(M$34&lt;76,IF(M26&gt;=10,IF(M26&lt;20,1/7,IF(M26&gt;=20,IF(M26&lt;60,1/3,IF(M26&gt;=60,1/3,0))))))))*M$35</f>
        <v>0</v>
      </c>
      <c r="CG27" s="976"/>
      <c r="CH27" s="976">
        <f>IF(N27=$B$46,IF(N$34&gt;60,IF(N$34&lt;76,IF(N26&gt;=10,IF(N26&lt;20,1/7,IF(N26&gt;=20,IF(N26&lt;60,1/3,IF(N26&gt;=60,1/3,0))))))))*N$35</f>
        <v>0</v>
      </c>
      <c r="CK27" s="699">
        <f>IF(C$28=146,IF(C$34=120,IF(OR(C$29=$B$44,C$29=$B$45,),1,0)))*C$35</f>
        <v>0</v>
      </c>
      <c r="CM27" s="699">
        <f>IF(D$28=146,IF(D$34=120,IF(OR(D$29=$B$44,D$29=$B$45,),1,0)))*D$35</f>
        <v>0</v>
      </c>
      <c r="CO27" s="699">
        <f>IF(E$28=146,IF(E$34=120,IF(OR(E$29=$B$44,E$29=$B$45,),1,0)))*E$35</f>
        <v>0</v>
      </c>
      <c r="CQ27" s="699">
        <f>IF(F$28=146,IF(F$34=120,IF(OR(F$29=$B$44,F$29=$B$45,),1,0)))*F$35</f>
        <v>0</v>
      </c>
      <c r="CS27" s="699">
        <f>IF(G$28=146,IF(G$34=120,IF(OR(G$29=$B$44,G$29=$B$45,),1,0)))*G$35</f>
        <v>0</v>
      </c>
      <c r="CU27" s="699">
        <f>IF(H$28=146,IF(H$34=120,IF(OR(H$29=$B$44,H$29=$B$45,),1,0)))*H$35</f>
        <v>0</v>
      </c>
      <c r="CW27" s="699">
        <f>IF(I$28=146,IF(I$34=120,IF(OR(I$29=$B$44,I$29=$B$45,),1,0)))*I$35</f>
        <v>0</v>
      </c>
      <c r="CY27" s="699">
        <f>IF(J$28=146,IF(J$34=120,IF(OR(J$29=$B$44,J$29=$B$45,),1,0)))*J$35</f>
        <v>0</v>
      </c>
      <c r="DA27" s="699">
        <f>IF(K$28=146,IF(K$34=120,IF(OR(K$29=$B$44,K$29=$B$45,),1,0)))*K$35</f>
        <v>0</v>
      </c>
      <c r="DC27" s="699">
        <f>IF(L$28=146,IF(L$34=120,IF(OR(L$29=$B$44,L$29=$B$45,),1,0)))*L$35</f>
        <v>0</v>
      </c>
      <c r="DE27" s="699">
        <f>IF(M$28=146,IF(M$34=120,IF(OR(M$29=$B$44,M$29=$B$45,),1,0)))*M$35</f>
        <v>0</v>
      </c>
      <c r="DG27" s="699">
        <f>IF(N$28=146,IF(N$34=120,IF(OR(N$29=$B$44,N$29=$B$45,),1,0)))*N$35</f>
        <v>0</v>
      </c>
      <c r="DI27" s="974">
        <f>SUM(CK27:DG27)</f>
        <v>0</v>
      </c>
    </row>
    <row r="28" spans="1:113" ht="15.75" customHeight="1" x14ac:dyDescent="0.35">
      <c r="A28" s="1380" t="s">
        <v>1133</v>
      </c>
      <c r="B28" s="1297" t="s">
        <v>10</v>
      </c>
      <c r="C28" s="1058"/>
      <c r="D28" s="1058"/>
      <c r="E28" s="1058"/>
      <c r="F28" s="1058"/>
      <c r="G28" s="1058"/>
      <c r="H28" s="1058"/>
      <c r="I28" s="1058"/>
      <c r="J28" s="1058"/>
      <c r="K28" s="1058"/>
      <c r="L28" s="1058"/>
      <c r="M28" s="1058"/>
      <c r="N28" s="1075"/>
      <c r="P28" s="976"/>
      <c r="Q28" s="976"/>
      <c r="R28" s="976"/>
      <c r="S28" s="976"/>
      <c r="T28" s="976"/>
      <c r="U28" s="976"/>
      <c r="V28" s="976"/>
      <c r="W28" s="976"/>
      <c r="X28" s="976"/>
      <c r="Y28" s="976"/>
      <c r="Z28" s="976"/>
      <c r="AA28" s="976"/>
      <c r="AB28" s="976"/>
      <c r="AC28" s="976"/>
      <c r="AD28" s="976"/>
      <c r="AE28" s="976"/>
      <c r="AF28" s="976"/>
      <c r="AG28" s="976"/>
      <c r="AH28" s="976"/>
      <c r="AI28" s="976"/>
      <c r="AJ28" s="976"/>
      <c r="AK28" s="976"/>
      <c r="AL28" s="976"/>
      <c r="AN28" s="976"/>
      <c r="AO28" s="976"/>
      <c r="AP28" s="976"/>
      <c r="AQ28" s="976"/>
      <c r="AR28" s="976"/>
      <c r="AS28" s="976"/>
      <c r="AT28" s="976"/>
      <c r="AU28" s="976"/>
      <c r="AV28" s="976"/>
      <c r="AW28" s="976"/>
      <c r="AX28" s="976"/>
      <c r="AY28" s="976"/>
      <c r="AZ28" s="976"/>
      <c r="BA28" s="976"/>
      <c r="BB28" s="976"/>
      <c r="BC28" s="976"/>
      <c r="BD28" s="976"/>
      <c r="BE28" s="976"/>
      <c r="BF28" s="976"/>
      <c r="BG28" s="976"/>
      <c r="BH28" s="976"/>
      <c r="BI28" s="976"/>
      <c r="BJ28" s="976"/>
      <c r="BL28" s="976"/>
      <c r="BM28" s="976"/>
      <c r="BN28" s="976"/>
      <c r="BO28" s="976"/>
      <c r="BP28" s="976"/>
      <c r="BQ28" s="976"/>
      <c r="BR28" s="976"/>
      <c r="BS28" s="976"/>
      <c r="BT28" s="976"/>
      <c r="BU28" s="976"/>
      <c r="BV28" s="976"/>
      <c r="BW28" s="976"/>
      <c r="BX28" s="976"/>
      <c r="BY28" s="976"/>
      <c r="BZ28" s="976"/>
      <c r="CA28" s="976"/>
      <c r="CB28" s="976"/>
      <c r="CC28" s="976"/>
      <c r="CD28" s="976"/>
      <c r="CE28" s="976"/>
      <c r="CF28" s="976"/>
      <c r="CG28" s="976"/>
      <c r="CH28" s="976"/>
    </row>
    <row r="29" spans="1:113" ht="15.75" customHeight="1" x14ac:dyDescent="0.35">
      <c r="A29" s="1381"/>
      <c r="B29" s="1298" t="s">
        <v>778</v>
      </c>
      <c r="C29" s="1065"/>
      <c r="D29" s="1065"/>
      <c r="E29" s="1065"/>
      <c r="F29" s="1065"/>
      <c r="G29" s="1065"/>
      <c r="H29" s="1065"/>
      <c r="I29" s="1065"/>
      <c r="J29" s="1065"/>
      <c r="K29" s="1065"/>
      <c r="L29" s="1065"/>
      <c r="M29" s="1065"/>
      <c r="N29" s="1076"/>
      <c r="P29" s="976">
        <f>IF(C29=$B$46,IF(C$34&gt;8,IF(C$34&lt;31,IF(C28=20,1/16,IF(C28=40,0.75/8,IF(C28=60,1/8,IF(C28&gt;80,1/8,0)))))))*C$35</f>
        <v>0</v>
      </c>
      <c r="Q29" s="976"/>
      <c r="R29" s="976">
        <f>IF(D29=$B$46,IF(D$34&gt;8,IF(D$34&lt;31,IF(D28=20,1/16,IF(D28=40,0.75/8,IF(D28=60,1/8,IF(D28&gt;80,1/8,0)))))))*D$35</f>
        <v>0</v>
      </c>
      <c r="S29" s="976"/>
      <c r="T29" s="976">
        <f>IF(E29=$B$46,IF(E$34&gt;8,IF(E$34&lt;31,IF(E28=20,1/16,IF(E28=40,0.75/8,IF(E28=60,1/8,IF(E28&gt;80,1/8,0)))))))*E$35</f>
        <v>0</v>
      </c>
      <c r="U29" s="976"/>
      <c r="V29" s="976">
        <f>IF(F29=$B$46,IF(F$34&gt;8,IF(F$34&lt;31,IF(F28=20,1/16,IF(F28=40,0.75/8,IF(F28=60,1/8,IF(F28&gt;80,1/8,0)))))))*F$35</f>
        <v>0</v>
      </c>
      <c r="W29" s="976"/>
      <c r="X29" s="976">
        <f>IF(G29=$B$46,IF(G$34&gt;8,IF(G$34&lt;31,IF(G28=20,1/16,IF(G28=40,0.75/8,IF(G28=60,1/8,IF(G28&gt;80,1/8,0)))))))*G$35</f>
        <v>0</v>
      </c>
      <c r="Y29" s="976"/>
      <c r="Z29" s="976">
        <f>IF(H29=$B$46,IF(H$34&gt;8,IF(H$34&lt;31,IF(H28=20,1/16,IF(H28=40,0.75/8,IF(H28=60,1/8,IF(H28&gt;80,1/8,0)))))))*H$35</f>
        <v>0</v>
      </c>
      <c r="AA29" s="976"/>
      <c r="AB29" s="976">
        <f>IF(I29=$B$46,IF(I$34&gt;8,IF(I$34&lt;31,IF(I28=20,1/16,IF(I28=40,0.75/8,IF(I28=60,1/8,IF(I28&gt;80,1/8,0)))))))*I$35</f>
        <v>0</v>
      </c>
      <c r="AC29" s="976"/>
      <c r="AD29" s="976">
        <f>IF(J29=$B$46,IF(J$34&gt;8,IF(J$34&lt;31,IF(J28=20,1/16,IF(J28=40,0.75/8,IF(J28=60,1/8,IF(J28&gt;80,1/8,0)))))))*J$35</f>
        <v>0</v>
      </c>
      <c r="AE29" s="976"/>
      <c r="AF29" s="976">
        <f>IF(K29=$B$46,IF(K$34&gt;8,IF(K$34&lt;31,IF(K28=20,1/16,IF(K28=40,0.75/8,IF(K28=60,1/8,IF(K28&gt;80,1/8,0)))))))*K$35</f>
        <v>0</v>
      </c>
      <c r="AG29" s="976"/>
      <c r="AH29" s="976">
        <f>IF(L29=$B$46,IF(L$34&gt;8,IF(L$34&lt;31,IF(L28=20,1/16,IF(L28=40,0.75/8,IF(L28=60,1/8,IF(L28&gt;80,1/8,0)))))))*L$35</f>
        <v>0</v>
      </c>
      <c r="AI29" s="976"/>
      <c r="AJ29" s="976">
        <f>IF(M29=$B$46,IF(M$34&gt;8,IF(M$34&lt;31,IF(M28=20,1/16,IF(M28=40,0.75/8,IF(M28=60,1/8,IF(M28&gt;80,1/8,0)))))))*M$35</f>
        <v>0</v>
      </c>
      <c r="AK29" s="976"/>
      <c r="AL29" s="976">
        <f>IF(N29=$B$46,IF(N$34&gt;8,IF(N$34&lt;31,IF(N28=20,1/16,IF(N28=40,0.75/8,IF(N28=60,1/8,IF(N28&gt;80,1/8,0)))))))*N$35</f>
        <v>0</v>
      </c>
      <c r="AN29" s="976">
        <f>IF(C29=$B$46,IF(C$34&gt;30,IF(C$34&lt;61,IF(C28&gt;=20,IF(C28&lt;40,1/9,IF(C28&gt;=40,IF(C28&lt;60,0.75/4,IF(C28&gt;=60,1/4,0))))))))*C$35</f>
        <v>0</v>
      </c>
      <c r="AO29" s="976"/>
      <c r="AP29" s="976">
        <f>IF(D29=$B$46,IF(D$34&gt;30,IF(D$34&lt;61,IF(D28&gt;=20,IF(D28&lt;40,1/9,IF(D28&gt;=40,IF(D28&lt;60,0.75/4,IF(D28&gt;=60,1/4,0))))))))*D$35</f>
        <v>0</v>
      </c>
      <c r="AQ29" s="976"/>
      <c r="AR29" s="976">
        <f>IF(E29=$B$46,IF(E$34&gt;30,IF(E$34&lt;61,IF(E28&gt;=20,IF(E28&lt;40,1/9,IF(E28&gt;=40,IF(E28&lt;60,0.75/4,IF(E28&gt;=60,1/4,0))))))))*E$35</f>
        <v>0</v>
      </c>
      <c r="AS29" s="976"/>
      <c r="AT29" s="976">
        <f>IF(F29=$B$46,IF(F$34&gt;30,IF(F$34&lt;61,IF(F28&gt;=20,IF(F28&lt;40,1/9,IF(F28&gt;=40,IF(F28&lt;60,0.75/4,IF(F28&gt;=60,1/4,0))))))))*F$35</f>
        <v>0</v>
      </c>
      <c r="AU29" s="976"/>
      <c r="AV29" s="976">
        <f>IF(G29=$B$46,IF(G$34&gt;30,IF(G$34&lt;61,IF(G28&gt;=20,IF(G28&lt;40,1/9,IF(G28&gt;=40,IF(G28&lt;60,0.75/4,IF(G28&gt;=60,1/4,0))))))))*G$35</f>
        <v>0</v>
      </c>
      <c r="AW29" s="976"/>
      <c r="AX29" s="976">
        <f>IF(H29=$B$46,IF(H$34&gt;30,IF(H$34&lt;61,IF(H28&gt;=20,IF(H28&lt;40,1/9,IF(H28&gt;=40,IF(H28&lt;60,0.75/4,IF(H28&gt;=60,1/4,0))))))))*H$35</f>
        <v>0</v>
      </c>
      <c r="AY29" s="976"/>
      <c r="AZ29" s="976">
        <f>IF(I29=$B$46,IF(I$34&gt;30,IF(I$34&lt;61,IF(I28&gt;=20,IF(I28&lt;40,1/9,IF(I28&gt;=40,IF(I28&lt;60,0.75/4,IF(I28&gt;=60,1/4,0))))))))*I$35</f>
        <v>0</v>
      </c>
      <c r="BA29" s="976"/>
      <c r="BB29" s="976">
        <f>IF(J29=$B$46,IF(J$34&gt;30,IF(J$34&lt;61,IF(J28&gt;=20,IF(J28&lt;40,1/9,IF(J28&gt;=40,IF(J28&lt;60,0.75/4,IF(J28&gt;=60,1/4,0))))))))*J$35</f>
        <v>0</v>
      </c>
      <c r="BC29" s="976"/>
      <c r="BD29" s="976">
        <f>IF(K29=$B$46,IF(K$34&gt;30,IF(K$34&lt;61,IF(K28&gt;=20,IF(K28&lt;40,1/9,IF(K28&gt;=40,IF(K28&lt;60,0.75/4,IF(K28&gt;=60,1/4,0))))))))*K$35</f>
        <v>0</v>
      </c>
      <c r="BE29" s="976"/>
      <c r="BF29" s="976">
        <f>IF(L29=$B$46,IF(L$34&gt;30,IF(L$34&lt;61,IF(L28&gt;=20,IF(L28&lt;40,1/9,IF(L28&gt;=40,IF(L28&lt;60,0.75/4,IF(L28&gt;=60,1/4,0))))))))*L$35</f>
        <v>0</v>
      </c>
      <c r="BG29" s="976"/>
      <c r="BH29" s="976">
        <f>IF(M29=$B$46,IF(M$34&gt;30,IF(M$34&lt;61,IF(M28&gt;=20,IF(M28&lt;40,1/9,IF(M28&gt;=40,IF(M28&lt;60,0.75/4,IF(M28&gt;=60,1/4,0))))))))*M$35</f>
        <v>0</v>
      </c>
      <c r="BI29" s="976"/>
      <c r="BJ29" s="976">
        <f>IF(N29=$B$46,IF(N$34&gt;30,IF(N$34&lt;61,IF(N28&gt;=20,IF(N28&lt;40,1/9,IF(N28&gt;=40,IF(N28&lt;60,0.75/4,IF(N28&gt;=60,1/4,0))))))))*N$35</f>
        <v>0</v>
      </c>
      <c r="BL29" s="976">
        <f>IF(C29=$B$46,IF(C$34&gt;60,IF(C$34&lt;76,IF(C28&gt;=10,IF(C28&lt;20,1/7,IF(C28&gt;=20,IF(C28&lt;60,1/3,IF(C28&gt;=60,1/3,0))))))))*C$35</f>
        <v>0</v>
      </c>
      <c r="BM29" s="976"/>
      <c r="BN29" s="976">
        <f>IF(D29=$B$46,IF(D$34&gt;60,IF(D$34&lt;76,IF(D28&gt;=10,IF(D28&lt;20,1/7,IF(D28&gt;=20,IF(D28&lt;60,1/3,IF(D28&gt;=60,1/3,0))))))))*D$35</f>
        <v>0</v>
      </c>
      <c r="BO29" s="976"/>
      <c r="BP29" s="976">
        <f>IF(E29=$B$46,IF(E$34&gt;60,IF(E$34&lt;76,IF(E28&gt;=10,IF(E28&lt;20,1/7,IF(E28&gt;=20,IF(E28&lt;60,1/3,IF(E28&gt;=60,1/3,0))))))))*E$35</f>
        <v>0</v>
      </c>
      <c r="BQ29" s="976"/>
      <c r="BR29" s="976">
        <f>IF(F29=$B$46,IF(F$34&gt;60,IF(F$34&lt;76,IF(F28&gt;=10,IF(F28&lt;20,1/7,IF(F28&gt;=20,IF(F28&lt;60,1/3,IF(F28&gt;=60,1/3,0))))))))*F$35</f>
        <v>0</v>
      </c>
      <c r="BS29" s="976"/>
      <c r="BT29" s="976">
        <f>IF(G29=$B$46,IF(G$34&gt;60,IF(G$34&lt;76,IF(G28&gt;=10,IF(G28&lt;20,1/7,IF(G28&gt;=20,IF(G28&lt;60,1/3,IF(G28&gt;=60,1/3,0))))))))*G$35</f>
        <v>0</v>
      </c>
      <c r="BU29" s="976"/>
      <c r="BV29" s="976">
        <f>IF(H29=$B$46,IF(H$34&gt;60,IF(H$34&lt;76,IF(H28&gt;=10,IF(H28&lt;20,1/7,IF(H28&gt;=20,IF(H28&lt;60,1/3,IF(H28&gt;=60,1/3,0))))))))*H$35</f>
        <v>0</v>
      </c>
      <c r="BW29" s="976"/>
      <c r="BX29" s="976">
        <f>IF(I29=$B$46,IF(I$34&gt;60,IF(I$34&lt;76,IF(I28&gt;=10,IF(I28&lt;20,1/7,IF(I28&gt;=20,IF(I28&lt;60,1/3,IF(I28&gt;=60,1/3,0))))))))*I$35</f>
        <v>0</v>
      </c>
      <c r="BY29" s="976"/>
      <c r="BZ29" s="976">
        <f>IF(J29=$B$46,IF(J$34&gt;60,IF(J$34&lt;76,IF(J28&gt;=10,IF(J28&lt;20,1/7,IF(J28&gt;=20,IF(J28&lt;60,1/3,IF(J28&gt;=60,1/3,0))))))))*J$35</f>
        <v>0</v>
      </c>
      <c r="CA29" s="976"/>
      <c r="CB29" s="976">
        <f>IF(K29=$B$46,IF(K$34&gt;60,IF(K$34&lt;76,IF(K28&gt;=10,IF(K28&lt;20,1/7,IF(K28&gt;=20,IF(K28&lt;60,1/3,IF(K28&gt;=60,1/3,0))))))))*K$35</f>
        <v>0</v>
      </c>
      <c r="CC29" s="976"/>
      <c r="CD29" s="976">
        <f>IF(L29=$B$46,IF(L$34&gt;60,IF(L$34&lt;76,IF(L28&gt;=10,IF(L28&lt;20,1/7,IF(L28&gt;=20,IF(L28&lt;60,1/3,IF(L28&gt;=60,1/3,0))))))))*L$35</f>
        <v>0</v>
      </c>
      <c r="CE29" s="976"/>
      <c r="CF29" s="976">
        <f>IF(M29=$B$46,IF(M$34&gt;60,IF(M$34&lt;76,IF(M28&gt;=10,IF(M28&lt;20,1/7,IF(M28&gt;=20,IF(M28&lt;60,1/3,IF(M28&gt;=60,1/3,0))))))))*M$35</f>
        <v>0</v>
      </c>
      <c r="CG29" s="976"/>
      <c r="CH29" s="976">
        <f>IF(N29=$B$46,IF(N$34&gt;60,IF(N$34&lt;76,IF(N28&gt;=10,IF(N28&lt;20,1/7,IF(N28&gt;=20,IF(N28&lt;60,1/3,IF(N28&gt;=60,1/3,0))))))))*N$35</f>
        <v>0</v>
      </c>
      <c r="CK29" s="699">
        <f>IF(C$28=146,IF(C$34=150,IF(OR(C$29=$B$44,C$29=$B$45,),1,0)))*C$35</f>
        <v>0</v>
      </c>
      <c r="CM29" s="699">
        <f>IF(D$28=146,IF(D$34=150,IF(OR(D$29=$B$44,D$29=$B$45,),1,0)))*D$35</f>
        <v>0</v>
      </c>
      <c r="CO29" s="699">
        <f>IF(E$28=146,IF(E$34=150,IF(OR(E$29=$B$44,E$29=$B$45,),1,0)))*E$35</f>
        <v>0</v>
      </c>
      <c r="CQ29" s="699">
        <f>IF(F$28=146,IF(F$34=150,IF(OR(F$29=$B$44,F$29=$B$45,),1,0)))*F$35</f>
        <v>0</v>
      </c>
      <c r="CS29" s="699">
        <f>IF(G$28=146,IF(G$34=150,IF(OR(G$29=$B$44,G$29=$B$45,),1,0)))*G$35</f>
        <v>0</v>
      </c>
      <c r="CU29" s="699">
        <f>IF(H$28=146,IF(H$34=150,IF(OR(H$29=$B$44,H$29=$B$45,),1,0)))*H$35</f>
        <v>0</v>
      </c>
      <c r="CW29" s="699">
        <f>IF(I$28=146,IF(I$34=150,IF(OR(I$29=$B$44,I$29=$B$45,),1,0)))*I$35</f>
        <v>0</v>
      </c>
      <c r="CY29" s="699">
        <f>IF(J$28=146,IF(J$34=150,IF(OR(J$29=$B$44,J$29=$B$45,),1,0)))*J$35</f>
        <v>0</v>
      </c>
      <c r="DA29" s="699">
        <f>IF(K$28=146,IF(K$34=150,IF(OR(K$29=$B$44,K$29=$B$45,),1,0)))*K$35</f>
        <v>0</v>
      </c>
      <c r="DC29" s="699">
        <f>IF(L$28=146,IF(L$34=150,IF(OR(L$29=$B$44,L$29=$B$45,),1,0)))*L$35</f>
        <v>0</v>
      </c>
      <c r="DE29" s="699">
        <f>IF(M$28=146,IF(M$34=150,IF(OR(M$29=$B$44,M$29=$B$45,),1,0)))*M$35</f>
        <v>0</v>
      </c>
      <c r="DG29" s="699">
        <f>IF(N$28=146,IF(N$34=150,IF(OR(N$29=$B$44,N$29=$B$45,),1,0)))*N$35</f>
        <v>0</v>
      </c>
      <c r="DI29" s="974">
        <f>SUM(CK29:DG29)</f>
        <v>0</v>
      </c>
    </row>
    <row r="30" spans="1:113" s="565" customFormat="1" ht="5.25" customHeight="1" x14ac:dyDescent="0.35">
      <c r="A30" s="977"/>
      <c r="B30" s="1299"/>
      <c r="C30" s="901"/>
      <c r="D30" s="901"/>
      <c r="E30" s="901"/>
      <c r="F30" s="901"/>
      <c r="G30" s="901"/>
      <c r="H30" s="901"/>
      <c r="I30" s="901"/>
      <c r="J30" s="901"/>
      <c r="K30" s="901"/>
      <c r="L30" s="901"/>
      <c r="M30" s="901"/>
      <c r="N30" s="1057"/>
      <c r="O30" s="36"/>
    </row>
    <row r="31" spans="1:113" s="565" customFormat="1" ht="20.25" customHeight="1" x14ac:dyDescent="0.35">
      <c r="A31" s="1374" t="s">
        <v>12</v>
      </c>
      <c r="B31" s="1374"/>
      <c r="C31" s="1052"/>
      <c r="D31" s="1052"/>
      <c r="E31" s="1052"/>
      <c r="F31" s="1052"/>
      <c r="G31" s="1052"/>
      <c r="H31" s="1052"/>
      <c r="I31" s="1052"/>
      <c r="J31" s="1052"/>
      <c r="K31" s="1052"/>
      <c r="L31" s="1052"/>
      <c r="M31" s="1052"/>
      <c r="N31" s="1061"/>
      <c r="O31" s="36"/>
    </row>
    <row r="32" spans="1:113" ht="22.5" customHeight="1" x14ac:dyDescent="0.35">
      <c r="A32" s="1375" t="s">
        <v>1177</v>
      </c>
      <c r="B32" s="1375"/>
      <c r="C32" s="1061"/>
      <c r="D32" s="1052"/>
      <c r="E32" s="1052"/>
      <c r="F32" s="1052"/>
      <c r="G32" s="1052"/>
      <c r="H32" s="1052"/>
      <c r="I32" s="1052"/>
      <c r="J32" s="1052"/>
      <c r="K32" s="1052"/>
      <c r="L32" s="1052"/>
      <c r="M32" s="1052"/>
      <c r="N32" s="1061"/>
    </row>
    <row r="33" spans="1:14" ht="26.25" customHeight="1" x14ac:dyDescent="0.35">
      <c r="A33" s="1375" t="s">
        <v>1176</v>
      </c>
      <c r="B33" s="1375"/>
      <c r="C33" s="1062"/>
      <c r="D33" s="1054"/>
      <c r="E33" s="1054"/>
      <c r="F33" s="1054"/>
      <c r="G33" s="1054"/>
      <c r="H33" s="1054"/>
      <c r="I33" s="1054"/>
      <c r="J33" s="1054"/>
      <c r="K33" s="1054"/>
      <c r="L33" s="1054"/>
      <c r="M33" s="1054"/>
      <c r="N33" s="1062"/>
    </row>
    <row r="34" spans="1:14" ht="20.25" customHeight="1" x14ac:dyDescent="0.35">
      <c r="A34" s="1374" t="s">
        <v>8</v>
      </c>
      <c r="B34" s="1374"/>
      <c r="C34" s="1062"/>
      <c r="D34" s="1054"/>
      <c r="E34" s="1054"/>
      <c r="F34" s="1054"/>
      <c r="G34" s="1054"/>
      <c r="H34" s="1054"/>
      <c r="I34" s="1054"/>
      <c r="J34" s="1054"/>
      <c r="K34" s="1054"/>
      <c r="L34" s="1054"/>
      <c r="M34" s="1054"/>
      <c r="N34" s="1062"/>
    </row>
    <row r="35" spans="1:14" ht="20.25" customHeight="1" x14ac:dyDescent="0.35">
      <c r="A35" s="1374" t="s">
        <v>2</v>
      </c>
      <c r="B35" s="1374"/>
      <c r="C35" s="1067"/>
      <c r="D35" s="1066"/>
      <c r="E35" s="1066"/>
      <c r="F35" s="1066"/>
      <c r="G35" s="1066"/>
      <c r="H35" s="1066"/>
      <c r="I35" s="1066"/>
      <c r="J35" s="1066"/>
      <c r="K35" s="1066"/>
      <c r="L35" s="1066"/>
      <c r="M35" s="1074"/>
      <c r="N35" s="1067"/>
    </row>
    <row r="36" spans="1:14" ht="5.25" customHeight="1" x14ac:dyDescent="0.4">
      <c r="A36" s="979"/>
      <c r="B36" s="979"/>
      <c r="C36" s="37"/>
      <c r="D36" s="37"/>
      <c r="E36" s="37"/>
      <c r="F36" s="37"/>
      <c r="G36" s="980"/>
      <c r="H36" s="980"/>
      <c r="I36" s="980"/>
      <c r="J36" s="980"/>
      <c r="K36" s="980"/>
      <c r="L36" s="980"/>
      <c r="M36" s="980"/>
      <c r="N36" s="980"/>
    </row>
    <row r="37" spans="1:14" ht="15" customHeight="1" x14ac:dyDescent="0.35">
      <c r="B37" s="1388" t="s">
        <v>94</v>
      </c>
      <c r="C37" s="1388"/>
      <c r="D37" s="1388"/>
      <c r="E37" s="1388"/>
      <c r="F37" s="1388"/>
      <c r="G37" s="924"/>
      <c r="H37" s="1322" t="s">
        <v>11</v>
      </c>
      <c r="I37" s="1322"/>
      <c r="J37" s="1322"/>
      <c r="K37" s="1322"/>
      <c r="L37" s="1322"/>
      <c r="M37" s="1322"/>
      <c r="N37" s="1322"/>
    </row>
    <row r="38" spans="1:14" ht="3.75" customHeight="1" x14ac:dyDescent="0.4">
      <c r="B38" s="1395" t="s">
        <v>7</v>
      </c>
      <c r="C38" s="1395" t="s">
        <v>1</v>
      </c>
      <c r="D38" s="1349"/>
      <c r="E38" s="1349"/>
      <c r="F38" s="1349"/>
      <c r="G38" s="981"/>
      <c r="H38" s="982"/>
      <c r="I38" s="1077"/>
      <c r="J38" s="1389"/>
      <c r="K38" s="1389"/>
      <c r="L38" s="1389"/>
      <c r="M38" s="1389"/>
      <c r="N38" s="1390"/>
    </row>
    <row r="39" spans="1:14" ht="15" customHeight="1" x14ac:dyDescent="0.35">
      <c r="B39" s="1396"/>
      <c r="C39" s="1396"/>
      <c r="D39" s="1397"/>
      <c r="E39" s="1397"/>
      <c r="F39" s="1397"/>
      <c r="G39" s="75"/>
      <c r="H39" s="1073" t="s">
        <v>1158</v>
      </c>
      <c r="I39" s="38"/>
      <c r="J39" s="904">
        <f>+'1 P-T +'!J28</f>
        <v>0</v>
      </c>
      <c r="K39" s="983" t="s">
        <v>1303</v>
      </c>
      <c r="L39" s="1334" t="s">
        <v>1304</v>
      </c>
      <c r="M39" s="1334"/>
      <c r="N39" s="1335"/>
    </row>
    <row r="40" spans="1:14" ht="12.6" customHeight="1" x14ac:dyDescent="0.4">
      <c r="A40" s="1300" t="s">
        <v>768</v>
      </c>
      <c r="B40" s="1101">
        <f>+'1 P-T +'!B29</f>
        <v>0</v>
      </c>
      <c r="C40" s="1393">
        <f>+'1 P-T +'!C29:F29</f>
        <v>0</v>
      </c>
      <c r="D40" s="1394"/>
      <c r="E40" s="1394"/>
      <c r="F40" s="1394"/>
      <c r="G40" s="986"/>
      <c r="H40" s="987"/>
      <c r="I40" s="983"/>
      <c r="J40" s="983"/>
      <c r="K40" s="983"/>
      <c r="L40" s="1334"/>
      <c r="M40" s="1334"/>
      <c r="N40" s="1335"/>
    </row>
    <row r="41" spans="1:14" ht="12.6" customHeight="1" x14ac:dyDescent="0.4">
      <c r="A41" s="1300" t="s">
        <v>769</v>
      </c>
      <c r="B41" s="1101">
        <f>+'1 P-T +'!B30</f>
        <v>0</v>
      </c>
      <c r="C41" s="1393">
        <f>+'1 P-T +'!C30:F30</f>
        <v>0</v>
      </c>
      <c r="D41" s="1394"/>
      <c r="E41" s="1394"/>
      <c r="F41" s="1394"/>
      <c r="G41" s="986"/>
      <c r="H41" s="987"/>
      <c r="I41" s="983"/>
      <c r="J41" s="983"/>
      <c r="K41" s="983"/>
      <c r="L41" s="983"/>
      <c r="M41" s="983"/>
      <c r="N41" s="984"/>
    </row>
    <row r="42" spans="1:14" ht="12.6" customHeight="1" x14ac:dyDescent="0.4">
      <c r="A42" s="1300" t="s">
        <v>770</v>
      </c>
      <c r="B42" s="1101">
        <f>+'1 P-T +'!B31</f>
        <v>0</v>
      </c>
      <c r="C42" s="1393">
        <f>+'1 P-T +'!C31:F31</f>
        <v>0</v>
      </c>
      <c r="D42" s="1394"/>
      <c r="E42" s="1394"/>
      <c r="F42" s="1394"/>
      <c r="G42" s="986"/>
      <c r="H42" s="987"/>
      <c r="I42" s="983"/>
      <c r="J42" s="983"/>
      <c r="K42" s="983"/>
      <c r="L42" s="983"/>
      <c r="M42" s="983"/>
      <c r="N42" s="984"/>
    </row>
    <row r="43" spans="1:14" ht="12.6" customHeight="1" x14ac:dyDescent="0.4">
      <c r="A43" s="1300" t="s">
        <v>771</v>
      </c>
      <c r="B43" s="1101">
        <f>+'1 P-T +'!B32</f>
        <v>0</v>
      </c>
      <c r="C43" s="1393">
        <f>+'1 P-T +'!C32:F32</f>
        <v>0</v>
      </c>
      <c r="D43" s="1394"/>
      <c r="E43" s="1394"/>
      <c r="F43" s="1394"/>
      <c r="G43" s="986"/>
      <c r="H43" s="987"/>
      <c r="I43" s="983"/>
      <c r="J43" s="983"/>
      <c r="K43" s="983"/>
      <c r="L43" s="983"/>
      <c r="M43" s="983"/>
      <c r="N43" s="984"/>
    </row>
    <row r="44" spans="1:14" ht="12.6" customHeight="1" x14ac:dyDescent="0.4">
      <c r="A44" s="1391" t="s">
        <v>775</v>
      </c>
      <c r="B44" s="1101">
        <f>+'1 P-T +'!B33</f>
        <v>0</v>
      </c>
      <c r="C44" s="1393">
        <f>+'1 P-T +'!C33:F33</f>
        <v>0</v>
      </c>
      <c r="D44" s="1394"/>
      <c r="E44" s="1394"/>
      <c r="F44" s="1394"/>
      <c r="G44" s="986"/>
      <c r="H44" s="987"/>
      <c r="I44" s="983"/>
      <c r="J44" s="983"/>
      <c r="K44" s="983"/>
      <c r="L44" s="983"/>
      <c r="M44" s="983"/>
      <c r="N44" s="984"/>
    </row>
    <row r="45" spans="1:14" ht="12.6" customHeight="1" x14ac:dyDescent="0.35">
      <c r="A45" s="1392"/>
      <c r="B45" s="1101">
        <f>+'1 P-T +'!B34</f>
        <v>0</v>
      </c>
      <c r="C45" s="1393">
        <f>+'1 P-T +'!C34:F34</f>
        <v>0</v>
      </c>
      <c r="D45" s="1394"/>
      <c r="E45" s="1394"/>
      <c r="F45" s="1394"/>
      <c r="G45" s="988"/>
      <c r="H45" s="987"/>
      <c r="I45" s="983"/>
      <c r="J45" s="983"/>
      <c r="K45" s="983"/>
      <c r="L45" s="983"/>
      <c r="M45" s="983"/>
      <c r="N45" s="984"/>
    </row>
    <row r="46" spans="1:14" ht="12.6" customHeight="1" x14ac:dyDescent="0.35">
      <c r="A46" s="1301" t="s">
        <v>114</v>
      </c>
      <c r="B46" s="1101">
        <f>+'1 P-T +'!B35</f>
        <v>0</v>
      </c>
      <c r="C46" s="1393">
        <f>+'1 P-T +'!C35:F35</f>
        <v>0</v>
      </c>
      <c r="D46" s="1394"/>
      <c r="E46" s="1394"/>
      <c r="F46" s="1394"/>
      <c r="G46" s="988"/>
      <c r="H46" s="987"/>
      <c r="I46" s="983"/>
      <c r="J46" s="983"/>
      <c r="K46" s="983"/>
      <c r="L46" s="983"/>
      <c r="M46" s="983"/>
      <c r="N46" s="984"/>
    </row>
    <row r="47" spans="1:14" ht="12.6" customHeight="1" x14ac:dyDescent="0.35">
      <c r="A47" s="1391" t="s">
        <v>999</v>
      </c>
      <c r="B47" s="1101">
        <f>+'1 P-T +'!B36</f>
        <v>0</v>
      </c>
      <c r="C47" s="1393">
        <f>+'1 P-T +'!C36:F36</f>
        <v>0</v>
      </c>
      <c r="D47" s="1394"/>
      <c r="E47" s="1394"/>
      <c r="F47" s="1394"/>
      <c r="G47" s="990"/>
      <c r="H47" s="987"/>
      <c r="I47" s="983"/>
      <c r="J47" s="983"/>
      <c r="K47" s="983"/>
      <c r="L47" s="983"/>
      <c r="M47" s="983"/>
      <c r="N47" s="984"/>
    </row>
    <row r="48" spans="1:14" ht="12.6" customHeight="1" x14ac:dyDescent="0.35">
      <c r="A48" s="1392"/>
      <c r="B48" s="1101">
        <f>+'1 P-T +'!B37</f>
        <v>0</v>
      </c>
      <c r="C48" s="1393">
        <f>+'1 P-T +'!C37:F37</f>
        <v>0</v>
      </c>
      <c r="D48" s="1394"/>
      <c r="E48" s="1394"/>
      <c r="F48" s="1394"/>
      <c r="G48" s="990"/>
      <c r="H48" s="987"/>
      <c r="I48" s="983"/>
      <c r="J48" s="983"/>
      <c r="K48" s="983"/>
      <c r="L48" s="983"/>
      <c r="M48" s="983"/>
      <c r="N48" s="984"/>
    </row>
    <row r="49" spans="1:14" ht="12.6" customHeight="1" x14ac:dyDescent="0.4">
      <c r="A49" s="1300" t="s">
        <v>1096</v>
      </c>
      <c r="B49" s="1393">
        <f>+'1 PISO TECHO'!B36:F36</f>
        <v>0</v>
      </c>
      <c r="C49" s="1394"/>
      <c r="D49" s="1394"/>
      <c r="E49" s="1394"/>
      <c r="F49" s="1394"/>
      <c r="G49" s="991"/>
      <c r="H49" s="987"/>
      <c r="I49" s="983"/>
      <c r="J49" s="983"/>
      <c r="K49" s="983"/>
      <c r="L49" s="983"/>
      <c r="M49" s="983"/>
      <c r="N49" s="984"/>
    </row>
    <row r="50" spans="1:14" ht="12.6" customHeight="1" x14ac:dyDescent="0.4">
      <c r="A50" s="992"/>
      <c r="E50" s="43"/>
      <c r="F50" s="43"/>
      <c r="G50" s="37"/>
      <c r="H50" s="987"/>
      <c r="I50" s="983"/>
      <c r="J50" s="983"/>
      <c r="K50" s="983"/>
      <c r="L50" s="983"/>
      <c r="M50" s="983"/>
      <c r="N50" s="984"/>
    </row>
    <row r="51" spans="1:14" ht="12.6" customHeight="1" x14ac:dyDescent="0.4">
      <c r="F51" s="38"/>
      <c r="G51" s="44"/>
      <c r="H51" s="987"/>
      <c r="I51" s="983"/>
      <c r="J51" s="983"/>
      <c r="K51" s="983"/>
      <c r="L51" s="983"/>
      <c r="M51" s="983"/>
      <c r="N51" s="984"/>
    </row>
    <row r="52" spans="1:14" ht="12.6" customHeight="1" x14ac:dyDescent="0.4">
      <c r="A52" s="1332" t="s">
        <v>1302</v>
      </c>
      <c r="B52" s="1333"/>
      <c r="C52" s="1333"/>
      <c r="D52" s="1333"/>
      <c r="E52" s="1333"/>
      <c r="F52" s="1333"/>
      <c r="G52" s="44"/>
      <c r="H52" s="987"/>
      <c r="I52" s="983"/>
      <c r="J52" s="983"/>
      <c r="K52" s="983"/>
      <c r="L52" s="983"/>
      <c r="M52" s="983"/>
      <c r="N52" s="984"/>
    </row>
    <row r="53" spans="1:14" ht="12.6" customHeight="1" x14ac:dyDescent="0.4">
      <c r="A53" s="1333"/>
      <c r="B53" s="1333"/>
      <c r="C53" s="1333"/>
      <c r="D53" s="1333"/>
      <c r="E53" s="1333"/>
      <c r="F53" s="1333"/>
      <c r="G53" s="44"/>
      <c r="H53" s="987"/>
      <c r="I53" s="983"/>
      <c r="J53" s="983"/>
      <c r="K53" s="983"/>
      <c r="L53" s="983"/>
      <c r="M53" s="983"/>
      <c r="N53" s="984"/>
    </row>
    <row r="54" spans="1:14" ht="12.6" customHeight="1" x14ac:dyDescent="0.4">
      <c r="A54" s="1333"/>
      <c r="B54" s="1333"/>
      <c r="C54" s="1333"/>
      <c r="D54" s="1333"/>
      <c r="E54" s="1333"/>
      <c r="F54" s="1333"/>
      <c r="G54" s="44"/>
      <c r="H54" s="987"/>
      <c r="I54" s="983"/>
      <c r="J54" s="983"/>
      <c r="K54" s="983"/>
      <c r="L54" s="983"/>
      <c r="M54" s="983"/>
      <c r="N54" s="984"/>
    </row>
    <row r="55" spans="1:14" ht="12.6" customHeight="1" x14ac:dyDescent="0.4">
      <c r="A55" s="1333"/>
      <c r="B55" s="1333"/>
      <c r="C55" s="1333"/>
      <c r="D55" s="1333"/>
      <c r="E55" s="1333"/>
      <c r="F55" s="1333"/>
      <c r="G55" s="44"/>
      <c r="H55" s="987"/>
      <c r="I55" s="983"/>
      <c r="J55" s="983"/>
      <c r="K55" s="983"/>
      <c r="L55" s="983"/>
      <c r="M55" s="983"/>
      <c r="N55" s="984"/>
    </row>
    <row r="56" spans="1:14" ht="12.6" customHeight="1" x14ac:dyDescent="0.4">
      <c r="A56"/>
      <c r="B56" s="24"/>
      <c r="C56"/>
      <c r="D56"/>
      <c r="E56"/>
      <c r="F56" s="3"/>
      <c r="G56" s="44"/>
      <c r="H56" s="987"/>
      <c r="I56" s="983"/>
      <c r="J56" s="983"/>
      <c r="K56" s="983"/>
      <c r="L56" s="983"/>
      <c r="M56" s="983"/>
      <c r="N56" s="984"/>
    </row>
    <row r="57" spans="1:14" ht="18" customHeight="1" x14ac:dyDescent="0.4">
      <c r="A57"/>
      <c r="B57" s="24"/>
      <c r="C57" s="144" t="s">
        <v>1309</v>
      </c>
      <c r="D57" s="1261"/>
      <c r="E57" s="1261"/>
      <c r="F57" s="1261"/>
      <c r="G57" s="44"/>
      <c r="H57" s="987"/>
      <c r="I57" s="983"/>
      <c r="J57" s="983"/>
      <c r="K57" s="983"/>
      <c r="L57" s="983"/>
      <c r="M57" s="983"/>
      <c r="N57" s="984"/>
    </row>
    <row r="58" spans="1:14" ht="12.6" customHeight="1" x14ac:dyDescent="0.4">
      <c r="A58"/>
      <c r="B58" s="24"/>
      <c r="C58"/>
      <c r="D58"/>
      <c r="E58"/>
      <c r="F58" s="3"/>
      <c r="G58" s="44"/>
      <c r="H58" s="987"/>
      <c r="I58" s="983"/>
      <c r="J58" s="983"/>
      <c r="K58" s="983"/>
      <c r="L58" s="983"/>
      <c r="M58" s="983"/>
      <c r="N58" s="984"/>
    </row>
    <row r="59" spans="1:14" ht="12.6" customHeight="1" x14ac:dyDescent="0.4">
      <c r="A59" s="993"/>
      <c r="B59" s="993"/>
      <c r="C59" s="994"/>
      <c r="D59" s="994"/>
      <c r="E59" s="994"/>
      <c r="F59" s="994"/>
      <c r="G59" s="37"/>
      <c r="H59" s="995"/>
      <c r="I59" s="996"/>
      <c r="J59" s="996"/>
      <c r="K59" s="996"/>
      <c r="L59" s="996"/>
      <c r="M59" s="997"/>
      <c r="N59" s="998"/>
    </row>
    <row r="60" spans="1:14" ht="4.5" customHeight="1" x14ac:dyDescent="0.35">
      <c r="A60" s="993"/>
      <c r="B60" s="993"/>
      <c r="C60" s="43"/>
      <c r="D60" s="43"/>
      <c r="E60" s="43"/>
      <c r="F60" s="43"/>
      <c r="G60" s="49"/>
      <c r="H60" s="49"/>
      <c r="I60" s="49"/>
      <c r="J60" s="49"/>
      <c r="K60" s="49"/>
      <c r="L60" s="49"/>
      <c r="M60" s="47"/>
      <c r="N60" s="47"/>
    </row>
    <row r="61" spans="1:14" ht="25.5" hidden="1" customHeight="1" x14ac:dyDescent="0.35">
      <c r="B61" s="38" t="s">
        <v>1184</v>
      </c>
      <c r="C61" s="38"/>
      <c r="D61" s="38"/>
    </row>
    <row r="62" spans="1:14" ht="25.5" hidden="1" customHeight="1" x14ac:dyDescent="0.35">
      <c r="B62" s="30" t="s">
        <v>1185</v>
      </c>
    </row>
    <row r="63" spans="1:14" ht="25.5" hidden="1" customHeight="1" x14ac:dyDescent="0.35">
      <c r="B63" s="30" t="s">
        <v>14</v>
      </c>
    </row>
    <row r="64" spans="1:14" ht="25.5" hidden="1" customHeight="1" x14ac:dyDescent="0.35">
      <c r="B64" s="30" t="s">
        <v>1182</v>
      </c>
    </row>
    <row r="65" ht="25.5" hidden="1" customHeight="1" x14ac:dyDescent="0.35"/>
    <row r="66" ht="25.5" hidden="1" customHeight="1" x14ac:dyDescent="0.35"/>
    <row r="67" ht="25.5" hidden="1" customHeight="1" x14ac:dyDescent="0.35"/>
    <row r="68" ht="25.5" hidden="1" customHeight="1" x14ac:dyDescent="0.35"/>
    <row r="69" ht="25.5" hidden="1" customHeight="1" x14ac:dyDescent="0.35"/>
    <row r="70" ht="25.5" hidden="1" customHeight="1" x14ac:dyDescent="0.35"/>
    <row r="71" ht="25.5" hidden="1" customHeight="1" x14ac:dyDescent="0.35"/>
    <row r="72" ht="25.5" hidden="1" customHeight="1" x14ac:dyDescent="0.35"/>
    <row r="73" ht="25.5" hidden="1" customHeight="1" x14ac:dyDescent="0.35"/>
    <row r="74" ht="25.5" hidden="1" customHeight="1" x14ac:dyDescent="0.35"/>
    <row r="75" ht="25.5" hidden="1" customHeight="1" x14ac:dyDescent="0.35"/>
    <row r="76" ht="25.5" hidden="1" customHeight="1" x14ac:dyDescent="0.35"/>
    <row r="77" ht="25.5" hidden="1" customHeight="1" x14ac:dyDescent="0.35"/>
    <row r="78" ht="25.5" hidden="1" customHeight="1" x14ac:dyDescent="0.35"/>
    <row r="79" ht="25.5" hidden="1" customHeight="1" x14ac:dyDescent="0.35"/>
    <row r="80" ht="25.5" hidden="1" customHeight="1" x14ac:dyDescent="0.35"/>
    <row r="81" ht="25.5" hidden="1" customHeight="1" x14ac:dyDescent="0.35"/>
    <row r="82" ht="25.5" hidden="1" customHeight="1" x14ac:dyDescent="0.35"/>
    <row r="83" ht="25.5" hidden="1" customHeight="1" x14ac:dyDescent="0.35"/>
    <row r="84" ht="25.5" hidden="1" customHeight="1" x14ac:dyDescent="0.35"/>
    <row r="85" ht="25.5" hidden="1" customHeight="1" x14ac:dyDescent="0.35"/>
    <row r="86" ht="25.5" hidden="1" customHeight="1" x14ac:dyDescent="0.35"/>
    <row r="87" ht="25.5" hidden="1" customHeight="1" x14ac:dyDescent="0.35"/>
    <row r="88" ht="25.5" hidden="1" customHeight="1" x14ac:dyDescent="0.35"/>
    <row r="89" ht="25.5" hidden="1" customHeight="1" x14ac:dyDescent="0.35"/>
    <row r="90" ht="25.5" hidden="1" customHeight="1" x14ac:dyDescent="0.35"/>
    <row r="91" ht="25.5" hidden="1" customHeight="1" x14ac:dyDescent="0.35"/>
    <row r="92" ht="25.5" hidden="1" customHeight="1" x14ac:dyDescent="0.35"/>
    <row r="93" ht="25.5" hidden="1" customHeight="1" x14ac:dyDescent="0.35"/>
    <row r="94" ht="25.5" hidden="1" customHeight="1" x14ac:dyDescent="0.35"/>
    <row r="95" ht="25.5" hidden="1" customHeight="1" x14ac:dyDescent="0.35"/>
    <row r="96" ht="25.5" hidden="1" customHeight="1" x14ac:dyDescent="0.35"/>
    <row r="97" ht="25.5" hidden="1" customHeight="1" x14ac:dyDescent="0.35"/>
    <row r="98" ht="25.5" hidden="1" customHeight="1" x14ac:dyDescent="0.35"/>
    <row r="99" ht="25.5" hidden="1" customHeight="1" x14ac:dyDescent="0.35"/>
    <row r="100" ht="25.5" hidden="1" customHeight="1" x14ac:dyDescent="0.35"/>
    <row r="101" ht="25.5" hidden="1" customHeight="1" x14ac:dyDescent="0.35"/>
    <row r="102" ht="25.5" hidden="1" customHeight="1" x14ac:dyDescent="0.35"/>
    <row r="103" ht="25.5" hidden="1" customHeight="1" x14ac:dyDescent="0.35"/>
    <row r="104" ht="25.5" hidden="1" customHeight="1" x14ac:dyDescent="0.35"/>
    <row r="105" ht="25.5" hidden="1" customHeight="1" x14ac:dyDescent="0.35"/>
    <row r="106" ht="25.5" hidden="1" customHeight="1" x14ac:dyDescent="0.35"/>
    <row r="107" ht="25.5" hidden="1" customHeight="1" x14ac:dyDescent="0.35"/>
    <row r="108" ht="25.5" hidden="1" customHeight="1" x14ac:dyDescent="0.35"/>
    <row r="109" ht="25.5" hidden="1" customHeight="1" x14ac:dyDescent="0.35"/>
    <row r="110" ht="25.5" hidden="1" customHeight="1" x14ac:dyDescent="0.35"/>
    <row r="111" ht="25.5" hidden="1" customHeight="1" x14ac:dyDescent="0.35"/>
    <row r="112" ht="25.5" hidden="1" customHeight="1" x14ac:dyDescent="0.35"/>
    <row r="113" ht="25.5" hidden="1" customHeight="1" x14ac:dyDescent="0.35"/>
    <row r="114" ht="25.5" hidden="1" customHeight="1" x14ac:dyDescent="0.35"/>
    <row r="115" ht="25.5" hidden="1" customHeight="1" x14ac:dyDescent="0.35"/>
    <row r="116" ht="25.5" hidden="1" customHeight="1" x14ac:dyDescent="0.35"/>
    <row r="117" ht="25.5" hidden="1" customHeight="1" x14ac:dyDescent="0.35"/>
    <row r="118" ht="25.5" hidden="1" customHeight="1" x14ac:dyDescent="0.35"/>
    <row r="119" ht="25.5" hidden="1" customHeight="1" x14ac:dyDescent="0.35"/>
    <row r="120" ht="25.5" hidden="1" customHeight="1" x14ac:dyDescent="0.35"/>
    <row r="121" ht="25.5" hidden="1" customHeight="1" x14ac:dyDescent="0.35"/>
    <row r="122" ht="25.5" hidden="1" customHeight="1" x14ac:dyDescent="0.35"/>
    <row r="123" ht="25.5" hidden="1" customHeight="1" x14ac:dyDescent="0.35"/>
    <row r="124" ht="25.5" hidden="1" customHeight="1" x14ac:dyDescent="0.35"/>
    <row r="125" ht="25.5" hidden="1" customHeight="1" x14ac:dyDescent="0.35"/>
    <row r="126" ht="25.5" hidden="1" customHeight="1" x14ac:dyDescent="0.35"/>
    <row r="127" ht="25.5" hidden="1" customHeight="1" x14ac:dyDescent="0.35"/>
    <row r="128" ht="25.5" hidden="1" customHeight="1" x14ac:dyDescent="0.35"/>
    <row r="129" spans="54:54" ht="25.5" hidden="1" customHeight="1" x14ac:dyDescent="0.35"/>
    <row r="130" spans="54:54" ht="25.5" hidden="1" customHeight="1" x14ac:dyDescent="0.35"/>
    <row r="131" spans="54:54" ht="25.5" hidden="1" customHeight="1" x14ac:dyDescent="0.35"/>
    <row r="132" spans="54:54" ht="25.5" hidden="1" customHeight="1" x14ac:dyDescent="0.35"/>
    <row r="133" spans="54:54" ht="25.5" hidden="1" customHeight="1" x14ac:dyDescent="0.35"/>
    <row r="134" spans="54:54" ht="25.5" hidden="1" customHeight="1" x14ac:dyDescent="0.35"/>
    <row r="135" spans="54:54" ht="25.5" hidden="1" customHeight="1" x14ac:dyDescent="0.35"/>
    <row r="136" spans="54:54" ht="25.5" hidden="1" customHeight="1" x14ac:dyDescent="0.35"/>
    <row r="137" spans="54:54" ht="25.5" hidden="1" customHeight="1" x14ac:dyDescent="0.35"/>
    <row r="138" spans="54:54" ht="25.5" hidden="1" customHeight="1" x14ac:dyDescent="0.35"/>
    <row r="139" spans="54:54" ht="25.5" hidden="1" customHeight="1" x14ac:dyDescent="0.35"/>
    <row r="140" spans="54:54" ht="25.5" hidden="1" customHeight="1" x14ac:dyDescent="0.35">
      <c r="BB140" s="699" t="e">
        <f>IF(OR(FORMULAS!BV73&gt;0,FORMULAS!BV75&gt;0,FORMULAS!#REF!&gt;0,FORMULAS!#REF!&gt;0,FORMULAS!#REF!&gt;0,FORMULAS!#REF!&gt;0,),1,0)*N35</f>
        <v>#REF!</v>
      </c>
    </row>
    <row r="141" spans="54:54" ht="25.5" hidden="1" customHeight="1" x14ac:dyDescent="0.35">
      <c r="BB141" s="699" t="e">
        <f>IF(OR(FORMULAS!#REF!&gt;0,FORMULAS!#REF!&gt;0,FORMULAS!#REF!&gt;0,FORMULAS!#REF!&gt;0,),1,0)*N36</f>
        <v>#REF!</v>
      </c>
    </row>
  </sheetData>
  <customSheetViews>
    <customSheetView guid="{CF822260-65C0-11DB-9743-000854DFF85C}" scale="50" showRuler="0" topLeftCell="M24">
      <selection activeCell="AB42" sqref="AB42"/>
      <pageMargins left="0.59055118110236227" right="0.59055118110236227" top="0.39370078740157483" bottom="0.39370078740157483" header="0" footer="0"/>
      <pageSetup scale="43" orientation="landscape" horizontalDpi="300" verticalDpi="300" r:id="rId1"/>
      <headerFooter alignWithMargins="0"/>
    </customSheetView>
    <customSheetView guid="{15A61C62-840D-11DA-A6CD-BDC37E227F7F}" scale="50" showRuler="0" topLeftCell="M24">
      <selection activeCell="AB42" sqref="AB42"/>
      <pageMargins left="0.59055118110236227" right="0.59055118110236227" top="0.39370078740157483" bottom="0.39370078740157483" header="0" footer="0"/>
      <pageSetup scale="43" orientation="landscape" horizontalDpi="300" verticalDpi="300" r:id="rId2"/>
      <headerFooter alignWithMargins="0"/>
    </customSheetView>
    <customSheetView guid="{0083E5B0-44AE-40B5-9617-6484D451C028}" scale="50" showPageBreaks="1" showRuler="0">
      <selection activeCell="A19" sqref="A19"/>
      <pageMargins left="0.59055118110236227" right="0.59055118110236227" top="0.39370078740157483" bottom="0.39370078740157483" header="0" footer="0"/>
      <pageSetup scale="43" orientation="landscape" horizontalDpi="300" verticalDpi="300" r:id="rId3"/>
      <headerFooter alignWithMargins="0"/>
    </customSheetView>
    <customSheetView guid="{781ED8A8-51CE-4197-9E83-B42C8B1C8CEA}" scale="50" showRuler="0" topLeftCell="A5">
      <selection activeCell="A14" sqref="A14:A15"/>
      <pageMargins left="0.59055118110236227" right="0.59055118110236227" top="0.39370078740157483" bottom="0.39370078740157483" header="0" footer="0"/>
      <pageSetup scale="43" orientation="landscape" horizontalDpi="300" verticalDpi="300" r:id="rId4"/>
      <headerFooter alignWithMargins="0"/>
    </customSheetView>
  </customSheetViews>
  <mergeCells count="44">
    <mergeCell ref="B49:F49"/>
    <mergeCell ref="A26:A27"/>
    <mergeCell ref="C44:F44"/>
    <mergeCell ref="C40:F40"/>
    <mergeCell ref="C48:F48"/>
    <mergeCell ref="C42:F42"/>
    <mergeCell ref="C43:F43"/>
    <mergeCell ref="J38:N38"/>
    <mergeCell ref="A47:A48"/>
    <mergeCell ref="A44:A45"/>
    <mergeCell ref="C41:F41"/>
    <mergeCell ref="C38:F39"/>
    <mergeCell ref="C47:F47"/>
    <mergeCell ref="C45:F45"/>
    <mergeCell ref="C46:F46"/>
    <mergeCell ref="B38:B39"/>
    <mergeCell ref="A18:A19"/>
    <mergeCell ref="A24:A25"/>
    <mergeCell ref="B37:F37"/>
    <mergeCell ref="A33:B33"/>
    <mergeCell ref="A34:B34"/>
    <mergeCell ref="A35:B35"/>
    <mergeCell ref="BL20:CH20"/>
    <mergeCell ref="AN20:BJ20"/>
    <mergeCell ref="P16:AL16"/>
    <mergeCell ref="AN16:BJ16"/>
    <mergeCell ref="BL16:CH16"/>
    <mergeCell ref="P20:AL20"/>
    <mergeCell ref="A52:F55"/>
    <mergeCell ref="L39:N40"/>
    <mergeCell ref="A1:E2"/>
    <mergeCell ref="F1:N2"/>
    <mergeCell ref="C4:H4"/>
    <mergeCell ref="J3:N3"/>
    <mergeCell ref="A31:B31"/>
    <mergeCell ref="A32:B32"/>
    <mergeCell ref="J4:N4"/>
    <mergeCell ref="A6:N6"/>
    <mergeCell ref="A22:A23"/>
    <mergeCell ref="A16:A17"/>
    <mergeCell ref="A7:B15"/>
    <mergeCell ref="H37:N37"/>
    <mergeCell ref="A20:A21"/>
    <mergeCell ref="A28:A29"/>
  </mergeCells>
  <phoneticPr fontId="0" type="noConversion"/>
  <conditionalFormatting sqref="C17:N17 C25:N25 C21:N21 C29:N29 C23:N23 C19:N19 C27:N27">
    <cfRule type="expression" dxfId="5" priority="1" stopIfTrue="1">
      <formula>IF(OR(C17=$B$44,C17=$B$45,C17=$A$50,),"verdadero","falso")</formula>
    </cfRule>
  </conditionalFormatting>
  <conditionalFormatting sqref="C16:N16 C24:N24 C28:N28 C26:N26 C22:N22 C18:N18 C20:N20">
    <cfRule type="expression" dxfId="4" priority="2" stopIfTrue="1">
      <formula>IF(OR(C17=$B$44,C17=$B$45,C17=$A$50,),"verdadero","falso")</formula>
    </cfRule>
  </conditionalFormatting>
  <dataValidations count="13">
    <dataValidation allowBlank="1" showInputMessage="1" showErrorMessage="1" promptTitle="NOTA" prompt="STANDAR 20, 40" sqref="J22:N22 C16:N16 J18:N18 J20:N20 J24:N24 J26:N26"/>
    <dataValidation allowBlank="1" showInputMessage="1" showErrorMessage="1" promptTitle="NOTA" prompt="DE 12 o 16" sqref="J39"/>
    <dataValidation type="decimal" operator="notBetween" allowBlank="1" showInputMessage="1" showErrorMessage="1" errorTitle="ERROR" error="SOLO ACEPTA VALORES NUMERICOS" promptTitle="NOTA" prompt="STANDAR 20, 40" sqref="C20:I20 C18:I18 C24:I24 C22:I22 C26:I26">
      <formula1>1</formula1>
      <formula2>10</formula2>
    </dataValidation>
    <dataValidation type="whole" operator="notBetween" allowBlank="1" showInputMessage="1" showErrorMessage="1" errorTitle="ERROR" error="SOLO ACEPTA VALORES NUMERICOS" promptTitle="NOTA" prompt="STANDAR 95,115,135,155, 175" sqref="C33:N33">
      <formula1>1</formula1>
      <formula2>10</formula2>
    </dataValidation>
    <dataValidation type="decimal" operator="notBetween" allowBlank="1" showInputMessage="1" showErrorMessage="1" errorTitle="ERROR" error="SOLO ACEPTA VALORES NUMERICOS" promptTitle="NOTA" prompt="STANDAR 20,40,_x000a_TABLERO COMPLETO 80,100,120,140, 160" sqref="C28:N28">
      <formula1>1</formula1>
      <formula2>10</formula2>
    </dataValidation>
    <dataValidation type="list" allowBlank="1" showInputMessage="1" showErrorMessage="1" errorTitle="ERROR" error="NO COINCIDE" sqref="C17:N17 C25:N25 C29:N29 C21:N21 C19:N19 C23:N23 C27:N27">
      <formula1>ACABADOS</formula1>
    </dataValidation>
    <dataValidation type="whole" allowBlank="1" showInputMessage="1" showErrorMessage="1" errorTitle="ERROR" error="SOLO ACEPTA VALORES NUMERICOS Y ANCHOS HASTA 150 CM" promptTitle="ESTANDAR" prompt="28, 56, 70, 84, 112, 140" sqref="C34:N34">
      <formula1>1</formula1>
      <formula2>150</formula2>
    </dataValidation>
    <dataValidation type="textLength" allowBlank="1" showInputMessage="1" showErrorMessage="1" errorTitle="DATOS MUY EXTENSOS" error="INGRESAR NUMEROS _x000a_EN OBSERVACIONES" promptTitle="NOTA" prompt="INGRESAR NUMERO DE PANEL" sqref="C32:N32">
      <formula1>1</formula1>
      <formula2>12</formula2>
    </dataValidation>
    <dataValidation allowBlank="1" showInputMessage="1" showErrorMessage="1" errorTitle="ERROR" error="NO COINCIDE" sqref="B40:B48"/>
    <dataValidation allowBlank="1" showInputMessage="1" showErrorMessage="1" promptTitle="NOTA" prompt="COLOR DE ALUMINIO" sqref="B49"/>
    <dataValidation type="textLength" operator="equal" allowBlank="1" showInputMessage="1" showErrorMessage="1" errorTitle="ERROR" error="INGRESAR DATOS EN HOJA 5" promptTitle="NOTA" prompt="INTRODUCIR EN HOJA 5" sqref="J4:N4">
      <formula1>0</formula1>
    </dataValidation>
    <dataValidation type="list" allowBlank="1" showInputMessage="1" showErrorMessage="1" errorTitle="ERROR" error="NO ES UNA OPCION VALIDA" promptTitle="OPCIONES VALIDAS" prompt="PT MODULAR_x000a_TABLERO COMPLETO_x000a_MEDIA ALTURA" sqref="C31:N31">
      <formula1>$B$61:$B$64</formula1>
    </dataValidation>
    <dataValidation type="textLength" operator="equal" showInputMessage="1" showErrorMessage="1" errorTitle="ERROR" error="INGRESAR DATOS EN HOJA 5" promptTitle="NOTA" prompt="INTRODUCIR EN HOJA 5" sqref="C4">
      <formula1>0</formula1>
    </dataValidation>
  </dataValidations>
  <printOptions horizontalCentered="1" verticalCentered="1"/>
  <pageMargins left="0.35433070866141736" right="0.19685039370078741" top="0.23622047244094491" bottom="0.27559055118110237" header="0" footer="0"/>
  <pageSetup scale="86" orientation="landscape" r:id="rId5"/>
  <headerFooter alignWithMargins="0"/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 enableFormatConditionsCalculation="0">
    <tabColor indexed="27"/>
  </sheetPr>
  <dimension ref="A1:HC142"/>
  <sheetViews>
    <sheetView showGridLines="0" zoomScaleNormal="115" workbookViewId="0">
      <selection activeCell="A4" sqref="A4:N4"/>
    </sheetView>
  </sheetViews>
  <sheetFormatPr baseColWidth="10" defaultColWidth="0" defaultRowHeight="25.5" zeroHeight="1" x14ac:dyDescent="0.35"/>
  <cols>
    <col min="1" max="1" width="8.85546875" style="30" customWidth="1"/>
    <col min="2" max="2" width="6.140625" style="30" customWidth="1"/>
    <col min="3" max="14" width="11.7109375" style="30" customWidth="1"/>
    <col min="15" max="15" width="0.140625" style="30" customWidth="1"/>
    <col min="16" max="27" width="3.7109375" style="50" hidden="1" customWidth="1"/>
    <col min="28" max="28" width="10.85546875" style="699" hidden="1" customWidth="1"/>
    <col min="29" max="40" width="3.7109375" style="699" hidden="1" customWidth="1"/>
    <col min="41" max="41" width="10.85546875" style="699" hidden="1" customWidth="1"/>
    <col min="42" max="53" width="3.7109375" style="699" hidden="1" customWidth="1"/>
    <col min="54" max="54" width="10.85546875" style="699" hidden="1" customWidth="1"/>
    <col min="55" max="66" width="3.7109375" style="699" hidden="1" customWidth="1"/>
    <col min="67" max="67" width="10.85546875" style="699" hidden="1" customWidth="1"/>
    <col min="68" max="79" width="3.7109375" style="699" hidden="1" customWidth="1"/>
    <col min="80" max="80" width="10.85546875" style="699" hidden="1" customWidth="1"/>
    <col min="81" max="92" width="3.7109375" style="699" hidden="1" customWidth="1"/>
    <col min="93" max="93" width="10.85546875" style="699" hidden="1" customWidth="1"/>
    <col min="94" max="105" width="3.7109375" style="699" hidden="1" customWidth="1"/>
    <col min="106" max="106" width="10.85546875" style="699" hidden="1" customWidth="1"/>
    <col min="107" max="114" width="3.7109375" style="699" hidden="1" customWidth="1"/>
    <col min="115" max="118" width="3.7109375" style="50" hidden="1" customWidth="1"/>
    <col min="119" max="119" width="10.85546875" style="50" hidden="1" customWidth="1"/>
    <col min="120" max="131" width="3.7109375" style="50" hidden="1" customWidth="1"/>
    <col min="132" max="132" width="10.85546875" style="50" hidden="1" customWidth="1"/>
    <col min="133" max="133" width="3.7109375" style="50" hidden="1" customWidth="1"/>
    <col min="134" max="144" width="3.7109375" style="699" hidden="1" customWidth="1"/>
    <col min="145" max="145" width="10.85546875" style="699" hidden="1" customWidth="1"/>
    <col min="146" max="157" width="3.7109375" style="699" hidden="1" customWidth="1"/>
    <col min="158" max="158" width="10.85546875" style="699" hidden="1" customWidth="1"/>
    <col min="159" max="170" width="3.7109375" style="699" hidden="1" customWidth="1"/>
    <col min="171" max="171" width="11" style="699" hidden="1" customWidth="1"/>
    <col min="172" max="198" width="10.85546875" style="699" hidden="1" customWidth="1"/>
    <col min="199" max="211" width="10.85546875" style="50" hidden="1" customWidth="1"/>
    <col min="212" max="16384" width="0" style="50" hidden="1"/>
  </cols>
  <sheetData>
    <row r="1" spans="1:171" ht="36" customHeight="1" x14ac:dyDescent="0.35">
      <c r="A1" s="1400"/>
      <c r="B1" s="1400"/>
      <c r="E1" s="1314"/>
      <c r="F1" s="1314"/>
      <c r="G1" s="1314"/>
      <c r="H1" s="973"/>
      <c r="I1" s="1070"/>
      <c r="J1" s="1071"/>
      <c r="K1" s="1080" t="s">
        <v>1159</v>
      </c>
      <c r="L1" s="1050">
        <f>+'5 ALMACEN '!W1</f>
        <v>0</v>
      </c>
      <c r="M1" s="1068"/>
      <c r="N1" s="713"/>
    </row>
    <row r="2" spans="1:171" ht="21" customHeight="1" x14ac:dyDescent="0.35">
      <c r="A2" s="1400"/>
      <c r="B2" s="1400"/>
      <c r="C2" s="1055" t="s">
        <v>99</v>
      </c>
      <c r="D2" s="1398">
        <f>+'5 ALMACEN '!D2</f>
        <v>0</v>
      </c>
      <c r="E2" s="1398"/>
      <c r="F2" s="1398"/>
      <c r="G2" s="1398"/>
      <c r="H2" s="1398"/>
      <c r="I2" s="1069" t="s">
        <v>97</v>
      </c>
      <c r="J2" s="1398">
        <f>+'5 ALMACEN '!S2</f>
        <v>0</v>
      </c>
      <c r="K2" s="1398"/>
      <c r="L2" s="1398"/>
      <c r="M2" s="1398"/>
      <c r="N2" s="1398"/>
    </row>
    <row r="3" spans="1:171" ht="3" customHeight="1" x14ac:dyDescent="0.35"/>
    <row r="4" spans="1:171" s="591" customFormat="1" ht="16.5" customHeight="1" x14ac:dyDescent="0.2">
      <c r="A4" s="1399" t="s">
        <v>1139</v>
      </c>
      <c r="B4" s="1399"/>
      <c r="C4" s="1399"/>
      <c r="D4" s="1399"/>
      <c r="E4" s="1399"/>
      <c r="F4" s="1399"/>
      <c r="G4" s="1399"/>
      <c r="H4" s="1399"/>
      <c r="I4" s="1399"/>
      <c r="J4" s="1399"/>
      <c r="K4" s="1399"/>
      <c r="L4" s="1399"/>
      <c r="M4" s="1399"/>
      <c r="N4" s="1399"/>
      <c r="O4" s="32"/>
      <c r="P4" s="700"/>
      <c r="Q4" s="700"/>
      <c r="R4" s="700"/>
      <c r="S4" s="700"/>
      <c r="T4" s="700"/>
      <c r="U4" s="700"/>
      <c r="V4" s="700"/>
      <c r="W4" s="700"/>
      <c r="X4" s="700"/>
      <c r="Y4" s="700"/>
      <c r="Z4" s="700"/>
      <c r="AA4" s="700"/>
      <c r="AB4" s="700"/>
      <c r="AC4" s="700"/>
      <c r="AD4" s="700"/>
      <c r="AE4" s="700"/>
      <c r="AF4" s="700"/>
      <c r="AG4" s="700"/>
      <c r="AH4" s="700"/>
      <c r="AI4" s="700"/>
      <c r="AJ4" s="700"/>
      <c r="AK4" s="700"/>
      <c r="AL4" s="700"/>
      <c r="AM4" s="700"/>
      <c r="AN4" s="700"/>
      <c r="AO4" s="700"/>
      <c r="AP4" s="700"/>
      <c r="AQ4" s="700"/>
      <c r="AR4" s="700"/>
      <c r="AS4" s="700"/>
      <c r="AT4" s="700"/>
      <c r="AU4" s="700"/>
      <c r="AV4" s="700"/>
      <c r="AW4" s="700"/>
      <c r="AX4" s="700"/>
      <c r="AY4" s="700"/>
      <c r="AZ4" s="700"/>
      <c r="BA4" s="700"/>
      <c r="BB4" s="700"/>
      <c r="BC4" s="700"/>
      <c r="BD4" s="700"/>
      <c r="BE4" s="700"/>
      <c r="BF4" s="700"/>
      <c r="BG4" s="700"/>
      <c r="BH4" s="700"/>
      <c r="BI4" s="700"/>
      <c r="BJ4" s="700"/>
      <c r="BK4" s="700"/>
      <c r="BL4" s="700"/>
      <c r="BM4" s="700"/>
      <c r="BN4" s="700"/>
      <c r="BO4" s="700"/>
      <c r="BP4" s="700"/>
      <c r="BQ4" s="700"/>
      <c r="BR4" s="700"/>
      <c r="BS4" s="700"/>
      <c r="BT4" s="700"/>
      <c r="BU4" s="700"/>
      <c r="BV4" s="700"/>
      <c r="BW4" s="700"/>
      <c r="BX4" s="700"/>
      <c r="BY4" s="700"/>
      <c r="BZ4" s="700"/>
      <c r="CA4" s="700"/>
      <c r="CB4" s="700"/>
      <c r="CC4" s="700"/>
      <c r="CD4" s="700"/>
      <c r="CE4" s="700"/>
      <c r="CF4" s="700"/>
      <c r="CG4" s="700"/>
      <c r="CH4" s="700"/>
      <c r="CI4" s="700"/>
      <c r="CJ4" s="700"/>
      <c r="CK4" s="700"/>
      <c r="CL4" s="700"/>
      <c r="CM4" s="700"/>
      <c r="CN4" s="700"/>
      <c r="CO4" s="700"/>
      <c r="CP4" s="700"/>
      <c r="CQ4" s="700"/>
      <c r="CR4" s="700"/>
      <c r="CS4" s="700"/>
      <c r="CT4" s="700"/>
      <c r="CU4" s="700"/>
      <c r="CV4" s="700"/>
      <c r="CW4" s="700"/>
      <c r="CX4" s="700"/>
      <c r="CY4" s="700"/>
      <c r="CZ4" s="700"/>
      <c r="DA4" s="700"/>
      <c r="DB4" s="700"/>
      <c r="DC4" s="700"/>
      <c r="DD4" s="700"/>
      <c r="DE4" s="700"/>
      <c r="DF4" s="700"/>
      <c r="DG4" s="700"/>
      <c r="DH4" s="700"/>
      <c r="DI4" s="700"/>
      <c r="DJ4" s="700"/>
      <c r="DK4" s="700"/>
      <c r="DL4" s="700"/>
      <c r="DM4" s="700"/>
      <c r="DN4" s="700"/>
      <c r="DO4" s="700"/>
      <c r="DP4" s="700"/>
      <c r="DQ4" s="700"/>
      <c r="DR4" s="700"/>
      <c r="DS4" s="700"/>
      <c r="DT4" s="700"/>
      <c r="DU4" s="700"/>
      <c r="DV4" s="700"/>
      <c r="DW4" s="700"/>
      <c r="DX4" s="700"/>
      <c r="DY4" s="700"/>
      <c r="DZ4" s="700"/>
      <c r="EA4" s="700"/>
      <c r="EB4" s="700"/>
      <c r="EC4" s="700"/>
      <c r="ED4" s="700"/>
      <c r="EE4" s="700"/>
      <c r="EF4" s="700"/>
      <c r="EG4" s="700"/>
      <c r="EH4" s="700"/>
      <c r="EI4" s="700"/>
      <c r="EJ4" s="700"/>
      <c r="EK4" s="700"/>
      <c r="EL4" s="700"/>
      <c r="EM4" s="700"/>
      <c r="EN4" s="700"/>
      <c r="EO4" s="700"/>
      <c r="EP4" s="700"/>
      <c r="EQ4" s="700"/>
      <c r="ER4" s="700"/>
      <c r="ES4" s="700"/>
      <c r="ET4" s="700"/>
      <c r="EU4" s="700"/>
      <c r="EV4" s="700"/>
      <c r="EW4" s="700"/>
      <c r="EX4" s="700"/>
      <c r="EY4" s="700"/>
      <c r="EZ4" s="700"/>
      <c r="FA4" s="700"/>
      <c r="FB4" s="700"/>
      <c r="FC4" s="700"/>
      <c r="FD4" s="700"/>
      <c r="FE4" s="700"/>
      <c r="FF4" s="700"/>
      <c r="FG4" s="700"/>
      <c r="FH4" s="700"/>
      <c r="FI4" s="700"/>
      <c r="FJ4" s="700"/>
      <c r="FK4" s="700"/>
      <c r="FL4" s="700"/>
      <c r="FM4" s="700"/>
      <c r="FN4" s="700"/>
      <c r="FO4" s="700"/>
    </row>
    <row r="5" spans="1:171" s="591" customFormat="1" ht="8.25" hidden="1" customHeight="1" x14ac:dyDescent="0.2">
      <c r="A5" s="1401" t="s">
        <v>1118</v>
      </c>
      <c r="B5" s="1401"/>
      <c r="C5" s="1072">
        <f t="shared" ref="C5:N5" si="0">+$B$38</f>
        <v>0</v>
      </c>
      <c r="D5" s="1072">
        <f t="shared" si="0"/>
        <v>0</v>
      </c>
      <c r="E5" s="1072">
        <f t="shared" si="0"/>
        <v>0</v>
      </c>
      <c r="F5" s="1072">
        <f t="shared" si="0"/>
        <v>0</v>
      </c>
      <c r="G5" s="1072">
        <f t="shared" si="0"/>
        <v>0</v>
      </c>
      <c r="H5" s="1072">
        <f t="shared" si="0"/>
        <v>0</v>
      </c>
      <c r="I5" s="1072">
        <f t="shared" si="0"/>
        <v>0</v>
      </c>
      <c r="J5" s="1072">
        <f t="shared" si="0"/>
        <v>0</v>
      </c>
      <c r="K5" s="1072">
        <f t="shared" si="0"/>
        <v>0</v>
      </c>
      <c r="L5" s="1072">
        <f t="shared" si="0"/>
        <v>0</v>
      </c>
      <c r="M5" s="1072">
        <f t="shared" si="0"/>
        <v>0</v>
      </c>
      <c r="N5" s="1072">
        <f t="shared" si="0"/>
        <v>0</v>
      </c>
      <c r="O5" s="32"/>
      <c r="P5" s="700"/>
      <c r="Q5" s="700"/>
      <c r="R5" s="700"/>
      <c r="S5" s="700"/>
      <c r="T5" s="700"/>
      <c r="U5" s="700"/>
      <c r="V5" s="700"/>
      <c r="W5" s="700"/>
      <c r="X5" s="700"/>
      <c r="Y5" s="700"/>
      <c r="Z5" s="700"/>
      <c r="AA5" s="700"/>
      <c r="AB5" s="700"/>
      <c r="AC5" s="700"/>
      <c r="AD5" s="700"/>
      <c r="AE5" s="700"/>
      <c r="AF5" s="700"/>
      <c r="AG5" s="700"/>
      <c r="AH5" s="700"/>
      <c r="AI5" s="700"/>
      <c r="AJ5" s="700"/>
      <c r="AK5" s="700"/>
      <c r="AL5" s="700"/>
      <c r="AM5" s="700"/>
      <c r="AN5" s="700"/>
      <c r="AO5" s="700"/>
      <c r="AP5" s="700"/>
      <c r="AQ5" s="700"/>
      <c r="AR5" s="700"/>
      <c r="AS5" s="700"/>
      <c r="AT5" s="700"/>
      <c r="AU5" s="700"/>
      <c r="AV5" s="700"/>
      <c r="AW5" s="700"/>
      <c r="AX5" s="700"/>
      <c r="AY5" s="700"/>
      <c r="AZ5" s="700"/>
      <c r="BA5" s="700"/>
      <c r="BB5" s="700"/>
      <c r="BC5" s="700"/>
      <c r="BD5" s="700"/>
      <c r="BE5" s="700"/>
      <c r="BF5" s="700"/>
      <c r="BG5" s="700"/>
      <c r="BH5" s="700"/>
      <c r="BI5" s="700"/>
      <c r="BJ5" s="700"/>
      <c r="BK5" s="700"/>
      <c r="BL5" s="700"/>
      <c r="BM5" s="700"/>
      <c r="BN5" s="700"/>
      <c r="BO5" s="700"/>
      <c r="BP5" s="700"/>
      <c r="BQ5" s="700"/>
      <c r="BR5" s="700"/>
      <c r="BS5" s="700"/>
      <c r="BT5" s="700"/>
      <c r="BU5" s="700"/>
      <c r="BV5" s="700"/>
      <c r="BW5" s="700"/>
      <c r="BX5" s="700"/>
      <c r="BY5" s="700"/>
      <c r="BZ5" s="700"/>
      <c r="CA5" s="700"/>
      <c r="CB5" s="700"/>
      <c r="CC5" s="700"/>
      <c r="CD5" s="700"/>
      <c r="CE5" s="700"/>
      <c r="CF5" s="700"/>
      <c r="CG5" s="700"/>
      <c r="CH5" s="700"/>
      <c r="CI5" s="700"/>
      <c r="CJ5" s="700"/>
      <c r="CK5" s="700"/>
      <c r="CL5" s="700"/>
      <c r="CM5" s="700"/>
      <c r="CN5" s="700"/>
      <c r="CO5" s="700"/>
      <c r="CP5" s="700"/>
      <c r="CQ5" s="700"/>
      <c r="CR5" s="700"/>
      <c r="CS5" s="700"/>
      <c r="CT5" s="700"/>
      <c r="CU5" s="700"/>
      <c r="CV5" s="700"/>
      <c r="CW5" s="700"/>
      <c r="CX5" s="700"/>
      <c r="CY5" s="700"/>
      <c r="CZ5" s="700"/>
      <c r="DA5" s="700"/>
      <c r="DB5" s="700"/>
      <c r="DC5" s="700"/>
      <c r="DD5" s="700"/>
      <c r="DE5" s="700"/>
      <c r="DF5" s="700"/>
      <c r="DG5" s="700"/>
      <c r="DH5" s="700"/>
      <c r="DI5" s="700"/>
      <c r="DJ5" s="700"/>
      <c r="DK5" s="700"/>
      <c r="DL5" s="700"/>
      <c r="DM5" s="700"/>
      <c r="DN5" s="700"/>
      <c r="DO5" s="700"/>
      <c r="DP5" s="700"/>
      <c r="DQ5" s="700"/>
      <c r="DR5" s="700"/>
      <c r="DS5" s="700"/>
      <c r="DT5" s="700"/>
      <c r="DU5" s="700"/>
      <c r="DV5" s="700"/>
      <c r="DW5" s="700"/>
      <c r="DX5" s="700"/>
      <c r="DY5" s="700"/>
      <c r="DZ5" s="700"/>
      <c r="EA5" s="700"/>
      <c r="EB5" s="700"/>
      <c r="EC5" s="700"/>
      <c r="ED5" s="700"/>
      <c r="EE5" s="700"/>
      <c r="EF5" s="700"/>
      <c r="EG5" s="700"/>
      <c r="EH5" s="700"/>
      <c r="EI5" s="700"/>
      <c r="EJ5" s="700"/>
      <c r="EK5" s="700"/>
      <c r="EL5" s="700"/>
      <c r="EM5" s="700"/>
      <c r="EN5" s="700"/>
      <c r="EO5" s="700"/>
      <c r="EP5" s="700"/>
      <c r="EQ5" s="700"/>
      <c r="ER5" s="700"/>
      <c r="ES5" s="700"/>
      <c r="ET5" s="700"/>
      <c r="EU5" s="700"/>
      <c r="EV5" s="700"/>
      <c r="EW5" s="700"/>
      <c r="EX5" s="700"/>
      <c r="EY5" s="700"/>
      <c r="EZ5" s="700"/>
      <c r="FA5" s="700"/>
      <c r="FB5" s="700"/>
      <c r="FC5" s="700"/>
      <c r="FD5" s="700"/>
      <c r="FE5" s="700"/>
      <c r="FF5" s="700"/>
      <c r="FG5" s="700"/>
      <c r="FH5" s="700"/>
      <c r="FI5" s="700"/>
      <c r="FJ5" s="700"/>
      <c r="FK5" s="700"/>
      <c r="FL5" s="700"/>
      <c r="FM5" s="700"/>
      <c r="FN5" s="700"/>
      <c r="FO5" s="700"/>
    </row>
    <row r="6" spans="1:171" s="591" customFormat="1" ht="8.25" hidden="1" customHeight="1" x14ac:dyDescent="0.2">
      <c r="A6" s="1402"/>
      <c r="B6" s="1402"/>
      <c r="C6" s="1072">
        <f t="shared" ref="C6:N6" si="1">+$B$39</f>
        <v>0</v>
      </c>
      <c r="D6" s="1072">
        <f t="shared" si="1"/>
        <v>0</v>
      </c>
      <c r="E6" s="1072">
        <f t="shared" si="1"/>
        <v>0</v>
      </c>
      <c r="F6" s="1072">
        <f t="shared" si="1"/>
        <v>0</v>
      </c>
      <c r="G6" s="1072">
        <f t="shared" si="1"/>
        <v>0</v>
      </c>
      <c r="H6" s="1072">
        <f t="shared" si="1"/>
        <v>0</v>
      </c>
      <c r="I6" s="1072">
        <f t="shared" si="1"/>
        <v>0</v>
      </c>
      <c r="J6" s="1072">
        <f t="shared" si="1"/>
        <v>0</v>
      </c>
      <c r="K6" s="1072">
        <f t="shared" si="1"/>
        <v>0</v>
      </c>
      <c r="L6" s="1072">
        <f t="shared" si="1"/>
        <v>0</v>
      </c>
      <c r="M6" s="1072">
        <f t="shared" si="1"/>
        <v>0</v>
      </c>
      <c r="N6" s="1072">
        <f t="shared" si="1"/>
        <v>0</v>
      </c>
      <c r="O6" s="32"/>
      <c r="P6" s="700"/>
      <c r="Q6" s="700"/>
      <c r="R6" s="700"/>
      <c r="S6" s="700"/>
      <c r="T6" s="700"/>
      <c r="U6" s="700"/>
      <c r="V6" s="700"/>
      <c r="W6" s="700"/>
      <c r="X6" s="700"/>
      <c r="Y6" s="700"/>
      <c r="Z6" s="700"/>
      <c r="AA6" s="700"/>
      <c r="AB6" s="700"/>
      <c r="AC6" s="700"/>
      <c r="AD6" s="700"/>
      <c r="AE6" s="700"/>
      <c r="AF6" s="700"/>
      <c r="AG6" s="700"/>
      <c r="AH6" s="700"/>
      <c r="AI6" s="700"/>
      <c r="AJ6" s="700"/>
      <c r="AK6" s="700"/>
      <c r="AL6" s="700"/>
      <c r="AM6" s="700"/>
      <c r="AN6" s="700"/>
      <c r="AO6" s="700"/>
      <c r="AP6" s="700"/>
      <c r="AQ6" s="700"/>
      <c r="AR6" s="700"/>
      <c r="AS6" s="700"/>
      <c r="AT6" s="700"/>
      <c r="AU6" s="700"/>
      <c r="AV6" s="700"/>
      <c r="AW6" s="700"/>
      <c r="AX6" s="700"/>
      <c r="AY6" s="700"/>
      <c r="AZ6" s="700"/>
      <c r="BA6" s="700"/>
      <c r="BB6" s="700"/>
      <c r="BC6" s="700"/>
      <c r="BD6" s="700"/>
      <c r="BE6" s="700"/>
      <c r="BF6" s="700"/>
      <c r="BG6" s="700"/>
      <c r="BH6" s="700"/>
      <c r="BI6" s="700"/>
      <c r="BJ6" s="700"/>
      <c r="BK6" s="700"/>
      <c r="BL6" s="700"/>
      <c r="BM6" s="700"/>
      <c r="BN6" s="700"/>
      <c r="BO6" s="700"/>
      <c r="BP6" s="700"/>
      <c r="BQ6" s="700"/>
      <c r="BR6" s="700"/>
      <c r="BS6" s="700"/>
      <c r="BT6" s="700"/>
      <c r="BU6" s="700"/>
      <c r="BV6" s="700"/>
      <c r="BW6" s="700"/>
      <c r="BX6" s="700"/>
      <c r="BY6" s="700"/>
      <c r="BZ6" s="700"/>
      <c r="CA6" s="700"/>
      <c r="CB6" s="700"/>
      <c r="CC6" s="700"/>
      <c r="CD6" s="700"/>
      <c r="CE6" s="700"/>
      <c r="CF6" s="700"/>
      <c r="CG6" s="700"/>
      <c r="CH6" s="700"/>
      <c r="CI6" s="700"/>
      <c r="CJ6" s="700"/>
      <c r="CK6" s="700"/>
      <c r="CL6" s="700"/>
      <c r="CM6" s="700"/>
      <c r="CN6" s="700"/>
      <c r="CO6" s="700"/>
      <c r="CP6" s="700"/>
      <c r="CQ6" s="700"/>
      <c r="CR6" s="700"/>
      <c r="CS6" s="700"/>
      <c r="CT6" s="700"/>
      <c r="CU6" s="700"/>
      <c r="CV6" s="700"/>
      <c r="CW6" s="700"/>
      <c r="CX6" s="700"/>
      <c r="CY6" s="700"/>
      <c r="CZ6" s="700"/>
      <c r="DA6" s="700"/>
      <c r="DB6" s="700"/>
      <c r="DC6" s="700"/>
      <c r="DD6" s="700"/>
      <c r="DE6" s="700"/>
      <c r="DF6" s="700"/>
      <c r="DG6" s="700"/>
      <c r="DH6" s="700"/>
      <c r="DI6" s="700"/>
      <c r="DJ6" s="700"/>
      <c r="DK6" s="700"/>
      <c r="DL6" s="700"/>
      <c r="DM6" s="700"/>
      <c r="DN6" s="700"/>
      <c r="DO6" s="700"/>
      <c r="DP6" s="700"/>
      <c r="DQ6" s="700"/>
      <c r="DR6" s="700"/>
      <c r="DS6" s="700"/>
      <c r="DT6" s="700"/>
      <c r="DU6" s="700"/>
      <c r="DV6" s="700"/>
      <c r="DW6" s="700"/>
      <c r="DX6" s="700"/>
      <c r="DY6" s="700"/>
      <c r="DZ6" s="700"/>
      <c r="EA6" s="700"/>
      <c r="EB6" s="700"/>
      <c r="EC6" s="700"/>
      <c r="ED6" s="700"/>
      <c r="EE6" s="700"/>
      <c r="EF6" s="700"/>
      <c r="EG6" s="700"/>
      <c r="EH6" s="700"/>
      <c r="EI6" s="700"/>
      <c r="EJ6" s="700"/>
      <c r="EK6" s="700"/>
      <c r="EL6" s="700"/>
      <c r="EM6" s="700"/>
      <c r="EN6" s="700"/>
      <c r="EO6" s="700"/>
      <c r="EP6" s="700"/>
      <c r="EQ6" s="700"/>
      <c r="ER6" s="700"/>
      <c r="ES6" s="700"/>
      <c r="ET6" s="700"/>
      <c r="EU6" s="700"/>
      <c r="EV6" s="700"/>
      <c r="EW6" s="700"/>
      <c r="EX6" s="700"/>
      <c r="EY6" s="700"/>
      <c r="EZ6" s="700"/>
      <c r="FA6" s="700"/>
      <c r="FB6" s="700"/>
      <c r="FC6" s="700"/>
      <c r="FD6" s="700"/>
      <c r="FE6" s="700"/>
      <c r="FF6" s="700"/>
      <c r="FG6" s="700"/>
      <c r="FH6" s="700"/>
      <c r="FI6" s="700"/>
      <c r="FJ6" s="700"/>
      <c r="FK6" s="700"/>
      <c r="FL6" s="700"/>
      <c r="FM6" s="700"/>
      <c r="FN6" s="700"/>
      <c r="FO6" s="700"/>
    </row>
    <row r="7" spans="1:171" s="591" customFormat="1" ht="8.25" hidden="1" customHeight="1" x14ac:dyDescent="0.2">
      <c r="A7" s="1402"/>
      <c r="B7" s="1402"/>
      <c r="C7" s="1072">
        <f t="shared" ref="C7:N7" si="2">+$B$40</f>
        <v>0</v>
      </c>
      <c r="D7" s="1072">
        <f t="shared" si="2"/>
        <v>0</v>
      </c>
      <c r="E7" s="1072">
        <f t="shared" si="2"/>
        <v>0</v>
      </c>
      <c r="F7" s="1072">
        <f t="shared" si="2"/>
        <v>0</v>
      </c>
      <c r="G7" s="1072">
        <f t="shared" si="2"/>
        <v>0</v>
      </c>
      <c r="H7" s="1072">
        <f t="shared" si="2"/>
        <v>0</v>
      </c>
      <c r="I7" s="1072">
        <f t="shared" si="2"/>
        <v>0</v>
      </c>
      <c r="J7" s="1072">
        <f t="shared" si="2"/>
        <v>0</v>
      </c>
      <c r="K7" s="1072">
        <f t="shared" si="2"/>
        <v>0</v>
      </c>
      <c r="L7" s="1072">
        <f t="shared" si="2"/>
        <v>0</v>
      </c>
      <c r="M7" s="1072">
        <f t="shared" si="2"/>
        <v>0</v>
      </c>
      <c r="N7" s="1072">
        <f t="shared" si="2"/>
        <v>0</v>
      </c>
      <c r="O7" s="32"/>
      <c r="P7" s="700"/>
      <c r="Q7" s="700"/>
      <c r="R7" s="700"/>
      <c r="S7" s="700"/>
      <c r="T7" s="700"/>
      <c r="U7" s="700"/>
      <c r="V7" s="700"/>
      <c r="W7" s="700"/>
      <c r="X7" s="700"/>
      <c r="Y7" s="700"/>
      <c r="Z7" s="700"/>
      <c r="AA7" s="700"/>
      <c r="AB7" s="700"/>
      <c r="AC7" s="700"/>
      <c r="AD7" s="700"/>
      <c r="AE7" s="700"/>
      <c r="AF7" s="700"/>
      <c r="AG7" s="700"/>
      <c r="AH7" s="700"/>
      <c r="AI7" s="700"/>
      <c r="AJ7" s="700"/>
      <c r="AK7" s="700"/>
      <c r="AL7" s="700"/>
      <c r="AM7" s="700"/>
      <c r="AN7" s="700"/>
      <c r="AO7" s="700"/>
      <c r="AP7" s="700"/>
      <c r="AQ7" s="700"/>
      <c r="AR7" s="700"/>
      <c r="AS7" s="700"/>
      <c r="AT7" s="700"/>
      <c r="AU7" s="700"/>
      <c r="AV7" s="700"/>
      <c r="AW7" s="700"/>
      <c r="AX7" s="700"/>
      <c r="AY7" s="700"/>
      <c r="AZ7" s="700"/>
      <c r="BA7" s="700"/>
      <c r="BB7" s="700"/>
      <c r="BC7" s="700"/>
      <c r="BD7" s="700"/>
      <c r="BE7" s="700"/>
      <c r="BF7" s="700"/>
      <c r="BG7" s="700"/>
      <c r="BH7" s="700"/>
      <c r="BI7" s="700"/>
      <c r="BJ7" s="700"/>
      <c r="BK7" s="700"/>
      <c r="BL7" s="700"/>
      <c r="BM7" s="700"/>
      <c r="BN7" s="700"/>
      <c r="BO7" s="700"/>
      <c r="BP7" s="700"/>
      <c r="BQ7" s="700"/>
      <c r="BR7" s="700"/>
      <c r="BS7" s="700"/>
      <c r="BT7" s="700"/>
      <c r="BU7" s="700"/>
      <c r="BV7" s="700"/>
      <c r="BW7" s="700"/>
      <c r="BX7" s="700"/>
      <c r="BY7" s="700"/>
      <c r="BZ7" s="700"/>
      <c r="CA7" s="700"/>
      <c r="CB7" s="700"/>
      <c r="CC7" s="700"/>
      <c r="CD7" s="700"/>
      <c r="CE7" s="700"/>
      <c r="CF7" s="700"/>
      <c r="CG7" s="700"/>
      <c r="CH7" s="700"/>
      <c r="CI7" s="700"/>
      <c r="CJ7" s="700"/>
      <c r="CK7" s="700"/>
      <c r="CL7" s="700"/>
      <c r="CM7" s="700"/>
      <c r="CN7" s="700"/>
      <c r="CO7" s="700"/>
      <c r="CP7" s="700"/>
      <c r="CQ7" s="700"/>
      <c r="CR7" s="700"/>
      <c r="CS7" s="700"/>
      <c r="CT7" s="700"/>
      <c r="CU7" s="700"/>
      <c r="CV7" s="700"/>
      <c r="CW7" s="700"/>
      <c r="CX7" s="700"/>
      <c r="CY7" s="700"/>
      <c r="CZ7" s="700"/>
      <c r="DA7" s="700"/>
      <c r="DB7" s="700"/>
      <c r="DC7" s="700"/>
      <c r="DD7" s="700"/>
      <c r="DE7" s="700"/>
      <c r="DF7" s="700"/>
      <c r="DG7" s="700"/>
      <c r="DH7" s="700"/>
      <c r="DI7" s="700"/>
      <c r="DJ7" s="700"/>
      <c r="DK7" s="700"/>
      <c r="DL7" s="700"/>
      <c r="DM7" s="700"/>
      <c r="DN7" s="700"/>
      <c r="DO7" s="700"/>
      <c r="DP7" s="700"/>
      <c r="DQ7" s="700"/>
      <c r="DR7" s="700"/>
      <c r="DS7" s="700"/>
      <c r="DT7" s="700"/>
      <c r="DU7" s="700"/>
      <c r="DV7" s="700"/>
      <c r="DW7" s="700"/>
      <c r="DX7" s="700"/>
      <c r="DY7" s="700"/>
      <c r="DZ7" s="700"/>
      <c r="EA7" s="700"/>
      <c r="EB7" s="700"/>
      <c r="EC7" s="700"/>
      <c r="ED7" s="700"/>
      <c r="EE7" s="700"/>
      <c r="EF7" s="700"/>
      <c r="EG7" s="700"/>
      <c r="EH7" s="700"/>
      <c r="EI7" s="700"/>
      <c r="EJ7" s="700"/>
      <c r="EK7" s="700"/>
      <c r="EL7" s="700"/>
      <c r="EM7" s="700"/>
      <c r="EN7" s="700"/>
      <c r="EO7" s="700"/>
      <c r="EP7" s="700"/>
      <c r="EQ7" s="700"/>
      <c r="ER7" s="700"/>
      <c r="ES7" s="700"/>
      <c r="ET7" s="700"/>
      <c r="EU7" s="700"/>
      <c r="EV7" s="700"/>
      <c r="EW7" s="700"/>
      <c r="EX7" s="700"/>
      <c r="EY7" s="700"/>
      <c r="EZ7" s="700"/>
      <c r="FA7" s="700"/>
      <c r="FB7" s="700"/>
      <c r="FC7" s="700"/>
      <c r="FD7" s="700"/>
      <c r="FE7" s="700"/>
      <c r="FF7" s="700"/>
      <c r="FG7" s="700"/>
      <c r="FH7" s="700"/>
      <c r="FI7" s="700"/>
      <c r="FJ7" s="700"/>
      <c r="FK7" s="700"/>
      <c r="FL7" s="700"/>
      <c r="FM7" s="700"/>
      <c r="FN7" s="700"/>
      <c r="FO7" s="700"/>
    </row>
    <row r="8" spans="1:171" s="591" customFormat="1" ht="8.25" hidden="1" customHeight="1" x14ac:dyDescent="0.2">
      <c r="A8" s="1402"/>
      <c r="B8" s="1402"/>
      <c r="C8" s="1072">
        <f t="shared" ref="C8:N8" si="3">+$B$41</f>
        <v>0</v>
      </c>
      <c r="D8" s="1072">
        <f t="shared" si="3"/>
        <v>0</v>
      </c>
      <c r="E8" s="1072">
        <f t="shared" si="3"/>
        <v>0</v>
      </c>
      <c r="F8" s="1072">
        <f t="shared" si="3"/>
        <v>0</v>
      </c>
      <c r="G8" s="1072">
        <f t="shared" si="3"/>
        <v>0</v>
      </c>
      <c r="H8" s="1072">
        <f t="shared" si="3"/>
        <v>0</v>
      </c>
      <c r="I8" s="1072">
        <f t="shared" si="3"/>
        <v>0</v>
      </c>
      <c r="J8" s="1072">
        <f t="shared" si="3"/>
        <v>0</v>
      </c>
      <c r="K8" s="1072">
        <f t="shared" si="3"/>
        <v>0</v>
      </c>
      <c r="L8" s="1072">
        <f t="shared" si="3"/>
        <v>0</v>
      </c>
      <c r="M8" s="1072">
        <f t="shared" si="3"/>
        <v>0</v>
      </c>
      <c r="N8" s="1072">
        <f t="shared" si="3"/>
        <v>0</v>
      </c>
      <c r="O8" s="32"/>
      <c r="P8" s="700"/>
      <c r="Q8" s="700"/>
      <c r="R8" s="700"/>
      <c r="S8" s="700"/>
      <c r="T8" s="700"/>
      <c r="U8" s="700"/>
      <c r="V8" s="700"/>
      <c r="W8" s="700"/>
      <c r="X8" s="700"/>
      <c r="Y8" s="700"/>
      <c r="Z8" s="700"/>
      <c r="AA8" s="700"/>
      <c r="AB8" s="700"/>
      <c r="AC8" s="700"/>
      <c r="AD8" s="700"/>
      <c r="AE8" s="700"/>
      <c r="AF8" s="700"/>
      <c r="AG8" s="700"/>
      <c r="AH8" s="700"/>
      <c r="AI8" s="700"/>
      <c r="AJ8" s="700"/>
      <c r="AK8" s="700"/>
      <c r="AL8" s="700"/>
      <c r="AM8" s="700"/>
      <c r="AN8" s="700"/>
      <c r="AO8" s="700"/>
      <c r="AP8" s="700"/>
      <c r="AQ8" s="700"/>
      <c r="AR8" s="700"/>
      <c r="AS8" s="700"/>
      <c r="AT8" s="700"/>
      <c r="AU8" s="700"/>
      <c r="AV8" s="700"/>
      <c r="AW8" s="700"/>
      <c r="AX8" s="700"/>
      <c r="AY8" s="700"/>
      <c r="AZ8" s="700"/>
      <c r="BA8" s="700"/>
      <c r="BB8" s="700"/>
      <c r="BC8" s="700"/>
      <c r="BD8" s="700"/>
      <c r="BE8" s="700"/>
      <c r="BF8" s="700"/>
      <c r="BG8" s="700"/>
      <c r="BH8" s="700"/>
      <c r="BI8" s="700"/>
      <c r="BJ8" s="700"/>
      <c r="BK8" s="700"/>
      <c r="BL8" s="700"/>
      <c r="BM8" s="700"/>
      <c r="BN8" s="700"/>
      <c r="BO8" s="700"/>
      <c r="BP8" s="700"/>
      <c r="BQ8" s="700"/>
      <c r="BR8" s="700"/>
      <c r="BS8" s="700"/>
      <c r="BT8" s="700"/>
      <c r="BU8" s="700"/>
      <c r="BV8" s="700"/>
      <c r="BW8" s="700"/>
      <c r="BX8" s="700"/>
      <c r="BY8" s="700"/>
      <c r="BZ8" s="700"/>
      <c r="CA8" s="700"/>
      <c r="CB8" s="700"/>
      <c r="CC8" s="700"/>
      <c r="CD8" s="700"/>
      <c r="CE8" s="700"/>
      <c r="CF8" s="700"/>
      <c r="CG8" s="700"/>
      <c r="CH8" s="700"/>
      <c r="CI8" s="700"/>
      <c r="CJ8" s="700"/>
      <c r="CK8" s="700"/>
      <c r="CL8" s="700"/>
      <c r="CM8" s="700"/>
      <c r="CN8" s="700"/>
      <c r="CO8" s="700"/>
      <c r="CP8" s="700"/>
      <c r="CQ8" s="700"/>
      <c r="CR8" s="700"/>
      <c r="CS8" s="700"/>
      <c r="CT8" s="700"/>
      <c r="CU8" s="700"/>
      <c r="CV8" s="700"/>
      <c r="CW8" s="700"/>
      <c r="CX8" s="700"/>
      <c r="CY8" s="700"/>
      <c r="CZ8" s="700"/>
      <c r="DA8" s="700"/>
      <c r="DB8" s="700"/>
      <c r="DC8" s="700"/>
      <c r="DD8" s="700"/>
      <c r="DE8" s="700"/>
      <c r="DF8" s="700"/>
      <c r="DG8" s="700"/>
      <c r="DH8" s="700"/>
      <c r="DI8" s="700"/>
      <c r="DJ8" s="700"/>
      <c r="DK8" s="700"/>
      <c r="DL8" s="700"/>
      <c r="DM8" s="700"/>
      <c r="DN8" s="700"/>
      <c r="DO8" s="700"/>
      <c r="DP8" s="700"/>
      <c r="DQ8" s="700"/>
      <c r="DR8" s="700"/>
      <c r="DS8" s="700"/>
      <c r="DT8" s="700"/>
      <c r="DU8" s="700"/>
      <c r="DV8" s="700"/>
      <c r="DW8" s="700"/>
      <c r="DX8" s="700"/>
      <c r="DY8" s="700"/>
      <c r="DZ8" s="700"/>
      <c r="EA8" s="700"/>
      <c r="EB8" s="700"/>
      <c r="EC8" s="700"/>
      <c r="ED8" s="700"/>
      <c r="EE8" s="700"/>
      <c r="EF8" s="700"/>
      <c r="EG8" s="700"/>
      <c r="EH8" s="700"/>
      <c r="EI8" s="700"/>
      <c r="EJ8" s="700"/>
      <c r="EK8" s="700"/>
      <c r="EL8" s="700"/>
      <c r="EM8" s="700"/>
      <c r="EN8" s="700"/>
      <c r="EO8" s="700"/>
      <c r="EP8" s="700"/>
      <c r="EQ8" s="700"/>
      <c r="ER8" s="700"/>
      <c r="ES8" s="700"/>
      <c r="ET8" s="700"/>
      <c r="EU8" s="700"/>
      <c r="EV8" s="700"/>
      <c r="EW8" s="700"/>
      <c r="EX8" s="700"/>
      <c r="EY8" s="700"/>
      <c r="EZ8" s="700"/>
      <c r="FA8" s="700"/>
      <c r="FB8" s="700"/>
      <c r="FC8" s="700"/>
      <c r="FD8" s="700"/>
      <c r="FE8" s="700"/>
      <c r="FF8" s="700"/>
      <c r="FG8" s="700"/>
      <c r="FH8" s="700"/>
      <c r="FI8" s="700"/>
      <c r="FJ8" s="700"/>
      <c r="FK8" s="700"/>
      <c r="FL8" s="700"/>
      <c r="FM8" s="700"/>
      <c r="FN8" s="700"/>
      <c r="FO8" s="700"/>
    </row>
    <row r="9" spans="1:171" s="591" customFormat="1" ht="8.25" hidden="1" customHeight="1" x14ac:dyDescent="0.2">
      <c r="A9" s="1402"/>
      <c r="B9" s="1402"/>
      <c r="C9" s="1072">
        <f t="shared" ref="C9:N9" si="4">+$B$42</f>
        <v>0</v>
      </c>
      <c r="D9" s="1072">
        <f t="shared" si="4"/>
        <v>0</v>
      </c>
      <c r="E9" s="1072">
        <f t="shared" si="4"/>
        <v>0</v>
      </c>
      <c r="F9" s="1072">
        <f t="shared" si="4"/>
        <v>0</v>
      </c>
      <c r="G9" s="1072">
        <f t="shared" si="4"/>
        <v>0</v>
      </c>
      <c r="H9" s="1072">
        <f t="shared" si="4"/>
        <v>0</v>
      </c>
      <c r="I9" s="1072">
        <f t="shared" si="4"/>
        <v>0</v>
      </c>
      <c r="J9" s="1072">
        <f t="shared" si="4"/>
        <v>0</v>
      </c>
      <c r="K9" s="1072">
        <f t="shared" si="4"/>
        <v>0</v>
      </c>
      <c r="L9" s="1072">
        <f t="shared" si="4"/>
        <v>0</v>
      </c>
      <c r="M9" s="1072">
        <f t="shared" si="4"/>
        <v>0</v>
      </c>
      <c r="N9" s="1072">
        <f t="shared" si="4"/>
        <v>0</v>
      </c>
      <c r="O9" s="32"/>
      <c r="P9" s="700"/>
      <c r="Q9" s="700"/>
      <c r="R9" s="700"/>
      <c r="S9" s="700"/>
      <c r="T9" s="700"/>
      <c r="U9" s="700"/>
      <c r="V9" s="700"/>
      <c r="W9" s="700"/>
      <c r="X9" s="700"/>
      <c r="Y9" s="700"/>
      <c r="Z9" s="700"/>
      <c r="AA9" s="700"/>
      <c r="AB9" s="700"/>
      <c r="AC9" s="700"/>
      <c r="AD9" s="700"/>
      <c r="AE9" s="700"/>
      <c r="AF9" s="700"/>
      <c r="AG9" s="700"/>
      <c r="AH9" s="700"/>
      <c r="AI9" s="700"/>
      <c r="AJ9" s="700"/>
      <c r="AK9" s="700"/>
      <c r="AL9" s="700"/>
      <c r="AM9" s="700"/>
      <c r="AN9" s="700"/>
      <c r="AO9" s="700"/>
      <c r="AP9" s="700"/>
      <c r="AQ9" s="700"/>
      <c r="AR9" s="700"/>
      <c r="AS9" s="700"/>
      <c r="AT9" s="700"/>
      <c r="AU9" s="700"/>
      <c r="AV9" s="700"/>
      <c r="AW9" s="700"/>
      <c r="AX9" s="700"/>
      <c r="AY9" s="700"/>
      <c r="AZ9" s="700"/>
      <c r="BA9" s="700"/>
      <c r="BB9" s="700"/>
      <c r="BC9" s="700"/>
      <c r="BD9" s="700"/>
      <c r="BE9" s="700"/>
      <c r="BF9" s="700"/>
      <c r="BG9" s="700"/>
      <c r="BH9" s="700"/>
      <c r="BI9" s="700"/>
      <c r="BJ9" s="700"/>
      <c r="BK9" s="700"/>
      <c r="BL9" s="700"/>
      <c r="BM9" s="700"/>
      <c r="BN9" s="700"/>
      <c r="BO9" s="700"/>
      <c r="BP9" s="700"/>
      <c r="BQ9" s="700"/>
      <c r="BR9" s="700"/>
      <c r="BS9" s="700"/>
      <c r="BT9" s="700"/>
      <c r="BU9" s="700"/>
      <c r="BV9" s="700"/>
      <c r="BW9" s="700"/>
      <c r="BX9" s="700"/>
      <c r="BY9" s="700"/>
      <c r="BZ9" s="700"/>
      <c r="CA9" s="700"/>
      <c r="CB9" s="700"/>
      <c r="CC9" s="700"/>
      <c r="CD9" s="700"/>
      <c r="CE9" s="700"/>
      <c r="CF9" s="700"/>
      <c r="CG9" s="700"/>
      <c r="CH9" s="700"/>
      <c r="CI9" s="700"/>
      <c r="CJ9" s="700"/>
      <c r="CK9" s="700"/>
      <c r="CL9" s="700"/>
      <c r="CM9" s="700"/>
      <c r="CN9" s="700"/>
      <c r="CO9" s="700"/>
      <c r="CP9" s="700"/>
      <c r="CQ9" s="700"/>
      <c r="CR9" s="700"/>
      <c r="CS9" s="700"/>
      <c r="CT9" s="700"/>
      <c r="CU9" s="700"/>
      <c r="CV9" s="700"/>
      <c r="CW9" s="700"/>
      <c r="CX9" s="700"/>
      <c r="CY9" s="700"/>
      <c r="CZ9" s="700"/>
      <c r="DA9" s="700"/>
      <c r="DB9" s="700"/>
      <c r="DC9" s="700"/>
      <c r="DD9" s="700"/>
      <c r="DE9" s="700"/>
      <c r="DF9" s="700"/>
      <c r="DG9" s="700"/>
      <c r="DH9" s="700"/>
      <c r="DI9" s="700"/>
      <c r="DJ9" s="700"/>
      <c r="DK9" s="700"/>
      <c r="DL9" s="700"/>
      <c r="DM9" s="700"/>
      <c r="DN9" s="700"/>
      <c r="DO9" s="700"/>
      <c r="DP9" s="700"/>
      <c r="DQ9" s="700"/>
      <c r="DR9" s="700"/>
      <c r="DS9" s="700"/>
      <c r="DT9" s="700"/>
      <c r="DU9" s="700"/>
      <c r="DV9" s="700"/>
      <c r="DW9" s="700"/>
      <c r="DX9" s="700"/>
      <c r="DY9" s="700"/>
      <c r="DZ9" s="700"/>
      <c r="EA9" s="700"/>
      <c r="EB9" s="700"/>
      <c r="EC9" s="700"/>
      <c r="ED9" s="700"/>
      <c r="EE9" s="700"/>
      <c r="EF9" s="700"/>
      <c r="EG9" s="700"/>
      <c r="EH9" s="700"/>
      <c r="EI9" s="700"/>
      <c r="EJ9" s="700"/>
      <c r="EK9" s="700"/>
      <c r="EL9" s="700"/>
      <c r="EM9" s="700"/>
      <c r="EN9" s="700"/>
      <c r="EO9" s="700"/>
      <c r="EP9" s="700"/>
      <c r="EQ9" s="700"/>
      <c r="ER9" s="700"/>
      <c r="ES9" s="700"/>
      <c r="ET9" s="700"/>
      <c r="EU9" s="700"/>
      <c r="EV9" s="700"/>
      <c r="EW9" s="700"/>
      <c r="EX9" s="700"/>
      <c r="EY9" s="700"/>
      <c r="EZ9" s="700"/>
      <c r="FA9" s="700"/>
      <c r="FB9" s="700"/>
      <c r="FC9" s="700"/>
      <c r="FD9" s="700"/>
      <c r="FE9" s="700"/>
      <c r="FF9" s="700"/>
      <c r="FG9" s="700"/>
      <c r="FH9" s="700"/>
      <c r="FI9" s="700"/>
      <c r="FJ9" s="700"/>
      <c r="FK9" s="700"/>
      <c r="FL9" s="700"/>
      <c r="FM9" s="700"/>
      <c r="FN9" s="700"/>
      <c r="FO9" s="700"/>
    </row>
    <row r="10" spans="1:171" s="591" customFormat="1" ht="8.25" hidden="1" customHeight="1" x14ac:dyDescent="0.2">
      <c r="A10" s="1402"/>
      <c r="B10" s="1402"/>
      <c r="C10" s="1072">
        <f t="shared" ref="C10:N10" si="5">+$B$43</f>
        <v>0</v>
      </c>
      <c r="D10" s="1072">
        <f t="shared" si="5"/>
        <v>0</v>
      </c>
      <c r="E10" s="1072">
        <f t="shared" si="5"/>
        <v>0</v>
      </c>
      <c r="F10" s="1072">
        <f t="shared" si="5"/>
        <v>0</v>
      </c>
      <c r="G10" s="1072">
        <f t="shared" si="5"/>
        <v>0</v>
      </c>
      <c r="H10" s="1072">
        <f t="shared" si="5"/>
        <v>0</v>
      </c>
      <c r="I10" s="1072">
        <f t="shared" si="5"/>
        <v>0</v>
      </c>
      <c r="J10" s="1072">
        <f t="shared" si="5"/>
        <v>0</v>
      </c>
      <c r="K10" s="1072">
        <f t="shared" si="5"/>
        <v>0</v>
      </c>
      <c r="L10" s="1072">
        <f t="shared" si="5"/>
        <v>0</v>
      </c>
      <c r="M10" s="1072">
        <f t="shared" si="5"/>
        <v>0</v>
      </c>
      <c r="N10" s="1072">
        <f t="shared" si="5"/>
        <v>0</v>
      </c>
      <c r="O10" s="32"/>
      <c r="P10" s="700"/>
      <c r="Q10" s="700"/>
      <c r="R10" s="700"/>
      <c r="S10" s="700"/>
      <c r="T10" s="700"/>
      <c r="U10" s="700"/>
      <c r="V10" s="700"/>
      <c r="W10" s="700"/>
      <c r="X10" s="700"/>
      <c r="Y10" s="700"/>
      <c r="Z10" s="700"/>
      <c r="AA10" s="700"/>
      <c r="AB10" s="700"/>
      <c r="AC10" s="700"/>
      <c r="AD10" s="700"/>
      <c r="AE10" s="700"/>
      <c r="AF10" s="700"/>
      <c r="AG10" s="700"/>
      <c r="AH10" s="700"/>
      <c r="AI10" s="700"/>
      <c r="AJ10" s="700"/>
      <c r="AK10" s="700"/>
      <c r="AL10" s="700"/>
      <c r="AM10" s="700"/>
      <c r="AN10" s="700"/>
      <c r="AO10" s="700"/>
      <c r="AP10" s="700"/>
      <c r="AQ10" s="700"/>
      <c r="AR10" s="700"/>
      <c r="AS10" s="700"/>
      <c r="AT10" s="700"/>
      <c r="AU10" s="700"/>
      <c r="AV10" s="700"/>
      <c r="AW10" s="700"/>
      <c r="AX10" s="700"/>
      <c r="AY10" s="700"/>
      <c r="AZ10" s="700"/>
      <c r="BA10" s="700"/>
      <c r="BB10" s="700"/>
      <c r="BC10" s="700"/>
      <c r="BD10" s="700"/>
      <c r="BE10" s="700"/>
      <c r="BF10" s="700"/>
      <c r="BG10" s="700"/>
      <c r="BH10" s="700"/>
      <c r="BI10" s="700"/>
      <c r="BJ10" s="700"/>
      <c r="BK10" s="700"/>
      <c r="BL10" s="700"/>
      <c r="BM10" s="700"/>
      <c r="BN10" s="700"/>
      <c r="BO10" s="700"/>
      <c r="BP10" s="700"/>
      <c r="BQ10" s="700"/>
      <c r="BR10" s="700"/>
      <c r="BS10" s="700"/>
      <c r="BT10" s="700"/>
      <c r="BU10" s="700"/>
      <c r="BV10" s="700"/>
      <c r="BW10" s="700"/>
      <c r="BX10" s="700"/>
      <c r="BY10" s="700"/>
      <c r="BZ10" s="700"/>
      <c r="CA10" s="700"/>
      <c r="CB10" s="700"/>
      <c r="CC10" s="700"/>
      <c r="CD10" s="700"/>
      <c r="CE10" s="700"/>
      <c r="CF10" s="700"/>
      <c r="CG10" s="700"/>
      <c r="CH10" s="700"/>
      <c r="CI10" s="700"/>
      <c r="CJ10" s="700"/>
      <c r="CK10" s="700"/>
      <c r="CL10" s="700"/>
      <c r="CM10" s="700"/>
      <c r="CN10" s="700"/>
      <c r="CO10" s="700"/>
      <c r="CP10" s="700"/>
      <c r="CQ10" s="700"/>
      <c r="CR10" s="700"/>
      <c r="CS10" s="700"/>
      <c r="CT10" s="700"/>
      <c r="CU10" s="700"/>
      <c r="CV10" s="700"/>
      <c r="CW10" s="700"/>
      <c r="CX10" s="700"/>
      <c r="CY10" s="700"/>
      <c r="CZ10" s="700"/>
      <c r="DA10" s="700"/>
      <c r="DB10" s="700"/>
      <c r="DC10" s="700"/>
      <c r="DD10" s="700"/>
      <c r="DE10" s="700"/>
      <c r="DF10" s="700"/>
      <c r="DG10" s="700"/>
      <c r="DH10" s="700"/>
      <c r="DI10" s="700"/>
      <c r="DJ10" s="700"/>
      <c r="DK10" s="700"/>
      <c r="DL10" s="700"/>
      <c r="DM10" s="700"/>
      <c r="DN10" s="700"/>
      <c r="DO10" s="700"/>
      <c r="DP10" s="700"/>
      <c r="DQ10" s="700"/>
      <c r="DR10" s="700"/>
      <c r="DS10" s="700"/>
      <c r="DT10" s="700"/>
      <c r="DU10" s="700"/>
      <c r="DV10" s="700"/>
      <c r="DW10" s="700"/>
      <c r="DX10" s="700"/>
      <c r="DY10" s="700"/>
      <c r="DZ10" s="700"/>
      <c r="EA10" s="700"/>
      <c r="EB10" s="700"/>
      <c r="EC10" s="700"/>
      <c r="ED10" s="700"/>
      <c r="EE10" s="700"/>
      <c r="EF10" s="700"/>
      <c r="EG10" s="700"/>
      <c r="EH10" s="700"/>
      <c r="EI10" s="700"/>
      <c r="EJ10" s="700"/>
      <c r="EK10" s="700"/>
      <c r="EL10" s="700"/>
      <c r="EM10" s="700"/>
      <c r="EN10" s="700"/>
      <c r="EO10" s="700"/>
      <c r="EP10" s="700"/>
      <c r="EQ10" s="700"/>
      <c r="ER10" s="700"/>
      <c r="ES10" s="700"/>
      <c r="ET10" s="700"/>
      <c r="EU10" s="700"/>
      <c r="EV10" s="700"/>
      <c r="EW10" s="700"/>
      <c r="EX10" s="700"/>
      <c r="EY10" s="700"/>
      <c r="EZ10" s="700"/>
      <c r="FA10" s="700"/>
      <c r="FB10" s="700"/>
      <c r="FC10" s="700"/>
      <c r="FD10" s="700"/>
      <c r="FE10" s="700"/>
      <c r="FF10" s="700"/>
      <c r="FG10" s="700"/>
      <c r="FH10" s="700"/>
      <c r="FI10" s="700"/>
      <c r="FJ10" s="700"/>
      <c r="FK10" s="700"/>
      <c r="FL10" s="700"/>
      <c r="FM10" s="700"/>
      <c r="FN10" s="700"/>
      <c r="FO10" s="700"/>
    </row>
    <row r="11" spans="1:171" s="591" customFormat="1" ht="8.25" hidden="1" customHeight="1" x14ac:dyDescent="0.2">
      <c r="A11" s="1402"/>
      <c r="B11" s="1402"/>
      <c r="C11" s="1072">
        <f t="shared" ref="C11:N11" si="6">+$B$44</f>
        <v>0</v>
      </c>
      <c r="D11" s="1072">
        <f t="shared" si="6"/>
        <v>0</v>
      </c>
      <c r="E11" s="1072">
        <f t="shared" si="6"/>
        <v>0</v>
      </c>
      <c r="F11" s="1072">
        <f t="shared" si="6"/>
        <v>0</v>
      </c>
      <c r="G11" s="1072">
        <f t="shared" si="6"/>
        <v>0</v>
      </c>
      <c r="H11" s="1072">
        <f t="shared" si="6"/>
        <v>0</v>
      </c>
      <c r="I11" s="1072">
        <f t="shared" si="6"/>
        <v>0</v>
      </c>
      <c r="J11" s="1072">
        <f t="shared" si="6"/>
        <v>0</v>
      </c>
      <c r="K11" s="1072">
        <f t="shared" si="6"/>
        <v>0</v>
      </c>
      <c r="L11" s="1072">
        <f t="shared" si="6"/>
        <v>0</v>
      </c>
      <c r="M11" s="1072">
        <f t="shared" si="6"/>
        <v>0</v>
      </c>
      <c r="N11" s="1072">
        <f t="shared" si="6"/>
        <v>0</v>
      </c>
      <c r="O11" s="32"/>
      <c r="P11" s="700"/>
      <c r="Q11" s="700"/>
      <c r="R11" s="700"/>
      <c r="S11" s="700"/>
      <c r="T11" s="700"/>
      <c r="U11" s="700"/>
      <c r="V11" s="700"/>
      <c r="W11" s="700"/>
      <c r="X11" s="700"/>
      <c r="Y11" s="700"/>
      <c r="Z11" s="700"/>
      <c r="AA11" s="700"/>
      <c r="AB11" s="700"/>
      <c r="AC11" s="700"/>
      <c r="AD11" s="700"/>
      <c r="AE11" s="700"/>
      <c r="AF11" s="700"/>
      <c r="AG11" s="700"/>
      <c r="AH11" s="700"/>
      <c r="AI11" s="700"/>
      <c r="AJ11" s="700"/>
      <c r="AK11" s="700"/>
      <c r="AL11" s="700"/>
      <c r="AM11" s="700"/>
      <c r="AN11" s="700"/>
      <c r="AO11" s="700"/>
      <c r="AP11" s="700"/>
      <c r="AQ11" s="700"/>
      <c r="AR11" s="700"/>
      <c r="AS11" s="700"/>
      <c r="AT11" s="700"/>
      <c r="AU11" s="700"/>
      <c r="AV11" s="700"/>
      <c r="AW11" s="700"/>
      <c r="AX11" s="700"/>
      <c r="AY11" s="700"/>
      <c r="AZ11" s="700"/>
      <c r="BA11" s="700"/>
      <c r="BB11" s="700"/>
      <c r="BC11" s="700"/>
      <c r="BD11" s="700"/>
      <c r="BE11" s="700"/>
      <c r="BF11" s="700"/>
      <c r="BG11" s="700"/>
      <c r="BH11" s="700"/>
      <c r="BI11" s="700"/>
      <c r="BJ11" s="700"/>
      <c r="BK11" s="700"/>
      <c r="BL11" s="700"/>
      <c r="BM11" s="700"/>
      <c r="BN11" s="700"/>
      <c r="BO11" s="700"/>
      <c r="BP11" s="700"/>
      <c r="BQ11" s="700"/>
      <c r="BR11" s="700"/>
      <c r="BS11" s="700"/>
      <c r="BT11" s="700"/>
      <c r="BU11" s="700"/>
      <c r="BV11" s="700"/>
      <c r="BW11" s="700"/>
      <c r="BX11" s="700"/>
      <c r="BY11" s="700"/>
      <c r="BZ11" s="700"/>
      <c r="CA11" s="700"/>
      <c r="CB11" s="700"/>
      <c r="CC11" s="700"/>
      <c r="CD11" s="700"/>
      <c r="CE11" s="700"/>
      <c r="CF11" s="700"/>
      <c r="CG11" s="700"/>
      <c r="CH11" s="700"/>
      <c r="CI11" s="700"/>
      <c r="CJ11" s="700"/>
      <c r="CK11" s="700"/>
      <c r="CL11" s="700"/>
      <c r="CM11" s="700"/>
      <c r="CN11" s="700"/>
      <c r="CO11" s="700"/>
      <c r="CP11" s="700"/>
      <c r="CQ11" s="700"/>
      <c r="CR11" s="700"/>
      <c r="CS11" s="700"/>
      <c r="CT11" s="700"/>
      <c r="CU11" s="700"/>
      <c r="CV11" s="700"/>
      <c r="CW11" s="700"/>
      <c r="CX11" s="700"/>
      <c r="CY11" s="700"/>
      <c r="CZ11" s="700"/>
      <c r="DA11" s="700"/>
      <c r="DB11" s="700"/>
      <c r="DC11" s="700"/>
      <c r="DD11" s="700"/>
      <c r="DE11" s="700"/>
      <c r="DF11" s="700"/>
      <c r="DG11" s="700"/>
      <c r="DH11" s="700"/>
      <c r="DI11" s="700"/>
      <c r="DJ11" s="700"/>
      <c r="DK11" s="700"/>
      <c r="DL11" s="700"/>
      <c r="DM11" s="700"/>
      <c r="DN11" s="700"/>
      <c r="DO11" s="700"/>
      <c r="DP11" s="700"/>
      <c r="DQ11" s="700"/>
      <c r="DR11" s="700"/>
      <c r="DS11" s="700"/>
      <c r="DT11" s="700"/>
      <c r="DU11" s="700"/>
      <c r="DV11" s="700"/>
      <c r="DW11" s="700"/>
      <c r="DX11" s="700"/>
      <c r="DY11" s="700"/>
      <c r="DZ11" s="700"/>
      <c r="EA11" s="700"/>
      <c r="EB11" s="700"/>
      <c r="EC11" s="700"/>
      <c r="ED11" s="700"/>
      <c r="EE11" s="700"/>
      <c r="EF11" s="700"/>
      <c r="EG11" s="700"/>
      <c r="EH11" s="700"/>
      <c r="EI11" s="700"/>
      <c r="EJ11" s="700"/>
      <c r="EK11" s="700"/>
      <c r="EL11" s="700"/>
      <c r="EM11" s="700"/>
      <c r="EN11" s="700"/>
      <c r="EO11" s="700"/>
      <c r="EP11" s="700"/>
      <c r="EQ11" s="700"/>
      <c r="ER11" s="700"/>
      <c r="ES11" s="700"/>
      <c r="ET11" s="700"/>
      <c r="EU11" s="700"/>
      <c r="EV11" s="700"/>
      <c r="EW11" s="700"/>
      <c r="EX11" s="700"/>
      <c r="EY11" s="700"/>
      <c r="EZ11" s="700"/>
      <c r="FA11" s="700"/>
      <c r="FB11" s="700"/>
      <c r="FC11" s="700"/>
      <c r="FD11" s="700"/>
      <c r="FE11" s="700"/>
      <c r="FF11" s="700"/>
      <c r="FG11" s="700"/>
      <c r="FH11" s="700"/>
      <c r="FI11" s="700"/>
      <c r="FJ11" s="700"/>
      <c r="FK11" s="700"/>
      <c r="FL11" s="700"/>
      <c r="FM11" s="700"/>
      <c r="FN11" s="700"/>
      <c r="FO11" s="700"/>
    </row>
    <row r="12" spans="1:171" s="591" customFormat="1" ht="8.25" hidden="1" customHeight="1" x14ac:dyDescent="0.2">
      <c r="A12" s="1402"/>
      <c r="B12" s="1402"/>
      <c r="C12" s="1072">
        <f t="shared" ref="C12:N12" si="7">+$B$45</f>
        <v>0</v>
      </c>
      <c r="D12" s="1072">
        <f t="shared" si="7"/>
        <v>0</v>
      </c>
      <c r="E12" s="1072">
        <f t="shared" si="7"/>
        <v>0</v>
      </c>
      <c r="F12" s="1072">
        <f t="shared" si="7"/>
        <v>0</v>
      </c>
      <c r="G12" s="1072">
        <f t="shared" si="7"/>
        <v>0</v>
      </c>
      <c r="H12" s="1072">
        <f t="shared" si="7"/>
        <v>0</v>
      </c>
      <c r="I12" s="1072">
        <f t="shared" si="7"/>
        <v>0</v>
      </c>
      <c r="J12" s="1072">
        <f t="shared" si="7"/>
        <v>0</v>
      </c>
      <c r="K12" s="1072">
        <f t="shared" si="7"/>
        <v>0</v>
      </c>
      <c r="L12" s="1072">
        <f t="shared" si="7"/>
        <v>0</v>
      </c>
      <c r="M12" s="1072">
        <f t="shared" si="7"/>
        <v>0</v>
      </c>
      <c r="N12" s="1072">
        <f t="shared" si="7"/>
        <v>0</v>
      </c>
      <c r="O12" s="32"/>
      <c r="P12" s="700"/>
      <c r="Q12" s="700"/>
      <c r="R12" s="700"/>
      <c r="S12" s="700"/>
      <c r="T12" s="700"/>
      <c r="U12" s="700"/>
      <c r="V12" s="700"/>
      <c r="W12" s="700"/>
      <c r="X12" s="700"/>
      <c r="Y12" s="700"/>
      <c r="Z12" s="700"/>
      <c r="AA12" s="700"/>
      <c r="AB12" s="700"/>
      <c r="AC12" s="700"/>
      <c r="AD12" s="700"/>
      <c r="AE12" s="700"/>
      <c r="AF12" s="700"/>
      <c r="AG12" s="700"/>
      <c r="AH12" s="700"/>
      <c r="AI12" s="700"/>
      <c r="AJ12" s="700"/>
      <c r="AK12" s="700"/>
      <c r="AL12" s="700"/>
      <c r="AM12" s="700"/>
      <c r="AN12" s="700"/>
      <c r="AO12" s="700"/>
      <c r="AP12" s="700"/>
      <c r="AQ12" s="700"/>
      <c r="AR12" s="700"/>
      <c r="AS12" s="700"/>
      <c r="AT12" s="700"/>
      <c r="AU12" s="700"/>
      <c r="AV12" s="700"/>
      <c r="AW12" s="700"/>
      <c r="AX12" s="700"/>
      <c r="AY12" s="700"/>
      <c r="AZ12" s="700"/>
      <c r="BA12" s="700"/>
      <c r="BB12" s="700"/>
      <c r="BC12" s="700"/>
      <c r="BD12" s="700"/>
      <c r="BE12" s="700"/>
      <c r="BF12" s="700"/>
      <c r="BG12" s="700"/>
      <c r="BH12" s="700"/>
      <c r="BI12" s="700"/>
      <c r="BJ12" s="700"/>
      <c r="BK12" s="700"/>
      <c r="BL12" s="700"/>
      <c r="BM12" s="700"/>
      <c r="BN12" s="700"/>
      <c r="BO12" s="700"/>
      <c r="BP12" s="700"/>
      <c r="BQ12" s="700"/>
      <c r="BR12" s="700"/>
      <c r="BS12" s="700"/>
      <c r="BT12" s="700"/>
      <c r="BU12" s="700"/>
      <c r="BV12" s="700"/>
      <c r="BW12" s="700"/>
      <c r="BX12" s="700"/>
      <c r="BY12" s="700"/>
      <c r="BZ12" s="700"/>
      <c r="CA12" s="700"/>
      <c r="CB12" s="700"/>
      <c r="CC12" s="700"/>
      <c r="CD12" s="700"/>
      <c r="CE12" s="700"/>
      <c r="CF12" s="700"/>
      <c r="CG12" s="700"/>
      <c r="CH12" s="700"/>
      <c r="CI12" s="700"/>
      <c r="CJ12" s="700"/>
      <c r="CK12" s="700"/>
      <c r="CL12" s="700"/>
      <c r="CM12" s="700"/>
      <c r="CN12" s="700"/>
      <c r="CO12" s="700"/>
      <c r="CP12" s="700"/>
      <c r="CQ12" s="700"/>
      <c r="CR12" s="700"/>
      <c r="CS12" s="700"/>
      <c r="CT12" s="700"/>
      <c r="CU12" s="700"/>
      <c r="CV12" s="700"/>
      <c r="CW12" s="700"/>
      <c r="CX12" s="700"/>
      <c r="CY12" s="700"/>
      <c r="CZ12" s="700"/>
      <c r="DA12" s="700"/>
      <c r="DB12" s="700"/>
      <c r="DC12" s="700"/>
      <c r="DD12" s="700"/>
      <c r="DE12" s="700"/>
      <c r="DF12" s="700"/>
      <c r="DG12" s="700"/>
      <c r="DH12" s="700"/>
      <c r="DI12" s="700"/>
      <c r="DJ12" s="700"/>
      <c r="DK12" s="700"/>
      <c r="DL12" s="700"/>
      <c r="DM12" s="700"/>
      <c r="DN12" s="700"/>
      <c r="DO12" s="700"/>
      <c r="DP12" s="700"/>
      <c r="DQ12" s="700"/>
      <c r="DR12" s="700"/>
      <c r="DS12" s="700"/>
      <c r="DT12" s="700"/>
      <c r="DU12" s="700"/>
      <c r="DV12" s="700"/>
      <c r="DW12" s="700"/>
      <c r="DX12" s="700"/>
      <c r="DY12" s="700"/>
      <c r="DZ12" s="700"/>
      <c r="EA12" s="700"/>
      <c r="EB12" s="700"/>
      <c r="EC12" s="700"/>
      <c r="ED12" s="700"/>
      <c r="EE12" s="700"/>
      <c r="EF12" s="700"/>
      <c r="EG12" s="700"/>
      <c r="EH12" s="700"/>
      <c r="EI12" s="700"/>
      <c r="EJ12" s="700"/>
      <c r="EK12" s="700"/>
      <c r="EL12" s="700"/>
      <c r="EM12" s="700"/>
      <c r="EN12" s="700"/>
      <c r="EO12" s="700"/>
      <c r="EP12" s="700"/>
      <c r="EQ12" s="700"/>
      <c r="ER12" s="700"/>
      <c r="ES12" s="700"/>
      <c r="ET12" s="700"/>
      <c r="EU12" s="700"/>
      <c r="EV12" s="700"/>
      <c r="EW12" s="700"/>
      <c r="EX12" s="700"/>
      <c r="EY12" s="700"/>
      <c r="EZ12" s="700"/>
      <c r="FA12" s="700"/>
      <c r="FB12" s="700"/>
      <c r="FC12" s="700"/>
      <c r="FD12" s="700"/>
      <c r="FE12" s="700"/>
      <c r="FF12" s="700"/>
      <c r="FG12" s="700"/>
      <c r="FH12" s="700"/>
      <c r="FI12" s="700"/>
      <c r="FJ12" s="700"/>
      <c r="FK12" s="700"/>
      <c r="FL12" s="700"/>
      <c r="FM12" s="700"/>
      <c r="FN12" s="700"/>
      <c r="FO12" s="700"/>
    </row>
    <row r="13" spans="1:171" s="591" customFormat="1" ht="8.25" hidden="1" customHeight="1" x14ac:dyDescent="0.2">
      <c r="A13" s="1388"/>
      <c r="B13" s="1388"/>
      <c r="C13" s="1072">
        <f t="shared" ref="C13:N13" si="8">+$B$46</f>
        <v>0</v>
      </c>
      <c r="D13" s="1072">
        <f t="shared" si="8"/>
        <v>0</v>
      </c>
      <c r="E13" s="1072">
        <f t="shared" si="8"/>
        <v>0</v>
      </c>
      <c r="F13" s="1072">
        <f t="shared" si="8"/>
        <v>0</v>
      </c>
      <c r="G13" s="1072">
        <f t="shared" si="8"/>
        <v>0</v>
      </c>
      <c r="H13" s="1072">
        <f t="shared" si="8"/>
        <v>0</v>
      </c>
      <c r="I13" s="1072">
        <f t="shared" si="8"/>
        <v>0</v>
      </c>
      <c r="J13" s="1072">
        <f t="shared" si="8"/>
        <v>0</v>
      </c>
      <c r="K13" s="1072">
        <f t="shared" si="8"/>
        <v>0</v>
      </c>
      <c r="L13" s="1072">
        <f t="shared" si="8"/>
        <v>0</v>
      </c>
      <c r="M13" s="1072">
        <f t="shared" si="8"/>
        <v>0</v>
      </c>
      <c r="N13" s="1072">
        <f t="shared" si="8"/>
        <v>0</v>
      </c>
      <c r="O13" s="32"/>
      <c r="P13" s="700"/>
      <c r="Q13" s="700"/>
      <c r="R13" s="700"/>
      <c r="S13" s="700"/>
      <c r="T13" s="700"/>
      <c r="U13" s="700"/>
      <c r="V13" s="700"/>
      <c r="W13" s="700"/>
      <c r="X13" s="700"/>
      <c r="Y13" s="700"/>
      <c r="Z13" s="700"/>
      <c r="AA13" s="700"/>
      <c r="AB13" s="700"/>
      <c r="AC13" s="700"/>
      <c r="AD13" s="700"/>
      <c r="AE13" s="700"/>
      <c r="AF13" s="700"/>
      <c r="AG13" s="700"/>
      <c r="AH13" s="700"/>
      <c r="AI13" s="700"/>
      <c r="AJ13" s="700"/>
      <c r="AK13" s="700"/>
      <c r="AL13" s="700"/>
      <c r="AM13" s="700"/>
      <c r="AN13" s="700"/>
      <c r="AO13" s="700"/>
      <c r="AP13" s="700"/>
      <c r="AQ13" s="700"/>
      <c r="AR13" s="700"/>
      <c r="AS13" s="700"/>
      <c r="AT13" s="700"/>
      <c r="AU13" s="700"/>
      <c r="AV13" s="700"/>
      <c r="AW13" s="700"/>
      <c r="AX13" s="700"/>
      <c r="AY13" s="700"/>
      <c r="AZ13" s="700"/>
      <c r="BA13" s="700"/>
      <c r="BB13" s="700"/>
      <c r="BC13" s="700"/>
      <c r="BD13" s="700"/>
      <c r="BE13" s="700"/>
      <c r="BF13" s="700"/>
      <c r="BG13" s="700"/>
      <c r="BH13" s="700"/>
      <c r="BI13" s="700"/>
      <c r="BJ13" s="700"/>
      <c r="BK13" s="700"/>
      <c r="BL13" s="700"/>
      <c r="BM13" s="700"/>
      <c r="BN13" s="700"/>
      <c r="BO13" s="700"/>
      <c r="BP13" s="700"/>
      <c r="BQ13" s="700"/>
      <c r="BR13" s="700"/>
      <c r="BS13" s="700"/>
      <c r="BT13" s="700"/>
      <c r="BU13" s="700"/>
      <c r="BV13" s="700"/>
      <c r="BW13" s="700"/>
      <c r="BX13" s="700"/>
      <c r="BY13" s="700"/>
      <c r="BZ13" s="700"/>
      <c r="CA13" s="700"/>
      <c r="CB13" s="700"/>
      <c r="CC13" s="700"/>
      <c r="CD13" s="700"/>
      <c r="CE13" s="700"/>
      <c r="CF13" s="700"/>
      <c r="CG13" s="700"/>
      <c r="CH13" s="700"/>
      <c r="CI13" s="700"/>
      <c r="CJ13" s="700"/>
      <c r="CK13" s="700"/>
      <c r="CL13" s="700"/>
      <c r="CM13" s="700"/>
      <c r="CN13" s="700"/>
      <c r="CO13" s="700"/>
      <c r="CP13" s="700"/>
      <c r="CQ13" s="700"/>
      <c r="CR13" s="700"/>
      <c r="CS13" s="700"/>
      <c r="CT13" s="700"/>
      <c r="CU13" s="700"/>
      <c r="CV13" s="700"/>
      <c r="CW13" s="700"/>
      <c r="CX13" s="700"/>
      <c r="CY13" s="700"/>
      <c r="CZ13" s="700"/>
      <c r="DA13" s="700"/>
      <c r="DB13" s="700"/>
      <c r="DC13" s="700"/>
      <c r="DD13" s="700"/>
      <c r="DE13" s="700"/>
      <c r="DF13" s="700"/>
      <c r="DG13" s="700"/>
      <c r="DH13" s="700"/>
      <c r="DI13" s="700"/>
      <c r="DJ13" s="700"/>
      <c r="DK13" s="700"/>
      <c r="DL13" s="700"/>
      <c r="DM13" s="700"/>
      <c r="DN13" s="700"/>
      <c r="DO13" s="700"/>
      <c r="DP13" s="700"/>
      <c r="DQ13" s="700"/>
      <c r="DR13" s="700"/>
      <c r="DS13" s="700"/>
      <c r="DT13" s="700"/>
      <c r="DU13" s="700"/>
      <c r="DV13" s="700"/>
      <c r="DW13" s="700"/>
      <c r="DX13" s="700"/>
      <c r="DY13" s="700"/>
      <c r="DZ13" s="700"/>
      <c r="EA13" s="700"/>
      <c r="EB13" s="700"/>
      <c r="EC13" s="700"/>
      <c r="ED13" s="700"/>
      <c r="EE13" s="700"/>
      <c r="EF13" s="700"/>
      <c r="EG13" s="700"/>
      <c r="EH13" s="700"/>
      <c r="EI13" s="700"/>
      <c r="EJ13" s="700"/>
      <c r="EK13" s="700"/>
      <c r="EL13" s="700"/>
      <c r="EM13" s="700"/>
      <c r="EN13" s="700"/>
      <c r="EO13" s="700"/>
      <c r="EP13" s="700"/>
      <c r="EQ13" s="700"/>
      <c r="ER13" s="700"/>
      <c r="ES13" s="700"/>
      <c r="ET13" s="700"/>
      <c r="EU13" s="700"/>
      <c r="EV13" s="700"/>
      <c r="EW13" s="700"/>
      <c r="EX13" s="700"/>
      <c r="EY13" s="700"/>
      <c r="EZ13" s="700"/>
      <c r="FA13" s="700"/>
      <c r="FB13" s="700"/>
      <c r="FC13" s="700"/>
      <c r="FD13" s="700"/>
      <c r="FE13" s="700"/>
      <c r="FF13" s="700"/>
      <c r="FG13" s="700"/>
      <c r="FH13" s="700"/>
      <c r="FI13" s="700"/>
      <c r="FJ13" s="700"/>
      <c r="FK13" s="700"/>
      <c r="FL13" s="700"/>
      <c r="FM13" s="700"/>
      <c r="FN13" s="700"/>
      <c r="FO13" s="700"/>
    </row>
    <row r="14" spans="1:171" ht="15.75" customHeight="1" x14ac:dyDescent="0.35">
      <c r="A14" s="1403" t="s">
        <v>1132</v>
      </c>
      <c r="B14" s="1099" t="s">
        <v>10</v>
      </c>
      <c r="C14" s="1058"/>
      <c r="D14" s="1058"/>
      <c r="E14" s="1058"/>
      <c r="F14" s="1058"/>
      <c r="G14" s="1058"/>
      <c r="H14" s="1058"/>
      <c r="I14" s="1058"/>
      <c r="J14" s="1058"/>
      <c r="K14" s="1058"/>
      <c r="L14" s="1058"/>
      <c r="M14" s="1058"/>
      <c r="N14" s="1075"/>
    </row>
    <row r="15" spans="1:171" ht="15.75" customHeight="1" x14ac:dyDescent="0.35">
      <c r="A15" s="1404"/>
      <c r="B15" s="1155" t="s">
        <v>778</v>
      </c>
      <c r="C15" s="1065"/>
      <c r="D15" s="1065"/>
      <c r="E15" s="1065"/>
      <c r="F15" s="1065"/>
      <c r="G15" s="1065"/>
      <c r="H15" s="1065"/>
      <c r="I15" s="1065"/>
      <c r="J15" s="1065"/>
      <c r="K15" s="1065"/>
      <c r="L15" s="1065"/>
      <c r="M15" s="1065"/>
      <c r="N15" s="1076"/>
    </row>
    <row r="16" spans="1:171" ht="15.75" customHeight="1" x14ac:dyDescent="0.35">
      <c r="A16" s="1403" t="s">
        <v>1138</v>
      </c>
      <c r="B16" s="1099" t="s">
        <v>10</v>
      </c>
      <c r="C16" s="1058"/>
      <c r="D16" s="1058"/>
      <c r="E16" s="1058"/>
      <c r="F16" s="1058"/>
      <c r="G16" s="1058"/>
      <c r="H16" s="1058"/>
      <c r="I16" s="1058"/>
      <c r="J16" s="1058"/>
      <c r="K16" s="1058"/>
      <c r="L16" s="1058"/>
      <c r="M16" s="1058"/>
      <c r="N16" s="1075"/>
    </row>
    <row r="17" spans="1:198" ht="15.75" customHeight="1" x14ac:dyDescent="0.35">
      <c r="A17" s="1404"/>
      <c r="B17" s="1155" t="s">
        <v>778</v>
      </c>
      <c r="C17" s="1065"/>
      <c r="D17" s="1065"/>
      <c r="E17" s="1065"/>
      <c r="F17" s="1065"/>
      <c r="G17" s="1065"/>
      <c r="H17" s="1065"/>
      <c r="I17" s="1065"/>
      <c r="J17" s="1065"/>
      <c r="K17" s="1065"/>
      <c r="L17" s="1065"/>
      <c r="M17" s="1065"/>
      <c r="N17" s="1076"/>
    </row>
    <row r="18" spans="1:198" ht="15.75" customHeight="1" x14ac:dyDescent="0.35">
      <c r="A18" s="1403" t="s">
        <v>1134</v>
      </c>
      <c r="B18" s="1099" t="s">
        <v>10</v>
      </c>
      <c r="C18" s="1058"/>
      <c r="D18" s="1058"/>
      <c r="E18" s="1058"/>
      <c r="F18" s="1058"/>
      <c r="G18" s="1058"/>
      <c r="H18" s="1058"/>
      <c r="I18" s="1058"/>
      <c r="J18" s="1058"/>
      <c r="K18" s="1058"/>
      <c r="L18" s="1058"/>
      <c r="M18" s="1058"/>
      <c r="N18" s="1075"/>
    </row>
    <row r="19" spans="1:198" ht="15.75" customHeight="1" x14ac:dyDescent="0.35">
      <c r="A19" s="1404"/>
      <c r="B19" s="1155" t="s">
        <v>778</v>
      </c>
      <c r="C19" s="1065"/>
      <c r="D19" s="1065"/>
      <c r="E19" s="1065"/>
      <c r="F19" s="1065"/>
      <c r="G19" s="1065"/>
      <c r="H19" s="1065"/>
      <c r="I19" s="1065"/>
      <c r="J19" s="1065"/>
      <c r="K19" s="1065"/>
      <c r="L19" s="1065"/>
      <c r="M19" s="1065"/>
      <c r="N19" s="1076"/>
    </row>
    <row r="20" spans="1:198" ht="15.75" customHeight="1" x14ac:dyDescent="0.35">
      <c r="A20" s="1403" t="s">
        <v>1135</v>
      </c>
      <c r="B20" s="1099" t="s">
        <v>10</v>
      </c>
      <c r="C20" s="1058"/>
      <c r="D20" s="1058"/>
      <c r="E20" s="1058"/>
      <c r="F20" s="1058"/>
      <c r="G20" s="1058"/>
      <c r="H20" s="1058"/>
      <c r="I20" s="1058"/>
      <c r="J20" s="1058"/>
      <c r="K20" s="1058"/>
      <c r="L20" s="1058"/>
      <c r="M20" s="1058"/>
      <c r="N20" s="1075"/>
    </row>
    <row r="21" spans="1:198" ht="15.75" customHeight="1" x14ac:dyDescent="0.35">
      <c r="A21" s="1404"/>
      <c r="B21" s="1155" t="s">
        <v>778</v>
      </c>
      <c r="C21" s="1065"/>
      <c r="D21" s="1065"/>
      <c r="E21" s="1065"/>
      <c r="F21" s="1065"/>
      <c r="G21" s="1065"/>
      <c r="H21" s="1065"/>
      <c r="I21" s="1065"/>
      <c r="J21" s="1065"/>
      <c r="K21" s="1065"/>
      <c r="L21" s="1065"/>
      <c r="M21" s="1065"/>
      <c r="N21" s="1076"/>
    </row>
    <row r="22" spans="1:198" ht="15.75" customHeight="1" x14ac:dyDescent="0.35">
      <c r="A22" s="1403" t="s">
        <v>1136</v>
      </c>
      <c r="B22" s="1099" t="s">
        <v>10</v>
      </c>
      <c r="C22" s="1058"/>
      <c r="D22" s="1058"/>
      <c r="E22" s="1058"/>
      <c r="F22" s="1058"/>
      <c r="G22" s="1058"/>
      <c r="H22" s="1058"/>
      <c r="I22" s="1058"/>
      <c r="J22" s="1058"/>
      <c r="K22" s="1058"/>
      <c r="L22" s="1058"/>
      <c r="M22" s="1058"/>
      <c r="N22" s="1075"/>
    </row>
    <row r="23" spans="1:198" ht="15.75" customHeight="1" x14ac:dyDescent="0.35">
      <c r="A23" s="1404"/>
      <c r="B23" s="1155" t="s">
        <v>778</v>
      </c>
      <c r="C23" s="1065"/>
      <c r="D23" s="1065"/>
      <c r="E23" s="1065"/>
      <c r="F23" s="1065"/>
      <c r="G23" s="1065"/>
      <c r="H23" s="1065"/>
      <c r="I23" s="1065"/>
      <c r="J23" s="1065"/>
      <c r="K23" s="1065"/>
      <c r="L23" s="1065"/>
      <c r="M23" s="1065"/>
      <c r="N23" s="1076"/>
    </row>
    <row r="24" spans="1:198" ht="15.75" customHeight="1" x14ac:dyDescent="0.35">
      <c r="A24" s="1403" t="s">
        <v>1137</v>
      </c>
      <c r="B24" s="1099" t="s">
        <v>10</v>
      </c>
      <c r="C24" s="1058"/>
      <c r="D24" s="1058"/>
      <c r="E24" s="1058"/>
      <c r="F24" s="1058"/>
      <c r="G24" s="1058"/>
      <c r="H24" s="1058"/>
      <c r="I24" s="1058"/>
      <c r="J24" s="1058"/>
      <c r="K24" s="1058"/>
      <c r="L24" s="1058"/>
      <c r="M24" s="1058"/>
      <c r="N24" s="1075"/>
    </row>
    <row r="25" spans="1:198" ht="15.75" customHeight="1" x14ac:dyDescent="0.35">
      <c r="A25" s="1404"/>
      <c r="B25" s="1155" t="s">
        <v>778</v>
      </c>
      <c r="C25" s="1065"/>
      <c r="D25" s="1065"/>
      <c r="E25" s="1065"/>
      <c r="F25" s="1065"/>
      <c r="G25" s="1065"/>
      <c r="H25" s="1065"/>
      <c r="I25" s="1065"/>
      <c r="J25" s="1065"/>
      <c r="K25" s="1065"/>
      <c r="L25" s="1065"/>
      <c r="M25" s="1065"/>
      <c r="N25" s="1076"/>
    </row>
    <row r="26" spans="1:198" ht="15.75" customHeight="1" x14ac:dyDescent="0.35">
      <c r="A26" s="1403" t="s">
        <v>1133</v>
      </c>
      <c r="B26" s="1099" t="s">
        <v>10</v>
      </c>
      <c r="C26" s="1058"/>
      <c r="D26" s="1058"/>
      <c r="E26" s="1058"/>
      <c r="F26" s="1058"/>
      <c r="G26" s="1058"/>
      <c r="H26" s="1058"/>
      <c r="I26" s="1058"/>
      <c r="J26" s="1058"/>
      <c r="K26" s="1058"/>
      <c r="L26" s="1058"/>
      <c r="M26" s="1058"/>
      <c r="N26" s="1075"/>
    </row>
    <row r="27" spans="1:198" ht="15.75" customHeight="1" x14ac:dyDescent="0.35">
      <c r="A27" s="1404"/>
      <c r="B27" s="1155" t="s">
        <v>778</v>
      </c>
      <c r="C27" s="1065"/>
      <c r="D27" s="1065"/>
      <c r="E27" s="1065"/>
      <c r="F27" s="1065"/>
      <c r="G27" s="1065"/>
      <c r="H27" s="1065"/>
      <c r="I27" s="1065"/>
      <c r="J27" s="1065"/>
      <c r="K27" s="1065"/>
      <c r="L27" s="1065"/>
      <c r="M27" s="1065"/>
      <c r="N27" s="1076"/>
    </row>
    <row r="28" spans="1:198" s="36" customFormat="1" ht="5.25" customHeight="1" x14ac:dyDescent="0.35">
      <c r="A28" s="977"/>
      <c r="B28" s="978"/>
      <c r="C28" s="901"/>
      <c r="D28" s="901"/>
      <c r="E28" s="901"/>
      <c r="F28" s="901"/>
      <c r="G28" s="901"/>
      <c r="H28" s="901"/>
      <c r="I28" s="901"/>
      <c r="J28" s="901"/>
      <c r="K28" s="901"/>
      <c r="L28" s="901"/>
      <c r="M28" s="901"/>
      <c r="N28" s="1057"/>
      <c r="FP28" s="565"/>
      <c r="FQ28" s="565"/>
      <c r="FR28" s="565"/>
      <c r="FS28" s="565"/>
      <c r="FT28" s="565"/>
      <c r="FU28" s="565"/>
      <c r="FV28" s="565"/>
      <c r="FW28" s="565"/>
      <c r="FX28" s="565"/>
      <c r="FY28" s="565"/>
      <c r="FZ28" s="565"/>
      <c r="GA28" s="565"/>
      <c r="GB28" s="565"/>
      <c r="GC28" s="565"/>
      <c r="GD28" s="565"/>
      <c r="GE28" s="565"/>
      <c r="GF28" s="565"/>
      <c r="GG28" s="565"/>
      <c r="GH28" s="565"/>
      <c r="GI28" s="565"/>
      <c r="GJ28" s="565"/>
      <c r="GK28" s="565"/>
      <c r="GL28" s="565"/>
      <c r="GM28" s="565"/>
      <c r="GN28" s="565"/>
      <c r="GO28" s="565"/>
      <c r="GP28" s="565"/>
    </row>
    <row r="29" spans="1:198" s="36" customFormat="1" ht="15" customHeight="1" x14ac:dyDescent="0.35">
      <c r="A29" s="977"/>
      <c r="B29" s="1100" t="s">
        <v>12</v>
      </c>
      <c r="C29" s="1052"/>
      <c r="D29" s="1052"/>
      <c r="E29" s="1052"/>
      <c r="F29" s="1052"/>
      <c r="G29" s="1052"/>
      <c r="H29" s="1052"/>
      <c r="I29" s="1052"/>
      <c r="J29" s="1052"/>
      <c r="K29" s="1052"/>
      <c r="L29" s="1052"/>
      <c r="M29" s="1052"/>
      <c r="N29" s="1061"/>
      <c r="FP29" s="565"/>
      <c r="FQ29" s="565"/>
      <c r="FR29" s="565"/>
      <c r="FS29" s="565"/>
      <c r="FT29" s="565"/>
      <c r="FU29" s="565"/>
      <c r="FV29" s="565"/>
      <c r="FW29" s="565"/>
      <c r="FX29" s="565"/>
      <c r="FY29" s="565"/>
      <c r="FZ29" s="565"/>
      <c r="GA29" s="565"/>
      <c r="GB29" s="565"/>
      <c r="GC29" s="565"/>
      <c r="GD29" s="565"/>
      <c r="GE29" s="565"/>
      <c r="GF29" s="565"/>
      <c r="GG29" s="565"/>
      <c r="GH29" s="565"/>
      <c r="GI29" s="565"/>
      <c r="GJ29" s="565"/>
      <c r="GK29" s="565"/>
      <c r="GL29" s="565"/>
      <c r="GM29" s="565"/>
      <c r="GN29" s="565"/>
      <c r="GO29" s="565"/>
      <c r="GP29" s="565"/>
    </row>
    <row r="30" spans="1:198" ht="13.5" customHeight="1" x14ac:dyDescent="0.35">
      <c r="B30" s="1100" t="s">
        <v>85</v>
      </c>
      <c r="C30" s="1061"/>
      <c r="D30" s="1052"/>
      <c r="E30" s="1052"/>
      <c r="F30" s="1052"/>
      <c r="G30" s="1052"/>
      <c r="H30" s="1052"/>
      <c r="I30" s="1052"/>
      <c r="J30" s="1052"/>
      <c r="K30" s="1052"/>
      <c r="L30" s="1052"/>
      <c r="M30" s="1052"/>
      <c r="N30" s="1061"/>
    </row>
    <row r="31" spans="1:198" ht="13.5" customHeight="1" x14ac:dyDescent="0.35">
      <c r="B31" s="1100" t="s">
        <v>1129</v>
      </c>
      <c r="C31" s="1062"/>
      <c r="D31" s="1054"/>
      <c r="E31" s="1054"/>
      <c r="F31" s="1054"/>
      <c r="G31" s="1054"/>
      <c r="H31" s="1054"/>
      <c r="I31" s="1054"/>
      <c r="J31" s="1054"/>
      <c r="K31" s="1054"/>
      <c r="L31" s="1054"/>
      <c r="M31" s="1054"/>
      <c r="N31" s="1062"/>
    </row>
    <row r="32" spans="1:198" ht="13.5" customHeight="1" x14ac:dyDescent="0.35">
      <c r="B32" s="1102" t="s">
        <v>8</v>
      </c>
      <c r="C32" s="1062"/>
      <c r="D32" s="1054"/>
      <c r="E32" s="1054"/>
      <c r="F32" s="1054"/>
      <c r="G32" s="1054"/>
      <c r="H32" s="1054"/>
      <c r="I32" s="1054"/>
      <c r="J32" s="1054"/>
      <c r="K32" s="1054"/>
      <c r="L32" s="1054"/>
      <c r="M32" s="1054"/>
      <c r="N32" s="1062"/>
    </row>
    <row r="33" spans="1:14" ht="13.5" customHeight="1" x14ac:dyDescent="0.35">
      <c r="B33" s="1100" t="s">
        <v>2</v>
      </c>
      <c r="C33" s="1067"/>
      <c r="D33" s="1066"/>
      <c r="E33" s="1066"/>
      <c r="F33" s="1066"/>
      <c r="G33" s="1066"/>
      <c r="H33" s="1066"/>
      <c r="I33" s="1066"/>
      <c r="J33" s="1066"/>
      <c r="K33" s="1066"/>
      <c r="L33" s="1066"/>
      <c r="M33" s="1074"/>
      <c r="N33" s="1067"/>
    </row>
    <row r="34" spans="1:14" ht="5.25" customHeight="1" x14ac:dyDescent="0.4">
      <c r="A34" s="979"/>
      <c r="B34" s="979"/>
      <c r="C34" s="37"/>
      <c r="D34" s="37"/>
      <c r="E34" s="37"/>
      <c r="F34" s="37"/>
      <c r="G34" s="980"/>
      <c r="H34" s="980"/>
      <c r="I34" s="980"/>
      <c r="J34" s="980"/>
      <c r="K34" s="980"/>
      <c r="L34" s="980"/>
      <c r="M34" s="980"/>
      <c r="N34" s="980"/>
    </row>
    <row r="35" spans="1:14" ht="15" customHeight="1" x14ac:dyDescent="0.35">
      <c r="B35" s="1388" t="s">
        <v>94</v>
      </c>
      <c r="C35" s="1388"/>
      <c r="D35" s="1388"/>
      <c r="E35" s="1388"/>
      <c r="F35" s="1388"/>
      <c r="G35" s="924"/>
      <c r="H35" s="1322" t="s">
        <v>11</v>
      </c>
      <c r="I35" s="1322"/>
      <c r="J35" s="1322"/>
      <c r="K35" s="1322"/>
      <c r="L35" s="1322"/>
      <c r="M35" s="1322"/>
      <c r="N35" s="1322"/>
    </row>
    <row r="36" spans="1:14" ht="3.75" customHeight="1" x14ac:dyDescent="0.4">
      <c r="B36" s="1405" t="s">
        <v>7</v>
      </c>
      <c r="C36" s="1405" t="s">
        <v>1</v>
      </c>
      <c r="D36" s="1407"/>
      <c r="E36" s="1407"/>
      <c r="F36" s="1407"/>
      <c r="G36" s="981"/>
      <c r="H36" s="982"/>
      <c r="I36" s="1077"/>
      <c r="J36" s="1389"/>
      <c r="K36" s="1389"/>
      <c r="L36" s="1389"/>
      <c r="M36" s="1389"/>
      <c r="N36" s="1390"/>
    </row>
    <row r="37" spans="1:14" ht="15" customHeight="1" x14ac:dyDescent="0.35">
      <c r="B37" s="1406"/>
      <c r="C37" s="1406"/>
      <c r="D37" s="1408"/>
      <c r="E37" s="1408"/>
      <c r="F37" s="1408"/>
      <c r="G37" s="75"/>
      <c r="H37" s="1073" t="s">
        <v>1158</v>
      </c>
      <c r="I37" s="38"/>
      <c r="J37" s="904">
        <f>+'2 MEDIA ALTURA'!J39</f>
        <v>0</v>
      </c>
      <c r="K37" s="983"/>
      <c r="L37" s="983"/>
      <c r="M37" s="983"/>
      <c r="N37" s="984"/>
    </row>
    <row r="38" spans="1:14" ht="12.6" customHeight="1" x14ac:dyDescent="0.4">
      <c r="A38" s="985" t="s">
        <v>768</v>
      </c>
      <c r="B38" s="1053">
        <f>+'2 MEDIA ALTURA'!B40:B40</f>
        <v>0</v>
      </c>
      <c r="C38" s="1393">
        <f>+'2 MEDIA ALTURA'!C40:F40</f>
        <v>0</v>
      </c>
      <c r="D38" s="1394"/>
      <c r="E38" s="1394"/>
      <c r="F38" s="1394"/>
      <c r="G38" s="986"/>
      <c r="H38" s="987"/>
      <c r="I38" s="983"/>
      <c r="J38" s="983"/>
      <c r="K38" s="983"/>
      <c r="L38" s="983"/>
      <c r="M38" s="983"/>
      <c r="N38" s="984"/>
    </row>
    <row r="39" spans="1:14" ht="12.6" customHeight="1" x14ac:dyDescent="0.4">
      <c r="A39" s="985" t="s">
        <v>769</v>
      </c>
      <c r="B39" s="1053">
        <f>+'2 MEDIA ALTURA'!B41:B41</f>
        <v>0</v>
      </c>
      <c r="C39" s="1393">
        <f>+'2 MEDIA ALTURA'!C41:F41</f>
        <v>0</v>
      </c>
      <c r="D39" s="1394"/>
      <c r="E39" s="1394"/>
      <c r="F39" s="1394"/>
      <c r="G39" s="986"/>
      <c r="H39" s="987"/>
      <c r="I39" s="983"/>
      <c r="J39" s="983"/>
      <c r="K39" s="983"/>
      <c r="L39" s="983"/>
      <c r="M39" s="983"/>
      <c r="N39" s="984"/>
    </row>
    <row r="40" spans="1:14" ht="12.6" customHeight="1" x14ac:dyDescent="0.4">
      <c r="A40" s="985" t="s">
        <v>770</v>
      </c>
      <c r="B40" s="1053">
        <f>+'2 MEDIA ALTURA'!B42:B42</f>
        <v>0</v>
      </c>
      <c r="C40" s="1393">
        <f>+'2 MEDIA ALTURA'!C42:F42</f>
        <v>0</v>
      </c>
      <c r="D40" s="1394"/>
      <c r="E40" s="1394"/>
      <c r="F40" s="1394"/>
      <c r="G40" s="986"/>
      <c r="H40" s="987"/>
      <c r="I40" s="983"/>
      <c r="J40" s="983"/>
      <c r="K40" s="983"/>
      <c r="L40" s="983"/>
      <c r="M40" s="983"/>
      <c r="N40" s="984"/>
    </row>
    <row r="41" spans="1:14" ht="12.6" customHeight="1" x14ac:dyDescent="0.4">
      <c r="A41" s="985" t="s">
        <v>771</v>
      </c>
      <c r="B41" s="1053">
        <f>+'2 MEDIA ALTURA'!B43:B43</f>
        <v>0</v>
      </c>
      <c r="C41" s="1393">
        <f>+'2 MEDIA ALTURA'!C43:F43</f>
        <v>0</v>
      </c>
      <c r="D41" s="1394"/>
      <c r="E41" s="1394"/>
      <c r="F41" s="1394"/>
      <c r="G41" s="986"/>
      <c r="H41" s="987"/>
      <c r="I41" s="983"/>
      <c r="J41" s="983"/>
      <c r="K41" s="983"/>
      <c r="L41" s="983"/>
      <c r="M41" s="983"/>
      <c r="N41" s="984"/>
    </row>
    <row r="42" spans="1:14" ht="12.6" customHeight="1" x14ac:dyDescent="0.4">
      <c r="A42" s="1409" t="s">
        <v>775</v>
      </c>
      <c r="B42" s="1053">
        <f>+'2 MEDIA ALTURA'!B44:B44</f>
        <v>0</v>
      </c>
      <c r="C42" s="1393">
        <f>+'2 MEDIA ALTURA'!C44:F44</f>
        <v>0</v>
      </c>
      <c r="D42" s="1394"/>
      <c r="E42" s="1394"/>
      <c r="F42" s="1394"/>
      <c r="G42" s="986"/>
      <c r="H42" s="987"/>
      <c r="I42" s="983"/>
      <c r="J42" s="983"/>
      <c r="K42" s="983"/>
      <c r="L42" s="983"/>
      <c r="M42" s="983"/>
      <c r="N42" s="984"/>
    </row>
    <row r="43" spans="1:14" ht="12.6" customHeight="1" x14ac:dyDescent="0.35">
      <c r="A43" s="1410"/>
      <c r="B43" s="1053">
        <f>+'2 MEDIA ALTURA'!B45:B45</f>
        <v>0</v>
      </c>
      <c r="C43" s="1393">
        <f>+'2 MEDIA ALTURA'!C45:F45</f>
        <v>0</v>
      </c>
      <c r="D43" s="1394"/>
      <c r="E43" s="1394"/>
      <c r="F43" s="1394"/>
      <c r="G43" s="988"/>
      <c r="H43" s="918"/>
      <c r="I43" s="919"/>
      <c r="J43" s="983"/>
      <c r="K43" s="983"/>
      <c r="L43" s="983"/>
      <c r="M43" s="983"/>
      <c r="N43" s="984"/>
    </row>
    <row r="44" spans="1:14" ht="12.6" customHeight="1" x14ac:dyDescent="0.35">
      <c r="A44" s="989" t="s">
        <v>114</v>
      </c>
      <c r="B44" s="1053">
        <f>+'2 MEDIA ALTURA'!B46:B46</f>
        <v>0</v>
      </c>
      <c r="C44" s="1393">
        <f>+'2 MEDIA ALTURA'!C46:F46</f>
        <v>0</v>
      </c>
      <c r="D44" s="1394"/>
      <c r="E44" s="1394"/>
      <c r="F44" s="1394"/>
      <c r="G44" s="988"/>
      <c r="H44" s="918"/>
      <c r="I44" s="919"/>
      <c r="J44" s="983"/>
      <c r="K44" s="983"/>
      <c r="L44" s="983"/>
      <c r="M44" s="983"/>
      <c r="N44" s="984"/>
    </row>
    <row r="45" spans="1:14" ht="12.6" customHeight="1" x14ac:dyDescent="0.35">
      <c r="A45" s="1409" t="s">
        <v>999</v>
      </c>
      <c r="B45" s="1053">
        <f>+'2 MEDIA ALTURA'!B47:B47</f>
        <v>0</v>
      </c>
      <c r="C45" s="1393">
        <f>+'2 MEDIA ALTURA'!C47:F47</f>
        <v>0</v>
      </c>
      <c r="D45" s="1394"/>
      <c r="E45" s="1394"/>
      <c r="F45" s="1394"/>
      <c r="G45" s="990"/>
      <c r="H45" s="918"/>
      <c r="I45" s="919"/>
      <c r="J45" s="983"/>
      <c r="K45" s="983"/>
      <c r="L45" s="983"/>
      <c r="M45" s="983"/>
      <c r="N45" s="984"/>
    </row>
    <row r="46" spans="1:14" ht="12.6" customHeight="1" x14ac:dyDescent="0.35">
      <c r="A46" s="1410"/>
      <c r="B46" s="1053">
        <f>+'2 MEDIA ALTURA'!B48:B48</f>
        <v>0</v>
      </c>
      <c r="C46" s="1393">
        <f>+'2 MEDIA ALTURA'!C48:F48</f>
        <v>0</v>
      </c>
      <c r="D46" s="1394"/>
      <c r="E46" s="1394"/>
      <c r="F46" s="1394"/>
      <c r="G46" s="990"/>
      <c r="H46" s="918"/>
      <c r="I46" s="919"/>
      <c r="J46" s="983"/>
      <c r="K46" s="983"/>
      <c r="L46" s="983"/>
      <c r="M46" s="983"/>
      <c r="N46" s="984"/>
    </row>
    <row r="47" spans="1:14" ht="12.6" customHeight="1" x14ac:dyDescent="0.4">
      <c r="A47" s="985" t="s">
        <v>1096</v>
      </c>
      <c r="B47" s="1393">
        <f>+'2 MEDIA ALTURA'!B49:F49</f>
        <v>0</v>
      </c>
      <c r="C47" s="1394"/>
      <c r="D47" s="1394"/>
      <c r="E47" s="1394"/>
      <c r="F47" s="1394"/>
      <c r="G47" s="991"/>
      <c r="H47" s="918"/>
      <c r="I47" s="919"/>
      <c r="J47" s="983"/>
      <c r="K47" s="983"/>
      <c r="L47" s="983"/>
      <c r="M47" s="983"/>
      <c r="N47" s="984"/>
    </row>
    <row r="48" spans="1:14" ht="12.6" customHeight="1" x14ac:dyDescent="0.4">
      <c r="A48" s="992"/>
      <c r="E48" s="43"/>
      <c r="F48" s="43"/>
      <c r="G48" s="37"/>
      <c r="H48" s="918"/>
      <c r="I48" s="919"/>
      <c r="J48" s="983"/>
      <c r="K48" s="983"/>
      <c r="L48" s="983"/>
      <c r="M48" s="983"/>
      <c r="N48" s="984"/>
    </row>
    <row r="49" spans="1:14" ht="12.6" customHeight="1" x14ac:dyDescent="0.4">
      <c r="F49" s="38"/>
      <c r="G49" s="44"/>
      <c r="H49" s="987"/>
      <c r="I49" s="983"/>
      <c r="J49" s="983"/>
      <c r="K49" s="983"/>
      <c r="L49" s="983"/>
      <c r="M49" s="983"/>
      <c r="N49" s="984"/>
    </row>
    <row r="50" spans="1:14" ht="12.6" customHeight="1" x14ac:dyDescent="0.4">
      <c r="A50" s="993" t="s">
        <v>89</v>
      </c>
      <c r="B50" s="993"/>
      <c r="D50" s="38"/>
      <c r="E50" s="38"/>
      <c r="F50" s="38"/>
      <c r="G50" s="44"/>
      <c r="H50" s="987"/>
      <c r="I50" s="983"/>
      <c r="J50" s="983"/>
      <c r="K50" s="983"/>
      <c r="L50" s="983"/>
      <c r="M50" s="983"/>
      <c r="N50" s="984"/>
    </row>
    <row r="51" spans="1:14" ht="12.6" customHeight="1" x14ac:dyDescent="0.4">
      <c r="A51" s="993" t="s">
        <v>89</v>
      </c>
      <c r="B51" s="993"/>
      <c r="D51" s="38"/>
      <c r="E51" s="38"/>
      <c r="F51" s="38"/>
      <c r="G51" s="44"/>
      <c r="H51" s="987"/>
      <c r="I51" s="983"/>
      <c r="J51" s="983"/>
      <c r="K51" s="983"/>
      <c r="L51" s="983"/>
      <c r="M51" s="983"/>
      <c r="N51" s="984"/>
    </row>
    <row r="52" spans="1:14" ht="12.6" customHeight="1" x14ac:dyDescent="0.4">
      <c r="A52" s="993" t="s">
        <v>89</v>
      </c>
      <c r="B52" s="993"/>
      <c r="F52" s="38"/>
      <c r="G52" s="44"/>
      <c r="H52" s="987"/>
      <c r="I52" s="983"/>
      <c r="J52" s="983"/>
      <c r="K52" s="983"/>
      <c r="L52" s="983"/>
      <c r="M52" s="983"/>
      <c r="N52" s="984"/>
    </row>
    <row r="53" spans="1:14" ht="12.6" customHeight="1" x14ac:dyDescent="0.4">
      <c r="A53" s="993" t="s">
        <v>89</v>
      </c>
      <c r="B53" s="993"/>
      <c r="F53" s="38"/>
      <c r="G53" s="44"/>
      <c r="H53" s="987"/>
      <c r="I53" s="983"/>
      <c r="J53" s="983"/>
      <c r="K53" s="983"/>
      <c r="L53" s="983"/>
      <c r="M53" s="983"/>
      <c r="N53" s="984"/>
    </row>
    <row r="54" spans="1:14" ht="12.6" customHeight="1" x14ac:dyDescent="0.4">
      <c r="A54" s="993" t="s">
        <v>89</v>
      </c>
      <c r="B54" s="993"/>
      <c r="F54" s="38"/>
      <c r="G54" s="44"/>
      <c r="H54" s="987"/>
      <c r="I54" s="983"/>
      <c r="J54" s="983"/>
      <c r="K54" s="983"/>
      <c r="L54" s="983"/>
      <c r="M54" s="983"/>
      <c r="N54" s="984"/>
    </row>
    <row r="55" spans="1:14" ht="12.6" customHeight="1" x14ac:dyDescent="0.4">
      <c r="A55" s="993" t="s">
        <v>89</v>
      </c>
      <c r="B55" s="993"/>
      <c r="F55" s="38"/>
      <c r="G55" s="44"/>
      <c r="H55" s="987"/>
      <c r="I55" s="983"/>
      <c r="J55" s="983"/>
      <c r="K55" s="983"/>
      <c r="L55" s="983"/>
      <c r="M55" s="983"/>
      <c r="N55" s="984"/>
    </row>
    <row r="56" spans="1:14" ht="12.6" customHeight="1" x14ac:dyDescent="0.4">
      <c r="A56" s="993" t="s">
        <v>89</v>
      </c>
      <c r="B56" s="993"/>
      <c r="F56" s="38"/>
      <c r="G56" s="44"/>
      <c r="H56" s="987"/>
      <c r="I56" s="983"/>
      <c r="J56" s="983"/>
      <c r="K56" s="983"/>
      <c r="L56" s="983"/>
      <c r="M56" s="983"/>
      <c r="N56" s="984"/>
    </row>
    <row r="57" spans="1:14" ht="12.6" customHeight="1" x14ac:dyDescent="0.4">
      <c r="A57" s="993"/>
      <c r="B57" s="993"/>
      <c r="C57" s="994"/>
      <c r="D57" s="994"/>
      <c r="E57" s="994"/>
      <c r="F57" s="994"/>
      <c r="G57" s="37"/>
      <c r="H57" s="995"/>
      <c r="I57" s="996"/>
      <c r="J57" s="996"/>
      <c r="K57" s="996"/>
      <c r="L57" s="996"/>
      <c r="M57" s="997"/>
      <c r="N57" s="998"/>
    </row>
    <row r="58" spans="1:14" ht="4.5" customHeight="1" x14ac:dyDescent="0.35">
      <c r="B58" s="38"/>
      <c r="C58" s="38"/>
      <c r="D58" s="38"/>
    </row>
    <row r="59" spans="1:14" ht="25.5" hidden="1" customHeight="1" x14ac:dyDescent="0.35">
      <c r="A59" s="38" t="s">
        <v>1184</v>
      </c>
    </row>
    <row r="60" spans="1:14" ht="25.5" hidden="1" customHeight="1" x14ac:dyDescent="0.35">
      <c r="A60" s="30" t="s">
        <v>1185</v>
      </c>
    </row>
    <row r="61" spans="1:14" ht="25.5" hidden="1" customHeight="1" x14ac:dyDescent="0.35">
      <c r="A61" s="30" t="s">
        <v>14</v>
      </c>
    </row>
    <row r="62" spans="1:14" ht="25.5" hidden="1" customHeight="1" x14ac:dyDescent="0.35">
      <c r="A62" s="30" t="s">
        <v>1182</v>
      </c>
    </row>
    <row r="63" spans="1:14" ht="25.5" hidden="1" customHeight="1" x14ac:dyDescent="0.35"/>
    <row r="64" spans="1:14" ht="25.5" hidden="1" customHeight="1" x14ac:dyDescent="0.35"/>
    <row r="65" ht="25.5" hidden="1" customHeight="1" x14ac:dyDescent="0.35"/>
    <row r="66" ht="25.5" hidden="1" customHeight="1" x14ac:dyDescent="0.35"/>
    <row r="67" ht="25.5" hidden="1" customHeight="1" x14ac:dyDescent="0.35"/>
    <row r="68" ht="25.5" hidden="1" customHeight="1" x14ac:dyDescent="0.35"/>
    <row r="69" ht="25.5" hidden="1" customHeight="1" x14ac:dyDescent="0.35"/>
    <row r="70" ht="25.5" hidden="1" customHeight="1" x14ac:dyDescent="0.35"/>
    <row r="71" ht="25.5" hidden="1" customHeight="1" x14ac:dyDescent="0.35"/>
    <row r="72" ht="25.5" hidden="1" customHeight="1" x14ac:dyDescent="0.35"/>
    <row r="73" ht="25.5" hidden="1" customHeight="1" x14ac:dyDescent="0.35"/>
    <row r="74" ht="25.5" hidden="1" customHeight="1" x14ac:dyDescent="0.35"/>
    <row r="75" ht="25.5" hidden="1" customHeight="1" x14ac:dyDescent="0.35"/>
    <row r="76" ht="25.5" hidden="1" customHeight="1" x14ac:dyDescent="0.35"/>
    <row r="77" ht="25.5" hidden="1" customHeight="1" x14ac:dyDescent="0.35"/>
    <row r="78" ht="25.5" hidden="1" customHeight="1" x14ac:dyDescent="0.35"/>
    <row r="79" ht="25.5" hidden="1" customHeight="1" x14ac:dyDescent="0.35"/>
    <row r="80" hidden="1" x14ac:dyDescent="0.35"/>
    <row r="81" spans="1:15" hidden="1" x14ac:dyDescent="0.35"/>
    <row r="82" spans="1:15" hidden="1" x14ac:dyDescent="0.35"/>
    <row r="83" spans="1:15" hidden="1" x14ac:dyDescent="0.35"/>
    <row r="84" spans="1:15" hidden="1" x14ac:dyDescent="0.35"/>
    <row r="85" spans="1:15" hidden="1" x14ac:dyDescent="0.35"/>
    <row r="86" spans="1:15" hidden="1" x14ac:dyDescent="0.35"/>
    <row r="87" spans="1:15" hidden="1" x14ac:dyDescent="0.35"/>
    <row r="88" spans="1:15" hidden="1" x14ac:dyDescent="0.35"/>
    <row r="89" spans="1:15" hidden="1" x14ac:dyDescent="0.35"/>
    <row r="90" spans="1:15" hidden="1" x14ac:dyDescent="0.35"/>
    <row r="91" spans="1:15" hidden="1" x14ac:dyDescent="0.35"/>
    <row r="92" spans="1:15" hidden="1" x14ac:dyDescent="0.35"/>
    <row r="93" spans="1:15" hidden="1" x14ac:dyDescent="0.35"/>
    <row r="94" spans="1:15" hidden="1" x14ac:dyDescent="0.35"/>
    <row r="95" spans="1:15" hidden="1" x14ac:dyDescent="0.35">
      <c r="A95" s="50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</row>
    <row r="96" spans="1:15" hidden="1" x14ac:dyDescent="0.35">
      <c r="A96" s="50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</row>
    <row r="97" spans="1:15" hidden="1" x14ac:dyDescent="0.35">
      <c r="A97" s="50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</row>
    <row r="98" spans="1:15" hidden="1" x14ac:dyDescent="0.35">
      <c r="A98" s="50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</row>
    <row r="99" spans="1:15" hidden="1" x14ac:dyDescent="0.35">
      <c r="A99" s="50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</row>
    <row r="100" spans="1:15" hidden="1" x14ac:dyDescent="0.35">
      <c r="A100" s="50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</row>
    <row r="101" spans="1:15" hidden="1" x14ac:dyDescent="0.35">
      <c r="A101" s="50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</row>
    <row r="102" spans="1:15" hidden="1" x14ac:dyDescent="0.35">
      <c r="A102" s="50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</row>
    <row r="103" spans="1:15" hidden="1" x14ac:dyDescent="0.35">
      <c r="A103" s="50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</row>
    <row r="104" spans="1:15" hidden="1" x14ac:dyDescent="0.35">
      <c r="A104" s="50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</row>
    <row r="105" spans="1:15" hidden="1" x14ac:dyDescent="0.35">
      <c r="A105" s="50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</row>
    <row r="106" spans="1:15" hidden="1" x14ac:dyDescent="0.35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</row>
    <row r="107" spans="1:15" hidden="1" x14ac:dyDescent="0.35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</row>
    <row r="108" spans="1:15" hidden="1" x14ac:dyDescent="0.35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</row>
    <row r="109" spans="1:15" hidden="1" x14ac:dyDescent="0.35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</row>
    <row r="110" spans="1:15" hidden="1" x14ac:dyDescent="0.35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</row>
    <row r="111" spans="1:15" hidden="1" x14ac:dyDescent="0.35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</row>
    <row r="112" spans="1:15" hidden="1" x14ac:dyDescent="0.35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</row>
    <row r="113" spans="1:15" hidden="1" x14ac:dyDescent="0.35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</row>
    <row r="114" spans="1:15" hidden="1" x14ac:dyDescent="0.35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</row>
    <row r="115" spans="1:15" hidden="1" x14ac:dyDescent="0.35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</row>
    <row r="116" spans="1:15" hidden="1" x14ac:dyDescent="0.35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</row>
    <row r="117" spans="1:15" hidden="1" x14ac:dyDescent="0.35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</row>
    <row r="118" spans="1:15" hidden="1" x14ac:dyDescent="0.35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</row>
    <row r="119" spans="1:15" hidden="1" x14ac:dyDescent="0.35">
      <c r="A119" s="50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</row>
    <row r="120" spans="1:15" hidden="1" x14ac:dyDescent="0.35">
      <c r="A120" s="50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</row>
    <row r="121" spans="1:15" hidden="1" x14ac:dyDescent="0.35">
      <c r="A121" s="50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</row>
    <row r="122" spans="1:15" hidden="1" x14ac:dyDescent="0.35">
      <c r="A122" s="50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</row>
    <row r="123" spans="1:15" hidden="1" x14ac:dyDescent="0.35">
      <c r="A123" s="50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</row>
    <row r="124" spans="1:15" hidden="1" x14ac:dyDescent="0.35">
      <c r="A124" s="50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</row>
    <row r="125" spans="1:15" hidden="1" x14ac:dyDescent="0.35">
      <c r="A125" s="50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</row>
    <row r="126" spans="1:15" hidden="1" x14ac:dyDescent="0.35">
      <c r="A126" s="50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</row>
    <row r="127" spans="1:15" hidden="1" x14ac:dyDescent="0.35">
      <c r="A127" s="50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</row>
    <row r="128" spans="1:15" hidden="1" x14ac:dyDescent="0.35">
      <c r="A128" s="50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</row>
    <row r="129" spans="1:54" hidden="1" x14ac:dyDescent="0.35">
      <c r="A129" s="50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</row>
    <row r="130" spans="1:54" hidden="1" x14ac:dyDescent="0.35">
      <c r="A130" s="50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</row>
    <row r="131" spans="1:54" hidden="1" x14ac:dyDescent="0.35">
      <c r="A131" s="50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</row>
    <row r="132" spans="1:54" hidden="1" x14ac:dyDescent="0.35">
      <c r="A132" s="50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</row>
    <row r="133" spans="1:54" hidden="1" x14ac:dyDescent="0.35">
      <c r="A133" s="50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</row>
    <row r="134" spans="1:54" hidden="1" x14ac:dyDescent="0.35">
      <c r="A134" s="50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</row>
    <row r="135" spans="1:54" hidden="1" x14ac:dyDescent="0.35">
      <c r="A135" s="50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</row>
    <row r="136" spans="1:54" hidden="1" x14ac:dyDescent="0.35">
      <c r="A136" s="50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</row>
    <row r="137" spans="1:54" hidden="1" x14ac:dyDescent="0.35">
      <c r="A137" s="50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BB137" s="699" t="e">
        <f>IF(OR(FORMULAS!BV73&gt;0,FORMULAS!BV75&gt;0,FORMULAS!#REF!&gt;0,FORMULAS!#REF!&gt;0,FORMULAS!#REF!&gt;0,FORMULAS!#REF!&gt;0,),1,0)*N33</f>
        <v>#REF!</v>
      </c>
    </row>
    <row r="138" spans="1:54" hidden="1" x14ac:dyDescent="0.35">
      <c r="A138" s="50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BB138" s="699" t="e">
        <f>IF(OR(FORMULAS!#REF!&gt;0,FORMULAS!#REF!&gt;0,FORMULAS!#REF!&gt;0,FORMULAS!#REF!&gt;0,),1,0)*N34</f>
        <v>#REF!</v>
      </c>
    </row>
    <row r="139" spans="1:54" hidden="1" x14ac:dyDescent="0.35">
      <c r="A139" s="50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</row>
    <row r="140" spans="1:54" hidden="1" x14ac:dyDescent="0.35">
      <c r="A140" s="50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</row>
    <row r="141" spans="1:54" hidden="1" x14ac:dyDescent="0.35">
      <c r="A141" s="50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</row>
    <row r="142" spans="1:54" hidden="1" x14ac:dyDescent="0.35">
      <c r="A142" s="50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</row>
  </sheetData>
  <mergeCells count="30">
    <mergeCell ref="B47:F47"/>
    <mergeCell ref="C39:F39"/>
    <mergeCell ref="C45:F45"/>
    <mergeCell ref="C44:F44"/>
    <mergeCell ref="C43:F43"/>
    <mergeCell ref="C40:F40"/>
    <mergeCell ref="A45:A46"/>
    <mergeCell ref="C46:F46"/>
    <mergeCell ref="A42:A43"/>
    <mergeCell ref="C42:F42"/>
    <mergeCell ref="C41:F41"/>
    <mergeCell ref="B36:B37"/>
    <mergeCell ref="C36:F37"/>
    <mergeCell ref="J36:N36"/>
    <mergeCell ref="C38:F38"/>
    <mergeCell ref="B35:F35"/>
    <mergeCell ref="H35:N35"/>
    <mergeCell ref="A5:B13"/>
    <mergeCell ref="A16:A17"/>
    <mergeCell ref="A26:A27"/>
    <mergeCell ref="A24:A25"/>
    <mergeCell ref="A20:A21"/>
    <mergeCell ref="A22:A23"/>
    <mergeCell ref="A14:A15"/>
    <mergeCell ref="A18:A19"/>
    <mergeCell ref="E1:G1"/>
    <mergeCell ref="D2:H2"/>
    <mergeCell ref="J2:N2"/>
    <mergeCell ref="A4:N4"/>
    <mergeCell ref="A1:B2"/>
  </mergeCells>
  <phoneticPr fontId="25" type="noConversion"/>
  <conditionalFormatting sqref="C15:N15 C21:N21 C19:N19 C17:N17 C25:N25 C27:N27 C23:N23">
    <cfRule type="expression" dxfId="3" priority="1" stopIfTrue="1">
      <formula>IF(OR(C15=$B$42,C15=$B$43,C15=$A$48,),"verdadero","falso")</formula>
    </cfRule>
  </conditionalFormatting>
  <conditionalFormatting sqref="C14:N14 C20:N20 C18:N18 C16:N16 C24:N24 C26:N26 C22:N22">
    <cfRule type="expression" dxfId="2" priority="2" stopIfTrue="1">
      <formula>IF(OR(C15=$B$42,C15=$B$43,C15=$A$48,),"verdadero","falso")</formula>
    </cfRule>
  </conditionalFormatting>
  <dataValidations count="13">
    <dataValidation allowBlank="1" showInputMessage="1" showErrorMessage="1" promptTitle="NOTA" prompt="STANDAR 20, 40" sqref="E24:N24 D20:N20 D16:N16 D18:N18 C14:N14 E22:N22"/>
    <dataValidation allowBlank="1" showInputMessage="1" showErrorMessage="1" promptTitle="NOTA" prompt="DE 12 o 16" sqref="J37"/>
    <dataValidation type="decimal" operator="notBetween" allowBlank="1" showInputMessage="1" showErrorMessage="1" errorTitle="ERROR" error="SOLO ACEPTA VALORES NUMERICOS" promptTitle="NOTA" prompt="STANDAR 20, 40" sqref="C22:D22 C16 C20 C18 C24:D24">
      <formula1>1</formula1>
      <formula2>10</formula2>
    </dataValidation>
    <dataValidation type="whole" operator="notBetween" allowBlank="1" showInputMessage="1" showErrorMessage="1" errorTitle="ERROR" error="SOLO ACEPTA VALORES NUMERICOS" promptTitle="NOTA" prompt="STANDAR 95,115,135,155, 175" sqref="C31:N31">
      <formula1>1</formula1>
      <formula2>10</formula2>
    </dataValidation>
    <dataValidation type="whole" allowBlank="1" showInputMessage="1" showErrorMessage="1" errorTitle="ERROR" error="SOLO ACEPTA VALORES NUMERICOS Y ANCHOS HASTA 150 CM" promptTitle="ESTANDAR" prompt="28, 56, 70, 84, 112, 140" sqref="C32:N32">
      <formula1>1</formula1>
      <formula2>150</formula2>
    </dataValidation>
    <dataValidation type="list" allowBlank="1" showInputMessage="1" showErrorMessage="1" errorTitle="ERROR" error="NO COINCIDE" sqref="C19:N19 C15:N15 C25:N25 C27:N27 C23:N23 C17:N17 C21:N21">
      <formula1>ACABADOS</formula1>
    </dataValidation>
    <dataValidation type="decimal" operator="notBetween" allowBlank="1" showInputMessage="1" showErrorMessage="1" errorTitle="ERROR" error="SOLO ACEPTA VALORES NUMERICOS" promptTitle="NOTA" prompt="STANDAR 20,40,_x000a_TABLERO COMPLETO 80,100,120,140, 160" sqref="C26:N26">
      <formula1>1</formula1>
      <formula2>10</formula2>
    </dataValidation>
    <dataValidation type="textLength" allowBlank="1" showInputMessage="1" showErrorMessage="1" errorTitle="DATOS MUY EXTENSOS" error="INGRESAR NUMEROS _x000a_EN OBSERVACIONES" promptTitle="NOTA" prompt="INGRESAR NUMERO DE PANEL" sqref="C30:N30">
      <formula1>1</formula1>
      <formula2>12</formula2>
    </dataValidation>
    <dataValidation allowBlank="1" showInputMessage="1" showErrorMessage="1" errorTitle="ERROR" error="NO COINCIDE" sqref="B38:B46"/>
    <dataValidation allowBlank="1" showInputMessage="1" showErrorMessage="1" promptTitle="NOTA" prompt="COLOR DE ALUMINIO" sqref="B47"/>
    <dataValidation type="list" allowBlank="1" showInputMessage="1" showErrorMessage="1" errorTitle="ERROR" error="NO ES UNA OPCION VALIDA" promptTitle="OPCIONES VALIDAS" prompt="PT MODULAR_x000a_TABLERO COMPLETO_x000a_MEDIA ALTURA" sqref="D29:N29">
      <formula1>$A$59:$A$61</formula1>
    </dataValidation>
    <dataValidation type="textLength" operator="equal" allowBlank="1" showInputMessage="1" showErrorMessage="1" errorTitle="ERROR" error="INGRESAR DATOS EN HOJA 5" promptTitle="NOTA" prompt="INTRODUCIR EN HOJA 5" sqref="M1:S1 D2:H2 J2:N2">
      <formula1>0</formula1>
    </dataValidation>
    <dataValidation type="list" allowBlank="1" showInputMessage="1" showErrorMessage="1" errorTitle="ERROR" error="NO ES UNA OPCION VALIDA" promptTitle="OPCIONES VALIDAS" prompt="PT MODULAR_x000a_TABLERO COMPLETO_x000a_MEDIA ALTURA" sqref="C29">
      <formula1>$A$59:$A$62</formula1>
    </dataValidation>
  </dataValidations>
  <printOptions horizontalCentered="1" verticalCentered="1"/>
  <pageMargins left="0.35433070866141736" right="0.19685039370078741" top="0.23622047244094491" bottom="0.27559055118110237" header="0" footer="0"/>
  <pageSetup scale="86" orientation="landscape" r:id="rId1"/>
  <headerFooter alignWithMargins="0">
    <oddFooter>&amp;L2 MEDIA ALTURA&amp;C&amp;"Arial,Negrita"FAMOC DEPANEL Confidencial&amp;RPágina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BY242"/>
  <sheetViews>
    <sheetView topLeftCell="AE54" zoomScale="70" zoomScaleNormal="85" workbookViewId="0">
      <selection activeCell="AO54" sqref="AO54:AR54"/>
    </sheetView>
  </sheetViews>
  <sheetFormatPr baseColWidth="10" defaultRowHeight="18" customHeight="1" x14ac:dyDescent="0.2"/>
  <cols>
    <col min="1" max="1" width="11.42578125" style="120"/>
    <col min="2" max="2" width="22.85546875" style="120" customWidth="1"/>
    <col min="3" max="8" width="11.42578125" style="120"/>
    <col min="9" max="9" width="12.28515625" style="120" customWidth="1"/>
    <col min="10" max="10" width="11.42578125" style="120"/>
    <col min="11" max="11" width="3.7109375" style="120" customWidth="1"/>
    <col min="12" max="12" width="11.7109375" style="120" customWidth="1"/>
    <col min="13" max="13" width="29" style="120" customWidth="1"/>
    <col min="14" max="14" width="14.140625" style="120" bestFit="1" customWidth="1"/>
    <col min="15" max="21" width="11.42578125" style="120"/>
    <col min="22" max="22" width="3.5703125" style="120" customWidth="1"/>
    <col min="23" max="23" width="11.42578125" style="120"/>
    <col min="24" max="24" width="20.140625" style="120" customWidth="1"/>
    <col min="25" max="29" width="6.7109375" style="120" customWidth="1"/>
    <col min="30" max="30" width="11.42578125" style="120"/>
    <col min="31" max="31" width="20.5703125" style="120" customWidth="1"/>
    <col min="32" max="36" width="6.7109375" style="120" customWidth="1"/>
    <col min="37" max="37" width="11.42578125" style="120"/>
    <col min="38" max="38" width="3.5703125" style="120" customWidth="1"/>
    <col min="39" max="39" width="11.42578125" style="120"/>
    <col min="40" max="40" width="27.85546875" style="120" customWidth="1"/>
    <col min="41" max="41" width="11.42578125" style="120"/>
    <col min="42" max="42" width="15" style="120" bestFit="1" customWidth="1"/>
    <col min="43" max="44" width="11.5703125" style="120" bestFit="1" customWidth="1"/>
    <col min="45" max="46" width="12.28515625" style="120" customWidth="1"/>
    <col min="47" max="48" width="11.42578125" style="120"/>
    <col min="49" max="49" width="3.7109375" style="120" customWidth="1"/>
    <col min="50" max="50" width="28.85546875" style="120" customWidth="1"/>
    <col min="51" max="58" width="11.42578125" style="120"/>
    <col min="59" max="59" width="4.28515625" style="120" customWidth="1"/>
    <col min="60" max="60" width="11.42578125" style="120"/>
    <col min="61" max="61" width="14.42578125" style="226" customWidth="1"/>
    <col min="62" max="62" width="74" style="226" customWidth="1"/>
    <col min="63" max="64" width="11.42578125" style="120"/>
    <col min="65" max="65" width="4.28515625" style="120" customWidth="1"/>
    <col min="66" max="16384" width="11.42578125" style="120"/>
  </cols>
  <sheetData>
    <row r="1" spans="1:77" ht="18" customHeight="1" x14ac:dyDescent="0.2">
      <c r="A1" s="788"/>
      <c r="B1" s="789"/>
      <c r="C1" s="788"/>
      <c r="D1" s="788"/>
      <c r="BI1" s="120"/>
      <c r="BJ1" s="120"/>
      <c r="BN1" s="226"/>
      <c r="BO1" s="226"/>
      <c r="BP1" s="226"/>
      <c r="BQ1" s="226"/>
      <c r="BR1" s="226"/>
    </row>
    <row r="2" spans="1:77" ht="27" customHeight="1" x14ac:dyDescent="0.4">
      <c r="A2" s="788"/>
      <c r="B2" s="1437" t="s">
        <v>462</v>
      </c>
      <c r="C2" s="1437"/>
      <c r="D2" s="788"/>
      <c r="F2" s="790"/>
      <c r="I2" s="791"/>
      <c r="J2" s="792"/>
      <c r="K2" s="792"/>
      <c r="L2" s="792"/>
      <c r="M2" s="792"/>
      <c r="N2" s="792"/>
      <c r="O2" s="792"/>
      <c r="P2" s="792"/>
      <c r="BI2" s="120"/>
      <c r="BJ2" s="120"/>
      <c r="BN2" s="226"/>
      <c r="BO2" s="226"/>
      <c r="BP2" s="226"/>
      <c r="BQ2" s="226"/>
      <c r="BR2" s="226"/>
    </row>
    <row r="3" spans="1:77" ht="18" customHeight="1" x14ac:dyDescent="0.35">
      <c r="A3" s="788"/>
      <c r="B3" s="1437" t="s">
        <v>463</v>
      </c>
      <c r="C3" s="1437"/>
      <c r="D3" s="788"/>
      <c r="F3" s="790"/>
      <c r="I3" s="793"/>
      <c r="J3" s="793"/>
      <c r="K3" s="793"/>
      <c r="L3" s="793"/>
      <c r="M3" s="793"/>
      <c r="N3" s="793"/>
      <c r="O3" s="793">
        <f>+P$3</f>
        <v>0</v>
      </c>
      <c r="P3" s="793"/>
      <c r="Q3" s="794"/>
      <c r="R3" s="794"/>
      <c r="S3" s="794"/>
      <c r="T3" s="794"/>
      <c r="U3" s="794"/>
      <c r="V3" s="794"/>
      <c r="W3" s="794"/>
      <c r="X3" s="794"/>
      <c r="Y3" s="794"/>
      <c r="Z3" s="794"/>
      <c r="AA3" s="794"/>
      <c r="AB3" s="794"/>
      <c r="AC3" s="794"/>
      <c r="AD3" s="794"/>
      <c r="AE3" s="794"/>
      <c r="AF3" s="794"/>
      <c r="AG3" s="794"/>
      <c r="AH3" s="794"/>
      <c r="AI3" s="794"/>
      <c r="AJ3" s="794"/>
      <c r="AK3" s="794"/>
      <c r="AL3" s="794"/>
      <c r="AM3" s="794"/>
      <c r="AN3" s="794"/>
      <c r="AO3" s="794"/>
      <c r="AP3" s="794"/>
      <c r="AQ3" s="794"/>
      <c r="AR3" s="794"/>
      <c r="AS3" s="794"/>
      <c r="AT3" s="794"/>
      <c r="AU3" s="794"/>
      <c r="AV3" s="794"/>
      <c r="AW3" s="794"/>
      <c r="BI3" s="120"/>
      <c r="BJ3" s="120"/>
      <c r="BN3" s="226"/>
      <c r="BO3" s="226"/>
      <c r="BP3" s="226"/>
      <c r="BQ3" s="226"/>
      <c r="BR3" s="226"/>
    </row>
    <row r="4" spans="1:77" ht="18" customHeight="1" x14ac:dyDescent="0.35">
      <c r="A4" s="788"/>
      <c r="B4" s="1437" t="s">
        <v>464</v>
      </c>
      <c r="C4" s="1437"/>
      <c r="D4" s="788"/>
      <c r="F4" s="790"/>
      <c r="I4" s="793"/>
      <c r="J4" s="793"/>
      <c r="K4" s="793"/>
      <c r="L4" s="793"/>
      <c r="M4" s="793"/>
      <c r="N4" s="793"/>
      <c r="O4" s="793">
        <f>+P$3</f>
        <v>0</v>
      </c>
      <c r="P4" s="793"/>
      <c r="Q4" s="794"/>
      <c r="R4" s="794"/>
      <c r="S4" s="794"/>
      <c r="T4" s="794"/>
      <c r="U4" s="794"/>
      <c r="V4" s="794"/>
      <c r="W4" s="794"/>
      <c r="X4" s="794"/>
      <c r="Y4" s="794"/>
      <c r="Z4" s="794"/>
      <c r="AA4" s="794"/>
      <c r="AB4" s="794"/>
      <c r="AC4" s="794"/>
      <c r="AD4" s="794"/>
      <c r="AE4" s="794"/>
      <c r="AF4" s="794"/>
      <c r="AG4" s="794"/>
      <c r="AH4" s="794"/>
      <c r="AI4" s="794"/>
      <c r="AJ4" s="794"/>
      <c r="AK4" s="794"/>
      <c r="AL4" s="794"/>
      <c r="AM4" s="794"/>
      <c r="AN4" s="794"/>
      <c r="AO4" s="794"/>
      <c r="AP4" s="794"/>
      <c r="AQ4" s="794"/>
      <c r="AR4" s="794"/>
      <c r="AS4" s="794"/>
      <c r="AT4" s="794"/>
      <c r="AU4" s="794"/>
      <c r="AV4" s="794"/>
      <c r="AW4" s="794"/>
      <c r="BI4" s="120"/>
      <c r="BJ4" s="120"/>
      <c r="BN4" s="226"/>
      <c r="BO4" s="226"/>
      <c r="BP4" s="226"/>
      <c r="BQ4" s="226"/>
      <c r="BR4" s="226"/>
    </row>
    <row r="5" spans="1:77" ht="22.5" customHeight="1" x14ac:dyDescent="0.4">
      <c r="A5" s="788"/>
      <c r="B5" s="795"/>
      <c r="C5" s="788"/>
      <c r="D5" s="788"/>
      <c r="F5" s="790"/>
      <c r="I5" s="796"/>
      <c r="J5" s="793"/>
      <c r="K5" s="797"/>
      <c r="L5" s="798"/>
      <c r="M5" s="793"/>
      <c r="N5" s="793"/>
      <c r="O5" s="793"/>
      <c r="P5" s="793"/>
      <c r="Q5" s="794"/>
      <c r="R5" s="794"/>
      <c r="S5" s="794"/>
      <c r="T5" s="794"/>
      <c r="U5" s="794"/>
      <c r="V5" s="794"/>
      <c r="W5" s="794"/>
      <c r="X5" s="794"/>
      <c r="Y5" s="794"/>
      <c r="Z5" s="794"/>
      <c r="AA5" s="794"/>
      <c r="AB5" s="794"/>
      <c r="AC5" s="794"/>
      <c r="AD5" s="794"/>
      <c r="AE5" s="794"/>
      <c r="AF5" s="794"/>
      <c r="AG5" s="794"/>
      <c r="AH5" s="794"/>
      <c r="AI5" s="794"/>
      <c r="AJ5" s="794"/>
      <c r="AK5" s="794"/>
      <c r="AL5" s="794"/>
      <c r="AM5" s="794"/>
      <c r="AN5" s="794"/>
      <c r="AO5" s="794"/>
      <c r="AP5" s="794"/>
      <c r="AQ5" s="794"/>
      <c r="AR5" s="794"/>
      <c r="AS5" s="794"/>
      <c r="AT5" s="794"/>
      <c r="AU5" s="794"/>
      <c r="AV5" s="794"/>
      <c r="AW5" s="794"/>
      <c r="BI5" s="120"/>
      <c r="BJ5" s="120"/>
      <c r="BN5" s="226"/>
      <c r="BO5" s="226"/>
      <c r="BP5" s="226"/>
      <c r="BQ5" s="226"/>
      <c r="BR5" s="226"/>
    </row>
    <row r="6" spans="1:77" ht="24" customHeight="1" x14ac:dyDescent="0.4">
      <c r="A6" s="788"/>
      <c r="B6" s="1438" t="e">
        <f>+A101</f>
        <v>#REF!</v>
      </c>
      <c r="C6" s="1438"/>
      <c r="D6" s="788"/>
      <c r="F6" s="790"/>
      <c r="I6" s="793"/>
      <c r="J6" s="793"/>
      <c r="K6" s="799"/>
      <c r="L6" s="798"/>
      <c r="M6" s="793"/>
      <c r="N6" s="793"/>
      <c r="O6" s="793"/>
      <c r="P6" s="793"/>
      <c r="Q6" s="794"/>
      <c r="R6" s="794"/>
      <c r="S6" s="794"/>
      <c r="T6" s="794"/>
      <c r="U6" s="794"/>
      <c r="V6" s="794"/>
      <c r="W6" s="794"/>
      <c r="X6" s="794"/>
      <c r="Y6" s="794"/>
      <c r="Z6" s="794"/>
      <c r="AA6" s="794"/>
      <c r="AB6" s="794"/>
      <c r="AC6" s="794"/>
      <c r="AD6" s="794"/>
      <c r="AE6" s="794"/>
      <c r="AF6" s="794"/>
      <c r="AG6" s="794"/>
      <c r="AH6" s="794"/>
      <c r="AI6" s="794"/>
      <c r="AJ6" s="794"/>
      <c r="AK6" s="794"/>
      <c r="AL6" s="794"/>
      <c r="AM6" s="794"/>
      <c r="AN6" s="794"/>
      <c r="AO6" s="794"/>
      <c r="AP6" s="794"/>
      <c r="AQ6" s="794"/>
      <c r="AR6" s="794"/>
      <c r="AS6" s="794"/>
      <c r="AT6" s="794"/>
      <c r="AU6" s="794"/>
      <c r="AV6" s="794"/>
      <c r="AW6" s="794"/>
      <c r="BI6" s="120"/>
      <c r="BJ6" s="120"/>
      <c r="BN6" s="226"/>
      <c r="BO6" s="226"/>
      <c r="BP6" s="226"/>
      <c r="BQ6" s="226"/>
      <c r="BR6" s="226"/>
    </row>
    <row r="7" spans="1:77" ht="22.5" customHeight="1" x14ac:dyDescent="0.4">
      <c r="A7" s="788"/>
      <c r="B7" s="788"/>
      <c r="C7" s="788"/>
      <c r="D7" s="788"/>
      <c r="F7" s="790"/>
      <c r="I7" s="793"/>
      <c r="J7" s="793"/>
      <c r="K7" s="799"/>
      <c r="L7" s="798"/>
      <c r="M7" s="793"/>
      <c r="N7" s="793"/>
      <c r="O7" s="793"/>
      <c r="P7" s="793"/>
      <c r="Q7" s="794"/>
      <c r="R7" s="794"/>
      <c r="S7" s="794"/>
      <c r="T7" s="794"/>
      <c r="U7" s="794"/>
      <c r="V7" s="794"/>
      <c r="W7" s="794"/>
      <c r="X7" s="794"/>
      <c r="Y7" s="794"/>
      <c r="Z7" s="794"/>
      <c r="AA7" s="794"/>
      <c r="AB7" s="794"/>
      <c r="AC7" s="794"/>
      <c r="AD7" s="794"/>
      <c r="AE7" s="794"/>
      <c r="AF7" s="794"/>
      <c r="AG7" s="794"/>
      <c r="AH7" s="794"/>
      <c r="AI7" s="794"/>
      <c r="AJ7" s="794"/>
      <c r="AK7" s="794"/>
      <c r="AL7" s="794"/>
      <c r="AM7" s="794"/>
      <c r="AN7" s="794"/>
      <c r="AO7" s="794"/>
      <c r="AP7" s="794"/>
      <c r="AQ7" s="794"/>
      <c r="AR7" s="794"/>
      <c r="AS7" s="794"/>
      <c r="AT7" s="794"/>
      <c r="AU7" s="794"/>
      <c r="AV7" s="794"/>
      <c r="AW7" s="794"/>
      <c r="BI7" s="120"/>
      <c r="BJ7" s="120"/>
      <c r="BN7" s="226"/>
      <c r="BO7" s="226"/>
      <c r="BP7" s="226"/>
      <c r="BQ7" s="226"/>
      <c r="BR7" s="226"/>
    </row>
    <row r="8" spans="1:77" ht="22.5" customHeight="1" x14ac:dyDescent="0.4">
      <c r="F8" s="790"/>
      <c r="I8" s="800"/>
      <c r="J8" s="793"/>
      <c r="K8" s="800"/>
      <c r="L8" s="798"/>
      <c r="M8" s="793"/>
      <c r="N8" s="793"/>
      <c r="O8" s="793"/>
      <c r="P8" s="793"/>
      <c r="Q8" s="794"/>
      <c r="R8" s="794"/>
      <c r="S8" s="794"/>
      <c r="T8" s="794"/>
      <c r="U8" s="794"/>
      <c r="V8" s="794"/>
      <c r="W8" s="794"/>
      <c r="X8" s="794"/>
      <c r="Y8" s="794"/>
      <c r="Z8" s="794"/>
      <c r="AA8" s="794"/>
      <c r="AB8" s="794"/>
      <c r="AC8" s="794"/>
      <c r="AD8" s="794"/>
      <c r="AE8" s="794"/>
      <c r="AF8" s="794"/>
      <c r="AG8" s="794"/>
      <c r="AH8" s="794"/>
      <c r="AI8" s="794"/>
      <c r="AJ8" s="794"/>
      <c r="AK8" s="794"/>
      <c r="AL8" s="794"/>
      <c r="AM8" s="794"/>
      <c r="AN8" s="794"/>
      <c r="AO8" s="794"/>
      <c r="AP8" s="794"/>
      <c r="AQ8" s="794"/>
      <c r="AR8" s="794"/>
      <c r="AS8" s="794"/>
      <c r="AT8" s="794"/>
      <c r="AU8" s="794"/>
      <c r="AV8" s="794"/>
      <c r="AW8" s="794"/>
      <c r="BI8" s="120"/>
      <c r="BJ8" s="120"/>
      <c r="BN8" s="226"/>
      <c r="BO8" s="226"/>
      <c r="BP8" s="226"/>
      <c r="BQ8" s="226"/>
      <c r="BR8" s="226"/>
    </row>
    <row r="9" spans="1:77" ht="18" customHeight="1" x14ac:dyDescent="0.2">
      <c r="I9" s="794"/>
      <c r="J9" s="794"/>
      <c r="K9" s="794"/>
      <c r="L9" s="793"/>
      <c r="M9" s="794"/>
      <c r="N9" s="794"/>
      <c r="O9" s="794"/>
      <c r="P9" s="794"/>
      <c r="Q9" s="794"/>
      <c r="R9" s="794"/>
      <c r="S9" s="794"/>
      <c r="T9" s="794"/>
      <c r="U9" s="794"/>
      <c r="V9" s="794"/>
      <c r="W9" s="794"/>
      <c r="X9" s="794"/>
      <c r="Y9" s="794"/>
      <c r="Z9" s="794"/>
      <c r="AA9" s="794"/>
      <c r="AB9" s="794"/>
      <c r="AC9" s="794"/>
      <c r="AD9" s="794"/>
      <c r="AE9" s="794"/>
      <c r="AF9" s="794"/>
      <c r="AG9" s="794"/>
      <c r="AH9" s="794"/>
      <c r="AI9" s="794"/>
      <c r="AJ9" s="794"/>
      <c r="AK9" s="794"/>
      <c r="AL9" s="794"/>
      <c r="AM9" s="794"/>
      <c r="AN9" s="794"/>
      <c r="AO9" s="794"/>
      <c r="AP9" s="794"/>
      <c r="AQ9" s="794"/>
      <c r="AR9" s="794"/>
      <c r="AS9" s="794"/>
      <c r="AT9" s="794"/>
      <c r="AU9" s="794"/>
      <c r="AV9" s="794"/>
      <c r="AW9" s="794"/>
      <c r="BI9" s="120"/>
      <c r="BJ9" s="120"/>
      <c r="BN9" s="226"/>
      <c r="BO9" s="226"/>
      <c r="BP9" s="226"/>
      <c r="BQ9" s="226"/>
      <c r="BR9" s="226"/>
    </row>
    <row r="10" spans="1:77" ht="18" customHeight="1" x14ac:dyDescent="0.45">
      <c r="A10" s="147"/>
      <c r="B10" s="147"/>
      <c r="C10" s="147"/>
      <c r="D10" s="148" t="s">
        <v>465</v>
      </c>
      <c r="E10" s="149">
        <f>+I5</f>
        <v>0</v>
      </c>
      <c r="F10" s="147"/>
      <c r="G10" s="147"/>
      <c r="H10" s="147"/>
      <c r="I10" s="147"/>
      <c r="J10" s="147"/>
      <c r="K10" s="146"/>
      <c r="L10" s="147"/>
      <c r="M10" s="147"/>
      <c r="N10" s="147"/>
      <c r="O10" s="148" t="s">
        <v>465</v>
      </c>
      <c r="P10" s="149">
        <f>+I5</f>
        <v>0</v>
      </c>
      <c r="Q10" s="147"/>
      <c r="R10" s="147"/>
      <c r="S10" s="147"/>
      <c r="T10" s="147"/>
      <c r="U10" s="147"/>
      <c r="V10" s="146"/>
      <c r="W10" s="150"/>
      <c r="X10" s="150"/>
      <c r="Y10" s="150"/>
      <c r="Z10" s="150"/>
      <c r="AA10" s="150"/>
      <c r="AB10" s="150"/>
      <c r="AC10" s="149" t="s">
        <v>465</v>
      </c>
      <c r="AD10" s="149">
        <f>+I5</f>
        <v>0</v>
      </c>
      <c r="AE10" s="150"/>
      <c r="AF10" s="150"/>
      <c r="AG10" s="150"/>
      <c r="AH10" s="150"/>
      <c r="AI10" s="150"/>
      <c r="AJ10" s="150"/>
      <c r="AK10" s="151"/>
      <c r="AL10" s="146"/>
      <c r="AM10" s="147"/>
      <c r="AN10" s="147"/>
      <c r="AO10" s="147"/>
      <c r="AP10" s="148" t="s">
        <v>465</v>
      </c>
      <c r="AQ10" s="149">
        <f>+I5</f>
        <v>0</v>
      </c>
      <c r="AR10" s="147"/>
      <c r="AS10" s="147"/>
      <c r="AT10" s="147"/>
      <c r="AU10" s="147"/>
      <c r="AV10" s="147"/>
      <c r="AW10" s="147"/>
      <c r="AX10" s="147"/>
      <c r="AY10" s="147"/>
      <c r="AZ10" s="148" t="s">
        <v>465</v>
      </c>
      <c r="BA10" s="149">
        <f>+I5</f>
        <v>0</v>
      </c>
      <c r="BB10" s="147"/>
      <c r="BC10" s="147"/>
      <c r="BD10" s="147"/>
      <c r="BE10" s="147"/>
      <c r="BF10" s="147"/>
      <c r="BG10" s="146"/>
      <c r="BH10" s="147"/>
      <c r="BI10" s="148" t="s">
        <v>465</v>
      </c>
      <c r="BJ10" s="149">
        <f>+BA10</f>
        <v>0</v>
      </c>
      <c r="BK10" s="147"/>
      <c r="BL10" s="147"/>
      <c r="BN10" s="226"/>
      <c r="BO10" s="226"/>
      <c r="BP10" s="226"/>
      <c r="BQ10" s="226"/>
      <c r="BR10" s="226"/>
    </row>
    <row r="11" spans="1:77" s="156" customFormat="1" ht="46.5" customHeight="1" x14ac:dyDescent="0.6">
      <c r="A11" s="152"/>
      <c r="B11" s="1436" t="s">
        <v>466</v>
      </c>
      <c r="C11" s="1436"/>
      <c r="D11" s="1436"/>
      <c r="E11" s="1436"/>
      <c r="F11" s="1436"/>
      <c r="G11" s="1436"/>
      <c r="H11" s="1436"/>
      <c r="I11" s="1436"/>
      <c r="J11" s="152"/>
      <c r="K11" s="153"/>
      <c r="L11" s="147"/>
      <c r="M11" s="1416" t="s">
        <v>467</v>
      </c>
      <c r="N11" s="1416"/>
      <c r="O11" s="1416"/>
      <c r="P11" s="1416"/>
      <c r="Q11" s="1416"/>
      <c r="R11" s="1416"/>
      <c r="S11" s="1416"/>
      <c r="T11" s="1416"/>
      <c r="U11" s="152"/>
      <c r="V11" s="153"/>
      <c r="W11" s="154"/>
      <c r="X11" s="1415" t="s">
        <v>3</v>
      </c>
      <c r="Y11" s="1415"/>
      <c r="Z11" s="1415"/>
      <c r="AA11" s="1415"/>
      <c r="AB11" s="1415"/>
      <c r="AC11" s="1415"/>
      <c r="AD11" s="1415"/>
      <c r="AE11" s="1415"/>
      <c r="AF11" s="1415"/>
      <c r="AG11" s="1415"/>
      <c r="AH11" s="1415"/>
      <c r="AI11" s="1415"/>
      <c r="AJ11" s="1415"/>
      <c r="AK11" s="154"/>
      <c r="AL11" s="155"/>
      <c r="AM11" s="152"/>
      <c r="AN11" s="1416" t="s">
        <v>468</v>
      </c>
      <c r="AO11" s="1416"/>
      <c r="AP11" s="1416"/>
      <c r="AQ11" s="1416"/>
      <c r="AR11" s="1416"/>
      <c r="AS11" s="1416"/>
      <c r="AT11" s="1416"/>
      <c r="AU11" s="1416"/>
      <c r="AV11" s="152"/>
      <c r="AW11" s="147"/>
      <c r="AX11" s="1416" t="s">
        <v>469</v>
      </c>
      <c r="AY11" s="1416"/>
      <c r="AZ11" s="1416"/>
      <c r="BA11" s="1416"/>
      <c r="BB11" s="1416"/>
      <c r="BC11" s="1416"/>
      <c r="BD11" s="1416"/>
      <c r="BE11" s="1416"/>
      <c r="BF11" s="147"/>
      <c r="BG11" s="153"/>
      <c r="BH11" s="147"/>
      <c r="BI11" s="1421" t="s">
        <v>120</v>
      </c>
      <c r="BJ11" s="1421"/>
      <c r="BK11" s="1421"/>
      <c r="BL11" s="147"/>
      <c r="BM11" s="120"/>
      <c r="BN11" s="226"/>
      <c r="BO11" s="226"/>
      <c r="BP11" s="226"/>
      <c r="BQ11" s="226"/>
      <c r="BR11" s="226"/>
      <c r="BS11" s="1411" t="s">
        <v>987</v>
      </c>
      <c r="BT11" s="1411"/>
      <c r="BU11" s="1411"/>
      <c r="BV11" s="1411"/>
      <c r="BW11" s="1411"/>
      <c r="BX11" s="1411"/>
      <c r="BY11" s="1411"/>
    </row>
    <row r="12" spans="1:77" ht="24" customHeight="1" x14ac:dyDescent="0.45">
      <c r="A12" s="147"/>
      <c r="B12" s="1435" t="s">
        <v>470</v>
      </c>
      <c r="C12" s="1435"/>
      <c r="D12" s="1435"/>
      <c r="E12" s="1435"/>
      <c r="F12" s="1435"/>
      <c r="G12" s="1435"/>
      <c r="H12" s="1435"/>
      <c r="I12" s="1435"/>
      <c r="J12" s="147"/>
      <c r="K12" s="146"/>
      <c r="L12" s="147"/>
      <c r="M12" s="147"/>
      <c r="N12" s="147"/>
      <c r="O12" s="147"/>
      <c r="P12" s="157"/>
      <c r="Q12" s="157"/>
      <c r="R12" s="157"/>
      <c r="S12" s="157"/>
      <c r="T12" s="147"/>
      <c r="U12" s="147"/>
      <c r="V12" s="146"/>
      <c r="W12" s="150"/>
      <c r="X12" s="158"/>
      <c r="Y12" s="158"/>
      <c r="Z12" s="158"/>
      <c r="AA12" s="158"/>
      <c r="AB12" s="158"/>
      <c r="AC12" s="158"/>
      <c r="AD12" s="158"/>
      <c r="AE12" s="158"/>
      <c r="AF12" s="158"/>
      <c r="AG12" s="158"/>
      <c r="AH12" s="158"/>
      <c r="AI12" s="158"/>
      <c r="AJ12" s="158"/>
      <c r="AK12" s="159"/>
      <c r="AL12" s="146"/>
      <c r="AM12" s="147"/>
      <c r="AN12" s="160" t="s">
        <v>471</v>
      </c>
      <c r="AO12" s="1417" t="s">
        <v>1</v>
      </c>
      <c r="AP12" s="1417"/>
      <c r="AQ12" s="1417"/>
      <c r="AR12" s="1417"/>
      <c r="AS12" s="1432"/>
      <c r="AT12" s="1432"/>
      <c r="AU12" s="1432"/>
      <c r="AV12" s="161"/>
      <c r="AW12" s="147"/>
      <c r="AX12" s="162" t="s">
        <v>473</v>
      </c>
      <c r="AY12" s="1417" t="s">
        <v>1</v>
      </c>
      <c r="AZ12" s="1417"/>
      <c r="BA12" s="1417"/>
      <c r="BB12" s="1417"/>
      <c r="BC12" s="1417" t="s">
        <v>472</v>
      </c>
      <c r="BD12" s="1417"/>
      <c r="BE12" s="1417"/>
      <c r="BF12" s="161"/>
      <c r="BG12" s="146"/>
      <c r="BH12" s="147"/>
      <c r="BI12" s="163">
        <v>1075500</v>
      </c>
      <c r="BJ12" s="163" t="s">
        <v>122</v>
      </c>
      <c r="BK12" s="164"/>
      <c r="BL12" s="147"/>
      <c r="BN12" s="226"/>
      <c r="BO12" s="226"/>
      <c r="BP12" s="226"/>
      <c r="BQ12" s="226"/>
      <c r="BR12" s="226"/>
    </row>
    <row r="13" spans="1:77" ht="18" customHeight="1" x14ac:dyDescent="0.45">
      <c r="A13" s="147"/>
      <c r="B13" s="1434" t="s">
        <v>418</v>
      </c>
      <c r="C13" s="1434"/>
      <c r="D13" s="1434"/>
      <c r="E13" s="1434"/>
      <c r="F13" s="1434"/>
      <c r="G13" s="1434"/>
      <c r="H13" s="1434"/>
      <c r="I13" s="1434"/>
      <c r="J13" s="147"/>
      <c r="K13" s="146"/>
      <c r="L13" s="147"/>
      <c r="M13" s="165" t="s">
        <v>100</v>
      </c>
      <c r="N13" s="166">
        <v>1</v>
      </c>
      <c r="O13" s="147"/>
      <c r="P13" s="1443" t="s">
        <v>474</v>
      </c>
      <c r="Q13" s="1443"/>
      <c r="R13" s="1443"/>
      <c r="S13" s="1443"/>
      <c r="T13" s="147"/>
      <c r="U13" s="167"/>
      <c r="V13" s="146"/>
      <c r="W13" s="150"/>
      <c r="X13" s="158"/>
      <c r="Y13" s="168"/>
      <c r="Z13" s="168"/>
      <c r="AA13" s="168"/>
      <c r="AB13" s="168"/>
      <c r="AC13" s="168"/>
      <c r="AD13" s="168"/>
      <c r="AE13" s="168"/>
      <c r="AF13" s="168"/>
      <c r="AG13" s="168"/>
      <c r="AH13" s="168"/>
      <c r="AI13" s="168"/>
      <c r="AJ13" s="168"/>
      <c r="AK13" s="159"/>
      <c r="AL13" s="146"/>
      <c r="AM13" s="147"/>
      <c r="AN13" s="160" t="s">
        <v>475</v>
      </c>
      <c r="AO13" s="1440">
        <f>+'2 M-A +'!C38</f>
        <v>0</v>
      </c>
      <c r="AP13" s="1441"/>
      <c r="AQ13" s="1441"/>
      <c r="AR13" s="1441"/>
      <c r="AS13" s="1442"/>
      <c r="AT13" s="1442"/>
      <c r="AU13" s="1442"/>
      <c r="AV13" s="147"/>
      <c r="AW13" s="147"/>
      <c r="AX13" s="160" t="s">
        <v>476</v>
      </c>
      <c r="AY13" s="1440"/>
      <c r="AZ13" s="1441"/>
      <c r="BA13" s="1441"/>
      <c r="BB13" s="1452"/>
      <c r="BC13" s="1453"/>
      <c r="BD13" s="1454"/>
      <c r="BE13" s="1455"/>
      <c r="BF13" s="147"/>
      <c r="BG13" s="146"/>
      <c r="BH13" s="147"/>
      <c r="BI13" s="163">
        <v>1075501</v>
      </c>
      <c r="BJ13" s="163" t="s">
        <v>123</v>
      </c>
      <c r="BK13" s="164"/>
      <c r="BL13" s="147"/>
      <c r="BN13" s="226"/>
      <c r="BO13" s="226"/>
      <c r="BP13" s="226"/>
      <c r="BQ13" s="226"/>
      <c r="BR13" s="226"/>
    </row>
    <row r="14" spans="1:77" ht="18" customHeight="1" thickBot="1" x14ac:dyDescent="0.5">
      <c r="A14" s="147"/>
      <c r="B14" s="149"/>
      <c r="C14" s="169">
        <v>0.28000000000000003</v>
      </c>
      <c r="D14" s="169">
        <v>0.56000000000000005</v>
      </c>
      <c r="E14" s="169">
        <v>0.7</v>
      </c>
      <c r="F14" s="169">
        <v>0.84</v>
      </c>
      <c r="G14" s="169">
        <v>1.1200000000000001</v>
      </c>
      <c r="H14" s="169">
        <v>1.4</v>
      </c>
      <c r="I14" s="169" t="s">
        <v>420</v>
      </c>
      <c r="J14" s="147"/>
      <c r="K14" s="146"/>
      <c r="L14" s="147"/>
      <c r="M14" s="165"/>
      <c r="N14" s="170"/>
      <c r="O14" s="147"/>
      <c r="P14" s="1443" t="s">
        <v>477</v>
      </c>
      <c r="Q14" s="1443"/>
      <c r="R14" s="1443"/>
      <c r="S14" s="1443"/>
      <c r="T14" s="147"/>
      <c r="U14" s="147"/>
      <c r="V14" s="146"/>
      <c r="W14" s="150"/>
      <c r="X14" s="168" t="s">
        <v>478</v>
      </c>
      <c r="Y14" s="171"/>
      <c r="Z14" s="1433" t="s">
        <v>1</v>
      </c>
      <c r="AA14" s="1433"/>
      <c r="AB14" s="1433"/>
      <c r="AC14" s="1433"/>
      <c r="AD14" s="1433"/>
      <c r="AE14" s="1433"/>
      <c r="AF14" s="1433"/>
      <c r="AG14" s="1433" t="s">
        <v>472</v>
      </c>
      <c r="AH14" s="1433"/>
      <c r="AI14" s="1433"/>
      <c r="AJ14" s="1433"/>
      <c r="AK14" s="159"/>
      <c r="AL14" s="146"/>
      <c r="AM14" s="147"/>
      <c r="AN14" s="1439" t="s">
        <v>479</v>
      </c>
      <c r="AO14" s="1439"/>
      <c r="AP14" s="1439"/>
      <c r="AQ14" s="1439"/>
      <c r="AR14" s="1439"/>
      <c r="AS14" s="1439"/>
      <c r="AT14" s="1439"/>
      <c r="AU14" s="1439"/>
      <c r="AV14" s="147"/>
      <c r="AW14" s="147"/>
      <c r="AX14" s="1439" t="s">
        <v>479</v>
      </c>
      <c r="AY14" s="1439"/>
      <c r="AZ14" s="1439"/>
      <c r="BA14" s="1439"/>
      <c r="BB14" s="1439"/>
      <c r="BC14" s="1439"/>
      <c r="BD14" s="1439"/>
      <c r="BE14" s="1439"/>
      <c r="BF14" s="147"/>
      <c r="BG14" s="146"/>
      <c r="BH14" s="147"/>
      <c r="BI14" s="163">
        <v>1075502</v>
      </c>
      <c r="BJ14" s="163" t="s">
        <v>124</v>
      </c>
      <c r="BK14" s="164"/>
      <c r="BL14" s="147"/>
      <c r="BN14" s="226"/>
      <c r="BO14" s="226"/>
      <c r="BP14" s="226"/>
      <c r="BQ14" s="226"/>
      <c r="BR14" s="226"/>
    </row>
    <row r="15" spans="1:77" ht="18" customHeight="1" x14ac:dyDescent="0.45">
      <c r="A15" s="147"/>
      <c r="B15" s="172" t="s">
        <v>480</v>
      </c>
      <c r="C15" s="173">
        <f>+FORMULAS!O78+FORMULAS!O132</f>
        <v>0</v>
      </c>
      <c r="D15" s="173">
        <f>+FORMULAS!O79+FORMULAS!O133</f>
        <v>0</v>
      </c>
      <c r="E15" s="173">
        <f>+FORMULAS!O80+FORMULAS!O134</f>
        <v>0</v>
      </c>
      <c r="F15" s="173">
        <f>+FORMULAS!O81+FORMULAS!O135</f>
        <v>0</v>
      </c>
      <c r="G15" s="173">
        <f>+FORMULAS!O82+FORMULAS!O136</f>
        <v>0</v>
      </c>
      <c r="H15" s="173" t="e">
        <f>+FORMULAS!#REF!+FORMULAS!#REF!</f>
        <v>#REF!</v>
      </c>
      <c r="I15" s="173"/>
      <c r="J15" s="147"/>
      <c r="K15" s="146"/>
      <c r="L15" s="147"/>
      <c r="M15" s="165" t="s">
        <v>414</v>
      </c>
      <c r="N15" s="166"/>
      <c r="O15" s="147"/>
      <c r="P15" s="1443" t="s">
        <v>481</v>
      </c>
      <c r="Q15" s="1443"/>
      <c r="R15" s="1443"/>
      <c r="S15" s="1443"/>
      <c r="T15" s="147"/>
      <c r="U15" s="147"/>
      <c r="V15" s="146"/>
      <c r="W15" s="150"/>
      <c r="X15" s="174" t="s">
        <v>5</v>
      </c>
      <c r="Y15" s="174">
        <v>1</v>
      </c>
      <c r="Z15" s="1448">
        <f>+'4 SUP +'!AI11</f>
        <v>0</v>
      </c>
      <c r="AA15" s="1449"/>
      <c r="AB15" s="1449"/>
      <c r="AC15" s="1449"/>
      <c r="AD15" s="1449"/>
      <c r="AE15" s="1449"/>
      <c r="AF15" s="1450"/>
      <c r="AG15" s="1418"/>
      <c r="AH15" s="1419"/>
      <c r="AI15" s="1419"/>
      <c r="AJ15" s="1420"/>
      <c r="AK15" s="159"/>
      <c r="AL15" s="146"/>
      <c r="AM15" s="147"/>
      <c r="AN15" s="149"/>
      <c r="AO15" s="169">
        <v>28</v>
      </c>
      <c r="AP15" s="169">
        <v>56</v>
      </c>
      <c r="AQ15" s="169">
        <v>70</v>
      </c>
      <c r="AR15" s="169">
        <v>84</v>
      </c>
      <c r="AS15" s="169">
        <v>112</v>
      </c>
      <c r="AT15" s="169">
        <v>140</v>
      </c>
      <c r="AU15" s="169" t="s">
        <v>420</v>
      </c>
      <c r="AV15" s="147"/>
      <c r="AW15" s="147"/>
      <c r="AX15" s="178"/>
      <c r="AY15" s="169">
        <v>0.28000000000000003</v>
      </c>
      <c r="AZ15" s="169">
        <v>0.56000000000000005</v>
      </c>
      <c r="BA15" s="169">
        <v>0.7</v>
      </c>
      <c r="BB15" s="169">
        <v>0.84</v>
      </c>
      <c r="BC15" s="169">
        <v>1.1200000000000001</v>
      </c>
      <c r="BD15" s="169">
        <v>1.4</v>
      </c>
      <c r="BE15" s="169" t="s">
        <v>420</v>
      </c>
      <c r="BF15" s="147"/>
      <c r="BG15" s="146"/>
      <c r="BH15" s="147"/>
      <c r="BI15" s="163">
        <v>1075503</v>
      </c>
      <c r="BJ15" s="163" t="s">
        <v>125</v>
      </c>
      <c r="BK15" s="164"/>
      <c r="BL15" s="147"/>
      <c r="BN15" s="226"/>
      <c r="BO15" s="226"/>
      <c r="BP15" s="226"/>
      <c r="BQ15" s="226"/>
      <c r="BR15" s="226"/>
      <c r="BS15" s="677">
        <v>0.28000000000000003</v>
      </c>
      <c r="BT15" s="677">
        <v>0.56000000000000005</v>
      </c>
      <c r="BU15" s="677">
        <v>0.7</v>
      </c>
      <c r="BV15" s="677">
        <v>0.84</v>
      </c>
      <c r="BW15" s="677">
        <v>0.112</v>
      </c>
      <c r="BX15" s="677">
        <v>0.14000000000000001</v>
      </c>
      <c r="BY15" s="677" t="s">
        <v>591</v>
      </c>
    </row>
    <row r="16" spans="1:77" ht="18" customHeight="1" x14ac:dyDescent="0.45">
      <c r="A16" s="147"/>
      <c r="B16" s="172" t="s">
        <v>482</v>
      </c>
      <c r="C16" s="173">
        <f>+FORMULAS!O83+FORMULAS!O137</f>
        <v>0</v>
      </c>
      <c r="D16" s="173">
        <f>+FORMULAS!O84+FORMULAS!O138</f>
        <v>0</v>
      </c>
      <c r="E16" s="173">
        <f>+FORMULAS!O85+FORMULAS!O139</f>
        <v>0</v>
      </c>
      <c r="F16" s="173">
        <f>+FORMULAS!O86+FORMULAS!O140</f>
        <v>0</v>
      </c>
      <c r="G16" s="173">
        <f>+FORMULAS!O87+FORMULAS!O141</f>
        <v>0</v>
      </c>
      <c r="H16" s="173">
        <f>+FORMULAS!O88+FORMULAS!O142</f>
        <v>0</v>
      </c>
      <c r="I16" s="173"/>
      <c r="J16" s="147"/>
      <c r="K16" s="146"/>
      <c r="L16" s="147"/>
      <c r="M16" s="147"/>
      <c r="N16" s="147"/>
      <c r="O16" s="147"/>
      <c r="P16" s="157"/>
      <c r="Q16" s="157"/>
      <c r="R16" s="157"/>
      <c r="S16" s="157"/>
      <c r="T16" s="147"/>
      <c r="U16" s="147"/>
      <c r="V16" s="146"/>
      <c r="W16" s="150"/>
      <c r="X16" s="174" t="s">
        <v>5</v>
      </c>
      <c r="Y16" s="174">
        <v>2</v>
      </c>
      <c r="Z16" s="1429">
        <f>IF('4 SUP +'!AG12&gt;0,'4 SUP +'!AI12,0)</f>
        <v>0</v>
      </c>
      <c r="AA16" s="1430"/>
      <c r="AB16" s="1430"/>
      <c r="AC16" s="1430"/>
      <c r="AD16" s="1430"/>
      <c r="AE16" s="1430"/>
      <c r="AF16" s="1431"/>
      <c r="AG16" s="1412"/>
      <c r="AH16" s="1413"/>
      <c r="AI16" s="1413"/>
      <c r="AJ16" s="1414"/>
      <c r="AK16" s="159"/>
      <c r="AL16" s="146"/>
      <c r="AM16" s="147"/>
      <c r="AN16" s="182" t="s">
        <v>483</v>
      </c>
      <c r="AO16" s="164">
        <f>(SUMIF(FORMULAS!$CE$68:$CP$68,AO15,FORMULAS!$BC$89:$BN$89)+SUMIF(FORMULAS!$CQ$68:$DB$68,AO15,FORMULAS!$BC$143:$BN$143))*2</f>
        <v>0</v>
      </c>
      <c r="AP16" s="164">
        <f>(SUMIF(FORMULAS!$CE$68:$CP$68,AP15,FORMULAS!$BC$89:$BN$89)+SUMIF(FORMULAS!$CQ$68:$DB$68,AP15,FORMULAS!$BC$143:$BN$143))*2</f>
        <v>0</v>
      </c>
      <c r="AQ16" s="164">
        <f>(SUMIF(FORMULAS!$CE$68:$CP$68,AQ15,FORMULAS!$BC$89:$BN$89)+SUMIF(FORMULAS!$CQ$68:$DB$68,AQ15,FORMULAS!$BC$143:$BN$143))*2</f>
        <v>0</v>
      </c>
      <c r="AR16" s="164">
        <f>(SUMIF(FORMULAS!$CE$68:$CP$68,AR15,FORMULAS!$BC$89:$BN$89)+SUMIF(FORMULAS!$CQ$68:$DB$68,AR15,FORMULAS!$BC$143:$BN$143))*2</f>
        <v>0</v>
      </c>
      <c r="AS16" s="164">
        <f>(SUMIF(FORMULAS!$CE$68:$CP$68,AS15,FORMULAS!$BC$89:$BN$89)+SUMIF(FORMULAS!$CQ$68:$DB$68,AS15,FORMULAS!$BC$143:$BN$143))*2</f>
        <v>0</v>
      </c>
      <c r="AT16" s="164">
        <f>(SUMIF(FORMULAS!$CE$68:$CP$68,AT15,FORMULAS!$BC$89:$BN$89)+SUMIF(FORMULAS!$CQ$68:$DB$68,AT15,FORMULAS!$BC$143:$BN$143))*2</f>
        <v>0</v>
      </c>
      <c r="AU16" s="164"/>
      <c r="AV16" s="147"/>
      <c r="AW16" s="147"/>
      <c r="AX16" s="182" t="s">
        <v>483</v>
      </c>
      <c r="AY16" s="164"/>
      <c r="AZ16" s="164"/>
      <c r="BA16" s="164"/>
      <c r="BB16" s="164"/>
      <c r="BC16" s="164"/>
      <c r="BD16" s="164"/>
      <c r="BE16" s="164"/>
      <c r="BF16" s="147"/>
      <c r="BG16" s="146"/>
      <c r="BH16" s="147"/>
      <c r="BI16" s="163">
        <v>1075504</v>
      </c>
      <c r="BJ16" s="163" t="s">
        <v>126</v>
      </c>
      <c r="BK16" s="164"/>
      <c r="BL16" s="147"/>
      <c r="BN16" s="226"/>
      <c r="BO16" s="226"/>
      <c r="BP16" s="226"/>
      <c r="BQ16" s="226"/>
      <c r="BR16" s="226"/>
      <c r="BS16" s="968">
        <f>+(AO16+AO37+AO57+AO77)/26</f>
        <v>0</v>
      </c>
      <c r="BT16" s="968">
        <f>+(AP16+AP37+AP57+AP77)/13</f>
        <v>0</v>
      </c>
      <c r="BU16" s="968">
        <f>+(AQ16+AQ37+AQ57+AQ77)/10</f>
        <v>0</v>
      </c>
      <c r="BV16" s="968">
        <f>+(AR16+AR37+AR57+AR77)/7</f>
        <v>0</v>
      </c>
      <c r="BW16" s="968">
        <f>+(AS16+AS37+AS57+AS77)/6</f>
        <v>0</v>
      </c>
      <c r="BX16" s="968">
        <f>+(AT16+AT37+AT57+AT77)/3</f>
        <v>0</v>
      </c>
      <c r="BY16" s="968"/>
    </row>
    <row r="17" spans="1:77" ht="18" customHeight="1" x14ac:dyDescent="0.45">
      <c r="A17" s="147"/>
      <c r="B17" s="172" t="s">
        <v>484</v>
      </c>
      <c r="C17" s="173" t="e">
        <f>+FORMULAS!#REF!+FORMULAS!AA144</f>
        <v>#REF!</v>
      </c>
      <c r="D17" s="173" t="e">
        <f>+FORMULAS!#REF!+FORMULAS!AA145</f>
        <v>#REF!</v>
      </c>
      <c r="E17" s="173" t="e">
        <f>+FORMULAS!#REF!+FORMULAS!AA146</f>
        <v>#REF!</v>
      </c>
      <c r="F17" s="173" t="e">
        <f>+FORMULAS!#REF!+FORMULAS!#REF!</f>
        <v>#REF!</v>
      </c>
      <c r="G17" s="173" t="e">
        <f>+FORMULAS!#REF!+FORMULAS!#REF!</f>
        <v>#REF!</v>
      </c>
      <c r="H17" s="173" t="e">
        <f>+FORMULAS!#REF!+FORMULAS!#REF!</f>
        <v>#REF!</v>
      </c>
      <c r="I17" s="173"/>
      <c r="J17" s="147"/>
      <c r="K17" s="146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6"/>
      <c r="W17" s="150"/>
      <c r="X17" s="174" t="s">
        <v>5</v>
      </c>
      <c r="Y17" s="174">
        <v>3</v>
      </c>
      <c r="Z17" s="1429"/>
      <c r="AA17" s="1430"/>
      <c r="AB17" s="1430"/>
      <c r="AC17" s="1430"/>
      <c r="AD17" s="1430"/>
      <c r="AE17" s="1430"/>
      <c r="AF17" s="1431"/>
      <c r="AG17" s="1412"/>
      <c r="AH17" s="1413"/>
      <c r="AI17" s="1413"/>
      <c r="AJ17" s="1414"/>
      <c r="AK17" s="159"/>
      <c r="AL17" s="146"/>
      <c r="AM17" s="147"/>
      <c r="AN17" s="188"/>
      <c r="AO17" s="223"/>
      <c r="AP17" s="223"/>
      <c r="AQ17" s="223"/>
      <c r="AR17" s="223"/>
      <c r="AS17" s="223"/>
      <c r="AT17" s="223"/>
      <c r="AU17" s="223"/>
      <c r="AV17" s="147"/>
      <c r="AW17" s="147"/>
      <c r="AX17" s="182" t="s">
        <v>485</v>
      </c>
      <c r="AY17" s="164"/>
      <c r="AZ17" s="164"/>
      <c r="BA17" s="164"/>
      <c r="BB17" s="164"/>
      <c r="BC17" s="164"/>
      <c r="BD17" s="164"/>
      <c r="BE17" s="164"/>
      <c r="BF17" s="147"/>
      <c r="BG17" s="146"/>
      <c r="BH17" s="147"/>
      <c r="BI17" s="163">
        <v>1075505</v>
      </c>
      <c r="BJ17" s="163" t="s">
        <v>127</v>
      </c>
      <c r="BK17" s="164"/>
      <c r="BL17" s="147"/>
      <c r="BN17" s="226"/>
      <c r="BO17" s="226"/>
      <c r="BP17" s="226"/>
      <c r="BQ17" s="226"/>
      <c r="BR17" s="226"/>
      <c r="BS17" s="225"/>
      <c r="BT17" s="225"/>
      <c r="BU17" s="225"/>
      <c r="BV17" s="225"/>
      <c r="BW17" s="225"/>
      <c r="BX17" s="225"/>
      <c r="BY17" s="225"/>
    </row>
    <row r="18" spans="1:77" ht="18" customHeight="1" x14ac:dyDescent="0.45">
      <c r="A18" s="147"/>
      <c r="B18" s="172" t="s">
        <v>486</v>
      </c>
      <c r="C18" s="173" t="e">
        <f>+FORMULAS!#REF!+FORMULAS!#REF!</f>
        <v>#REF!</v>
      </c>
      <c r="D18" s="173" t="e">
        <f>+FORMULAS!#REF!+FORMULAS!#REF!</f>
        <v>#REF!</v>
      </c>
      <c r="E18" s="173" t="e">
        <f>+FORMULAS!#REF!+FORMULAS!#REF!</f>
        <v>#REF!</v>
      </c>
      <c r="F18" s="173" t="e">
        <f>+FORMULAS!#REF!+FORMULAS!#REF!</f>
        <v>#REF!</v>
      </c>
      <c r="G18" s="173" t="e">
        <f>+FORMULAS!#REF!+FORMULAS!#REF!</f>
        <v>#REF!</v>
      </c>
      <c r="H18" s="173" t="e">
        <f>+FORMULAS!#REF!+FORMULAS!#REF!</f>
        <v>#REF!</v>
      </c>
      <c r="I18" s="173"/>
      <c r="J18" s="147"/>
      <c r="K18" s="146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6"/>
      <c r="W18" s="150"/>
      <c r="X18" s="174" t="s">
        <v>5</v>
      </c>
      <c r="Y18" s="174">
        <v>4</v>
      </c>
      <c r="Z18" s="1429"/>
      <c r="AA18" s="1430"/>
      <c r="AB18" s="1430"/>
      <c r="AC18" s="1430"/>
      <c r="AD18" s="1430"/>
      <c r="AE18" s="1430"/>
      <c r="AF18" s="1431"/>
      <c r="AG18" s="1412"/>
      <c r="AH18" s="1413"/>
      <c r="AI18" s="1413"/>
      <c r="AJ18" s="1414"/>
      <c r="AK18" s="159"/>
      <c r="AL18" s="146"/>
      <c r="AM18" s="147"/>
      <c r="AN18" s="188"/>
      <c r="AO18" s="223"/>
      <c r="AP18" s="223"/>
      <c r="AQ18" s="223"/>
      <c r="AR18" s="223"/>
      <c r="AS18" s="223"/>
      <c r="AT18" s="223"/>
      <c r="AU18" s="223"/>
      <c r="AV18" s="147"/>
      <c r="AW18" s="147"/>
      <c r="AX18" s="182" t="s">
        <v>487</v>
      </c>
      <c r="AY18" s="164"/>
      <c r="AZ18" s="164"/>
      <c r="BA18" s="164"/>
      <c r="BB18" s="164"/>
      <c r="BC18" s="164"/>
      <c r="BD18" s="164"/>
      <c r="BE18" s="164"/>
      <c r="BF18" s="147"/>
      <c r="BG18" s="146"/>
      <c r="BH18" s="147"/>
      <c r="BI18" s="163">
        <v>1075507</v>
      </c>
      <c r="BJ18" s="163" t="s">
        <v>128</v>
      </c>
      <c r="BK18" s="164"/>
      <c r="BL18" s="147"/>
      <c r="BN18" s="226"/>
      <c r="BO18" s="226"/>
      <c r="BP18" s="226"/>
      <c r="BQ18" s="226"/>
      <c r="BR18" s="226"/>
      <c r="BS18" s="225"/>
      <c r="BT18" s="225"/>
      <c r="BU18" s="225"/>
      <c r="BV18" s="225"/>
      <c r="BW18" s="225"/>
      <c r="BX18" s="225"/>
      <c r="BY18" s="225"/>
    </row>
    <row r="19" spans="1:77" ht="18" customHeight="1" thickBot="1" x14ac:dyDescent="0.5">
      <c r="A19" s="147"/>
      <c r="B19" s="172" t="s">
        <v>488</v>
      </c>
      <c r="C19" s="173" t="e">
        <f>+FORMULAS!#REF!+FORMULAS!#REF!</f>
        <v>#REF!</v>
      </c>
      <c r="D19" s="173" t="e">
        <f>+FORMULAS!#REF!+FORMULAS!#REF!</f>
        <v>#REF!</v>
      </c>
      <c r="E19" s="173" t="e">
        <f>+FORMULAS!#REF!+FORMULAS!#REF!</f>
        <v>#REF!</v>
      </c>
      <c r="F19" s="173" t="e">
        <f>+FORMULAS!#REF!+FORMULAS!#REF!</f>
        <v>#REF!</v>
      </c>
      <c r="G19" s="173" t="e">
        <f>+FORMULAS!#REF!+FORMULAS!#REF!</f>
        <v>#REF!</v>
      </c>
      <c r="H19" s="173" t="e">
        <f>+FORMULAS!#REF!+FORMULAS!#REF!</f>
        <v>#REF!</v>
      </c>
      <c r="I19" s="173"/>
      <c r="J19" s="147"/>
      <c r="K19" s="146"/>
      <c r="L19" s="147"/>
      <c r="M19" s="147"/>
      <c r="N19" s="1447" t="s">
        <v>418</v>
      </c>
      <c r="O19" s="1447"/>
      <c r="P19" s="1447"/>
      <c r="Q19" s="1447"/>
      <c r="R19" s="1447"/>
      <c r="S19" s="1447"/>
      <c r="T19" s="1447"/>
      <c r="U19" s="147"/>
      <c r="V19" s="146"/>
      <c r="W19" s="150"/>
      <c r="X19" s="174" t="s">
        <v>5</v>
      </c>
      <c r="Y19" s="174">
        <v>5</v>
      </c>
      <c r="Z19" s="1423"/>
      <c r="AA19" s="1424"/>
      <c r="AB19" s="1424"/>
      <c r="AC19" s="1424"/>
      <c r="AD19" s="1424"/>
      <c r="AE19" s="1424"/>
      <c r="AF19" s="1425"/>
      <c r="AG19" s="1426"/>
      <c r="AH19" s="1427"/>
      <c r="AI19" s="1427"/>
      <c r="AJ19" s="1428"/>
      <c r="AK19" s="159"/>
      <c r="AL19" s="146"/>
      <c r="AM19" s="147"/>
      <c r="AN19" s="182"/>
      <c r="AO19" s="182"/>
      <c r="AP19" s="182"/>
      <c r="AQ19" s="182"/>
      <c r="AR19" s="147"/>
      <c r="AS19" s="183" t="s">
        <v>489</v>
      </c>
      <c r="AT19" s="183"/>
      <c r="AU19" s="169">
        <f>SUM(AO16:AU18)/2</f>
        <v>0</v>
      </c>
      <c r="AV19" s="147"/>
      <c r="AW19" s="147"/>
      <c r="AX19" s="182"/>
      <c r="AY19" s="182"/>
      <c r="AZ19" s="182"/>
      <c r="BA19" s="182"/>
      <c r="BB19" s="147"/>
      <c r="BC19" s="183" t="s">
        <v>489</v>
      </c>
      <c r="BD19" s="183"/>
      <c r="BE19" s="169">
        <f>SUM(AY16:BE18)/2</f>
        <v>0</v>
      </c>
      <c r="BF19" s="147"/>
      <c r="BG19" s="146"/>
      <c r="BH19" s="147"/>
      <c r="BI19" s="163">
        <v>1075508</v>
      </c>
      <c r="BJ19" s="163" t="s">
        <v>129</v>
      </c>
      <c r="BK19" s="164"/>
      <c r="BL19" s="147"/>
      <c r="BN19" s="226"/>
      <c r="BO19" s="226"/>
      <c r="BP19" s="226"/>
      <c r="BQ19" s="226"/>
      <c r="BR19" s="226"/>
    </row>
    <row r="20" spans="1:77" ht="18" customHeight="1" x14ac:dyDescent="0.45">
      <c r="A20" s="147"/>
      <c r="B20" s="147"/>
      <c r="C20" s="147"/>
      <c r="D20" s="147"/>
      <c r="E20" s="147"/>
      <c r="F20" s="147"/>
      <c r="G20" s="147"/>
      <c r="H20" s="147"/>
      <c r="I20" s="147"/>
      <c r="J20" s="147"/>
      <c r="K20" s="146"/>
      <c r="L20" s="147"/>
      <c r="M20" s="184" t="s">
        <v>105</v>
      </c>
      <c r="N20" s="182">
        <v>28</v>
      </c>
      <c r="O20" s="182">
        <v>56</v>
      </c>
      <c r="P20" s="182">
        <v>70</v>
      </c>
      <c r="Q20" s="182">
        <v>84</v>
      </c>
      <c r="R20" s="182">
        <v>112</v>
      </c>
      <c r="S20" s="182">
        <v>140</v>
      </c>
      <c r="T20" s="182" t="s">
        <v>420</v>
      </c>
      <c r="U20" s="147"/>
      <c r="V20" s="146"/>
      <c r="W20" s="150"/>
      <c r="X20" s="150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59"/>
      <c r="AL20" s="146"/>
      <c r="AM20" s="147"/>
      <c r="AN20" s="1439" t="s">
        <v>404</v>
      </c>
      <c r="AO20" s="1439"/>
      <c r="AP20" s="1439"/>
      <c r="AQ20" s="1439"/>
      <c r="AR20" s="1439"/>
      <c r="AS20" s="1439"/>
      <c r="AT20" s="1439"/>
      <c r="AU20" s="1439"/>
      <c r="AV20" s="147"/>
      <c r="AW20" s="147"/>
      <c r="AX20" s="1439" t="s">
        <v>404</v>
      </c>
      <c r="AY20" s="1439"/>
      <c r="AZ20" s="1439"/>
      <c r="BA20" s="1439"/>
      <c r="BB20" s="1439"/>
      <c r="BC20" s="1439"/>
      <c r="BD20" s="1439"/>
      <c r="BE20" s="1439"/>
      <c r="BF20" s="147"/>
      <c r="BG20" s="146"/>
      <c r="BH20" s="147"/>
      <c r="BI20" s="163">
        <v>1075509</v>
      </c>
      <c r="BJ20" s="163" t="s">
        <v>130</v>
      </c>
      <c r="BK20" s="164"/>
      <c r="BL20" s="147"/>
      <c r="BN20" s="226"/>
      <c r="BO20" s="226"/>
      <c r="BP20" s="226"/>
      <c r="BQ20" s="226"/>
      <c r="BR20" s="226"/>
    </row>
    <row r="21" spans="1:77" ht="18" customHeight="1" thickBot="1" x14ac:dyDescent="0.5">
      <c r="A21" s="147"/>
      <c r="B21" s="1444"/>
      <c r="C21" s="1444"/>
      <c r="D21" s="1444"/>
      <c r="E21" s="1444"/>
      <c r="F21" s="1444"/>
      <c r="G21" s="1444"/>
      <c r="H21" s="1444"/>
      <c r="I21" s="1444"/>
      <c r="J21" s="147"/>
      <c r="K21" s="146"/>
      <c r="L21" s="147"/>
      <c r="M21" s="182" t="s">
        <v>422</v>
      </c>
      <c r="N21" s="173">
        <f>SUMIF(FORMULAS!$BG$68:$BR$68,N$20,FORMULAS!$AC7:$AN7)+SUMIF(FORMULAS!$BS$68:$CD$68,N$20,FORMULAS!$AC40:$AN40)</f>
        <v>0</v>
      </c>
      <c r="O21" s="173">
        <f>SUMIF(FORMULAS!$BG$68:$BR$68,O$20,FORMULAS!$AC7:$AN7)+SUMIF(FORMULAS!$BS$68:$CD$68,O$20,FORMULAS!$AC40:$AN40)</f>
        <v>0</v>
      </c>
      <c r="P21" s="173">
        <f>SUMIF(FORMULAS!$BG$68:$BR$68,P$20,FORMULAS!$AC7:$AN7)+SUMIF(FORMULAS!$BS$68:$CD$68,P$20,FORMULAS!$AC40:$AN40)</f>
        <v>0</v>
      </c>
      <c r="Q21" s="173">
        <f>SUMIF(FORMULAS!$BG$68:$BR$68,Q$20,FORMULAS!$AC7:$AN7)+SUMIF(FORMULAS!$BS$68:$CD$68,Q$20,FORMULAS!$AC40:$AN40)</f>
        <v>0</v>
      </c>
      <c r="R21" s="173">
        <f>SUMIF(FORMULAS!$BG$68:$BR$68,R$20,FORMULAS!$AC7:$AN7)+SUMIF(FORMULAS!$BS$68:$CD$68,R$20,FORMULAS!$AC40:$AN40)</f>
        <v>0</v>
      </c>
      <c r="S21" s="173">
        <f>SUMIF(FORMULAS!$BG$68:$BR$68,S$20,FORMULAS!$AC7:$AN7)+SUMIF(FORMULAS!$BS$68:$CD$68,S$20,FORMULAS!$AC40:$AN40)</f>
        <v>0</v>
      </c>
      <c r="T21" s="185"/>
      <c r="U21" s="147"/>
      <c r="V21" s="146"/>
      <c r="W21" s="150"/>
      <c r="X21" s="171" t="s">
        <v>491</v>
      </c>
      <c r="Y21" s="150"/>
      <c r="Z21" s="1446" t="s">
        <v>1</v>
      </c>
      <c r="AA21" s="1446"/>
      <c r="AB21" s="1446"/>
      <c r="AC21" s="1446"/>
      <c r="AD21" s="1446"/>
      <c r="AE21" s="1446"/>
      <c r="AF21" s="1446"/>
      <c r="AG21" s="1446" t="s">
        <v>472</v>
      </c>
      <c r="AH21" s="1446"/>
      <c r="AI21" s="1446"/>
      <c r="AJ21" s="1446"/>
      <c r="AK21" s="159"/>
      <c r="AL21" s="146"/>
      <c r="AM21" s="147"/>
      <c r="AN21" s="182"/>
      <c r="AO21" s="169">
        <v>28</v>
      </c>
      <c r="AP21" s="169">
        <v>56</v>
      </c>
      <c r="AQ21" s="169">
        <v>70</v>
      </c>
      <c r="AR21" s="169">
        <v>84</v>
      </c>
      <c r="AS21" s="169">
        <v>112</v>
      </c>
      <c r="AT21" s="169">
        <v>140</v>
      </c>
      <c r="AU21" s="169" t="s">
        <v>420</v>
      </c>
      <c r="AV21" s="147"/>
      <c r="AW21" s="147"/>
      <c r="AX21" s="182"/>
      <c r="AY21" s="169">
        <v>0.28000000000000003</v>
      </c>
      <c r="AZ21" s="169">
        <v>0.56000000000000005</v>
      </c>
      <c r="BA21" s="169">
        <v>0.7</v>
      </c>
      <c r="BB21" s="169">
        <v>0.84</v>
      </c>
      <c r="BC21" s="169">
        <v>1.1200000000000001</v>
      </c>
      <c r="BD21" s="169">
        <v>1.4</v>
      </c>
      <c r="BE21" s="169" t="s">
        <v>420</v>
      </c>
      <c r="BF21" s="147"/>
      <c r="BG21" s="146"/>
      <c r="BH21" s="147"/>
      <c r="BI21" s="163">
        <v>1075510</v>
      </c>
      <c r="BJ21" s="163" t="s">
        <v>131</v>
      </c>
      <c r="BK21" s="164"/>
      <c r="BL21" s="147"/>
      <c r="BN21" s="226"/>
      <c r="BO21" s="226"/>
      <c r="BP21" s="226"/>
      <c r="BQ21" s="226"/>
      <c r="BR21" s="226"/>
    </row>
    <row r="22" spans="1:77" ht="18" customHeight="1" x14ac:dyDescent="0.45">
      <c r="A22" s="147"/>
      <c r="B22" s="1445"/>
      <c r="C22" s="1445"/>
      <c r="D22" s="1445"/>
      <c r="E22" s="1445"/>
      <c r="F22" s="1445"/>
      <c r="G22" s="1445"/>
      <c r="H22" s="1445"/>
      <c r="I22" s="1445"/>
      <c r="J22" s="147"/>
      <c r="K22" s="146"/>
      <c r="L22" s="147"/>
      <c r="M22" s="182" t="s">
        <v>424</v>
      </c>
      <c r="N22" s="173">
        <f>SUMIF(FORMULAS!$BG$68:$BR$68,N$20,FORMULAS!$AC8:$AN8)+SUMIF(FORMULAS!$BS$68:$CD$68,N$20,FORMULAS!$AC41:$AN41)</f>
        <v>0</v>
      </c>
      <c r="O22" s="173">
        <f>SUMIF(FORMULAS!$BG$68:$BR$68,O$20,FORMULAS!$AC8:$AN8)+SUMIF(FORMULAS!$BS$68:$CD$68,O$20,FORMULAS!$AC41:$AN41)</f>
        <v>0</v>
      </c>
      <c r="P22" s="173">
        <f>SUMIF(FORMULAS!$BG$68:$BR$68,P$20,FORMULAS!$AC8:$AN8)+SUMIF(FORMULAS!$BS$68:$CD$68,P$20,FORMULAS!$AC41:$AN41)</f>
        <v>0</v>
      </c>
      <c r="Q22" s="173">
        <f>SUMIF(FORMULAS!$BG$68:$BR$68,Q$20,FORMULAS!$AC8:$AN8)+SUMIF(FORMULAS!$BS$68:$CD$68,Q$20,FORMULAS!$AC41:$AN41)</f>
        <v>0</v>
      </c>
      <c r="R22" s="173">
        <f>SUMIF(FORMULAS!$BG$68:$BR$68,R$20,FORMULAS!$AC8:$AN8)+SUMIF(FORMULAS!$BS$68:$CD$68,R$20,FORMULAS!$AC41:$AN41)</f>
        <v>0</v>
      </c>
      <c r="S22" s="173">
        <f>SUMIF(FORMULAS!$BG$68:$BR$68,S$20,FORMULAS!$AC8:$AN8)+SUMIF(FORMULAS!$BS$68:$CD$68,S$20,FORMULAS!$AC41:$AN41)</f>
        <v>0</v>
      </c>
      <c r="T22" s="185"/>
      <c r="U22" s="147"/>
      <c r="V22" s="146"/>
      <c r="W22" s="150"/>
      <c r="X22" s="174" t="s">
        <v>5</v>
      </c>
      <c r="Y22" s="174">
        <v>6</v>
      </c>
      <c r="Z22" s="1448">
        <f>+'4 SUP +'!AI13</f>
        <v>0</v>
      </c>
      <c r="AA22" s="1449"/>
      <c r="AB22" s="1449"/>
      <c r="AC22" s="1449"/>
      <c r="AD22" s="1449"/>
      <c r="AE22" s="1449"/>
      <c r="AF22" s="1450"/>
      <c r="AG22" s="175"/>
      <c r="AH22" s="176"/>
      <c r="AI22" s="176"/>
      <c r="AJ22" s="177"/>
      <c r="AK22" s="159"/>
      <c r="AL22" s="146"/>
      <c r="AM22" s="147"/>
      <c r="AN22" s="186" t="s">
        <v>492</v>
      </c>
      <c r="AO22" s="173">
        <f>(SUMIF(FORMULAS!$BG$68:$BR$68,Cant.!AO$21,FORMULAS!$BC7:$BN7)+SUMIF(FORMULAS!$BS$68:$CD$68,Cant.!AO$21,FORMULAS!$BC40:$BN40))*2</f>
        <v>0</v>
      </c>
      <c r="AP22" s="173">
        <f>(SUMIF(FORMULAS!$BG$68:$BR$68,Cant.!AP$21,FORMULAS!$BC7:$BN7)+SUMIF(FORMULAS!$BS$68:$CD$68,Cant.!AP$21,FORMULAS!$BC40:$BN40))*2</f>
        <v>0</v>
      </c>
      <c r="AQ22" s="173">
        <f>(SUMIF(FORMULAS!$BG$68:$BR$68,Cant.!AQ$21,FORMULAS!$BC7:$BN7)+SUMIF(FORMULAS!$BS$68:$CD$68,Cant.!AQ$21,FORMULAS!$BC40:$BN40))*2</f>
        <v>0</v>
      </c>
      <c r="AR22" s="173">
        <f>(SUMIF(FORMULAS!$BG$68:$BR$68,Cant.!AR$21,FORMULAS!$BC7:$BN7)+SUMIF(FORMULAS!$BS$68:$CD$68,Cant.!AR$21,FORMULAS!$BC40:$BN40))*2</f>
        <v>0</v>
      </c>
      <c r="AS22" s="173">
        <f>(SUMIF(FORMULAS!$BG$68:$BR$68,Cant.!AS$21,FORMULAS!$BC7:$BN7)+SUMIF(FORMULAS!$BS$68:$CD$68,Cant.!AS$21,FORMULAS!$BC40:$BN40))*2</f>
        <v>0</v>
      </c>
      <c r="AT22" s="173">
        <f>(SUMIF(FORMULAS!$BG$68:$BR$68,Cant.!AT$21,FORMULAS!$BC7:$BN7)+SUMIF(FORMULAS!$BS$68:$CD$68,Cant.!AT$21,FORMULAS!$BC40:$BN40))*2</f>
        <v>0</v>
      </c>
      <c r="AU22" s="173"/>
      <c r="AV22" s="147"/>
      <c r="AW22" s="147"/>
      <c r="AX22" s="186" t="s">
        <v>492</v>
      </c>
      <c r="AY22" s="173"/>
      <c r="AZ22" s="173"/>
      <c r="BA22" s="173"/>
      <c r="BB22" s="173"/>
      <c r="BC22" s="173"/>
      <c r="BD22" s="173"/>
      <c r="BE22" s="173"/>
      <c r="BF22" s="147"/>
      <c r="BG22" s="146"/>
      <c r="BH22" s="147"/>
      <c r="BI22" s="163">
        <v>1075511</v>
      </c>
      <c r="BJ22" s="163" t="s">
        <v>134</v>
      </c>
      <c r="BK22" s="164"/>
      <c r="BL22" s="147"/>
      <c r="BN22" s="226"/>
      <c r="BO22" s="226"/>
      <c r="BP22" s="226"/>
      <c r="BQ22" s="226"/>
      <c r="BR22" s="226"/>
    </row>
    <row r="23" spans="1:77" ht="18" customHeight="1" x14ac:dyDescent="0.45">
      <c r="A23" s="147"/>
      <c r="B23" s="158"/>
      <c r="C23" s="199"/>
      <c r="D23" s="199"/>
      <c r="E23" s="199"/>
      <c r="F23" s="199"/>
      <c r="G23" s="199"/>
      <c r="H23" s="199"/>
      <c r="I23" s="199"/>
      <c r="J23" s="147"/>
      <c r="K23" s="146"/>
      <c r="L23" s="147"/>
      <c r="M23" s="182" t="s">
        <v>426</v>
      </c>
      <c r="N23" s="173">
        <f>SUMIF(FORMULAS!$BG$68:$BR$68,N$20,FORMULAS!$AC9:$AN9)+SUMIF(FORMULAS!$BS$68:$CD$68,N$20,FORMULAS!$AC42:$AN42)</f>
        <v>0</v>
      </c>
      <c r="O23" s="173">
        <f>SUMIF(FORMULAS!$BG$68:$BR$68,O$20,FORMULAS!$AC9:$AN9)+SUMIF(FORMULAS!$BS$68:$CD$68,O$20,FORMULAS!$AC42:$AN42)</f>
        <v>0</v>
      </c>
      <c r="P23" s="173">
        <f>SUMIF(FORMULAS!$BG$68:$BR$68,P$20,FORMULAS!$AC9:$AN9)+SUMIF(FORMULAS!$BS$68:$CD$68,P$20,FORMULAS!$AC42:$AN42)</f>
        <v>0</v>
      </c>
      <c r="Q23" s="173">
        <f>SUMIF(FORMULAS!$BG$68:$BR$68,Q$20,FORMULAS!$AC9:$AN9)+SUMIF(FORMULAS!$BS$68:$CD$68,Q$20,FORMULAS!$AC42:$AN42)</f>
        <v>0</v>
      </c>
      <c r="R23" s="173">
        <f>SUMIF(FORMULAS!$BG$68:$BR$68,R$20,FORMULAS!$AC9:$AN9)+SUMIF(FORMULAS!$BS$68:$CD$68,R$20,FORMULAS!$AC42:$AN42)</f>
        <v>0</v>
      </c>
      <c r="S23" s="173">
        <f>SUMIF(FORMULAS!$BG$68:$BR$68,S$20,FORMULAS!$AC9:$AN9)+SUMIF(FORMULAS!$BS$68:$CD$68,S$20,FORMULAS!$AC42:$AN42)</f>
        <v>0</v>
      </c>
      <c r="T23" s="185"/>
      <c r="U23" s="147"/>
      <c r="V23" s="146"/>
      <c r="W23" s="150"/>
      <c r="X23" s="174" t="s">
        <v>5</v>
      </c>
      <c r="Y23" s="174">
        <v>7</v>
      </c>
      <c r="Z23" s="1429">
        <f>+'4 SUP +'!AI14</f>
        <v>0</v>
      </c>
      <c r="AA23" s="1430"/>
      <c r="AB23" s="1430"/>
      <c r="AC23" s="1430"/>
      <c r="AD23" s="1430"/>
      <c r="AE23" s="1430"/>
      <c r="AF23" s="1431"/>
      <c r="AG23" s="179"/>
      <c r="AH23" s="180"/>
      <c r="AI23" s="180"/>
      <c r="AJ23" s="181"/>
      <c r="AK23" s="159"/>
      <c r="AL23" s="146"/>
      <c r="AM23" s="147"/>
      <c r="AN23" s="186" t="s">
        <v>494</v>
      </c>
      <c r="AO23" s="173">
        <f>(SUMIF(FORMULAS!$BG$68:$BR$68,Cant.!AO$21,FORMULAS!$BC8:$BN8)+SUMIF(FORMULAS!$BS$68:$CD$68,Cant.!AO$21,FORMULAS!$BC41:$BN41))*2</f>
        <v>0</v>
      </c>
      <c r="AP23" s="173">
        <f>(SUMIF(FORMULAS!$BG$68:$BR$68,Cant.!AP$21,FORMULAS!$BC8:$BN8)+SUMIF(FORMULAS!$BS$68:$CD$68,Cant.!AP$21,FORMULAS!$BC41:$BN41))*2</f>
        <v>0</v>
      </c>
      <c r="AQ23" s="173">
        <f>(SUMIF(FORMULAS!$BG$68:$BR$68,Cant.!AQ$21,FORMULAS!$BC8:$BN8)+SUMIF(FORMULAS!$BS$68:$CD$68,Cant.!AQ$21,FORMULAS!$BC41:$BN41))*2</f>
        <v>0</v>
      </c>
      <c r="AR23" s="173">
        <f>(SUMIF(FORMULAS!$BG$68:$BR$68,Cant.!AR$21,FORMULAS!$BC8:$BN8)+SUMIF(FORMULAS!$BS$68:$CD$68,Cant.!AR$21,FORMULAS!$BC41:$BN41))*2</f>
        <v>0</v>
      </c>
      <c r="AS23" s="173">
        <f>(SUMIF(FORMULAS!$BG$68:$BR$68,Cant.!AS$21,FORMULAS!$BC8:$BN8)+SUMIF(FORMULAS!$BS$68:$CD$68,Cant.!AS$21,FORMULAS!$BC41:$BN41))*2</f>
        <v>0</v>
      </c>
      <c r="AT23" s="173">
        <f>(SUMIF(FORMULAS!$BG$68:$BR$68,Cant.!AT$21,FORMULAS!$BC8:$BN8)+SUMIF(FORMULAS!$BS$68:$CD$68,Cant.!AT$21,FORMULAS!$BC41:$BN41))*2</f>
        <v>0</v>
      </c>
      <c r="AU23" s="173"/>
      <c r="AV23" s="147"/>
      <c r="AW23" s="147"/>
      <c r="AX23" s="186" t="s">
        <v>493</v>
      </c>
      <c r="AY23" s="173"/>
      <c r="AZ23" s="173"/>
      <c r="BA23" s="173"/>
      <c r="BB23" s="173"/>
      <c r="BC23" s="173"/>
      <c r="BD23" s="173"/>
      <c r="BE23" s="173"/>
      <c r="BF23" s="147"/>
      <c r="BG23" s="146"/>
      <c r="BH23" s="147"/>
      <c r="BI23" s="163">
        <v>1075512</v>
      </c>
      <c r="BJ23" s="163" t="s">
        <v>135</v>
      </c>
      <c r="BK23" s="164"/>
      <c r="BL23" s="147"/>
      <c r="BN23" s="226"/>
      <c r="BO23" s="226"/>
      <c r="BP23" s="226"/>
      <c r="BQ23" s="226"/>
      <c r="BR23" s="226"/>
    </row>
    <row r="24" spans="1:77" ht="18" customHeight="1" x14ac:dyDescent="0.45">
      <c r="A24" s="147"/>
      <c r="B24" s="204"/>
      <c r="C24" s="187"/>
      <c r="D24" s="187"/>
      <c r="E24" s="187"/>
      <c r="F24" s="187"/>
      <c r="G24" s="187"/>
      <c r="H24" s="187"/>
      <c r="I24" s="187"/>
      <c r="J24" s="147"/>
      <c r="K24" s="146"/>
      <c r="L24" s="147"/>
      <c r="M24" s="182" t="s">
        <v>429</v>
      </c>
      <c r="N24" s="173">
        <f>SUMIF(FORMULAS!$BG$68:$BR$68,N$20,FORMULAS!$AC10:$AN10)+SUMIF(FORMULAS!$BS$68:$CD$68,N$20,FORMULAS!$AC43:$AN43)</f>
        <v>0</v>
      </c>
      <c r="O24" s="173">
        <f>SUMIF(FORMULAS!$BG$68:$BR$68,O$20,FORMULAS!$AC10:$AN10)+SUMIF(FORMULAS!$BS$68:$CD$68,O$20,FORMULAS!$AC43:$AN43)</f>
        <v>0</v>
      </c>
      <c r="P24" s="173">
        <f>SUMIF(FORMULAS!$BG$68:$BR$68,P$20,FORMULAS!$AC10:$AN10)+SUMIF(FORMULAS!$BS$68:$CD$68,P$20,FORMULAS!$AC43:$AN43)</f>
        <v>0</v>
      </c>
      <c r="Q24" s="173">
        <f>SUMIF(FORMULAS!$BG$68:$BR$68,Q$20,FORMULAS!$AC10:$AN10)+SUMIF(FORMULAS!$BS$68:$CD$68,Q$20,FORMULAS!$AC43:$AN43)</f>
        <v>0</v>
      </c>
      <c r="R24" s="173">
        <f>SUMIF(FORMULAS!$BG$68:$BR$68,R$20,FORMULAS!$AC10:$AN10)+SUMIF(FORMULAS!$BS$68:$CD$68,R$20,FORMULAS!$AC43:$AN43)</f>
        <v>0</v>
      </c>
      <c r="S24" s="173">
        <f>SUMIF(FORMULAS!$BG$68:$BR$68,S$20,FORMULAS!$AC10:$AN10)+SUMIF(FORMULAS!$BS$68:$CD$68,S$20,FORMULAS!$AC43:$AN43)</f>
        <v>0</v>
      </c>
      <c r="T24" s="187"/>
      <c r="U24" s="147"/>
      <c r="V24" s="146"/>
      <c r="W24" s="150"/>
      <c r="X24" s="174" t="s">
        <v>5</v>
      </c>
      <c r="Y24" s="174">
        <v>8</v>
      </c>
      <c r="Z24" s="1429"/>
      <c r="AA24" s="1430"/>
      <c r="AB24" s="1430"/>
      <c r="AC24" s="1430"/>
      <c r="AD24" s="1430"/>
      <c r="AE24" s="1430"/>
      <c r="AF24" s="1431"/>
      <c r="AG24" s="179"/>
      <c r="AH24" s="180"/>
      <c r="AI24" s="180"/>
      <c r="AJ24" s="181"/>
      <c r="AK24" s="159"/>
      <c r="AL24" s="146"/>
      <c r="AM24" s="147"/>
      <c r="AN24" s="186" t="s">
        <v>495</v>
      </c>
      <c r="AO24" s="173">
        <f>(SUMIF(FORMULAS!$BG$68:$BR$68,Cant.!AO$21,FORMULAS!$BC9:$BN9)+SUMIF(FORMULAS!$BS$68:$CD$68,Cant.!AO$21,FORMULAS!$BC42:$BN42))*2</f>
        <v>0</v>
      </c>
      <c r="AP24" s="173">
        <f>(SUMIF(FORMULAS!$BG$68:$BR$68,Cant.!AP$21,FORMULAS!$BC9:$BN9)+SUMIF(FORMULAS!$BS$68:$CD$68,Cant.!AP$21,FORMULAS!$BC42:$BN42))*2</f>
        <v>0</v>
      </c>
      <c r="AQ24" s="173">
        <f>(SUMIF(FORMULAS!$BG$68:$BR$68,Cant.!AQ$21,FORMULAS!$BC9:$BN9)+SUMIF(FORMULAS!$BS$68:$CD$68,Cant.!AQ$21,FORMULAS!$BC42:$BN42))*2</f>
        <v>0</v>
      </c>
      <c r="AR24" s="173">
        <f>(SUMIF(FORMULAS!$BG$68:$BR$68,Cant.!AR$21,FORMULAS!$BC9:$BN9)+SUMIF(FORMULAS!$BS$68:$CD$68,Cant.!AR$21,FORMULAS!$BC42:$BN42))*2</f>
        <v>0</v>
      </c>
      <c r="AS24" s="173">
        <f>(SUMIF(FORMULAS!$BG$68:$BR$68,Cant.!AS$21,FORMULAS!$BC9:$BN9)+SUMIF(FORMULAS!$BS$68:$CD$68,Cant.!AS$21,FORMULAS!$BC42:$BN42))*2</f>
        <v>0</v>
      </c>
      <c r="AT24" s="173">
        <f>(SUMIF(FORMULAS!$BG$68:$BR$68,Cant.!AT$21,FORMULAS!$BC9:$BN9)+SUMIF(FORMULAS!$BS$68:$CD$68,Cant.!AT$21,FORMULAS!$BC42:$BN42))*2</f>
        <v>0</v>
      </c>
      <c r="AU24" s="173"/>
      <c r="AV24" s="147"/>
      <c r="AW24" s="147"/>
      <c r="AX24" s="186" t="s">
        <v>494</v>
      </c>
      <c r="AY24" s="173"/>
      <c r="AZ24" s="173"/>
      <c r="BA24" s="173"/>
      <c r="BB24" s="173"/>
      <c r="BC24" s="173"/>
      <c r="BD24" s="173"/>
      <c r="BE24" s="173"/>
      <c r="BF24" s="147"/>
      <c r="BG24" s="146"/>
      <c r="BH24" s="147"/>
      <c r="BI24" s="163">
        <v>1075513</v>
      </c>
      <c r="BJ24" s="163" t="s">
        <v>136</v>
      </c>
      <c r="BK24" s="164"/>
      <c r="BL24" s="147"/>
      <c r="BN24" s="226"/>
      <c r="BO24" s="226"/>
      <c r="BP24" s="226"/>
      <c r="BQ24" s="226"/>
      <c r="BR24" s="226"/>
    </row>
    <row r="25" spans="1:77" ht="18" customHeight="1" x14ac:dyDescent="0.45">
      <c r="A25" s="147"/>
      <c r="B25" s="204"/>
      <c r="C25" s="187"/>
      <c r="D25" s="187"/>
      <c r="E25" s="187"/>
      <c r="F25" s="187"/>
      <c r="G25" s="187"/>
      <c r="H25" s="187"/>
      <c r="I25" s="187"/>
      <c r="J25" s="147"/>
      <c r="K25" s="146"/>
      <c r="L25" s="147"/>
      <c r="M25" s="182" t="s">
        <v>431</v>
      </c>
      <c r="N25" s="187"/>
      <c r="O25" s="187"/>
      <c r="P25" s="187"/>
      <c r="Q25" s="173">
        <f>+FORMULAS!B4+FORMULAS!B28</f>
        <v>0</v>
      </c>
      <c r="R25" s="173"/>
      <c r="S25" s="187"/>
      <c r="T25" s="187"/>
      <c r="U25" s="147"/>
      <c r="V25" s="146"/>
      <c r="W25" s="150"/>
      <c r="X25" s="174" t="s">
        <v>5</v>
      </c>
      <c r="Y25" s="174">
        <v>9</v>
      </c>
      <c r="Z25" s="1429"/>
      <c r="AA25" s="1430"/>
      <c r="AB25" s="1430"/>
      <c r="AC25" s="1430"/>
      <c r="AD25" s="1430"/>
      <c r="AE25" s="1430"/>
      <c r="AF25" s="1431"/>
      <c r="AG25" s="179"/>
      <c r="AH25" s="180"/>
      <c r="AI25" s="180"/>
      <c r="AJ25" s="181"/>
      <c r="AK25" s="159"/>
      <c r="AL25" s="146"/>
      <c r="AM25" s="147"/>
      <c r="AN25" s="186" t="s">
        <v>498</v>
      </c>
      <c r="AO25" s="173">
        <f>+FORMULAS!BO14+FORMULAS!BO47</f>
        <v>0</v>
      </c>
      <c r="AP25" s="173">
        <f>+FORMULAS!BO15+FORMULAS!BO48</f>
        <v>0</v>
      </c>
      <c r="AQ25" s="173">
        <f>+FORMULAS!BO16+FORMULAS!BO49</f>
        <v>0</v>
      </c>
      <c r="AR25" s="173">
        <f>+FORMULAS!BO17+FORMULAS!BO50</f>
        <v>0</v>
      </c>
      <c r="AS25" s="173">
        <f>+FORMULAS!BO18+FORMULAS!BO51</f>
        <v>0</v>
      </c>
      <c r="AT25" s="173">
        <f>+FORMULAS!BO19+FORMULAS!BO52</f>
        <v>0</v>
      </c>
      <c r="AU25" s="173"/>
      <c r="AV25" s="147"/>
      <c r="AW25" s="147"/>
      <c r="AX25" s="186" t="s">
        <v>495</v>
      </c>
      <c r="AY25" s="173"/>
      <c r="AZ25" s="173"/>
      <c r="BA25" s="173"/>
      <c r="BB25" s="173"/>
      <c r="BC25" s="173"/>
      <c r="BD25" s="173"/>
      <c r="BE25" s="173"/>
      <c r="BF25" s="147"/>
      <c r="BG25" s="146"/>
      <c r="BH25" s="147"/>
      <c r="BI25" s="163">
        <v>1075515</v>
      </c>
      <c r="BJ25" s="163" t="s">
        <v>137</v>
      </c>
      <c r="BK25" s="164"/>
      <c r="BL25" s="147"/>
      <c r="BN25" s="226"/>
      <c r="BO25" s="226"/>
      <c r="BP25" s="226"/>
      <c r="BQ25" s="226"/>
      <c r="BR25" s="226">
        <v>0</v>
      </c>
    </row>
    <row r="26" spans="1:77" ht="18" customHeight="1" thickBot="1" x14ac:dyDescent="0.5">
      <c r="A26" s="147"/>
      <c r="B26" s="204"/>
      <c r="C26" s="187"/>
      <c r="D26" s="187"/>
      <c r="E26" s="187"/>
      <c r="F26" s="187"/>
      <c r="G26" s="187"/>
      <c r="H26" s="187"/>
      <c r="I26" s="187"/>
      <c r="J26" s="147"/>
      <c r="K26" s="146"/>
      <c r="L26" s="147"/>
      <c r="M26" s="188"/>
      <c r="N26" s="187"/>
      <c r="O26" s="187"/>
      <c r="P26" s="187"/>
      <c r="Q26" s="187" t="s">
        <v>496</v>
      </c>
      <c r="R26" s="187" t="s">
        <v>497</v>
      </c>
      <c r="S26" s="187"/>
      <c r="T26" s="187"/>
      <c r="U26" s="147"/>
      <c r="V26" s="146"/>
      <c r="W26" s="150"/>
      <c r="X26" s="174" t="s">
        <v>5</v>
      </c>
      <c r="Y26" s="174">
        <v>10</v>
      </c>
      <c r="Z26" s="1423"/>
      <c r="AA26" s="1424"/>
      <c r="AB26" s="1424"/>
      <c r="AC26" s="1424"/>
      <c r="AD26" s="1424"/>
      <c r="AE26" s="1424"/>
      <c r="AF26" s="1425"/>
      <c r="AG26" s="1426"/>
      <c r="AH26" s="1427"/>
      <c r="AI26" s="1427"/>
      <c r="AJ26" s="1428"/>
      <c r="AK26" s="159"/>
      <c r="AL26" s="146"/>
      <c r="AM26" s="147"/>
      <c r="AN26" s="186" t="s">
        <v>499</v>
      </c>
      <c r="AO26" s="173"/>
      <c r="AP26" s="173"/>
      <c r="AQ26" s="173"/>
      <c r="AR26" s="173"/>
      <c r="AS26" s="173"/>
      <c r="AT26" s="173"/>
      <c r="AU26" s="173"/>
      <c r="AV26" s="147"/>
      <c r="AW26" s="147"/>
      <c r="AX26" s="186" t="s">
        <v>498</v>
      </c>
      <c r="AY26" s="173"/>
      <c r="AZ26" s="173"/>
      <c r="BA26" s="173"/>
      <c r="BB26" s="173"/>
      <c r="BC26" s="173"/>
      <c r="BD26" s="173"/>
      <c r="BE26" s="173"/>
      <c r="BF26" s="147"/>
      <c r="BG26" s="146"/>
      <c r="BH26" s="147"/>
      <c r="BI26" s="163">
        <v>1075516</v>
      </c>
      <c r="BJ26" s="163" t="s">
        <v>138</v>
      </c>
      <c r="BK26" s="164"/>
      <c r="BL26" s="147"/>
      <c r="BN26" s="226"/>
      <c r="BO26" s="226"/>
      <c r="BP26" s="226"/>
      <c r="BQ26" s="226"/>
      <c r="BR26" s="226"/>
    </row>
    <row r="27" spans="1:77" ht="18" customHeight="1" x14ac:dyDescent="0.45">
      <c r="A27" s="147"/>
      <c r="B27" s="204"/>
      <c r="C27" s="187"/>
      <c r="D27" s="187"/>
      <c r="E27" s="187"/>
      <c r="F27" s="187"/>
      <c r="G27" s="187"/>
      <c r="H27" s="187"/>
      <c r="I27" s="187"/>
      <c r="J27" s="147"/>
      <c r="K27" s="146"/>
      <c r="L27" s="147"/>
      <c r="M27" s="189" t="s">
        <v>436</v>
      </c>
      <c r="N27" s="187"/>
      <c r="O27" s="187"/>
      <c r="P27" s="187"/>
      <c r="Q27" s="187"/>
      <c r="R27" s="187"/>
      <c r="S27" s="187"/>
      <c r="T27" s="187"/>
      <c r="U27" s="147"/>
      <c r="V27" s="146"/>
      <c r="W27" s="150"/>
      <c r="X27" s="150"/>
      <c r="Y27" s="150"/>
      <c r="Z27" s="150"/>
      <c r="AA27" s="150"/>
      <c r="AB27" s="150"/>
      <c r="AC27" s="150"/>
      <c r="AD27" s="150"/>
      <c r="AE27" s="150"/>
      <c r="AF27" s="150"/>
      <c r="AG27" s="150"/>
      <c r="AH27" s="150"/>
      <c r="AI27" s="150"/>
      <c r="AJ27" s="150"/>
      <c r="AK27" s="159"/>
      <c r="AL27" s="146"/>
      <c r="AM27" s="147"/>
      <c r="AN27" s="186" t="s">
        <v>500</v>
      </c>
      <c r="AO27" s="187"/>
      <c r="AP27" s="173">
        <f>+FORMULAS!D230</f>
        <v>0</v>
      </c>
      <c r="AQ27" s="173">
        <f>+FORMULAS!E230</f>
        <v>0</v>
      </c>
      <c r="AR27" s="173">
        <f>+FORMULAS!F230</f>
        <v>0</v>
      </c>
      <c r="AS27" s="173">
        <f>+FORMULAS!G230</f>
        <v>0</v>
      </c>
      <c r="AT27" s="187"/>
      <c r="AU27" s="187"/>
      <c r="AV27" s="147"/>
      <c r="AW27" s="147"/>
      <c r="AX27" s="186" t="s">
        <v>499</v>
      </c>
      <c r="AY27" s="173"/>
      <c r="AZ27" s="173"/>
      <c r="BA27" s="173"/>
      <c r="BB27" s="173"/>
      <c r="BC27" s="173"/>
      <c r="BD27" s="173"/>
      <c r="BE27" s="173"/>
      <c r="BF27" s="147"/>
      <c r="BG27" s="146"/>
      <c r="BH27" s="147"/>
      <c r="BI27" s="163">
        <v>1075517</v>
      </c>
      <c r="BJ27" s="163" t="s">
        <v>139</v>
      </c>
      <c r="BK27" s="164"/>
      <c r="BL27" s="147"/>
      <c r="BN27" s="226"/>
      <c r="BO27" s="226"/>
      <c r="BP27" s="226"/>
      <c r="BQ27" s="226"/>
      <c r="BR27" s="226"/>
    </row>
    <row r="28" spans="1:77" ht="18" customHeight="1" x14ac:dyDescent="0.45">
      <c r="A28" s="147"/>
      <c r="B28" s="204"/>
      <c r="C28" s="187"/>
      <c r="D28" s="187"/>
      <c r="E28" s="187"/>
      <c r="F28" s="187"/>
      <c r="G28" s="187"/>
      <c r="H28" s="187"/>
      <c r="I28" s="187"/>
      <c r="J28" s="147"/>
      <c r="K28" s="146"/>
      <c r="L28" s="147"/>
      <c r="M28" s="190" t="s">
        <v>438</v>
      </c>
      <c r="N28" s="173">
        <f>+FORMULAS!BB21+FORMULAS!BB54</f>
        <v>0</v>
      </c>
      <c r="O28" s="173">
        <f>+FORMULAS!BB22+FORMULAS!BB55</f>
        <v>0</v>
      </c>
      <c r="P28" s="173">
        <f>+FORMULAS!BB23+FORMULAS!BB56</f>
        <v>0</v>
      </c>
      <c r="Q28" s="173">
        <f>+FORMULAS!BB24+FORMULAS!BB57</f>
        <v>0</v>
      </c>
      <c r="R28" s="173">
        <f>+FORMULAS!BB25+FORMULAS!BB58</f>
        <v>0</v>
      </c>
      <c r="S28" s="173">
        <f>+FORMULAS!BB26+FORMULAS!BB59</f>
        <v>0</v>
      </c>
      <c r="T28" s="173"/>
      <c r="U28" s="147"/>
      <c r="V28" s="146"/>
      <c r="W28" s="150"/>
      <c r="X28" s="150"/>
      <c r="Y28" s="150"/>
      <c r="Z28" s="150"/>
      <c r="AA28" s="150"/>
      <c r="AB28" s="150"/>
      <c r="AC28" s="150"/>
      <c r="AD28" s="148" t="s">
        <v>465</v>
      </c>
      <c r="AE28" s="149">
        <f>+I5</f>
        <v>0</v>
      </c>
      <c r="AF28" s="150"/>
      <c r="AG28" s="150"/>
      <c r="AH28" s="150"/>
      <c r="AI28" s="150"/>
      <c r="AJ28" s="150"/>
      <c r="AK28" s="151"/>
      <c r="AL28" s="146"/>
      <c r="AM28" s="147"/>
      <c r="AN28" s="186" t="s">
        <v>503</v>
      </c>
      <c r="AO28" s="187"/>
      <c r="AP28" s="173" t="b">
        <f>+FORMULAS!D231</f>
        <v>0</v>
      </c>
      <c r="AQ28" s="173" t="b">
        <f>+FORMULAS!E231</f>
        <v>0</v>
      </c>
      <c r="AR28" s="173" t="b">
        <f>+FORMULAS!F231</f>
        <v>0</v>
      </c>
      <c r="AS28" s="173" t="b">
        <f>+FORMULAS!G231</f>
        <v>0</v>
      </c>
      <c r="AT28" s="187"/>
      <c r="AU28" s="187"/>
      <c r="AV28" s="147"/>
      <c r="AW28" s="147"/>
      <c r="AX28" s="186" t="s">
        <v>500</v>
      </c>
      <c r="AY28" s="187"/>
      <c r="AZ28" s="173"/>
      <c r="BA28" s="173"/>
      <c r="BB28" s="173"/>
      <c r="BC28" s="173"/>
      <c r="BD28" s="187"/>
      <c r="BE28" s="187"/>
      <c r="BF28" s="147"/>
      <c r="BG28" s="146"/>
      <c r="BH28" s="147"/>
      <c r="BI28" s="163">
        <v>1075518</v>
      </c>
      <c r="BJ28" s="163" t="s">
        <v>140</v>
      </c>
      <c r="BK28" s="164"/>
      <c r="BL28" s="147"/>
      <c r="BN28" s="226"/>
      <c r="BO28" s="226"/>
      <c r="BP28" s="226"/>
      <c r="BQ28" s="226"/>
      <c r="BR28" s="226"/>
    </row>
    <row r="29" spans="1:77" ht="18" customHeight="1" x14ac:dyDescent="0.45">
      <c r="A29" s="147"/>
      <c r="B29" s="191"/>
      <c r="C29" s="192"/>
      <c r="D29" s="192"/>
      <c r="E29" s="192"/>
      <c r="F29" s="192"/>
      <c r="G29" s="192"/>
      <c r="H29" s="192"/>
      <c r="I29" s="193"/>
      <c r="J29" s="194"/>
      <c r="K29" s="195"/>
      <c r="L29" s="147"/>
      <c r="M29" s="190" t="s">
        <v>501</v>
      </c>
      <c r="N29" s="173">
        <f>+FORMULAS!BB14+FORMULAS!BB47</f>
        <v>0</v>
      </c>
      <c r="O29" s="173">
        <f>+FORMULAS!BB15+FORMULAS!BB48</f>
        <v>0</v>
      </c>
      <c r="P29" s="173">
        <f>+FORMULAS!BB16+FORMULAS!BB49</f>
        <v>0</v>
      </c>
      <c r="Q29" s="173">
        <f>+FORMULAS!BB17+FORMULAS!BB50</f>
        <v>0</v>
      </c>
      <c r="R29" s="173">
        <f>+FORMULAS!BB18+FORMULAS!BB51</f>
        <v>0</v>
      </c>
      <c r="S29" s="173">
        <f>+FORMULAS!BB19+FORMULAS!BB52</f>
        <v>0</v>
      </c>
      <c r="T29" s="173"/>
      <c r="U29" s="147"/>
      <c r="V29" s="146"/>
      <c r="W29" s="150"/>
      <c r="X29" s="150"/>
      <c r="Y29" s="1451" t="s">
        <v>502</v>
      </c>
      <c r="Z29" s="1451"/>
      <c r="AA29" s="1451"/>
      <c r="AB29" s="1451"/>
      <c r="AC29" s="1451"/>
      <c r="AD29" s="196"/>
      <c r="AE29" s="150"/>
      <c r="AF29" s="1451" t="s">
        <v>502</v>
      </c>
      <c r="AG29" s="1451"/>
      <c r="AH29" s="1451"/>
      <c r="AI29" s="1451"/>
      <c r="AJ29" s="1451"/>
      <c r="AK29" s="151"/>
      <c r="AL29" s="146"/>
      <c r="AM29" s="147"/>
      <c r="AN29" s="197"/>
      <c r="AO29" s="178"/>
      <c r="AP29" s="198"/>
      <c r="AQ29" s="178"/>
      <c r="AR29" s="178"/>
      <c r="AS29" s="183" t="s">
        <v>504</v>
      </c>
      <c r="AT29" s="183"/>
      <c r="AU29" s="169">
        <f>SUM(AO22:AU24)/2</f>
        <v>0</v>
      </c>
      <c r="AV29" s="147"/>
      <c r="AW29" s="147"/>
      <c r="AX29" s="186" t="s">
        <v>503</v>
      </c>
      <c r="AY29" s="187"/>
      <c r="AZ29" s="173"/>
      <c r="BA29" s="173"/>
      <c r="BB29" s="173"/>
      <c r="BC29" s="173"/>
      <c r="BD29" s="187"/>
      <c r="BE29" s="187"/>
      <c r="BF29" s="147"/>
      <c r="BG29" s="146"/>
      <c r="BH29" s="147"/>
      <c r="BI29" s="163">
        <v>1075519</v>
      </c>
      <c r="BJ29" s="163" t="s">
        <v>141</v>
      </c>
      <c r="BK29" s="164"/>
      <c r="BL29" s="147"/>
      <c r="BN29" s="226"/>
      <c r="BO29" s="226"/>
      <c r="BP29" s="226"/>
      <c r="BQ29" s="226"/>
      <c r="BR29" s="226"/>
    </row>
    <row r="30" spans="1:77" ht="18" customHeight="1" x14ac:dyDescent="0.45">
      <c r="A30" s="147"/>
      <c r="B30" s="1141"/>
      <c r="C30" s="1141"/>
      <c r="D30" s="1141"/>
      <c r="E30" s="1141"/>
      <c r="F30" s="1141"/>
      <c r="G30" s="1141"/>
      <c r="H30" s="1141"/>
      <c r="I30" s="1141"/>
      <c r="J30" s="194"/>
      <c r="K30" s="195"/>
      <c r="L30" s="147"/>
      <c r="M30" s="190" t="s">
        <v>439</v>
      </c>
      <c r="N30" s="173">
        <f>+FORMULAS!BB28+FORMULAS!BB61</f>
        <v>0</v>
      </c>
      <c r="O30" s="173">
        <f>+FORMULAS!BB29+FORMULAS!BB62</f>
        <v>0</v>
      </c>
      <c r="P30" s="173">
        <f>+FORMULAS!BB30+FORMULAS!BB63</f>
        <v>0</v>
      </c>
      <c r="Q30" s="173">
        <f>+FORMULAS!BB31+FORMULAS!BB64</f>
        <v>0</v>
      </c>
      <c r="R30" s="173">
        <f>+FORMULAS!BB32+FORMULAS!BB65</f>
        <v>0</v>
      </c>
      <c r="S30" s="173">
        <f>+FORMULAS!BB33+FORMULAS!BB66</f>
        <v>0</v>
      </c>
      <c r="T30" s="173"/>
      <c r="U30" s="147"/>
      <c r="V30" s="146"/>
      <c r="W30" s="150"/>
      <c r="X30" s="150"/>
      <c r="Y30" s="1422" t="s">
        <v>478</v>
      </c>
      <c r="Z30" s="1422"/>
      <c r="AA30" s="1422"/>
      <c r="AB30" s="1422"/>
      <c r="AC30" s="1422"/>
      <c r="AD30" s="150"/>
      <c r="AE30" s="150"/>
      <c r="AF30" s="1422" t="s">
        <v>491</v>
      </c>
      <c r="AG30" s="1422"/>
      <c r="AH30" s="1422"/>
      <c r="AI30" s="1422"/>
      <c r="AJ30" s="1422"/>
      <c r="AK30" s="151"/>
      <c r="AL30" s="146"/>
      <c r="AM30" s="147"/>
      <c r="AN30" s="147"/>
      <c r="AO30" s="147"/>
      <c r="AP30" s="147"/>
      <c r="AQ30" s="147"/>
      <c r="AR30" s="147"/>
      <c r="AS30" s="183" t="s">
        <v>507</v>
      </c>
      <c r="AT30" s="183"/>
      <c r="AU30" s="169">
        <f>SUM(AO25:AU26)/2</f>
        <v>0</v>
      </c>
      <c r="AV30" s="147"/>
      <c r="AW30" s="147"/>
      <c r="AX30" s="197"/>
      <c r="AY30" s="178"/>
      <c r="AZ30" s="198"/>
      <c r="BA30" s="178"/>
      <c r="BB30" s="178"/>
      <c r="BC30" s="183" t="s">
        <v>504</v>
      </c>
      <c r="BD30" s="183"/>
      <c r="BE30" s="169">
        <f>SUM(AY22:BE25)/2</f>
        <v>0</v>
      </c>
      <c r="BF30" s="147"/>
      <c r="BG30" s="146"/>
      <c r="BH30" s="147"/>
      <c r="BI30" s="163">
        <v>1075520</v>
      </c>
      <c r="BJ30" s="163" t="s">
        <v>142</v>
      </c>
      <c r="BK30" s="164"/>
      <c r="BL30" s="147"/>
      <c r="BN30" s="226"/>
      <c r="BO30" s="226"/>
      <c r="BP30" s="226"/>
      <c r="BQ30" s="226"/>
      <c r="BR30" s="226"/>
    </row>
    <row r="31" spans="1:77" ht="18" customHeight="1" x14ac:dyDescent="0.45">
      <c r="A31" s="147"/>
      <c r="B31" s="1142"/>
      <c r="C31" s="1142"/>
      <c r="D31" s="1142"/>
      <c r="E31" s="1142"/>
      <c r="F31" s="1142"/>
      <c r="G31" s="1142"/>
      <c r="H31" s="1142"/>
      <c r="I31" s="1142"/>
      <c r="J31" s="194"/>
      <c r="K31" s="195"/>
      <c r="L31" s="147"/>
      <c r="M31" s="190" t="s">
        <v>505</v>
      </c>
      <c r="N31" s="173">
        <f>+FORMULAS!BB7+FORMULAS!BB40</f>
        <v>0</v>
      </c>
      <c r="O31" s="173">
        <f>+FORMULAS!BB8+FORMULAS!BB41</f>
        <v>0</v>
      </c>
      <c r="P31" s="173">
        <f>+FORMULAS!BB9+FORMULAS!BB42</f>
        <v>0</v>
      </c>
      <c r="Q31" s="173">
        <f>+FORMULAS!BB10+FORMULAS!BB43</f>
        <v>0</v>
      </c>
      <c r="R31" s="173">
        <f>+FORMULAS!BB11+FORMULAS!BB44</f>
        <v>0</v>
      </c>
      <c r="S31" s="173">
        <f>+FORMULAS!BB12+FORMULAS!BB45</f>
        <v>0</v>
      </c>
      <c r="T31" s="173"/>
      <c r="U31" s="147"/>
      <c r="V31" s="146"/>
      <c r="W31" s="150"/>
      <c r="X31" s="199" t="s">
        <v>506</v>
      </c>
      <c r="Y31" s="200">
        <v>1</v>
      </c>
      <c r="Z31" s="200">
        <v>2</v>
      </c>
      <c r="AA31" s="200">
        <v>3</v>
      </c>
      <c r="AB31" s="200">
        <v>4</v>
      </c>
      <c r="AC31" s="200">
        <v>5</v>
      </c>
      <c r="AD31" s="201"/>
      <c r="AE31" s="202" t="s">
        <v>506</v>
      </c>
      <c r="AF31" s="200">
        <v>6</v>
      </c>
      <c r="AG31" s="200">
        <v>7</v>
      </c>
      <c r="AH31" s="200">
        <v>8</v>
      </c>
      <c r="AI31" s="200">
        <v>9</v>
      </c>
      <c r="AJ31" s="200">
        <v>10</v>
      </c>
      <c r="AK31" s="151"/>
      <c r="AL31" s="146"/>
      <c r="AM31" s="147"/>
      <c r="AN31" s="147"/>
      <c r="AO31" s="147"/>
      <c r="AP31" s="147"/>
      <c r="AQ31" s="147"/>
      <c r="AR31" s="147"/>
      <c r="AS31" s="183" t="s">
        <v>509</v>
      </c>
      <c r="AT31" s="183"/>
      <c r="AU31" s="169">
        <f>SUM(AP27:AS28)</f>
        <v>0</v>
      </c>
      <c r="AV31" s="147"/>
      <c r="AW31" s="147"/>
      <c r="AX31" s="147"/>
      <c r="AY31" s="147"/>
      <c r="AZ31" s="147"/>
      <c r="BA31" s="147"/>
      <c r="BB31" s="147"/>
      <c r="BC31" s="183" t="s">
        <v>507</v>
      </c>
      <c r="BD31" s="183"/>
      <c r="BE31" s="169">
        <f>SUM(AY26:BE27)/2</f>
        <v>0</v>
      </c>
      <c r="BF31" s="147"/>
      <c r="BG31" s="146"/>
      <c r="BH31" s="147"/>
      <c r="BI31" s="163">
        <v>1075521</v>
      </c>
      <c r="BJ31" s="163" t="s">
        <v>143</v>
      </c>
      <c r="BK31" s="164"/>
      <c r="BL31" s="147"/>
      <c r="BN31" s="226"/>
      <c r="BO31" s="226"/>
      <c r="BP31" s="226"/>
      <c r="BQ31" s="226"/>
      <c r="BR31" s="226"/>
    </row>
    <row r="32" spans="1:77" ht="18" customHeight="1" x14ac:dyDescent="0.45">
      <c r="A32" s="147"/>
      <c r="B32" s="158"/>
      <c r="C32" s="199"/>
      <c r="D32" s="199"/>
      <c r="E32" s="199"/>
      <c r="F32" s="199"/>
      <c r="G32" s="199"/>
      <c r="H32" s="199"/>
      <c r="I32" s="199"/>
      <c r="J32" s="147"/>
      <c r="K32" s="146"/>
      <c r="L32" s="147"/>
      <c r="M32" s="147"/>
      <c r="N32" s="203">
        <f t="shared" ref="N32:T32" si="0">SUM(N28:N31)</f>
        <v>0</v>
      </c>
      <c r="O32" s="203">
        <f t="shared" si="0"/>
        <v>0</v>
      </c>
      <c r="P32" s="203">
        <f t="shared" si="0"/>
        <v>0</v>
      </c>
      <c r="Q32" s="203">
        <f t="shared" si="0"/>
        <v>0</v>
      </c>
      <c r="R32" s="203">
        <f t="shared" si="0"/>
        <v>0</v>
      </c>
      <c r="S32" s="203">
        <f t="shared" si="0"/>
        <v>0</v>
      </c>
      <c r="T32" s="203">
        <f t="shared" si="0"/>
        <v>0</v>
      </c>
      <c r="U32" s="147"/>
      <c r="V32" s="146"/>
      <c r="W32" s="150"/>
      <c r="X32" s="172" t="s">
        <v>508</v>
      </c>
      <c r="Y32" s="173">
        <f>+FORMULAS!BQ241+FORMULAS!BQ329</f>
        <v>0</v>
      </c>
      <c r="Z32" s="173">
        <f>+FORMULAS!BQ202+FORMULAS!BQ290</f>
        <v>0</v>
      </c>
      <c r="AA32" s="173"/>
      <c r="AB32" s="173"/>
      <c r="AC32" s="173"/>
      <c r="AD32" s="201"/>
      <c r="AE32" s="190" t="s">
        <v>508</v>
      </c>
      <c r="AF32" s="173">
        <f>+FORMULAS!BT202+FORMULAS!BT290</f>
        <v>0</v>
      </c>
      <c r="AG32" s="173">
        <f>+FORMULAS!BT241+FORMULAS!BT329</f>
        <v>0</v>
      </c>
      <c r="AH32" s="173"/>
      <c r="AI32" s="173"/>
      <c r="AJ32" s="173"/>
      <c r="AK32" s="151"/>
      <c r="AL32" s="146"/>
      <c r="AM32" s="147"/>
      <c r="AN32" s="160" t="s">
        <v>471</v>
      </c>
      <c r="AO32" s="1417" t="s">
        <v>1</v>
      </c>
      <c r="AP32" s="1417"/>
      <c r="AQ32" s="1417"/>
      <c r="AR32" s="1417"/>
      <c r="AS32" s="1432"/>
      <c r="AT32" s="1432"/>
      <c r="AU32" s="1432"/>
      <c r="AV32" s="147"/>
      <c r="AW32" s="147"/>
      <c r="AX32" s="147"/>
      <c r="AY32" s="147"/>
      <c r="AZ32" s="147"/>
      <c r="BA32" s="147"/>
      <c r="BB32" s="147"/>
      <c r="BC32" s="183" t="s">
        <v>509</v>
      </c>
      <c r="BD32" s="183"/>
      <c r="BE32" s="169">
        <f>SUM(AZ28:BC29)</f>
        <v>0</v>
      </c>
      <c r="BF32" s="147"/>
      <c r="BG32" s="146"/>
      <c r="BH32" s="147"/>
      <c r="BI32" s="163">
        <v>1075523</v>
      </c>
      <c r="BJ32" s="163" t="s">
        <v>144</v>
      </c>
      <c r="BK32" s="164"/>
      <c r="BL32" s="147"/>
      <c r="BN32" s="226"/>
      <c r="BO32" s="226"/>
      <c r="BP32" s="226"/>
      <c r="BQ32" s="226"/>
      <c r="BR32" s="226"/>
    </row>
    <row r="33" spans="1:70" ht="18" customHeight="1" x14ac:dyDescent="0.45">
      <c r="A33" s="147"/>
      <c r="B33" s="204"/>
      <c r="C33" s="1139"/>
      <c r="D33" s="1139"/>
      <c r="E33" s="1139"/>
      <c r="F33" s="1139"/>
      <c r="G33" s="1139"/>
      <c r="H33" s="1139"/>
      <c r="I33" s="1139"/>
      <c r="J33" s="147"/>
      <c r="K33" s="146"/>
      <c r="L33" s="147"/>
      <c r="M33" s="205"/>
      <c r="N33" s="203">
        <f>SUM(N21:N25)</f>
        <v>0</v>
      </c>
      <c r="O33" s="203">
        <f t="shared" ref="O33:T33" si="1">SUM(O21:O25)</f>
        <v>0</v>
      </c>
      <c r="P33" s="203">
        <f t="shared" si="1"/>
        <v>0</v>
      </c>
      <c r="Q33" s="203">
        <f t="shared" si="1"/>
        <v>0</v>
      </c>
      <c r="R33" s="203">
        <f t="shared" si="1"/>
        <v>0</v>
      </c>
      <c r="S33" s="203">
        <f t="shared" si="1"/>
        <v>0</v>
      </c>
      <c r="T33" s="203">
        <f t="shared" si="1"/>
        <v>0</v>
      </c>
      <c r="U33" s="147"/>
      <c r="V33" s="146"/>
      <c r="W33" s="150"/>
      <c r="X33" s="172" t="s">
        <v>510</v>
      </c>
      <c r="Y33" s="173">
        <f>+FORMULAS!BQ242+FORMULAS!BQ330</f>
        <v>0</v>
      </c>
      <c r="Z33" s="173">
        <f>+FORMULAS!BQ203+FORMULAS!BQ291</f>
        <v>0</v>
      </c>
      <c r="AA33" s="173"/>
      <c r="AB33" s="173"/>
      <c r="AC33" s="173"/>
      <c r="AD33" s="201"/>
      <c r="AE33" s="190" t="s">
        <v>510</v>
      </c>
      <c r="AF33" s="173">
        <f>+FORMULAS!BT203+FORMULAS!BT291</f>
        <v>0</v>
      </c>
      <c r="AG33" s="173">
        <f>+FORMULAS!BT242+FORMULAS!BT330</f>
        <v>0</v>
      </c>
      <c r="AH33" s="173"/>
      <c r="AI33" s="173"/>
      <c r="AJ33" s="173"/>
      <c r="AK33" s="151"/>
      <c r="AL33" s="146"/>
      <c r="AM33" s="147"/>
      <c r="AN33" s="160" t="s">
        <v>513</v>
      </c>
      <c r="AO33" s="1440">
        <f>+'2 M-A +'!C39</f>
        <v>0</v>
      </c>
      <c r="AP33" s="1441"/>
      <c r="AQ33" s="1441"/>
      <c r="AR33" s="1441"/>
      <c r="AS33" s="1442"/>
      <c r="AT33" s="1442"/>
      <c r="AU33" s="1442"/>
      <c r="AV33" s="161"/>
      <c r="AW33" s="147"/>
      <c r="AX33" s="160" t="s">
        <v>473</v>
      </c>
      <c r="AY33" s="1417" t="s">
        <v>1</v>
      </c>
      <c r="AZ33" s="1417"/>
      <c r="BA33" s="1417"/>
      <c r="BB33" s="1417"/>
      <c r="BC33" s="1417" t="s">
        <v>472</v>
      </c>
      <c r="BD33" s="1417"/>
      <c r="BE33" s="1417"/>
      <c r="BF33" s="161"/>
      <c r="BG33" s="146"/>
      <c r="BH33" s="147"/>
      <c r="BI33" s="163">
        <v>1075524</v>
      </c>
      <c r="BJ33" s="163" t="s">
        <v>145</v>
      </c>
      <c r="BK33" s="164"/>
      <c r="BL33" s="147"/>
      <c r="BN33" s="226"/>
      <c r="BO33" s="226"/>
      <c r="BP33" s="226"/>
      <c r="BQ33" s="226"/>
      <c r="BR33" s="226"/>
    </row>
    <row r="34" spans="1:70" ht="18" customHeight="1" x14ac:dyDescent="0.45">
      <c r="A34" s="147"/>
      <c r="B34" s="204"/>
      <c r="C34" s="1139"/>
      <c r="D34" s="1139"/>
      <c r="E34" s="1139"/>
      <c r="F34" s="1139"/>
      <c r="G34" s="1139"/>
      <c r="H34" s="1140"/>
      <c r="I34" s="206"/>
      <c r="J34" s="147"/>
      <c r="K34" s="146"/>
      <c r="L34" s="147"/>
      <c r="M34" s="189"/>
      <c r="N34" s="189"/>
      <c r="O34" s="189"/>
      <c r="P34" s="189"/>
      <c r="Q34" s="189"/>
      <c r="R34" s="189"/>
      <c r="S34" s="189"/>
      <c r="T34" s="189"/>
      <c r="U34" s="189"/>
      <c r="V34" s="146"/>
      <c r="W34" s="150"/>
      <c r="X34" s="172" t="s">
        <v>512</v>
      </c>
      <c r="Y34" s="173">
        <f>+FORMULAS!BQ243+FORMULAS!BQ331</f>
        <v>0</v>
      </c>
      <c r="Z34" s="173">
        <f>+FORMULAS!BQ204+FORMULAS!BQ292</f>
        <v>0</v>
      </c>
      <c r="AA34" s="173"/>
      <c r="AB34" s="173"/>
      <c r="AC34" s="173"/>
      <c r="AD34" s="201"/>
      <c r="AE34" s="190" t="s">
        <v>512</v>
      </c>
      <c r="AF34" s="173">
        <f>+FORMULAS!BT204+FORMULAS!BT292</f>
        <v>0</v>
      </c>
      <c r="AG34" s="173">
        <f>+FORMULAS!BT243+FORMULAS!BT331</f>
        <v>0</v>
      </c>
      <c r="AH34" s="173"/>
      <c r="AI34" s="173"/>
      <c r="AJ34" s="173"/>
      <c r="AK34" s="151"/>
      <c r="AL34" s="146"/>
      <c r="AM34" s="147"/>
      <c r="AN34" s="1439" t="s">
        <v>479</v>
      </c>
      <c r="AO34" s="1439"/>
      <c r="AP34" s="1439"/>
      <c r="AQ34" s="1439"/>
      <c r="AR34" s="1439"/>
      <c r="AS34" s="1439"/>
      <c r="AT34" s="1439"/>
      <c r="AU34" s="1439"/>
      <c r="AV34" s="147"/>
      <c r="AW34" s="147"/>
      <c r="AX34" s="160" t="s">
        <v>514</v>
      </c>
      <c r="AY34" s="1440"/>
      <c r="AZ34" s="1441"/>
      <c r="BA34" s="1441"/>
      <c r="BB34" s="1452"/>
      <c r="BC34" s="1453"/>
      <c r="BD34" s="1454"/>
      <c r="BE34" s="1455"/>
      <c r="BF34" s="147"/>
      <c r="BG34" s="146"/>
      <c r="BH34" s="147"/>
      <c r="BI34" s="163">
        <v>1075525</v>
      </c>
      <c r="BJ34" s="163" t="s">
        <v>146</v>
      </c>
      <c r="BK34" s="164"/>
      <c r="BL34" s="147"/>
      <c r="BN34" s="226"/>
      <c r="BO34" s="226"/>
      <c r="BP34" s="226"/>
      <c r="BQ34" s="226"/>
      <c r="BR34" s="226"/>
    </row>
    <row r="35" spans="1:70" ht="18" customHeight="1" x14ac:dyDescent="0.45">
      <c r="A35" s="147"/>
      <c r="B35" s="676"/>
      <c r="C35" s="207"/>
      <c r="D35" s="207"/>
      <c r="E35" s="207"/>
      <c r="F35" s="207"/>
      <c r="G35" s="207"/>
      <c r="H35" s="207"/>
      <c r="I35" s="208"/>
      <c r="J35" s="147"/>
      <c r="K35" s="146"/>
      <c r="L35" s="147"/>
      <c r="M35" s="210"/>
      <c r="N35" s="210"/>
      <c r="O35" s="210"/>
      <c r="P35" s="210"/>
      <c r="Q35" s="210"/>
      <c r="R35" s="210"/>
      <c r="S35" s="210"/>
      <c r="T35" s="211"/>
      <c r="U35" s="147"/>
      <c r="V35" s="146"/>
      <c r="W35" s="150"/>
      <c r="X35" s="172" t="s">
        <v>515</v>
      </c>
      <c r="Y35" s="173">
        <f>+FORMULAS!BQ244+FORMULAS!BQ332</f>
        <v>0</v>
      </c>
      <c r="Z35" s="173">
        <f>+FORMULAS!BQ205+FORMULAS!BQ293</f>
        <v>0</v>
      </c>
      <c r="AA35" s="173"/>
      <c r="AB35" s="173"/>
      <c r="AC35" s="173"/>
      <c r="AD35" s="201"/>
      <c r="AE35" s="190" t="s">
        <v>515</v>
      </c>
      <c r="AF35" s="173">
        <f>+FORMULAS!BT205+FORMULAS!BT293</f>
        <v>0</v>
      </c>
      <c r="AG35" s="173">
        <f>+FORMULAS!BT244+FORMULAS!BT332</f>
        <v>0</v>
      </c>
      <c r="AH35" s="173"/>
      <c r="AI35" s="173"/>
      <c r="AJ35" s="173"/>
      <c r="AK35" s="151"/>
      <c r="AL35" s="146"/>
      <c r="AM35" s="147"/>
      <c r="AN35" s="674"/>
      <c r="AO35" s="674"/>
      <c r="AP35" s="674"/>
      <c r="AQ35" s="674"/>
      <c r="AR35" s="674"/>
      <c r="AS35" s="674"/>
      <c r="AT35" s="674"/>
      <c r="AU35" s="674"/>
      <c r="AV35" s="147"/>
      <c r="AW35" s="147"/>
      <c r="AX35" s="1439" t="s">
        <v>479</v>
      </c>
      <c r="AY35" s="1439"/>
      <c r="AZ35" s="1439"/>
      <c r="BA35" s="1439"/>
      <c r="BB35" s="1439"/>
      <c r="BC35" s="1439"/>
      <c r="BD35" s="1439"/>
      <c r="BE35" s="1439"/>
      <c r="BF35" s="147"/>
      <c r="BG35" s="146"/>
      <c r="BH35" s="147"/>
      <c r="BI35" s="163">
        <v>1075526</v>
      </c>
      <c r="BJ35" s="163" t="s">
        <v>147</v>
      </c>
      <c r="BK35" s="164"/>
      <c r="BL35" s="147"/>
      <c r="BN35" s="226"/>
      <c r="BO35" s="226"/>
      <c r="BP35" s="226"/>
      <c r="BQ35" s="226"/>
      <c r="BR35" s="226"/>
    </row>
    <row r="36" spans="1:70" ht="18" customHeight="1" x14ac:dyDescent="0.45">
      <c r="A36" s="147"/>
      <c r="B36" s="676"/>
      <c r="C36" s="893"/>
      <c r="D36" s="893"/>
      <c r="E36" s="207"/>
      <c r="F36" s="207"/>
      <c r="G36" s="207"/>
      <c r="H36" s="207"/>
      <c r="I36" s="208"/>
      <c r="J36" s="147"/>
      <c r="K36" s="146"/>
      <c r="L36" s="147"/>
      <c r="M36" s="210"/>
      <c r="N36" s="210"/>
      <c r="O36" s="210"/>
      <c r="P36" s="210"/>
      <c r="Q36" s="210"/>
      <c r="R36" s="210"/>
      <c r="S36" s="210"/>
      <c r="T36" s="211"/>
      <c r="U36" s="147"/>
      <c r="V36" s="146"/>
      <c r="W36" s="150"/>
      <c r="X36" s="172" t="s">
        <v>516</v>
      </c>
      <c r="Y36" s="173">
        <f>+FORMULAS!BQ245+FORMULAS!BQ333</f>
        <v>0</v>
      </c>
      <c r="Z36" s="173">
        <f>+FORMULAS!BQ206+FORMULAS!BQ294</f>
        <v>0</v>
      </c>
      <c r="AA36" s="173"/>
      <c r="AB36" s="173"/>
      <c r="AC36" s="173"/>
      <c r="AD36" s="201"/>
      <c r="AE36" s="190" t="s">
        <v>516</v>
      </c>
      <c r="AF36" s="173">
        <f>+FORMULAS!BT206+FORMULAS!BT294</f>
        <v>0</v>
      </c>
      <c r="AG36" s="173">
        <f>+FORMULAS!BT245+FORMULAS!BT333</f>
        <v>0</v>
      </c>
      <c r="AH36" s="173"/>
      <c r="AI36" s="173"/>
      <c r="AJ36" s="173"/>
      <c r="AK36" s="151"/>
      <c r="AL36" s="146"/>
      <c r="AM36" s="147"/>
      <c r="AN36" s="178"/>
      <c r="AO36" s="169">
        <v>28</v>
      </c>
      <c r="AP36" s="169">
        <v>56</v>
      </c>
      <c r="AQ36" s="169">
        <v>70</v>
      </c>
      <c r="AR36" s="169">
        <v>84</v>
      </c>
      <c r="AS36" s="169">
        <v>112</v>
      </c>
      <c r="AT36" s="169">
        <v>140</v>
      </c>
      <c r="AU36" s="169" t="s">
        <v>420</v>
      </c>
      <c r="AV36" s="147"/>
      <c r="AW36" s="147"/>
      <c r="AX36" s="674"/>
      <c r="AY36" s="674"/>
      <c r="AZ36" s="674"/>
      <c r="BA36" s="674"/>
      <c r="BB36" s="674"/>
      <c r="BC36" s="674"/>
      <c r="BD36" s="674"/>
      <c r="BE36" s="674"/>
      <c r="BF36" s="147"/>
      <c r="BG36" s="146"/>
      <c r="BH36" s="147"/>
      <c r="BI36" s="163"/>
      <c r="BJ36" s="163"/>
      <c r="BK36" s="164"/>
      <c r="BL36" s="147"/>
      <c r="BN36" s="226"/>
      <c r="BO36" s="226"/>
      <c r="BP36" s="226"/>
      <c r="BQ36" s="226"/>
      <c r="BR36" s="226"/>
    </row>
    <row r="37" spans="1:70" ht="18" customHeight="1" x14ac:dyDescent="0.45">
      <c r="A37" s="147"/>
      <c r="B37" s="1435" t="s">
        <v>511</v>
      </c>
      <c r="C37" s="1435"/>
      <c r="D37" s="1435"/>
      <c r="E37" s="1435"/>
      <c r="F37" s="1435"/>
      <c r="G37" s="1435"/>
      <c r="H37" s="1435"/>
      <c r="I37" s="1435"/>
      <c r="J37" s="147"/>
      <c r="K37" s="146"/>
      <c r="L37" s="147"/>
      <c r="M37" s="1150"/>
      <c r="N37" s="210"/>
      <c r="O37" s="187"/>
      <c r="P37" s="187"/>
      <c r="Q37" s="187"/>
      <c r="R37" s="187"/>
      <c r="S37" s="187"/>
      <c r="T37" s="211"/>
      <c r="U37" s="211"/>
      <c r="V37" s="146"/>
      <c r="W37" s="150"/>
      <c r="X37" s="172" t="s">
        <v>517</v>
      </c>
      <c r="Y37" s="173">
        <f>+FORMULAS!BQ246+FORMULAS!BQ334</f>
        <v>0</v>
      </c>
      <c r="Z37" s="173">
        <f>+FORMULAS!BQ207+FORMULAS!BQ295</f>
        <v>0</v>
      </c>
      <c r="AA37" s="173"/>
      <c r="AB37" s="173"/>
      <c r="AC37" s="173"/>
      <c r="AD37" s="201"/>
      <c r="AE37" s="190" t="s">
        <v>517</v>
      </c>
      <c r="AF37" s="173">
        <f>+FORMULAS!BT207+FORMULAS!BT295</f>
        <v>0</v>
      </c>
      <c r="AG37" s="173">
        <f>+FORMULAS!BT246+FORMULAS!BT334</f>
        <v>0</v>
      </c>
      <c r="AH37" s="173"/>
      <c r="AI37" s="173"/>
      <c r="AJ37" s="173"/>
      <c r="AK37" s="151"/>
      <c r="AL37" s="146"/>
      <c r="AM37" s="147"/>
      <c r="AN37" s="182" t="s">
        <v>483</v>
      </c>
      <c r="AO37" s="164">
        <f>(SUMIF(FORMULAS!$CE$68:$CP$68,AO36,FORMULAS!$BP$89:$CA$89)+SUMIF(FORMULAS!$CQ$68:$DB$68,AO36,FORMULAS!$BP$143:$CA$143))*2</f>
        <v>0</v>
      </c>
      <c r="AP37" s="164">
        <f>(SUMIF(FORMULAS!$CE$68:$CP$68,AP36,FORMULAS!$BP$89:$CA$89)+SUMIF(FORMULAS!$CQ$68:$DB$68,AP36,FORMULAS!$BP$143:$CA$143))*2</f>
        <v>0</v>
      </c>
      <c r="AQ37" s="164">
        <f>(SUMIF(FORMULAS!$CE$68:$CP$68,AQ36,FORMULAS!$BP$89:$CA$89)+SUMIF(FORMULAS!$CQ$68:$DB$68,AQ36,FORMULAS!$BP$143:$CA$143))*2</f>
        <v>0</v>
      </c>
      <c r="AR37" s="164">
        <f>(SUMIF(FORMULAS!$CE$68:$CP$68,AR36,FORMULAS!$BP$89:$CA$89)+SUMIF(FORMULAS!$CQ$68:$DB$68,AR36,FORMULAS!$BP$143:$CA$143))*2</f>
        <v>0</v>
      </c>
      <c r="AS37" s="164">
        <f>(SUMIF(FORMULAS!$CE$68:$CP$68,AS36,FORMULAS!$BP$89:$CA$89)+SUMIF(FORMULAS!$CQ$68:$DB$68,AS36,FORMULAS!$BP$143:$CA$143))*2</f>
        <v>0</v>
      </c>
      <c r="AT37" s="164">
        <f>(SUMIF(FORMULAS!$CE$68:$CP$68,AT36,FORMULAS!$BP$89:$CA$89)+SUMIF(FORMULAS!$CQ$68:$DB$68,AT36,FORMULAS!$BP$143:$CA$143))*2</f>
        <v>0</v>
      </c>
      <c r="AU37" s="1126"/>
      <c r="AV37" s="147"/>
      <c r="AW37" s="147"/>
      <c r="AX37" s="178"/>
      <c r="AY37" s="169">
        <v>0.28000000000000003</v>
      </c>
      <c r="AZ37" s="169">
        <v>0.56000000000000005</v>
      </c>
      <c r="BA37" s="169">
        <v>0.7</v>
      </c>
      <c r="BB37" s="169">
        <v>0.84</v>
      </c>
      <c r="BC37" s="169">
        <v>1.1200000000000001</v>
      </c>
      <c r="BD37" s="169">
        <v>1.4</v>
      </c>
      <c r="BE37" s="169" t="s">
        <v>420</v>
      </c>
      <c r="BF37" s="147"/>
      <c r="BG37" s="146"/>
      <c r="BH37" s="147"/>
      <c r="BI37" s="163">
        <v>1075527</v>
      </c>
      <c r="BJ37" s="163" t="s">
        <v>148</v>
      </c>
      <c r="BK37" s="164"/>
      <c r="BL37" s="147"/>
      <c r="BN37" s="226"/>
      <c r="BO37" s="226"/>
      <c r="BP37" s="226"/>
      <c r="BQ37" s="226"/>
      <c r="BR37" s="226"/>
    </row>
    <row r="38" spans="1:70" ht="18" customHeight="1" x14ac:dyDescent="0.45">
      <c r="A38" s="147"/>
      <c r="B38" s="212"/>
      <c r="C38" s="169">
        <v>0.95</v>
      </c>
      <c r="D38" s="169">
        <v>1.1499999999999999</v>
      </c>
      <c r="E38" s="169">
        <v>1.35</v>
      </c>
      <c r="F38" s="169">
        <v>1.55</v>
      </c>
      <c r="G38" s="169">
        <v>1.75</v>
      </c>
      <c r="H38" s="169"/>
      <c r="I38" s="169"/>
      <c r="J38" s="147"/>
      <c r="K38" s="146"/>
      <c r="L38" s="147"/>
      <c r="M38" s="1150"/>
      <c r="N38" s="210"/>
      <c r="O38" s="187"/>
      <c r="P38" s="187"/>
      <c r="Q38" s="187"/>
      <c r="R38" s="187"/>
      <c r="S38" s="187"/>
      <c r="T38" s="213"/>
      <c r="U38" s="211"/>
      <c r="V38" s="146"/>
      <c r="W38" s="150"/>
      <c r="X38" s="172" t="s">
        <v>518</v>
      </c>
      <c r="Y38" s="173">
        <f>+FORMULAS!BQ247+FORMULAS!BQ335</f>
        <v>0</v>
      </c>
      <c r="Z38" s="173">
        <f>+FORMULAS!BQ208+FORMULAS!BQ296</f>
        <v>0</v>
      </c>
      <c r="AA38" s="173"/>
      <c r="AB38" s="173"/>
      <c r="AC38" s="173"/>
      <c r="AD38" s="201"/>
      <c r="AE38" s="190" t="s">
        <v>518</v>
      </c>
      <c r="AF38" s="173">
        <f>+FORMULAS!BT208+FORMULAS!BT296</f>
        <v>0</v>
      </c>
      <c r="AG38" s="173">
        <f>+FORMULAS!BT247+FORMULAS!BT335</f>
        <v>0</v>
      </c>
      <c r="AH38" s="173"/>
      <c r="AI38" s="173"/>
      <c r="AJ38" s="173"/>
      <c r="AK38" s="151"/>
      <c r="AL38" s="146"/>
      <c r="AM38" s="147"/>
      <c r="AN38" s="188"/>
      <c r="AO38" s="223"/>
      <c r="AP38" s="223"/>
      <c r="AQ38" s="223"/>
      <c r="AR38" s="223"/>
      <c r="AS38" s="223"/>
      <c r="AT38" s="223"/>
      <c r="AU38" s="223"/>
      <c r="AV38" s="147"/>
      <c r="AW38" s="147"/>
      <c r="AX38" s="182" t="s">
        <v>483</v>
      </c>
      <c r="AY38" s="164"/>
      <c r="AZ38" s="164"/>
      <c r="BA38" s="164"/>
      <c r="BB38" s="164"/>
      <c r="BC38" s="164"/>
      <c r="BD38" s="164"/>
      <c r="BE38" s="164"/>
      <c r="BF38" s="147"/>
      <c r="BG38" s="146"/>
      <c r="BH38" s="147"/>
      <c r="BI38" s="163">
        <v>1075528</v>
      </c>
      <c r="BJ38" s="163" t="s">
        <v>149</v>
      </c>
      <c r="BK38" s="164"/>
      <c r="BL38" s="147"/>
      <c r="BN38" s="226"/>
      <c r="BO38" s="226"/>
      <c r="BP38" s="226"/>
      <c r="BQ38" s="226"/>
      <c r="BR38" s="226"/>
    </row>
    <row r="39" spans="1:70" ht="18" customHeight="1" x14ac:dyDescent="0.45">
      <c r="A39" s="147"/>
      <c r="B39" s="214" t="s">
        <v>71</v>
      </c>
      <c r="C39" s="173">
        <f>+'3 ALUMINIOS'!B10</f>
        <v>0</v>
      </c>
      <c r="D39" s="173">
        <f>+'3 ALUMINIOS'!C10</f>
        <v>0</v>
      </c>
      <c r="E39" s="173">
        <f>+'3 ALUMINIOS'!D10</f>
        <v>0</v>
      </c>
      <c r="F39" s="173">
        <f>+'3 ALUMINIOS'!E10</f>
        <v>0</v>
      </c>
      <c r="G39" s="173">
        <f>+'3 ALUMINIOS'!F10</f>
        <v>0</v>
      </c>
      <c r="H39" s="187"/>
      <c r="I39" s="215"/>
      <c r="J39" s="147"/>
      <c r="K39" s="146"/>
      <c r="L39" s="147"/>
      <c r="M39" s="1150"/>
      <c r="N39" s="210"/>
      <c r="O39" s="187"/>
      <c r="P39" s="187"/>
      <c r="Q39" s="187"/>
      <c r="R39" s="187"/>
      <c r="S39" s="187"/>
      <c r="T39" s="211"/>
      <c r="U39" s="211"/>
      <c r="V39" s="146"/>
      <c r="W39" s="150"/>
      <c r="X39" s="172" t="s">
        <v>519</v>
      </c>
      <c r="Y39" s="173">
        <f>+FORMULAS!BQ248+FORMULAS!BQ336</f>
        <v>0</v>
      </c>
      <c r="Z39" s="173">
        <f>+FORMULAS!BQ209+FORMULAS!BQ297</f>
        <v>0</v>
      </c>
      <c r="AA39" s="173"/>
      <c r="AB39" s="173"/>
      <c r="AC39" s="173"/>
      <c r="AD39" s="201"/>
      <c r="AE39" s="190" t="s">
        <v>519</v>
      </c>
      <c r="AF39" s="173">
        <f>+FORMULAS!BT209+FORMULAS!BT297</f>
        <v>0</v>
      </c>
      <c r="AG39" s="173">
        <f>+FORMULAS!BT248+FORMULAS!BT336</f>
        <v>0</v>
      </c>
      <c r="AH39" s="173"/>
      <c r="AI39" s="173"/>
      <c r="AJ39" s="173"/>
      <c r="AK39" s="151"/>
      <c r="AL39" s="146"/>
      <c r="AM39" s="147"/>
      <c r="AN39" s="188"/>
      <c r="AO39" s="223"/>
      <c r="AP39" s="223"/>
      <c r="AQ39" s="223"/>
      <c r="AR39" s="223"/>
      <c r="AS39" s="223"/>
      <c r="AT39" s="223"/>
      <c r="AU39" s="223"/>
      <c r="AV39" s="147"/>
      <c r="AW39" s="147"/>
      <c r="AX39" s="182" t="s">
        <v>485</v>
      </c>
      <c r="AY39" s="164"/>
      <c r="AZ39" s="164"/>
      <c r="BA39" s="164"/>
      <c r="BB39" s="164"/>
      <c r="BC39" s="164"/>
      <c r="BD39" s="164"/>
      <c r="BE39" s="164"/>
      <c r="BF39" s="147"/>
      <c r="BG39" s="146"/>
      <c r="BH39" s="147"/>
      <c r="BI39" s="163">
        <v>1075529</v>
      </c>
      <c r="BJ39" s="163" t="s">
        <v>150</v>
      </c>
      <c r="BK39" s="164"/>
      <c r="BL39" s="147"/>
      <c r="BN39" s="226"/>
      <c r="BO39" s="226"/>
      <c r="BP39" s="226"/>
      <c r="BQ39" s="226"/>
      <c r="BR39" s="226"/>
    </row>
    <row r="40" spans="1:70" ht="18" customHeight="1" x14ac:dyDescent="0.45">
      <c r="A40" s="147"/>
      <c r="B40" s="214" t="s">
        <v>72</v>
      </c>
      <c r="C40" s="173">
        <f>+'3 ALUMINIOS'!B11</f>
        <v>0</v>
      </c>
      <c r="D40" s="173">
        <f>+'3 ALUMINIOS'!C11</f>
        <v>0</v>
      </c>
      <c r="E40" s="173">
        <f>+'3 ALUMINIOS'!D11</f>
        <v>0</v>
      </c>
      <c r="F40" s="173">
        <f>+'3 ALUMINIOS'!E11</f>
        <v>0</v>
      </c>
      <c r="G40" s="173">
        <f>+'3 ALUMINIOS'!F11</f>
        <v>0</v>
      </c>
      <c r="H40" s="187"/>
      <c r="I40" s="215"/>
      <c r="J40" s="147"/>
      <c r="K40" s="146"/>
      <c r="L40" s="147"/>
      <c r="M40" s="1150"/>
      <c r="N40" s="210"/>
      <c r="O40" s="187"/>
      <c r="P40" s="187"/>
      <c r="Q40" s="187"/>
      <c r="R40" s="187"/>
      <c r="S40" s="187"/>
      <c r="T40" s="211"/>
      <c r="U40" s="211"/>
      <c r="V40" s="146"/>
      <c r="W40" s="150"/>
      <c r="X40" s="172" t="s">
        <v>521</v>
      </c>
      <c r="Y40" s="173">
        <f>+FORMULAS!BQ249+FORMULAS!BQ337</f>
        <v>0</v>
      </c>
      <c r="Z40" s="173">
        <f>+FORMULAS!BQ210+FORMULAS!BQ298</f>
        <v>0</v>
      </c>
      <c r="AA40" s="173"/>
      <c r="AB40" s="173"/>
      <c r="AC40" s="173"/>
      <c r="AD40" s="201"/>
      <c r="AE40" s="190" t="s">
        <v>521</v>
      </c>
      <c r="AF40" s="173">
        <f>+FORMULAS!BT210+FORMULAS!BT298</f>
        <v>0</v>
      </c>
      <c r="AG40" s="173">
        <f>+FORMULAS!BT249+FORMULAS!BT337</f>
        <v>0</v>
      </c>
      <c r="AH40" s="173"/>
      <c r="AI40" s="173"/>
      <c r="AJ40" s="173"/>
      <c r="AK40" s="151"/>
      <c r="AL40" s="146"/>
      <c r="AM40" s="147"/>
      <c r="AN40" s="182"/>
      <c r="AO40" s="182"/>
      <c r="AP40" s="182"/>
      <c r="AQ40" s="182"/>
      <c r="AR40" s="147"/>
      <c r="AS40" s="183" t="s">
        <v>489</v>
      </c>
      <c r="AT40" s="183"/>
      <c r="AU40" s="169">
        <f>SUM(AO37:AU39)/2</f>
        <v>0</v>
      </c>
      <c r="AV40" s="147"/>
      <c r="AW40" s="147"/>
      <c r="AX40" s="182" t="s">
        <v>487</v>
      </c>
      <c r="AY40" s="164"/>
      <c r="AZ40" s="164"/>
      <c r="BA40" s="164"/>
      <c r="BB40" s="164"/>
      <c r="BC40" s="164"/>
      <c r="BD40" s="164"/>
      <c r="BE40" s="164"/>
      <c r="BF40" s="147"/>
      <c r="BG40" s="146"/>
      <c r="BH40" s="147"/>
      <c r="BI40" s="163">
        <v>1075530</v>
      </c>
      <c r="BJ40" s="163" t="s">
        <v>151</v>
      </c>
      <c r="BK40" s="164"/>
      <c r="BL40" s="147"/>
      <c r="BN40" s="226"/>
      <c r="BO40" s="226"/>
      <c r="BP40" s="226"/>
      <c r="BQ40" s="226"/>
      <c r="BR40" s="226"/>
    </row>
    <row r="41" spans="1:70" ht="18" customHeight="1" x14ac:dyDescent="0.45">
      <c r="A41" s="147"/>
      <c r="B41" s="214" t="s">
        <v>520</v>
      </c>
      <c r="C41" s="173">
        <f>+'3 ALUMINIOS'!B12+'3 ALUMINIOS'!B13</f>
        <v>0</v>
      </c>
      <c r="D41" s="173">
        <f>+'3 ALUMINIOS'!C12+'3 ALUMINIOS'!C13</f>
        <v>0</v>
      </c>
      <c r="E41" s="173">
        <f>+'3 ALUMINIOS'!D12+'3 ALUMINIOS'!D13</f>
        <v>0</v>
      </c>
      <c r="F41" s="173">
        <f>+'3 ALUMINIOS'!E12+'3 ALUMINIOS'!E13</f>
        <v>0</v>
      </c>
      <c r="G41" s="173">
        <f>+'3 ALUMINIOS'!F12+'3 ALUMINIOS'!F13</f>
        <v>0</v>
      </c>
      <c r="H41" s="187"/>
      <c r="I41" s="215"/>
      <c r="J41" s="147"/>
      <c r="K41" s="146"/>
      <c r="L41" s="147"/>
      <c r="M41" s="1150"/>
      <c r="N41" s="210"/>
      <c r="O41" s="187"/>
      <c r="P41" s="187"/>
      <c r="Q41" s="187"/>
      <c r="R41" s="187"/>
      <c r="S41" s="187"/>
      <c r="T41" s="211"/>
      <c r="U41" s="211"/>
      <c r="V41" s="146"/>
      <c r="W41" s="150"/>
      <c r="X41" s="172" t="s">
        <v>523</v>
      </c>
      <c r="Y41" s="173">
        <f>+FORMULAS!BQ250+FORMULAS!BQ338</f>
        <v>0</v>
      </c>
      <c r="Z41" s="173">
        <f>+FORMULAS!BQ211+FORMULAS!BQ299</f>
        <v>0</v>
      </c>
      <c r="AA41" s="173"/>
      <c r="AB41" s="173"/>
      <c r="AC41" s="173"/>
      <c r="AD41" s="201"/>
      <c r="AE41" s="190" t="s">
        <v>523</v>
      </c>
      <c r="AF41" s="173">
        <f>+FORMULAS!BT211+FORMULAS!BT299</f>
        <v>0</v>
      </c>
      <c r="AG41" s="173">
        <f>+FORMULAS!BT250+FORMULAS!BT338</f>
        <v>0</v>
      </c>
      <c r="AH41" s="173"/>
      <c r="AI41" s="173"/>
      <c r="AJ41" s="173"/>
      <c r="AK41" s="151"/>
      <c r="AL41" s="146"/>
      <c r="AM41" s="147"/>
      <c r="AN41" s="1439" t="s">
        <v>404</v>
      </c>
      <c r="AO41" s="1439"/>
      <c r="AP41" s="1439"/>
      <c r="AQ41" s="1439"/>
      <c r="AR41" s="1439"/>
      <c r="AS41" s="1439"/>
      <c r="AT41" s="1439"/>
      <c r="AU41" s="1439"/>
      <c r="AV41" s="147"/>
      <c r="AW41" s="147"/>
      <c r="AX41" s="182"/>
      <c r="AY41" s="182"/>
      <c r="AZ41" s="182"/>
      <c r="BA41" s="182"/>
      <c r="BB41" s="147"/>
      <c r="BC41" s="183" t="s">
        <v>489</v>
      </c>
      <c r="BD41" s="183"/>
      <c r="BE41" s="169">
        <f>SUM(AY38:BE40)/2</f>
        <v>0</v>
      </c>
      <c r="BF41" s="147"/>
      <c r="BG41" s="146"/>
      <c r="BH41" s="147"/>
      <c r="BI41" s="163">
        <v>1075531</v>
      </c>
      <c r="BJ41" s="163" t="s">
        <v>152</v>
      </c>
      <c r="BK41" s="164"/>
      <c r="BL41" s="147"/>
      <c r="BN41" s="226"/>
      <c r="BO41" s="226"/>
      <c r="BP41" s="226"/>
      <c r="BQ41" s="226"/>
      <c r="BR41" s="226"/>
    </row>
    <row r="42" spans="1:70" ht="18" customHeight="1" x14ac:dyDescent="0.45">
      <c r="A42" s="147"/>
      <c r="B42" s="214" t="s">
        <v>522</v>
      </c>
      <c r="C42" s="173">
        <f>+'3 ALUMINIOS'!B9</f>
        <v>0</v>
      </c>
      <c r="D42" s="173">
        <f>+'3 ALUMINIOS'!C9</f>
        <v>0</v>
      </c>
      <c r="E42" s="173">
        <f>+'3 ALUMINIOS'!D9</f>
        <v>0</v>
      </c>
      <c r="F42" s="173">
        <f>+'3 ALUMINIOS'!E9</f>
        <v>0</v>
      </c>
      <c r="G42" s="173">
        <f>+'3 ALUMINIOS'!F9</f>
        <v>0</v>
      </c>
      <c r="H42" s="187"/>
      <c r="I42" s="215"/>
      <c r="J42" s="147"/>
      <c r="K42" s="146"/>
      <c r="L42" s="147"/>
      <c r="M42" s="1150"/>
      <c r="N42" s="210"/>
      <c r="O42" s="187"/>
      <c r="P42" s="187"/>
      <c r="Q42" s="187"/>
      <c r="R42" s="187"/>
      <c r="S42" s="210"/>
      <c r="T42" s="210"/>
      <c r="U42" s="211"/>
      <c r="V42" s="146"/>
      <c r="W42" s="150"/>
      <c r="X42" s="172" t="s">
        <v>525</v>
      </c>
      <c r="Y42" s="173">
        <f>+FORMULAS!BQ251+FORMULAS!BQ339</f>
        <v>0</v>
      </c>
      <c r="Z42" s="173">
        <f>+FORMULAS!BQ212+FORMULAS!BQ300</f>
        <v>0</v>
      </c>
      <c r="AA42" s="173"/>
      <c r="AB42" s="173"/>
      <c r="AC42" s="173"/>
      <c r="AD42" s="201"/>
      <c r="AE42" s="190" t="s">
        <v>525</v>
      </c>
      <c r="AF42" s="173">
        <f>+FORMULAS!BT212+FORMULAS!BT300</f>
        <v>0</v>
      </c>
      <c r="AG42" s="173">
        <f>+FORMULAS!BT251+FORMULAS!BT339</f>
        <v>0</v>
      </c>
      <c r="AH42" s="173"/>
      <c r="AI42" s="173"/>
      <c r="AJ42" s="173"/>
      <c r="AK42" s="151"/>
      <c r="AL42" s="146"/>
      <c r="AM42" s="147"/>
      <c r="AN42" s="182"/>
      <c r="AO42" s="169">
        <v>28</v>
      </c>
      <c r="AP42" s="169">
        <v>56</v>
      </c>
      <c r="AQ42" s="169">
        <v>70</v>
      </c>
      <c r="AR42" s="169">
        <v>84</v>
      </c>
      <c r="AS42" s="169">
        <v>112</v>
      </c>
      <c r="AT42" s="169">
        <v>140</v>
      </c>
      <c r="AU42" s="169" t="s">
        <v>420</v>
      </c>
      <c r="AV42" s="147"/>
      <c r="AW42" s="147"/>
      <c r="AX42" s="1439" t="s">
        <v>404</v>
      </c>
      <c r="AY42" s="1439"/>
      <c r="AZ42" s="1439"/>
      <c r="BA42" s="1439"/>
      <c r="BB42" s="1439"/>
      <c r="BC42" s="1439"/>
      <c r="BD42" s="1439"/>
      <c r="BE42" s="1439"/>
      <c r="BF42" s="147"/>
      <c r="BG42" s="146"/>
      <c r="BH42" s="147"/>
      <c r="BI42" s="163">
        <v>1075532</v>
      </c>
      <c r="BJ42" s="163" t="s">
        <v>153</v>
      </c>
      <c r="BK42" s="164"/>
      <c r="BL42" s="147"/>
      <c r="BN42" s="226"/>
      <c r="BO42" s="226"/>
      <c r="BP42" s="226"/>
      <c r="BQ42" s="226"/>
      <c r="BR42" s="226"/>
    </row>
    <row r="43" spans="1:70" ht="18" customHeight="1" x14ac:dyDescent="0.45">
      <c r="A43" s="147"/>
      <c r="B43" s="214" t="s">
        <v>524</v>
      </c>
      <c r="C43" s="173">
        <f>+'3 ALUMINIOS'!B8</f>
        <v>0</v>
      </c>
      <c r="D43" s="173">
        <f>+'3 ALUMINIOS'!C8</f>
        <v>0</v>
      </c>
      <c r="E43" s="173">
        <f>+'3 ALUMINIOS'!D8</f>
        <v>0</v>
      </c>
      <c r="F43" s="173">
        <f>+'3 ALUMINIOS'!E8</f>
        <v>0</v>
      </c>
      <c r="G43" s="173">
        <f>+'3 ALUMINIOS'!F8</f>
        <v>0</v>
      </c>
      <c r="H43" s="187"/>
      <c r="I43" s="215"/>
      <c r="J43" s="147"/>
      <c r="K43" s="146"/>
      <c r="L43" s="147"/>
      <c r="M43" s="211"/>
      <c r="N43" s="211"/>
      <c r="O43" s="187"/>
      <c r="P43" s="1151"/>
      <c r="Q43" s="187"/>
      <c r="R43" s="1152"/>
      <c r="S43" s="209"/>
      <c r="T43" s="209"/>
      <c r="U43" s="211"/>
      <c r="V43" s="146"/>
      <c r="W43" s="150"/>
      <c r="X43" s="172" t="s">
        <v>528</v>
      </c>
      <c r="Y43" s="173">
        <f>+FORMULAS!BQ252+FORMULAS!BQ340</f>
        <v>0</v>
      </c>
      <c r="Z43" s="173">
        <f>+FORMULAS!BQ213+FORMULAS!BQ301</f>
        <v>0</v>
      </c>
      <c r="AA43" s="173"/>
      <c r="AB43" s="173"/>
      <c r="AC43" s="173"/>
      <c r="AD43" s="201"/>
      <c r="AE43" s="190" t="s">
        <v>528</v>
      </c>
      <c r="AF43" s="173">
        <f>+FORMULAS!BT213+FORMULAS!BT301</f>
        <v>0</v>
      </c>
      <c r="AG43" s="173">
        <f>+FORMULAS!BT252+FORMULAS!BT340</f>
        <v>0</v>
      </c>
      <c r="AH43" s="173"/>
      <c r="AI43" s="173"/>
      <c r="AJ43" s="173"/>
      <c r="AK43" s="151"/>
      <c r="AL43" s="146"/>
      <c r="AM43" s="147"/>
      <c r="AN43" s="186" t="s">
        <v>492</v>
      </c>
      <c r="AO43" s="173">
        <f>(SUMIF(FORMULAS!$BG$68:$BR$68,Cant.!AO$42,FORMULAS!$BP7:$CA7)+SUMIF(FORMULAS!$BS$68:$CD$68,Cant.!AO$42,FORMULAS!$BP40:$CA40))*2</f>
        <v>0</v>
      </c>
      <c r="AP43" s="173">
        <f>(SUMIF(FORMULAS!$BG$68:$BR$68,Cant.!AP$42,FORMULAS!$BP7:$CA7)+SUMIF(FORMULAS!$BS$68:$CD$68,Cant.!AP$42,FORMULAS!$BP40:$CA40))*2</f>
        <v>0</v>
      </c>
      <c r="AQ43" s="173">
        <f>(SUMIF(FORMULAS!$BG$68:$BR$68,Cant.!AQ$42,FORMULAS!$BP7:$CA7)+SUMIF(FORMULAS!$BS$68:$CD$68,Cant.!AQ$42,FORMULAS!$BP40:$CA40))*2</f>
        <v>0</v>
      </c>
      <c r="AR43" s="173">
        <f>(SUMIF(FORMULAS!$BG$68:$BR$68,Cant.!AR$42,FORMULAS!$BP7:$CA7)+SUMIF(FORMULAS!$BS$68:$CD$68,Cant.!AR$42,FORMULAS!$BP40:$CA40))*2</f>
        <v>0</v>
      </c>
      <c r="AS43" s="173">
        <f>(SUMIF(FORMULAS!$BG$68:$BR$68,Cant.!AS$42,FORMULAS!$BP7:$CA7)+SUMIF(FORMULAS!$BS$68:$CD$68,Cant.!AS$42,FORMULAS!$BP40:$CA40))*2</f>
        <v>0</v>
      </c>
      <c r="AT43" s="173">
        <f>(SUMIF(FORMULAS!$BG$68:$BR$68,Cant.!AT$42,FORMULAS!$BP7:$CA7)+SUMIF(FORMULAS!$BS$68:$CD$68,Cant.!AT$42,FORMULAS!$BP40:$CA40))*2</f>
        <v>0</v>
      </c>
      <c r="AU43" s="173"/>
      <c r="AV43" s="147"/>
      <c r="AW43" s="147"/>
      <c r="AX43" s="182"/>
      <c r="AY43" s="169">
        <v>0.28000000000000003</v>
      </c>
      <c r="AZ43" s="169">
        <v>0.56000000000000005</v>
      </c>
      <c r="BA43" s="169">
        <v>0.7</v>
      </c>
      <c r="BB43" s="169">
        <v>0.84</v>
      </c>
      <c r="BC43" s="169">
        <v>1.1200000000000001</v>
      </c>
      <c r="BD43" s="169">
        <v>1.4</v>
      </c>
      <c r="BE43" s="169" t="s">
        <v>420</v>
      </c>
      <c r="BF43" s="147"/>
      <c r="BG43" s="146"/>
      <c r="BH43" s="147"/>
      <c r="BI43" s="163">
        <v>1075533</v>
      </c>
      <c r="BJ43" s="163" t="s">
        <v>155</v>
      </c>
      <c r="BK43" s="164"/>
      <c r="BL43" s="147"/>
      <c r="BN43" s="226"/>
      <c r="BO43" s="226"/>
      <c r="BP43" s="226"/>
      <c r="BQ43" s="226"/>
      <c r="BR43" s="226"/>
    </row>
    <row r="44" spans="1:70" ht="18" customHeight="1" x14ac:dyDescent="0.45">
      <c r="A44" s="147"/>
      <c r="B44" s="214" t="s">
        <v>526</v>
      </c>
      <c r="C44" s="173"/>
      <c r="D44" s="173"/>
      <c r="E44" s="173"/>
      <c r="F44" s="173"/>
      <c r="G44" s="173"/>
      <c r="H44" s="187"/>
      <c r="I44" s="215"/>
      <c r="J44" s="147"/>
      <c r="K44" s="146"/>
      <c r="L44" s="147"/>
      <c r="M44" s="1150"/>
      <c r="N44" s="210"/>
      <c r="O44" s="187"/>
      <c r="P44" s="187"/>
      <c r="Q44" s="187"/>
      <c r="R44" s="187"/>
      <c r="S44" s="209"/>
      <c r="T44" s="209"/>
      <c r="U44" s="211"/>
      <c r="V44" s="146"/>
      <c r="W44" s="150"/>
      <c r="X44" s="172" t="s">
        <v>530</v>
      </c>
      <c r="Y44" s="173">
        <f>+FORMULAS!BQ253+FORMULAS!BQ341</f>
        <v>0</v>
      </c>
      <c r="Z44" s="173">
        <f>+FORMULAS!BQ214+FORMULAS!BQ302</f>
        <v>0</v>
      </c>
      <c r="AA44" s="173"/>
      <c r="AB44" s="173"/>
      <c r="AC44" s="173"/>
      <c r="AD44" s="201"/>
      <c r="AE44" s="190" t="s">
        <v>530</v>
      </c>
      <c r="AF44" s="173">
        <f>+FORMULAS!BT214+FORMULAS!BT302</f>
        <v>0</v>
      </c>
      <c r="AG44" s="173">
        <f>+FORMULAS!BT253+FORMULAS!BT341</f>
        <v>0</v>
      </c>
      <c r="AH44" s="173"/>
      <c r="AI44" s="173"/>
      <c r="AJ44" s="173"/>
      <c r="AK44" s="151"/>
      <c r="AL44" s="146"/>
      <c r="AM44" s="147"/>
      <c r="AN44" s="186" t="s">
        <v>494</v>
      </c>
      <c r="AO44" s="173">
        <f>(SUMIF(FORMULAS!$BG$68:$BR$68,Cant.!AO$42,FORMULAS!$BP8:$CA8)+SUMIF(FORMULAS!$BS$68:$CD$68,Cant.!AO$42,FORMULAS!$BP41:$CA41))*2</f>
        <v>0</v>
      </c>
      <c r="AP44" s="173">
        <f>(SUMIF(FORMULAS!$BG$68:$BR$68,Cant.!AP$42,FORMULAS!$BP8:$CA8)+SUMIF(FORMULAS!$BS$68:$CD$68,Cant.!AP$42,FORMULAS!$BP41:$CA41))*2</f>
        <v>0</v>
      </c>
      <c r="AQ44" s="173">
        <f>(SUMIF(FORMULAS!$BG$68:$BR$68,Cant.!AQ$42,FORMULAS!$BP8:$CA8)+SUMIF(FORMULAS!$BS$68:$CD$68,Cant.!AQ$42,FORMULAS!$BP41:$CA41))*2</f>
        <v>0</v>
      </c>
      <c r="AR44" s="173">
        <f>(SUMIF(FORMULAS!$BG$68:$BR$68,Cant.!AR$42,FORMULAS!$BP8:$CA8)+SUMIF(FORMULAS!$BS$68:$CD$68,Cant.!AR$42,FORMULAS!$BP41:$CA41))*2</f>
        <v>0</v>
      </c>
      <c r="AS44" s="173">
        <f>(SUMIF(FORMULAS!$BG$68:$BR$68,Cant.!AS$42,FORMULAS!$BP8:$CA8)+SUMIF(FORMULAS!$BS$68:$CD$68,Cant.!AS$42,FORMULAS!$BP41:$CA41))*2</f>
        <v>0</v>
      </c>
      <c r="AT44" s="173">
        <f>(SUMIF(FORMULAS!$BG$68:$BR$68,Cant.!AT$42,FORMULAS!$BP8:$CA8)+SUMIF(FORMULAS!$BS$68:$CD$68,Cant.!AT$42,FORMULAS!$BP41:$CA41))*2</f>
        <v>0</v>
      </c>
      <c r="AU44" s="173"/>
      <c r="AV44" s="147"/>
      <c r="AW44" s="147"/>
      <c r="AX44" s="186" t="s">
        <v>492</v>
      </c>
      <c r="AY44" s="164"/>
      <c r="AZ44" s="164"/>
      <c r="BA44" s="164"/>
      <c r="BB44" s="164"/>
      <c r="BC44" s="164"/>
      <c r="BD44" s="164"/>
      <c r="BE44" s="164"/>
      <c r="BF44" s="147"/>
      <c r="BG44" s="146"/>
      <c r="BH44" s="147"/>
      <c r="BI44" s="163">
        <v>1075534</v>
      </c>
      <c r="BJ44" s="163" t="s">
        <v>156</v>
      </c>
      <c r="BK44" s="164"/>
      <c r="BL44" s="147"/>
      <c r="BN44" s="226"/>
      <c r="BO44" s="226"/>
      <c r="BP44" s="226"/>
      <c r="BQ44" s="226"/>
      <c r="BR44" s="226"/>
    </row>
    <row r="45" spans="1:70" ht="18" customHeight="1" x14ac:dyDescent="0.45">
      <c r="A45" s="147"/>
      <c r="B45" s="147"/>
      <c r="C45" s="217"/>
      <c r="D45" s="217"/>
      <c r="E45" s="217"/>
      <c r="F45" s="217"/>
      <c r="G45" s="217"/>
      <c r="H45" s="217"/>
      <c r="I45" s="218"/>
      <c r="J45" s="147"/>
      <c r="K45" s="146"/>
      <c r="L45" s="147"/>
      <c r="M45" s="219"/>
      <c r="N45" s="199"/>
      <c r="O45" s="1151"/>
      <c r="P45" s="220"/>
      <c r="Q45" s="220"/>
      <c r="R45" s="220"/>
      <c r="S45" s="219"/>
      <c r="T45" s="219"/>
      <c r="U45" s="219"/>
      <c r="V45" s="146"/>
      <c r="W45" s="150"/>
      <c r="X45" s="172" t="s">
        <v>531</v>
      </c>
      <c r="Y45" s="173">
        <f>+FORMULAS!BQ254+FORMULAS!BQ342</f>
        <v>0</v>
      </c>
      <c r="Z45" s="173">
        <f>+FORMULAS!BQ215+FORMULAS!BQ303</f>
        <v>0</v>
      </c>
      <c r="AA45" s="173"/>
      <c r="AB45" s="173"/>
      <c r="AC45" s="173"/>
      <c r="AD45" s="201"/>
      <c r="AE45" s="190" t="s">
        <v>531</v>
      </c>
      <c r="AF45" s="173">
        <f>+FORMULAS!BT215+FORMULAS!BT303</f>
        <v>0</v>
      </c>
      <c r="AG45" s="173">
        <f>+FORMULAS!BT254+FORMULAS!BT342</f>
        <v>0</v>
      </c>
      <c r="AH45" s="173"/>
      <c r="AI45" s="173"/>
      <c r="AJ45" s="173"/>
      <c r="AK45" s="151"/>
      <c r="AL45" s="146"/>
      <c r="AM45" s="147"/>
      <c r="AN45" s="186" t="s">
        <v>495</v>
      </c>
      <c r="AO45" s="173">
        <f>(SUMIF(FORMULAS!$BG$68:$BR$68,Cant.!AO$42,FORMULAS!$BP9:$CA9)+SUMIF(FORMULAS!$BS$68:$CD$68,Cant.!AO$42,FORMULAS!$BP42:$CA42))*2</f>
        <v>0</v>
      </c>
      <c r="AP45" s="173">
        <f>(SUMIF(FORMULAS!$BG$68:$BR$68,Cant.!AP$42,FORMULAS!$BP9:$CA9)+SUMIF(FORMULAS!$BS$68:$CD$68,Cant.!AP$42,FORMULAS!$BP42:$CA42))*2</f>
        <v>0</v>
      </c>
      <c r="AQ45" s="173">
        <f>(SUMIF(FORMULAS!$BG$68:$BR$68,Cant.!AQ$42,FORMULAS!$BP9:$CA9)+SUMIF(FORMULAS!$BS$68:$CD$68,Cant.!AQ$42,FORMULAS!$BP42:$CA42))*2</f>
        <v>0</v>
      </c>
      <c r="AR45" s="173">
        <f>(SUMIF(FORMULAS!$BG$68:$BR$68,Cant.!AR$42,FORMULAS!$BP9:$CA9)+SUMIF(FORMULAS!$BS$68:$CD$68,Cant.!AR$42,FORMULAS!$BP42:$CA42))*2</f>
        <v>0</v>
      </c>
      <c r="AS45" s="173">
        <f>(SUMIF(FORMULAS!$BG$68:$BR$68,Cant.!AS$42,FORMULAS!$BP9:$CA9)+SUMIF(FORMULAS!$BS$68:$CD$68,Cant.!AS$42,FORMULAS!$BP42:$CA42))*2</f>
        <v>0</v>
      </c>
      <c r="AT45" s="173">
        <f>(SUMIF(FORMULAS!$BG$68:$BR$68,Cant.!AT$42,FORMULAS!$BP9:$CA9)+SUMIF(FORMULAS!$BS$68:$CD$68,Cant.!AT$42,FORMULAS!$BP42:$CA42))*2</f>
        <v>0</v>
      </c>
      <c r="AU45" s="173"/>
      <c r="AV45" s="147"/>
      <c r="AW45" s="147"/>
      <c r="AX45" s="186" t="s">
        <v>493</v>
      </c>
      <c r="AY45" s="164"/>
      <c r="AZ45" s="164"/>
      <c r="BA45" s="164"/>
      <c r="BB45" s="164"/>
      <c r="BC45" s="164"/>
      <c r="BD45" s="164"/>
      <c r="BE45" s="164"/>
      <c r="BF45" s="147"/>
      <c r="BG45" s="146"/>
      <c r="BH45" s="147"/>
      <c r="BI45" s="163">
        <v>1120113</v>
      </c>
      <c r="BJ45" s="163" t="s">
        <v>157</v>
      </c>
      <c r="BK45" s="164"/>
      <c r="BL45" s="147"/>
      <c r="BN45" s="226"/>
      <c r="BO45" s="226"/>
      <c r="BP45" s="226"/>
      <c r="BQ45" s="226"/>
      <c r="BR45" s="226"/>
    </row>
    <row r="46" spans="1:70" ht="18" customHeight="1" x14ac:dyDescent="0.45">
      <c r="A46" s="147"/>
      <c r="B46" s="1435" t="s">
        <v>529</v>
      </c>
      <c r="C46" s="1435"/>
      <c r="D46" s="1435"/>
      <c r="E46" s="1435"/>
      <c r="F46" s="1435"/>
      <c r="G46" s="1435"/>
      <c r="H46" s="1435"/>
      <c r="I46" s="1435"/>
      <c r="J46" s="1435"/>
      <c r="K46" s="146"/>
      <c r="L46" s="147"/>
      <c r="M46" s="1150"/>
      <c r="N46" s="219"/>
      <c r="O46" s="187"/>
      <c r="P46" s="1153"/>
      <c r="Q46" s="220"/>
      <c r="R46" s="187"/>
      <c r="S46" s="219"/>
      <c r="T46" s="219"/>
      <c r="U46" s="219"/>
      <c r="V46" s="146"/>
      <c r="W46" s="150"/>
      <c r="X46" s="172" t="s">
        <v>533</v>
      </c>
      <c r="Y46" s="173">
        <f>+FORMULAS!BQ255+FORMULAS!BQ343</f>
        <v>0</v>
      </c>
      <c r="Z46" s="173">
        <f>+FORMULAS!BQ216+FORMULAS!BQ304</f>
        <v>0</v>
      </c>
      <c r="AA46" s="173"/>
      <c r="AB46" s="173"/>
      <c r="AC46" s="173"/>
      <c r="AD46" s="201"/>
      <c r="AE46" s="190" t="s">
        <v>533</v>
      </c>
      <c r="AF46" s="173">
        <f>+FORMULAS!BT216+FORMULAS!BT304</f>
        <v>0</v>
      </c>
      <c r="AG46" s="173">
        <f>+FORMULAS!BT255+FORMULAS!BT343</f>
        <v>0</v>
      </c>
      <c r="AH46" s="173"/>
      <c r="AI46" s="173"/>
      <c r="AJ46" s="173"/>
      <c r="AK46" s="151"/>
      <c r="AL46" s="146"/>
      <c r="AM46" s="147"/>
      <c r="AN46" s="186" t="s">
        <v>498</v>
      </c>
      <c r="AO46" s="173">
        <f>+FORMULAS!CB14+FORMULAS!CB47</f>
        <v>0</v>
      </c>
      <c r="AP46" s="173">
        <f>+FORMULAS!CB15+FORMULAS!CB48</f>
        <v>0</v>
      </c>
      <c r="AQ46" s="173">
        <f>+FORMULAS!CB16+FORMULAS!CB49</f>
        <v>0</v>
      </c>
      <c r="AR46" s="173">
        <f>+FORMULAS!CB17+FORMULAS!CB50</f>
        <v>0</v>
      </c>
      <c r="AS46" s="173">
        <f>+FORMULAS!CB18+FORMULAS!CB51</f>
        <v>0</v>
      </c>
      <c r="AT46" s="173">
        <f>+FORMULAS!CB19+FORMULAS!CB52</f>
        <v>0</v>
      </c>
      <c r="AU46" s="173"/>
      <c r="AV46" s="147"/>
      <c r="AW46" s="147"/>
      <c r="AX46" s="186" t="s">
        <v>494</v>
      </c>
      <c r="AY46" s="164"/>
      <c r="AZ46" s="164"/>
      <c r="BA46" s="164"/>
      <c r="BB46" s="164"/>
      <c r="BC46" s="164"/>
      <c r="BD46" s="164"/>
      <c r="BE46" s="164"/>
      <c r="BF46" s="147"/>
      <c r="BG46" s="146"/>
      <c r="BH46" s="147"/>
      <c r="BI46" s="163">
        <v>1075563</v>
      </c>
      <c r="BJ46" s="163" t="s">
        <v>158</v>
      </c>
      <c r="BK46" s="164"/>
      <c r="BL46" s="147"/>
      <c r="BN46" s="226"/>
      <c r="BO46" s="226"/>
      <c r="BP46" s="226"/>
      <c r="BQ46" s="226"/>
      <c r="BR46" s="226"/>
    </row>
    <row r="47" spans="1:70" ht="18" customHeight="1" x14ac:dyDescent="0.45">
      <c r="A47" s="147"/>
      <c r="B47" s="221"/>
      <c r="C47" s="169">
        <v>0.95</v>
      </c>
      <c r="D47" s="169">
        <v>1.1499999999999999</v>
      </c>
      <c r="E47" s="169">
        <v>1.35</v>
      </c>
      <c r="F47" s="169">
        <v>1.55</v>
      </c>
      <c r="G47" s="169">
        <v>1.75</v>
      </c>
      <c r="H47" s="169"/>
      <c r="I47" s="211"/>
      <c r="J47" s="211"/>
      <c r="K47" s="146"/>
      <c r="L47" s="147"/>
      <c r="M47" s="1150"/>
      <c r="N47" s="219"/>
      <c r="O47" s="187"/>
      <c r="P47" s="1153"/>
      <c r="Q47" s="220"/>
      <c r="R47" s="187"/>
      <c r="S47" s="219"/>
      <c r="T47" s="219"/>
      <c r="U47" s="219"/>
      <c r="V47" s="146"/>
      <c r="W47" s="150"/>
      <c r="X47" s="172" t="s">
        <v>535</v>
      </c>
      <c r="Y47" s="173">
        <f>+FORMULAS!BQ256+FORMULAS!BQ344</f>
        <v>0</v>
      </c>
      <c r="Z47" s="173">
        <f>+FORMULAS!BQ217+FORMULAS!BQ305</f>
        <v>0</v>
      </c>
      <c r="AA47" s="173"/>
      <c r="AB47" s="173"/>
      <c r="AC47" s="173"/>
      <c r="AD47" s="201"/>
      <c r="AE47" s="190" t="s">
        <v>535</v>
      </c>
      <c r="AF47" s="173">
        <f>+FORMULAS!BT217+FORMULAS!BT305</f>
        <v>0</v>
      </c>
      <c r="AG47" s="173">
        <f>+FORMULAS!BT256+FORMULAS!BT344</f>
        <v>0</v>
      </c>
      <c r="AH47" s="173"/>
      <c r="AI47" s="173"/>
      <c r="AJ47" s="173"/>
      <c r="AK47" s="151"/>
      <c r="AL47" s="146"/>
      <c r="AM47" s="147"/>
      <c r="AN47" s="186" t="s">
        <v>499</v>
      </c>
      <c r="AO47" s="173"/>
      <c r="AP47" s="173"/>
      <c r="AQ47" s="173"/>
      <c r="AR47" s="173"/>
      <c r="AS47" s="173"/>
      <c r="AT47" s="173"/>
      <c r="AU47" s="173"/>
      <c r="AV47" s="147"/>
      <c r="AW47" s="147"/>
      <c r="AX47" s="186" t="s">
        <v>495</v>
      </c>
      <c r="AY47" s="164"/>
      <c r="AZ47" s="164"/>
      <c r="BA47" s="164"/>
      <c r="BB47" s="164"/>
      <c r="BC47" s="164"/>
      <c r="BD47" s="164"/>
      <c r="BE47" s="164"/>
      <c r="BF47" s="147"/>
      <c r="BG47" s="146"/>
      <c r="BH47" s="147"/>
      <c r="BI47" s="163">
        <v>1075565</v>
      </c>
      <c r="BJ47" s="163" t="s">
        <v>159</v>
      </c>
      <c r="BK47" s="164"/>
      <c r="BL47" s="147"/>
      <c r="BN47" s="226"/>
      <c r="BO47" s="226"/>
      <c r="BP47" s="226"/>
      <c r="BQ47" s="226"/>
      <c r="BR47" s="226"/>
    </row>
    <row r="48" spans="1:70" ht="18" customHeight="1" x14ac:dyDescent="0.45">
      <c r="A48" s="147"/>
      <c r="B48" s="174" t="s">
        <v>532</v>
      </c>
      <c r="C48" s="173">
        <f>+'3 ALUMINIOS'!B14</f>
        <v>0</v>
      </c>
      <c r="D48" s="173">
        <f>+'3 ALUMINIOS'!C14</f>
        <v>0</v>
      </c>
      <c r="E48" s="173">
        <f>+'3 ALUMINIOS'!D14</f>
        <v>0</v>
      </c>
      <c r="F48" s="173">
        <f>+'3 ALUMINIOS'!E14</f>
        <v>0</v>
      </c>
      <c r="G48" s="173">
        <f>+'3 ALUMINIOS'!F14</f>
        <v>0</v>
      </c>
      <c r="H48" s="187"/>
      <c r="I48" s="211"/>
      <c r="J48" s="211"/>
      <c r="K48" s="146"/>
      <c r="L48" s="147"/>
      <c r="M48" s="219"/>
      <c r="N48" s="219"/>
      <c r="O48" s="220"/>
      <c r="P48" s="220"/>
      <c r="Q48" s="220"/>
      <c r="R48" s="220"/>
      <c r="S48" s="219"/>
      <c r="T48" s="219"/>
      <c r="U48" s="219"/>
      <c r="V48" s="146"/>
      <c r="W48" s="150"/>
      <c r="X48" s="172" t="s">
        <v>537</v>
      </c>
      <c r="Y48" s="173">
        <f>+FORMULAS!BQ257+FORMULAS!BQ345</f>
        <v>0</v>
      </c>
      <c r="Z48" s="173">
        <f>+FORMULAS!BQ218+FORMULAS!BQ306</f>
        <v>0</v>
      </c>
      <c r="AA48" s="173"/>
      <c r="AB48" s="173"/>
      <c r="AC48" s="173"/>
      <c r="AD48" s="201"/>
      <c r="AE48" s="190" t="s">
        <v>537</v>
      </c>
      <c r="AF48" s="173">
        <f>+FORMULAS!BT218+FORMULAS!BT306</f>
        <v>0</v>
      </c>
      <c r="AG48" s="173">
        <f>+FORMULAS!BT257+FORMULAS!BT345</f>
        <v>0</v>
      </c>
      <c r="AH48" s="173"/>
      <c r="AI48" s="173"/>
      <c r="AJ48" s="173"/>
      <c r="AK48" s="151"/>
      <c r="AL48" s="146"/>
      <c r="AM48" s="147"/>
      <c r="AN48" s="186" t="s">
        <v>500</v>
      </c>
      <c r="AO48" s="187"/>
      <c r="AP48" s="173">
        <f>+FORMULAS!D234</f>
        <v>0</v>
      </c>
      <c r="AQ48" s="173">
        <f>+FORMULAS!E234</f>
        <v>0</v>
      </c>
      <c r="AR48" s="173">
        <f>+FORMULAS!F234</f>
        <v>0</v>
      </c>
      <c r="AS48" s="173">
        <f>+FORMULAS!G234</f>
        <v>0</v>
      </c>
      <c r="AT48" s="187"/>
      <c r="AU48" s="187"/>
      <c r="AV48" s="147"/>
      <c r="AW48" s="147"/>
      <c r="AX48" s="186" t="s">
        <v>498</v>
      </c>
      <c r="AY48" s="164"/>
      <c r="AZ48" s="164"/>
      <c r="BA48" s="164"/>
      <c r="BB48" s="164"/>
      <c r="BC48" s="164"/>
      <c r="BD48" s="164"/>
      <c r="BE48" s="164"/>
      <c r="BF48" s="147"/>
      <c r="BG48" s="146"/>
      <c r="BH48" s="147"/>
      <c r="BI48" s="163">
        <v>1075572</v>
      </c>
      <c r="BJ48" s="163" t="s">
        <v>160</v>
      </c>
      <c r="BK48" s="164"/>
      <c r="BL48" s="147"/>
      <c r="BN48" s="226"/>
      <c r="BO48" s="226"/>
      <c r="BP48" s="226"/>
      <c r="BQ48" s="226"/>
      <c r="BR48" s="226"/>
    </row>
    <row r="49" spans="1:70" ht="18" customHeight="1" x14ac:dyDescent="0.45">
      <c r="A49" s="147"/>
      <c r="B49" s="174" t="s">
        <v>534</v>
      </c>
      <c r="C49" s="173">
        <f>+'3 ALUMINIOS'!B15</f>
        <v>0</v>
      </c>
      <c r="D49" s="173">
        <f>+'3 ALUMINIOS'!C15</f>
        <v>0</v>
      </c>
      <c r="E49" s="173">
        <f>+'3 ALUMINIOS'!D15</f>
        <v>0</v>
      </c>
      <c r="F49" s="173">
        <f>+'3 ALUMINIOS'!E15</f>
        <v>0</v>
      </c>
      <c r="G49" s="173">
        <f>+'3 ALUMINIOS'!F15</f>
        <v>0</v>
      </c>
      <c r="H49" s="187"/>
      <c r="I49" s="211"/>
      <c r="J49" s="147"/>
      <c r="K49" s="146"/>
      <c r="L49" s="147"/>
      <c r="M49" s="189" t="s">
        <v>529</v>
      </c>
      <c r="N49" s="189"/>
      <c r="O49" s="222"/>
      <c r="P49" s="222"/>
      <c r="Q49" s="222"/>
      <c r="R49" s="222"/>
      <c r="S49" s="189"/>
      <c r="T49" s="189"/>
      <c r="U49" s="189"/>
      <c r="V49" s="146"/>
      <c r="W49" s="150"/>
      <c r="X49" s="172" t="s">
        <v>539</v>
      </c>
      <c r="Y49" s="173">
        <f>+FORMULAS!BQ258+FORMULAS!BQ346</f>
        <v>0</v>
      </c>
      <c r="Z49" s="173">
        <f>+FORMULAS!BQ219+FORMULAS!BQ307</f>
        <v>0</v>
      </c>
      <c r="AA49" s="173"/>
      <c r="AB49" s="173"/>
      <c r="AC49" s="173"/>
      <c r="AD49" s="201"/>
      <c r="AE49" s="190" t="s">
        <v>539</v>
      </c>
      <c r="AF49" s="173">
        <f>+FORMULAS!BT219+FORMULAS!BT307</f>
        <v>0</v>
      </c>
      <c r="AG49" s="173">
        <f>+FORMULAS!BT258+FORMULAS!BT346</f>
        <v>0</v>
      </c>
      <c r="AH49" s="173"/>
      <c r="AI49" s="173"/>
      <c r="AJ49" s="173"/>
      <c r="AK49" s="151"/>
      <c r="AL49" s="146"/>
      <c r="AM49" s="147"/>
      <c r="AN49" s="186" t="s">
        <v>503</v>
      </c>
      <c r="AO49" s="187"/>
      <c r="AP49" s="173" t="b">
        <f>+FORMULAS!D235</f>
        <v>0</v>
      </c>
      <c r="AQ49" s="173" t="b">
        <f>+FORMULAS!E235</f>
        <v>0</v>
      </c>
      <c r="AR49" s="173" t="b">
        <f>+FORMULAS!F235</f>
        <v>0</v>
      </c>
      <c r="AS49" s="173" t="b">
        <f>+FORMULAS!G235</f>
        <v>0</v>
      </c>
      <c r="AT49" s="187"/>
      <c r="AU49" s="187"/>
      <c r="AV49" s="147"/>
      <c r="AW49" s="147"/>
      <c r="AX49" s="186" t="s">
        <v>499</v>
      </c>
      <c r="AY49" s="164"/>
      <c r="AZ49" s="164"/>
      <c r="BA49" s="164"/>
      <c r="BB49" s="164"/>
      <c r="BC49" s="164"/>
      <c r="BD49" s="164"/>
      <c r="BE49" s="164"/>
      <c r="BF49" s="147"/>
      <c r="BG49" s="146"/>
      <c r="BH49" s="147"/>
      <c r="BI49" s="163">
        <v>1075573</v>
      </c>
      <c r="BJ49" s="163" t="s">
        <v>161</v>
      </c>
      <c r="BK49" s="164"/>
      <c r="BL49" s="147"/>
      <c r="BN49" s="226"/>
      <c r="BO49" s="226"/>
      <c r="BP49" s="226"/>
      <c r="BQ49" s="226"/>
      <c r="BR49" s="226"/>
    </row>
    <row r="50" spans="1:70" ht="18" customHeight="1" x14ac:dyDescent="0.45">
      <c r="A50" s="147"/>
      <c r="B50" s="174" t="s">
        <v>536</v>
      </c>
      <c r="C50" s="173">
        <f>+'3 ALUMINIOS'!B16</f>
        <v>0</v>
      </c>
      <c r="D50" s="173">
        <f>+'3 ALUMINIOS'!C16</f>
        <v>0</v>
      </c>
      <c r="E50" s="173">
        <f>+'3 ALUMINIOS'!D16</f>
        <v>0</v>
      </c>
      <c r="F50" s="173">
        <f>+'3 ALUMINIOS'!E16</f>
        <v>0</v>
      </c>
      <c r="G50" s="173">
        <f>+'3 ALUMINIOS'!F16</f>
        <v>0</v>
      </c>
      <c r="H50" s="187"/>
      <c r="I50" s="199"/>
      <c r="J50" s="211"/>
      <c r="K50" s="146"/>
      <c r="L50" s="147"/>
      <c r="M50" s="221"/>
      <c r="N50" s="211"/>
      <c r="O50" s="216"/>
      <c r="P50" s="216"/>
      <c r="Q50" s="216"/>
      <c r="R50" s="216"/>
      <c r="S50" s="209"/>
      <c r="T50" s="211"/>
      <c r="U50" s="211"/>
      <c r="V50" s="146"/>
      <c r="W50" s="150"/>
      <c r="X50" s="172" t="s">
        <v>540</v>
      </c>
      <c r="Y50" s="173">
        <f>+FORMULAS!BQ259+FORMULAS!BQ347</f>
        <v>0</v>
      </c>
      <c r="Z50" s="173">
        <f>+FORMULAS!BQ220+FORMULAS!BQ308</f>
        <v>0</v>
      </c>
      <c r="AA50" s="173"/>
      <c r="AB50" s="173"/>
      <c r="AC50" s="173"/>
      <c r="AD50" s="201"/>
      <c r="AE50" s="190" t="s">
        <v>540</v>
      </c>
      <c r="AF50" s="173">
        <f>+FORMULAS!BT220+FORMULAS!BT308</f>
        <v>0</v>
      </c>
      <c r="AG50" s="173">
        <f>+FORMULAS!BT259+FORMULAS!BT347</f>
        <v>0</v>
      </c>
      <c r="AH50" s="173"/>
      <c r="AI50" s="173"/>
      <c r="AJ50" s="173"/>
      <c r="AK50" s="151"/>
      <c r="AL50" s="146"/>
      <c r="AM50" s="147"/>
      <c r="AN50" s="197"/>
      <c r="AO50" s="178"/>
      <c r="AP50" s="198"/>
      <c r="AQ50" s="178"/>
      <c r="AR50" s="178"/>
      <c r="AS50" s="183" t="s">
        <v>504</v>
      </c>
      <c r="AT50" s="183"/>
      <c r="AU50" s="169">
        <f>SUM(AO43:AU45)/2</f>
        <v>0</v>
      </c>
      <c r="AV50" s="147"/>
      <c r="AW50" s="147"/>
      <c r="AX50" s="186" t="s">
        <v>500</v>
      </c>
      <c r="AY50" s="187"/>
      <c r="AZ50" s="164"/>
      <c r="BA50" s="164"/>
      <c r="BB50" s="164"/>
      <c r="BC50" s="164"/>
      <c r="BD50" s="223"/>
      <c r="BE50" s="187"/>
      <c r="BF50" s="147"/>
      <c r="BG50" s="146"/>
      <c r="BH50" s="147"/>
      <c r="BI50" s="163">
        <v>1075574</v>
      </c>
      <c r="BJ50" s="163" t="s">
        <v>162</v>
      </c>
      <c r="BK50" s="164"/>
      <c r="BL50" s="147"/>
      <c r="BN50" s="226"/>
      <c r="BO50" s="226"/>
      <c r="BP50" s="226"/>
      <c r="BQ50" s="226"/>
      <c r="BR50" s="226"/>
    </row>
    <row r="51" spans="1:70" ht="18" customHeight="1" x14ac:dyDescent="0.45">
      <c r="A51" s="147"/>
      <c r="B51" s="174" t="s">
        <v>538</v>
      </c>
      <c r="C51" s="173">
        <f>+'3 ALUMINIOS'!B17</f>
        <v>0</v>
      </c>
      <c r="D51" s="173">
        <f>+'3 ALUMINIOS'!C17</f>
        <v>0</v>
      </c>
      <c r="E51" s="173">
        <f>+'3 ALUMINIOS'!D17</f>
        <v>0</v>
      </c>
      <c r="F51" s="173">
        <f>+'3 ALUMINIOS'!E17</f>
        <v>0</v>
      </c>
      <c r="G51" s="173">
        <f>+'3 ALUMINIOS'!F17</f>
        <v>0</v>
      </c>
      <c r="H51" s="187"/>
      <c r="I51" s="224"/>
      <c r="J51" s="224"/>
      <c r="K51" s="146"/>
      <c r="L51" s="147"/>
      <c r="M51" s="174" t="s">
        <v>532</v>
      </c>
      <c r="N51" s="211"/>
      <c r="O51" s="173">
        <f>+'3 ALUMINIOS'!H14+'3 ALUMINIOS'!I14+'3 ALUMINIOS'!J14</f>
        <v>0</v>
      </c>
      <c r="P51" s="173"/>
      <c r="Q51" s="173"/>
      <c r="R51" s="173"/>
      <c r="S51" s="187"/>
      <c r="T51" s="211"/>
      <c r="U51" s="211"/>
      <c r="V51" s="146"/>
      <c r="W51" s="150"/>
      <c r="X51" s="172" t="s">
        <v>541</v>
      </c>
      <c r="Y51" s="173">
        <f>+FORMULAS!BQ260+FORMULAS!BQ348</f>
        <v>0</v>
      </c>
      <c r="Z51" s="173">
        <f>+FORMULAS!BQ221+FORMULAS!BQ309</f>
        <v>0</v>
      </c>
      <c r="AA51" s="173"/>
      <c r="AB51" s="173"/>
      <c r="AC51" s="173"/>
      <c r="AD51" s="201"/>
      <c r="AE51" s="190" t="s">
        <v>541</v>
      </c>
      <c r="AF51" s="173">
        <f>+FORMULAS!BT221+FORMULAS!BT309</f>
        <v>0</v>
      </c>
      <c r="AG51" s="173">
        <f>+FORMULAS!BT260+FORMULAS!BT348</f>
        <v>0</v>
      </c>
      <c r="AH51" s="173"/>
      <c r="AI51" s="173"/>
      <c r="AJ51" s="173"/>
      <c r="AK51" s="151"/>
      <c r="AL51" s="146"/>
      <c r="AM51" s="147"/>
      <c r="AN51" s="147"/>
      <c r="AO51" s="147"/>
      <c r="AP51" s="147"/>
      <c r="AQ51" s="147"/>
      <c r="AR51" s="147"/>
      <c r="AS51" s="183" t="s">
        <v>507</v>
      </c>
      <c r="AT51" s="183"/>
      <c r="AU51" s="169">
        <f>SUM(AO46:AU47)/2</f>
        <v>0</v>
      </c>
      <c r="AV51" s="147"/>
      <c r="AW51" s="147"/>
      <c r="AX51" s="186" t="s">
        <v>503</v>
      </c>
      <c r="AY51" s="187"/>
      <c r="AZ51" s="164"/>
      <c r="BA51" s="164"/>
      <c r="BB51" s="164"/>
      <c r="BC51" s="164"/>
      <c r="BD51" s="223"/>
      <c r="BE51" s="187"/>
      <c r="BF51" s="147"/>
      <c r="BG51" s="146"/>
      <c r="BH51" s="147"/>
      <c r="BI51" s="163">
        <v>1075575</v>
      </c>
      <c r="BJ51" s="163" t="s">
        <v>163</v>
      </c>
      <c r="BK51" s="164"/>
      <c r="BL51" s="147"/>
      <c r="BN51" s="226"/>
      <c r="BO51" s="226"/>
      <c r="BP51" s="226"/>
      <c r="BQ51" s="226"/>
      <c r="BR51" s="226"/>
    </row>
    <row r="52" spans="1:70" ht="18" customHeight="1" x14ac:dyDescent="0.45">
      <c r="A52" s="147"/>
      <c r="B52" s="147"/>
      <c r="C52" s="147"/>
      <c r="D52" s="147"/>
      <c r="E52" s="147"/>
      <c r="F52" s="147"/>
      <c r="G52" s="147"/>
      <c r="H52" s="147"/>
      <c r="I52" s="224"/>
      <c r="J52" s="224"/>
      <c r="K52" s="146"/>
      <c r="L52" s="147"/>
      <c r="M52" s="174" t="s">
        <v>534</v>
      </c>
      <c r="N52" s="199"/>
      <c r="O52" s="173">
        <f>+'3 ALUMINIOS'!H15+'3 ALUMINIOS'!I15+'3 ALUMINIOS'!J15</f>
        <v>0</v>
      </c>
      <c r="P52" s="173"/>
      <c r="Q52" s="173"/>
      <c r="R52" s="173"/>
      <c r="S52" s="187"/>
      <c r="T52" s="211"/>
      <c r="U52" s="147"/>
      <c r="V52" s="146"/>
      <c r="W52" s="150"/>
      <c r="X52" s="172" t="s">
        <v>542</v>
      </c>
      <c r="Y52" s="173">
        <f>+FORMULAS!BQ261+FORMULAS!BQ349</f>
        <v>0</v>
      </c>
      <c r="Z52" s="173">
        <f>+FORMULAS!BQ222+FORMULAS!BQ310</f>
        <v>0</v>
      </c>
      <c r="AA52" s="173"/>
      <c r="AB52" s="173"/>
      <c r="AC52" s="173"/>
      <c r="AD52" s="201"/>
      <c r="AE52" s="190" t="s">
        <v>542</v>
      </c>
      <c r="AF52" s="173">
        <f>+FORMULAS!BT222+FORMULAS!BT310</f>
        <v>0</v>
      </c>
      <c r="AG52" s="173">
        <f>+FORMULAS!BT261+FORMULAS!BT349</f>
        <v>0</v>
      </c>
      <c r="AH52" s="173"/>
      <c r="AI52" s="173"/>
      <c r="AJ52" s="173"/>
      <c r="AK52" s="151"/>
      <c r="AL52" s="146"/>
      <c r="AM52" s="147"/>
      <c r="AN52" s="147"/>
      <c r="AO52" s="147"/>
      <c r="AP52" s="147"/>
      <c r="AQ52" s="147"/>
      <c r="AR52" s="147"/>
      <c r="AS52" s="183" t="s">
        <v>509</v>
      </c>
      <c r="AT52" s="183"/>
      <c r="AU52" s="169">
        <f>SUM(AP48:AS49)</f>
        <v>0</v>
      </c>
      <c r="AV52" s="147"/>
      <c r="AW52" s="147"/>
      <c r="AX52" s="197"/>
      <c r="AY52" s="178"/>
      <c r="AZ52" s="198"/>
      <c r="BA52" s="178"/>
      <c r="BB52" s="178"/>
      <c r="BC52" s="183" t="s">
        <v>504</v>
      </c>
      <c r="BD52" s="183"/>
      <c r="BE52" s="169">
        <f>SUM(AY44:BE47)/2</f>
        <v>0</v>
      </c>
      <c r="BF52" s="147"/>
      <c r="BG52" s="146"/>
      <c r="BH52" s="147"/>
      <c r="BI52" s="163">
        <v>1075576</v>
      </c>
      <c r="BJ52" s="163" t="s">
        <v>164</v>
      </c>
      <c r="BK52" s="164"/>
      <c r="BL52" s="147"/>
      <c r="BN52" s="226"/>
      <c r="BO52" s="226"/>
      <c r="BP52" s="226"/>
      <c r="BQ52" s="226"/>
      <c r="BR52" s="226"/>
    </row>
    <row r="53" spans="1:70" ht="18" customHeight="1" x14ac:dyDescent="0.45">
      <c r="A53" s="147"/>
      <c r="B53" s="147"/>
      <c r="C53" s="147"/>
      <c r="D53" s="147"/>
      <c r="E53" s="147"/>
      <c r="F53" s="147"/>
      <c r="G53" s="147"/>
      <c r="H53" s="147"/>
      <c r="I53" s="147"/>
      <c r="J53" s="147"/>
      <c r="K53" s="146"/>
      <c r="L53" s="147"/>
      <c r="M53" s="174" t="s">
        <v>536</v>
      </c>
      <c r="N53" s="224"/>
      <c r="O53" s="173">
        <f>+'3 ALUMINIOS'!H16+'3 ALUMINIOS'!I16+'3 ALUMINIOS'!J16</f>
        <v>0</v>
      </c>
      <c r="P53" s="173"/>
      <c r="Q53" s="173"/>
      <c r="R53" s="173"/>
      <c r="S53" s="187"/>
      <c r="T53" s="199"/>
      <c r="U53" s="211"/>
      <c r="V53" s="146"/>
      <c r="W53" s="150"/>
      <c r="X53" s="172" t="s">
        <v>543</v>
      </c>
      <c r="Y53" s="173">
        <f>+FORMULAS!BQ262+FORMULAS!BQ350</f>
        <v>0</v>
      </c>
      <c r="Z53" s="173">
        <f>+FORMULAS!BQ223+FORMULAS!BQ311</f>
        <v>0</v>
      </c>
      <c r="AA53" s="173"/>
      <c r="AB53" s="173"/>
      <c r="AC53" s="173"/>
      <c r="AD53" s="201"/>
      <c r="AE53" s="190" t="s">
        <v>543</v>
      </c>
      <c r="AF53" s="173">
        <f>+FORMULAS!BT223+FORMULAS!BT311</f>
        <v>0</v>
      </c>
      <c r="AG53" s="173">
        <f>+FORMULAS!BT262+FORMULAS!BT350</f>
        <v>0</v>
      </c>
      <c r="AH53" s="173"/>
      <c r="AI53" s="173"/>
      <c r="AJ53" s="173"/>
      <c r="AK53" s="151"/>
      <c r="AL53" s="146"/>
      <c r="AM53" s="147"/>
      <c r="AN53" s="160" t="s">
        <v>471</v>
      </c>
      <c r="AO53" s="1417" t="s">
        <v>1</v>
      </c>
      <c r="AP53" s="1417"/>
      <c r="AQ53" s="1417"/>
      <c r="AR53" s="1417"/>
      <c r="AS53" s="1417" t="s">
        <v>472</v>
      </c>
      <c r="AT53" s="1417"/>
      <c r="AU53" s="1417"/>
      <c r="AV53" s="147"/>
      <c r="AW53" s="147"/>
      <c r="AX53" s="147"/>
      <c r="AY53" s="147"/>
      <c r="AZ53" s="147"/>
      <c r="BA53" s="147"/>
      <c r="BB53" s="147"/>
      <c r="BC53" s="183" t="s">
        <v>507</v>
      </c>
      <c r="BD53" s="183"/>
      <c r="BE53" s="169">
        <f>SUM(AY48:BE49)/2</f>
        <v>0</v>
      </c>
      <c r="BF53" s="147"/>
      <c r="BG53" s="146"/>
      <c r="BH53" s="147"/>
      <c r="BI53" s="163">
        <v>1075577</v>
      </c>
      <c r="BJ53" s="163" t="s">
        <v>165</v>
      </c>
      <c r="BK53" s="164"/>
      <c r="BL53" s="147"/>
      <c r="BN53" s="226"/>
      <c r="BO53" s="226"/>
      <c r="BP53" s="226"/>
      <c r="BQ53" s="226"/>
      <c r="BR53" s="226"/>
    </row>
    <row r="54" spans="1:70" ht="18" customHeight="1" x14ac:dyDescent="0.45">
      <c r="A54" s="147"/>
      <c r="B54" s="147"/>
      <c r="C54" s="147"/>
      <c r="D54" s="147"/>
      <c r="E54" s="147"/>
      <c r="F54" s="147"/>
      <c r="G54" s="147"/>
      <c r="H54" s="147"/>
      <c r="I54" s="147"/>
      <c r="J54" s="147"/>
      <c r="K54" s="146"/>
      <c r="L54" s="147"/>
      <c r="M54" s="174" t="s">
        <v>538</v>
      </c>
      <c r="N54" s="224"/>
      <c r="O54" s="173">
        <f>+'3 ALUMINIOS'!H17+'3 ALUMINIOS'!I17+'3 ALUMINIOS'!J17</f>
        <v>0</v>
      </c>
      <c r="P54" s="173"/>
      <c r="Q54" s="173"/>
      <c r="R54" s="173"/>
      <c r="S54" s="187"/>
      <c r="T54" s="224"/>
      <c r="U54" s="224"/>
      <c r="V54" s="146"/>
      <c r="W54" s="150"/>
      <c r="X54" s="172" t="s">
        <v>544</v>
      </c>
      <c r="Y54" s="173">
        <f>+FORMULAS!BQ263+FORMULAS!BQ351</f>
        <v>0</v>
      </c>
      <c r="Z54" s="173">
        <f>+FORMULAS!BQ224+FORMULAS!BQ312</f>
        <v>0</v>
      </c>
      <c r="AA54" s="173"/>
      <c r="AB54" s="173"/>
      <c r="AC54" s="173"/>
      <c r="AD54" s="201"/>
      <c r="AE54" s="190" t="s">
        <v>544</v>
      </c>
      <c r="AF54" s="173">
        <f>+FORMULAS!BT224+FORMULAS!BT312</f>
        <v>0</v>
      </c>
      <c r="AG54" s="173">
        <f>+FORMULAS!BT263+FORMULAS!BT351</f>
        <v>0</v>
      </c>
      <c r="AH54" s="173"/>
      <c r="AI54" s="173"/>
      <c r="AJ54" s="173"/>
      <c r="AK54" s="151"/>
      <c r="AL54" s="146"/>
      <c r="AM54" s="147"/>
      <c r="AN54" s="160" t="s">
        <v>545</v>
      </c>
      <c r="AO54" s="1440">
        <f>+'2 M-A +'!C40</f>
        <v>0</v>
      </c>
      <c r="AP54" s="1441"/>
      <c r="AQ54" s="1441"/>
      <c r="AR54" s="1452"/>
      <c r="AS54" s="1453"/>
      <c r="AT54" s="1454"/>
      <c r="AU54" s="1455"/>
      <c r="AV54" s="147"/>
      <c r="AW54" s="147"/>
      <c r="AX54" s="147"/>
      <c r="AY54" s="147"/>
      <c r="AZ54" s="147"/>
      <c r="BA54" s="147"/>
      <c r="BB54" s="147"/>
      <c r="BC54" s="183" t="s">
        <v>509</v>
      </c>
      <c r="BD54" s="183"/>
      <c r="BE54" s="169">
        <f>SUM(AZ50:BC51)</f>
        <v>0</v>
      </c>
      <c r="BF54" s="147"/>
      <c r="BG54" s="146"/>
      <c r="BH54" s="147"/>
      <c r="BI54" s="163">
        <v>1075592</v>
      </c>
      <c r="BJ54" s="163" t="s">
        <v>166</v>
      </c>
      <c r="BK54" s="164"/>
      <c r="BL54" s="147"/>
      <c r="BN54" s="226"/>
      <c r="BO54" s="226"/>
      <c r="BP54" s="226"/>
      <c r="BQ54" s="226"/>
      <c r="BR54" s="226"/>
    </row>
    <row r="55" spans="1:70" ht="18" customHeight="1" x14ac:dyDescent="0.45">
      <c r="A55" s="147"/>
      <c r="B55" s="147"/>
      <c r="C55" s="147"/>
      <c r="D55" s="147"/>
      <c r="E55" s="147"/>
      <c r="F55" s="147"/>
      <c r="G55" s="147"/>
      <c r="H55" s="147"/>
      <c r="I55" s="147"/>
      <c r="J55" s="147"/>
      <c r="K55" s="146"/>
      <c r="L55" s="147"/>
      <c r="M55" s="224"/>
      <c r="N55" s="224"/>
      <c r="O55" s="224"/>
      <c r="P55" s="224"/>
      <c r="Q55" s="224"/>
      <c r="R55" s="224"/>
      <c r="S55" s="224"/>
      <c r="T55" s="224"/>
      <c r="U55" s="224"/>
      <c r="V55" s="146"/>
      <c r="W55" s="150"/>
      <c r="X55" s="172" t="s">
        <v>546</v>
      </c>
      <c r="Y55" s="173">
        <f>+FORMULAS!BQ264+FORMULAS!BQ352</f>
        <v>0</v>
      </c>
      <c r="Z55" s="173">
        <f>+FORMULAS!BQ225+FORMULAS!BQ313</f>
        <v>0</v>
      </c>
      <c r="AA55" s="173"/>
      <c r="AB55" s="173"/>
      <c r="AC55" s="173"/>
      <c r="AD55" s="201"/>
      <c r="AE55" s="190" t="s">
        <v>546</v>
      </c>
      <c r="AF55" s="173">
        <f>+FORMULAS!BT225+FORMULAS!BT313</f>
        <v>0</v>
      </c>
      <c r="AG55" s="173">
        <f>+FORMULAS!BT264+FORMULAS!BT352</f>
        <v>0</v>
      </c>
      <c r="AH55" s="173"/>
      <c r="AI55" s="173"/>
      <c r="AJ55" s="173"/>
      <c r="AK55" s="151"/>
      <c r="AL55" s="146"/>
      <c r="AM55" s="147"/>
      <c r="AN55" s="1439" t="s">
        <v>479</v>
      </c>
      <c r="AO55" s="1439"/>
      <c r="AP55" s="1439"/>
      <c r="AQ55" s="1439"/>
      <c r="AR55" s="1439"/>
      <c r="AS55" s="1439"/>
      <c r="AT55" s="1439"/>
      <c r="AU55" s="1439"/>
      <c r="AV55" s="161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6"/>
      <c r="BH55" s="147"/>
      <c r="BI55" s="163">
        <v>1075593</v>
      </c>
      <c r="BJ55" s="163" t="s">
        <v>167</v>
      </c>
      <c r="BK55" s="164"/>
      <c r="BL55" s="147"/>
      <c r="BN55" s="226"/>
      <c r="BO55" s="226"/>
      <c r="BP55" s="226"/>
      <c r="BQ55" s="226"/>
      <c r="BR55" s="226"/>
    </row>
    <row r="56" spans="1:70" ht="18" customHeight="1" x14ac:dyDescent="0.45">
      <c r="A56" s="147"/>
      <c r="B56" s="147"/>
      <c r="C56" s="147"/>
      <c r="D56" s="147"/>
      <c r="E56" s="147"/>
      <c r="F56" s="147"/>
      <c r="G56" s="147"/>
      <c r="H56" s="147"/>
      <c r="I56" s="147"/>
      <c r="J56" s="147"/>
      <c r="K56" s="146"/>
      <c r="L56" s="147"/>
      <c r="M56" s="224"/>
      <c r="N56" s="224"/>
      <c r="O56" s="224"/>
      <c r="P56" s="224"/>
      <c r="Q56" s="224"/>
      <c r="R56" s="224"/>
      <c r="S56" s="224"/>
      <c r="T56" s="224"/>
      <c r="U56" s="224"/>
      <c r="V56" s="146"/>
      <c r="W56" s="150"/>
      <c r="X56" s="172" t="s">
        <v>548</v>
      </c>
      <c r="Y56" s="173">
        <f>+FORMULAS!BQ265+FORMULAS!BQ353</f>
        <v>0</v>
      </c>
      <c r="Z56" s="173">
        <f>+FORMULAS!BQ226+FORMULAS!BQ314</f>
        <v>0</v>
      </c>
      <c r="AA56" s="173"/>
      <c r="AB56" s="173"/>
      <c r="AC56" s="173"/>
      <c r="AD56" s="201"/>
      <c r="AE56" s="190" t="s">
        <v>548</v>
      </c>
      <c r="AF56" s="173">
        <f>+FORMULAS!BT226+FORMULAS!BT314</f>
        <v>0</v>
      </c>
      <c r="AG56" s="173">
        <f>+FORMULAS!BT265+FORMULAS!BT353</f>
        <v>0</v>
      </c>
      <c r="AH56" s="173"/>
      <c r="AI56" s="173"/>
      <c r="AJ56" s="173"/>
      <c r="AK56" s="151"/>
      <c r="AL56" s="146"/>
      <c r="AM56" s="147"/>
      <c r="AN56" s="178"/>
      <c r="AO56" s="169">
        <v>28</v>
      </c>
      <c r="AP56" s="169">
        <v>56</v>
      </c>
      <c r="AQ56" s="169">
        <v>70</v>
      </c>
      <c r="AR56" s="169">
        <v>84</v>
      </c>
      <c r="AS56" s="169">
        <v>112</v>
      </c>
      <c r="AT56" s="169">
        <v>140</v>
      </c>
      <c r="AU56" s="169" t="s">
        <v>420</v>
      </c>
      <c r="AV56" s="147"/>
      <c r="AW56" s="147"/>
      <c r="AX56" s="160" t="s">
        <v>473</v>
      </c>
      <c r="AY56" s="1417" t="s">
        <v>1</v>
      </c>
      <c r="AZ56" s="1417"/>
      <c r="BA56" s="1417"/>
      <c r="BB56" s="1417"/>
      <c r="BC56" s="1417" t="s">
        <v>472</v>
      </c>
      <c r="BD56" s="1417"/>
      <c r="BE56" s="1417"/>
      <c r="BF56" s="161"/>
      <c r="BG56" s="146"/>
      <c r="BH56" s="147"/>
      <c r="BI56" s="163">
        <v>1075594</v>
      </c>
      <c r="BJ56" s="163" t="s">
        <v>168</v>
      </c>
      <c r="BK56" s="164"/>
      <c r="BL56" s="147"/>
      <c r="BN56" s="226"/>
      <c r="BO56" s="226"/>
      <c r="BP56" s="226"/>
      <c r="BQ56" s="226"/>
      <c r="BR56" s="226"/>
    </row>
    <row r="57" spans="1:70" ht="18" customHeight="1" x14ac:dyDescent="0.45">
      <c r="A57" s="147"/>
      <c r="B57" s="147"/>
      <c r="C57" s="147"/>
      <c r="D57" s="147"/>
      <c r="E57" s="147"/>
      <c r="F57" s="147"/>
      <c r="G57" s="147"/>
      <c r="H57" s="147"/>
      <c r="I57" s="147"/>
      <c r="J57" s="147"/>
      <c r="K57" s="146"/>
      <c r="L57" s="147"/>
      <c r="M57" s="224"/>
      <c r="N57" s="224"/>
      <c r="O57" s="224"/>
      <c r="P57" s="224"/>
      <c r="Q57" s="224"/>
      <c r="R57" s="224"/>
      <c r="S57" s="224"/>
      <c r="T57" s="224"/>
      <c r="U57" s="224"/>
      <c r="V57" s="146"/>
      <c r="W57" s="150"/>
      <c r="X57" s="803" t="s">
        <v>549</v>
      </c>
      <c r="Y57" s="173">
        <f>+FORMULAS!BQ266+FORMULAS!BQ354</f>
        <v>0</v>
      </c>
      <c r="Z57" s="173">
        <f>+FORMULAS!BQ227+FORMULAS!BQ315</f>
        <v>0</v>
      </c>
      <c r="AA57" s="173"/>
      <c r="AB57" s="173"/>
      <c r="AC57" s="173"/>
      <c r="AD57" s="201"/>
      <c r="AE57" s="806" t="s">
        <v>549</v>
      </c>
      <c r="AF57" s="173">
        <f>+FORMULAS!BT227+FORMULAS!BT315</f>
        <v>0</v>
      </c>
      <c r="AG57" s="173">
        <f>+FORMULAS!BT266+FORMULAS!BT354</f>
        <v>0</v>
      </c>
      <c r="AH57" s="173"/>
      <c r="AI57" s="173"/>
      <c r="AJ57" s="173"/>
      <c r="AK57" s="151"/>
      <c r="AL57" s="146"/>
      <c r="AM57" s="147"/>
      <c r="AN57" s="122" t="s">
        <v>483</v>
      </c>
      <c r="AO57" s="1127">
        <f>(SUMIF(FORMULAS!$CE$68:$CP$68,Cant.!AO56,FORMULAS!$CC$89:$CN$89)+SUMIF(FORMULAS!$CQ$68:$DB$68,Cant.!AO56,FORMULAS!$CC$143:$CN$143))*2</f>
        <v>0</v>
      </c>
      <c r="AP57" s="1127">
        <f>(SUMIF(FORMULAS!$CE$68:$CP$68,Cant.!AP56,FORMULAS!$CC$89:$CN$89)+SUMIF(FORMULAS!$CQ$68:$DB$68,Cant.!AP56,FORMULAS!$CC$143:$CN$143))*2</f>
        <v>0</v>
      </c>
      <c r="AQ57" s="1127">
        <f>(SUMIF(FORMULAS!$CE$68:$CP$68,Cant.!AQ56,FORMULAS!$CC$89:$CN$89)+SUMIF(FORMULAS!$CQ$68:$DB$68,Cant.!AQ56,FORMULAS!$CC$143:$CN$143))*2</f>
        <v>0</v>
      </c>
      <c r="AR57" s="1127">
        <f>(SUMIF(FORMULAS!$CE$68:$CP$68,Cant.!AR56,FORMULAS!$CC$89:$CN$89)+SUMIF(FORMULAS!$CQ$68:$DB$68,Cant.!AR56,FORMULAS!$CC$143:$CN$143))*2</f>
        <v>0</v>
      </c>
      <c r="AS57" s="1127">
        <f>(SUMIF(FORMULAS!$CE$68:$CP$68,Cant.!AS56,FORMULAS!$CC$89:$CN$89)+SUMIF(FORMULAS!$CQ$68:$DB$68,Cant.!AS56,FORMULAS!$CC$143:$CN$143))*2</f>
        <v>0</v>
      </c>
      <c r="AT57" s="1127">
        <f>(SUMIF(FORMULAS!$CE$68:$CP$68,Cant.!AT56,FORMULAS!$CC$89:$CN$89)+SUMIF(FORMULAS!$CQ$68:$DB$68,Cant.!AT56,FORMULAS!$CC$143:$CN$143))*2</f>
        <v>0</v>
      </c>
      <c r="AU57" s="1127"/>
      <c r="AV57" s="147"/>
      <c r="AW57" s="147"/>
      <c r="AX57" s="160" t="s">
        <v>547</v>
      </c>
      <c r="AY57" s="1457"/>
      <c r="AZ57" s="1458"/>
      <c r="BA57" s="1458"/>
      <c r="BB57" s="1459"/>
      <c r="BC57" s="1453"/>
      <c r="BD57" s="1454"/>
      <c r="BE57" s="1455"/>
      <c r="BF57" s="147"/>
      <c r="BG57" s="146"/>
      <c r="BH57" s="147"/>
      <c r="BI57" s="163">
        <v>1099915</v>
      </c>
      <c r="BJ57" s="163" t="s">
        <v>169</v>
      </c>
      <c r="BK57" s="164"/>
      <c r="BL57" s="147"/>
      <c r="BN57" s="226"/>
      <c r="BO57" s="226"/>
      <c r="BP57" s="226"/>
      <c r="BQ57" s="226"/>
      <c r="BR57" s="226"/>
    </row>
    <row r="58" spans="1:70" ht="18" customHeight="1" x14ac:dyDescent="0.45">
      <c r="A58" s="147"/>
      <c r="B58" s="147"/>
      <c r="C58" s="147"/>
      <c r="D58" s="147"/>
      <c r="E58" s="147"/>
      <c r="F58" s="147"/>
      <c r="G58" s="147"/>
      <c r="H58" s="147"/>
      <c r="I58" s="147"/>
      <c r="J58" s="147"/>
      <c r="K58" s="146"/>
      <c r="L58" s="147"/>
      <c r="M58" s="224"/>
      <c r="N58" s="224"/>
      <c r="O58" s="224"/>
      <c r="P58" s="224"/>
      <c r="Q58" s="224"/>
      <c r="R58" s="224"/>
      <c r="S58" s="224"/>
      <c r="T58" s="224"/>
      <c r="U58" s="224"/>
      <c r="V58" s="146"/>
      <c r="W58" s="802"/>
      <c r="X58" s="803" t="s">
        <v>550</v>
      </c>
      <c r="Y58" s="173">
        <f>+FORMULAS!BQ267+FORMULAS!BQ355</f>
        <v>0</v>
      </c>
      <c r="Z58" s="173">
        <f>+FORMULAS!BQ228+FORMULAS!BQ316</f>
        <v>0</v>
      </c>
      <c r="AA58" s="173"/>
      <c r="AB58" s="173"/>
      <c r="AC58" s="173"/>
      <c r="AD58" s="805"/>
      <c r="AE58" s="806" t="s">
        <v>550</v>
      </c>
      <c r="AF58" s="173">
        <f>+FORMULAS!BT228+FORMULAS!BT316</f>
        <v>0</v>
      </c>
      <c r="AG58" s="173">
        <f>+FORMULAS!BT267+FORMULAS!BT355</f>
        <v>0</v>
      </c>
      <c r="AH58" s="173"/>
      <c r="AI58" s="173"/>
      <c r="AJ58" s="173"/>
      <c r="AK58" s="151"/>
      <c r="AL58" s="146"/>
      <c r="AM58" s="147"/>
      <c r="AN58" s="1128"/>
      <c r="AO58" s="815"/>
      <c r="AP58" s="815"/>
      <c r="AQ58" s="815"/>
      <c r="AR58" s="815"/>
      <c r="AS58" s="815"/>
      <c r="AT58" s="815"/>
      <c r="AU58" s="815"/>
      <c r="AV58" s="147"/>
      <c r="AW58" s="147"/>
      <c r="AX58" s="1439" t="s">
        <v>479</v>
      </c>
      <c r="AY58" s="1439"/>
      <c r="AZ58" s="1439"/>
      <c r="BA58" s="1439"/>
      <c r="BB58" s="1439"/>
      <c r="BC58" s="1439"/>
      <c r="BD58" s="1439"/>
      <c r="BE58" s="1439"/>
      <c r="BF58" s="147"/>
      <c r="BG58" s="146"/>
      <c r="BH58" s="147"/>
      <c r="BI58" s="163">
        <v>1075558</v>
      </c>
      <c r="BJ58" s="163" t="s">
        <v>170</v>
      </c>
      <c r="BK58" s="164"/>
      <c r="BL58" s="147"/>
      <c r="BN58" s="226"/>
      <c r="BO58" s="226"/>
      <c r="BP58" s="226"/>
      <c r="BQ58" s="226"/>
      <c r="BR58" s="226"/>
    </row>
    <row r="59" spans="1:70" ht="18" customHeight="1" x14ac:dyDescent="0.45">
      <c r="M59" s="801"/>
      <c r="N59" s="801"/>
      <c r="O59" s="801"/>
      <c r="P59" s="801"/>
      <c r="Q59" s="801"/>
      <c r="R59" s="801"/>
      <c r="S59" s="801"/>
      <c r="T59" s="801"/>
      <c r="U59" s="801"/>
      <c r="W59" s="802"/>
      <c r="X59" s="803" t="s">
        <v>551</v>
      </c>
      <c r="Y59" s="173">
        <f>+FORMULAS!BQ268+FORMULAS!BQ356</f>
        <v>0</v>
      </c>
      <c r="Z59" s="173">
        <f>+FORMULAS!BQ229+FORMULAS!BQ317</f>
        <v>0</v>
      </c>
      <c r="AA59" s="804"/>
      <c r="AB59" s="804"/>
      <c r="AC59" s="804"/>
      <c r="AD59" s="805"/>
      <c r="AE59" s="806" t="s">
        <v>551</v>
      </c>
      <c r="AF59" s="173">
        <f>+FORMULAS!BT229+FORMULAS!BT317</f>
        <v>0</v>
      </c>
      <c r="AG59" s="173">
        <f>+FORMULAS!BT268+FORMULAS!BT356</f>
        <v>0</v>
      </c>
      <c r="AH59" s="804"/>
      <c r="AI59" s="804"/>
      <c r="AJ59" s="804"/>
      <c r="AK59" s="807"/>
      <c r="AN59" s="1128"/>
      <c r="AO59" s="815"/>
      <c r="AP59" s="815"/>
      <c r="AQ59" s="815"/>
      <c r="AR59" s="815"/>
      <c r="AS59" s="815"/>
      <c r="AT59" s="815"/>
      <c r="AU59" s="815"/>
      <c r="AX59" s="809"/>
      <c r="AY59" s="810">
        <v>0.28000000000000003</v>
      </c>
      <c r="AZ59" s="810">
        <v>0.56000000000000005</v>
      </c>
      <c r="BA59" s="810">
        <v>0.7</v>
      </c>
      <c r="BB59" s="810">
        <v>0.84</v>
      </c>
      <c r="BC59" s="810">
        <v>1.1200000000000001</v>
      </c>
      <c r="BD59" s="810">
        <v>1.4</v>
      </c>
      <c r="BE59" s="810" t="s">
        <v>420</v>
      </c>
      <c r="BI59" s="811">
        <v>1075535</v>
      </c>
      <c r="BJ59" s="811" t="s">
        <v>171</v>
      </c>
      <c r="BK59" s="164"/>
      <c r="BN59" s="226"/>
      <c r="BO59" s="226"/>
      <c r="BP59" s="226"/>
      <c r="BQ59" s="226"/>
      <c r="BR59" s="226"/>
    </row>
    <row r="60" spans="1:70" ht="18" customHeight="1" x14ac:dyDescent="0.45">
      <c r="M60" s="801"/>
      <c r="N60" s="801"/>
      <c r="O60" s="801"/>
      <c r="P60" s="801"/>
      <c r="Q60" s="801"/>
      <c r="R60" s="801"/>
      <c r="S60" s="801"/>
      <c r="T60" s="801"/>
      <c r="U60" s="801"/>
      <c r="W60" s="802"/>
      <c r="X60" s="803" t="s">
        <v>552</v>
      </c>
      <c r="Y60" s="173">
        <f>+FORMULAS!BQ269+FORMULAS!BQ357</f>
        <v>0</v>
      </c>
      <c r="Z60" s="173">
        <f>+FORMULAS!BQ230+FORMULAS!BQ318</f>
        <v>0</v>
      </c>
      <c r="AA60" s="804"/>
      <c r="AB60" s="804"/>
      <c r="AC60" s="804"/>
      <c r="AD60" s="805"/>
      <c r="AE60" s="806" t="s">
        <v>552</v>
      </c>
      <c r="AF60" s="173">
        <f>+FORMULAS!BT230+FORMULAS!BT318</f>
        <v>0</v>
      </c>
      <c r="AG60" s="173">
        <f>+FORMULAS!BT269+FORMULAS!BT357</f>
        <v>0</v>
      </c>
      <c r="AH60" s="804"/>
      <c r="AI60" s="804"/>
      <c r="AJ60" s="804"/>
      <c r="AK60" s="807"/>
      <c r="AN60" s="122"/>
      <c r="AO60" s="122"/>
      <c r="AP60" s="122"/>
      <c r="AQ60" s="122"/>
      <c r="AS60" s="812" t="s">
        <v>489</v>
      </c>
      <c r="AT60" s="812"/>
      <c r="AU60" s="810"/>
      <c r="AX60" s="122" t="s">
        <v>483</v>
      </c>
      <c r="AY60" s="808"/>
      <c r="AZ60" s="808"/>
      <c r="BA60" s="808"/>
      <c r="BB60" s="808"/>
      <c r="BC60" s="808"/>
      <c r="BD60" s="808"/>
      <c r="BE60" s="808"/>
      <c r="BI60" s="811">
        <v>1075536</v>
      </c>
      <c r="BJ60" s="811" t="s">
        <v>172</v>
      </c>
      <c r="BK60" s="164"/>
      <c r="BN60" s="226"/>
      <c r="BO60" s="226"/>
      <c r="BP60" s="226"/>
      <c r="BQ60" s="226"/>
      <c r="BR60" s="226"/>
    </row>
    <row r="61" spans="1:70" ht="18" customHeight="1" x14ac:dyDescent="0.45">
      <c r="M61" s="801"/>
      <c r="N61" s="801"/>
      <c r="O61" s="801"/>
      <c r="P61" s="801"/>
      <c r="Q61" s="801"/>
      <c r="R61" s="801"/>
      <c r="S61" s="801"/>
      <c r="T61" s="801"/>
      <c r="U61" s="801"/>
      <c r="W61" s="802"/>
      <c r="X61" s="803" t="s">
        <v>553</v>
      </c>
      <c r="Y61" s="173">
        <f>+FORMULAS!BQ270+FORMULAS!BQ358</f>
        <v>0</v>
      </c>
      <c r="Z61" s="173">
        <f>+FORMULAS!BQ231+FORMULAS!BQ319</f>
        <v>0</v>
      </c>
      <c r="AA61" s="804"/>
      <c r="AB61" s="804"/>
      <c r="AC61" s="804"/>
      <c r="AD61" s="805"/>
      <c r="AE61" s="806" t="s">
        <v>553</v>
      </c>
      <c r="AF61" s="173">
        <f>+FORMULAS!BT231+FORMULAS!BT319</f>
        <v>0</v>
      </c>
      <c r="AG61" s="173">
        <f>+FORMULAS!BT270+FORMULAS!BT358</f>
        <v>0</v>
      </c>
      <c r="AH61" s="804"/>
      <c r="AI61" s="804"/>
      <c r="AJ61" s="804"/>
      <c r="AK61" s="807"/>
      <c r="AN61" s="1456" t="s">
        <v>404</v>
      </c>
      <c r="AO61" s="1456"/>
      <c r="AP61" s="1456"/>
      <c r="AQ61" s="1456"/>
      <c r="AR61" s="1456"/>
      <c r="AS61" s="1456"/>
      <c r="AT61" s="1456"/>
      <c r="AU61" s="1456"/>
      <c r="AX61" s="122" t="s">
        <v>485</v>
      </c>
      <c r="AY61" s="808"/>
      <c r="AZ61" s="808"/>
      <c r="BA61" s="808"/>
      <c r="BB61" s="808"/>
      <c r="BC61" s="808"/>
      <c r="BD61" s="808"/>
      <c r="BE61" s="808"/>
      <c r="BI61" s="811">
        <v>1075537</v>
      </c>
      <c r="BJ61" s="811" t="s">
        <v>173</v>
      </c>
      <c r="BK61" s="164"/>
      <c r="BN61" s="226"/>
      <c r="BO61" s="226"/>
      <c r="BP61" s="226"/>
      <c r="BQ61" s="226"/>
      <c r="BR61" s="226"/>
    </row>
    <row r="62" spans="1:70" ht="18" customHeight="1" x14ac:dyDescent="0.45">
      <c r="M62" s="801"/>
      <c r="N62" s="801"/>
      <c r="O62" s="801"/>
      <c r="P62" s="801"/>
      <c r="Q62" s="801"/>
      <c r="R62" s="801"/>
      <c r="S62" s="801"/>
      <c r="T62" s="801"/>
      <c r="U62" s="801"/>
      <c r="W62" s="802"/>
      <c r="X62" s="803" t="s">
        <v>554</v>
      </c>
      <c r="Y62" s="173">
        <f>+FORMULAS!BQ271+FORMULAS!BQ359</f>
        <v>0</v>
      </c>
      <c r="Z62" s="173">
        <f>+FORMULAS!BQ232+FORMULAS!BQ320</f>
        <v>0</v>
      </c>
      <c r="AA62" s="804"/>
      <c r="AB62" s="804"/>
      <c r="AC62" s="804"/>
      <c r="AD62" s="805"/>
      <c r="AE62" s="806" t="s">
        <v>554</v>
      </c>
      <c r="AF62" s="173">
        <f>+FORMULAS!BT232+FORMULAS!BT320</f>
        <v>0</v>
      </c>
      <c r="AG62" s="173">
        <f>+FORMULAS!BT271+FORMULAS!BT359</f>
        <v>0</v>
      </c>
      <c r="AH62" s="804"/>
      <c r="AI62" s="804"/>
      <c r="AJ62" s="804"/>
      <c r="AK62" s="807"/>
      <c r="AN62" s="122"/>
      <c r="AO62" s="169">
        <v>28</v>
      </c>
      <c r="AP62" s="169">
        <v>56</v>
      </c>
      <c r="AQ62" s="169">
        <v>70</v>
      </c>
      <c r="AR62" s="169">
        <v>84</v>
      </c>
      <c r="AS62" s="169">
        <v>112</v>
      </c>
      <c r="AT62" s="169">
        <v>140</v>
      </c>
      <c r="AU62" s="169" t="s">
        <v>420</v>
      </c>
      <c r="AX62" s="122" t="s">
        <v>487</v>
      </c>
      <c r="AY62" s="808"/>
      <c r="AZ62" s="808"/>
      <c r="BA62" s="808"/>
      <c r="BB62" s="808"/>
      <c r="BC62" s="808"/>
      <c r="BD62" s="808"/>
      <c r="BE62" s="808"/>
      <c r="BI62" s="811">
        <v>1075538</v>
      </c>
      <c r="BJ62" s="811" t="s">
        <v>174</v>
      </c>
      <c r="BK62" s="164"/>
      <c r="BN62" s="226"/>
      <c r="BO62" s="226"/>
      <c r="BP62" s="226"/>
      <c r="BQ62" s="226"/>
      <c r="BR62" s="226"/>
    </row>
    <row r="63" spans="1:70" ht="18" customHeight="1" x14ac:dyDescent="0.45">
      <c r="M63" s="801"/>
      <c r="N63" s="801"/>
      <c r="O63" s="801"/>
      <c r="P63" s="801"/>
      <c r="Q63" s="801"/>
      <c r="R63" s="801"/>
      <c r="S63" s="801"/>
      <c r="T63" s="801"/>
      <c r="U63" s="801"/>
      <c r="W63" s="802"/>
      <c r="X63" s="803" t="s">
        <v>555</v>
      </c>
      <c r="Y63" s="173">
        <f>+FORMULAS!BQ272+FORMULAS!BQ360</f>
        <v>0</v>
      </c>
      <c r="Z63" s="173">
        <f>+FORMULAS!BQ233+FORMULAS!BQ321</f>
        <v>0</v>
      </c>
      <c r="AA63" s="804"/>
      <c r="AB63" s="804"/>
      <c r="AC63" s="804"/>
      <c r="AD63" s="805"/>
      <c r="AE63" s="806" t="s">
        <v>555</v>
      </c>
      <c r="AF63" s="173">
        <f>+FORMULAS!BT233+FORMULAS!BT321</f>
        <v>0</v>
      </c>
      <c r="AG63" s="173">
        <f>+FORMULAS!BT272+FORMULAS!BT360</f>
        <v>0</v>
      </c>
      <c r="AH63" s="804"/>
      <c r="AI63" s="804"/>
      <c r="AJ63" s="804"/>
      <c r="AK63" s="807"/>
      <c r="AN63" s="813" t="s">
        <v>492</v>
      </c>
      <c r="AO63" s="804">
        <f>(SUMIF(FORMULAS!$BG$68:$BR$68,Cant.!AO$62,FORMULAS!$CC7:$CN7)+SUMIF(FORMULAS!$BS$68:$CD$68,Cant.!AO$62,FORMULAS!$CC40:$CN40))*2</f>
        <v>0</v>
      </c>
      <c r="AP63" s="804">
        <f>(SUMIF(FORMULAS!$BG$68:$BR$68,Cant.!AP$62,FORMULAS!$CC7:$CN7)+SUMIF(FORMULAS!$BS$68:$CD$68,Cant.!AP$62,FORMULAS!$CC40:$CN40))*2</f>
        <v>0</v>
      </c>
      <c r="AQ63" s="804">
        <f>(SUMIF(FORMULAS!$BG$68:$BR$68,Cant.!AQ$62,FORMULAS!$CC7:$CN7)+SUMIF(FORMULAS!$BS$68:$CD$68,Cant.!AQ$62,FORMULAS!$CC40:$CN40))*2</f>
        <v>0</v>
      </c>
      <c r="AR63" s="804">
        <f>(SUMIF(FORMULAS!$BG$68:$BR$68,Cant.!AR$62,FORMULAS!$CC7:$CN7)+SUMIF(FORMULAS!$BS$68:$CD$68,Cant.!AR$62,FORMULAS!$CC40:$CN40))*2</f>
        <v>0</v>
      </c>
      <c r="AS63" s="804">
        <f>(SUMIF(FORMULAS!$BG$68:$BR$68,Cant.!AS$62,FORMULAS!$CC7:$CN7)+SUMIF(FORMULAS!$BS$68:$CD$68,Cant.!AS$62,FORMULAS!$CC40:$CN40))*2</f>
        <v>0</v>
      </c>
      <c r="AT63" s="804">
        <f>(SUMIF(FORMULAS!$BG$68:$BR$68,Cant.!AT$62,FORMULAS!$CC7:$CN7)+SUMIF(FORMULAS!$BS$68:$CD$68,Cant.!AT$62,FORMULAS!$CC40:$CN40))*2</f>
        <v>0</v>
      </c>
      <c r="AU63" s="804"/>
      <c r="AX63" s="122"/>
      <c r="AY63" s="122"/>
      <c r="AZ63" s="122"/>
      <c r="BA63" s="122"/>
      <c r="BC63" s="812" t="s">
        <v>489</v>
      </c>
      <c r="BD63" s="812"/>
      <c r="BE63" s="810">
        <f>SUM(AY60:BE62)/2</f>
        <v>0</v>
      </c>
      <c r="BI63" s="811">
        <v>1075539</v>
      </c>
      <c r="BJ63" s="811" t="s">
        <v>175</v>
      </c>
      <c r="BK63" s="164"/>
      <c r="BN63" s="226"/>
      <c r="BO63" s="226"/>
      <c r="BP63" s="226"/>
      <c r="BQ63" s="226"/>
      <c r="BR63" s="226"/>
    </row>
    <row r="64" spans="1:70" ht="18" customHeight="1" x14ac:dyDescent="0.45">
      <c r="M64" s="801"/>
      <c r="N64" s="801"/>
      <c r="O64" s="801"/>
      <c r="P64" s="801"/>
      <c r="Q64" s="801"/>
      <c r="R64" s="801"/>
      <c r="S64" s="801"/>
      <c r="T64" s="801"/>
      <c r="U64" s="801"/>
      <c r="W64" s="802"/>
      <c r="X64" s="803" t="s">
        <v>556</v>
      </c>
      <c r="Y64" s="173">
        <f>+FORMULAS!BQ273+FORMULAS!BQ361</f>
        <v>0</v>
      </c>
      <c r="Z64" s="173">
        <f>+FORMULAS!BQ234+FORMULAS!BQ322</f>
        <v>0</v>
      </c>
      <c r="AA64" s="804"/>
      <c r="AB64" s="804"/>
      <c r="AC64" s="804"/>
      <c r="AD64" s="805"/>
      <c r="AE64" s="806" t="s">
        <v>556</v>
      </c>
      <c r="AF64" s="173">
        <f>+FORMULAS!BT234+FORMULAS!BT322</f>
        <v>0</v>
      </c>
      <c r="AG64" s="173">
        <f>+FORMULAS!BT273+FORMULAS!BT361</f>
        <v>0</v>
      </c>
      <c r="AH64" s="804"/>
      <c r="AI64" s="804"/>
      <c r="AJ64" s="804"/>
      <c r="AK64" s="807"/>
      <c r="AN64" s="813" t="s">
        <v>494</v>
      </c>
      <c r="AO64" s="804">
        <f>(SUMIF(FORMULAS!$BG$68:$BR$68,Cant.!AO$62,FORMULAS!$CC8:$CN8)+SUMIF(FORMULAS!$BS$68:$CD$68,Cant.!AO$62,FORMULAS!$CC41:$CN41))*2</f>
        <v>0</v>
      </c>
      <c r="AP64" s="804">
        <f>(SUMIF(FORMULAS!$BG$68:$BR$68,Cant.!AP$62,FORMULAS!$CC8:$CN8)+SUMIF(FORMULAS!$BS$68:$CD$68,Cant.!AP$62,FORMULAS!$CC41:$CN41))*2</f>
        <v>0</v>
      </c>
      <c r="AQ64" s="804">
        <f>(SUMIF(FORMULAS!$BG$68:$BR$68,Cant.!AQ$62,FORMULAS!$CC8:$CN8)+SUMIF(FORMULAS!$BS$68:$CD$68,Cant.!AQ$62,FORMULAS!$CC41:$CN41))*2</f>
        <v>0</v>
      </c>
      <c r="AR64" s="804">
        <f>(SUMIF(FORMULAS!$BG$68:$BR$68,Cant.!AR$62,FORMULAS!$CC8:$CN8)+SUMIF(FORMULAS!$BS$68:$CD$68,Cant.!AR$62,FORMULAS!$CC41:$CN41))*2</f>
        <v>0</v>
      </c>
      <c r="AS64" s="804">
        <f>(SUMIF(FORMULAS!$BG$68:$BR$68,Cant.!AS$62,FORMULAS!$CC8:$CN8)+SUMIF(FORMULAS!$BS$68:$CD$68,Cant.!AS$62,FORMULAS!$CC41:$CN41))*2</f>
        <v>0</v>
      </c>
      <c r="AT64" s="804">
        <f>(SUMIF(FORMULAS!$BG$68:$BR$68,Cant.!AT$62,FORMULAS!$CC8:$CN8)+SUMIF(FORMULAS!$BS$68:$CD$68,Cant.!AT$62,FORMULAS!$CC41:$CN41))*2</f>
        <v>0</v>
      </c>
      <c r="AU64" s="804"/>
      <c r="AX64" s="1456" t="s">
        <v>404</v>
      </c>
      <c r="AY64" s="1456"/>
      <c r="AZ64" s="1456"/>
      <c r="BA64" s="1456"/>
      <c r="BB64" s="1456"/>
      <c r="BC64" s="1456"/>
      <c r="BD64" s="1456"/>
      <c r="BE64" s="1456"/>
      <c r="BI64" s="811">
        <v>1075540</v>
      </c>
      <c r="BJ64" s="811" t="s">
        <v>176</v>
      </c>
      <c r="BK64" s="164"/>
      <c r="BN64" s="226"/>
      <c r="BO64" s="226"/>
      <c r="BP64" s="226"/>
      <c r="BQ64" s="226"/>
      <c r="BR64" s="226"/>
    </row>
    <row r="65" spans="12:70" ht="18" customHeight="1" x14ac:dyDescent="0.45">
      <c r="M65" s="801"/>
      <c r="N65" s="801"/>
      <c r="O65" s="801"/>
      <c r="P65" s="801"/>
      <c r="Q65" s="801"/>
      <c r="R65" s="801"/>
      <c r="S65" s="801"/>
      <c r="T65" s="801"/>
      <c r="U65" s="801"/>
      <c r="W65" s="802"/>
      <c r="X65" s="803" t="s">
        <v>557</v>
      </c>
      <c r="Y65" s="173">
        <f>+FORMULAS!BQ274+FORMULAS!BQ362</f>
        <v>0</v>
      </c>
      <c r="Z65" s="173">
        <f>+FORMULAS!BQ235+FORMULAS!BQ323</f>
        <v>0</v>
      </c>
      <c r="AA65" s="804"/>
      <c r="AB65" s="804"/>
      <c r="AC65" s="804"/>
      <c r="AD65" s="805"/>
      <c r="AE65" s="806" t="s">
        <v>557</v>
      </c>
      <c r="AF65" s="173">
        <f>+FORMULAS!BT235+FORMULAS!BT323</f>
        <v>0</v>
      </c>
      <c r="AG65" s="173">
        <f>+FORMULAS!BT274+FORMULAS!BT362</f>
        <v>0</v>
      </c>
      <c r="AH65" s="804"/>
      <c r="AI65" s="804"/>
      <c r="AJ65" s="804"/>
      <c r="AK65" s="807"/>
      <c r="AN65" s="813" t="s">
        <v>495</v>
      </c>
      <c r="AO65" s="804">
        <f>(SUMIF(FORMULAS!$BG$68:$BR$68,Cant.!AO$62,FORMULAS!$CC9:$CN9)+SUMIF(FORMULAS!$BS$68:$CD$68,Cant.!AO$62,FORMULAS!$CC42:$CN42))*2</f>
        <v>0</v>
      </c>
      <c r="AP65" s="804">
        <f>(SUMIF(FORMULAS!$BG$68:$BR$68,Cant.!AP$62,FORMULAS!$CC9:$CN9)+SUMIF(FORMULAS!$BS$68:$CD$68,Cant.!AP$62,FORMULAS!$CC42:$CN42))*2</f>
        <v>0</v>
      </c>
      <c r="AQ65" s="804">
        <f>(SUMIF(FORMULAS!$BG$68:$BR$68,Cant.!AQ$62,FORMULAS!$CC9:$CN9)+SUMIF(FORMULAS!$BS$68:$CD$68,Cant.!AQ$62,FORMULAS!$CC42:$CN42))*2</f>
        <v>0</v>
      </c>
      <c r="AR65" s="804">
        <f>(SUMIF(FORMULAS!$BG$68:$BR$68,Cant.!AR$62,FORMULAS!$CC9:$CN9)+SUMIF(FORMULAS!$BS$68:$CD$68,Cant.!AR$62,FORMULAS!$CC42:$CN42))*2</f>
        <v>0</v>
      </c>
      <c r="AS65" s="804">
        <f>(SUMIF(FORMULAS!$BG$68:$BR$68,Cant.!AS$62,FORMULAS!$CC9:$CN9)+SUMIF(FORMULAS!$BS$68:$CD$68,Cant.!AS$62,FORMULAS!$CC42:$CN42))*2</f>
        <v>0</v>
      </c>
      <c r="AT65" s="804">
        <f>(SUMIF(FORMULAS!$BG$68:$BR$68,Cant.!AT$62,FORMULAS!$CC9:$CN9)+SUMIF(FORMULAS!$BS$68:$CD$68,Cant.!AT$62,FORMULAS!$CC42:$CN42))*2</f>
        <v>0</v>
      </c>
      <c r="AU65" s="804"/>
      <c r="AX65" s="122"/>
      <c r="AY65" s="810">
        <v>0.28000000000000003</v>
      </c>
      <c r="AZ65" s="810">
        <v>0.56000000000000005</v>
      </c>
      <c r="BA65" s="810">
        <v>0.7</v>
      </c>
      <c r="BB65" s="810">
        <v>0.84</v>
      </c>
      <c r="BC65" s="810">
        <v>1.1200000000000001</v>
      </c>
      <c r="BD65" s="810">
        <v>1.4</v>
      </c>
      <c r="BE65" s="810" t="s">
        <v>420</v>
      </c>
      <c r="BI65" s="811">
        <v>1075541</v>
      </c>
      <c r="BJ65" s="811" t="s">
        <v>177</v>
      </c>
      <c r="BK65" s="164"/>
      <c r="BN65" s="226"/>
      <c r="BO65" s="226"/>
      <c r="BP65" s="226"/>
      <c r="BQ65" s="226"/>
      <c r="BR65" s="226"/>
    </row>
    <row r="66" spans="12:70" ht="18" customHeight="1" x14ac:dyDescent="0.45">
      <c r="M66" s="801"/>
      <c r="N66" s="801"/>
      <c r="O66" s="801"/>
      <c r="P66" s="801"/>
      <c r="Q66" s="801"/>
      <c r="R66" s="801"/>
      <c r="S66" s="801"/>
      <c r="T66" s="801"/>
      <c r="U66" s="801"/>
      <c r="W66" s="802"/>
      <c r="X66" s="803" t="s">
        <v>558</v>
      </c>
      <c r="Y66" s="173">
        <f>+FORMULAS!BQ275+FORMULAS!BQ363</f>
        <v>0</v>
      </c>
      <c r="Z66" s="173">
        <f>+FORMULAS!BQ236+FORMULAS!BQ324</f>
        <v>0</v>
      </c>
      <c r="AA66" s="804"/>
      <c r="AB66" s="804"/>
      <c r="AC66" s="804"/>
      <c r="AD66" s="805"/>
      <c r="AE66" s="806" t="s">
        <v>558</v>
      </c>
      <c r="AF66" s="173">
        <f>+FORMULAS!BT236+FORMULAS!BT324</f>
        <v>0</v>
      </c>
      <c r="AG66" s="173">
        <f>+FORMULAS!BT275+FORMULAS!BT363</f>
        <v>0</v>
      </c>
      <c r="AH66" s="804"/>
      <c r="AI66" s="804"/>
      <c r="AJ66" s="804"/>
      <c r="AK66" s="807"/>
      <c r="AN66" s="813" t="s">
        <v>498</v>
      </c>
      <c r="AO66" s="804">
        <f>+FORMULAS!CO14+FORMULAS!CO47</f>
        <v>0</v>
      </c>
      <c r="AP66" s="804">
        <f>+FORMULAS!CO15+FORMULAS!CO48</f>
        <v>0</v>
      </c>
      <c r="AQ66" s="804">
        <f>+FORMULAS!CO16+FORMULAS!CO49</f>
        <v>0</v>
      </c>
      <c r="AR66" s="804">
        <f>+FORMULAS!CO17+FORMULAS!CO50</f>
        <v>0</v>
      </c>
      <c r="AS66" s="804">
        <f>+FORMULAS!CO18+FORMULAS!CO51</f>
        <v>0</v>
      </c>
      <c r="AT66" s="804">
        <f>+FORMULAS!CO19+FORMULAS!CO52</f>
        <v>0</v>
      </c>
      <c r="AU66" s="804"/>
      <c r="AX66" s="813" t="s">
        <v>492</v>
      </c>
      <c r="AY66" s="808"/>
      <c r="AZ66" s="808"/>
      <c r="BA66" s="808"/>
      <c r="BB66" s="808"/>
      <c r="BC66" s="808"/>
      <c r="BD66" s="808"/>
      <c r="BE66" s="808"/>
      <c r="BI66" s="811">
        <v>1075542</v>
      </c>
      <c r="BJ66" s="811" t="s">
        <v>178</v>
      </c>
      <c r="BK66" s="164"/>
      <c r="BN66" s="226"/>
      <c r="BO66" s="226"/>
      <c r="BP66" s="226"/>
      <c r="BQ66" s="226"/>
      <c r="BR66" s="226"/>
    </row>
    <row r="67" spans="12:70" ht="18" customHeight="1" x14ac:dyDescent="0.45">
      <c r="M67" s="801"/>
      <c r="N67" s="801"/>
      <c r="O67" s="801"/>
      <c r="P67" s="801"/>
      <c r="Q67" s="801"/>
      <c r="R67" s="801"/>
      <c r="S67" s="801"/>
      <c r="T67" s="801"/>
      <c r="U67" s="801"/>
      <c r="W67" s="802"/>
      <c r="X67" s="803" t="s">
        <v>559</v>
      </c>
      <c r="Y67" s="173">
        <f>+FORMULAS!BQ276+FORMULAS!BQ364</f>
        <v>0</v>
      </c>
      <c r="Z67" s="173">
        <f>+FORMULAS!BQ237+FORMULAS!BQ325</f>
        <v>0</v>
      </c>
      <c r="AA67" s="804"/>
      <c r="AB67" s="804"/>
      <c r="AC67" s="804"/>
      <c r="AD67" s="805"/>
      <c r="AE67" s="806" t="s">
        <v>559</v>
      </c>
      <c r="AF67" s="173">
        <f>+FORMULAS!BT237+FORMULAS!BT325</f>
        <v>0</v>
      </c>
      <c r="AG67" s="173">
        <f>+FORMULAS!BT276+FORMULAS!BT364</f>
        <v>0</v>
      </c>
      <c r="AH67" s="804"/>
      <c r="AI67" s="804"/>
      <c r="AJ67" s="804"/>
      <c r="AK67" s="807"/>
      <c r="AN67" s="813" t="s">
        <v>499</v>
      </c>
      <c r="AO67" s="804"/>
      <c r="AP67" s="804"/>
      <c r="AQ67" s="804"/>
      <c r="AR67" s="804"/>
      <c r="AS67" s="804"/>
      <c r="AT67" s="804"/>
      <c r="AU67" s="804"/>
      <c r="AX67" s="813" t="s">
        <v>493</v>
      </c>
      <c r="AY67" s="808"/>
      <c r="AZ67" s="808"/>
      <c r="BA67" s="808"/>
      <c r="BB67" s="808"/>
      <c r="BC67" s="808"/>
      <c r="BD67" s="808"/>
      <c r="BE67" s="808"/>
      <c r="BI67" s="811">
        <v>1075543</v>
      </c>
      <c r="BJ67" s="811" t="s">
        <v>179</v>
      </c>
      <c r="BK67" s="164"/>
      <c r="BN67" s="226"/>
      <c r="BO67" s="226"/>
      <c r="BP67" s="226"/>
      <c r="BQ67" s="226"/>
      <c r="BR67" s="226"/>
    </row>
    <row r="68" spans="12:70" ht="18" customHeight="1" x14ac:dyDescent="0.45">
      <c r="M68" s="801"/>
      <c r="N68" s="801"/>
      <c r="O68" s="801"/>
      <c r="P68" s="801"/>
      <c r="Q68" s="801"/>
      <c r="R68" s="801"/>
      <c r="S68" s="801"/>
      <c r="T68" s="801"/>
      <c r="U68" s="801"/>
      <c r="W68" s="802"/>
      <c r="X68" s="803"/>
      <c r="Y68" s="122">
        <f>SUM(Y32:Y67)</f>
        <v>0</v>
      </c>
      <c r="Z68" s="122">
        <f>SUM(Z32:Z67)</f>
        <v>0</v>
      </c>
      <c r="AA68" s="804"/>
      <c r="AB68" s="804"/>
      <c r="AC68" s="804"/>
      <c r="AD68" s="805"/>
      <c r="AE68" s="122"/>
      <c r="AF68" s="122">
        <f>SUM(AF32:AF67)</f>
        <v>0</v>
      </c>
      <c r="AG68" s="122">
        <f>SUM(AG32:AG67)</f>
        <v>0</v>
      </c>
      <c r="AH68" s="804"/>
      <c r="AI68" s="804"/>
      <c r="AJ68" s="804"/>
      <c r="AK68" s="807"/>
      <c r="AN68" s="813" t="s">
        <v>500</v>
      </c>
      <c r="AO68" s="814"/>
      <c r="AP68" s="804">
        <f>+FORMULAS!D238</f>
        <v>0</v>
      </c>
      <c r="AQ68" s="804">
        <f>+FORMULAS!E238</f>
        <v>0</v>
      </c>
      <c r="AR68" s="804">
        <f>+FORMULAS!F238</f>
        <v>0</v>
      </c>
      <c r="AS68" s="804">
        <f>+FORMULAS!G238</f>
        <v>0</v>
      </c>
      <c r="AT68" s="814"/>
      <c r="AU68" s="814"/>
      <c r="AX68" s="813" t="s">
        <v>494</v>
      </c>
      <c r="AY68" s="808"/>
      <c r="AZ68" s="808"/>
      <c r="BA68" s="808"/>
      <c r="BB68" s="808"/>
      <c r="BC68" s="808"/>
      <c r="BD68" s="808"/>
      <c r="BE68" s="808"/>
      <c r="BI68" s="811">
        <v>1075544</v>
      </c>
      <c r="BJ68" s="811" t="s">
        <v>180</v>
      </c>
      <c r="BK68" s="164"/>
      <c r="BN68" s="226"/>
      <c r="BO68" s="226"/>
      <c r="BP68" s="226"/>
      <c r="BQ68" s="226"/>
      <c r="BR68" s="226"/>
    </row>
    <row r="69" spans="12:70" ht="18" customHeight="1" x14ac:dyDescent="0.45">
      <c r="O69" s="119"/>
      <c r="P69" s="119"/>
      <c r="Q69" s="119"/>
      <c r="R69" s="119"/>
      <c r="S69" s="119"/>
      <c r="T69" s="119"/>
      <c r="U69" s="119"/>
      <c r="W69" s="802"/>
      <c r="X69" s="803"/>
      <c r="Y69" s="802"/>
      <c r="Z69" s="802"/>
      <c r="AA69" s="804"/>
      <c r="AB69" s="804"/>
      <c r="AC69" s="804"/>
      <c r="AD69" s="122"/>
      <c r="AE69" s="802"/>
      <c r="AF69" s="802"/>
      <c r="AG69" s="802"/>
      <c r="AH69" s="804"/>
      <c r="AI69" s="804"/>
      <c r="AJ69" s="804"/>
      <c r="AK69" s="807"/>
      <c r="AN69" s="813" t="s">
        <v>503</v>
      </c>
      <c r="AO69" s="814"/>
      <c r="AP69" s="804" t="b">
        <f>+FORMULAS!D239</f>
        <v>0</v>
      </c>
      <c r="AQ69" s="804" t="b">
        <f>+FORMULAS!E239</f>
        <v>0</v>
      </c>
      <c r="AR69" s="804" t="b">
        <f>+FORMULAS!F239</f>
        <v>0</v>
      </c>
      <c r="AS69" s="804" t="b">
        <f>+FORMULAS!G239</f>
        <v>0</v>
      </c>
      <c r="AT69" s="814"/>
      <c r="AU69" s="814"/>
      <c r="AX69" s="813" t="s">
        <v>495</v>
      </c>
      <c r="AY69" s="808"/>
      <c r="AZ69" s="808"/>
      <c r="BA69" s="808"/>
      <c r="BB69" s="808"/>
      <c r="BC69" s="808"/>
      <c r="BD69" s="808"/>
      <c r="BE69" s="808"/>
      <c r="BI69" s="811">
        <v>1075545</v>
      </c>
      <c r="BJ69" s="811" t="s">
        <v>181</v>
      </c>
      <c r="BK69" s="164"/>
      <c r="BN69" s="226"/>
      <c r="BO69" s="226"/>
      <c r="BP69" s="226"/>
      <c r="BQ69" s="226"/>
      <c r="BR69" s="226"/>
    </row>
    <row r="70" spans="12:70" ht="18" customHeight="1" x14ac:dyDescent="0.45">
      <c r="O70" s="119"/>
      <c r="P70" s="119"/>
      <c r="Q70" s="119"/>
      <c r="R70" s="119"/>
      <c r="S70" s="119"/>
      <c r="T70" s="119"/>
      <c r="U70" s="119"/>
      <c r="W70" s="802"/>
      <c r="X70" s="802"/>
      <c r="Y70" s="802"/>
      <c r="Z70" s="802"/>
      <c r="AA70" s="804"/>
      <c r="AB70" s="804"/>
      <c r="AC70" s="804"/>
      <c r="AD70" s="802"/>
      <c r="AE70" s="802"/>
      <c r="AF70" s="802"/>
      <c r="AG70" s="802"/>
      <c r="AH70" s="804"/>
      <c r="AI70" s="804"/>
      <c r="AJ70" s="804"/>
      <c r="AK70" s="807"/>
      <c r="AN70" s="136"/>
      <c r="AO70" s="809"/>
      <c r="AP70" s="384"/>
      <c r="AQ70" s="809"/>
      <c r="AR70" s="809"/>
      <c r="AS70" s="812" t="s">
        <v>504</v>
      </c>
      <c r="AT70" s="812"/>
      <c r="AU70" s="810">
        <f>SUM(AO63:AU65)/2</f>
        <v>0</v>
      </c>
      <c r="AX70" s="813" t="s">
        <v>498</v>
      </c>
      <c r="AY70" s="808"/>
      <c r="AZ70" s="808"/>
      <c r="BA70" s="808"/>
      <c r="BB70" s="808"/>
      <c r="BC70" s="808"/>
      <c r="BD70" s="808"/>
      <c r="BE70" s="808"/>
      <c r="BI70" s="811">
        <v>1075546</v>
      </c>
      <c r="BJ70" s="811" t="s">
        <v>182</v>
      </c>
      <c r="BK70" s="164"/>
      <c r="BN70" s="226"/>
      <c r="BO70" s="226"/>
      <c r="BP70" s="226"/>
      <c r="BQ70" s="226"/>
      <c r="BR70" s="226"/>
    </row>
    <row r="71" spans="12:70" ht="18" customHeight="1" x14ac:dyDescent="0.45">
      <c r="O71" s="119"/>
      <c r="P71" s="119"/>
      <c r="Q71" s="119"/>
      <c r="R71" s="119"/>
      <c r="S71" s="119"/>
      <c r="T71" s="119"/>
      <c r="U71" s="119"/>
      <c r="W71" s="802"/>
      <c r="X71" s="802"/>
      <c r="Y71" s="802"/>
      <c r="Z71" s="802"/>
      <c r="AA71" s="804"/>
      <c r="AB71" s="804"/>
      <c r="AC71" s="804"/>
      <c r="AD71" s="802"/>
      <c r="AE71" s="802"/>
      <c r="AF71" s="802"/>
      <c r="AG71" s="802"/>
      <c r="AH71" s="804"/>
      <c r="AI71" s="804"/>
      <c r="AJ71" s="804"/>
      <c r="AK71" s="807"/>
      <c r="AS71" s="812" t="s">
        <v>507</v>
      </c>
      <c r="AT71" s="812"/>
      <c r="AU71" s="810">
        <f>SUM(AO66:AU67)/2</f>
        <v>0</v>
      </c>
      <c r="AX71" s="813" t="s">
        <v>499</v>
      </c>
      <c r="AY71" s="808"/>
      <c r="AZ71" s="808"/>
      <c r="BA71" s="808"/>
      <c r="BB71" s="808"/>
      <c r="BC71" s="808"/>
      <c r="BD71" s="808"/>
      <c r="BE71" s="808"/>
      <c r="BI71" s="811">
        <v>1075547</v>
      </c>
      <c r="BJ71" s="811" t="s">
        <v>183</v>
      </c>
      <c r="BK71" s="164"/>
      <c r="BN71" s="226"/>
      <c r="BO71" s="226"/>
      <c r="BP71" s="226"/>
      <c r="BQ71" s="226"/>
      <c r="BR71" s="226"/>
    </row>
    <row r="72" spans="12:70" ht="18" customHeight="1" x14ac:dyDescent="0.45"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W72" s="802"/>
      <c r="X72" s="802"/>
      <c r="Y72" s="802"/>
      <c r="Z72" s="802"/>
      <c r="AA72" s="122">
        <f>SUM(AA32:AA71)</f>
        <v>0</v>
      </c>
      <c r="AB72" s="122">
        <f>SUM(AB32:AB71)</f>
        <v>0</v>
      </c>
      <c r="AC72" s="122">
        <f>SUM(AC32:AC71)</f>
        <v>0</v>
      </c>
      <c r="AD72" s="802"/>
      <c r="AE72" s="802"/>
      <c r="AF72" s="802"/>
      <c r="AG72" s="802"/>
      <c r="AH72" s="122">
        <f>SUM(AH32:AH71)</f>
        <v>0</v>
      </c>
      <c r="AI72" s="122">
        <f>SUM(AI32:AI71)</f>
        <v>0</v>
      </c>
      <c r="AJ72" s="122">
        <f>SUM(AJ32:AJ71)</f>
        <v>0</v>
      </c>
      <c r="AK72" s="807"/>
      <c r="AS72" s="812" t="s">
        <v>509</v>
      </c>
      <c r="AT72" s="812"/>
      <c r="AU72" s="810">
        <f>SUM(AP68:AS69)</f>
        <v>0</v>
      </c>
      <c r="AX72" s="813" t="s">
        <v>500</v>
      </c>
      <c r="AY72" s="814"/>
      <c r="AZ72" s="808"/>
      <c r="BA72" s="808"/>
      <c r="BB72" s="808"/>
      <c r="BC72" s="808"/>
      <c r="BD72" s="815"/>
      <c r="BE72" s="814"/>
      <c r="BI72" s="811">
        <v>1075548</v>
      </c>
      <c r="BJ72" s="811" t="s">
        <v>184</v>
      </c>
      <c r="BK72" s="164"/>
      <c r="BN72" s="226"/>
      <c r="BO72" s="226"/>
      <c r="BP72" s="226"/>
      <c r="BQ72" s="226"/>
      <c r="BR72" s="226"/>
    </row>
    <row r="73" spans="12:70" ht="18" customHeight="1" x14ac:dyDescent="0.45"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W73" s="802"/>
      <c r="X73" s="802"/>
      <c r="Y73" s="802"/>
      <c r="Z73" s="802"/>
      <c r="AA73" s="802"/>
      <c r="AB73" s="802"/>
      <c r="AC73" s="802"/>
      <c r="AD73" s="802"/>
      <c r="AE73" s="802"/>
      <c r="AF73" s="802"/>
      <c r="AG73" s="802"/>
      <c r="AH73" s="802"/>
      <c r="AI73" s="802"/>
      <c r="AJ73" s="802"/>
      <c r="AK73" s="807"/>
      <c r="AN73" s="816" t="s">
        <v>471</v>
      </c>
      <c r="AO73" s="1460" t="s">
        <v>1</v>
      </c>
      <c r="AP73" s="1460"/>
      <c r="AQ73" s="1460"/>
      <c r="AR73" s="1460"/>
      <c r="AS73" s="1460" t="s">
        <v>472</v>
      </c>
      <c r="AT73" s="1460"/>
      <c r="AU73" s="1460"/>
      <c r="AX73" s="813" t="s">
        <v>503</v>
      </c>
      <c r="AY73" s="814"/>
      <c r="AZ73" s="808"/>
      <c r="BA73" s="808"/>
      <c r="BB73" s="808"/>
      <c r="BC73" s="808"/>
      <c r="BD73" s="815"/>
      <c r="BE73" s="814"/>
      <c r="BI73" s="811">
        <v>1075549</v>
      </c>
      <c r="BJ73" s="811" t="s">
        <v>185</v>
      </c>
      <c r="BK73" s="164"/>
      <c r="BN73" s="226"/>
      <c r="BO73" s="226"/>
      <c r="BP73" s="226"/>
      <c r="BQ73" s="226"/>
      <c r="BR73" s="226"/>
    </row>
    <row r="74" spans="12:70" ht="18" customHeight="1" x14ac:dyDescent="0.3"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W74" s="802"/>
      <c r="X74" s="802"/>
      <c r="Y74" s="802"/>
      <c r="Z74" s="802"/>
      <c r="AA74" s="802"/>
      <c r="AB74" s="802"/>
      <c r="AC74" s="802"/>
      <c r="AD74" s="802"/>
      <c r="AE74" s="802"/>
      <c r="AF74" s="802"/>
      <c r="AG74" s="802"/>
      <c r="AH74" s="802"/>
      <c r="AI74" s="802"/>
      <c r="AJ74" s="802"/>
      <c r="AK74" s="802"/>
      <c r="AN74" s="816" t="s">
        <v>560</v>
      </c>
      <c r="AO74" s="1461">
        <f>+'2 M-A +'!C41</f>
        <v>0</v>
      </c>
      <c r="AP74" s="1462"/>
      <c r="AQ74" s="1462"/>
      <c r="AR74" s="1463"/>
      <c r="AS74" s="1464"/>
      <c r="AT74" s="1465"/>
      <c r="AU74" s="1466"/>
      <c r="AX74" s="136"/>
      <c r="AY74" s="809"/>
      <c r="AZ74" s="384"/>
      <c r="BA74" s="809"/>
      <c r="BB74" s="809"/>
      <c r="BC74" s="812" t="s">
        <v>504</v>
      </c>
      <c r="BD74" s="812"/>
      <c r="BE74" s="810">
        <f>SUM(AY66:BE69)/2</f>
        <v>0</v>
      </c>
      <c r="BI74" s="811">
        <v>1075550</v>
      </c>
      <c r="BJ74" s="811" t="s">
        <v>186</v>
      </c>
      <c r="BK74" s="164"/>
      <c r="BN74" s="226"/>
      <c r="BO74" s="226"/>
      <c r="BP74" s="226"/>
      <c r="BQ74" s="226"/>
      <c r="BR74" s="226"/>
    </row>
    <row r="75" spans="12:70" ht="18" customHeight="1" x14ac:dyDescent="0.25">
      <c r="L75" s="119"/>
      <c r="M75" s="119"/>
      <c r="N75" s="119"/>
      <c r="O75" s="119"/>
      <c r="P75" s="119"/>
      <c r="Q75" s="119"/>
      <c r="R75" s="119"/>
      <c r="S75" s="119"/>
      <c r="T75" s="119"/>
      <c r="U75" s="119"/>
      <c r="W75" s="802"/>
      <c r="X75" s="802"/>
      <c r="Y75" s="802"/>
      <c r="Z75" s="802"/>
      <c r="AA75" s="802"/>
      <c r="AB75" s="802"/>
      <c r="AC75" s="802"/>
      <c r="AD75" s="802"/>
      <c r="AE75" s="802"/>
      <c r="AF75" s="802"/>
      <c r="AG75" s="802"/>
      <c r="AH75" s="802"/>
      <c r="AI75" s="802"/>
      <c r="AJ75" s="802"/>
      <c r="AK75" s="802"/>
      <c r="AN75" s="1456" t="s">
        <v>479</v>
      </c>
      <c r="AO75" s="1456"/>
      <c r="AP75" s="1456"/>
      <c r="AQ75" s="1456"/>
      <c r="AR75" s="1456"/>
      <c r="AS75" s="1456"/>
      <c r="AT75" s="1456"/>
      <c r="AU75" s="1456"/>
      <c r="BC75" s="812" t="s">
        <v>507</v>
      </c>
      <c r="BD75" s="812"/>
      <c r="BE75" s="810">
        <f>SUM(AY70:BE71)/2</f>
        <v>0</v>
      </c>
      <c r="BI75" s="811">
        <v>1075551</v>
      </c>
      <c r="BJ75" s="811" t="s">
        <v>187</v>
      </c>
      <c r="BK75" s="164"/>
      <c r="BN75" s="226"/>
      <c r="BO75" s="226"/>
      <c r="BP75" s="226"/>
      <c r="BQ75" s="226"/>
      <c r="BR75" s="226"/>
    </row>
    <row r="76" spans="12:70" ht="18" customHeight="1" x14ac:dyDescent="0.25">
      <c r="L76" s="119"/>
      <c r="M76" s="119"/>
      <c r="N76" s="119"/>
      <c r="O76" s="119"/>
      <c r="P76" s="119"/>
      <c r="Q76" s="119"/>
      <c r="R76" s="119"/>
      <c r="S76" s="119"/>
      <c r="T76" s="119"/>
      <c r="U76" s="119"/>
      <c r="W76" s="802"/>
      <c r="X76" s="802"/>
      <c r="Y76" s="802"/>
      <c r="Z76" s="802"/>
      <c r="AA76" s="802"/>
      <c r="AB76" s="802"/>
      <c r="AC76" s="802"/>
      <c r="AD76" s="802"/>
      <c r="AE76" s="802"/>
      <c r="AF76" s="802"/>
      <c r="AG76" s="802"/>
      <c r="AH76" s="802"/>
      <c r="AI76" s="802"/>
      <c r="AJ76" s="802"/>
      <c r="AK76" s="802"/>
      <c r="AN76" s="809"/>
      <c r="AO76" s="169">
        <v>28</v>
      </c>
      <c r="AP76" s="169">
        <v>56</v>
      </c>
      <c r="AQ76" s="169">
        <v>70</v>
      </c>
      <c r="AR76" s="169">
        <v>84</v>
      </c>
      <c r="AS76" s="169">
        <v>112</v>
      </c>
      <c r="AT76" s="169">
        <v>140</v>
      </c>
      <c r="AU76" s="169" t="s">
        <v>420</v>
      </c>
      <c r="AV76" s="817"/>
      <c r="BC76" s="812" t="s">
        <v>509</v>
      </c>
      <c r="BD76" s="812"/>
      <c r="BE76" s="810">
        <f>SUM(AZ72:BC73)</f>
        <v>0</v>
      </c>
      <c r="BI76" s="811">
        <v>1075552</v>
      </c>
      <c r="BJ76" s="811" t="s">
        <v>188</v>
      </c>
      <c r="BK76" s="164"/>
      <c r="BN76" s="226"/>
      <c r="BO76" s="226"/>
      <c r="BP76" s="226"/>
      <c r="BQ76" s="226"/>
      <c r="BR76" s="226"/>
    </row>
    <row r="77" spans="12:70" ht="18" customHeight="1" x14ac:dyDescent="0.25">
      <c r="L77" s="119"/>
      <c r="M77" s="119"/>
      <c r="N77" s="119"/>
      <c r="O77" s="119"/>
      <c r="P77" s="119"/>
      <c r="Q77" s="119"/>
      <c r="R77" s="119"/>
      <c r="S77" s="119"/>
      <c r="T77" s="119"/>
      <c r="U77" s="119"/>
      <c r="W77" s="802"/>
      <c r="X77" s="802"/>
      <c r="Y77" s="802"/>
      <c r="Z77" s="802"/>
      <c r="AA77" s="802"/>
      <c r="AB77" s="802"/>
      <c r="AC77" s="802"/>
      <c r="AD77" s="802"/>
      <c r="AE77" s="802"/>
      <c r="AF77" s="802"/>
      <c r="AG77" s="802"/>
      <c r="AH77" s="802"/>
      <c r="AI77" s="802"/>
      <c r="AJ77" s="802"/>
      <c r="AK77" s="802"/>
      <c r="AN77" s="122" t="s">
        <v>483</v>
      </c>
      <c r="AO77" s="1127">
        <f>(SUMIF(FORMULAS!$CE$68:$CP$68,Cant.!AO76,FORMULAS!$CP$89:$DA$89)+SUMIF(FORMULAS!$CQ$68:$DB$68,Cant.!AO76,FORMULAS!$CP$143:$DA$143))*2</f>
        <v>0</v>
      </c>
      <c r="AP77" s="1127">
        <f>(SUMIF(FORMULAS!$CE$68:$CP$68,Cant.!AP76,FORMULAS!$CP$89:$DA$89)+SUMIF(FORMULAS!$CQ$68:$DB$68,Cant.!AP76,FORMULAS!$CP$143:$DA$143))*2</f>
        <v>0</v>
      </c>
      <c r="AQ77" s="1127">
        <f>(SUMIF(FORMULAS!$CE$68:$CP$68,Cant.!AQ76,FORMULAS!$CP$89:$DA$89)+SUMIF(FORMULAS!$CQ$68:$DB$68,Cant.!AQ76,FORMULAS!$CP$143:$DA$143))*2</f>
        <v>0</v>
      </c>
      <c r="AR77" s="1127">
        <f>(SUMIF(FORMULAS!$CE$68:$CP$68,Cant.!AR76,FORMULAS!$CP$89:$DA$89)+SUMIF(FORMULAS!$CQ$68:$DB$68,Cant.!AR76,FORMULAS!$CP$143:$DA$143))*2</f>
        <v>0</v>
      </c>
      <c r="AS77" s="1127">
        <f>(SUMIF(FORMULAS!$CE$68:$CP$68,Cant.!AS76,FORMULAS!$CP$89:$DA$89)+SUMIF(FORMULAS!$CQ$68:$DB$68,Cant.!AS76,FORMULAS!$CP$143:$DA$143))*2</f>
        <v>0</v>
      </c>
      <c r="AT77" s="1127">
        <f>(SUMIF(FORMULAS!$CE$68:$CP$68,Cant.!AT76,FORMULAS!$CP$89:$DA$89)+SUMIF(FORMULAS!$CQ$68:$DB$68,Cant.!AT76,FORMULAS!$CP$143:$DA$143))*2</f>
        <v>0</v>
      </c>
      <c r="AU77" s="1127"/>
      <c r="BI77" s="811">
        <v>1075553</v>
      </c>
      <c r="BJ77" s="811" t="s">
        <v>189</v>
      </c>
      <c r="BK77" s="164"/>
      <c r="BN77" s="226"/>
      <c r="BO77" s="226"/>
      <c r="BP77" s="226"/>
      <c r="BQ77" s="226"/>
      <c r="BR77" s="226"/>
    </row>
    <row r="78" spans="12:70" ht="18" customHeight="1" x14ac:dyDescent="0.25">
      <c r="L78" s="119"/>
      <c r="M78" s="119"/>
      <c r="N78" s="119"/>
      <c r="O78" s="119"/>
      <c r="P78" s="119"/>
      <c r="Q78" s="119"/>
      <c r="R78" s="119"/>
      <c r="S78" s="119"/>
      <c r="T78" s="119"/>
      <c r="U78" s="119"/>
      <c r="W78" s="802"/>
      <c r="X78" s="802"/>
      <c r="Y78" s="802"/>
      <c r="Z78" s="802"/>
      <c r="AA78" s="802"/>
      <c r="AB78" s="802"/>
      <c r="AC78" s="802"/>
      <c r="AD78" s="802"/>
      <c r="AE78" s="802"/>
      <c r="AF78" s="802"/>
      <c r="AG78" s="802"/>
      <c r="AH78" s="802"/>
      <c r="AI78" s="802"/>
      <c r="AJ78" s="802"/>
      <c r="AK78" s="802"/>
      <c r="AN78" s="1128"/>
      <c r="AO78" s="815"/>
      <c r="AP78" s="815"/>
      <c r="AQ78" s="815"/>
      <c r="AR78" s="815"/>
      <c r="AS78" s="815"/>
      <c r="AT78" s="815"/>
      <c r="AU78" s="815"/>
      <c r="BI78" s="811">
        <v>1075554</v>
      </c>
      <c r="BJ78" s="811" t="s">
        <v>190</v>
      </c>
      <c r="BK78" s="164"/>
      <c r="BN78" s="226"/>
      <c r="BO78" s="226"/>
      <c r="BP78" s="226"/>
      <c r="BQ78" s="226"/>
      <c r="BR78" s="226"/>
    </row>
    <row r="79" spans="12:70" ht="18" customHeight="1" x14ac:dyDescent="0.25">
      <c r="L79" s="119"/>
      <c r="M79" s="119"/>
      <c r="N79" s="119"/>
      <c r="O79" s="119"/>
      <c r="P79" s="119"/>
      <c r="Q79" s="119"/>
      <c r="R79" s="119"/>
      <c r="S79" s="119"/>
      <c r="T79" s="119"/>
      <c r="U79" s="119"/>
      <c r="W79" s="802"/>
      <c r="X79" s="802"/>
      <c r="Y79" s="802"/>
      <c r="Z79" s="802"/>
      <c r="AA79" s="802"/>
      <c r="AB79" s="802"/>
      <c r="AC79" s="802"/>
      <c r="AD79" s="802"/>
      <c r="AE79" s="802"/>
      <c r="AF79" s="802"/>
      <c r="AG79" s="802"/>
      <c r="AH79" s="802"/>
      <c r="AI79" s="802"/>
      <c r="AJ79" s="802"/>
      <c r="AK79" s="802"/>
      <c r="AN79" s="1128"/>
      <c r="AO79" s="815"/>
      <c r="AP79" s="815"/>
      <c r="AQ79" s="815"/>
      <c r="AR79" s="815"/>
      <c r="AS79" s="815"/>
      <c r="AT79" s="815"/>
      <c r="AU79" s="815"/>
      <c r="BI79" s="811">
        <v>1075555</v>
      </c>
      <c r="BJ79" s="811" t="s">
        <v>191</v>
      </c>
      <c r="BK79" s="164"/>
      <c r="BN79" s="226"/>
      <c r="BO79" s="226"/>
      <c r="BP79" s="226"/>
      <c r="BQ79" s="226"/>
      <c r="BR79" s="226"/>
    </row>
    <row r="80" spans="12:70" ht="18" customHeight="1" x14ac:dyDescent="0.25">
      <c r="L80" s="119"/>
      <c r="M80" s="119"/>
      <c r="N80" s="119"/>
      <c r="O80" s="119"/>
      <c r="P80" s="119"/>
      <c r="Q80" s="119"/>
      <c r="R80" s="119"/>
      <c r="S80" s="119"/>
      <c r="T80" s="119"/>
      <c r="U80" s="119"/>
      <c r="W80" s="802"/>
      <c r="X80" s="802"/>
      <c r="Y80" s="802"/>
      <c r="Z80" s="802"/>
      <c r="AA80" s="802"/>
      <c r="AB80" s="802"/>
      <c r="AC80" s="802"/>
      <c r="AD80" s="802"/>
      <c r="AE80" s="802"/>
      <c r="AF80" s="802"/>
      <c r="AG80" s="802"/>
      <c r="AH80" s="802"/>
      <c r="AI80" s="802"/>
      <c r="AJ80" s="802"/>
      <c r="AK80" s="802"/>
      <c r="AN80" s="122"/>
      <c r="AO80" s="122"/>
      <c r="AP80" s="122"/>
      <c r="AQ80" s="122"/>
      <c r="AS80" s="812" t="s">
        <v>489</v>
      </c>
      <c r="AT80" s="812"/>
      <c r="AU80" s="810">
        <f>SUM(AO77:AU79)/2</f>
        <v>0</v>
      </c>
      <c r="BI80" s="811">
        <v>1075556</v>
      </c>
      <c r="BJ80" s="811" t="s">
        <v>192</v>
      </c>
      <c r="BK80" s="164"/>
      <c r="BN80" s="226"/>
      <c r="BO80" s="226"/>
      <c r="BP80" s="226"/>
      <c r="BQ80" s="226"/>
      <c r="BR80" s="226"/>
    </row>
    <row r="81" spans="2:70" ht="18" customHeight="1" x14ac:dyDescent="0.25">
      <c r="L81" s="119"/>
      <c r="M81" s="119"/>
      <c r="N81" s="119"/>
      <c r="O81" s="119"/>
      <c r="P81" s="119"/>
      <c r="Q81" s="119"/>
      <c r="R81" s="119"/>
      <c r="S81" s="119"/>
      <c r="T81" s="119"/>
      <c r="U81" s="119"/>
      <c r="W81" s="802"/>
      <c r="X81" s="802"/>
      <c r="Y81" s="802"/>
      <c r="Z81" s="802"/>
      <c r="AA81" s="802"/>
      <c r="AB81" s="802"/>
      <c r="AC81" s="802"/>
      <c r="AD81" s="802"/>
      <c r="AE81" s="802"/>
      <c r="AF81" s="802"/>
      <c r="AG81" s="802"/>
      <c r="AH81" s="802"/>
      <c r="AI81" s="802"/>
      <c r="AJ81" s="802"/>
      <c r="AK81" s="802"/>
      <c r="AN81" s="1456" t="s">
        <v>404</v>
      </c>
      <c r="AO81" s="1456"/>
      <c r="AP81" s="1456"/>
      <c r="AQ81" s="1456"/>
      <c r="AR81" s="1456"/>
      <c r="AS81" s="1456"/>
      <c r="AT81" s="1456"/>
      <c r="AU81" s="1456"/>
      <c r="BI81" s="811">
        <v>1075557</v>
      </c>
      <c r="BJ81" s="811" t="s">
        <v>193</v>
      </c>
      <c r="BK81" s="164"/>
      <c r="BN81" s="226"/>
      <c r="BO81" s="226"/>
      <c r="BP81" s="226"/>
      <c r="BQ81" s="226"/>
      <c r="BR81" s="226"/>
    </row>
    <row r="82" spans="2:70" ht="18" customHeight="1" x14ac:dyDescent="0.25"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W82" s="802"/>
      <c r="X82" s="802"/>
      <c r="Y82" s="802"/>
      <c r="Z82" s="802"/>
      <c r="AA82" s="802"/>
      <c r="AB82" s="802"/>
      <c r="AC82" s="802"/>
      <c r="AD82" s="802"/>
      <c r="AE82" s="802"/>
      <c r="AF82" s="802"/>
      <c r="AG82" s="802"/>
      <c r="AH82" s="802"/>
      <c r="AI82" s="802"/>
      <c r="AJ82" s="802"/>
      <c r="AK82" s="802"/>
      <c r="AN82" s="122"/>
      <c r="AO82" s="169">
        <v>28</v>
      </c>
      <c r="AP82" s="169">
        <v>56</v>
      </c>
      <c r="AQ82" s="169">
        <v>70</v>
      </c>
      <c r="AR82" s="169">
        <v>84</v>
      </c>
      <c r="AS82" s="169">
        <v>112</v>
      </c>
      <c r="AT82" s="169">
        <v>140</v>
      </c>
      <c r="AU82" s="169" t="s">
        <v>420</v>
      </c>
      <c r="BI82" s="811">
        <v>1075559</v>
      </c>
      <c r="BJ82" s="811" t="s">
        <v>194</v>
      </c>
      <c r="BK82" s="164"/>
      <c r="BN82" s="226"/>
      <c r="BO82" s="226"/>
      <c r="BP82" s="226"/>
      <c r="BQ82" s="226"/>
      <c r="BR82" s="226"/>
    </row>
    <row r="83" spans="2:70" ht="18" customHeight="1" x14ac:dyDescent="0.25"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W83" s="802"/>
      <c r="X83" s="802"/>
      <c r="Y83" s="802"/>
      <c r="Z83" s="802"/>
      <c r="AA83" s="802"/>
      <c r="AB83" s="802"/>
      <c r="AC83" s="802"/>
      <c r="AD83" s="802"/>
      <c r="AE83" s="802"/>
      <c r="AF83" s="802"/>
      <c r="AG83" s="802"/>
      <c r="AH83" s="802"/>
      <c r="AI83" s="802"/>
      <c r="AJ83" s="802"/>
      <c r="AK83" s="802"/>
      <c r="AN83" s="813" t="s">
        <v>492</v>
      </c>
      <c r="AO83" s="804">
        <f>(SUMIF(FORMULAS!$BG$68:$BR$68,Cant.!AO$82,FORMULAS!$CP7:$DA7)+SUMIF(FORMULAS!$BS$68:$CD$68,Cant.!AO$82,FORMULAS!$CP40:$DA40))*2</f>
        <v>0</v>
      </c>
      <c r="AP83" s="804">
        <f>(SUMIF(FORMULAS!$BG$68:$BR$68,Cant.!AP$82,FORMULAS!$CP7:$DA7)+SUMIF(FORMULAS!$BS$68:$CD$68,Cant.!AP$82,FORMULAS!$CP40:$DA40))*2</f>
        <v>0</v>
      </c>
      <c r="AQ83" s="804">
        <f>(SUMIF(FORMULAS!$BG$68:$BR$68,Cant.!AQ$82,FORMULAS!$CP7:$DA7)+SUMIF(FORMULAS!$BS$68:$CD$68,Cant.!AQ$82,FORMULAS!$CP40:$DA40))*2</f>
        <v>0</v>
      </c>
      <c r="AR83" s="804">
        <f>(SUMIF(FORMULAS!$BG$68:$BR$68,Cant.!AR$82,FORMULAS!$CP7:$DA7)+SUMIF(FORMULAS!$BS$68:$CD$68,Cant.!AR$82,FORMULAS!$CP40:$DA40))*2</f>
        <v>0</v>
      </c>
      <c r="AS83" s="804">
        <f>(SUMIF(FORMULAS!$BG$68:$BR$68,Cant.!AS$82,FORMULAS!$CP7:$DA7)+SUMIF(FORMULAS!$BS$68:$CD$68,Cant.!AS$82,FORMULAS!$CP40:$DA40))*2</f>
        <v>0</v>
      </c>
      <c r="AT83" s="804">
        <f>(SUMIF(FORMULAS!$BG$68:$BR$68,Cant.!AT$82,FORMULAS!$CP7:$DA7)+SUMIF(FORMULAS!$BS$68:$CD$68,Cant.!AT$82,FORMULAS!$CP40:$DA40))*2</f>
        <v>0</v>
      </c>
      <c r="AU83" s="804"/>
      <c r="BI83" s="811">
        <v>1075560</v>
      </c>
      <c r="BJ83" s="811" t="s">
        <v>195</v>
      </c>
      <c r="BK83" s="164"/>
      <c r="BN83" s="226"/>
      <c r="BO83" s="226"/>
      <c r="BP83" s="226"/>
      <c r="BQ83" s="226"/>
      <c r="BR83" s="226"/>
    </row>
    <row r="84" spans="2:70" ht="18" customHeight="1" x14ac:dyDescent="0.25"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W84" s="802"/>
      <c r="X84" s="802"/>
      <c r="Y84" s="802"/>
      <c r="Z84" s="802"/>
      <c r="AA84" s="802"/>
      <c r="AB84" s="802"/>
      <c r="AC84" s="802"/>
      <c r="AD84" s="802"/>
      <c r="AE84" s="802"/>
      <c r="AF84" s="802"/>
      <c r="AG84" s="802"/>
      <c r="AH84" s="802"/>
      <c r="AI84" s="802"/>
      <c r="AJ84" s="802"/>
      <c r="AK84" s="802"/>
      <c r="AN84" s="813" t="s">
        <v>494</v>
      </c>
      <c r="AO84" s="804">
        <f>(SUMIF(FORMULAS!$BG$68:$BR$68,Cant.!AO$82,FORMULAS!$CP8:$DA8)+SUMIF(FORMULAS!$BS$68:$CD$68,Cant.!AO$82,FORMULAS!$CP41:$DA41))*2</f>
        <v>0</v>
      </c>
      <c r="AP84" s="804">
        <f>(SUMIF(FORMULAS!$BG$68:$BR$68,Cant.!AP$82,FORMULAS!$CP8:$DA8)+SUMIF(FORMULAS!$BS$68:$CD$68,Cant.!AP$82,FORMULAS!$CP41:$DA41))*2</f>
        <v>0</v>
      </c>
      <c r="AQ84" s="804">
        <f>(SUMIF(FORMULAS!$BG$68:$BR$68,Cant.!AQ$82,FORMULAS!$CP8:$DA8)+SUMIF(FORMULAS!$BS$68:$CD$68,Cant.!AQ$82,FORMULAS!$CP41:$DA41))*2</f>
        <v>0</v>
      </c>
      <c r="AR84" s="804">
        <f>(SUMIF(FORMULAS!$BG$68:$BR$68,Cant.!AR$82,FORMULAS!$CP8:$DA8)+SUMIF(FORMULAS!$BS$68:$CD$68,Cant.!AR$82,FORMULAS!$CP41:$DA41))*2</f>
        <v>0</v>
      </c>
      <c r="AS84" s="804">
        <f>(SUMIF(FORMULAS!$BG$68:$BR$68,Cant.!AS$82,FORMULAS!$CP8:$DA8)+SUMIF(FORMULAS!$BS$68:$CD$68,Cant.!AS$82,FORMULAS!$CP41:$DA41))*2</f>
        <v>0</v>
      </c>
      <c r="AT84" s="804">
        <f>(SUMIF(FORMULAS!$BG$68:$BR$68,Cant.!AT$82,FORMULAS!$CP8:$DA8)+SUMIF(FORMULAS!$BS$68:$CD$68,Cant.!AT$82,FORMULAS!$CP41:$DA41))*2</f>
        <v>0</v>
      </c>
      <c r="AU84" s="804"/>
      <c r="BI84" s="811">
        <v>1075561</v>
      </c>
      <c r="BJ84" s="811" t="s">
        <v>196</v>
      </c>
      <c r="BK84" s="164"/>
      <c r="BN84" s="226"/>
      <c r="BO84" s="226"/>
      <c r="BP84" s="226"/>
      <c r="BQ84" s="226"/>
      <c r="BR84" s="226"/>
    </row>
    <row r="85" spans="2:70" ht="18" customHeight="1" x14ac:dyDescent="0.25">
      <c r="L85" s="119"/>
      <c r="M85" s="119"/>
      <c r="N85" s="119"/>
      <c r="O85" s="119"/>
      <c r="P85" s="119"/>
      <c r="Q85" s="119"/>
      <c r="R85" s="119"/>
      <c r="S85" s="119"/>
      <c r="T85" s="119"/>
      <c r="U85" s="119"/>
      <c r="W85" s="802"/>
      <c r="X85" s="802"/>
      <c r="Y85" s="802"/>
      <c r="Z85" s="802"/>
      <c r="AA85" s="802"/>
      <c r="AB85" s="802"/>
      <c r="AC85" s="802"/>
      <c r="AD85" s="802"/>
      <c r="AE85" s="802"/>
      <c r="AF85" s="802"/>
      <c r="AG85" s="802"/>
      <c r="AH85" s="802"/>
      <c r="AI85" s="802"/>
      <c r="AJ85" s="802"/>
      <c r="AK85" s="802"/>
      <c r="AN85" s="813" t="s">
        <v>495</v>
      </c>
      <c r="AO85" s="804">
        <f>(SUMIF(FORMULAS!$BG$68:$BR$68,Cant.!AO$82,FORMULAS!$CP9:$DA9)+SUMIF(FORMULAS!$BS$68:$CD$68,Cant.!AO$82,FORMULAS!$CP42:$DA42))*2</f>
        <v>0</v>
      </c>
      <c r="AP85" s="804">
        <f>(SUMIF(FORMULAS!$BG$68:$BR$68,Cant.!AP$82,FORMULAS!$CP9:$DA9)+SUMIF(FORMULAS!$BS$68:$CD$68,Cant.!AP$82,FORMULAS!$CP42:$DA42))*2</f>
        <v>0</v>
      </c>
      <c r="AQ85" s="804">
        <f>(SUMIF(FORMULAS!$BG$68:$BR$68,Cant.!AQ$82,FORMULAS!$CP9:$DA9)+SUMIF(FORMULAS!$BS$68:$CD$68,Cant.!AQ$82,FORMULAS!$CP42:$DA42))*2</f>
        <v>0</v>
      </c>
      <c r="AR85" s="804">
        <f>(SUMIF(FORMULAS!$BG$68:$BR$68,Cant.!AR$82,FORMULAS!$CP9:$DA9)+SUMIF(FORMULAS!$BS$68:$CD$68,Cant.!AR$82,FORMULAS!$CP42:$DA42))*2</f>
        <v>0</v>
      </c>
      <c r="AS85" s="804">
        <f>(SUMIF(FORMULAS!$BG$68:$BR$68,Cant.!AS$82,FORMULAS!$CP9:$DA9)+SUMIF(FORMULAS!$BS$68:$CD$68,Cant.!AS$82,FORMULAS!$CP42:$DA42))*2</f>
        <v>0</v>
      </c>
      <c r="AT85" s="804">
        <f>(SUMIF(FORMULAS!$BG$68:$BR$68,Cant.!AT$82,FORMULAS!$CP9:$DA9)+SUMIF(FORMULAS!$BS$68:$CD$68,Cant.!AT$82,FORMULAS!$CP42:$DA42))*2</f>
        <v>0</v>
      </c>
      <c r="AU85" s="804"/>
      <c r="BI85" s="811">
        <v>1075562</v>
      </c>
      <c r="BJ85" s="811" t="s">
        <v>197</v>
      </c>
      <c r="BK85" s="164"/>
      <c r="BN85" s="226"/>
      <c r="BO85" s="226"/>
      <c r="BP85" s="226"/>
      <c r="BQ85" s="226"/>
      <c r="BR85" s="226"/>
    </row>
    <row r="86" spans="2:70" ht="18" customHeight="1" x14ac:dyDescent="0.25"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W86" s="802"/>
      <c r="X86" s="802"/>
      <c r="Y86" s="802"/>
      <c r="Z86" s="802"/>
      <c r="AA86" s="802"/>
      <c r="AB86" s="802"/>
      <c r="AC86" s="802"/>
      <c r="AD86" s="802"/>
      <c r="AE86" s="802"/>
      <c r="AF86" s="802"/>
      <c r="AG86" s="802"/>
      <c r="AH86" s="802"/>
      <c r="AI86" s="802"/>
      <c r="AJ86" s="802"/>
      <c r="AK86" s="802"/>
      <c r="AN86" s="813" t="s">
        <v>498</v>
      </c>
      <c r="AO86" s="804">
        <f>+FORMULAS!DB14+FORMULAS!DB47</f>
        <v>0</v>
      </c>
      <c r="AP86" s="804">
        <f>+FORMULAS!DB15+FORMULAS!DB48</f>
        <v>0</v>
      </c>
      <c r="AQ86" s="804">
        <f>+FORMULAS!DB16+FORMULAS!DB49</f>
        <v>0</v>
      </c>
      <c r="AR86" s="804">
        <f>+FORMULAS!DB17+FORMULAS!DB50</f>
        <v>0</v>
      </c>
      <c r="AS86" s="804">
        <f>+FORMULAS!DB18+FORMULAS!DB51</f>
        <v>0</v>
      </c>
      <c r="AT86" s="804">
        <f>+FORMULAS!DB19+FORMULAS!DB52</f>
        <v>0</v>
      </c>
      <c r="AU86" s="804"/>
      <c r="BI86" s="811">
        <v>1075578</v>
      </c>
      <c r="BJ86" s="811" t="s">
        <v>198</v>
      </c>
      <c r="BK86" s="164"/>
      <c r="BN86" s="226"/>
      <c r="BO86" s="226"/>
      <c r="BP86" s="226"/>
      <c r="BQ86" s="226"/>
      <c r="BR86" s="226"/>
    </row>
    <row r="87" spans="2:70" ht="18" customHeight="1" x14ac:dyDescent="0.25"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W87" s="802"/>
      <c r="X87" s="802"/>
      <c r="Y87" s="802"/>
      <c r="Z87" s="802"/>
      <c r="AA87" s="802"/>
      <c r="AB87" s="802"/>
      <c r="AC87" s="802"/>
      <c r="AD87" s="802"/>
      <c r="AE87" s="802"/>
      <c r="AF87" s="802"/>
      <c r="AG87" s="802"/>
      <c r="AH87" s="802"/>
      <c r="AI87" s="802"/>
      <c r="AJ87" s="802"/>
      <c r="AK87" s="802"/>
      <c r="AN87" s="813" t="s">
        <v>499</v>
      </c>
      <c r="AO87" s="804"/>
      <c r="AP87" s="804"/>
      <c r="AQ87" s="804"/>
      <c r="AR87" s="804"/>
      <c r="AS87" s="804"/>
      <c r="AT87" s="804"/>
      <c r="AU87" s="804"/>
      <c r="BI87" s="811">
        <v>1075579</v>
      </c>
      <c r="BJ87" s="811" t="s">
        <v>199</v>
      </c>
      <c r="BK87" s="164"/>
      <c r="BN87" s="226"/>
      <c r="BO87" s="226"/>
      <c r="BP87" s="226"/>
      <c r="BQ87" s="226"/>
      <c r="BR87" s="226"/>
    </row>
    <row r="88" spans="2:70" ht="18" customHeight="1" x14ac:dyDescent="0.25"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W88" s="802"/>
      <c r="X88" s="802"/>
      <c r="Y88" s="802"/>
      <c r="Z88" s="802"/>
      <c r="AA88" s="802"/>
      <c r="AB88" s="802"/>
      <c r="AC88" s="802"/>
      <c r="AD88" s="802"/>
      <c r="AE88" s="802"/>
      <c r="AF88" s="802"/>
      <c r="AG88" s="802"/>
      <c r="AH88" s="802"/>
      <c r="AI88" s="802"/>
      <c r="AJ88" s="802"/>
      <c r="AK88" s="802"/>
      <c r="AN88" s="813" t="s">
        <v>500</v>
      </c>
      <c r="AO88" s="814"/>
      <c r="AP88" s="804">
        <f>+FORMULAS!D241</f>
        <v>0</v>
      </c>
      <c r="AQ88" s="804">
        <f>+FORMULAS!E241</f>
        <v>0</v>
      </c>
      <c r="AR88" s="804">
        <f>+FORMULAS!F241</f>
        <v>0</v>
      </c>
      <c r="AS88" s="804">
        <f>+FORMULAS!G241</f>
        <v>0</v>
      </c>
      <c r="AT88" s="814"/>
      <c r="AU88" s="814"/>
      <c r="BI88" s="811">
        <v>1075580</v>
      </c>
      <c r="BJ88" s="811" t="s">
        <v>200</v>
      </c>
      <c r="BK88" s="164"/>
      <c r="BN88" s="226"/>
      <c r="BO88" s="226"/>
      <c r="BP88" s="226"/>
      <c r="BQ88" s="226"/>
      <c r="BR88" s="226"/>
    </row>
    <row r="89" spans="2:70" ht="18" customHeight="1" x14ac:dyDescent="0.25"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W89" s="802"/>
      <c r="X89" s="802"/>
      <c r="Y89" s="802"/>
      <c r="Z89" s="802"/>
      <c r="AA89" s="802"/>
      <c r="AB89" s="802"/>
      <c r="AC89" s="802"/>
      <c r="AD89" s="802"/>
      <c r="AE89" s="802"/>
      <c r="AF89" s="802"/>
      <c r="AG89" s="802"/>
      <c r="AH89" s="802"/>
      <c r="AI89" s="802"/>
      <c r="AJ89" s="802"/>
      <c r="AK89" s="802"/>
      <c r="AN89" s="813" t="s">
        <v>503</v>
      </c>
      <c r="AO89" s="814"/>
      <c r="AP89" s="804" t="b">
        <f>+FORMULAS!D242</f>
        <v>0</v>
      </c>
      <c r="AQ89" s="804" t="b">
        <f>+FORMULAS!E242</f>
        <v>0</v>
      </c>
      <c r="AR89" s="804" t="b">
        <f>+FORMULAS!F242</f>
        <v>0</v>
      </c>
      <c r="AS89" s="804" t="b">
        <f>+FORMULAS!G242</f>
        <v>0</v>
      </c>
      <c r="AT89" s="814"/>
      <c r="AU89" s="814"/>
      <c r="BI89" s="811">
        <v>1075581</v>
      </c>
      <c r="BJ89" s="811" t="s">
        <v>28</v>
      </c>
      <c r="BK89" s="164"/>
      <c r="BN89" s="226"/>
      <c r="BO89" s="226"/>
      <c r="BP89" s="226"/>
      <c r="BQ89" s="226"/>
      <c r="BR89" s="226"/>
    </row>
    <row r="90" spans="2:70" ht="18" customHeight="1" x14ac:dyDescent="0.25"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W90" s="802"/>
      <c r="X90" s="802"/>
      <c r="Y90" s="802"/>
      <c r="Z90" s="802"/>
      <c r="AA90" s="802"/>
      <c r="AB90" s="802"/>
      <c r="AC90" s="802"/>
      <c r="AD90" s="802"/>
      <c r="AE90" s="802"/>
      <c r="AF90" s="802"/>
      <c r="AG90" s="802"/>
      <c r="AH90" s="802"/>
      <c r="AI90" s="802"/>
      <c r="AJ90" s="802"/>
      <c r="AK90" s="802"/>
      <c r="AN90" s="136"/>
      <c r="AO90" s="809"/>
      <c r="AP90" s="384"/>
      <c r="AQ90" s="809"/>
      <c r="AR90" s="809"/>
      <c r="AS90" s="812" t="s">
        <v>504</v>
      </c>
      <c r="AT90" s="812"/>
      <c r="AU90" s="810">
        <f>SUM(AO83:AU85)/2</f>
        <v>0</v>
      </c>
      <c r="BI90" s="811">
        <v>1075582</v>
      </c>
      <c r="BJ90" s="811" t="s">
        <v>201</v>
      </c>
      <c r="BK90" s="164"/>
      <c r="BN90" s="226"/>
      <c r="BO90" s="226"/>
      <c r="BP90" s="226"/>
      <c r="BQ90" s="226"/>
      <c r="BR90" s="226"/>
    </row>
    <row r="91" spans="2:70" ht="18" customHeight="1" x14ac:dyDescent="0.25"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W91" s="802"/>
      <c r="X91" s="802"/>
      <c r="Y91" s="802"/>
      <c r="Z91" s="802"/>
      <c r="AA91" s="802"/>
      <c r="AB91" s="802"/>
      <c r="AC91" s="802"/>
      <c r="AD91" s="802"/>
      <c r="AE91" s="802"/>
      <c r="AF91" s="802"/>
      <c r="AG91" s="802"/>
      <c r="AH91" s="802"/>
      <c r="AI91" s="802"/>
      <c r="AJ91" s="802"/>
      <c r="AK91" s="802"/>
      <c r="AS91" s="812" t="s">
        <v>507</v>
      </c>
      <c r="AT91" s="812"/>
      <c r="AU91" s="810">
        <f>SUM(AO86:AU87)/2</f>
        <v>0</v>
      </c>
      <c r="BI91" s="811">
        <v>1075587</v>
      </c>
      <c r="BJ91" s="811" t="s">
        <v>202</v>
      </c>
      <c r="BK91" s="164"/>
      <c r="BN91" s="226"/>
      <c r="BO91" s="226"/>
      <c r="BP91" s="226"/>
      <c r="BQ91" s="226"/>
      <c r="BR91" s="226"/>
    </row>
    <row r="92" spans="2:70" ht="18" customHeight="1" x14ac:dyDescent="0.25">
      <c r="L92" s="119"/>
      <c r="M92" s="119"/>
      <c r="N92" s="119"/>
      <c r="O92" s="119"/>
      <c r="P92" s="119"/>
      <c r="Q92" s="119"/>
      <c r="R92" s="119"/>
      <c r="S92" s="119"/>
      <c r="T92" s="119"/>
      <c r="U92" s="119"/>
      <c r="W92" s="802"/>
      <c r="X92" s="802"/>
      <c r="Y92" s="802"/>
      <c r="Z92" s="802"/>
      <c r="AA92" s="802"/>
      <c r="AB92" s="802"/>
      <c r="AC92" s="802"/>
      <c r="AD92" s="802"/>
      <c r="AE92" s="802"/>
      <c r="AF92" s="802"/>
      <c r="AG92" s="802"/>
      <c r="AH92" s="802"/>
      <c r="AI92" s="802"/>
      <c r="AJ92" s="802"/>
      <c r="AK92" s="802"/>
      <c r="AS92" s="812" t="s">
        <v>509</v>
      </c>
      <c r="AT92" s="812"/>
      <c r="AU92" s="810">
        <f>SUM(AP88:AS89)</f>
        <v>0</v>
      </c>
      <c r="BI92" s="811">
        <v>1075588</v>
      </c>
      <c r="BJ92" s="811" t="s">
        <v>203</v>
      </c>
      <c r="BK92" s="164"/>
      <c r="BN92" s="226"/>
      <c r="BO92" s="226"/>
      <c r="BP92" s="226"/>
      <c r="BQ92" s="226"/>
      <c r="BR92" s="226"/>
    </row>
    <row r="93" spans="2:70" ht="18" customHeight="1" x14ac:dyDescent="0.25">
      <c r="L93" s="119"/>
      <c r="M93" s="119"/>
      <c r="N93" s="119"/>
      <c r="O93" s="119"/>
      <c r="P93" s="119"/>
      <c r="Q93" s="119"/>
      <c r="R93" s="119"/>
      <c r="S93" s="119"/>
      <c r="T93" s="119"/>
      <c r="U93" s="119"/>
      <c r="W93" s="802"/>
      <c r="X93" s="122"/>
      <c r="Y93" s="122"/>
      <c r="Z93" s="802"/>
      <c r="AA93" s="802"/>
      <c r="AB93" s="802"/>
      <c r="AC93" s="802"/>
      <c r="AD93" s="802"/>
      <c r="AE93" s="802"/>
      <c r="AF93" s="802"/>
      <c r="AG93" s="802"/>
      <c r="AH93" s="802"/>
      <c r="AI93" s="802"/>
      <c r="AJ93" s="802"/>
      <c r="AK93" s="802"/>
      <c r="BI93" s="811">
        <v>1075589</v>
      </c>
      <c r="BJ93" s="811" t="s">
        <v>204</v>
      </c>
      <c r="BK93" s="164"/>
      <c r="BN93" s="226"/>
      <c r="BO93" s="226"/>
      <c r="BP93" s="226"/>
      <c r="BQ93" s="226"/>
      <c r="BR93" s="226"/>
    </row>
    <row r="94" spans="2:70" ht="18" customHeight="1" x14ac:dyDescent="0.25">
      <c r="B94" s="122"/>
      <c r="C94" s="122"/>
      <c r="D94" s="122"/>
      <c r="L94" s="119"/>
      <c r="M94" s="122"/>
      <c r="N94" s="122"/>
      <c r="O94" s="122"/>
      <c r="P94" s="119"/>
      <c r="Q94" s="119"/>
      <c r="R94" s="119"/>
      <c r="S94" s="119"/>
      <c r="T94" s="119"/>
      <c r="U94" s="119"/>
      <c r="W94" s="802"/>
      <c r="X94" s="122"/>
      <c r="Y94" s="122">
        <f>SUM(AF72:AJ72)</f>
        <v>0</v>
      </c>
      <c r="Z94" s="802"/>
      <c r="AA94" s="802"/>
      <c r="AB94" s="802"/>
      <c r="AC94" s="802"/>
      <c r="AD94" s="802"/>
      <c r="AE94" s="802"/>
      <c r="AF94" s="802"/>
      <c r="AG94" s="802"/>
      <c r="AH94" s="802"/>
      <c r="AI94" s="802"/>
      <c r="AJ94" s="802"/>
      <c r="AK94" s="802"/>
      <c r="AO94" s="122">
        <f>SUM(AO77:AU79)</f>
        <v>0</v>
      </c>
      <c r="AP94" s="122">
        <f>SUM(AO57:AU59)</f>
        <v>0</v>
      </c>
      <c r="AQ94" s="122">
        <f>SUM(AO37:AU39)</f>
        <v>0</v>
      </c>
      <c r="AR94" s="122">
        <f>SUM(AO16:AU18)</f>
        <v>0</v>
      </c>
      <c r="BI94" s="811">
        <v>1075590</v>
      </c>
      <c r="BJ94" s="811" t="s">
        <v>205</v>
      </c>
      <c r="BK94" s="164"/>
      <c r="BN94" s="226"/>
      <c r="BO94" s="226"/>
      <c r="BP94" s="226"/>
      <c r="BQ94" s="226"/>
      <c r="BR94" s="226"/>
    </row>
    <row r="95" spans="2:70" ht="18" customHeight="1" x14ac:dyDescent="0.25">
      <c r="B95" s="122"/>
      <c r="C95" s="122" t="e">
        <f>SUM(C15:I19)</f>
        <v>#REF!</v>
      </c>
      <c r="D95" s="122"/>
      <c r="L95" s="119"/>
      <c r="M95" s="122"/>
      <c r="N95" s="122">
        <f>SUM(N13:N15)</f>
        <v>1</v>
      </c>
      <c r="O95" s="122"/>
      <c r="P95" s="119"/>
      <c r="Q95" s="119"/>
      <c r="R95" s="119"/>
      <c r="S95" s="119"/>
      <c r="T95" s="119"/>
      <c r="U95" s="119"/>
      <c r="W95" s="802"/>
      <c r="X95" s="122"/>
      <c r="Y95" s="122">
        <f>SUM(Y72:AC72)</f>
        <v>0</v>
      </c>
      <c r="Z95" s="802"/>
      <c r="AA95" s="802"/>
      <c r="AB95" s="802"/>
      <c r="AC95" s="802"/>
      <c r="AD95" s="802"/>
      <c r="AE95" s="802"/>
      <c r="AF95" s="802"/>
      <c r="AG95" s="802"/>
      <c r="AH95" s="802"/>
      <c r="AI95" s="802"/>
      <c r="AJ95" s="802"/>
      <c r="AK95" s="802"/>
      <c r="AO95" s="122">
        <f>SUM(AO83:AU89)</f>
        <v>0</v>
      </c>
      <c r="AP95" s="122">
        <f>SUM(AO63:AU69)</f>
        <v>0</v>
      </c>
      <c r="AQ95" s="122">
        <f>SUM(AO43:AU49)</f>
        <v>0</v>
      </c>
      <c r="AR95" s="122">
        <f>SUM(AO22:AU28)</f>
        <v>0</v>
      </c>
      <c r="BI95" s="811">
        <v>1075591</v>
      </c>
      <c r="BJ95" s="811" t="s">
        <v>206</v>
      </c>
      <c r="BK95" s="164"/>
      <c r="BN95" s="226"/>
      <c r="BO95" s="226"/>
      <c r="BP95" s="226"/>
      <c r="BQ95" s="226"/>
      <c r="BR95" s="226"/>
    </row>
    <row r="96" spans="2:70" ht="18" customHeight="1" x14ac:dyDescent="0.25">
      <c r="B96" s="122"/>
      <c r="C96" s="122">
        <f>SUM(C24:I28)</f>
        <v>0</v>
      </c>
      <c r="D96" s="122"/>
      <c r="L96" s="119"/>
      <c r="M96" s="122"/>
      <c r="N96" s="122">
        <f>SUM(N21:T25)</f>
        <v>0</v>
      </c>
      <c r="O96" s="122"/>
      <c r="P96" s="119"/>
      <c r="Q96" s="119"/>
      <c r="R96" s="119"/>
      <c r="S96" s="119"/>
      <c r="T96" s="119"/>
      <c r="U96" s="119"/>
      <c r="W96" s="802"/>
      <c r="X96" s="802"/>
      <c r="Y96" s="802"/>
      <c r="Z96" s="802"/>
      <c r="AA96" s="802"/>
      <c r="AB96" s="802"/>
      <c r="AC96" s="802"/>
      <c r="AD96" s="802"/>
      <c r="AE96" s="802"/>
      <c r="AF96" s="802"/>
      <c r="AG96" s="802"/>
      <c r="AH96" s="802"/>
      <c r="AI96" s="802"/>
      <c r="AJ96" s="802"/>
      <c r="AK96" s="802"/>
      <c r="BI96" s="811">
        <v>1075982</v>
      </c>
      <c r="BJ96" s="811" t="s">
        <v>207</v>
      </c>
      <c r="BK96" s="164"/>
      <c r="BN96" s="226"/>
      <c r="BO96" s="226"/>
      <c r="BP96" s="226"/>
      <c r="BQ96" s="226"/>
      <c r="BR96" s="226"/>
    </row>
    <row r="97" spans="1:70" ht="18" customHeight="1" x14ac:dyDescent="0.25">
      <c r="B97" s="122"/>
      <c r="C97" s="122">
        <f>SUM(C33:I34)</f>
        <v>0</v>
      </c>
      <c r="D97" s="122"/>
      <c r="L97" s="119"/>
      <c r="M97" s="122"/>
      <c r="N97" s="122">
        <f>SUM(N28:T31)</f>
        <v>0</v>
      </c>
      <c r="O97" s="122"/>
      <c r="P97" s="119"/>
      <c r="Q97" s="119"/>
      <c r="R97" s="119"/>
      <c r="S97" s="119"/>
      <c r="T97" s="119"/>
      <c r="U97" s="119"/>
      <c r="W97" s="802"/>
      <c r="Y97" s="818">
        <f>SUM(Y94:Y95)</f>
        <v>0</v>
      </c>
      <c r="AA97" s="802"/>
      <c r="AB97" s="802"/>
      <c r="AC97" s="802"/>
      <c r="AD97" s="802"/>
      <c r="AH97" s="802"/>
      <c r="AI97" s="802"/>
      <c r="AJ97" s="802"/>
      <c r="AK97" s="802"/>
      <c r="AO97" s="818">
        <f>SUM(AO94:AR95)</f>
        <v>0</v>
      </c>
      <c r="BI97" s="811">
        <v>1075983</v>
      </c>
      <c r="BJ97" s="811" t="s">
        <v>208</v>
      </c>
      <c r="BK97" s="164"/>
      <c r="BN97" s="226"/>
      <c r="BO97" s="226"/>
      <c r="BP97" s="226"/>
      <c r="BQ97" s="226"/>
      <c r="BR97" s="226"/>
    </row>
    <row r="98" spans="1:70" ht="18" customHeight="1" x14ac:dyDescent="0.25">
      <c r="B98" s="122"/>
      <c r="C98" s="122">
        <f>SUM(C39:G44)</f>
        <v>0</v>
      </c>
      <c r="D98" s="122"/>
      <c r="L98" s="119"/>
      <c r="M98" s="122"/>
      <c r="N98" s="122">
        <f>SUM(O37:S43)</f>
        <v>0</v>
      </c>
      <c r="O98" s="122"/>
      <c r="P98" s="119"/>
      <c r="Q98" s="119"/>
      <c r="R98" s="119"/>
      <c r="S98" s="119"/>
      <c r="T98" s="119"/>
      <c r="U98" s="119"/>
      <c r="AA98" s="802"/>
      <c r="AB98" s="802"/>
      <c r="AC98" s="802"/>
      <c r="AH98" s="802"/>
      <c r="AI98" s="802"/>
      <c r="AJ98" s="802"/>
      <c r="AK98" s="802"/>
      <c r="AY98" s="122">
        <f>SUM(AY16:BE18)</f>
        <v>0</v>
      </c>
      <c r="AZ98" s="122">
        <f>SUM(AY38:BE40)</f>
        <v>0</v>
      </c>
      <c r="BA98" s="122">
        <f>SUM(AY60:BE62)</f>
        <v>0</v>
      </c>
      <c r="BI98" s="811">
        <v>1075985</v>
      </c>
      <c r="BJ98" s="811" t="s">
        <v>209</v>
      </c>
      <c r="BK98" s="164"/>
      <c r="BN98" s="226"/>
      <c r="BO98" s="226"/>
      <c r="BP98" s="226"/>
      <c r="BQ98" s="226"/>
      <c r="BR98" s="226"/>
    </row>
    <row r="99" spans="1:70" ht="18" customHeight="1" x14ac:dyDescent="0.25">
      <c r="B99" s="122"/>
      <c r="C99" s="122">
        <f>SUM(C48:G51)</f>
        <v>0</v>
      </c>
      <c r="D99" s="122"/>
      <c r="L99" s="119"/>
      <c r="M99" s="122"/>
      <c r="N99" s="122">
        <f>SUM(O51:S54)</f>
        <v>0</v>
      </c>
      <c r="O99" s="122"/>
      <c r="P99" s="119"/>
      <c r="Q99" s="119"/>
      <c r="R99" s="119"/>
      <c r="S99" s="119"/>
      <c r="T99" s="119"/>
      <c r="U99" s="119"/>
      <c r="AA99" s="802"/>
      <c r="AB99" s="802"/>
      <c r="AC99" s="802"/>
      <c r="AH99" s="802"/>
      <c r="AI99" s="802"/>
      <c r="AJ99" s="802"/>
      <c r="AK99" s="802"/>
      <c r="AY99" s="122">
        <f>SUM(AY22:BE29)</f>
        <v>0</v>
      </c>
      <c r="AZ99" s="122">
        <f>SUM(AY44:BE51)</f>
        <v>0</v>
      </c>
      <c r="BA99" s="122">
        <f>SUM(AY66:BE73)</f>
        <v>0</v>
      </c>
      <c r="BI99" s="811">
        <v>1075986</v>
      </c>
      <c r="BJ99" s="811" t="s">
        <v>210</v>
      </c>
      <c r="BK99" s="164"/>
      <c r="BN99" s="226"/>
      <c r="BO99" s="226"/>
      <c r="BP99" s="226"/>
      <c r="BQ99" s="226"/>
      <c r="BR99" s="226"/>
    </row>
    <row r="100" spans="1:70" ht="18" customHeight="1" x14ac:dyDescent="0.2">
      <c r="L100" s="119"/>
      <c r="M100" s="119"/>
      <c r="N100" s="119"/>
      <c r="O100" s="119"/>
      <c r="P100" s="119"/>
      <c r="Q100" s="119"/>
      <c r="R100" s="119"/>
      <c r="S100" s="119"/>
      <c r="T100" s="119"/>
      <c r="U100" s="119"/>
      <c r="AA100" s="802"/>
      <c r="AB100" s="802"/>
      <c r="AC100" s="802"/>
      <c r="AH100" s="802"/>
      <c r="AI100" s="802"/>
      <c r="AJ100" s="802"/>
      <c r="AK100" s="802"/>
      <c r="BI100" s="811">
        <v>1075987</v>
      </c>
      <c r="BJ100" s="811" t="s">
        <v>211</v>
      </c>
      <c r="BK100" s="164"/>
      <c r="BN100" s="226"/>
      <c r="BO100" s="226"/>
      <c r="BP100" s="226"/>
      <c r="BQ100" s="226"/>
      <c r="BR100" s="226"/>
    </row>
    <row r="101" spans="1:70" ht="18" customHeight="1" x14ac:dyDescent="0.25">
      <c r="A101" s="818" t="e">
        <f>+AY101+AO97+Y97+N101+C101+BK118</f>
        <v>#REF!</v>
      </c>
      <c r="C101" s="818" t="e">
        <f>SUM(C95:C99)</f>
        <v>#REF!</v>
      </c>
      <c r="N101" s="818">
        <f>SUM(N95:N99)</f>
        <v>1</v>
      </c>
      <c r="AY101" s="818">
        <f>SUM(AY98:BA99)</f>
        <v>0</v>
      </c>
      <c r="BI101" s="811">
        <v>1075988</v>
      </c>
      <c r="BJ101" s="811" t="s">
        <v>212</v>
      </c>
      <c r="BK101" s="164"/>
      <c r="BN101" s="226"/>
      <c r="BO101" s="226"/>
      <c r="BP101" s="226"/>
      <c r="BQ101" s="226"/>
      <c r="BR101" s="226"/>
    </row>
    <row r="102" spans="1:70" ht="18" customHeight="1" x14ac:dyDescent="0.2">
      <c r="BI102" s="811">
        <v>1075989</v>
      </c>
      <c r="BJ102" s="811" t="s">
        <v>213</v>
      </c>
      <c r="BK102" s="164"/>
      <c r="BN102" s="226"/>
      <c r="BO102" s="226"/>
      <c r="BP102" s="226"/>
      <c r="BQ102" s="226"/>
      <c r="BR102" s="226"/>
    </row>
    <row r="103" spans="1:70" ht="18" customHeight="1" x14ac:dyDescent="0.2">
      <c r="BI103" s="811">
        <v>1075990</v>
      </c>
      <c r="BJ103" s="811" t="s">
        <v>214</v>
      </c>
      <c r="BK103" s="164"/>
      <c r="BN103" s="226"/>
      <c r="BO103" s="226"/>
      <c r="BP103" s="226"/>
      <c r="BQ103" s="226"/>
      <c r="BR103" s="226"/>
    </row>
    <row r="104" spans="1:70" ht="18" customHeight="1" x14ac:dyDescent="0.2">
      <c r="BI104" s="811">
        <v>1075991</v>
      </c>
      <c r="BJ104" s="811" t="s">
        <v>215</v>
      </c>
      <c r="BK104" s="164"/>
      <c r="BN104" s="226"/>
      <c r="BO104" s="226"/>
      <c r="BP104" s="226"/>
      <c r="BQ104" s="226"/>
      <c r="BR104" s="226"/>
    </row>
    <row r="105" spans="1:70" ht="18" customHeight="1" x14ac:dyDescent="0.2">
      <c r="BI105" s="811">
        <v>1075992</v>
      </c>
      <c r="BJ105" s="811" t="s">
        <v>216</v>
      </c>
      <c r="BK105" s="164"/>
      <c r="BN105" s="226"/>
      <c r="BO105" s="226"/>
      <c r="BP105" s="226"/>
      <c r="BQ105" s="226"/>
      <c r="BR105" s="226"/>
    </row>
    <row r="106" spans="1:70" ht="18" customHeight="1" x14ac:dyDescent="0.2">
      <c r="BI106" s="811">
        <v>1075993</v>
      </c>
      <c r="BJ106" s="811" t="s">
        <v>217</v>
      </c>
      <c r="BK106" s="164"/>
      <c r="BN106" s="226"/>
      <c r="BO106" s="226"/>
      <c r="BP106" s="226"/>
      <c r="BQ106" s="226"/>
      <c r="BR106" s="226"/>
    </row>
    <row r="107" spans="1:70" ht="18" customHeight="1" x14ac:dyDescent="0.2">
      <c r="BI107" s="811">
        <v>1075995</v>
      </c>
      <c r="BJ107" s="811" t="s">
        <v>218</v>
      </c>
      <c r="BK107" s="164"/>
      <c r="BN107" s="226"/>
      <c r="BO107" s="226"/>
      <c r="BP107" s="226"/>
      <c r="BQ107" s="226"/>
      <c r="BR107" s="226"/>
    </row>
    <row r="108" spans="1:70" ht="18" customHeight="1" x14ac:dyDescent="0.2">
      <c r="BI108" s="811">
        <v>1075996</v>
      </c>
      <c r="BJ108" s="811" t="s">
        <v>219</v>
      </c>
      <c r="BK108" s="164"/>
      <c r="BN108" s="226"/>
      <c r="BO108" s="226"/>
      <c r="BP108" s="226"/>
      <c r="BQ108" s="226"/>
      <c r="BR108" s="226"/>
    </row>
    <row r="109" spans="1:70" ht="18" customHeight="1" x14ac:dyDescent="0.2">
      <c r="BI109" s="811">
        <v>1075997</v>
      </c>
      <c r="BJ109" s="811" t="s">
        <v>220</v>
      </c>
      <c r="BK109" s="164"/>
      <c r="BN109" s="226"/>
      <c r="BO109" s="226"/>
      <c r="BP109" s="226"/>
      <c r="BQ109" s="226"/>
      <c r="BR109" s="226"/>
    </row>
    <row r="110" spans="1:70" ht="18" customHeight="1" x14ac:dyDescent="0.2">
      <c r="BI110" s="811">
        <v>1075998</v>
      </c>
      <c r="BJ110" s="811" t="s">
        <v>221</v>
      </c>
      <c r="BK110" s="164"/>
      <c r="BN110" s="226"/>
      <c r="BO110" s="226"/>
      <c r="BP110" s="226"/>
      <c r="BQ110" s="226"/>
      <c r="BR110" s="226"/>
    </row>
    <row r="111" spans="1:70" ht="18" customHeight="1" x14ac:dyDescent="0.2">
      <c r="BI111" s="811">
        <v>1075826</v>
      </c>
      <c r="BJ111" s="811" t="s">
        <v>222</v>
      </c>
      <c r="BK111" s="164"/>
      <c r="BN111" s="226"/>
      <c r="BO111" s="226"/>
      <c r="BP111" s="226"/>
      <c r="BQ111" s="226"/>
      <c r="BR111" s="226"/>
    </row>
    <row r="112" spans="1:70" ht="18" customHeight="1" x14ac:dyDescent="0.2">
      <c r="BI112" s="811">
        <v>1075827</v>
      </c>
      <c r="BJ112" s="811" t="s">
        <v>223</v>
      </c>
      <c r="BK112" s="164"/>
      <c r="BN112" s="226"/>
      <c r="BO112" s="226"/>
      <c r="BP112" s="226"/>
      <c r="BQ112" s="226"/>
      <c r="BR112" s="226"/>
    </row>
    <row r="113" spans="9:70" ht="18" customHeight="1" x14ac:dyDescent="0.2">
      <c r="BI113" s="811">
        <v>1075828</v>
      </c>
      <c r="BJ113" s="811" t="s">
        <v>224</v>
      </c>
      <c r="BK113" s="164"/>
      <c r="BN113" s="226"/>
      <c r="BO113" s="226"/>
      <c r="BP113" s="226"/>
      <c r="BQ113" s="226"/>
      <c r="BR113" s="226"/>
    </row>
    <row r="114" spans="9:70" ht="18" customHeight="1" x14ac:dyDescent="0.2">
      <c r="BI114" s="811">
        <v>1075829</v>
      </c>
      <c r="BJ114" s="811" t="s">
        <v>225</v>
      </c>
      <c r="BK114" s="164"/>
      <c r="BN114" s="226"/>
      <c r="BO114" s="226"/>
      <c r="BP114" s="226"/>
      <c r="BQ114" s="226"/>
      <c r="BR114" s="226"/>
    </row>
    <row r="115" spans="9:70" ht="18" customHeight="1" x14ac:dyDescent="0.2">
      <c r="BI115" s="811">
        <v>1075830</v>
      </c>
      <c r="BJ115" s="811" t="s">
        <v>237</v>
      </c>
      <c r="BK115" s="164"/>
      <c r="BN115" s="226"/>
      <c r="BO115" s="226"/>
      <c r="BP115" s="226"/>
      <c r="BQ115" s="226"/>
      <c r="BR115" s="226"/>
    </row>
    <row r="116" spans="9:70" ht="18" customHeight="1" x14ac:dyDescent="0.2">
      <c r="BI116" s="811">
        <v>1075831</v>
      </c>
      <c r="BJ116" s="811" t="s">
        <v>238</v>
      </c>
      <c r="BK116" s="164"/>
      <c r="BN116" s="226"/>
      <c r="BO116" s="226"/>
      <c r="BP116" s="226"/>
      <c r="BQ116" s="226"/>
      <c r="BR116" s="226"/>
    </row>
    <row r="117" spans="9:70" ht="18" customHeight="1" x14ac:dyDescent="0.2">
      <c r="BI117" s="120"/>
      <c r="BJ117" s="120"/>
      <c r="BN117" s="226"/>
      <c r="BO117" s="226"/>
      <c r="BP117" s="226"/>
      <c r="BQ117" s="226"/>
      <c r="BR117" s="226"/>
    </row>
    <row r="118" spans="9:70" ht="18" customHeight="1" x14ac:dyDescent="0.25">
      <c r="BI118" s="120"/>
      <c r="BJ118" s="120"/>
      <c r="BK118" s="818">
        <f>SUM(BK12:BK116)</f>
        <v>0</v>
      </c>
      <c r="BN118" s="226"/>
      <c r="BO118" s="226"/>
      <c r="BP118" s="226"/>
      <c r="BQ118" s="226"/>
      <c r="BR118" s="226"/>
    </row>
    <row r="119" spans="9:70" ht="18" customHeight="1" x14ac:dyDescent="0.2">
      <c r="I119" s="409"/>
      <c r="BK119" s="226"/>
      <c r="BL119" s="226"/>
      <c r="BM119" s="226"/>
      <c r="BN119" s="226"/>
      <c r="BO119" s="226"/>
      <c r="BP119" s="226"/>
      <c r="BQ119" s="226"/>
      <c r="BR119" s="226"/>
    </row>
    <row r="120" spans="9:70" ht="18" customHeight="1" x14ac:dyDescent="0.2">
      <c r="I120" s="409"/>
      <c r="BK120" s="226"/>
      <c r="BL120" s="226"/>
      <c r="BM120" s="226"/>
      <c r="BN120" s="226"/>
      <c r="BO120" s="226"/>
      <c r="BP120" s="226"/>
      <c r="BQ120" s="226"/>
      <c r="BR120" s="226"/>
    </row>
    <row r="121" spans="9:70" ht="18" customHeight="1" x14ac:dyDescent="0.2">
      <c r="I121" s="409"/>
      <c r="BK121" s="226"/>
      <c r="BL121" s="226"/>
      <c r="BM121" s="226"/>
      <c r="BN121" s="226"/>
      <c r="BO121" s="226"/>
      <c r="BP121" s="226"/>
      <c r="BQ121" s="226"/>
      <c r="BR121" s="226"/>
    </row>
    <row r="122" spans="9:70" ht="18" customHeight="1" x14ac:dyDescent="0.2">
      <c r="I122" s="409"/>
      <c r="BK122" s="226"/>
      <c r="BL122" s="226"/>
      <c r="BM122" s="226"/>
      <c r="BN122" s="226"/>
      <c r="BO122" s="226"/>
      <c r="BP122" s="226"/>
      <c r="BQ122" s="226"/>
      <c r="BR122" s="226"/>
    </row>
    <row r="123" spans="9:70" ht="18" customHeight="1" x14ac:dyDescent="0.2">
      <c r="I123" s="409"/>
      <c r="BK123" s="226"/>
      <c r="BL123" s="226"/>
      <c r="BM123" s="226"/>
      <c r="BN123" s="226"/>
      <c r="BO123" s="226"/>
      <c r="BP123" s="226"/>
      <c r="BQ123" s="226"/>
      <c r="BR123" s="226"/>
    </row>
    <row r="124" spans="9:70" ht="18" customHeight="1" x14ac:dyDescent="0.2">
      <c r="I124" s="409"/>
      <c r="BK124" s="226"/>
      <c r="BL124" s="226"/>
      <c r="BM124" s="226"/>
      <c r="BN124" s="226"/>
      <c r="BO124" s="226"/>
      <c r="BP124" s="226"/>
      <c r="BQ124" s="226"/>
      <c r="BR124" s="226"/>
    </row>
    <row r="125" spans="9:70" ht="18" customHeight="1" x14ac:dyDescent="0.2">
      <c r="I125" s="409"/>
      <c r="BK125" s="226"/>
      <c r="BL125" s="226"/>
      <c r="BM125" s="226"/>
      <c r="BN125" s="226"/>
      <c r="BO125" s="226"/>
      <c r="BP125" s="226"/>
      <c r="BQ125" s="226"/>
      <c r="BR125" s="226"/>
    </row>
    <row r="126" spans="9:70" ht="18" customHeight="1" x14ac:dyDescent="0.2">
      <c r="I126" s="409"/>
      <c r="BK126" s="226"/>
      <c r="BL126" s="226"/>
      <c r="BM126" s="226"/>
      <c r="BN126" s="226"/>
      <c r="BO126" s="226"/>
      <c r="BP126" s="226"/>
      <c r="BQ126" s="226"/>
      <c r="BR126" s="226"/>
    </row>
    <row r="127" spans="9:70" ht="18" customHeight="1" x14ac:dyDescent="0.2">
      <c r="I127" s="409"/>
      <c r="BK127" s="226"/>
      <c r="BL127" s="226"/>
      <c r="BM127" s="226"/>
      <c r="BN127" s="226"/>
      <c r="BO127" s="226"/>
      <c r="BP127" s="226"/>
      <c r="BQ127" s="226"/>
      <c r="BR127" s="226"/>
    </row>
    <row r="128" spans="9:70" ht="18" customHeight="1" x14ac:dyDescent="0.2">
      <c r="I128" s="409"/>
      <c r="BK128" s="226"/>
      <c r="BL128" s="226"/>
      <c r="BM128" s="226"/>
      <c r="BN128" s="226"/>
      <c r="BO128" s="226"/>
      <c r="BP128" s="226"/>
      <c r="BQ128" s="226"/>
      <c r="BR128" s="226"/>
    </row>
    <row r="129" spans="9:70" ht="18" customHeight="1" x14ac:dyDescent="0.2">
      <c r="I129" s="409"/>
      <c r="BK129" s="226"/>
      <c r="BL129" s="226"/>
      <c r="BM129" s="226"/>
      <c r="BN129" s="226"/>
      <c r="BO129" s="226"/>
      <c r="BP129" s="226"/>
      <c r="BQ129" s="226"/>
      <c r="BR129" s="226"/>
    </row>
    <row r="130" spans="9:70" ht="18" customHeight="1" x14ac:dyDescent="0.2">
      <c r="I130" s="409"/>
      <c r="BK130" s="226"/>
      <c r="BL130" s="226"/>
      <c r="BM130" s="226"/>
      <c r="BN130" s="226"/>
      <c r="BO130" s="226"/>
      <c r="BP130" s="226"/>
      <c r="BQ130" s="226"/>
      <c r="BR130" s="226"/>
    </row>
    <row r="131" spans="9:70" ht="18" customHeight="1" x14ac:dyDescent="0.2">
      <c r="I131" s="409"/>
      <c r="BK131" s="226"/>
      <c r="BL131" s="226"/>
      <c r="BM131" s="226"/>
      <c r="BN131" s="226"/>
      <c r="BO131" s="226"/>
      <c r="BP131" s="226"/>
      <c r="BQ131" s="226"/>
      <c r="BR131" s="226"/>
    </row>
    <row r="132" spans="9:70" ht="18" customHeight="1" x14ac:dyDescent="0.2">
      <c r="I132" s="409"/>
      <c r="BK132" s="226"/>
      <c r="BL132" s="226"/>
      <c r="BM132" s="226"/>
      <c r="BN132" s="226"/>
      <c r="BO132" s="226"/>
      <c r="BP132" s="226"/>
      <c r="BQ132" s="226"/>
      <c r="BR132" s="226"/>
    </row>
    <row r="133" spans="9:70" ht="18" customHeight="1" x14ac:dyDescent="0.2">
      <c r="I133" s="409"/>
      <c r="BK133" s="226"/>
      <c r="BL133" s="226"/>
      <c r="BM133" s="226"/>
      <c r="BN133" s="226"/>
      <c r="BO133" s="226"/>
      <c r="BP133" s="226"/>
      <c r="BQ133" s="226"/>
      <c r="BR133" s="226"/>
    </row>
    <row r="134" spans="9:70" ht="18" customHeight="1" x14ac:dyDescent="0.2">
      <c r="I134" s="409"/>
      <c r="BK134" s="226"/>
      <c r="BL134" s="226"/>
      <c r="BM134" s="226"/>
      <c r="BN134" s="226"/>
      <c r="BO134" s="226"/>
      <c r="BP134" s="226"/>
      <c r="BQ134" s="226"/>
      <c r="BR134" s="226"/>
    </row>
    <row r="135" spans="9:70" ht="18" customHeight="1" x14ac:dyDescent="0.2">
      <c r="I135" s="409"/>
      <c r="BK135" s="226"/>
      <c r="BL135" s="226"/>
      <c r="BM135" s="226"/>
      <c r="BN135" s="226"/>
      <c r="BO135" s="226"/>
      <c r="BP135" s="226"/>
      <c r="BQ135" s="226"/>
      <c r="BR135" s="226"/>
    </row>
    <row r="136" spans="9:70" ht="18" customHeight="1" x14ac:dyDescent="0.2">
      <c r="I136" s="409"/>
      <c r="BK136" s="226"/>
      <c r="BL136" s="226"/>
      <c r="BM136" s="226"/>
      <c r="BN136" s="226"/>
      <c r="BO136" s="226"/>
      <c r="BP136" s="226"/>
      <c r="BQ136" s="226"/>
      <c r="BR136" s="226"/>
    </row>
    <row r="137" spans="9:70" ht="18" customHeight="1" x14ac:dyDescent="0.2">
      <c r="I137" s="409"/>
      <c r="BK137" s="226"/>
      <c r="BL137" s="226"/>
      <c r="BM137" s="226"/>
      <c r="BN137" s="226"/>
      <c r="BO137" s="226"/>
      <c r="BP137" s="226"/>
      <c r="BQ137" s="226"/>
      <c r="BR137" s="226"/>
    </row>
    <row r="138" spans="9:70" ht="18" customHeight="1" x14ac:dyDescent="0.2">
      <c r="I138" s="409"/>
      <c r="BK138" s="226"/>
      <c r="BL138" s="226"/>
      <c r="BM138" s="226"/>
      <c r="BN138" s="226"/>
      <c r="BO138" s="226"/>
      <c r="BP138" s="226"/>
      <c r="BQ138" s="226"/>
      <c r="BR138" s="226"/>
    </row>
    <row r="139" spans="9:70" ht="18" customHeight="1" x14ac:dyDescent="0.2">
      <c r="BK139" s="226"/>
      <c r="BL139" s="226"/>
      <c r="BM139" s="226"/>
      <c r="BN139" s="226"/>
      <c r="BO139" s="226"/>
      <c r="BP139" s="226"/>
      <c r="BQ139" s="226"/>
      <c r="BR139" s="226"/>
    </row>
    <row r="140" spans="9:70" ht="18" customHeight="1" x14ac:dyDescent="0.2">
      <c r="BK140" s="226"/>
      <c r="BL140" s="226"/>
      <c r="BM140" s="226"/>
      <c r="BN140" s="226"/>
      <c r="BO140" s="226"/>
      <c r="BP140" s="226"/>
      <c r="BQ140" s="226"/>
      <c r="BR140" s="226"/>
    </row>
    <row r="141" spans="9:70" ht="18" customHeight="1" x14ac:dyDescent="0.2">
      <c r="X141" s="120">
        <f>SUM(Y32:AC71)</f>
        <v>0</v>
      </c>
      <c r="BK141" s="226"/>
      <c r="BL141" s="226"/>
      <c r="BM141" s="226"/>
      <c r="BN141" s="226"/>
      <c r="BO141" s="226"/>
      <c r="BP141" s="226"/>
      <c r="BQ141" s="226"/>
      <c r="BR141" s="226"/>
    </row>
    <row r="142" spans="9:70" ht="18" customHeight="1" x14ac:dyDescent="0.2">
      <c r="X142" s="120">
        <f>SUM(AF32:AJ71)</f>
        <v>0</v>
      </c>
      <c r="BK142" s="226"/>
      <c r="BL142" s="226"/>
      <c r="BM142" s="226"/>
      <c r="BN142" s="226"/>
      <c r="BO142" s="226"/>
      <c r="BP142" s="226"/>
      <c r="BQ142" s="226"/>
      <c r="BR142" s="226"/>
    </row>
    <row r="143" spans="9:70" ht="18" customHeight="1" x14ac:dyDescent="0.2">
      <c r="N143" s="120">
        <f>SUM(O37:S41)</f>
        <v>0</v>
      </c>
      <c r="BK143" s="226"/>
      <c r="BL143" s="226"/>
      <c r="BM143" s="226"/>
      <c r="BN143" s="226"/>
      <c r="BO143" s="226"/>
      <c r="BP143" s="226"/>
      <c r="BQ143" s="226"/>
      <c r="BR143" s="226"/>
    </row>
    <row r="144" spans="9:70" ht="18" customHeight="1" x14ac:dyDescent="0.2">
      <c r="N144" s="120">
        <f>SUM(N21:T21)</f>
        <v>0</v>
      </c>
      <c r="BK144" s="226"/>
      <c r="BL144" s="226"/>
      <c r="BM144" s="226"/>
      <c r="BN144" s="226"/>
      <c r="BO144" s="226"/>
      <c r="BP144" s="226"/>
      <c r="BQ144" s="226"/>
      <c r="BR144" s="226"/>
    </row>
    <row r="145" spans="14:70" ht="18" customHeight="1" x14ac:dyDescent="0.2">
      <c r="N145" s="120">
        <f>SUM(N28:T29)</f>
        <v>0</v>
      </c>
      <c r="BK145" s="226"/>
      <c r="BL145" s="226"/>
      <c r="BM145" s="226"/>
      <c r="BN145" s="226"/>
      <c r="BO145" s="226"/>
      <c r="BP145" s="226"/>
      <c r="BQ145" s="226"/>
      <c r="BR145" s="226"/>
    </row>
    <row r="146" spans="14:70" ht="18" customHeight="1" x14ac:dyDescent="0.2">
      <c r="N146" s="120">
        <f>SUM(N30:T31)</f>
        <v>0</v>
      </c>
      <c r="BK146" s="226"/>
      <c r="BL146" s="226"/>
      <c r="BM146" s="226"/>
      <c r="BN146" s="226"/>
      <c r="BO146" s="226"/>
      <c r="BP146" s="226"/>
      <c r="BQ146" s="226"/>
      <c r="BR146" s="226"/>
    </row>
    <row r="147" spans="14:70" ht="18" customHeight="1" x14ac:dyDescent="0.2">
      <c r="N147" s="120" t="e">
        <f>SUM(#REF!)</f>
        <v>#REF!</v>
      </c>
      <c r="BK147" s="226"/>
      <c r="BL147" s="226"/>
      <c r="BM147" s="226"/>
      <c r="BN147" s="226"/>
      <c r="BO147" s="226"/>
      <c r="BP147" s="226"/>
      <c r="BQ147" s="226"/>
      <c r="BR147" s="226"/>
    </row>
    <row r="148" spans="14:70" ht="18" customHeight="1" x14ac:dyDescent="0.2">
      <c r="N148" s="120" t="e">
        <f>SUM(#REF!)</f>
        <v>#REF!</v>
      </c>
      <c r="BK148" s="226"/>
      <c r="BL148" s="226"/>
      <c r="BM148" s="226"/>
      <c r="BN148" s="226"/>
      <c r="BO148" s="226"/>
      <c r="BP148" s="226"/>
      <c r="BQ148" s="226"/>
      <c r="BR148" s="226"/>
    </row>
    <row r="149" spans="14:70" ht="18" customHeight="1" x14ac:dyDescent="0.2">
      <c r="N149" s="120" t="e">
        <f>SUM(#REF!)</f>
        <v>#REF!</v>
      </c>
      <c r="BK149" s="226"/>
      <c r="BL149" s="226"/>
      <c r="BM149" s="226"/>
      <c r="BN149" s="226"/>
      <c r="BO149" s="226"/>
      <c r="BP149" s="226"/>
      <c r="BQ149" s="226"/>
      <c r="BR149" s="226"/>
    </row>
    <row r="150" spans="14:70" ht="18" customHeight="1" x14ac:dyDescent="0.2">
      <c r="N150" s="120" t="e">
        <f>SUM(#REF!)</f>
        <v>#REF!</v>
      </c>
      <c r="BK150" s="226"/>
      <c r="BL150" s="226"/>
      <c r="BM150" s="226"/>
      <c r="BN150" s="226"/>
      <c r="BO150" s="226"/>
      <c r="BP150" s="226"/>
      <c r="BQ150" s="226"/>
      <c r="BR150" s="226"/>
    </row>
    <row r="151" spans="14:70" ht="18" customHeight="1" x14ac:dyDescent="0.2">
      <c r="N151" s="120" t="e">
        <f>SUM(#REF!)</f>
        <v>#REF!</v>
      </c>
      <c r="BK151" s="226"/>
      <c r="BL151" s="226"/>
      <c r="BM151" s="226"/>
      <c r="BN151" s="226"/>
      <c r="BO151" s="226"/>
      <c r="BP151" s="226"/>
      <c r="BQ151" s="226"/>
      <c r="BR151" s="226"/>
    </row>
    <row r="152" spans="14:70" ht="18" customHeight="1" x14ac:dyDescent="0.2">
      <c r="N152" s="120">
        <f>SUM(M49:T49)</f>
        <v>0</v>
      </c>
      <c r="BK152" s="226"/>
      <c r="BL152" s="226"/>
      <c r="BM152" s="226"/>
      <c r="BN152" s="226"/>
      <c r="BO152" s="226"/>
      <c r="BP152" s="226"/>
      <c r="BQ152" s="226"/>
      <c r="BR152" s="226"/>
    </row>
    <row r="153" spans="14:70" ht="18" customHeight="1" x14ac:dyDescent="0.2">
      <c r="N153" s="120" t="e">
        <f>SUM(#REF!)</f>
        <v>#REF!</v>
      </c>
      <c r="Z153" s="120">
        <f>SUM(AY60:BE62)</f>
        <v>0</v>
      </c>
      <c r="BK153" s="226"/>
      <c r="BL153" s="226"/>
      <c r="BM153" s="226"/>
      <c r="BN153" s="226"/>
      <c r="BO153" s="226"/>
      <c r="BP153" s="226"/>
      <c r="BQ153" s="226"/>
      <c r="BR153" s="226"/>
    </row>
    <row r="154" spans="14:70" ht="18" customHeight="1" x14ac:dyDescent="0.2">
      <c r="N154" s="120" t="e">
        <f>SUM(#REF!)</f>
        <v>#REF!</v>
      </c>
      <c r="Z154" s="120">
        <f>SUM(AY66:BE73)</f>
        <v>0</v>
      </c>
      <c r="BK154" s="226"/>
      <c r="BL154" s="226"/>
      <c r="BM154" s="226"/>
      <c r="BN154" s="226"/>
      <c r="BO154" s="226"/>
      <c r="BP154" s="226"/>
      <c r="BQ154" s="226"/>
      <c r="BR154" s="226"/>
    </row>
    <row r="155" spans="14:70" ht="18" customHeight="1" x14ac:dyDescent="0.2">
      <c r="N155" s="120" t="e">
        <f>SUM(#REF!)</f>
        <v>#REF!</v>
      </c>
      <c r="BK155" s="226"/>
      <c r="BL155" s="226"/>
      <c r="BM155" s="226"/>
      <c r="BN155" s="226"/>
      <c r="BO155" s="226"/>
      <c r="BP155" s="226"/>
      <c r="BQ155" s="226"/>
      <c r="BR155" s="226"/>
    </row>
    <row r="156" spans="14:70" ht="18" customHeight="1" x14ac:dyDescent="0.2">
      <c r="N156" s="120">
        <f>SUM(N61)</f>
        <v>0</v>
      </c>
      <c r="BK156" s="226"/>
      <c r="BL156" s="226"/>
      <c r="BM156" s="226"/>
      <c r="BN156" s="226"/>
      <c r="BO156" s="226"/>
      <c r="BP156" s="226"/>
      <c r="BQ156" s="226"/>
      <c r="BR156" s="226"/>
    </row>
    <row r="157" spans="14:70" ht="18" customHeight="1" x14ac:dyDescent="0.2">
      <c r="N157" s="120">
        <f>SUM(N63:N64)</f>
        <v>0</v>
      </c>
      <c r="BK157" s="226"/>
      <c r="BL157" s="226"/>
      <c r="BM157" s="226"/>
      <c r="BN157" s="226"/>
      <c r="BO157" s="226"/>
      <c r="BP157" s="226"/>
      <c r="BQ157" s="226"/>
      <c r="BR157" s="226"/>
    </row>
    <row r="158" spans="14:70" ht="18" customHeight="1" x14ac:dyDescent="0.2">
      <c r="N158" s="120">
        <f>SUM(N66:N67)</f>
        <v>0</v>
      </c>
      <c r="BK158" s="226"/>
      <c r="BL158" s="226"/>
      <c r="BM158" s="226"/>
      <c r="BN158" s="226"/>
      <c r="BO158" s="226"/>
      <c r="BP158" s="226"/>
      <c r="BQ158" s="226"/>
      <c r="BR158" s="226"/>
    </row>
    <row r="159" spans="14:70" ht="22.5" customHeight="1" x14ac:dyDescent="0.2">
      <c r="BK159" s="226"/>
      <c r="BL159" s="226"/>
      <c r="BM159" s="226"/>
      <c r="BN159" s="226"/>
      <c r="BO159" s="226"/>
      <c r="BP159" s="226"/>
      <c r="BQ159" s="226"/>
      <c r="BR159" s="226"/>
    </row>
    <row r="160" spans="14:70" ht="18" customHeight="1" x14ac:dyDescent="0.2">
      <c r="BK160" s="226"/>
      <c r="BL160" s="226"/>
      <c r="BM160" s="226"/>
      <c r="BN160" s="226"/>
      <c r="BO160" s="226"/>
      <c r="BP160" s="226"/>
      <c r="BQ160" s="226"/>
      <c r="BR160" s="226"/>
    </row>
    <row r="161" spans="2:70" ht="18" customHeight="1" x14ac:dyDescent="0.2">
      <c r="BK161" s="226"/>
      <c r="BL161" s="226"/>
      <c r="BM161" s="226"/>
      <c r="BN161" s="226"/>
      <c r="BO161" s="226"/>
      <c r="BP161" s="226"/>
      <c r="BQ161" s="226"/>
      <c r="BR161" s="226"/>
    </row>
    <row r="162" spans="2:70" ht="18" customHeight="1" x14ac:dyDescent="0.2">
      <c r="BK162" s="226"/>
      <c r="BL162" s="226"/>
      <c r="BM162" s="226"/>
      <c r="BN162" s="226"/>
      <c r="BO162" s="226"/>
      <c r="BP162" s="226"/>
      <c r="BQ162" s="226"/>
      <c r="BR162" s="226"/>
    </row>
    <row r="163" spans="2:70" ht="18" customHeight="1" x14ac:dyDescent="0.2">
      <c r="BK163" s="226"/>
      <c r="BL163" s="226"/>
      <c r="BM163" s="226"/>
      <c r="BN163" s="226"/>
      <c r="BO163" s="226"/>
      <c r="BP163" s="226"/>
      <c r="BQ163" s="226"/>
      <c r="BR163" s="226"/>
    </row>
    <row r="164" spans="2:70" ht="18" customHeight="1" x14ac:dyDescent="0.2">
      <c r="BK164" s="226"/>
      <c r="BL164" s="226"/>
      <c r="BM164" s="226"/>
      <c r="BN164" s="226"/>
      <c r="BO164" s="226"/>
      <c r="BP164" s="226"/>
      <c r="BQ164" s="226"/>
      <c r="BR164" s="226"/>
    </row>
    <row r="165" spans="2:70" ht="18" customHeight="1" x14ac:dyDescent="0.2">
      <c r="B165" s="83"/>
      <c r="C165" s="83"/>
      <c r="D165" s="83"/>
      <c r="E165" s="83"/>
      <c r="F165" s="83"/>
      <c r="G165" s="83"/>
      <c r="H165" s="83"/>
      <c r="I165" s="225"/>
    </row>
    <row r="166" spans="2:70" ht="18" customHeight="1" x14ac:dyDescent="0.2">
      <c r="B166" s="227"/>
      <c r="C166" s="227"/>
      <c r="D166" s="227"/>
      <c r="E166" s="227"/>
      <c r="F166" s="227"/>
      <c r="G166" s="227"/>
      <c r="H166" s="227"/>
      <c r="I166" s="225"/>
    </row>
    <row r="167" spans="2:70" ht="18" customHeight="1" x14ac:dyDescent="0.2">
      <c r="B167" s="83"/>
      <c r="C167" s="83"/>
      <c r="D167" s="83"/>
      <c r="E167" s="83"/>
      <c r="F167" s="83"/>
      <c r="G167" s="83"/>
      <c r="H167" s="83"/>
      <c r="I167" s="225"/>
    </row>
    <row r="168" spans="2:70" ht="18" customHeight="1" x14ac:dyDescent="0.2">
      <c r="B168" s="83"/>
      <c r="C168" s="83"/>
      <c r="D168" s="83"/>
      <c r="E168" s="83"/>
      <c r="F168" s="83"/>
      <c r="G168" s="83"/>
      <c r="H168" s="83"/>
      <c r="I168" s="225"/>
    </row>
    <row r="169" spans="2:70" ht="18" customHeight="1" x14ac:dyDescent="0.2">
      <c r="B169" s="83"/>
      <c r="C169" s="83"/>
      <c r="D169" s="83"/>
      <c r="E169" s="83"/>
      <c r="F169" s="83"/>
      <c r="G169" s="83"/>
      <c r="H169" s="83"/>
      <c r="I169" s="225"/>
    </row>
    <row r="170" spans="2:70" ht="18" customHeight="1" x14ac:dyDescent="0.2">
      <c r="B170" s="227"/>
      <c r="C170" s="227"/>
      <c r="D170" s="227"/>
      <c r="E170" s="227"/>
      <c r="F170" s="227"/>
      <c r="G170" s="227"/>
      <c r="H170" s="227"/>
      <c r="I170" s="225"/>
    </row>
    <row r="171" spans="2:70" ht="18" customHeight="1" x14ac:dyDescent="0.2">
      <c r="B171" s="83"/>
      <c r="C171" s="83"/>
      <c r="D171" s="83"/>
      <c r="E171" s="83"/>
      <c r="F171" s="83"/>
      <c r="G171" s="227"/>
      <c r="H171" s="227"/>
      <c r="I171" s="225"/>
    </row>
    <row r="172" spans="2:70" ht="18" customHeight="1" x14ac:dyDescent="0.2">
      <c r="B172" s="225"/>
      <c r="C172" s="225"/>
      <c r="D172" s="225"/>
      <c r="E172" s="225"/>
      <c r="F172" s="225"/>
      <c r="G172" s="225"/>
      <c r="H172" s="225"/>
      <c r="I172" s="225"/>
    </row>
    <row r="173" spans="2:70" ht="18" customHeight="1" x14ac:dyDescent="0.25">
      <c r="B173" s="228"/>
      <c r="C173" s="225"/>
      <c r="D173" s="225"/>
      <c r="E173" s="225"/>
      <c r="F173" s="225"/>
      <c r="G173" s="225"/>
      <c r="H173" s="225"/>
      <c r="I173" s="225"/>
    </row>
    <row r="174" spans="2:70" ht="18" customHeight="1" x14ac:dyDescent="0.2">
      <c r="B174" s="225"/>
      <c r="C174" s="225"/>
      <c r="D174" s="225"/>
      <c r="E174" s="225"/>
      <c r="F174" s="225"/>
      <c r="G174" s="225"/>
      <c r="H174" s="225"/>
      <c r="I174" s="225"/>
    </row>
    <row r="175" spans="2:70" ht="18" customHeight="1" x14ac:dyDescent="0.25">
      <c r="B175" s="83"/>
      <c r="C175" s="83"/>
      <c r="D175" s="83"/>
      <c r="E175" s="83"/>
      <c r="F175" s="83"/>
      <c r="G175" s="229"/>
      <c r="H175" s="229"/>
      <c r="I175" s="225"/>
    </row>
    <row r="176" spans="2:70" ht="18" customHeight="1" x14ac:dyDescent="0.2">
      <c r="B176" s="83"/>
      <c r="C176" s="83"/>
      <c r="D176" s="83"/>
      <c r="E176" s="83"/>
      <c r="F176" s="83"/>
      <c r="G176" s="83"/>
      <c r="H176" s="83"/>
      <c r="I176" s="225"/>
    </row>
    <row r="177" spans="2:9" ht="18" customHeight="1" x14ac:dyDescent="0.2">
      <c r="B177" s="83"/>
      <c r="C177" s="83"/>
      <c r="D177" s="83"/>
      <c r="E177" s="83"/>
      <c r="F177" s="83"/>
      <c r="G177" s="83"/>
      <c r="H177" s="83"/>
      <c r="I177" s="225"/>
    </row>
    <row r="178" spans="2:9" ht="18" customHeight="1" x14ac:dyDescent="0.2">
      <c r="B178" s="227"/>
      <c r="C178" s="227"/>
      <c r="D178" s="227"/>
      <c r="E178" s="227"/>
      <c r="F178" s="227"/>
      <c r="G178" s="227"/>
      <c r="H178" s="227"/>
      <c r="I178" s="225"/>
    </row>
    <row r="179" spans="2:9" ht="18" customHeight="1" x14ac:dyDescent="0.2">
      <c r="B179" s="83"/>
      <c r="C179" s="83"/>
      <c r="D179" s="83"/>
      <c r="E179" s="83"/>
      <c r="F179" s="83"/>
      <c r="G179" s="83"/>
      <c r="H179" s="83"/>
      <c r="I179" s="225"/>
    </row>
    <row r="180" spans="2:9" ht="18" customHeight="1" x14ac:dyDescent="0.2">
      <c r="B180" s="83"/>
      <c r="C180" s="83"/>
      <c r="D180" s="83"/>
      <c r="E180" s="83"/>
      <c r="F180" s="83"/>
      <c r="G180" s="83"/>
      <c r="H180" s="83"/>
      <c r="I180" s="225"/>
    </row>
    <row r="181" spans="2:9" ht="18" customHeight="1" x14ac:dyDescent="0.2">
      <c r="B181" s="83"/>
      <c r="C181" s="83"/>
      <c r="D181" s="83"/>
      <c r="E181" s="83"/>
      <c r="F181" s="83"/>
      <c r="G181" s="83"/>
      <c r="H181" s="83"/>
      <c r="I181" s="225"/>
    </row>
    <row r="182" spans="2:9" ht="18" customHeight="1" x14ac:dyDescent="0.2">
      <c r="B182" s="227"/>
      <c r="C182" s="227"/>
      <c r="D182" s="227"/>
      <c r="E182" s="227"/>
      <c r="F182" s="227"/>
      <c r="G182" s="227"/>
      <c r="H182" s="227"/>
      <c r="I182" s="225"/>
    </row>
    <row r="183" spans="2:9" ht="18" customHeight="1" x14ac:dyDescent="0.2">
      <c r="B183" s="83"/>
      <c r="C183" s="83"/>
      <c r="D183" s="83"/>
      <c r="E183" s="83"/>
      <c r="F183" s="83"/>
      <c r="G183" s="227"/>
      <c r="H183" s="227"/>
      <c r="I183" s="225"/>
    </row>
    <row r="184" spans="2:9" ht="18" customHeight="1" x14ac:dyDescent="0.2">
      <c r="B184" s="225"/>
      <c r="C184" s="225"/>
      <c r="D184" s="225"/>
      <c r="E184" s="225"/>
      <c r="F184" s="225"/>
      <c r="G184" s="225"/>
      <c r="H184" s="225"/>
      <c r="I184" s="225"/>
    </row>
    <row r="185" spans="2:9" ht="18" customHeight="1" x14ac:dyDescent="0.25">
      <c r="B185" s="228"/>
      <c r="C185" s="225"/>
      <c r="D185" s="225"/>
      <c r="E185" s="225"/>
      <c r="F185" s="225"/>
      <c r="G185" s="225"/>
      <c r="H185" s="225"/>
      <c r="I185" s="225"/>
    </row>
    <row r="186" spans="2:9" ht="18" customHeight="1" x14ac:dyDescent="0.2">
      <c r="B186" s="225"/>
      <c r="C186" s="225"/>
      <c r="D186" s="225"/>
      <c r="E186" s="225"/>
      <c r="F186" s="225"/>
      <c r="G186" s="225"/>
      <c r="H186" s="225"/>
      <c r="I186" s="225"/>
    </row>
    <row r="187" spans="2:9" ht="18" customHeight="1" x14ac:dyDescent="0.25">
      <c r="B187" s="83"/>
      <c r="C187" s="83"/>
      <c r="D187" s="83"/>
      <c r="E187" s="83"/>
      <c r="F187" s="83"/>
      <c r="G187" s="229"/>
      <c r="H187" s="229"/>
      <c r="I187" s="225"/>
    </row>
    <row r="188" spans="2:9" ht="18" customHeight="1" x14ac:dyDescent="0.2">
      <c r="B188" s="83"/>
      <c r="C188" s="83"/>
      <c r="D188" s="83"/>
      <c r="E188" s="83"/>
      <c r="F188" s="83"/>
      <c r="G188" s="83"/>
      <c r="H188" s="83"/>
      <c r="I188" s="225"/>
    </row>
    <row r="189" spans="2:9" ht="18" customHeight="1" x14ac:dyDescent="0.2">
      <c r="B189" s="83"/>
      <c r="C189" s="83"/>
      <c r="D189" s="83"/>
      <c r="E189" s="83"/>
      <c r="F189" s="83"/>
      <c r="G189" s="83"/>
      <c r="H189" s="83"/>
      <c r="I189" s="225"/>
    </row>
    <row r="190" spans="2:9" ht="18" customHeight="1" x14ac:dyDescent="0.2">
      <c r="B190" s="227"/>
      <c r="C190" s="227"/>
      <c r="D190" s="227"/>
      <c r="E190" s="227"/>
      <c r="F190" s="227"/>
      <c r="G190" s="227"/>
      <c r="H190" s="227"/>
      <c r="I190" s="225"/>
    </row>
    <row r="191" spans="2:9" ht="18" customHeight="1" x14ac:dyDescent="0.2">
      <c r="B191" s="83"/>
      <c r="C191" s="83"/>
      <c r="D191" s="83"/>
      <c r="E191" s="83"/>
      <c r="F191" s="83"/>
      <c r="G191" s="83"/>
      <c r="H191" s="83"/>
      <c r="I191" s="225"/>
    </row>
    <row r="192" spans="2:9" ht="18" customHeight="1" x14ac:dyDescent="0.2">
      <c r="B192" s="83"/>
      <c r="C192" s="83"/>
      <c r="D192" s="83"/>
      <c r="E192" s="83"/>
      <c r="F192" s="83"/>
      <c r="G192" s="83"/>
      <c r="H192" s="83"/>
      <c r="I192" s="225"/>
    </row>
    <row r="193" spans="2:9" ht="18" customHeight="1" x14ac:dyDescent="0.2">
      <c r="B193" s="83"/>
      <c r="C193" s="83"/>
      <c r="D193" s="83"/>
      <c r="E193" s="83"/>
      <c r="F193" s="83"/>
      <c r="G193" s="83"/>
      <c r="H193" s="83"/>
      <c r="I193" s="225"/>
    </row>
    <row r="194" spans="2:9" ht="18" customHeight="1" x14ac:dyDescent="0.2">
      <c r="B194" s="227"/>
      <c r="C194" s="227"/>
      <c r="D194" s="227"/>
      <c r="E194" s="227"/>
      <c r="F194" s="227"/>
      <c r="G194" s="227"/>
      <c r="H194" s="227"/>
      <c r="I194" s="225"/>
    </row>
    <row r="195" spans="2:9" ht="18" customHeight="1" x14ac:dyDescent="0.2">
      <c r="B195" s="83"/>
      <c r="C195" s="83"/>
      <c r="D195" s="83"/>
      <c r="E195" s="83"/>
      <c r="F195" s="83"/>
      <c r="G195" s="227"/>
      <c r="H195" s="227"/>
      <c r="I195" s="225"/>
    </row>
    <row r="196" spans="2:9" ht="18" customHeight="1" x14ac:dyDescent="0.2">
      <c r="B196" s="225"/>
      <c r="C196" s="225"/>
      <c r="D196" s="225"/>
      <c r="E196" s="225"/>
      <c r="F196" s="225"/>
      <c r="G196" s="225"/>
      <c r="H196" s="225"/>
      <c r="I196" s="225"/>
    </row>
    <row r="197" spans="2:9" ht="18" customHeight="1" x14ac:dyDescent="0.2">
      <c r="B197" s="225"/>
      <c r="C197" s="225"/>
      <c r="D197" s="225"/>
      <c r="E197" s="225"/>
      <c r="F197" s="225"/>
      <c r="G197" s="225"/>
      <c r="H197" s="225"/>
      <c r="I197" s="225"/>
    </row>
    <row r="198" spans="2:9" ht="18" customHeight="1" x14ac:dyDescent="0.25">
      <c r="B198" s="228"/>
      <c r="C198" s="225"/>
      <c r="D198" s="225"/>
      <c r="E198" s="225"/>
      <c r="F198" s="225"/>
      <c r="G198" s="225"/>
      <c r="H198" s="225"/>
      <c r="I198" s="225"/>
    </row>
    <row r="199" spans="2:9" ht="18" customHeight="1" x14ac:dyDescent="0.2">
      <c r="B199" s="225"/>
      <c r="C199" s="225"/>
      <c r="D199" s="225"/>
      <c r="E199" s="225"/>
      <c r="F199" s="225"/>
      <c r="G199" s="225"/>
      <c r="H199" s="225"/>
      <c r="I199" s="225"/>
    </row>
    <row r="200" spans="2:9" ht="18" customHeight="1" x14ac:dyDescent="0.25">
      <c r="B200" s="83"/>
      <c r="C200" s="83"/>
      <c r="D200" s="83"/>
      <c r="E200" s="83"/>
      <c r="F200" s="83"/>
      <c r="G200" s="229"/>
      <c r="H200" s="229"/>
      <c r="I200" s="225"/>
    </row>
    <row r="201" spans="2:9" ht="18" customHeight="1" x14ac:dyDescent="0.2">
      <c r="B201" s="83"/>
      <c r="C201" s="83"/>
      <c r="D201" s="83"/>
      <c r="E201" s="83"/>
      <c r="F201" s="83"/>
      <c r="G201" s="83"/>
      <c r="H201" s="83"/>
      <c r="I201" s="225"/>
    </row>
    <row r="202" spans="2:9" ht="18" customHeight="1" x14ac:dyDescent="0.2">
      <c r="B202" s="83"/>
      <c r="C202" s="83"/>
      <c r="D202" s="83"/>
      <c r="E202" s="83"/>
      <c r="F202" s="83"/>
      <c r="G202" s="83"/>
      <c r="H202" s="83"/>
      <c r="I202" s="225"/>
    </row>
    <row r="203" spans="2:9" ht="18" customHeight="1" x14ac:dyDescent="0.2">
      <c r="B203" s="230"/>
      <c r="C203" s="230"/>
      <c r="D203" s="230"/>
      <c r="E203" s="230"/>
      <c r="F203" s="231"/>
      <c r="G203" s="232"/>
      <c r="H203" s="232"/>
      <c r="I203" s="225"/>
    </row>
    <row r="204" spans="2:9" ht="18" customHeight="1" x14ac:dyDescent="0.2">
      <c r="B204" s="83"/>
      <c r="C204" s="83"/>
      <c r="D204" s="83"/>
      <c r="E204" s="83"/>
      <c r="F204" s="83"/>
      <c r="G204" s="83"/>
      <c r="H204" s="83"/>
      <c r="I204" s="225"/>
    </row>
    <row r="205" spans="2:9" ht="18" customHeight="1" x14ac:dyDescent="0.2">
      <c r="B205" s="83"/>
      <c r="C205" s="83"/>
      <c r="D205" s="83"/>
      <c r="E205" s="83"/>
      <c r="F205" s="83"/>
      <c r="G205" s="83"/>
      <c r="H205" s="83"/>
      <c r="I205" s="225"/>
    </row>
    <row r="206" spans="2:9" ht="18" customHeight="1" x14ac:dyDescent="0.2">
      <c r="B206" s="83"/>
      <c r="C206" s="83"/>
      <c r="D206" s="83"/>
      <c r="E206" s="83"/>
      <c r="F206" s="83"/>
      <c r="G206" s="83"/>
      <c r="H206" s="83"/>
      <c r="I206" s="225"/>
    </row>
    <row r="207" spans="2:9" ht="18" customHeight="1" x14ac:dyDescent="0.2">
      <c r="B207" s="227"/>
      <c r="C207" s="227"/>
      <c r="D207" s="227"/>
      <c r="E207" s="227"/>
      <c r="F207" s="227"/>
      <c r="G207" s="227"/>
      <c r="H207" s="227"/>
      <c r="I207" s="225"/>
    </row>
    <row r="208" spans="2:9" ht="18" customHeight="1" x14ac:dyDescent="0.2">
      <c r="B208" s="83"/>
      <c r="C208" s="83"/>
      <c r="D208" s="83"/>
      <c r="E208" s="83"/>
      <c r="F208" s="83"/>
      <c r="G208" s="227"/>
      <c r="H208" s="227"/>
      <c r="I208" s="225"/>
    </row>
    <row r="209" spans="2:9" ht="18" customHeight="1" x14ac:dyDescent="0.2">
      <c r="B209" s="225"/>
      <c r="C209" s="225"/>
      <c r="D209" s="225"/>
      <c r="E209" s="225"/>
      <c r="F209" s="225"/>
      <c r="G209" s="225"/>
      <c r="H209" s="225"/>
      <c r="I209" s="225"/>
    </row>
    <row r="210" spans="2:9" ht="18" customHeight="1" x14ac:dyDescent="0.2">
      <c r="B210" s="225"/>
      <c r="C210" s="225"/>
      <c r="D210" s="225"/>
      <c r="E210" s="225"/>
      <c r="F210" s="225"/>
      <c r="G210" s="225"/>
      <c r="H210" s="225"/>
      <c r="I210" s="225"/>
    </row>
    <row r="211" spans="2:9" ht="18" customHeight="1" x14ac:dyDescent="0.2">
      <c r="B211" s="225"/>
      <c r="C211" s="225"/>
      <c r="D211" s="225"/>
      <c r="E211" s="225"/>
      <c r="F211" s="225"/>
      <c r="G211" s="225"/>
      <c r="H211" s="225"/>
      <c r="I211" s="225"/>
    </row>
    <row r="212" spans="2:9" ht="18" customHeight="1" x14ac:dyDescent="0.25">
      <c r="B212" s="228"/>
      <c r="C212" s="225"/>
      <c r="D212" s="225"/>
      <c r="E212" s="225"/>
      <c r="F212" s="225"/>
      <c r="G212" s="225"/>
      <c r="H212" s="225"/>
      <c r="I212" s="225"/>
    </row>
    <row r="213" spans="2:9" ht="18" customHeight="1" x14ac:dyDescent="0.2">
      <c r="B213" s="225"/>
      <c r="C213" s="83"/>
      <c r="D213" s="83"/>
      <c r="E213" s="83"/>
      <c r="F213" s="225"/>
      <c r="G213" s="225"/>
      <c r="H213" s="225"/>
      <c r="I213" s="225"/>
    </row>
    <row r="214" spans="2:9" ht="18" customHeight="1" x14ac:dyDescent="0.25">
      <c r="B214" s="83"/>
      <c r="C214" s="83"/>
      <c r="D214" s="83"/>
      <c r="E214" s="83"/>
      <c r="F214" s="83"/>
      <c r="G214" s="229"/>
      <c r="H214" s="229"/>
      <c r="I214" s="225"/>
    </row>
    <row r="215" spans="2:9" ht="18" customHeight="1" x14ac:dyDescent="0.2">
      <c r="B215" s="83"/>
      <c r="C215" s="83"/>
      <c r="D215" s="83"/>
      <c r="E215" s="83"/>
      <c r="F215" s="83"/>
      <c r="G215" s="83"/>
      <c r="H215" s="83"/>
      <c r="I215" s="225"/>
    </row>
    <row r="216" spans="2:9" ht="18" customHeight="1" x14ac:dyDescent="0.2">
      <c r="B216" s="83"/>
      <c r="C216" s="83"/>
      <c r="D216" s="83"/>
      <c r="E216" s="83"/>
      <c r="F216" s="83"/>
      <c r="G216" s="83"/>
      <c r="H216" s="83"/>
      <c r="I216" s="225"/>
    </row>
    <row r="217" spans="2:9" ht="18" customHeight="1" x14ac:dyDescent="0.2">
      <c r="B217" s="227"/>
      <c r="C217" s="227"/>
      <c r="D217" s="227"/>
      <c r="E217" s="227"/>
      <c r="F217" s="227"/>
      <c r="G217" s="227"/>
      <c r="H217" s="227"/>
      <c r="I217" s="225"/>
    </row>
    <row r="218" spans="2:9" ht="18" customHeight="1" x14ac:dyDescent="0.2">
      <c r="B218" s="83"/>
      <c r="C218" s="83"/>
      <c r="D218" s="83"/>
      <c r="E218" s="83"/>
      <c r="F218" s="83"/>
      <c r="G218" s="83"/>
      <c r="H218" s="83"/>
      <c r="I218" s="225"/>
    </row>
    <row r="219" spans="2:9" ht="18" customHeight="1" x14ac:dyDescent="0.25">
      <c r="B219" s="228"/>
      <c r="C219" s="225"/>
      <c r="D219" s="225"/>
      <c r="E219" s="225"/>
      <c r="F219" s="225"/>
      <c r="G219" s="225"/>
      <c r="H219" s="225"/>
      <c r="I219" s="225"/>
    </row>
    <row r="220" spans="2:9" ht="18" customHeight="1" x14ac:dyDescent="0.2">
      <c r="B220" s="225"/>
      <c r="C220" s="83"/>
      <c r="D220" s="83"/>
      <c r="E220" s="83"/>
      <c r="F220" s="225"/>
      <c r="G220" s="225"/>
      <c r="H220" s="225"/>
      <c r="I220" s="225"/>
    </row>
    <row r="221" spans="2:9" ht="18" customHeight="1" x14ac:dyDescent="0.25">
      <c r="B221" s="83"/>
      <c r="C221" s="83"/>
      <c r="D221" s="83"/>
      <c r="E221" s="83"/>
      <c r="F221" s="83"/>
      <c r="G221" s="229"/>
      <c r="H221" s="229"/>
      <c r="I221" s="225"/>
    </row>
    <row r="222" spans="2:9" ht="18" customHeight="1" x14ac:dyDescent="0.2">
      <c r="B222" s="83"/>
      <c r="C222" s="83"/>
      <c r="D222" s="83"/>
      <c r="E222" s="83"/>
      <c r="F222" s="83"/>
      <c r="G222" s="83"/>
      <c r="H222" s="83"/>
      <c r="I222" s="225"/>
    </row>
    <row r="223" spans="2:9" ht="18" customHeight="1" x14ac:dyDescent="0.2">
      <c r="B223" s="83"/>
      <c r="C223" s="83"/>
      <c r="D223" s="83"/>
      <c r="E223" s="83"/>
      <c r="F223" s="83"/>
      <c r="G223" s="83"/>
      <c r="H223" s="83"/>
      <c r="I223" s="225"/>
    </row>
    <row r="224" spans="2:9" ht="18" customHeight="1" x14ac:dyDescent="0.2">
      <c r="B224" s="227"/>
      <c r="C224" s="227"/>
      <c r="D224" s="227"/>
      <c r="E224" s="227"/>
      <c r="F224" s="227"/>
      <c r="G224" s="227"/>
      <c r="H224" s="227"/>
      <c r="I224" s="225"/>
    </row>
    <row r="225" spans="2:9" ht="18" customHeight="1" x14ac:dyDescent="0.2">
      <c r="B225" s="83"/>
      <c r="C225" s="83"/>
      <c r="D225" s="83"/>
      <c r="E225" s="83"/>
      <c r="F225" s="83"/>
      <c r="G225" s="83"/>
      <c r="H225" s="83"/>
      <c r="I225" s="225"/>
    </row>
    <row r="226" spans="2:9" ht="18" customHeight="1" x14ac:dyDescent="0.25">
      <c r="B226" s="228"/>
      <c r="C226" s="225"/>
      <c r="D226" s="225"/>
      <c r="E226" s="225"/>
      <c r="F226" s="225"/>
      <c r="G226" s="225"/>
      <c r="H226" s="225"/>
      <c r="I226" s="225"/>
    </row>
    <row r="227" spans="2:9" ht="18" customHeight="1" x14ac:dyDescent="0.2">
      <c r="B227" s="225"/>
      <c r="C227" s="83"/>
      <c r="D227" s="83"/>
      <c r="E227" s="83"/>
      <c r="F227" s="225"/>
      <c r="G227" s="225"/>
      <c r="H227" s="225"/>
      <c r="I227" s="225"/>
    </row>
    <row r="228" spans="2:9" ht="18" customHeight="1" x14ac:dyDescent="0.25">
      <c r="B228" s="83"/>
      <c r="C228" s="83"/>
      <c r="D228" s="83"/>
      <c r="E228" s="83"/>
      <c r="F228" s="83"/>
      <c r="G228" s="229"/>
      <c r="H228" s="229"/>
      <c r="I228" s="225"/>
    </row>
    <row r="229" spans="2:9" ht="18" customHeight="1" x14ac:dyDescent="0.2">
      <c r="B229" s="83"/>
      <c r="C229" s="83"/>
      <c r="D229" s="83"/>
      <c r="E229" s="83"/>
      <c r="F229" s="83"/>
      <c r="G229" s="83"/>
      <c r="H229" s="83"/>
      <c r="I229" s="225"/>
    </row>
    <row r="230" spans="2:9" ht="18" customHeight="1" x14ac:dyDescent="0.2">
      <c r="B230" s="83"/>
      <c r="C230" s="83"/>
      <c r="D230" s="83"/>
      <c r="E230" s="83"/>
      <c r="F230" s="83"/>
      <c r="G230" s="83"/>
      <c r="H230" s="83"/>
      <c r="I230" s="225"/>
    </row>
    <row r="231" spans="2:9" ht="18" customHeight="1" x14ac:dyDescent="0.2">
      <c r="B231" s="227"/>
      <c r="C231" s="227"/>
      <c r="D231" s="227"/>
      <c r="E231" s="227"/>
      <c r="F231" s="227"/>
      <c r="G231" s="227"/>
      <c r="H231" s="227"/>
      <c r="I231" s="225"/>
    </row>
    <row r="232" spans="2:9" ht="18" customHeight="1" x14ac:dyDescent="0.2">
      <c r="B232" s="83"/>
      <c r="C232" s="83"/>
      <c r="D232" s="83"/>
      <c r="E232" s="83"/>
      <c r="F232" s="83"/>
      <c r="G232" s="83"/>
      <c r="H232" s="83"/>
      <c r="I232" s="225"/>
    </row>
    <row r="233" spans="2:9" ht="18" customHeight="1" x14ac:dyDescent="0.25">
      <c r="B233" s="228"/>
      <c r="C233" s="225"/>
      <c r="D233" s="225"/>
      <c r="E233" s="225"/>
      <c r="F233" s="225"/>
      <c r="G233" s="225"/>
      <c r="H233" s="225"/>
      <c r="I233" s="225"/>
    </row>
    <row r="234" spans="2:9" ht="18" customHeight="1" x14ac:dyDescent="0.2">
      <c r="B234" s="225"/>
      <c r="C234" s="83"/>
      <c r="D234" s="83"/>
      <c r="E234" s="83"/>
      <c r="F234" s="225"/>
      <c r="G234" s="225"/>
      <c r="H234" s="225"/>
      <c r="I234" s="225"/>
    </row>
    <row r="235" spans="2:9" ht="18" customHeight="1" x14ac:dyDescent="0.25">
      <c r="B235" s="83"/>
      <c r="C235" s="83"/>
      <c r="D235" s="83"/>
      <c r="E235" s="83"/>
      <c r="F235" s="83"/>
      <c r="G235" s="229"/>
      <c r="H235" s="229"/>
      <c r="I235" s="225"/>
    </row>
    <row r="236" spans="2:9" ht="18" customHeight="1" x14ac:dyDescent="0.2">
      <c r="B236" s="83"/>
      <c r="C236" s="83"/>
      <c r="D236" s="83"/>
      <c r="E236" s="83"/>
      <c r="F236" s="83"/>
      <c r="G236" s="83"/>
      <c r="H236" s="83"/>
      <c r="I236" s="225"/>
    </row>
    <row r="237" spans="2:9" ht="18" customHeight="1" x14ac:dyDescent="0.2">
      <c r="B237" s="83"/>
      <c r="C237" s="83"/>
      <c r="D237" s="83"/>
      <c r="E237" s="83"/>
      <c r="F237" s="83"/>
      <c r="G237" s="83"/>
      <c r="H237" s="83"/>
      <c r="I237" s="225"/>
    </row>
    <row r="238" spans="2:9" ht="18" customHeight="1" x14ac:dyDescent="0.2">
      <c r="B238" s="227"/>
      <c r="C238" s="227"/>
      <c r="D238" s="227"/>
      <c r="E238" s="227"/>
      <c r="F238" s="227"/>
      <c r="G238" s="227"/>
      <c r="H238" s="227"/>
      <c r="I238" s="225"/>
    </row>
    <row r="239" spans="2:9" ht="18" customHeight="1" x14ac:dyDescent="0.2">
      <c r="B239" s="83"/>
      <c r="C239" s="83"/>
      <c r="D239" s="83"/>
      <c r="E239" s="83"/>
      <c r="F239" s="83"/>
      <c r="G239" s="83"/>
      <c r="H239" s="83"/>
      <c r="I239" s="225"/>
    </row>
    <row r="240" spans="2:9" ht="18" customHeight="1" x14ac:dyDescent="0.2">
      <c r="B240" s="225"/>
      <c r="C240" s="225"/>
      <c r="D240" s="225"/>
      <c r="E240" s="225"/>
      <c r="F240" s="225"/>
      <c r="G240" s="225"/>
      <c r="H240" s="225"/>
      <c r="I240" s="225"/>
    </row>
    <row r="241" spans="2:9" ht="18" customHeight="1" x14ac:dyDescent="0.2">
      <c r="B241" s="225"/>
      <c r="C241" s="225"/>
      <c r="D241" s="225"/>
      <c r="E241" s="225"/>
      <c r="F241" s="225"/>
      <c r="G241" s="225"/>
      <c r="H241" s="225"/>
      <c r="I241" s="225"/>
    </row>
    <row r="242" spans="2:9" ht="18" customHeight="1" x14ac:dyDescent="0.2">
      <c r="B242" s="225"/>
      <c r="C242" s="225"/>
      <c r="D242" s="225"/>
      <c r="E242" s="225"/>
      <c r="F242" s="225"/>
      <c r="G242" s="225"/>
      <c r="H242" s="225"/>
      <c r="I242" s="225"/>
    </row>
  </sheetData>
  <sheetProtection password="AD51" sheet="1" objects="1" scenarios="1"/>
  <mergeCells count="87">
    <mergeCell ref="AO54:AR54"/>
    <mergeCell ref="AS54:AU54"/>
    <mergeCell ref="AX35:BE35"/>
    <mergeCell ref="AX20:BE20"/>
    <mergeCell ref="AX42:BE42"/>
    <mergeCell ref="AS53:AU53"/>
    <mergeCell ref="AY34:BB34"/>
    <mergeCell ref="BC34:BE34"/>
    <mergeCell ref="AN55:AU55"/>
    <mergeCell ref="AN81:AU81"/>
    <mergeCell ref="AN61:AU61"/>
    <mergeCell ref="AO73:AR73"/>
    <mergeCell ref="AS73:AU73"/>
    <mergeCell ref="AO74:AR74"/>
    <mergeCell ref="AS74:AU74"/>
    <mergeCell ref="AN75:AU75"/>
    <mergeCell ref="AX64:BE64"/>
    <mergeCell ref="AY56:BB56"/>
    <mergeCell ref="BC56:BE56"/>
    <mergeCell ref="AY57:BB57"/>
    <mergeCell ref="BC57:BE57"/>
    <mergeCell ref="AX58:BE58"/>
    <mergeCell ref="AY13:BB13"/>
    <mergeCell ref="BC13:BE13"/>
    <mergeCell ref="AS33:AU33"/>
    <mergeCell ref="AN20:AU20"/>
    <mergeCell ref="AX14:BE14"/>
    <mergeCell ref="AY33:BB33"/>
    <mergeCell ref="BC33:BE33"/>
    <mergeCell ref="B37:I37"/>
    <mergeCell ref="AO32:AR32"/>
    <mergeCell ref="B46:J46"/>
    <mergeCell ref="AN41:AU41"/>
    <mergeCell ref="AS32:AU32"/>
    <mergeCell ref="AO33:AR33"/>
    <mergeCell ref="AN34:AU34"/>
    <mergeCell ref="AO53:AR53"/>
    <mergeCell ref="AF30:AJ30"/>
    <mergeCell ref="AG26:AJ26"/>
    <mergeCell ref="Y29:AC29"/>
    <mergeCell ref="AF29:AJ29"/>
    <mergeCell ref="B22:I22"/>
    <mergeCell ref="Z21:AF21"/>
    <mergeCell ref="N19:T19"/>
    <mergeCell ref="P15:S15"/>
    <mergeCell ref="Z15:AF15"/>
    <mergeCell ref="Z16:AF16"/>
    <mergeCell ref="Z17:AF17"/>
    <mergeCell ref="Z18:AF18"/>
    <mergeCell ref="Z22:AF22"/>
    <mergeCell ref="AS13:AU13"/>
    <mergeCell ref="AO12:AR12"/>
    <mergeCell ref="P14:S14"/>
    <mergeCell ref="P13:S13"/>
    <mergeCell ref="B21:I21"/>
    <mergeCell ref="AG21:AJ21"/>
    <mergeCell ref="B13:I13"/>
    <mergeCell ref="B12:I12"/>
    <mergeCell ref="B11:I11"/>
    <mergeCell ref="M11:T11"/>
    <mergeCell ref="B2:C2"/>
    <mergeCell ref="B3:C3"/>
    <mergeCell ref="B4:C4"/>
    <mergeCell ref="B6:C6"/>
    <mergeCell ref="Y30:AC30"/>
    <mergeCell ref="Z26:AF26"/>
    <mergeCell ref="AG19:AJ19"/>
    <mergeCell ref="Z19:AF19"/>
    <mergeCell ref="Z23:AF23"/>
    <mergeCell ref="Z24:AF24"/>
    <mergeCell ref="Z25:AF25"/>
    <mergeCell ref="BS11:BY11"/>
    <mergeCell ref="AG18:AJ18"/>
    <mergeCell ref="X11:AJ11"/>
    <mergeCell ref="AN11:AU11"/>
    <mergeCell ref="AX11:BE11"/>
    <mergeCell ref="AY12:BB12"/>
    <mergeCell ref="BC12:BE12"/>
    <mergeCell ref="AG15:AJ15"/>
    <mergeCell ref="AG16:AJ16"/>
    <mergeCell ref="AG17:AJ17"/>
    <mergeCell ref="BI11:BK11"/>
    <mergeCell ref="AS12:AU12"/>
    <mergeCell ref="Z14:AF14"/>
    <mergeCell ref="AG14:AJ14"/>
    <mergeCell ref="AN14:AU14"/>
    <mergeCell ref="AO13:AR13"/>
  </mergeCells>
  <phoneticPr fontId="25" type="noConversion"/>
  <pageMargins left="0.75" right="0.75" top="1" bottom="1" header="0" footer="0"/>
  <pageSetup scale="10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3:HY664"/>
  <sheetViews>
    <sheetView showGridLines="0" zoomScale="40" zoomScaleNormal="55" workbookViewId="0">
      <selection activeCell="A23" sqref="A23"/>
    </sheetView>
  </sheetViews>
  <sheetFormatPr baseColWidth="10" defaultColWidth="11.140625" defaultRowHeight="25.5" x14ac:dyDescent="0.35"/>
  <cols>
    <col min="1" max="16384" width="11.140625" style="777"/>
  </cols>
  <sheetData>
    <row r="3" spans="1:233" ht="79.5" customHeight="1" x14ac:dyDescent="0.35">
      <c r="C3" s="777" t="s">
        <v>835</v>
      </c>
      <c r="GX3" s="838"/>
      <c r="GY3" s="838"/>
      <c r="GZ3" s="838"/>
      <c r="HA3" s="838"/>
      <c r="HB3" s="838"/>
      <c r="HC3" s="838"/>
      <c r="HD3" s="838"/>
      <c r="HT3" s="838"/>
      <c r="HU3" s="838"/>
      <c r="HV3" s="838"/>
      <c r="HW3" s="838"/>
      <c r="HX3" s="838"/>
      <c r="HY3" s="838"/>
    </row>
    <row r="4" spans="1:233" ht="26.25" x14ac:dyDescent="0.4">
      <c r="A4" s="838"/>
      <c r="AA4" s="838"/>
      <c r="AY4" s="838"/>
      <c r="AZ4" s="838"/>
      <c r="BA4" s="838"/>
      <c r="BB4" s="838"/>
      <c r="BC4" s="838"/>
      <c r="BD4" s="838"/>
      <c r="BE4" s="838"/>
      <c r="BF4" s="838"/>
      <c r="BG4" s="838"/>
      <c r="BH4" s="838"/>
      <c r="BI4" s="838"/>
      <c r="BJ4" s="838"/>
      <c r="BK4" s="838"/>
      <c r="BL4" s="838"/>
      <c r="BM4" s="838"/>
      <c r="BN4" s="838"/>
      <c r="BO4" s="838"/>
      <c r="BP4" s="838"/>
      <c r="BQ4" s="838"/>
      <c r="BR4" s="838"/>
      <c r="BS4" s="838"/>
      <c r="BT4" s="838"/>
      <c r="BU4" s="838"/>
      <c r="BV4" s="838"/>
      <c r="BW4" s="838"/>
      <c r="CU4" s="838"/>
      <c r="CV4" s="678"/>
      <c r="CW4" s="678"/>
      <c r="CX4" s="678"/>
      <c r="CY4" s="678"/>
      <c r="CZ4" s="678"/>
      <c r="DA4" s="678"/>
      <c r="DB4" s="678"/>
      <c r="DC4" s="678"/>
      <c r="DD4" s="678"/>
      <c r="DE4" s="678"/>
      <c r="DF4" s="678"/>
      <c r="DG4" s="678"/>
      <c r="DH4" s="678"/>
      <c r="DI4" s="678"/>
      <c r="DJ4" s="678"/>
      <c r="DK4" s="678"/>
      <c r="DL4" s="678"/>
      <c r="DM4" s="678"/>
      <c r="DN4" s="678"/>
      <c r="DO4" s="678"/>
      <c r="DP4" s="678"/>
      <c r="DQ4" s="678"/>
      <c r="DR4" s="678"/>
      <c r="DS4" s="838"/>
      <c r="DT4" s="678"/>
      <c r="DU4" s="678"/>
      <c r="DV4" s="678"/>
      <c r="DW4" s="678"/>
      <c r="DX4" s="678"/>
      <c r="DY4" s="678"/>
      <c r="DZ4" s="678"/>
      <c r="EA4" s="678"/>
      <c r="EB4" s="678"/>
      <c r="EC4" s="678"/>
      <c r="ED4" s="678"/>
      <c r="EE4" s="678"/>
      <c r="EF4" s="678"/>
      <c r="EG4" s="678"/>
      <c r="EH4" s="678"/>
      <c r="EI4" s="678"/>
      <c r="EJ4" s="678"/>
      <c r="EK4" s="678"/>
      <c r="EL4" s="678"/>
      <c r="EM4" s="678"/>
      <c r="EN4" s="678"/>
      <c r="EO4" s="678"/>
      <c r="EP4" s="678"/>
      <c r="EQ4" s="838"/>
      <c r="ER4" s="678"/>
      <c r="ES4" s="678"/>
      <c r="ET4" s="678"/>
      <c r="EU4" s="678"/>
      <c r="EV4" s="678"/>
      <c r="EW4" s="678"/>
      <c r="EX4" s="678"/>
      <c r="EY4" s="678"/>
      <c r="EZ4" s="678"/>
      <c r="FA4" s="678"/>
      <c r="FB4" s="678"/>
      <c r="FC4" s="678"/>
      <c r="FD4" s="678"/>
      <c r="FE4" s="678"/>
      <c r="FF4" s="678"/>
      <c r="FG4" s="678"/>
      <c r="FH4" s="678"/>
      <c r="FI4" s="678"/>
      <c r="FJ4" s="678"/>
      <c r="FK4" s="678"/>
      <c r="FL4" s="678"/>
      <c r="FM4" s="678"/>
      <c r="FN4" s="678"/>
      <c r="FO4" s="838"/>
      <c r="FQ4" s="868"/>
      <c r="FR4" s="868"/>
      <c r="FS4" s="868"/>
      <c r="FT4" s="868"/>
      <c r="FU4" s="868"/>
      <c r="FV4" s="868"/>
      <c r="FW4" s="868"/>
      <c r="FX4" s="868"/>
      <c r="FY4" s="868"/>
      <c r="FZ4" s="868"/>
      <c r="GA4" s="868"/>
      <c r="GB4" s="868"/>
      <c r="GC4" s="868"/>
      <c r="GD4" s="868"/>
      <c r="GE4" s="868"/>
      <c r="GF4" s="868"/>
      <c r="GX4" s="838"/>
      <c r="GY4" s="838"/>
      <c r="GZ4" s="838"/>
      <c r="HA4" s="838"/>
      <c r="HB4" s="838"/>
      <c r="HC4" s="838"/>
      <c r="HD4" s="838"/>
      <c r="HT4" s="838"/>
      <c r="HU4" s="838"/>
      <c r="HV4" s="838"/>
      <c r="HW4" s="838"/>
      <c r="HX4" s="838"/>
      <c r="HY4" s="838"/>
    </row>
    <row r="5" spans="1:233" ht="26.25" x14ac:dyDescent="0.4">
      <c r="A5" s="838"/>
      <c r="C5" s="1469" t="s">
        <v>983</v>
      </c>
      <c r="D5" s="1469"/>
      <c r="E5" s="1469"/>
      <c r="F5" s="1469"/>
      <c r="G5" s="1469"/>
      <c r="H5" s="1469"/>
      <c r="I5" s="1469"/>
      <c r="J5" s="1469"/>
      <c r="K5" s="1469"/>
      <c r="L5" s="1469"/>
      <c r="M5" s="1469"/>
      <c r="N5" s="1469"/>
      <c r="O5" s="868"/>
      <c r="P5" s="1469" t="s">
        <v>72</v>
      </c>
      <c r="Q5" s="1469"/>
      <c r="R5" s="1469"/>
      <c r="S5" s="1469"/>
      <c r="T5" s="1469"/>
      <c r="U5" s="1469"/>
      <c r="V5" s="1469"/>
      <c r="W5" s="1469"/>
      <c r="X5" s="1469"/>
      <c r="Y5" s="1469"/>
      <c r="Z5" s="1469"/>
      <c r="AA5" s="1469"/>
      <c r="AC5" s="1469" t="s">
        <v>793</v>
      </c>
      <c r="AD5" s="1469"/>
      <c r="AE5" s="1469"/>
      <c r="AF5" s="1469"/>
      <c r="AG5" s="1469"/>
      <c r="AH5" s="1469"/>
      <c r="AI5" s="1469"/>
      <c r="AJ5" s="1469"/>
      <c r="AK5" s="1469"/>
      <c r="AL5" s="1469"/>
      <c r="AM5" s="1469"/>
      <c r="AN5" s="1469"/>
      <c r="AO5" s="868"/>
      <c r="AP5" s="868"/>
      <c r="AQ5" s="868"/>
      <c r="AR5" s="868"/>
      <c r="AS5" s="868"/>
      <c r="AT5" s="868"/>
      <c r="AU5" s="868"/>
      <c r="AV5" s="868"/>
      <c r="AW5" s="868"/>
      <c r="AX5" s="868"/>
      <c r="AY5" s="838"/>
      <c r="AZ5" s="1081"/>
      <c r="BA5" s="1081"/>
      <c r="BG5" s="1081" t="s">
        <v>1160</v>
      </c>
      <c r="BH5" s="1081"/>
      <c r="BI5" s="1081"/>
      <c r="BJ5" s="1081"/>
      <c r="BK5" s="1081"/>
      <c r="BL5" s="1081"/>
      <c r="BM5" s="1081"/>
      <c r="BN5" s="1081"/>
      <c r="BO5" s="1081"/>
      <c r="BP5" s="1081"/>
      <c r="BQ5" s="1081"/>
      <c r="BR5" s="1081"/>
      <c r="BS5" s="1081"/>
      <c r="BT5" s="1081" t="s">
        <v>1163</v>
      </c>
      <c r="BU5" s="1081"/>
      <c r="BV5" s="1081"/>
      <c r="BW5" s="1081"/>
      <c r="BX5" s="1081"/>
      <c r="BY5" s="1081"/>
      <c r="BZ5" s="1081"/>
      <c r="CA5" s="1081"/>
      <c r="CB5" s="1081"/>
      <c r="CC5" s="678"/>
      <c r="CD5" s="678"/>
      <c r="CE5" s="678"/>
      <c r="CF5" s="678"/>
      <c r="CG5" s="678" t="s">
        <v>1162</v>
      </c>
      <c r="CH5" s="678"/>
      <c r="CI5" s="678"/>
      <c r="CJ5" s="678"/>
      <c r="CK5" s="678"/>
      <c r="CL5" s="678"/>
      <c r="CM5" s="678"/>
      <c r="CN5" s="678"/>
      <c r="CO5" s="678"/>
      <c r="CP5" s="678"/>
      <c r="CQ5" s="678"/>
      <c r="CR5" s="678"/>
      <c r="CS5" s="678"/>
      <c r="CT5" s="678" t="s">
        <v>1161</v>
      </c>
      <c r="CU5" s="678"/>
      <c r="CV5" s="678"/>
      <c r="CW5" s="678"/>
      <c r="CX5" s="678"/>
      <c r="CY5" s="678"/>
      <c r="CZ5" s="838"/>
      <c r="DA5" s="678"/>
      <c r="DB5" s="678"/>
      <c r="DC5" s="678"/>
      <c r="DD5" s="678"/>
      <c r="DE5" s="678"/>
      <c r="DF5" s="678"/>
      <c r="DG5" s="678"/>
      <c r="DH5" s="678"/>
      <c r="DI5" s="678"/>
      <c r="DJ5" s="678"/>
      <c r="DK5" s="678"/>
      <c r="DL5" s="678"/>
      <c r="DM5" s="678"/>
      <c r="DN5" s="678"/>
      <c r="DO5" s="678"/>
      <c r="DP5" s="678"/>
      <c r="DQ5" s="678"/>
      <c r="DR5" s="678"/>
      <c r="DS5" s="838"/>
      <c r="EQ5" s="838"/>
      <c r="FO5" s="838"/>
      <c r="FQ5" s="963"/>
      <c r="FR5" s="852"/>
      <c r="FS5" s="852"/>
      <c r="FT5" s="852"/>
      <c r="GE5" s="702"/>
      <c r="GF5" s="702"/>
      <c r="GG5" s="702"/>
      <c r="GH5" s="702"/>
      <c r="GI5" s="702"/>
      <c r="GJ5" s="702"/>
      <c r="GK5" s="702"/>
      <c r="GL5" s="702"/>
      <c r="GM5" s="702"/>
      <c r="GN5" s="702"/>
      <c r="GO5" s="702"/>
      <c r="GP5" s="702"/>
      <c r="GQ5" s="702"/>
      <c r="GR5" s="702"/>
      <c r="GS5" s="702"/>
      <c r="GT5" s="702"/>
      <c r="GU5" s="702"/>
      <c r="GV5" s="702"/>
      <c r="GW5" s="702"/>
      <c r="GX5" s="702"/>
      <c r="GY5" s="702"/>
      <c r="GZ5" s="702"/>
      <c r="HA5" s="702"/>
      <c r="HB5" s="838"/>
      <c r="HC5" s="702"/>
      <c r="HD5" s="701"/>
      <c r="HE5" s="701"/>
      <c r="HF5" s="701"/>
      <c r="HG5" s="701"/>
      <c r="HH5" s="701"/>
      <c r="HI5" s="701"/>
      <c r="HJ5" s="701"/>
      <c r="HK5" s="701"/>
      <c r="HL5" s="701"/>
      <c r="HM5" s="701"/>
      <c r="HN5" s="701"/>
      <c r="HO5" s="701"/>
      <c r="HP5" s="701"/>
      <c r="HQ5" s="701"/>
      <c r="HR5" s="701"/>
      <c r="HS5" s="701"/>
      <c r="HT5" s="701"/>
      <c r="HU5" s="701"/>
      <c r="HV5" s="701"/>
      <c r="HW5" s="701"/>
      <c r="HX5" s="701"/>
      <c r="HY5" s="701"/>
    </row>
    <row r="6" spans="1:233" x14ac:dyDescent="0.35">
      <c r="A6" s="838"/>
      <c r="AA6" s="838"/>
      <c r="AY6" s="838"/>
      <c r="AZ6" s="838"/>
      <c r="BA6" s="838"/>
      <c r="BB6" s="838"/>
      <c r="BC6" s="838"/>
      <c r="BD6" s="838"/>
      <c r="BE6" s="838"/>
      <c r="BF6" s="838"/>
      <c r="BG6" s="838"/>
      <c r="BH6" s="838"/>
      <c r="BI6" s="838"/>
      <c r="BJ6" s="838"/>
      <c r="BK6" s="838"/>
      <c r="BL6" s="855"/>
      <c r="BM6" s="838"/>
      <c r="BN6" s="838"/>
      <c r="BO6" s="838"/>
      <c r="BP6" s="838"/>
      <c r="BQ6" s="838"/>
      <c r="BR6" s="838"/>
      <c r="BS6" s="838"/>
      <c r="BT6" s="838"/>
      <c r="BU6" s="838"/>
      <c r="BV6" s="838"/>
      <c r="BW6" s="838"/>
      <c r="CU6" s="838"/>
      <c r="DS6" s="838"/>
      <c r="EQ6" s="838"/>
      <c r="FO6" s="838"/>
      <c r="FQ6" s="852"/>
      <c r="FR6" s="852"/>
      <c r="FS6" s="852"/>
      <c r="FT6" s="852"/>
      <c r="GX6" s="838"/>
      <c r="GY6" s="838"/>
      <c r="GZ6" s="838"/>
      <c r="HA6" s="838"/>
      <c r="HB6" s="838"/>
      <c r="HC6" s="838"/>
      <c r="HD6" s="838"/>
      <c r="HT6" s="838"/>
      <c r="HU6" s="838"/>
      <c r="HV6" s="838"/>
      <c r="HW6" s="838"/>
      <c r="HX6" s="838"/>
      <c r="HY6" s="838"/>
    </row>
    <row r="7" spans="1:233" ht="26.25" customHeight="1" x14ac:dyDescent="0.35">
      <c r="A7" s="1471" t="s">
        <v>1164</v>
      </c>
      <c r="B7" s="1471"/>
      <c r="C7" s="696">
        <f>IF('1 PISO TECHO'!C18="M8",'1 PISO TECHO'!C22*2,0)</f>
        <v>0</v>
      </c>
      <c r="D7" s="697">
        <f>IF('1 PISO TECHO'!D18="M8",'1 PISO TECHO'!D22*2,0)</f>
        <v>0</v>
      </c>
      <c r="E7" s="697">
        <f>IF('1 PISO TECHO'!E18="M8",'1 PISO TECHO'!E22*2,0)</f>
        <v>0</v>
      </c>
      <c r="F7" s="697">
        <f>IF('1 PISO TECHO'!F18="M8",'1 PISO TECHO'!F22*2,0)</f>
        <v>0</v>
      </c>
      <c r="G7" s="697">
        <f>IF('1 PISO TECHO'!G18="M8",'1 PISO TECHO'!G22*2,0)</f>
        <v>0</v>
      </c>
      <c r="H7" s="697">
        <f>IF('1 PISO TECHO'!H18="M8",'1 PISO TECHO'!H22*2,0)</f>
        <v>0</v>
      </c>
      <c r="I7" s="697">
        <f>IF('1 PISO TECHO'!I18="M8",'1 PISO TECHO'!I22*2,0)</f>
        <v>0</v>
      </c>
      <c r="J7" s="697">
        <f>IF('1 PISO TECHO'!J18="M8",'1 PISO TECHO'!J22*2,0)</f>
        <v>0</v>
      </c>
      <c r="K7" s="697">
        <f>IF('1 PISO TECHO'!K18="M8",'1 PISO TECHO'!K22*2,0)</f>
        <v>0</v>
      </c>
      <c r="L7" s="697">
        <f>IF('1 PISO TECHO'!L18="M8",'1 PISO TECHO'!L22*2,0)</f>
        <v>0</v>
      </c>
      <c r="M7" s="697">
        <f>IF('1 PISO TECHO'!M18="M8",'1 PISO TECHO'!M22*2,0)</f>
        <v>0</v>
      </c>
      <c r="N7" s="1082">
        <f>IF('1 PISO TECHO'!N18="M8",'1 PISO TECHO'!N22*2,0)</f>
        <v>0</v>
      </c>
      <c r="O7" s="842">
        <f>SUM(C7:N10)</f>
        <v>0</v>
      </c>
      <c r="P7" s="843">
        <f>IF(OR('1 PISO TECHO'!C18="M8",'1 PISO TECHO'!C18="P1",),IF(OR('1 PISO TECHO'!C14="V",'1 PISO TECHO'!C14="VT",'1 PISO TECHO'!C14="VSB",'1 PISO TECHO'!C14="VTT",),1,0))*'1 PISO TECHO'!C22</f>
        <v>0</v>
      </c>
      <c r="Q7" s="841">
        <f>IF(OR('1 PISO TECHO'!D18="M8",'1 PISO TECHO'!D18="P1",),IF(OR('1 PISO TECHO'!D14="V",'1 PISO TECHO'!D14="VT",'1 PISO TECHO'!D14="VSB",'1 PISO TECHO'!D14="VTT",),1,0))*'1 PISO TECHO'!D22</f>
        <v>0</v>
      </c>
      <c r="R7" s="841">
        <f>IF(OR('1 PISO TECHO'!E18="M8",'1 PISO TECHO'!E18="P1",),IF(OR('1 PISO TECHO'!E14="V",'1 PISO TECHO'!E14="VT",'1 PISO TECHO'!E14="VSB",'1 PISO TECHO'!E14="VTT",),1,0))*'1 PISO TECHO'!E22</f>
        <v>0</v>
      </c>
      <c r="S7" s="841">
        <f>IF(OR('1 PISO TECHO'!F18="M8",'1 PISO TECHO'!F18="P1",),IF(OR('1 PISO TECHO'!F14="V",'1 PISO TECHO'!F14="VT",'1 PISO TECHO'!F14="VSB",'1 PISO TECHO'!F14="VTT",),1,0))*'1 PISO TECHO'!F22</f>
        <v>0</v>
      </c>
      <c r="T7" s="841">
        <f>IF(OR('1 PISO TECHO'!G18="M8",'1 PISO TECHO'!G18="P1",),IF(OR('1 PISO TECHO'!G14="V",'1 PISO TECHO'!G14="VT",'1 PISO TECHO'!G14="VSB",'1 PISO TECHO'!G14="VTT",),1,0))*'1 PISO TECHO'!G22</f>
        <v>0</v>
      </c>
      <c r="U7" s="841">
        <f>IF(OR('1 PISO TECHO'!H18="M8",'1 PISO TECHO'!H18="P1",),IF(OR('1 PISO TECHO'!H14="V",'1 PISO TECHO'!H14="VT",'1 PISO TECHO'!H14="VSB",'1 PISO TECHO'!H14="VTT",),1,0))*'1 PISO TECHO'!H22</f>
        <v>0</v>
      </c>
      <c r="V7" s="841">
        <f>IF(OR('1 PISO TECHO'!I18="M8",'1 PISO TECHO'!I18="P1",),IF(OR('1 PISO TECHO'!I14="V",'1 PISO TECHO'!I14="VT",'1 PISO TECHO'!I14="VSB",'1 PISO TECHO'!I14="VTT",),1,0))*'1 PISO TECHO'!I22</f>
        <v>0</v>
      </c>
      <c r="W7" s="841">
        <f>IF(OR('1 PISO TECHO'!J18="M8",'1 PISO TECHO'!J18="P1",),IF(OR('1 PISO TECHO'!J14="V",'1 PISO TECHO'!J14="VT",'1 PISO TECHO'!J14="VSB",'1 PISO TECHO'!J14="VTT",),1,0))*'1 PISO TECHO'!J22</f>
        <v>0</v>
      </c>
      <c r="X7" s="841">
        <f>IF(OR('1 PISO TECHO'!K18="M8",'1 PISO TECHO'!K18="P1",),IF(OR('1 PISO TECHO'!K14="V",'1 PISO TECHO'!K14="VT",'1 PISO TECHO'!K14="VSB",'1 PISO TECHO'!K14="VTT",),1,0))*'1 PISO TECHO'!K22</f>
        <v>0</v>
      </c>
      <c r="Y7" s="841">
        <f>IF(OR('1 PISO TECHO'!L18="M8",'1 PISO TECHO'!L18="P1",),IF(OR('1 PISO TECHO'!L14="V",'1 PISO TECHO'!L14="VT",'1 PISO TECHO'!L14="VSB",'1 PISO TECHO'!L14="VTT",),1,0))*'1 PISO TECHO'!L22</f>
        <v>0</v>
      </c>
      <c r="Z7" s="841">
        <f>IF(OR('1 PISO TECHO'!M18="M8",'1 PISO TECHO'!M18="P1",),IF(OR('1 PISO TECHO'!M14="V",'1 PISO TECHO'!M14="VT",'1 PISO TECHO'!M14="VSB",'1 PISO TECHO'!M14="VTT",),1,0))*'1 PISO TECHO'!M22</f>
        <v>0</v>
      </c>
      <c r="AA7" s="873">
        <f>IF(OR('1 PISO TECHO'!N18="M8",'1 PISO TECHO'!N18="P1",),IF(OR('1 PISO TECHO'!N14="V",'1 PISO TECHO'!N14="VT",'1 PISO TECHO'!N14="VSB",'1 PISO TECHO'!N14="VTT",),1,0))*'1 PISO TECHO'!N22</f>
        <v>0</v>
      </c>
      <c r="AB7" s="999"/>
      <c r="AC7" s="855">
        <f>IF(OR('1 PISO TECHO'!C18="M2",'1 PISO TECHO'!C18="M1",),1,0)*'1 PISO TECHO'!C22</f>
        <v>0</v>
      </c>
      <c r="AD7" s="855">
        <f>IF(OR('1 PISO TECHO'!D18="M2",'1 PISO TECHO'!D18="M1",),1,0)*'1 PISO TECHO'!D22</f>
        <v>0</v>
      </c>
      <c r="AE7" s="855">
        <f>IF(OR('1 PISO TECHO'!E18="M2",'1 PISO TECHO'!E18="M1",),1,0)*'1 PISO TECHO'!E22</f>
        <v>0</v>
      </c>
      <c r="AF7" s="855">
        <f>IF(OR('1 PISO TECHO'!F18="M2",'1 PISO TECHO'!F18="M1",),1,0)*'1 PISO TECHO'!F22</f>
        <v>0</v>
      </c>
      <c r="AG7" s="855">
        <f>IF(OR('1 PISO TECHO'!G18="M2",'1 PISO TECHO'!G18="M1",),1,0)*'1 PISO TECHO'!G22</f>
        <v>0</v>
      </c>
      <c r="AH7" s="855">
        <f>IF(OR('1 PISO TECHO'!H18="M2",'1 PISO TECHO'!H18="M1",),1,0)*'1 PISO TECHO'!H22</f>
        <v>0</v>
      </c>
      <c r="AI7" s="855">
        <f>IF(OR('1 PISO TECHO'!I18="M2",'1 PISO TECHO'!I18="M1",),1,0)*'1 PISO TECHO'!I22</f>
        <v>0</v>
      </c>
      <c r="AJ7" s="855">
        <f>IF(OR('1 PISO TECHO'!J18="M2",'1 PISO TECHO'!J18="M1",),1,0)*'1 PISO TECHO'!J22</f>
        <v>0</v>
      </c>
      <c r="AK7" s="855">
        <f>IF(OR('1 PISO TECHO'!K18="M2",'1 PISO TECHO'!K18="M1",),1,0)*'1 PISO TECHO'!K22</f>
        <v>0</v>
      </c>
      <c r="AL7" s="855">
        <f>IF(OR('1 PISO TECHO'!L18="M2",'1 PISO TECHO'!L18="M1",),1,0)*'1 PISO TECHO'!L22</f>
        <v>0</v>
      </c>
      <c r="AM7" s="855">
        <f>IF(OR('1 PISO TECHO'!M18="M2",'1 PISO TECHO'!M18="M1",),1,0)*'1 PISO TECHO'!M22</f>
        <v>0</v>
      </c>
      <c r="AN7" s="855">
        <f>IF(OR('1 PISO TECHO'!N18="M2",'1 PISO TECHO'!N18="M1",),1,0)*'1 PISO TECHO'!N22</f>
        <v>0</v>
      </c>
      <c r="AO7" s="844">
        <f>SUM(AC7:AN7)</f>
        <v>0</v>
      </c>
      <c r="AP7" s="845">
        <f>IF('1 PISO TECHO'!C$20&gt;250,IF('1 PISO TECHO'!C$21&gt;5.5,IF('1 PISO TECHO'!C$21&lt;28.1,IF(OR('1 PISO TECHO'!C$14="V",'1 PISO TECHO'!C$14="VT",'1 PISO TECHO'!C$14="VTT",'1 PISO TECHO'!C$14="VSB",'1 PISO TECHO'!C$14="VE",'1 PISO TECHO'!C$14="VET",'1 PISO TECHO'!C$14="VESQ",),1,0))))*'1 PISO TECHO'!C$22</f>
        <v>0</v>
      </c>
      <c r="AQ7" s="845">
        <f>IF('1 PISO TECHO'!D$20&gt;250,IF('1 PISO TECHO'!D$21&gt;5.5,IF('1 PISO TECHO'!D$21&lt;28.1,IF(OR('1 PISO TECHO'!D$14="V",'1 PISO TECHO'!D$14="VT",'1 PISO TECHO'!D$14="VTT",'1 PISO TECHO'!D$14="VSB",'1 PISO TECHO'!D$14="VE",'1 PISO TECHO'!D$14="VET",'1 PISO TECHO'!D$14="VESQ",),1,0))))*'1 PISO TECHO'!D$22</f>
        <v>0</v>
      </c>
      <c r="AR7" s="845">
        <f>IF('1 PISO TECHO'!E$20&gt;250,IF('1 PISO TECHO'!E$21&gt;5.5,IF('1 PISO TECHO'!E$21&lt;28.1,IF(OR('1 PISO TECHO'!E$14="V",'1 PISO TECHO'!E$14="VT",'1 PISO TECHO'!E$14="VTT",'1 PISO TECHO'!E$14="VSB",'1 PISO TECHO'!E$14="VE",'1 PISO TECHO'!E$14="VET",'1 PISO TECHO'!E$14="VESQ",),1,0))))*'1 PISO TECHO'!E$22</f>
        <v>0</v>
      </c>
      <c r="AS7" s="845">
        <f>IF('1 PISO TECHO'!F$20&gt;250,IF('1 PISO TECHO'!F$21&gt;5.5,IF('1 PISO TECHO'!F$21&lt;28.1,IF(OR('1 PISO TECHO'!F$14="V",'1 PISO TECHO'!F$14="VT",'1 PISO TECHO'!F$14="VTT",'1 PISO TECHO'!F$14="VSB",'1 PISO TECHO'!F$14="VE",'1 PISO TECHO'!F$14="VET",'1 PISO TECHO'!F$14="VESQ",),1,0))))*'1 PISO TECHO'!F$22</f>
        <v>0</v>
      </c>
      <c r="AT7" s="845">
        <f>IF('1 PISO TECHO'!G$20&gt;250,IF('1 PISO TECHO'!G$21&gt;5.5,IF('1 PISO TECHO'!G$21&lt;28.1,IF(OR('1 PISO TECHO'!G$14="V",'1 PISO TECHO'!G$14="VT",'1 PISO TECHO'!G$14="VTT",'1 PISO TECHO'!G$14="VSB",'1 PISO TECHO'!G$14="VE",'1 PISO TECHO'!G$14="VET",'1 PISO TECHO'!G$14="VESQ",),1,0))))*'1 PISO TECHO'!G$22</f>
        <v>0</v>
      </c>
      <c r="AU7" s="845">
        <f>IF('1 PISO TECHO'!H$20&gt;250,IF('1 PISO TECHO'!H$21&gt;5.5,IF('1 PISO TECHO'!H$21&lt;28.1,IF(OR('1 PISO TECHO'!H$14="V",'1 PISO TECHO'!H$14="VT",'1 PISO TECHO'!H$14="VTT",'1 PISO TECHO'!H$14="VSB",'1 PISO TECHO'!H$14="VE",'1 PISO TECHO'!H$14="VET",'1 PISO TECHO'!H$14="VESQ",),1,0))))*'1 PISO TECHO'!H$22</f>
        <v>0</v>
      </c>
      <c r="AV7" s="845">
        <f>IF('1 PISO TECHO'!I$20&gt;250,IF('1 PISO TECHO'!I$21&gt;5.5,IF('1 PISO TECHO'!I$21&lt;28.1,IF(OR('1 PISO TECHO'!I$14="V",'1 PISO TECHO'!I$14="VT",'1 PISO TECHO'!I$14="VTT",'1 PISO TECHO'!I$14="VSB",'1 PISO TECHO'!I$14="VE",'1 PISO TECHO'!I$14="VET",'1 PISO TECHO'!I$14="VESQ",),1,0))))*'1 PISO TECHO'!I$22</f>
        <v>0</v>
      </c>
      <c r="AW7" s="845">
        <f>IF('1 PISO TECHO'!J$20&gt;250,IF('1 PISO TECHO'!J$21&gt;5.5,IF('1 PISO TECHO'!J$21&lt;28.1,IF(OR('1 PISO TECHO'!J$14="V",'1 PISO TECHO'!J$14="VT",'1 PISO TECHO'!J$14="VTT",'1 PISO TECHO'!J$14="VSB",'1 PISO TECHO'!J$14="VE",'1 PISO TECHO'!J$14="VET",'1 PISO TECHO'!J$14="VESQ",),1,0))))*'1 PISO TECHO'!J$22</f>
        <v>0</v>
      </c>
      <c r="AX7" s="845">
        <f>IF('1 PISO TECHO'!K$20&gt;250,IF('1 PISO TECHO'!K$21&gt;5.5,IF('1 PISO TECHO'!K$21&lt;28.1,IF(OR('1 PISO TECHO'!K$14="V",'1 PISO TECHO'!K$14="VT",'1 PISO TECHO'!K$14="VTT",'1 PISO TECHO'!K$14="VSB",'1 PISO TECHO'!K$14="VE",'1 PISO TECHO'!K$14="VET",'1 PISO TECHO'!K$14="VESQ",),1,0))))*'1 PISO TECHO'!K$22</f>
        <v>0</v>
      </c>
      <c r="AY7" s="845">
        <f>IF('1 PISO TECHO'!L$20&gt;250,IF('1 PISO TECHO'!L$21&gt;5.5,IF('1 PISO TECHO'!L$21&lt;28.1,IF(OR('1 PISO TECHO'!L$14="V",'1 PISO TECHO'!L$14="VT",'1 PISO TECHO'!L$14="VTT",'1 PISO TECHO'!L$14="VSB",'1 PISO TECHO'!L$14="VE",'1 PISO TECHO'!L$14="VET",'1 PISO TECHO'!L$14="VESQ",),1,0))))*'1 PISO TECHO'!L$22</f>
        <v>0</v>
      </c>
      <c r="AZ7" s="845">
        <f>IF('1 PISO TECHO'!M$20&gt;250,IF('1 PISO TECHO'!M$21&gt;5.5,IF('1 PISO TECHO'!M$21&lt;28.1,IF(OR('1 PISO TECHO'!M$14="V",'1 PISO TECHO'!M$14="VT",'1 PISO TECHO'!M$14="VTT",'1 PISO TECHO'!M$14="VSB",'1 PISO TECHO'!M$14="VE",'1 PISO TECHO'!M$14="VET",'1 PISO TECHO'!M$14="VESQ",),1,0))))*'1 PISO TECHO'!M$22</f>
        <v>0</v>
      </c>
      <c r="BA7" s="845">
        <f>IF('1 PISO TECHO'!N$20&gt;250,IF('1 PISO TECHO'!N$21&gt;5.5,IF('1 PISO TECHO'!N$21&lt;28.1,IF(OR('1 PISO TECHO'!N$14="V",'1 PISO TECHO'!N$14="VT",'1 PISO TECHO'!N$14="VTT",'1 PISO TECHO'!N$14="VSB",'1 PISO TECHO'!N$14="VE",'1 PISO TECHO'!N$14="VET",'1 PISO TECHO'!N$14="VESQ",),1,0))))*'1 PISO TECHO'!N$22</f>
        <v>0</v>
      </c>
      <c r="BB7" s="844">
        <f t="shared" ref="BB7:BB12" si="0">SUM(AP7:BA7)</f>
        <v>0</v>
      </c>
      <c r="BC7" s="845">
        <f>IF(OR('1 PISO TECHO'!C$18="M2",'1 PISO TECHO'!C$18="M1",),IF('1 PISO TECHO'!$B$27='1 PISO TECHO'!C$16,1,0))*'1 PISO TECHO'!C$22</f>
        <v>0</v>
      </c>
      <c r="BD7" s="845">
        <f>IF(OR('1 PISO TECHO'!D$18="M2",'1 PISO TECHO'!D$18="M1",),IF('1 PISO TECHO'!$B$27='1 PISO TECHO'!D$16,1,0))*'1 PISO TECHO'!D$22</f>
        <v>0</v>
      </c>
      <c r="BE7" s="845">
        <f>IF(OR('1 PISO TECHO'!E$18="M2",'1 PISO TECHO'!E$18="M1",),IF('1 PISO TECHO'!$B$27='1 PISO TECHO'!E$16,1,0))*'1 PISO TECHO'!E$22</f>
        <v>0</v>
      </c>
      <c r="BF7" s="845">
        <f>IF(OR('1 PISO TECHO'!F$18="M2",'1 PISO TECHO'!F$18="M1",),IF('1 PISO TECHO'!$B$27='1 PISO TECHO'!F$16,1,0))*'1 PISO TECHO'!F$22</f>
        <v>0</v>
      </c>
      <c r="BG7" s="845">
        <f>IF(OR('1 PISO TECHO'!G$18="M2",'1 PISO TECHO'!G$18="M1",),IF('1 PISO TECHO'!$B$27='1 PISO TECHO'!G$16,1,0))*'1 PISO TECHO'!G$22</f>
        <v>0</v>
      </c>
      <c r="BH7" s="845">
        <f>IF(OR('1 PISO TECHO'!H$18="M2",'1 PISO TECHO'!H$18="M1",),IF('1 PISO TECHO'!$B$27='1 PISO TECHO'!H$16,1,0))*'1 PISO TECHO'!H$22</f>
        <v>0</v>
      </c>
      <c r="BI7" s="845">
        <f>IF(OR('1 PISO TECHO'!I$18="M2",'1 PISO TECHO'!I$18="M1",),IF('1 PISO TECHO'!$B$27='1 PISO TECHO'!I$16,1,0))*'1 PISO TECHO'!I$22</f>
        <v>0</v>
      </c>
      <c r="BJ7" s="845">
        <f>IF(OR('1 PISO TECHO'!J$18="M2",'1 PISO TECHO'!J$18="M1",),IF('1 PISO TECHO'!$B$27='1 PISO TECHO'!J$16,1,0))*'1 PISO TECHO'!J$22</f>
        <v>0</v>
      </c>
      <c r="BK7" s="845">
        <f>IF(OR('1 PISO TECHO'!K$18="M2",'1 PISO TECHO'!K$18="M1",),IF('1 PISO TECHO'!$B$27='1 PISO TECHO'!K$16,1,0))*'1 PISO TECHO'!K$22</f>
        <v>0</v>
      </c>
      <c r="BL7" s="845">
        <f>IF(OR('1 PISO TECHO'!L$18="M2",'1 PISO TECHO'!L$18="M1",),IF('1 PISO TECHO'!$B$27='1 PISO TECHO'!L$16,1,0))*'1 PISO TECHO'!L$22</f>
        <v>0</v>
      </c>
      <c r="BM7" s="845">
        <f>IF(OR('1 PISO TECHO'!M$18="M2",'1 PISO TECHO'!M$18="M1",),IF('1 PISO TECHO'!$B$27='1 PISO TECHO'!M$16,1,0))*'1 PISO TECHO'!M$22</f>
        <v>0</v>
      </c>
      <c r="BN7" s="845">
        <f>IF(OR('1 PISO TECHO'!N$18="M2",'1 PISO TECHO'!N$18="M1",),IF('1 PISO TECHO'!$B$27='1 PISO TECHO'!N$16,1,0))*'1 PISO TECHO'!N$22</f>
        <v>0</v>
      </c>
      <c r="BO7" s="844">
        <f>SUM(BC7:BN7)*2</f>
        <v>0</v>
      </c>
      <c r="BP7" s="845">
        <f>IF(OR('1 PISO TECHO'!C$18="M2",'1 PISO TECHO'!C$18="M1",),IF('1 PISO TECHO'!$B$28='1 PISO TECHO'!C$16,1,0))*'1 PISO TECHO'!C$22</f>
        <v>0</v>
      </c>
      <c r="BQ7" s="845">
        <f>IF(OR('1 PISO TECHO'!D$18="M2",'1 PISO TECHO'!D$18="M1",),IF('1 PISO TECHO'!$B$28='1 PISO TECHO'!D$16,1,0))*'1 PISO TECHO'!D$22</f>
        <v>0</v>
      </c>
      <c r="BR7" s="845">
        <f>IF(OR('1 PISO TECHO'!E$18="M2",'1 PISO TECHO'!E$18="M1",),IF('1 PISO TECHO'!$B$28='1 PISO TECHO'!E$16,1,0))*'1 PISO TECHO'!E$22</f>
        <v>0</v>
      </c>
      <c r="BS7" s="845">
        <f>IF(OR('1 PISO TECHO'!F$18="M2",'1 PISO TECHO'!F$18="M1",),IF('1 PISO TECHO'!$B$28='1 PISO TECHO'!F$16,1,0))*'1 PISO TECHO'!F$22</f>
        <v>0</v>
      </c>
      <c r="BT7" s="845">
        <f>IF(OR('1 PISO TECHO'!G$18="M2",'1 PISO TECHO'!G$18="M1",),IF('1 PISO TECHO'!$B$28='1 PISO TECHO'!G$16,1,0))*'1 PISO TECHO'!G$22</f>
        <v>0</v>
      </c>
      <c r="BU7" s="845">
        <f>IF(OR('1 PISO TECHO'!H$18="M2",'1 PISO TECHO'!H$18="M1",),IF('1 PISO TECHO'!$B$28='1 PISO TECHO'!H$16,1,0))*'1 PISO TECHO'!H$22</f>
        <v>0</v>
      </c>
      <c r="BV7" s="845">
        <f>IF(OR('1 PISO TECHO'!I$18="M2",'1 PISO TECHO'!I$18="M1",),IF('1 PISO TECHO'!$B$28='1 PISO TECHO'!I$16,1,0))*'1 PISO TECHO'!I$22</f>
        <v>0</v>
      </c>
      <c r="BW7" s="845">
        <f>IF(OR('1 PISO TECHO'!J$18="M2",'1 PISO TECHO'!J$18="M1",),IF('1 PISO TECHO'!$B$28='1 PISO TECHO'!J$16,1,0))*'1 PISO TECHO'!J$22</f>
        <v>0</v>
      </c>
      <c r="BX7" s="845">
        <f>IF(OR('1 PISO TECHO'!K$18="M2",'1 PISO TECHO'!K$18="M1",),IF('1 PISO TECHO'!$B$28='1 PISO TECHO'!K$16,1,0))*'1 PISO TECHO'!K$22</f>
        <v>0</v>
      </c>
      <c r="BY7" s="845">
        <f>IF(OR('1 PISO TECHO'!L$18="M2",'1 PISO TECHO'!L$18="M1",),IF('1 PISO TECHO'!$B$28='1 PISO TECHO'!L$16,1,0))*'1 PISO TECHO'!L$22</f>
        <v>0</v>
      </c>
      <c r="BZ7" s="845">
        <f>IF(OR('1 PISO TECHO'!M$18="M2",'1 PISO TECHO'!M$18="M1",),IF('1 PISO TECHO'!$B$28='1 PISO TECHO'!M$16,1,0))*'1 PISO TECHO'!M$22</f>
        <v>0</v>
      </c>
      <c r="CA7" s="845">
        <f>IF(OR('1 PISO TECHO'!N$18="M2",'1 PISO TECHO'!N$18="M1",),IF('1 PISO TECHO'!$B$28='1 PISO TECHO'!N$16,1,0))*'1 PISO TECHO'!N$22</f>
        <v>0</v>
      </c>
      <c r="CB7" s="844">
        <f>SUM(BP7:CA7)*2</f>
        <v>0</v>
      </c>
      <c r="CC7" s="845">
        <f>IF(OR('1 PISO TECHO'!C$18="M2",'1 PISO TECHO'!C$18="M1",),IF('1 PISO TECHO'!$B$29='1 PISO TECHO'!C$16,1,0))*'1 PISO TECHO'!C$22</f>
        <v>0</v>
      </c>
      <c r="CD7" s="845">
        <f>IF(OR('1 PISO TECHO'!D$18="M2",'1 PISO TECHO'!D$18="M1",),IF('1 PISO TECHO'!$B$29='1 PISO TECHO'!D$16,1,0))*'1 PISO TECHO'!D$22</f>
        <v>0</v>
      </c>
      <c r="CE7" s="845">
        <f>IF(OR('1 PISO TECHO'!E$18="M2",'1 PISO TECHO'!E$18="M1",),IF('1 PISO TECHO'!$B$29='1 PISO TECHO'!E$16,1,0))*'1 PISO TECHO'!E$22</f>
        <v>0</v>
      </c>
      <c r="CF7" s="845">
        <f>IF(OR('1 PISO TECHO'!F$18="M2",'1 PISO TECHO'!F$18="M1",),IF('1 PISO TECHO'!$B$29='1 PISO TECHO'!F$16,1,0))*'1 PISO TECHO'!F$22</f>
        <v>0</v>
      </c>
      <c r="CG7" s="845">
        <f>IF(OR('1 PISO TECHO'!G$18="M2",'1 PISO TECHO'!G$18="M1",),IF('1 PISO TECHO'!$B$29='1 PISO TECHO'!G$16,1,0))*'1 PISO TECHO'!G$22</f>
        <v>0</v>
      </c>
      <c r="CH7" s="845">
        <f>IF(OR('1 PISO TECHO'!H$18="M2",'1 PISO TECHO'!H$18="M1",),IF('1 PISO TECHO'!$B$29='1 PISO TECHO'!H$16,1,0))*'1 PISO TECHO'!H$22</f>
        <v>0</v>
      </c>
      <c r="CI7" s="845">
        <f>IF(OR('1 PISO TECHO'!I$18="M2",'1 PISO TECHO'!I$18="M1",),IF('1 PISO TECHO'!$B$29='1 PISO TECHO'!I$16,1,0))*'1 PISO TECHO'!I$22</f>
        <v>0</v>
      </c>
      <c r="CJ7" s="845">
        <f>IF(OR('1 PISO TECHO'!J$18="M2",'1 PISO TECHO'!J$18="M1",),IF('1 PISO TECHO'!$B$29='1 PISO TECHO'!J$16,1,0))*'1 PISO TECHO'!J$22</f>
        <v>0</v>
      </c>
      <c r="CK7" s="845">
        <f>IF(OR('1 PISO TECHO'!K$18="M2",'1 PISO TECHO'!K$18="M1",),IF('1 PISO TECHO'!$B$29='1 PISO TECHO'!K$16,1,0))*'1 PISO TECHO'!K$22</f>
        <v>0</v>
      </c>
      <c r="CL7" s="845">
        <f>IF(OR('1 PISO TECHO'!L$18="M2",'1 PISO TECHO'!L$18="M1",),IF('1 PISO TECHO'!$B$29='1 PISO TECHO'!L$16,1,0))*'1 PISO TECHO'!L$22</f>
        <v>0</v>
      </c>
      <c r="CM7" s="845">
        <f>IF(OR('1 PISO TECHO'!M$18="M2",'1 PISO TECHO'!M$18="M1",),IF('1 PISO TECHO'!$B$29='1 PISO TECHO'!M$16,1,0))*'1 PISO TECHO'!M$22</f>
        <v>0</v>
      </c>
      <c r="CN7" s="845">
        <f>IF(OR('1 PISO TECHO'!N$18="M2",'1 PISO TECHO'!N$18="M1",),IF('1 PISO TECHO'!$B$29='1 PISO TECHO'!N$16,1,0))*'1 PISO TECHO'!N$22</f>
        <v>0</v>
      </c>
      <c r="CO7" s="844">
        <f>SUM(CC7:CN7)*2</f>
        <v>0</v>
      </c>
      <c r="CP7" s="845">
        <f>IF(OR('1 PISO TECHO'!C$18="M2",'1 PISO TECHO'!C$18="M1",),IF('1 PISO TECHO'!$B$30='1 PISO TECHO'!C$16,1,0))*'1 PISO TECHO'!C$22</f>
        <v>0</v>
      </c>
      <c r="CQ7" s="845">
        <f>IF(OR('1 PISO TECHO'!D$18="M2",'1 PISO TECHO'!D$18="M1",),IF('1 PISO TECHO'!$B$30='1 PISO TECHO'!D$16,1,0))*'1 PISO TECHO'!D$22</f>
        <v>0</v>
      </c>
      <c r="CR7" s="845">
        <f>IF(OR('1 PISO TECHO'!E$18="M2",'1 PISO TECHO'!E$18="M1",),IF('1 PISO TECHO'!$B$30='1 PISO TECHO'!E$16,1,0))*'1 PISO TECHO'!E$22</f>
        <v>0</v>
      </c>
      <c r="CS7" s="845">
        <f>IF(OR('1 PISO TECHO'!F$18="M2",'1 PISO TECHO'!F$18="M1",),IF('1 PISO TECHO'!$B$30='1 PISO TECHO'!F$16,1,0))*'1 PISO TECHO'!F$22</f>
        <v>0</v>
      </c>
      <c r="CT7" s="845">
        <f>IF(OR('1 PISO TECHO'!G$18="M2",'1 PISO TECHO'!G$18="M1",),IF('1 PISO TECHO'!$B$30='1 PISO TECHO'!G$16,1,0))*'1 PISO TECHO'!G$22</f>
        <v>0</v>
      </c>
      <c r="CU7" s="845">
        <f>IF(OR('1 PISO TECHO'!H$18="M2",'1 PISO TECHO'!H$18="M1",),IF('1 PISO TECHO'!$B$30='1 PISO TECHO'!H$16,1,0))*'1 PISO TECHO'!H$22</f>
        <v>0</v>
      </c>
      <c r="CV7" s="845">
        <f>IF(OR('1 PISO TECHO'!I$18="M2",'1 PISO TECHO'!I$18="M1",),IF('1 PISO TECHO'!$B$30='1 PISO TECHO'!I$16,1,0))*'1 PISO TECHO'!I$22</f>
        <v>0</v>
      </c>
      <c r="CW7" s="845">
        <f>IF(OR('1 PISO TECHO'!J$18="M2",'1 PISO TECHO'!J$18="M1",),IF('1 PISO TECHO'!$B$30='1 PISO TECHO'!J$16,1,0))*'1 PISO TECHO'!J$22</f>
        <v>0</v>
      </c>
      <c r="CX7" s="845">
        <f>IF(OR('1 PISO TECHO'!K$18="M2",'1 PISO TECHO'!K$18="M1",),IF('1 PISO TECHO'!$B$30='1 PISO TECHO'!K$16,1,0))*'1 PISO TECHO'!K$22</f>
        <v>0</v>
      </c>
      <c r="CY7" s="845">
        <f>IF(OR('1 PISO TECHO'!L$18="M2",'1 PISO TECHO'!L$18="M1",),IF('1 PISO TECHO'!$B$30='1 PISO TECHO'!L$16,1,0))*'1 PISO TECHO'!L$22</f>
        <v>0</v>
      </c>
      <c r="CZ7" s="845">
        <f>IF(OR('1 PISO TECHO'!M$18="M2",'1 PISO TECHO'!M$18="M1",),IF('1 PISO TECHO'!$B$30='1 PISO TECHO'!M$16,1,0))*'1 PISO TECHO'!M$22</f>
        <v>0</v>
      </c>
      <c r="DA7" s="845">
        <f>IF(OR('1 PISO TECHO'!N$18="M2",'1 PISO TECHO'!N$18="M1",),IF('1 PISO TECHO'!$B$30='1 PISO TECHO'!N$16,1,0))*'1 PISO TECHO'!N$22</f>
        <v>0</v>
      </c>
      <c r="DB7" s="844">
        <f>SUM(CP7:DA7)*2</f>
        <v>0</v>
      </c>
      <c r="DM7" s="838"/>
      <c r="DN7" s="838"/>
      <c r="DO7" s="838"/>
      <c r="DP7" s="838"/>
      <c r="DQ7" s="838"/>
      <c r="DR7" s="838"/>
      <c r="DS7" s="838"/>
      <c r="HT7" s="838"/>
      <c r="HU7" s="838"/>
      <c r="HV7" s="838"/>
      <c r="HW7" s="838"/>
      <c r="HX7" s="838"/>
      <c r="HY7" s="838"/>
    </row>
    <row r="8" spans="1:233" ht="26.25" x14ac:dyDescent="0.4">
      <c r="A8" s="1467" t="s">
        <v>1165</v>
      </c>
      <c r="B8" s="1467"/>
      <c r="C8" s="846">
        <f>IF('1 PISO TECHO'!C18="M2",IF(OR('1 PISO TECHO'!C14="V",'1 PISO TECHO'!C14="VT",'1 PISO TECHO'!C14="VSB",'1 PISO TECHO'!C14="VTT",),2,1)*'1 PISO TECHO'!C22)*1</f>
        <v>0</v>
      </c>
      <c r="D8" s="847">
        <f>IF('1 PISO TECHO'!D18="M2",IF(OR('1 PISO TECHO'!D14="V",'1 PISO TECHO'!D14="VT",'1 PISO TECHO'!D14="VSB",'1 PISO TECHO'!D14="VTT",),2,1)*'1 PISO TECHO'!D22)*1</f>
        <v>0</v>
      </c>
      <c r="E8" s="847">
        <f>IF('1 PISO TECHO'!E18="M2",IF(OR('1 PISO TECHO'!E14="V",'1 PISO TECHO'!E14="VT",'1 PISO TECHO'!E14="VSB",'1 PISO TECHO'!E14="VTT",),2,1)*'1 PISO TECHO'!E22)*1</f>
        <v>0</v>
      </c>
      <c r="F8" s="847">
        <f>IF('1 PISO TECHO'!F18="M2",IF(OR('1 PISO TECHO'!F14="V",'1 PISO TECHO'!F14="VT",'1 PISO TECHO'!F14="VSB",'1 PISO TECHO'!F14="VTT",),2,1)*'1 PISO TECHO'!F22)*1</f>
        <v>0</v>
      </c>
      <c r="G8" s="847">
        <f>IF('1 PISO TECHO'!G18="M2",IF(OR('1 PISO TECHO'!G14="V",'1 PISO TECHO'!G14="VT",'1 PISO TECHO'!G14="VSB",'1 PISO TECHO'!G14="VTT",),2,1)*'1 PISO TECHO'!G22)*1</f>
        <v>0</v>
      </c>
      <c r="H8" s="847">
        <f>IF('1 PISO TECHO'!H18="M2",IF(OR('1 PISO TECHO'!H14="V",'1 PISO TECHO'!H14="VT",'1 PISO TECHO'!H14="VSB",'1 PISO TECHO'!H14="VTT",),2,1)*'1 PISO TECHO'!H22)*1</f>
        <v>0</v>
      </c>
      <c r="I8" s="847">
        <f>IF('1 PISO TECHO'!I18="M2",IF(OR('1 PISO TECHO'!I14="V",'1 PISO TECHO'!I14="VT",'1 PISO TECHO'!I14="VSB",'1 PISO TECHO'!I14="VTT",),2,1)*'1 PISO TECHO'!I22)*1</f>
        <v>0</v>
      </c>
      <c r="J8" s="847">
        <f>IF('1 PISO TECHO'!J18="M2",IF(OR('1 PISO TECHO'!J14="V",'1 PISO TECHO'!J14="VT",'1 PISO TECHO'!J14="VSB",'1 PISO TECHO'!J14="VTT",),2,1)*'1 PISO TECHO'!J22)*1</f>
        <v>0</v>
      </c>
      <c r="K8" s="847">
        <f>IF('1 PISO TECHO'!K18="M2",IF(OR('1 PISO TECHO'!K14="V",'1 PISO TECHO'!K14="VT",'1 PISO TECHO'!K14="VSB",'1 PISO TECHO'!K14="VTT",),2,1)*'1 PISO TECHO'!K22)*1</f>
        <v>0</v>
      </c>
      <c r="L8" s="847">
        <f>IF('1 PISO TECHO'!L18="M2",IF(OR('1 PISO TECHO'!L14="V",'1 PISO TECHO'!L14="VT",'1 PISO TECHO'!L14="VSB",'1 PISO TECHO'!L14="VTT",),2,1)*'1 PISO TECHO'!L22)*1</f>
        <v>0</v>
      </c>
      <c r="M8" s="847">
        <f>IF('1 PISO TECHO'!M18="M2",IF(OR('1 PISO TECHO'!M14="V",'1 PISO TECHO'!M14="VT",'1 PISO TECHO'!M14="VSB",'1 PISO TECHO'!M14="VTT",),2,1)*'1 PISO TECHO'!M22)*1</f>
        <v>0</v>
      </c>
      <c r="N8" s="1083">
        <f>IF('1 PISO TECHO'!N18="M2",IF(OR('1 PISO TECHO'!N14="V",'1 PISO TECHO'!N14="VT",'1 PISO TECHO'!N14="VSB",'1 PISO TECHO'!N14="VTT",),2,1)*'1 PISO TECHO'!N22)*1</f>
        <v>0</v>
      </c>
      <c r="O8" s="838"/>
      <c r="P8" s="848">
        <f>IF('1 PISO TECHO'!C18="M6",IF(OR('1 PISO TECHO'!C14="V",'1 PISO TECHO'!C14="VT",'1 PISO TECHO'!C14="VSB",'1 PISO TECHO'!C14="VTT",),1,0))*'1 PISO TECHO'!C22</f>
        <v>0</v>
      </c>
      <c r="Q8" s="849">
        <f>IF('1 PISO TECHO'!D18="M6",IF(OR('1 PISO TECHO'!D14="V",'1 PISO TECHO'!D14="VT",'1 PISO TECHO'!D14="VSB",'1 PISO TECHO'!D14="VTT",),1,0))*'1 PISO TECHO'!D22</f>
        <v>0</v>
      </c>
      <c r="R8" s="849">
        <f>IF('1 PISO TECHO'!E18="M6",IF(OR('1 PISO TECHO'!E14="V",'1 PISO TECHO'!E14="VT",'1 PISO TECHO'!E14="VSB",'1 PISO TECHO'!E14="VTT",),1,0))*'1 PISO TECHO'!E22</f>
        <v>0</v>
      </c>
      <c r="S8" s="849">
        <f>IF('1 PISO TECHO'!F18="M6",IF(OR('1 PISO TECHO'!F14="V",'1 PISO TECHO'!F14="VT",'1 PISO TECHO'!F14="VSB",'1 PISO TECHO'!F14="VTT",),1,0))*'1 PISO TECHO'!F22</f>
        <v>0</v>
      </c>
      <c r="T8" s="849">
        <f>IF('1 PISO TECHO'!G18="M6",IF(OR('1 PISO TECHO'!G14="V",'1 PISO TECHO'!G14="VT",'1 PISO TECHO'!G14="VSB",'1 PISO TECHO'!G14="VTT",),1,0))*'1 PISO TECHO'!G22</f>
        <v>0</v>
      </c>
      <c r="U8" s="849">
        <f>IF('1 PISO TECHO'!H18="M6",IF(OR('1 PISO TECHO'!H14="V",'1 PISO TECHO'!H14="VT",'1 PISO TECHO'!H14="VSB",'1 PISO TECHO'!H14="VTT",),1,0))*'1 PISO TECHO'!H22</f>
        <v>0</v>
      </c>
      <c r="V8" s="849">
        <f>IF('1 PISO TECHO'!I18="M6",IF(OR('1 PISO TECHO'!I14="V",'1 PISO TECHO'!I14="VT",'1 PISO TECHO'!I14="VSB",'1 PISO TECHO'!I14="VTT",),1,0))*'1 PISO TECHO'!I22</f>
        <v>0</v>
      </c>
      <c r="W8" s="849">
        <f>IF('1 PISO TECHO'!J18="M6",IF(OR('1 PISO TECHO'!J14="V",'1 PISO TECHO'!J14="VT",'1 PISO TECHO'!J14="VSB",'1 PISO TECHO'!J14="VTT",),1,0))*'1 PISO TECHO'!J22</f>
        <v>0</v>
      </c>
      <c r="X8" s="849">
        <f>IF('1 PISO TECHO'!K18="M6",IF(OR('1 PISO TECHO'!K14="V",'1 PISO TECHO'!K14="VT",'1 PISO TECHO'!K14="VSB",'1 PISO TECHO'!K14="VTT",),1,0))*'1 PISO TECHO'!K22</f>
        <v>0</v>
      </c>
      <c r="Y8" s="849">
        <f>IF('1 PISO TECHO'!L18="M6",IF(OR('1 PISO TECHO'!L14="V",'1 PISO TECHO'!L14="VT",'1 PISO TECHO'!L14="VSB",'1 PISO TECHO'!L14="VTT",),1,0))*'1 PISO TECHO'!L22</f>
        <v>0</v>
      </c>
      <c r="Z8" s="849">
        <f>IF('1 PISO TECHO'!M18="M6",IF(OR('1 PISO TECHO'!M14="V",'1 PISO TECHO'!M14="VT",'1 PISO TECHO'!M14="VSB",'1 PISO TECHO'!M14="VTT",),1,0))*'1 PISO TECHO'!M22</f>
        <v>0</v>
      </c>
      <c r="AA8" s="874">
        <f>IF('1 PISO TECHO'!N18="M6",IF(OR('1 PISO TECHO'!N14="V",'1 PISO TECHO'!N14="VT",'1 PISO TECHO'!N14="VSB",'1 PISO TECHO'!N14="VTT",),1,0))*'1 PISO TECHO'!N22</f>
        <v>0</v>
      </c>
      <c r="AB8" s="852"/>
      <c r="AC8" s="855">
        <f>IF('1 PISO TECHO'!C18="M6",1,0)*'1 PISO TECHO'!C22</f>
        <v>0</v>
      </c>
      <c r="AD8" s="855">
        <f>IF('1 PISO TECHO'!D18="M6",1,0)*'1 PISO TECHO'!D22</f>
        <v>0</v>
      </c>
      <c r="AE8" s="855">
        <f>IF('1 PISO TECHO'!E18="M6",1,0)*'1 PISO TECHO'!E22</f>
        <v>0</v>
      </c>
      <c r="AF8" s="855">
        <f>IF('1 PISO TECHO'!F18="M6",1,0)*'1 PISO TECHO'!F22</f>
        <v>0</v>
      </c>
      <c r="AG8" s="855">
        <f>IF('1 PISO TECHO'!G18="M6",1,0)*'1 PISO TECHO'!G22</f>
        <v>0</v>
      </c>
      <c r="AH8" s="855">
        <f>IF('1 PISO TECHO'!H18="M6",1,0)*'1 PISO TECHO'!H22</f>
        <v>0</v>
      </c>
      <c r="AI8" s="855">
        <f>IF('1 PISO TECHO'!I18="M6",1,0)*'1 PISO TECHO'!I22</f>
        <v>0</v>
      </c>
      <c r="AJ8" s="855">
        <f>IF('1 PISO TECHO'!J18="M6",1,0)*'1 PISO TECHO'!J22</f>
        <v>0</v>
      </c>
      <c r="AK8" s="855">
        <f>IF('1 PISO TECHO'!K18="M6",1,0)*'1 PISO TECHO'!K22</f>
        <v>0</v>
      </c>
      <c r="AL8" s="855">
        <f>IF('1 PISO TECHO'!L18="M6",1,0)*'1 PISO TECHO'!L22</f>
        <v>0</v>
      </c>
      <c r="AM8" s="855">
        <f>IF('1 PISO TECHO'!M18="M6",1,0)*'1 PISO TECHO'!M22</f>
        <v>0</v>
      </c>
      <c r="AN8" s="855">
        <f>IF('1 PISO TECHO'!N18="M6",1,0)*'1 PISO TECHO'!N22</f>
        <v>0</v>
      </c>
      <c r="AO8" s="844">
        <f>SUM(AC8:AN8)</f>
        <v>0</v>
      </c>
      <c r="AP8" s="845">
        <f>IF('1 PISO TECHO'!C$20&gt;250,IF('1 PISO TECHO'!C$21&gt;28,IF('1 PISO TECHO'!C$21&lt;56.1,IF(OR('1 PISO TECHO'!C$14="V",'1 PISO TECHO'!C$14="VT",'1 PISO TECHO'!C$14="VTT",'1 PISO TECHO'!C$14="VSB",'1 PISO TECHO'!C$14="VE",'1 PISO TECHO'!C$14="VET",'1 PISO TECHO'!C$14="VESQ",),1,0))))*'1 PISO TECHO'!C$22</f>
        <v>0</v>
      </c>
      <c r="AQ8" s="845">
        <f>IF('1 PISO TECHO'!D$20&gt;250,IF('1 PISO TECHO'!D$21&gt;28,IF('1 PISO TECHO'!D$21&lt;56.1,IF(OR('1 PISO TECHO'!D$14="V",'1 PISO TECHO'!D$14="VT",'1 PISO TECHO'!D$14="VTT",'1 PISO TECHO'!D$14="VSB",'1 PISO TECHO'!D$14="VE",'1 PISO TECHO'!D$14="VET",'1 PISO TECHO'!D$14="VESQ",),1,0))))*'1 PISO TECHO'!D$22</f>
        <v>0</v>
      </c>
      <c r="AR8" s="845">
        <f>IF('1 PISO TECHO'!E$20&gt;250,IF('1 PISO TECHO'!E$21&gt;28,IF('1 PISO TECHO'!E$21&lt;56.1,IF(OR('1 PISO TECHO'!E$14="V",'1 PISO TECHO'!E$14="VT",'1 PISO TECHO'!E$14="VTT",'1 PISO TECHO'!E$14="VSB",'1 PISO TECHO'!E$14="VE",'1 PISO TECHO'!E$14="VET",'1 PISO TECHO'!E$14="VESQ",),1,0))))*'1 PISO TECHO'!E$22</f>
        <v>0</v>
      </c>
      <c r="AS8" s="845">
        <f>IF('1 PISO TECHO'!F$20&gt;250,IF('1 PISO TECHO'!F$21&gt;28,IF('1 PISO TECHO'!F$21&lt;56.1,IF(OR('1 PISO TECHO'!F$14="V",'1 PISO TECHO'!F$14="VT",'1 PISO TECHO'!F$14="VTT",'1 PISO TECHO'!F$14="VSB",'1 PISO TECHO'!F$14="VE",'1 PISO TECHO'!F$14="VET",'1 PISO TECHO'!F$14="VESQ",),1,0))))*'1 PISO TECHO'!F$22</f>
        <v>0</v>
      </c>
      <c r="AT8" s="845">
        <f>IF('1 PISO TECHO'!G$20&gt;250,IF('1 PISO TECHO'!G$21&gt;28,IF('1 PISO TECHO'!G$21&lt;56.1,IF(OR('1 PISO TECHO'!G$14="V",'1 PISO TECHO'!G$14="VT",'1 PISO TECHO'!G$14="VTT",'1 PISO TECHO'!G$14="VSB",'1 PISO TECHO'!G$14="VE",'1 PISO TECHO'!G$14="VET",'1 PISO TECHO'!G$14="VESQ",),1,0))))*'1 PISO TECHO'!G$22</f>
        <v>0</v>
      </c>
      <c r="AU8" s="845">
        <f>IF('1 PISO TECHO'!H$20&gt;250,IF('1 PISO TECHO'!H$21&gt;28,IF('1 PISO TECHO'!H$21&lt;56.1,IF(OR('1 PISO TECHO'!H$14="V",'1 PISO TECHO'!H$14="VT",'1 PISO TECHO'!H$14="VTT",'1 PISO TECHO'!H$14="VSB",'1 PISO TECHO'!H$14="VE",'1 PISO TECHO'!H$14="VET",'1 PISO TECHO'!H$14="VESQ",),1,0))))*'1 PISO TECHO'!H$22</f>
        <v>0</v>
      </c>
      <c r="AV8" s="845">
        <f>IF('1 PISO TECHO'!I$20&gt;250,IF('1 PISO TECHO'!I$21&gt;28,IF('1 PISO TECHO'!I$21&lt;56.1,IF(OR('1 PISO TECHO'!I$14="V",'1 PISO TECHO'!I$14="VT",'1 PISO TECHO'!I$14="VTT",'1 PISO TECHO'!I$14="VSB",'1 PISO TECHO'!I$14="VE",'1 PISO TECHO'!I$14="VET",'1 PISO TECHO'!I$14="VESQ",),1,0))))*'1 PISO TECHO'!I$22</f>
        <v>0</v>
      </c>
      <c r="AW8" s="845">
        <f>IF('1 PISO TECHO'!J$20&gt;250,IF('1 PISO TECHO'!J$21&gt;28,IF('1 PISO TECHO'!J$21&lt;56.1,IF(OR('1 PISO TECHO'!J$14="V",'1 PISO TECHO'!J$14="VT",'1 PISO TECHO'!J$14="VTT",'1 PISO TECHO'!J$14="VSB",'1 PISO TECHO'!J$14="VE",'1 PISO TECHO'!J$14="VET",'1 PISO TECHO'!J$14="VESQ",),1,0))))*'1 PISO TECHO'!J$22</f>
        <v>0</v>
      </c>
      <c r="AX8" s="845">
        <f>IF('1 PISO TECHO'!K$20&gt;250,IF('1 PISO TECHO'!K$21&gt;28,IF('1 PISO TECHO'!K$21&lt;56.1,IF(OR('1 PISO TECHO'!K$14="V",'1 PISO TECHO'!K$14="VT",'1 PISO TECHO'!K$14="VTT",'1 PISO TECHO'!K$14="VSB",'1 PISO TECHO'!K$14="VE",'1 PISO TECHO'!K$14="VET",'1 PISO TECHO'!K$14="VESQ",),1,0))))*'1 PISO TECHO'!K$22</f>
        <v>0</v>
      </c>
      <c r="AY8" s="845">
        <f>IF('1 PISO TECHO'!L$20&gt;250,IF('1 PISO TECHO'!L$21&gt;28,IF('1 PISO TECHO'!L$21&lt;56.1,IF(OR('1 PISO TECHO'!L$14="V",'1 PISO TECHO'!L$14="VT",'1 PISO TECHO'!L$14="VTT",'1 PISO TECHO'!L$14="VSB",'1 PISO TECHO'!L$14="VE",'1 PISO TECHO'!L$14="VET",'1 PISO TECHO'!L$14="VESQ",),1,0))))*'1 PISO TECHO'!L$22</f>
        <v>0</v>
      </c>
      <c r="AZ8" s="845">
        <f>IF('1 PISO TECHO'!M$20&gt;250,IF('1 PISO TECHO'!M$21&gt;28,IF('1 PISO TECHO'!M$21&lt;56.1,IF(OR('1 PISO TECHO'!M$14="V",'1 PISO TECHO'!M$14="VT",'1 PISO TECHO'!M$14="VTT",'1 PISO TECHO'!M$14="VSB",'1 PISO TECHO'!M$14="VE",'1 PISO TECHO'!M$14="VET",'1 PISO TECHO'!M$14="VESQ",),1,0))))*'1 PISO TECHO'!M$22</f>
        <v>0</v>
      </c>
      <c r="BA8" s="845">
        <f>IF('1 PISO TECHO'!N$20&gt;250,IF('1 PISO TECHO'!N$21&gt;28,IF('1 PISO TECHO'!N$21&lt;56.1,IF(OR('1 PISO TECHO'!N$14="V",'1 PISO TECHO'!N$14="VT",'1 PISO TECHO'!N$14="VTT",'1 PISO TECHO'!N$14="VSB",'1 PISO TECHO'!N$14="VE",'1 PISO TECHO'!N$14="VET",'1 PISO TECHO'!N$14="VESQ",),1,0))))*'1 PISO TECHO'!N$22</f>
        <v>0</v>
      </c>
      <c r="BB8" s="844">
        <f t="shared" si="0"/>
        <v>0</v>
      </c>
      <c r="BC8" s="845">
        <f>IF('1 PISO TECHO'!C$18="M8",IF('1 PISO TECHO'!$B$27='1 PISO TECHO'!C$16,1,0))*'1 PISO TECHO'!C$22</f>
        <v>0</v>
      </c>
      <c r="BD8" s="845">
        <f>IF('1 PISO TECHO'!D$18="M8",IF('1 PISO TECHO'!$B$27='1 PISO TECHO'!D$16,1,0))*'1 PISO TECHO'!D$22</f>
        <v>0</v>
      </c>
      <c r="BE8" s="845">
        <f>IF('1 PISO TECHO'!E$18="M8",IF('1 PISO TECHO'!$B$27='1 PISO TECHO'!E$16,1,0))*'1 PISO TECHO'!E$22</f>
        <v>0</v>
      </c>
      <c r="BF8" s="845">
        <f>IF('1 PISO TECHO'!F$18="M8",IF('1 PISO TECHO'!$B$27='1 PISO TECHO'!F$16,1,0))*'1 PISO TECHO'!F$22</f>
        <v>0</v>
      </c>
      <c r="BG8" s="845">
        <f>IF('1 PISO TECHO'!G$18="M8",IF('1 PISO TECHO'!$B$27='1 PISO TECHO'!G$16,1,0))*'1 PISO TECHO'!G$22</f>
        <v>0</v>
      </c>
      <c r="BH8" s="845">
        <f>IF('1 PISO TECHO'!H$18="M8",IF('1 PISO TECHO'!$B$27='1 PISO TECHO'!H$16,1,0))*'1 PISO TECHO'!H$22</f>
        <v>0</v>
      </c>
      <c r="BI8" s="845">
        <f>IF('1 PISO TECHO'!I$18="M8",IF('1 PISO TECHO'!$B$27='1 PISO TECHO'!I$16,1,0))*'1 PISO TECHO'!I$22</f>
        <v>0</v>
      </c>
      <c r="BJ8" s="845">
        <f>IF('1 PISO TECHO'!J$18="M8",IF('1 PISO TECHO'!$B$27='1 PISO TECHO'!J$16,1,0))*'1 PISO TECHO'!J$22</f>
        <v>0</v>
      </c>
      <c r="BK8" s="845">
        <f>IF('1 PISO TECHO'!K$18="M8",IF('1 PISO TECHO'!$B$27='1 PISO TECHO'!K$16,1,0))*'1 PISO TECHO'!K$22</f>
        <v>0</v>
      </c>
      <c r="BL8" s="845">
        <f>IF('1 PISO TECHO'!L$18="M8",IF('1 PISO TECHO'!$B$27='1 PISO TECHO'!L$16,1,0))*'1 PISO TECHO'!L$22</f>
        <v>0</v>
      </c>
      <c r="BM8" s="845">
        <f>IF('1 PISO TECHO'!M$18="M8",IF('1 PISO TECHO'!$B$27='1 PISO TECHO'!M$16,1,0))*'1 PISO TECHO'!M$22</f>
        <v>0</v>
      </c>
      <c r="BN8" s="845">
        <f>IF('1 PISO TECHO'!N$18="M8",IF('1 PISO TECHO'!$B$27='1 PISO TECHO'!N$16,1,0))*'1 PISO TECHO'!N$22</f>
        <v>0</v>
      </c>
      <c r="BO8" s="844">
        <f>SUM(BC8:BN8)*2</f>
        <v>0</v>
      </c>
      <c r="BP8" s="845">
        <f>IF('1 PISO TECHO'!C$18="M8",IF('1 PISO TECHO'!$B$28='1 PISO TECHO'!C$16,1,0))*'1 PISO TECHO'!C$22</f>
        <v>0</v>
      </c>
      <c r="BQ8" s="845">
        <f>IF('1 PISO TECHO'!D$18="M8",IF('1 PISO TECHO'!$B$28='1 PISO TECHO'!D$16,1,0))*'1 PISO TECHO'!D$22</f>
        <v>0</v>
      </c>
      <c r="BR8" s="845">
        <f>IF('1 PISO TECHO'!E$18="M8",IF('1 PISO TECHO'!$B$28='1 PISO TECHO'!E$16,1,0))*'1 PISO TECHO'!E$22</f>
        <v>0</v>
      </c>
      <c r="BS8" s="845">
        <f>IF('1 PISO TECHO'!F$18="M8",IF('1 PISO TECHO'!$B$28='1 PISO TECHO'!F$16,1,0))*'1 PISO TECHO'!F$22</f>
        <v>0</v>
      </c>
      <c r="BT8" s="845">
        <f>IF('1 PISO TECHO'!G$18="M8",IF('1 PISO TECHO'!$B$28='1 PISO TECHO'!G$16,1,0))*'1 PISO TECHO'!G$22</f>
        <v>0</v>
      </c>
      <c r="BU8" s="845">
        <f>IF('1 PISO TECHO'!H$18="M8",IF('1 PISO TECHO'!$B$28='1 PISO TECHO'!H$16,1,0))*'1 PISO TECHO'!H$22</f>
        <v>0</v>
      </c>
      <c r="BV8" s="845">
        <f>IF('1 PISO TECHO'!I$18="M8",IF('1 PISO TECHO'!$B$28='1 PISO TECHO'!I$16,1,0))*'1 PISO TECHO'!I$22</f>
        <v>0</v>
      </c>
      <c r="BW8" s="845">
        <f>IF('1 PISO TECHO'!J$18="M8",IF('1 PISO TECHO'!$B$28='1 PISO TECHO'!J$16,1,0))*'1 PISO TECHO'!J$22</f>
        <v>0</v>
      </c>
      <c r="BX8" s="845">
        <f>IF('1 PISO TECHO'!K$18="M8",IF('1 PISO TECHO'!$B$28='1 PISO TECHO'!K$16,1,0))*'1 PISO TECHO'!K$22</f>
        <v>0</v>
      </c>
      <c r="BY8" s="845">
        <f>IF('1 PISO TECHO'!L$18="M8",IF('1 PISO TECHO'!$B$28='1 PISO TECHO'!L$16,1,0))*'1 PISO TECHO'!L$22</f>
        <v>0</v>
      </c>
      <c r="BZ8" s="845">
        <f>IF('1 PISO TECHO'!M$18="M8",IF('1 PISO TECHO'!$B$28='1 PISO TECHO'!M$16,1,0))*'1 PISO TECHO'!M$22</f>
        <v>0</v>
      </c>
      <c r="CA8" s="845">
        <f>IF('1 PISO TECHO'!N$18="M8",IF('1 PISO TECHO'!$B$28='1 PISO TECHO'!N$16,1,0))*'1 PISO TECHO'!N$22</f>
        <v>0</v>
      </c>
      <c r="CB8" s="844">
        <f>SUM(BP8:CA8)*2</f>
        <v>0</v>
      </c>
      <c r="CC8" s="845">
        <f>IF('1 PISO TECHO'!C$18="M8",IF('1 PISO TECHO'!$B$29='1 PISO TECHO'!C$16,1,0))*'1 PISO TECHO'!C$22</f>
        <v>0</v>
      </c>
      <c r="CD8" s="845">
        <f>IF('1 PISO TECHO'!D$18="M8",IF('1 PISO TECHO'!$B$29='1 PISO TECHO'!D$16,1,0))*'1 PISO TECHO'!D$22</f>
        <v>0</v>
      </c>
      <c r="CE8" s="845">
        <f>IF('1 PISO TECHO'!E$18="M8",IF('1 PISO TECHO'!$B$29='1 PISO TECHO'!E$16,1,0))*'1 PISO TECHO'!E$22</f>
        <v>0</v>
      </c>
      <c r="CF8" s="845">
        <f>IF('1 PISO TECHO'!F$18="M8",IF('1 PISO TECHO'!$B$29='1 PISO TECHO'!F$16,1,0))*'1 PISO TECHO'!F$22</f>
        <v>0</v>
      </c>
      <c r="CG8" s="845">
        <f>IF('1 PISO TECHO'!G$18="M8",IF('1 PISO TECHO'!$B$29='1 PISO TECHO'!G$16,1,0))*'1 PISO TECHO'!G$22</f>
        <v>0</v>
      </c>
      <c r="CH8" s="845">
        <f>IF('1 PISO TECHO'!H$18="M8",IF('1 PISO TECHO'!$B$29='1 PISO TECHO'!H$16,1,0))*'1 PISO TECHO'!H$22</f>
        <v>0</v>
      </c>
      <c r="CI8" s="845">
        <f>IF('1 PISO TECHO'!I$18="M8",IF('1 PISO TECHO'!$B$29='1 PISO TECHO'!I$16,1,0))*'1 PISO TECHO'!I$22</f>
        <v>0</v>
      </c>
      <c r="CJ8" s="845">
        <f>IF('1 PISO TECHO'!J$18="M8",IF('1 PISO TECHO'!$B$29='1 PISO TECHO'!J$16,1,0))*'1 PISO TECHO'!J$22</f>
        <v>0</v>
      </c>
      <c r="CK8" s="845">
        <f>IF('1 PISO TECHO'!K$18="M8",IF('1 PISO TECHO'!$B$29='1 PISO TECHO'!K$16,1,0))*'1 PISO TECHO'!K$22</f>
        <v>0</v>
      </c>
      <c r="CL8" s="845">
        <f>IF('1 PISO TECHO'!L$18="M8",IF('1 PISO TECHO'!$B$29='1 PISO TECHO'!L$16,1,0))*'1 PISO TECHO'!L$22</f>
        <v>0</v>
      </c>
      <c r="CM8" s="845">
        <f>IF('1 PISO TECHO'!M$18="M8",IF('1 PISO TECHO'!$B$29='1 PISO TECHO'!M$16,1,0))*'1 PISO TECHO'!M$22</f>
        <v>0</v>
      </c>
      <c r="CN8" s="845">
        <f>IF('1 PISO TECHO'!N$18="M8",IF('1 PISO TECHO'!$B$29='1 PISO TECHO'!N$16,1,0))*'1 PISO TECHO'!N$22</f>
        <v>0</v>
      </c>
      <c r="CO8" s="844">
        <f>SUM(CC8:CN8)*2</f>
        <v>0</v>
      </c>
      <c r="CP8" s="845">
        <f>IF('1 PISO TECHO'!C$18="M8",IF('1 PISO TECHO'!$B$30='1 PISO TECHO'!C$16,1,0))*'1 PISO TECHO'!C$22</f>
        <v>0</v>
      </c>
      <c r="CQ8" s="845">
        <f>IF('1 PISO TECHO'!D$18="M8",IF('1 PISO TECHO'!$B$30='1 PISO TECHO'!D$16,1,0))*'1 PISO TECHO'!D$22</f>
        <v>0</v>
      </c>
      <c r="CR8" s="845">
        <f>IF('1 PISO TECHO'!E$18="M8",IF('1 PISO TECHO'!$B$30='1 PISO TECHO'!E$16,1,0))*'1 PISO TECHO'!E$22</f>
        <v>0</v>
      </c>
      <c r="CS8" s="845">
        <f>IF('1 PISO TECHO'!F$18="M8",IF('1 PISO TECHO'!$B$30='1 PISO TECHO'!F$16,1,0))*'1 PISO TECHO'!F$22</f>
        <v>0</v>
      </c>
      <c r="CT8" s="845">
        <f>IF('1 PISO TECHO'!G$18="M8",IF('1 PISO TECHO'!$B$30='1 PISO TECHO'!G$16,1,0))*'1 PISO TECHO'!G$22</f>
        <v>0</v>
      </c>
      <c r="CU8" s="845">
        <f>IF('1 PISO TECHO'!H$18="M8",IF('1 PISO TECHO'!$B$30='1 PISO TECHO'!H$16,1,0))*'1 PISO TECHO'!H$22</f>
        <v>0</v>
      </c>
      <c r="CV8" s="845">
        <f>IF('1 PISO TECHO'!I$18="M8",IF('1 PISO TECHO'!$B$30='1 PISO TECHO'!I$16,1,0))*'1 PISO TECHO'!I$22</f>
        <v>0</v>
      </c>
      <c r="CW8" s="845">
        <f>IF('1 PISO TECHO'!J$18="M8",IF('1 PISO TECHO'!$B$30='1 PISO TECHO'!J$16,1,0))*'1 PISO TECHO'!J$22</f>
        <v>0</v>
      </c>
      <c r="CX8" s="845">
        <f>IF('1 PISO TECHO'!K$18="M8",IF('1 PISO TECHO'!$B$30='1 PISO TECHO'!K$16,1,0))*'1 PISO TECHO'!K$22</f>
        <v>0</v>
      </c>
      <c r="CY8" s="845">
        <f>IF('1 PISO TECHO'!L$18="M8",IF('1 PISO TECHO'!$B$30='1 PISO TECHO'!L$16,1,0))*'1 PISO TECHO'!L$22</f>
        <v>0</v>
      </c>
      <c r="CZ8" s="845">
        <f>IF('1 PISO TECHO'!M$18="M8",IF('1 PISO TECHO'!$B$30='1 PISO TECHO'!M$16,1,0))*'1 PISO TECHO'!M$22</f>
        <v>0</v>
      </c>
      <c r="DA8" s="845">
        <f>IF('1 PISO TECHO'!N$18="M8",IF('1 PISO TECHO'!$B$30='1 PISO TECHO'!N$16,1,0))*'1 PISO TECHO'!N$22</f>
        <v>0</v>
      </c>
      <c r="DB8" s="844">
        <f>SUM(CP8:DA8)*2</f>
        <v>0</v>
      </c>
      <c r="DM8" s="838"/>
      <c r="DN8" s="838"/>
      <c r="DO8" s="838"/>
      <c r="DP8" s="838"/>
      <c r="DQ8" s="838"/>
      <c r="DR8" s="838"/>
      <c r="DS8" s="838"/>
      <c r="HT8" s="838"/>
      <c r="HU8" s="838"/>
      <c r="HV8" s="838"/>
      <c r="HW8" s="838"/>
      <c r="HX8" s="838"/>
      <c r="HY8" s="838"/>
    </row>
    <row r="9" spans="1:233" ht="26.25" x14ac:dyDescent="0.4">
      <c r="A9" s="1467" t="s">
        <v>1166</v>
      </c>
      <c r="B9" s="1467"/>
      <c r="C9" s="846">
        <f>IF('1 PISO TECHO'!C18="V3",'1 PISO TECHO'!C22*2,0)</f>
        <v>0</v>
      </c>
      <c r="D9" s="847">
        <f>IF('1 PISO TECHO'!D18="V3",'1 PISO TECHO'!D22*2,0)</f>
        <v>0</v>
      </c>
      <c r="E9" s="847">
        <f>IF('1 PISO TECHO'!E18="V3",'1 PISO TECHO'!E22*2,0)</f>
        <v>0</v>
      </c>
      <c r="F9" s="847">
        <f>IF('1 PISO TECHO'!F18="V3",'1 PISO TECHO'!F22*2,0)</f>
        <v>0</v>
      </c>
      <c r="G9" s="847">
        <f>IF('1 PISO TECHO'!G18="V3",'1 PISO TECHO'!G22*2,0)</f>
        <v>0</v>
      </c>
      <c r="H9" s="847">
        <f>IF('1 PISO TECHO'!H18="V3",'1 PISO TECHO'!H22*2,0)</f>
        <v>0</v>
      </c>
      <c r="I9" s="847">
        <f>IF('1 PISO TECHO'!I18="V3",'1 PISO TECHO'!I22*2,0)</f>
        <v>0</v>
      </c>
      <c r="J9" s="847">
        <f>IF('1 PISO TECHO'!J18="V3",'1 PISO TECHO'!J22*2,0)</f>
        <v>0</v>
      </c>
      <c r="K9" s="847">
        <f>IF('1 PISO TECHO'!K18="V3",'1 PISO TECHO'!K22*2,0)</f>
        <v>0</v>
      </c>
      <c r="L9" s="847">
        <f>IF('1 PISO TECHO'!L18="V3",'1 PISO TECHO'!L22*2,0)</f>
        <v>0</v>
      </c>
      <c r="M9" s="847">
        <f>IF('1 PISO TECHO'!M18="V3",'1 PISO TECHO'!M22*2,0)</f>
        <v>0</v>
      </c>
      <c r="N9" s="1083">
        <f>IF('1 PISO TECHO'!N18="V3",'1 PISO TECHO'!N22*2,0)</f>
        <v>0</v>
      </c>
      <c r="O9" s="838"/>
      <c r="P9" s="850">
        <f>IF('1 PISO TECHO'!C18="V3",IF(OR('1 PISO TECHO'!C14="V",'1 PISO TECHO'!C14="VT",'1 PISO TECHO'!C14="VSB",'1 PISO TECHO'!C14="VTT",),1,0))*'1 PISO TECHO'!C22</f>
        <v>0</v>
      </c>
      <c r="Q9" s="851">
        <f>IF('1 PISO TECHO'!D18="V3",IF(OR('1 PISO TECHO'!D14="V",'1 PISO TECHO'!D14="VT",'1 PISO TECHO'!D14="VSB",'1 PISO TECHO'!D14="VTT",),1,0))*'1 PISO TECHO'!D22</f>
        <v>0</v>
      </c>
      <c r="R9" s="851">
        <f>IF('1 PISO TECHO'!E18="V3",IF(OR('1 PISO TECHO'!E14="V",'1 PISO TECHO'!E14="VT",'1 PISO TECHO'!E14="VSB",'1 PISO TECHO'!E14="VTT",),1,0))*'1 PISO TECHO'!E22</f>
        <v>0</v>
      </c>
      <c r="S9" s="851">
        <f>IF('1 PISO TECHO'!F18="V3",IF(OR('1 PISO TECHO'!F14="V",'1 PISO TECHO'!F14="VT",'1 PISO TECHO'!F14="VSB",'1 PISO TECHO'!F14="VTT",),1,0))*'1 PISO TECHO'!F22</f>
        <v>0</v>
      </c>
      <c r="T9" s="851">
        <f>IF('1 PISO TECHO'!G18="V3",IF(OR('1 PISO TECHO'!G14="V",'1 PISO TECHO'!G14="VT",'1 PISO TECHO'!G14="VSB",'1 PISO TECHO'!G14="VTT",),1,0))*'1 PISO TECHO'!G22</f>
        <v>0</v>
      </c>
      <c r="U9" s="851">
        <f>IF('1 PISO TECHO'!H18="V3",IF(OR('1 PISO TECHO'!H14="V",'1 PISO TECHO'!H14="VT",'1 PISO TECHO'!H14="VSB",'1 PISO TECHO'!H14="VTT",),1,0))*'1 PISO TECHO'!H22</f>
        <v>0</v>
      </c>
      <c r="V9" s="851">
        <f>IF('1 PISO TECHO'!I18="V3",IF(OR('1 PISO TECHO'!I14="V",'1 PISO TECHO'!I14="VT",'1 PISO TECHO'!I14="VSB",'1 PISO TECHO'!I14="VTT",),1,0))*'1 PISO TECHO'!I22</f>
        <v>0</v>
      </c>
      <c r="W9" s="851">
        <f>IF('1 PISO TECHO'!J18="V3",IF(OR('1 PISO TECHO'!J14="V",'1 PISO TECHO'!J14="VT",'1 PISO TECHO'!J14="VSB",'1 PISO TECHO'!J14="VTT",),1,0))*'1 PISO TECHO'!J22</f>
        <v>0</v>
      </c>
      <c r="X9" s="851">
        <f>IF('1 PISO TECHO'!K18="V3",IF(OR('1 PISO TECHO'!K14="V",'1 PISO TECHO'!K14="VT",'1 PISO TECHO'!K14="VSB",'1 PISO TECHO'!K14="VTT",),1,0))*'1 PISO TECHO'!K22</f>
        <v>0</v>
      </c>
      <c r="Y9" s="851">
        <f>IF('1 PISO TECHO'!L18="V3",IF(OR('1 PISO TECHO'!L14="V",'1 PISO TECHO'!L14="VT",'1 PISO TECHO'!L14="VSB",'1 PISO TECHO'!L14="VTT",),1,0))*'1 PISO TECHO'!L22</f>
        <v>0</v>
      </c>
      <c r="Z9" s="851">
        <f>IF('1 PISO TECHO'!M18="V3",IF(OR('1 PISO TECHO'!M14="V",'1 PISO TECHO'!M14="VT",'1 PISO TECHO'!M14="VSB",'1 PISO TECHO'!M14="VTT",),1,0))*'1 PISO TECHO'!M22</f>
        <v>0</v>
      </c>
      <c r="AA9" s="875">
        <f>IF('1 PISO TECHO'!N18="V3",IF(OR('1 PISO TECHO'!N14="V",'1 PISO TECHO'!N14="VT",'1 PISO TECHO'!N14="VSB",'1 PISO TECHO'!N14="VTT",),1,0))*'1 PISO TECHO'!N22</f>
        <v>0</v>
      </c>
      <c r="AB9" s="852"/>
      <c r="AC9" s="855">
        <f>IF('1 PISO TECHO'!C18="M8",1,0)*'1 PISO TECHO'!C22</f>
        <v>0</v>
      </c>
      <c r="AD9" s="855">
        <f>IF('1 PISO TECHO'!D18="M8",1,0)*'1 PISO TECHO'!D22</f>
        <v>0</v>
      </c>
      <c r="AE9" s="855">
        <f>IF('1 PISO TECHO'!E18="M8",1,0)*'1 PISO TECHO'!E22</f>
        <v>0</v>
      </c>
      <c r="AF9" s="855">
        <f>IF('1 PISO TECHO'!F18="M8",1,0)*'1 PISO TECHO'!F22</f>
        <v>0</v>
      </c>
      <c r="AG9" s="855">
        <f>IF('1 PISO TECHO'!G18="M8",1,0)*'1 PISO TECHO'!G22</f>
        <v>0</v>
      </c>
      <c r="AH9" s="855">
        <f>IF('1 PISO TECHO'!H18="M8",1,0)*'1 PISO TECHO'!H22</f>
        <v>0</v>
      </c>
      <c r="AI9" s="855">
        <f>IF('1 PISO TECHO'!I18="M8",1,0)*'1 PISO TECHO'!I22</f>
        <v>0</v>
      </c>
      <c r="AJ9" s="855">
        <f>IF('1 PISO TECHO'!J18="M8",1,0)*'1 PISO TECHO'!J22</f>
        <v>0</v>
      </c>
      <c r="AK9" s="855">
        <f>IF('1 PISO TECHO'!K18="M8",1,0)*'1 PISO TECHO'!K22</f>
        <v>0</v>
      </c>
      <c r="AL9" s="855">
        <f>IF('1 PISO TECHO'!L18="M8",1,0)*'1 PISO TECHO'!L22</f>
        <v>0</v>
      </c>
      <c r="AM9" s="855">
        <f>IF('1 PISO TECHO'!M18="M8",1,0)*'1 PISO TECHO'!M22</f>
        <v>0</v>
      </c>
      <c r="AN9" s="855">
        <f>IF('1 PISO TECHO'!N18="M8",1,0)*'1 PISO TECHO'!N22</f>
        <v>0</v>
      </c>
      <c r="AO9" s="844">
        <f>SUM(AC9:AN9)</f>
        <v>0</v>
      </c>
      <c r="AP9" s="845">
        <f>IF('1 PISO TECHO'!C$20&gt;250,IF('1 PISO TECHO'!C$21&gt;56,IF('1 PISO TECHO'!C$21&lt;70.1,IF(OR('1 PISO TECHO'!C$14="V",'1 PISO TECHO'!C$14="VT",'1 PISO TECHO'!C$14="VTT",'1 PISO TECHO'!C$14="VSB",'1 PISO TECHO'!C$14="VE",'1 PISO TECHO'!C$14="VET",'1 PISO TECHO'!C$14="VESQ",),1,0))))*'1 PISO TECHO'!C$22</f>
        <v>0</v>
      </c>
      <c r="AQ9" s="845">
        <f>IF('1 PISO TECHO'!D$20&gt;250,IF('1 PISO TECHO'!D$21&gt;56,IF('1 PISO TECHO'!D$21&lt;70.1,IF(OR('1 PISO TECHO'!D$14="V",'1 PISO TECHO'!D$14="VT",'1 PISO TECHO'!D$14="VTT",'1 PISO TECHO'!D$14="VSB",'1 PISO TECHO'!D$14="VE",'1 PISO TECHO'!D$14="VET",'1 PISO TECHO'!D$14="VESQ",),1,0))))*'1 PISO TECHO'!D$22</f>
        <v>0</v>
      </c>
      <c r="AR9" s="845">
        <f>IF('1 PISO TECHO'!E$20&gt;250,IF('1 PISO TECHO'!E$21&gt;56,IF('1 PISO TECHO'!E$21&lt;70.1,IF(OR('1 PISO TECHO'!E$14="V",'1 PISO TECHO'!E$14="VT",'1 PISO TECHO'!E$14="VTT",'1 PISO TECHO'!E$14="VSB",'1 PISO TECHO'!E$14="VE",'1 PISO TECHO'!E$14="VET",'1 PISO TECHO'!E$14="VESQ",),1,0))))*'1 PISO TECHO'!E$22</f>
        <v>0</v>
      </c>
      <c r="AS9" s="845">
        <f>IF('1 PISO TECHO'!F$20&gt;250,IF('1 PISO TECHO'!F$21&gt;56,IF('1 PISO TECHO'!F$21&lt;70.1,IF(OR('1 PISO TECHO'!F$14="V",'1 PISO TECHO'!F$14="VT",'1 PISO TECHO'!F$14="VTT",'1 PISO TECHO'!F$14="VSB",'1 PISO TECHO'!F$14="VE",'1 PISO TECHO'!F$14="VET",'1 PISO TECHO'!F$14="VESQ",),1,0))))*'1 PISO TECHO'!F$22</f>
        <v>0</v>
      </c>
      <c r="AT9" s="845">
        <f>IF('1 PISO TECHO'!G$20&gt;250,IF('1 PISO TECHO'!G$21&gt;56,IF('1 PISO TECHO'!G$21&lt;70.1,IF(OR('1 PISO TECHO'!G$14="V",'1 PISO TECHO'!G$14="VT",'1 PISO TECHO'!G$14="VTT",'1 PISO TECHO'!G$14="VSB",'1 PISO TECHO'!G$14="VE",'1 PISO TECHO'!G$14="VET",'1 PISO TECHO'!G$14="VESQ",),1,0))))*'1 PISO TECHO'!G$22</f>
        <v>0</v>
      </c>
      <c r="AU9" s="845">
        <f>IF('1 PISO TECHO'!H$20&gt;250,IF('1 PISO TECHO'!H$21&gt;56,IF('1 PISO TECHO'!H$21&lt;70.1,IF(OR('1 PISO TECHO'!H$14="V",'1 PISO TECHO'!H$14="VT",'1 PISO TECHO'!H$14="VTT",'1 PISO TECHO'!H$14="VSB",'1 PISO TECHO'!H$14="VE",'1 PISO TECHO'!H$14="VET",'1 PISO TECHO'!H$14="VESQ",),1,0))))*'1 PISO TECHO'!H$22</f>
        <v>0</v>
      </c>
      <c r="AV9" s="845">
        <f>IF('1 PISO TECHO'!I$20&gt;250,IF('1 PISO TECHO'!I$21&gt;56,IF('1 PISO TECHO'!I$21&lt;70.1,IF(OR('1 PISO TECHO'!I$14="V",'1 PISO TECHO'!I$14="VT",'1 PISO TECHO'!I$14="VTT",'1 PISO TECHO'!I$14="VSB",'1 PISO TECHO'!I$14="VE",'1 PISO TECHO'!I$14="VET",'1 PISO TECHO'!I$14="VESQ",),1,0))))*'1 PISO TECHO'!I$22</f>
        <v>0</v>
      </c>
      <c r="AW9" s="845">
        <f>IF('1 PISO TECHO'!J$20&gt;250,IF('1 PISO TECHO'!J$21&gt;56,IF('1 PISO TECHO'!J$21&lt;70.1,IF(OR('1 PISO TECHO'!J$14="V",'1 PISO TECHO'!J$14="VT",'1 PISO TECHO'!J$14="VTT",'1 PISO TECHO'!J$14="VSB",'1 PISO TECHO'!J$14="VE",'1 PISO TECHO'!J$14="VET",'1 PISO TECHO'!J$14="VESQ",),1,0))))*'1 PISO TECHO'!J$22</f>
        <v>0</v>
      </c>
      <c r="AX9" s="845">
        <f>IF('1 PISO TECHO'!K$20&gt;250,IF('1 PISO TECHO'!K$21&gt;56,IF('1 PISO TECHO'!K$21&lt;70.1,IF(OR('1 PISO TECHO'!K$14="V",'1 PISO TECHO'!K$14="VT",'1 PISO TECHO'!K$14="VTT",'1 PISO TECHO'!K$14="VSB",'1 PISO TECHO'!K$14="VE",'1 PISO TECHO'!K$14="VET",'1 PISO TECHO'!K$14="VESQ",),1,0))))*'1 PISO TECHO'!K$22</f>
        <v>0</v>
      </c>
      <c r="AY9" s="845">
        <f>IF('1 PISO TECHO'!L$20&gt;250,IF('1 PISO TECHO'!L$21&gt;56,IF('1 PISO TECHO'!L$21&lt;70.1,IF(OR('1 PISO TECHO'!L$14="V",'1 PISO TECHO'!L$14="VT",'1 PISO TECHO'!L$14="VTT",'1 PISO TECHO'!L$14="VSB",'1 PISO TECHO'!L$14="VE",'1 PISO TECHO'!L$14="VET",'1 PISO TECHO'!L$14="VESQ",),1,0))))*'1 PISO TECHO'!L$22</f>
        <v>0</v>
      </c>
      <c r="AZ9" s="845">
        <f>IF('1 PISO TECHO'!M$20&gt;250,IF('1 PISO TECHO'!M$21&gt;56,IF('1 PISO TECHO'!M$21&lt;70.1,IF(OR('1 PISO TECHO'!M$14="V",'1 PISO TECHO'!M$14="VT",'1 PISO TECHO'!M$14="VTT",'1 PISO TECHO'!M$14="VSB",'1 PISO TECHO'!M$14="VE",'1 PISO TECHO'!M$14="VET",'1 PISO TECHO'!M$14="VESQ",),1,0))))*'1 PISO TECHO'!M$22</f>
        <v>0</v>
      </c>
      <c r="BA9" s="845">
        <f>IF('1 PISO TECHO'!N$20&gt;250,IF('1 PISO TECHO'!N$21&gt;56,IF('1 PISO TECHO'!N$21&lt;70.1,IF(OR('1 PISO TECHO'!N$14="V",'1 PISO TECHO'!N$14="VT",'1 PISO TECHO'!N$14="VTT",'1 PISO TECHO'!N$14="VSB",'1 PISO TECHO'!N$14="VE",'1 PISO TECHO'!N$14="VET",'1 PISO TECHO'!N$14="VESQ",),1,0))))*'1 PISO TECHO'!N$22</f>
        <v>0</v>
      </c>
      <c r="BB9" s="844">
        <f t="shared" si="0"/>
        <v>0</v>
      </c>
      <c r="BC9" s="845">
        <f>IF('1 PISO TECHO'!C$18="V3",IF('1 PISO TECHO'!$B$27='1 PISO TECHO'!C$16,1,0))*'1 PISO TECHO'!C$22</f>
        <v>0</v>
      </c>
      <c r="BD9" s="845">
        <f>IF('1 PISO TECHO'!D$18="V3",IF('1 PISO TECHO'!$B$27='1 PISO TECHO'!D$16,1,0))*'1 PISO TECHO'!D$22</f>
        <v>0</v>
      </c>
      <c r="BE9" s="845">
        <f>IF('1 PISO TECHO'!E$18="V3",IF('1 PISO TECHO'!$B$27='1 PISO TECHO'!E$16,1,0))*'1 PISO TECHO'!E$22</f>
        <v>0</v>
      </c>
      <c r="BF9" s="845">
        <f>IF('1 PISO TECHO'!F$18="V3",IF('1 PISO TECHO'!$B$27='1 PISO TECHO'!F$16,1,0))*'1 PISO TECHO'!F$22</f>
        <v>0</v>
      </c>
      <c r="BG9" s="845">
        <f>IF('1 PISO TECHO'!G$18="V3",IF('1 PISO TECHO'!$B$27='1 PISO TECHO'!G$16,1,0))*'1 PISO TECHO'!G$22</f>
        <v>0</v>
      </c>
      <c r="BH9" s="845">
        <f>IF('1 PISO TECHO'!H$18="V3",IF('1 PISO TECHO'!$B$27='1 PISO TECHO'!H$16,1,0))*'1 PISO TECHO'!H$22</f>
        <v>0</v>
      </c>
      <c r="BI9" s="845">
        <f>IF('1 PISO TECHO'!I$18="V3",IF('1 PISO TECHO'!$B$27='1 PISO TECHO'!I$16,1,0))*'1 PISO TECHO'!I$22</f>
        <v>0</v>
      </c>
      <c r="BJ9" s="845">
        <f>IF('1 PISO TECHO'!J$18="V3",IF('1 PISO TECHO'!$B$27='1 PISO TECHO'!J$16,1,0))*'1 PISO TECHO'!J$22</f>
        <v>0</v>
      </c>
      <c r="BK9" s="845">
        <f>IF('1 PISO TECHO'!K$18="V3",IF('1 PISO TECHO'!$B$27='1 PISO TECHO'!K$16,1,0))*'1 PISO TECHO'!K$22</f>
        <v>0</v>
      </c>
      <c r="BL9" s="845">
        <f>IF('1 PISO TECHO'!L$18="V3",IF('1 PISO TECHO'!$B$27='1 PISO TECHO'!L$16,1,0))*'1 PISO TECHO'!L$22</f>
        <v>0</v>
      </c>
      <c r="BM9" s="845">
        <f>IF('1 PISO TECHO'!M$18="V3",IF('1 PISO TECHO'!$B$27='1 PISO TECHO'!M$16,1,0))*'1 PISO TECHO'!M$22</f>
        <v>0</v>
      </c>
      <c r="BN9" s="845">
        <f>IF('1 PISO TECHO'!N$18="V3",IF('1 PISO TECHO'!$B$27='1 PISO TECHO'!N$16,1,0))*'1 PISO TECHO'!N$22</f>
        <v>0</v>
      </c>
      <c r="BO9" s="844">
        <f>SUM(BC9:BN9)*2</f>
        <v>0</v>
      </c>
      <c r="BP9" s="845">
        <f>IF('1 PISO TECHO'!C$18="v3",IF('1 PISO TECHO'!$B$28='1 PISO TECHO'!C$16,1,0))*'1 PISO TECHO'!C$22</f>
        <v>0</v>
      </c>
      <c r="BQ9" s="845">
        <f>IF('1 PISO TECHO'!D$18="v3",IF('1 PISO TECHO'!$B$28='1 PISO TECHO'!D$16,1,0))*'1 PISO TECHO'!D$22</f>
        <v>0</v>
      </c>
      <c r="BR9" s="845">
        <f>IF('1 PISO TECHO'!E$18="v3",IF('1 PISO TECHO'!$B$28='1 PISO TECHO'!E$16,1,0))*'1 PISO TECHO'!E$22</f>
        <v>0</v>
      </c>
      <c r="BS9" s="845">
        <f>IF('1 PISO TECHO'!F$18="v3",IF('1 PISO TECHO'!$B$28='1 PISO TECHO'!F$16,1,0))*'1 PISO TECHO'!F$22</f>
        <v>0</v>
      </c>
      <c r="BT9" s="845">
        <f>IF('1 PISO TECHO'!G$18="v3",IF('1 PISO TECHO'!$B$28='1 PISO TECHO'!G$16,1,0))*'1 PISO TECHO'!G$22</f>
        <v>0</v>
      </c>
      <c r="BU9" s="845">
        <f>IF('1 PISO TECHO'!H$18="v3",IF('1 PISO TECHO'!$B$28='1 PISO TECHO'!H$16,1,0))*'1 PISO TECHO'!H$22</f>
        <v>0</v>
      </c>
      <c r="BV9" s="845">
        <f>IF('1 PISO TECHO'!I$18="v3",IF('1 PISO TECHO'!$B$28='1 PISO TECHO'!I$16,1,0))*'1 PISO TECHO'!I$22</f>
        <v>0</v>
      </c>
      <c r="BW9" s="845">
        <f>IF('1 PISO TECHO'!J$18="v3",IF('1 PISO TECHO'!$B$28='1 PISO TECHO'!J$16,1,0))*'1 PISO TECHO'!J$22</f>
        <v>0</v>
      </c>
      <c r="BX9" s="845">
        <f>IF('1 PISO TECHO'!K$18="v3",IF('1 PISO TECHO'!$B$28='1 PISO TECHO'!K$16,1,0))*'1 PISO TECHO'!K$22</f>
        <v>0</v>
      </c>
      <c r="BY9" s="845">
        <f>IF('1 PISO TECHO'!L$18="v3",IF('1 PISO TECHO'!$B$28='1 PISO TECHO'!L$16,1,0))*'1 PISO TECHO'!L$22</f>
        <v>0</v>
      </c>
      <c r="BZ9" s="845">
        <f>IF('1 PISO TECHO'!M$18="v3",IF('1 PISO TECHO'!$B$28='1 PISO TECHO'!M$16,1,0))*'1 PISO TECHO'!M$22</f>
        <v>0</v>
      </c>
      <c r="CA9" s="845">
        <f>IF('1 PISO TECHO'!N$18="v3",IF('1 PISO TECHO'!$B$28='1 PISO TECHO'!N$16,1,0))*'1 PISO TECHO'!N$22</f>
        <v>0</v>
      </c>
      <c r="CB9" s="844">
        <f>SUM(BP9:CA9)*2</f>
        <v>0</v>
      </c>
      <c r="CC9" s="845">
        <f>IF('1 PISO TECHO'!C$18="V3",IF('1 PISO TECHO'!$B$29='1 PISO TECHO'!C$16,1,0))*'1 PISO TECHO'!C$22</f>
        <v>0</v>
      </c>
      <c r="CD9" s="845">
        <f>IF('1 PISO TECHO'!D$18="V3",IF('1 PISO TECHO'!$B$29='1 PISO TECHO'!D$16,1,0))*'1 PISO TECHO'!D$22</f>
        <v>0</v>
      </c>
      <c r="CE9" s="845">
        <f>IF('1 PISO TECHO'!E$18="V3",IF('1 PISO TECHO'!$B$29='1 PISO TECHO'!E$16,1,0))*'1 PISO TECHO'!E$22</f>
        <v>0</v>
      </c>
      <c r="CF9" s="845">
        <f>IF('1 PISO TECHO'!F$18="V3",IF('1 PISO TECHO'!$B$29='1 PISO TECHO'!F$16,1,0))*'1 PISO TECHO'!F$22</f>
        <v>0</v>
      </c>
      <c r="CG9" s="845">
        <f>IF('1 PISO TECHO'!G$18="V3",IF('1 PISO TECHO'!$B$29='1 PISO TECHO'!G$16,1,0))*'1 PISO TECHO'!G$22</f>
        <v>0</v>
      </c>
      <c r="CH9" s="845">
        <f>IF('1 PISO TECHO'!H$18="V3",IF('1 PISO TECHO'!$B$29='1 PISO TECHO'!H$16,1,0))*'1 PISO TECHO'!H$22</f>
        <v>0</v>
      </c>
      <c r="CI9" s="845">
        <f>IF('1 PISO TECHO'!I$18="V3",IF('1 PISO TECHO'!$B$29='1 PISO TECHO'!I$16,1,0))*'1 PISO TECHO'!I$22</f>
        <v>0</v>
      </c>
      <c r="CJ9" s="845">
        <f>IF('1 PISO TECHO'!J$18="V3",IF('1 PISO TECHO'!$B$29='1 PISO TECHO'!J$16,1,0))*'1 PISO TECHO'!J$22</f>
        <v>0</v>
      </c>
      <c r="CK9" s="845">
        <f>IF('1 PISO TECHO'!K$18="V3",IF('1 PISO TECHO'!$B$29='1 PISO TECHO'!K$16,1,0))*'1 PISO TECHO'!K$22</f>
        <v>0</v>
      </c>
      <c r="CL9" s="845">
        <f>IF('1 PISO TECHO'!L$18="V3",IF('1 PISO TECHO'!$B$29='1 PISO TECHO'!L$16,1,0))*'1 PISO TECHO'!L$22</f>
        <v>0</v>
      </c>
      <c r="CM9" s="845">
        <f>IF('1 PISO TECHO'!M$18="V3",IF('1 PISO TECHO'!$B$29='1 PISO TECHO'!M$16,1,0))*'1 PISO TECHO'!M$22</f>
        <v>0</v>
      </c>
      <c r="CN9" s="845">
        <f>IF('1 PISO TECHO'!N$18="V3",IF('1 PISO TECHO'!$B$29='1 PISO TECHO'!N$16,1,0))*'1 PISO TECHO'!N$22</f>
        <v>0</v>
      </c>
      <c r="CO9" s="844">
        <f>SUM(CC9:CN9)*2</f>
        <v>0</v>
      </c>
      <c r="CP9" s="845">
        <f>IF('1 PISO TECHO'!C$18="V3",IF('1 PISO TECHO'!$B$30='1 PISO TECHO'!C$16,1,0))*'1 PISO TECHO'!C$22</f>
        <v>0</v>
      </c>
      <c r="CQ9" s="845">
        <f>IF('1 PISO TECHO'!D$18="V3",IF('1 PISO TECHO'!$B$30='1 PISO TECHO'!D$16,1,0))*'1 PISO TECHO'!D$22</f>
        <v>0</v>
      </c>
      <c r="CR9" s="845">
        <f>IF('1 PISO TECHO'!E$18="V3",IF('1 PISO TECHO'!$B$30='1 PISO TECHO'!E$16,1,0))*'1 PISO TECHO'!E$22</f>
        <v>0</v>
      </c>
      <c r="CS9" s="845">
        <f>IF('1 PISO TECHO'!F$18="V3",IF('1 PISO TECHO'!$B$30='1 PISO TECHO'!F$16,1,0))*'1 PISO TECHO'!F$22</f>
        <v>0</v>
      </c>
      <c r="CT9" s="845">
        <f>IF('1 PISO TECHO'!G$18="V3",IF('1 PISO TECHO'!$B$30='1 PISO TECHO'!G$16,1,0))*'1 PISO TECHO'!G$22</f>
        <v>0</v>
      </c>
      <c r="CU9" s="845">
        <f>IF('1 PISO TECHO'!H$18="V3",IF('1 PISO TECHO'!$B$30='1 PISO TECHO'!H$16,1,0))*'1 PISO TECHO'!H$22</f>
        <v>0</v>
      </c>
      <c r="CV9" s="845">
        <f>IF('1 PISO TECHO'!I$18="V3",IF('1 PISO TECHO'!$B$30='1 PISO TECHO'!I$16,1,0))*'1 PISO TECHO'!I$22</f>
        <v>0</v>
      </c>
      <c r="CW9" s="845">
        <f>IF('1 PISO TECHO'!J$18="V3",IF('1 PISO TECHO'!$B$30='1 PISO TECHO'!J$16,1,0))*'1 PISO TECHO'!J$22</f>
        <v>0</v>
      </c>
      <c r="CX9" s="845">
        <f>IF('1 PISO TECHO'!K$18="V3",IF('1 PISO TECHO'!$B$30='1 PISO TECHO'!K$16,1,0))*'1 PISO TECHO'!K$22</f>
        <v>0</v>
      </c>
      <c r="CY9" s="845">
        <f>IF('1 PISO TECHO'!L$18="V3",IF('1 PISO TECHO'!$B$30='1 PISO TECHO'!L$16,1,0))*'1 PISO TECHO'!L$22</f>
        <v>0</v>
      </c>
      <c r="CZ9" s="845">
        <f>IF('1 PISO TECHO'!M$18="V3",IF('1 PISO TECHO'!$B$30='1 PISO TECHO'!M$16,1,0))*'1 PISO TECHO'!M$22</f>
        <v>0</v>
      </c>
      <c r="DA9" s="845">
        <f>IF('1 PISO TECHO'!N$18="V3",IF('1 PISO TECHO'!$B$30='1 PISO TECHO'!N$16,1,0))*'1 PISO TECHO'!N$22</f>
        <v>0</v>
      </c>
      <c r="DB9" s="844">
        <f>SUM(CP9:DA9)*2</f>
        <v>0</v>
      </c>
      <c r="HT9" s="838"/>
      <c r="HU9" s="838"/>
      <c r="HV9" s="838"/>
      <c r="HW9" s="838"/>
      <c r="HX9" s="838"/>
      <c r="HY9" s="838"/>
    </row>
    <row r="10" spans="1:233" ht="26.25" x14ac:dyDescent="0.4">
      <c r="A10" s="1467" t="s">
        <v>1167</v>
      </c>
      <c r="B10" s="1467"/>
      <c r="C10" s="846">
        <f>IF('1 PISO TECHO'!C$18="M6",'1 PISO TECHO'!C$22*2,0)</f>
        <v>0</v>
      </c>
      <c r="D10" s="847">
        <f>IF('1 PISO TECHO'!D18="M6",'1 PISO TECHO'!D22*2,0)</f>
        <v>0</v>
      </c>
      <c r="E10" s="847">
        <f>IF('1 PISO TECHO'!E18="M6",'1 PISO TECHO'!E22*2,0)</f>
        <v>0</v>
      </c>
      <c r="F10" s="847">
        <f>IF('1 PISO TECHO'!F18="M6",'1 PISO TECHO'!F22*2,0)</f>
        <v>0</v>
      </c>
      <c r="G10" s="847">
        <f>IF('1 PISO TECHO'!G18="M6",'1 PISO TECHO'!G22*2,0)</f>
        <v>0</v>
      </c>
      <c r="H10" s="847">
        <f>IF('1 PISO TECHO'!H18="M6",'1 PISO TECHO'!H22*2,0)</f>
        <v>0</v>
      </c>
      <c r="I10" s="847">
        <f>IF('1 PISO TECHO'!I18="M6",'1 PISO TECHO'!I22*2,0)</f>
        <v>0</v>
      </c>
      <c r="J10" s="847">
        <f>IF('1 PISO TECHO'!J18="M6",'1 PISO TECHO'!J22*2,0)</f>
        <v>0</v>
      </c>
      <c r="K10" s="847">
        <f>IF('1 PISO TECHO'!K18="M6",'1 PISO TECHO'!K22*2,0)</f>
        <v>0</v>
      </c>
      <c r="L10" s="847">
        <f>IF('1 PISO TECHO'!L18="M6",'1 PISO TECHO'!L22*2,0)</f>
        <v>0</v>
      </c>
      <c r="M10" s="847">
        <f>IF('1 PISO TECHO'!M18="M6",'1 PISO TECHO'!M22*2,0)</f>
        <v>0</v>
      </c>
      <c r="N10" s="1083">
        <f>IF('1 PISO TECHO'!N18="M6",'1 PISO TECHO'!N22*2,0)</f>
        <v>0</v>
      </c>
      <c r="O10" s="838"/>
      <c r="P10" s="852">
        <f>SUM(P7:P9)</f>
        <v>0</v>
      </c>
      <c r="Q10" s="852">
        <f t="shared" ref="Q10:AA10" si="1">SUM(Q7:Q9)</f>
        <v>0</v>
      </c>
      <c r="R10" s="852">
        <f t="shared" si="1"/>
        <v>0</v>
      </c>
      <c r="S10" s="852">
        <f t="shared" si="1"/>
        <v>0</v>
      </c>
      <c r="T10" s="852">
        <f t="shared" si="1"/>
        <v>0</v>
      </c>
      <c r="U10" s="852">
        <f t="shared" si="1"/>
        <v>0</v>
      </c>
      <c r="V10" s="852">
        <f t="shared" si="1"/>
        <v>0</v>
      </c>
      <c r="W10" s="852">
        <f t="shared" si="1"/>
        <v>0</v>
      </c>
      <c r="X10" s="852">
        <f t="shared" si="1"/>
        <v>0</v>
      </c>
      <c r="Y10" s="852">
        <f t="shared" si="1"/>
        <v>0</v>
      </c>
      <c r="Z10" s="852">
        <f t="shared" si="1"/>
        <v>0</v>
      </c>
      <c r="AA10" s="852">
        <f t="shared" si="1"/>
        <v>0</v>
      </c>
      <c r="AB10" s="852"/>
      <c r="AC10" s="855">
        <f>IF('1 PISO TECHO'!C18="V3",1,0)*'1 PISO TECHO'!C22</f>
        <v>0</v>
      </c>
      <c r="AD10" s="855">
        <f>IF('1 PISO TECHO'!D18="V3",1,0)*'1 PISO TECHO'!D22</f>
        <v>0</v>
      </c>
      <c r="AE10" s="855">
        <f>IF('1 PISO TECHO'!E18="V3",1,0)*'1 PISO TECHO'!E22</f>
        <v>0</v>
      </c>
      <c r="AF10" s="855">
        <f>IF('1 PISO TECHO'!F18="V3",1,0)*'1 PISO TECHO'!F22</f>
        <v>0</v>
      </c>
      <c r="AG10" s="855">
        <f>IF('1 PISO TECHO'!G18="V3",1,0)*'1 PISO TECHO'!G22</f>
        <v>0</v>
      </c>
      <c r="AH10" s="855">
        <f>IF('1 PISO TECHO'!H18="V3",1,0)*'1 PISO TECHO'!H22</f>
        <v>0</v>
      </c>
      <c r="AI10" s="855">
        <f>IF('1 PISO TECHO'!I18="V3",1,0)*'1 PISO TECHO'!I22</f>
        <v>0</v>
      </c>
      <c r="AJ10" s="855">
        <f>IF('1 PISO TECHO'!J18="V3",1,0)*'1 PISO TECHO'!J22</f>
        <v>0</v>
      </c>
      <c r="AK10" s="855">
        <f>IF('1 PISO TECHO'!K18="V3",1,0)*'1 PISO TECHO'!K22</f>
        <v>0</v>
      </c>
      <c r="AL10" s="855">
        <f>IF('1 PISO TECHO'!L18="V3",1,0)*'1 PISO TECHO'!L22</f>
        <v>0</v>
      </c>
      <c r="AM10" s="855">
        <f>IF('1 PISO TECHO'!M18="V3",1,0)*'1 PISO TECHO'!M22</f>
        <v>0</v>
      </c>
      <c r="AN10" s="855">
        <f>IF('1 PISO TECHO'!N18="V3",1,0)*'1 PISO TECHO'!N22</f>
        <v>0</v>
      </c>
      <c r="AO10" s="844">
        <f>SUM(AC10:AN10)</f>
        <v>0</v>
      </c>
      <c r="AP10" s="845">
        <f>IF('1 PISO TECHO'!C$20&gt;250,IF('1 PISO TECHO'!C$21&gt;70,IF('1 PISO TECHO'!C$21&lt;84.1,IF(OR('1 PISO TECHO'!C$14="V",'1 PISO TECHO'!C$14="VT",'1 PISO TECHO'!C$14="VTT",'1 PISO TECHO'!C$14="VSB",'1 PISO TECHO'!C$14="VE",'1 PISO TECHO'!C$14="VET",'1 PISO TECHO'!C$14="VESQ",),1,0))))*'1 PISO TECHO'!C$22</f>
        <v>0</v>
      </c>
      <c r="AQ10" s="845">
        <f>IF('1 PISO TECHO'!D$20&gt;250,IF('1 PISO TECHO'!D$21&gt;70,IF('1 PISO TECHO'!D$21&lt;84.1,IF(OR('1 PISO TECHO'!D$14="V",'1 PISO TECHO'!D$14="VT",'1 PISO TECHO'!D$14="VTT",'1 PISO TECHO'!D$14="VSB",'1 PISO TECHO'!D$14="VE",'1 PISO TECHO'!D$14="VET",'1 PISO TECHO'!D$14="VESQ",),1,0))))*'1 PISO TECHO'!D$22</f>
        <v>0</v>
      </c>
      <c r="AR10" s="845">
        <f>IF('1 PISO TECHO'!E$20&gt;250,IF('1 PISO TECHO'!E$21&gt;70,IF('1 PISO TECHO'!E$21&lt;84.1,IF(OR('1 PISO TECHO'!E$14="V",'1 PISO TECHO'!E$14="VT",'1 PISO TECHO'!E$14="VTT",'1 PISO TECHO'!E$14="VSB",'1 PISO TECHO'!E$14="VE",'1 PISO TECHO'!E$14="VET",'1 PISO TECHO'!E$14="VESQ",),1,0))))*'1 PISO TECHO'!E$22</f>
        <v>0</v>
      </c>
      <c r="AS10" s="845">
        <f>IF('1 PISO TECHO'!F$20&gt;250,IF('1 PISO TECHO'!F$21&gt;70,IF('1 PISO TECHO'!F$21&lt;84.1,IF(OR('1 PISO TECHO'!F$14="V",'1 PISO TECHO'!F$14="VT",'1 PISO TECHO'!F$14="VTT",'1 PISO TECHO'!F$14="VSB",'1 PISO TECHO'!F$14="VE",'1 PISO TECHO'!F$14="VET",'1 PISO TECHO'!F$14="VESQ",),1,0))))*'1 PISO TECHO'!F$22</f>
        <v>0</v>
      </c>
      <c r="AT10" s="845">
        <f>IF('1 PISO TECHO'!G$20&gt;250,IF('1 PISO TECHO'!G$21&gt;70,IF('1 PISO TECHO'!G$21&lt;84.1,IF(OR('1 PISO TECHO'!G$14="V",'1 PISO TECHO'!G$14="VT",'1 PISO TECHO'!G$14="VTT",'1 PISO TECHO'!G$14="VSB",'1 PISO TECHO'!G$14="VE",'1 PISO TECHO'!G$14="VET",'1 PISO TECHO'!G$14="VESQ",),1,0))))*'1 PISO TECHO'!G$22</f>
        <v>0</v>
      </c>
      <c r="AU10" s="845">
        <f>IF('1 PISO TECHO'!H$20&gt;250,IF('1 PISO TECHO'!H$21&gt;70,IF('1 PISO TECHO'!H$21&lt;84.1,IF(OR('1 PISO TECHO'!H$14="V",'1 PISO TECHO'!H$14="VT",'1 PISO TECHO'!H$14="VTT",'1 PISO TECHO'!H$14="VSB",'1 PISO TECHO'!H$14="VE",'1 PISO TECHO'!H$14="VET",'1 PISO TECHO'!H$14="VESQ",),1,0))))*'1 PISO TECHO'!H$22</f>
        <v>0</v>
      </c>
      <c r="AV10" s="845">
        <f>IF('1 PISO TECHO'!I$20&gt;250,IF('1 PISO TECHO'!I$21&gt;70,IF('1 PISO TECHO'!I$21&lt;84.1,IF(OR('1 PISO TECHO'!I$14="V",'1 PISO TECHO'!I$14="VT",'1 PISO TECHO'!I$14="VTT",'1 PISO TECHO'!I$14="VSB",'1 PISO TECHO'!I$14="VE",'1 PISO TECHO'!I$14="VET",'1 PISO TECHO'!I$14="VESQ",),1,0))))*'1 PISO TECHO'!I$22</f>
        <v>0</v>
      </c>
      <c r="AW10" s="845">
        <f>IF('1 PISO TECHO'!J$20&gt;250,IF('1 PISO TECHO'!J$21&gt;70,IF('1 PISO TECHO'!J$21&lt;84.1,IF(OR('1 PISO TECHO'!J$14="V",'1 PISO TECHO'!J$14="VT",'1 PISO TECHO'!J$14="VTT",'1 PISO TECHO'!J$14="VSB",'1 PISO TECHO'!J$14="VE",'1 PISO TECHO'!J$14="VET",'1 PISO TECHO'!J$14="VESQ",),1,0))))*'1 PISO TECHO'!J$22</f>
        <v>0</v>
      </c>
      <c r="AX10" s="845">
        <f>IF('1 PISO TECHO'!K$20&gt;250,IF('1 PISO TECHO'!K$21&gt;70,IF('1 PISO TECHO'!K$21&lt;84.1,IF(OR('1 PISO TECHO'!K$14="V",'1 PISO TECHO'!K$14="VT",'1 PISO TECHO'!K$14="VTT",'1 PISO TECHO'!K$14="VSB",'1 PISO TECHO'!K$14="VE",'1 PISO TECHO'!K$14="VET",'1 PISO TECHO'!K$14="VESQ",),1,0))))*'1 PISO TECHO'!K$22</f>
        <v>0</v>
      </c>
      <c r="AY10" s="845">
        <f>IF('1 PISO TECHO'!L$20&gt;250,IF('1 PISO TECHO'!L$21&gt;70,IF('1 PISO TECHO'!L$21&lt;84.1,IF(OR('1 PISO TECHO'!L$14="V",'1 PISO TECHO'!L$14="VT",'1 PISO TECHO'!L$14="VTT",'1 PISO TECHO'!L$14="VSB",'1 PISO TECHO'!L$14="VE",'1 PISO TECHO'!L$14="VET",'1 PISO TECHO'!L$14="VESQ",),1,0))))*'1 PISO TECHO'!L$22</f>
        <v>0</v>
      </c>
      <c r="AZ10" s="845">
        <f>IF('1 PISO TECHO'!M$20&gt;250,IF('1 PISO TECHO'!M$21&gt;70,IF('1 PISO TECHO'!M$21&lt;84.1,IF(OR('1 PISO TECHO'!M$14="V",'1 PISO TECHO'!M$14="VT",'1 PISO TECHO'!M$14="VTT",'1 PISO TECHO'!M$14="VSB",'1 PISO TECHO'!M$14="VE",'1 PISO TECHO'!M$14="VET",'1 PISO TECHO'!M$14="VESQ",),1,0))))*'1 PISO TECHO'!M$22</f>
        <v>0</v>
      </c>
      <c r="BA10" s="845">
        <f>IF('1 PISO TECHO'!N$20&gt;250,IF('1 PISO TECHO'!N$21&gt;70,IF('1 PISO TECHO'!N$21&lt;84.1,IF(OR('1 PISO TECHO'!N$14="V",'1 PISO TECHO'!N$14="VT",'1 PISO TECHO'!N$14="VTT",'1 PISO TECHO'!N$14="VSB",'1 PISO TECHO'!N$14="VE",'1 PISO TECHO'!N$14="VET",'1 PISO TECHO'!N$14="VESQ",),1,0))))*'1 PISO TECHO'!N$22</f>
        <v>0</v>
      </c>
      <c r="BB10" s="844">
        <f t="shared" si="0"/>
        <v>0</v>
      </c>
      <c r="BC10" s="845"/>
      <c r="BD10" s="845"/>
      <c r="BE10" s="845"/>
      <c r="BF10" s="845"/>
      <c r="BG10" s="845"/>
      <c r="BH10" s="845"/>
      <c r="BI10" s="845"/>
      <c r="BJ10" s="845"/>
      <c r="BK10" s="845"/>
      <c r="BL10" s="845"/>
      <c r="BM10" s="845"/>
      <c r="BN10" s="845"/>
      <c r="BO10" s="855"/>
      <c r="BP10" s="855"/>
      <c r="BQ10" s="855"/>
      <c r="BR10" s="855"/>
      <c r="BS10" s="855"/>
      <c r="BT10" s="855"/>
      <c r="BU10" s="855"/>
      <c r="BV10" s="855"/>
      <c r="BW10" s="855"/>
      <c r="BX10" s="855"/>
      <c r="BY10" s="855"/>
      <c r="BZ10" s="855"/>
      <c r="CA10" s="855"/>
      <c r="CB10" s="855"/>
      <c r="CC10" s="855"/>
      <c r="CD10" s="855"/>
      <c r="CE10" s="855"/>
      <c r="CF10" s="855"/>
      <c r="CG10" s="855"/>
      <c r="CH10" s="855"/>
      <c r="CI10" s="855"/>
      <c r="CJ10" s="855"/>
      <c r="CK10" s="855"/>
      <c r="CL10" s="855"/>
      <c r="CM10" s="855"/>
      <c r="CN10" s="855"/>
      <c r="CO10" s="855"/>
      <c r="CP10" s="855"/>
      <c r="CQ10" s="855"/>
      <c r="CR10" s="855"/>
      <c r="CS10" s="855"/>
      <c r="CT10" s="855"/>
      <c r="CU10" s="855"/>
      <c r="CV10" s="855"/>
      <c r="CW10" s="855"/>
      <c r="CX10" s="855"/>
      <c r="CY10" s="855"/>
      <c r="CZ10" s="855"/>
      <c r="DA10" s="855"/>
      <c r="DB10" s="855"/>
      <c r="HT10" s="838"/>
      <c r="HU10" s="838"/>
      <c r="HV10" s="838"/>
      <c r="HW10" s="838"/>
      <c r="HX10" s="838"/>
      <c r="HY10" s="838"/>
    </row>
    <row r="11" spans="1:233" ht="26.25" x14ac:dyDescent="0.4">
      <c r="A11" s="1467" t="s">
        <v>1182</v>
      </c>
      <c r="B11" s="1467"/>
      <c r="C11" s="693" t="b">
        <f>IF('1 PISO TECHO'!C$18="P1",'1 PISO TECHO'!C$22)</f>
        <v>0</v>
      </c>
      <c r="D11" s="694" t="b">
        <f>IF('1 PISO TECHO'!D$18="P1",'1 PISO TECHO'!D$22)</f>
        <v>0</v>
      </c>
      <c r="E11" s="694" t="b">
        <f>IF('1 PISO TECHO'!E$18="P1",'1 PISO TECHO'!E$22)</f>
        <v>0</v>
      </c>
      <c r="F11" s="694" t="b">
        <f>IF('1 PISO TECHO'!F$18="P1",'1 PISO TECHO'!F$22)</f>
        <v>0</v>
      </c>
      <c r="G11" s="694" t="b">
        <f>IF('1 PISO TECHO'!G$18="P1",'1 PISO TECHO'!G$22)</f>
        <v>0</v>
      </c>
      <c r="H11" s="694" t="b">
        <f>IF('1 PISO TECHO'!H$18="P1",'1 PISO TECHO'!H$22)</f>
        <v>0</v>
      </c>
      <c r="I11" s="694" t="b">
        <f>IF('1 PISO TECHO'!I$18="P1",'1 PISO TECHO'!I$22)</f>
        <v>0</v>
      </c>
      <c r="J11" s="694" t="b">
        <f>IF('1 PISO TECHO'!J$18="P1",'1 PISO TECHO'!J$22)</f>
        <v>0</v>
      </c>
      <c r="K11" s="694" t="b">
        <f>IF('1 PISO TECHO'!K$18="P1",'1 PISO TECHO'!K$22)</f>
        <v>0</v>
      </c>
      <c r="L11" s="694" t="b">
        <f>IF('1 PISO TECHO'!L$18="P1",'1 PISO TECHO'!L$22)</f>
        <v>0</v>
      </c>
      <c r="M11" s="694" t="b">
        <f>IF('1 PISO TECHO'!M$18="P1",'1 PISO TECHO'!M$22)</f>
        <v>0</v>
      </c>
      <c r="N11" s="695" t="b">
        <f>IF('1 PISO TECHO'!N$18="P1",'1 PISO TECHO'!N$22)</f>
        <v>0</v>
      </c>
      <c r="O11" s="852"/>
      <c r="P11" s="849"/>
      <c r="Q11" s="849"/>
      <c r="R11" s="849"/>
      <c r="S11" s="849"/>
      <c r="T11" s="849"/>
      <c r="U11" s="849"/>
      <c r="V11" s="849"/>
      <c r="W11" s="849"/>
      <c r="X11" s="849"/>
      <c r="Y11" s="849"/>
      <c r="Z11" s="849"/>
      <c r="AA11" s="849"/>
      <c r="AB11" s="852"/>
      <c r="AP11" s="845">
        <f>IF('1 PISO TECHO'!C$20&gt;250,IF('1 PISO TECHO'!C$21&gt;84,IF('1 PISO TECHO'!C$21&lt;112.1,IF(OR('1 PISO TECHO'!C$14="V",'1 PISO TECHO'!C$14="VT",'1 PISO TECHO'!C$14="VTT",'1 PISO TECHO'!C$14="VSB",'1 PISO TECHO'!C$14="VE",'1 PISO TECHO'!C$14="VET",'1 PISO TECHO'!C$14="VESQ",),1,0))))*'1 PISO TECHO'!C$22</f>
        <v>0</v>
      </c>
      <c r="AQ11" s="845">
        <f>IF('1 PISO TECHO'!D$20&gt;250,IF('1 PISO TECHO'!D$21&gt;84,IF('1 PISO TECHO'!D$21&lt;112.1,IF(OR('1 PISO TECHO'!D$14="V",'1 PISO TECHO'!D$14="VT",'1 PISO TECHO'!D$14="VTT",'1 PISO TECHO'!D$14="VSB",'1 PISO TECHO'!D$14="VE",'1 PISO TECHO'!D$14="VET",'1 PISO TECHO'!D$14="VESQ",),1,0))))*'1 PISO TECHO'!D$22</f>
        <v>0</v>
      </c>
      <c r="AR11" s="845">
        <f>IF('1 PISO TECHO'!E$20&gt;250,IF('1 PISO TECHO'!E$21&gt;84,IF('1 PISO TECHO'!E$21&lt;112.1,IF(OR('1 PISO TECHO'!E$14="V",'1 PISO TECHO'!E$14="VT",'1 PISO TECHO'!E$14="VTT",'1 PISO TECHO'!E$14="VSB",'1 PISO TECHO'!E$14="VE",'1 PISO TECHO'!E$14="VET",'1 PISO TECHO'!E$14="VESQ",),1,0))))*'1 PISO TECHO'!E$22</f>
        <v>0</v>
      </c>
      <c r="AS11" s="845">
        <f>IF('1 PISO TECHO'!F$20&gt;250,IF('1 PISO TECHO'!F$21&gt;84,IF('1 PISO TECHO'!F$21&lt;112.1,IF(OR('1 PISO TECHO'!F$14="V",'1 PISO TECHO'!F$14="VT",'1 PISO TECHO'!F$14="VTT",'1 PISO TECHO'!F$14="VSB",'1 PISO TECHO'!F$14="VE",'1 PISO TECHO'!F$14="VET",'1 PISO TECHO'!F$14="VESQ",),1,0))))*'1 PISO TECHO'!F$22</f>
        <v>0</v>
      </c>
      <c r="AT11" s="845">
        <f>IF('1 PISO TECHO'!G$20&gt;250,IF('1 PISO TECHO'!G$21&gt;84,IF('1 PISO TECHO'!G$21&lt;112.1,IF(OR('1 PISO TECHO'!G$14="V",'1 PISO TECHO'!G$14="VT",'1 PISO TECHO'!G$14="VTT",'1 PISO TECHO'!G$14="VSB",'1 PISO TECHO'!G$14="VE",'1 PISO TECHO'!G$14="VET",'1 PISO TECHO'!G$14="VESQ",),1,0))))*'1 PISO TECHO'!G$22</f>
        <v>0</v>
      </c>
      <c r="AU11" s="845">
        <f>IF('1 PISO TECHO'!H$20&gt;250,IF('1 PISO TECHO'!H$21&gt;84,IF('1 PISO TECHO'!H$21&lt;112.1,IF(OR('1 PISO TECHO'!H$14="V",'1 PISO TECHO'!H$14="VT",'1 PISO TECHO'!H$14="VTT",'1 PISO TECHO'!H$14="VSB",'1 PISO TECHO'!H$14="VE",'1 PISO TECHO'!H$14="VET",'1 PISO TECHO'!H$14="VESQ",),1,0))))*'1 PISO TECHO'!H$22</f>
        <v>0</v>
      </c>
      <c r="AV11" s="845">
        <f>IF('1 PISO TECHO'!I$20&gt;250,IF('1 PISO TECHO'!I$21&gt;84,IF('1 PISO TECHO'!I$21&lt;112.1,IF(OR('1 PISO TECHO'!I$14="V",'1 PISO TECHO'!I$14="VT",'1 PISO TECHO'!I$14="VTT",'1 PISO TECHO'!I$14="VSB",'1 PISO TECHO'!I$14="VE",'1 PISO TECHO'!I$14="VET",'1 PISO TECHO'!I$14="VESQ",),1,0))))*'1 PISO TECHO'!I$22</f>
        <v>0</v>
      </c>
      <c r="AW11" s="845">
        <f>IF('1 PISO TECHO'!J$20&gt;250,IF('1 PISO TECHO'!J$21&gt;84,IF('1 PISO TECHO'!J$21&lt;112.1,IF(OR('1 PISO TECHO'!J$14="V",'1 PISO TECHO'!J$14="VT",'1 PISO TECHO'!J$14="VTT",'1 PISO TECHO'!J$14="VSB",'1 PISO TECHO'!J$14="VE",'1 PISO TECHO'!J$14="VET",'1 PISO TECHO'!J$14="VESQ",),1,0))))*'1 PISO TECHO'!J$22</f>
        <v>0</v>
      </c>
      <c r="AX11" s="845">
        <f>IF('1 PISO TECHO'!K$20&gt;250,IF('1 PISO TECHO'!K$21&gt;84,IF('1 PISO TECHO'!K$21&lt;112.1,IF(OR('1 PISO TECHO'!K$14="V",'1 PISO TECHO'!K$14="VT",'1 PISO TECHO'!K$14="VTT",'1 PISO TECHO'!K$14="VSB",'1 PISO TECHO'!K$14="VE",'1 PISO TECHO'!K$14="VET",'1 PISO TECHO'!K$14="VESQ",),1,0))))*'1 PISO TECHO'!K$22</f>
        <v>0</v>
      </c>
      <c r="AY11" s="845">
        <f>IF('1 PISO TECHO'!L$20&gt;250,IF('1 PISO TECHO'!L$21&gt;84,IF('1 PISO TECHO'!L$21&lt;112.1,IF(OR('1 PISO TECHO'!L$14="V",'1 PISO TECHO'!L$14="VT",'1 PISO TECHO'!L$14="VTT",'1 PISO TECHO'!L$14="VSB",'1 PISO TECHO'!L$14="VE",'1 PISO TECHO'!L$14="VET",'1 PISO TECHO'!L$14="VESQ",),1,0))))*'1 PISO TECHO'!L$22</f>
        <v>0</v>
      </c>
      <c r="AZ11" s="845">
        <f>IF('1 PISO TECHO'!M$20&gt;250,IF('1 PISO TECHO'!M$21&gt;84,IF('1 PISO TECHO'!M$21&lt;112.1,IF(OR('1 PISO TECHO'!M$14="V",'1 PISO TECHO'!M$14="VT",'1 PISO TECHO'!M$14="VTT",'1 PISO TECHO'!M$14="VSB",'1 PISO TECHO'!M$14="VE",'1 PISO TECHO'!M$14="VET",'1 PISO TECHO'!M$14="VESQ",),1,0))))*'1 PISO TECHO'!M$22</f>
        <v>0</v>
      </c>
      <c r="BA11" s="845">
        <f>IF('1 PISO TECHO'!N$20&gt;250,IF('1 PISO TECHO'!N$21&gt;84,IF('1 PISO TECHO'!N$21&lt;112.1,IF(OR('1 PISO TECHO'!N$14="V",'1 PISO TECHO'!N$14="VT",'1 PISO TECHO'!N$14="VTT",'1 PISO TECHO'!N$14="VSB",'1 PISO TECHO'!N$14="VE",'1 PISO TECHO'!N$14="VET",'1 PISO TECHO'!N$14="VESQ",),1,0))))*'1 PISO TECHO'!N$22</f>
        <v>0</v>
      </c>
      <c r="BB11" s="844">
        <f t="shared" si="0"/>
        <v>0</v>
      </c>
      <c r="BC11" s="845"/>
      <c r="BD11" s="845"/>
      <c r="BE11" s="845"/>
      <c r="BF11" s="845"/>
      <c r="BG11" s="845"/>
      <c r="BH11" s="845"/>
      <c r="BI11" s="845"/>
      <c r="BJ11" s="845"/>
      <c r="BK11" s="845"/>
      <c r="BL11" s="845"/>
      <c r="BM11" s="845"/>
      <c r="BN11" s="845"/>
      <c r="BO11" s="855"/>
      <c r="BP11" s="855"/>
      <c r="BQ11" s="855"/>
      <c r="BR11" s="855"/>
      <c r="BS11" s="855"/>
      <c r="BT11" s="855"/>
      <c r="BU11" s="855"/>
      <c r="BV11" s="855"/>
      <c r="BW11" s="855"/>
      <c r="BX11" s="855"/>
      <c r="BY11" s="855"/>
      <c r="BZ11" s="855"/>
      <c r="CA11" s="855"/>
      <c r="CB11" s="855"/>
      <c r="CC11" s="855"/>
      <c r="CD11" s="855"/>
      <c r="CE11" s="855"/>
      <c r="CF11" s="855"/>
      <c r="CG11" s="855"/>
      <c r="CH11" s="855"/>
      <c r="CI11" s="855"/>
      <c r="CJ11" s="855"/>
      <c r="CK11" s="855"/>
      <c r="CL11" s="855"/>
      <c r="CM11" s="855"/>
      <c r="CN11" s="855"/>
      <c r="CO11" s="855"/>
      <c r="CP11" s="855"/>
      <c r="CQ11" s="855"/>
      <c r="CR11" s="855"/>
      <c r="CS11" s="855"/>
      <c r="CT11" s="855"/>
      <c r="CU11" s="855"/>
      <c r="CV11" s="855"/>
      <c r="CW11" s="855"/>
      <c r="CX11" s="855"/>
      <c r="CY11" s="855"/>
      <c r="CZ11" s="855"/>
      <c r="DA11" s="855"/>
      <c r="DB11" s="855"/>
      <c r="HT11" s="838"/>
      <c r="HU11" s="838"/>
      <c r="HV11" s="838"/>
      <c r="HW11" s="838"/>
      <c r="HX11" s="838"/>
      <c r="HY11" s="838"/>
    </row>
    <row r="12" spans="1:233" ht="26.25" x14ac:dyDescent="0.35">
      <c r="A12" s="1471"/>
      <c r="B12" s="1471"/>
      <c r="C12" s="852"/>
      <c r="D12" s="852"/>
      <c r="E12" s="852"/>
      <c r="F12" s="852"/>
      <c r="G12" s="852"/>
      <c r="H12" s="852"/>
      <c r="I12" s="852"/>
      <c r="J12" s="852"/>
      <c r="K12" s="852"/>
      <c r="L12" s="852"/>
      <c r="M12" s="852"/>
      <c r="N12" s="852"/>
      <c r="O12" s="852"/>
      <c r="P12" s="849"/>
      <c r="Q12" s="849"/>
      <c r="R12" s="849"/>
      <c r="S12" s="849"/>
      <c r="T12" s="849"/>
      <c r="U12" s="849"/>
      <c r="V12" s="849"/>
      <c r="W12" s="849"/>
      <c r="X12" s="849"/>
      <c r="Y12" s="849"/>
      <c r="Z12" s="849"/>
      <c r="AA12" s="849"/>
      <c r="AB12" s="852"/>
      <c r="AP12" s="845">
        <f>IF('1 PISO TECHO'!C$20&gt;250,IF('1 PISO TECHO'!C$21&gt;112,IF('1 PISO TECHO'!C$21&lt;150.1,IF(OR('1 PISO TECHO'!C$14="V",'1 PISO TECHO'!C$14="VT",'1 PISO TECHO'!C$14="VTT",'1 PISO TECHO'!C$14="VSB",'1 PISO TECHO'!C$14="VE",'1 PISO TECHO'!C$14="VET",'1 PISO TECHO'!C$14="VESQ",),1,0))))*'1 PISO TECHO'!C$22</f>
        <v>0</v>
      </c>
      <c r="AQ12" s="845">
        <f>IF('1 PISO TECHO'!D$20&gt;250,IF('1 PISO TECHO'!D$21&gt;112,IF('1 PISO TECHO'!D$21&lt;150.1,IF(OR('1 PISO TECHO'!D$14="V",'1 PISO TECHO'!D$14="VT",'1 PISO TECHO'!D$14="VTT",'1 PISO TECHO'!D$14="VSB",'1 PISO TECHO'!D$14="VE",'1 PISO TECHO'!D$14="VET",'1 PISO TECHO'!D$14="VESQ",),1,0))))*'1 PISO TECHO'!D$22</f>
        <v>0</v>
      </c>
      <c r="AR12" s="845">
        <f>IF('1 PISO TECHO'!E$20&gt;250,IF('1 PISO TECHO'!E$21&gt;112,IF('1 PISO TECHO'!E$21&lt;150.1,IF(OR('1 PISO TECHO'!E$14="V",'1 PISO TECHO'!E$14="VT",'1 PISO TECHO'!E$14="VTT",'1 PISO TECHO'!E$14="VSB",'1 PISO TECHO'!E$14="VE",'1 PISO TECHO'!E$14="VET",'1 PISO TECHO'!E$14="VESQ",),1,0))))*'1 PISO TECHO'!E$22</f>
        <v>0</v>
      </c>
      <c r="AS12" s="845">
        <f>IF('1 PISO TECHO'!F$20&gt;250,IF('1 PISO TECHO'!F$21&gt;112,IF('1 PISO TECHO'!F$21&lt;150.1,IF(OR('1 PISO TECHO'!F$14="V",'1 PISO TECHO'!F$14="VT",'1 PISO TECHO'!F$14="VTT",'1 PISO TECHO'!F$14="VSB",'1 PISO TECHO'!F$14="VE",'1 PISO TECHO'!F$14="VET",'1 PISO TECHO'!F$14="VESQ",),1,0))))*'1 PISO TECHO'!F$22</f>
        <v>0</v>
      </c>
      <c r="AT12" s="845">
        <f>IF('1 PISO TECHO'!G$20&gt;250,IF('1 PISO TECHO'!G$21&gt;112,IF('1 PISO TECHO'!G$21&lt;150.1,IF(OR('1 PISO TECHO'!G$14="V",'1 PISO TECHO'!G$14="VT",'1 PISO TECHO'!G$14="VTT",'1 PISO TECHO'!G$14="VSB",'1 PISO TECHO'!G$14="VE",'1 PISO TECHO'!G$14="VET",'1 PISO TECHO'!G$14="VESQ",),1,0))))*'1 PISO TECHO'!G$22</f>
        <v>0</v>
      </c>
      <c r="AU12" s="845">
        <f>IF('1 PISO TECHO'!H$20&gt;250,IF('1 PISO TECHO'!H$21&gt;112,IF('1 PISO TECHO'!H$21&lt;150.1,IF(OR('1 PISO TECHO'!H$14="V",'1 PISO TECHO'!H$14="VT",'1 PISO TECHO'!H$14="VTT",'1 PISO TECHO'!H$14="VSB",'1 PISO TECHO'!H$14="VE",'1 PISO TECHO'!H$14="VET",'1 PISO TECHO'!H$14="VESQ",),1,0))))*'1 PISO TECHO'!H$22</f>
        <v>0</v>
      </c>
      <c r="AV12" s="845">
        <f>IF('1 PISO TECHO'!I$20&gt;250,IF('1 PISO TECHO'!I$21&gt;112,IF('1 PISO TECHO'!I$21&lt;150.1,IF(OR('1 PISO TECHO'!I$14="V",'1 PISO TECHO'!I$14="VT",'1 PISO TECHO'!I$14="VTT",'1 PISO TECHO'!I$14="VSB",'1 PISO TECHO'!I$14="VE",'1 PISO TECHO'!I$14="VET",'1 PISO TECHO'!I$14="VESQ",),1,0))))*'1 PISO TECHO'!I$22</f>
        <v>0</v>
      </c>
      <c r="AW12" s="845">
        <f>IF('1 PISO TECHO'!J$20&gt;250,IF('1 PISO TECHO'!J$21&gt;112,IF('1 PISO TECHO'!J$21&lt;150.1,IF(OR('1 PISO TECHO'!J$14="V",'1 PISO TECHO'!J$14="VT",'1 PISO TECHO'!J$14="VTT",'1 PISO TECHO'!J$14="VSB",'1 PISO TECHO'!J$14="VE",'1 PISO TECHO'!J$14="VET",'1 PISO TECHO'!J$14="VESQ",),1,0))))*'1 PISO TECHO'!J$22</f>
        <v>0</v>
      </c>
      <c r="AX12" s="845">
        <f>IF('1 PISO TECHO'!K$20&gt;250,IF('1 PISO TECHO'!K$21&gt;112,IF('1 PISO TECHO'!K$21&lt;150.1,IF(OR('1 PISO TECHO'!K$14="V",'1 PISO TECHO'!K$14="VT",'1 PISO TECHO'!K$14="VTT",'1 PISO TECHO'!K$14="VSB",'1 PISO TECHO'!K$14="VE",'1 PISO TECHO'!K$14="VET",'1 PISO TECHO'!K$14="VESQ",),1,0))))*'1 PISO TECHO'!K$22</f>
        <v>0</v>
      </c>
      <c r="AY12" s="845">
        <f>IF('1 PISO TECHO'!L$20&gt;250,IF('1 PISO TECHO'!L$21&gt;112,IF('1 PISO TECHO'!L$21&lt;150.1,IF(OR('1 PISO TECHO'!L$14="V",'1 PISO TECHO'!L$14="VT",'1 PISO TECHO'!L$14="VTT",'1 PISO TECHO'!L$14="VSB",'1 PISO TECHO'!L$14="VE",'1 PISO TECHO'!L$14="VET",'1 PISO TECHO'!L$14="VESQ",),1,0))))*'1 PISO TECHO'!L$22</f>
        <v>0</v>
      </c>
      <c r="AZ12" s="845">
        <f>IF('1 PISO TECHO'!M$20&gt;250,IF('1 PISO TECHO'!M$21&gt;112,IF('1 PISO TECHO'!M$21&lt;150.1,IF(OR('1 PISO TECHO'!M$14="V",'1 PISO TECHO'!M$14="VT",'1 PISO TECHO'!M$14="VTT",'1 PISO TECHO'!M$14="VSB",'1 PISO TECHO'!M$14="VE",'1 PISO TECHO'!M$14="VET",'1 PISO TECHO'!M$14="VESQ",),1,0))))*'1 PISO TECHO'!M$22</f>
        <v>0</v>
      </c>
      <c r="BA12" s="845">
        <f>IF('1 PISO TECHO'!N$20&gt;250,IF('1 PISO TECHO'!N$21&gt;112,IF('1 PISO TECHO'!N$21&lt;150.1,IF(OR('1 PISO TECHO'!N$14="V",'1 PISO TECHO'!N$14="VT",'1 PISO TECHO'!N$14="VTT",'1 PISO TECHO'!N$14="VSB",'1 PISO TECHO'!N$14="VE",'1 PISO TECHO'!N$14="VET",'1 PISO TECHO'!N$14="VESQ",),1,0))))*'1 PISO TECHO'!N$22</f>
        <v>0</v>
      </c>
      <c r="BB12" s="844">
        <f t="shared" si="0"/>
        <v>0</v>
      </c>
      <c r="BC12" s="845"/>
      <c r="BD12" s="845"/>
      <c r="BE12" s="845"/>
      <c r="BF12" s="845"/>
      <c r="BG12" s="845"/>
      <c r="BH12" s="845"/>
      <c r="BI12" s="845"/>
      <c r="BJ12" s="845"/>
      <c r="BK12" s="845"/>
      <c r="BL12" s="845"/>
      <c r="BM12" s="845"/>
      <c r="BN12" s="845"/>
      <c r="BO12" s="855"/>
      <c r="BP12" s="855"/>
      <c r="BQ12" s="855"/>
      <c r="BR12" s="855"/>
      <c r="BS12" s="855"/>
      <c r="BT12" s="855"/>
      <c r="BU12" s="855"/>
      <c r="BV12" s="855"/>
      <c r="BW12" s="855"/>
      <c r="BX12" s="855"/>
      <c r="BY12" s="855"/>
      <c r="BZ12" s="855"/>
      <c r="CA12" s="855"/>
      <c r="CB12" s="855"/>
      <c r="CC12" s="855"/>
      <c r="CD12" s="855"/>
      <c r="CE12" s="855"/>
      <c r="CF12" s="855"/>
      <c r="CG12" s="855"/>
      <c r="CH12" s="855"/>
      <c r="CI12" s="855"/>
      <c r="CJ12" s="855"/>
      <c r="CK12" s="855"/>
      <c r="CL12" s="855"/>
      <c r="CM12" s="855"/>
      <c r="CN12" s="855"/>
      <c r="CO12" s="855"/>
      <c r="CP12" s="855"/>
      <c r="CQ12" s="855"/>
      <c r="CR12" s="855"/>
      <c r="CS12" s="855"/>
      <c r="CT12" s="855"/>
      <c r="CU12" s="855"/>
      <c r="CV12" s="855"/>
      <c r="CW12" s="855"/>
      <c r="CX12" s="855"/>
      <c r="CY12" s="855"/>
      <c r="CZ12" s="855"/>
      <c r="DA12" s="855"/>
      <c r="DB12" s="855"/>
    </row>
    <row r="13" spans="1:233" ht="26.25" x14ac:dyDescent="0.4">
      <c r="A13" s="1467"/>
      <c r="B13" s="1467"/>
      <c r="C13" s="852"/>
      <c r="D13" s="852"/>
      <c r="E13" s="852"/>
      <c r="F13" s="852"/>
      <c r="G13" s="852"/>
      <c r="H13" s="852"/>
      <c r="I13" s="852"/>
      <c r="J13" s="852"/>
      <c r="K13" s="852"/>
      <c r="L13" s="852"/>
      <c r="M13" s="852"/>
      <c r="N13" s="852"/>
      <c r="O13" s="852"/>
      <c r="P13" s="849"/>
      <c r="Q13" s="849"/>
      <c r="R13" s="849"/>
      <c r="S13" s="849"/>
      <c r="T13" s="849"/>
      <c r="U13" s="849"/>
      <c r="V13" s="849"/>
      <c r="W13" s="849"/>
      <c r="X13" s="849"/>
      <c r="Y13" s="849"/>
      <c r="Z13" s="849"/>
      <c r="AA13" s="849"/>
      <c r="AB13" s="852"/>
      <c r="AC13" s="838"/>
      <c r="AD13" s="838"/>
      <c r="AE13" s="838"/>
      <c r="AF13" s="838"/>
      <c r="AG13" s="838"/>
      <c r="AH13" s="838"/>
      <c r="AI13" s="838"/>
      <c r="AJ13" s="838"/>
      <c r="AK13" s="838"/>
      <c r="AL13" s="838"/>
      <c r="AM13" s="838"/>
      <c r="AN13" s="838"/>
      <c r="AO13" s="855"/>
      <c r="AP13" s="678" t="s">
        <v>990</v>
      </c>
      <c r="AQ13" s="678"/>
      <c r="AR13" s="678"/>
      <c r="AS13" s="678"/>
      <c r="AT13" s="678"/>
      <c r="AU13" s="678"/>
      <c r="AV13" s="678"/>
      <c r="AW13" s="678"/>
      <c r="AX13" s="678"/>
      <c r="AY13" s="678"/>
      <c r="AZ13" s="678"/>
      <c r="BA13" s="678"/>
      <c r="BB13" s="855"/>
      <c r="BC13" s="678"/>
      <c r="BD13" s="678"/>
      <c r="BE13" s="678"/>
      <c r="BF13" s="678"/>
      <c r="BG13" s="678"/>
      <c r="BH13" s="678"/>
      <c r="BI13" s="678"/>
      <c r="BJ13" s="678"/>
      <c r="BK13" s="678"/>
      <c r="BL13" s="678"/>
      <c r="BM13" s="678"/>
      <c r="BN13" s="678"/>
      <c r="BO13" s="855"/>
      <c r="BP13" s="859"/>
      <c r="BQ13" s="859"/>
      <c r="BR13" s="859"/>
      <c r="BS13" s="859"/>
      <c r="BT13" s="859"/>
      <c r="BU13" s="859"/>
      <c r="BV13" s="859"/>
      <c r="BW13" s="859"/>
      <c r="BX13" s="859"/>
      <c r="BY13" s="859"/>
      <c r="BZ13" s="859"/>
      <c r="CA13" s="859"/>
      <c r="CB13" s="855"/>
      <c r="CC13" s="838"/>
      <c r="CD13" s="838"/>
      <c r="CE13" s="838"/>
      <c r="CF13" s="838"/>
      <c r="CG13" s="838"/>
      <c r="CH13" s="838"/>
      <c r="CI13" s="838"/>
      <c r="CJ13" s="838"/>
      <c r="CK13" s="838"/>
      <c r="CL13" s="838"/>
      <c r="CM13" s="838"/>
      <c r="CN13" s="838"/>
      <c r="CO13" s="855"/>
      <c r="CP13" s="838"/>
      <c r="CQ13" s="964"/>
      <c r="CR13" s="838"/>
      <c r="CS13" s="999"/>
      <c r="CT13" s="838"/>
      <c r="CU13" s="838"/>
      <c r="CV13" s="838"/>
      <c r="CW13" s="838"/>
      <c r="CX13" s="838"/>
      <c r="CY13" s="838"/>
      <c r="CZ13" s="838"/>
      <c r="DA13" s="838"/>
      <c r="DB13" s="838"/>
    </row>
    <row r="14" spans="1:233" ht="26.25" x14ac:dyDescent="0.4">
      <c r="A14" s="1467"/>
      <c r="B14" s="1467"/>
      <c r="C14" s="852"/>
      <c r="D14" s="852"/>
      <c r="E14" s="852"/>
      <c r="F14" s="852"/>
      <c r="G14" s="852"/>
      <c r="H14" s="852"/>
      <c r="I14" s="852"/>
      <c r="J14" s="852"/>
      <c r="K14" s="852"/>
      <c r="L14" s="852"/>
      <c r="M14" s="852"/>
      <c r="N14" s="852"/>
      <c r="O14" s="852"/>
      <c r="P14" s="847"/>
      <c r="Q14" s="847"/>
      <c r="R14" s="847"/>
      <c r="S14" s="847"/>
      <c r="T14" s="847"/>
      <c r="U14" s="847"/>
      <c r="V14" s="847"/>
      <c r="W14" s="847"/>
      <c r="X14" s="847"/>
      <c r="Y14" s="847"/>
      <c r="Z14" s="847"/>
      <c r="AA14" s="847"/>
      <c r="AB14" s="852"/>
      <c r="AC14" s="855"/>
      <c r="AD14" s="855"/>
      <c r="AE14" s="855"/>
      <c r="AF14" s="855"/>
      <c r="AG14" s="855"/>
      <c r="AH14" s="855"/>
      <c r="AI14" s="855"/>
      <c r="AJ14" s="855"/>
      <c r="AK14" s="855"/>
      <c r="AL14" s="855"/>
      <c r="AM14" s="855"/>
      <c r="AN14" s="855"/>
      <c r="AO14" s="855"/>
      <c r="AP14" s="845">
        <f>IF('1 PISO TECHO'!C$20&lt;250.1,IF('1 PISO TECHO'!C$21&gt;5.5,IF('1 PISO TECHO'!C$21&lt;28.1,IF(OR('1 PISO TECHO'!C$14="V",'1 PISO TECHO'!C$14="VT",'1 PISO TECHO'!C$14="VTT",'1 PISO TECHO'!C$14="VSB",'1 PISO TECHO'!C$14="VE",'1 PISO TECHO'!C$14="VET",'1 PISO TECHO'!C$14="VESQ",),1,0))))*'1 PISO TECHO'!C$22</f>
        <v>0</v>
      </c>
      <c r="AQ14" s="845">
        <f>IF('1 PISO TECHO'!D$20&lt;250.1,IF('1 PISO TECHO'!D$21&gt;5.5,IF('1 PISO TECHO'!D$21&lt;28.1,IF(OR('1 PISO TECHO'!D$14="V",'1 PISO TECHO'!D$14="VT",'1 PISO TECHO'!D$14="VTT",'1 PISO TECHO'!D$14="VSB",'1 PISO TECHO'!D$14="VE",'1 PISO TECHO'!D$14="VET",'1 PISO TECHO'!D$14="VESQ",),1,0))))*'1 PISO TECHO'!D$22</f>
        <v>0</v>
      </c>
      <c r="AR14" s="845">
        <f>IF('1 PISO TECHO'!E$20&lt;250.1,IF('1 PISO TECHO'!E$21&gt;5.5,IF('1 PISO TECHO'!E$21&lt;28.1,IF(OR('1 PISO TECHO'!E$14="V",'1 PISO TECHO'!E$14="VT",'1 PISO TECHO'!E$14="VTT",'1 PISO TECHO'!E$14="VSB",'1 PISO TECHO'!E$14="VE",'1 PISO TECHO'!E$14="VET",'1 PISO TECHO'!E$14="VESQ",),1,0))))*'1 PISO TECHO'!E$22</f>
        <v>0</v>
      </c>
      <c r="AS14" s="845">
        <f>IF('1 PISO TECHO'!F$20&lt;250.1,IF('1 PISO TECHO'!F$21&gt;5.5,IF('1 PISO TECHO'!F$21&lt;28.1,IF(OR('1 PISO TECHO'!F$14="V",'1 PISO TECHO'!F$14="VT",'1 PISO TECHO'!F$14="VTT",'1 PISO TECHO'!F$14="VSB",'1 PISO TECHO'!F$14="VE",'1 PISO TECHO'!F$14="VET",'1 PISO TECHO'!F$14="VESQ",),1,0))))*'1 PISO TECHO'!F$22</f>
        <v>0</v>
      </c>
      <c r="AT14" s="845">
        <f>IF('1 PISO TECHO'!G$20&lt;250.1,IF('1 PISO TECHO'!G$21&gt;5.5,IF('1 PISO TECHO'!G$21&lt;28.1,IF(OR('1 PISO TECHO'!G$14="V",'1 PISO TECHO'!G$14="VT",'1 PISO TECHO'!G$14="VTT",'1 PISO TECHO'!G$14="VSB",'1 PISO TECHO'!G$14="VE",'1 PISO TECHO'!G$14="VET",'1 PISO TECHO'!G$14="VESQ",),1,0))))*'1 PISO TECHO'!G$22</f>
        <v>0</v>
      </c>
      <c r="AU14" s="845">
        <f>IF('1 PISO TECHO'!H$20&lt;250.1,IF('1 PISO TECHO'!H$21&gt;5.5,IF('1 PISO TECHO'!H$21&lt;28.1,IF(OR('1 PISO TECHO'!H$14="V",'1 PISO TECHO'!H$14="VT",'1 PISO TECHO'!H$14="VTT",'1 PISO TECHO'!H$14="VSB",'1 PISO TECHO'!H$14="VE",'1 PISO TECHO'!H$14="VET",'1 PISO TECHO'!H$14="VESQ",),1,0))))*'1 PISO TECHO'!H$22</f>
        <v>0</v>
      </c>
      <c r="AV14" s="845">
        <f>IF('1 PISO TECHO'!I$20&lt;250.1,IF('1 PISO TECHO'!I$21&gt;5.5,IF('1 PISO TECHO'!I$21&lt;28.1,IF(OR('1 PISO TECHO'!I$14="V",'1 PISO TECHO'!I$14="VT",'1 PISO TECHO'!I$14="VTT",'1 PISO TECHO'!I$14="VSB",'1 PISO TECHO'!I$14="VE",'1 PISO TECHO'!I$14="VET",'1 PISO TECHO'!I$14="VESQ",),1,0))))*'1 PISO TECHO'!I$22</f>
        <v>0</v>
      </c>
      <c r="AW14" s="845">
        <f>IF('1 PISO TECHO'!J$20&lt;250.1,IF('1 PISO TECHO'!J$21&gt;5.5,IF('1 PISO TECHO'!J$21&lt;28.1,IF(OR('1 PISO TECHO'!J$14="V",'1 PISO TECHO'!J$14="VT",'1 PISO TECHO'!J$14="VTT",'1 PISO TECHO'!J$14="VSB",'1 PISO TECHO'!J$14="VE",'1 PISO TECHO'!J$14="VET",'1 PISO TECHO'!J$14="VESQ",),1,0))))*'1 PISO TECHO'!J$22</f>
        <v>0</v>
      </c>
      <c r="AX14" s="845">
        <f>IF('1 PISO TECHO'!K$20&lt;250.1,IF('1 PISO TECHO'!K$21&gt;5.5,IF('1 PISO TECHO'!K$21&lt;28.1,IF(OR('1 PISO TECHO'!K$14="V",'1 PISO TECHO'!K$14="VT",'1 PISO TECHO'!K$14="VTT",'1 PISO TECHO'!K$14="VSB",'1 PISO TECHO'!K$14="VE",'1 PISO TECHO'!K$14="VET",'1 PISO TECHO'!K$14="VESQ",),1,0))))*'1 PISO TECHO'!K$22</f>
        <v>0</v>
      </c>
      <c r="AY14" s="845">
        <f>IF('1 PISO TECHO'!L$20&lt;250.1,IF('1 PISO TECHO'!L$21&gt;5.5,IF('1 PISO TECHO'!L$21&lt;28.1,IF(OR('1 PISO TECHO'!L$14="V",'1 PISO TECHO'!L$14="VT",'1 PISO TECHO'!L$14="VTT",'1 PISO TECHO'!L$14="VSB",'1 PISO TECHO'!L$14="VE",'1 PISO TECHO'!L$14="VET",'1 PISO TECHO'!L$14="VESQ",),1,0))))*'1 PISO TECHO'!L$22</f>
        <v>0</v>
      </c>
      <c r="AZ14" s="845">
        <f>IF('1 PISO TECHO'!M$20&lt;250.1,IF('1 PISO TECHO'!M$21&gt;5.5,IF('1 PISO TECHO'!M$21&lt;28.1,IF(OR('1 PISO TECHO'!M$14="V",'1 PISO TECHO'!M$14="VT",'1 PISO TECHO'!M$14="VTT",'1 PISO TECHO'!M$14="VSB",'1 PISO TECHO'!M$14="VE",'1 PISO TECHO'!M$14="VET",'1 PISO TECHO'!M$14="VESQ",),1,0))))*'1 PISO TECHO'!M$22</f>
        <v>0</v>
      </c>
      <c r="BA14" s="845">
        <f>IF('1 PISO TECHO'!N$20&lt;250.1,IF('1 PISO TECHO'!N$21&gt;5.5,IF('1 PISO TECHO'!N$21&lt;28.1,IF(OR('1 PISO TECHO'!N$14="V",'1 PISO TECHO'!N$14="VT",'1 PISO TECHO'!N$14="VTT",'1 PISO TECHO'!N$14="VSB",'1 PISO TECHO'!N$14="VE",'1 PISO TECHO'!N$14="VET",'1 PISO TECHO'!N$14="VESQ",),1,0))))*'1 PISO TECHO'!N$22</f>
        <v>0</v>
      </c>
      <c r="BB14" s="844">
        <f t="shared" ref="BB14:BB19" si="2">SUM(AP14:BA14)</f>
        <v>0</v>
      </c>
      <c r="BC14" s="845" t="b">
        <f>IF('1 PISO TECHO'!C$21&gt;1,IF('1 PISO TECHO'!C$21&lt;28.1,IF('1 PISO TECHO'!$B$27='1 PISO TECHO'!C$14,((('1 PISO TECHO'!C$20-200)*4)/160)*'1 PISO TECHO'!C$22,0)))</f>
        <v>0</v>
      </c>
      <c r="BD14" s="845" t="b">
        <f>IF('1 PISO TECHO'!D$21&gt;1,IF('1 PISO TECHO'!D$21&lt;28.1,IF('1 PISO TECHO'!$B$27='1 PISO TECHO'!D$14,((('1 PISO TECHO'!D$20-200)*4)/160)*'1 PISO TECHO'!D$22,0)))</f>
        <v>0</v>
      </c>
      <c r="BE14" s="845" t="b">
        <f>IF('1 PISO TECHO'!E$21&gt;1,IF('1 PISO TECHO'!E$21&lt;28.1,IF('1 PISO TECHO'!$B$27='1 PISO TECHO'!E$14,((('1 PISO TECHO'!E$20-200)*4)/160)*'1 PISO TECHO'!E$22,0)))</f>
        <v>0</v>
      </c>
      <c r="BF14" s="845" t="b">
        <f>IF('1 PISO TECHO'!F$21&gt;1,IF('1 PISO TECHO'!F$21&lt;28.1,IF('1 PISO TECHO'!$B$27='1 PISO TECHO'!F$14,((('1 PISO TECHO'!F$20-200)*4)/160)*'1 PISO TECHO'!F$22,0)))</f>
        <v>0</v>
      </c>
      <c r="BG14" s="845" t="b">
        <f>IF('1 PISO TECHO'!G$21&gt;1,IF('1 PISO TECHO'!G$21&lt;28.1,IF('1 PISO TECHO'!$B$27='1 PISO TECHO'!G$14,((('1 PISO TECHO'!G$20-200)*4)/160)*'1 PISO TECHO'!G$22,0)))</f>
        <v>0</v>
      </c>
      <c r="BH14" s="845" t="b">
        <f>IF('1 PISO TECHO'!H$21&gt;1,IF('1 PISO TECHO'!H$21&lt;28.1,IF('1 PISO TECHO'!$B$27='1 PISO TECHO'!H$14,((('1 PISO TECHO'!H$20-200)*4)/160)*'1 PISO TECHO'!H$22,0)))</f>
        <v>0</v>
      </c>
      <c r="BI14" s="845" t="b">
        <f>IF('1 PISO TECHO'!I$21&gt;1,IF('1 PISO TECHO'!I$21&lt;28.1,IF('1 PISO TECHO'!$B$27='1 PISO TECHO'!I$14,((('1 PISO TECHO'!I$20-200)*4)/160)*'1 PISO TECHO'!I$22,0)))</f>
        <v>0</v>
      </c>
      <c r="BJ14" s="845" t="b">
        <f>IF('1 PISO TECHO'!J$21&gt;1,IF('1 PISO TECHO'!J$21&lt;28.1,IF('1 PISO TECHO'!$B$27='1 PISO TECHO'!J$14,((('1 PISO TECHO'!J$20-200)*4)/160)*'1 PISO TECHO'!J$22,0)))</f>
        <v>0</v>
      </c>
      <c r="BK14" s="845" t="b">
        <f>IF('1 PISO TECHO'!K$21&gt;1,IF('1 PISO TECHO'!K$21&lt;28.1,IF('1 PISO TECHO'!$B$27='1 PISO TECHO'!K$14,((('1 PISO TECHO'!K$20-200)*4)/160)*'1 PISO TECHO'!K$22,0)))</f>
        <v>0</v>
      </c>
      <c r="BL14" s="845" t="b">
        <f>IF('1 PISO TECHO'!L$21&gt;1,IF('1 PISO TECHO'!L$21&lt;28.1,IF('1 PISO TECHO'!$B$27='1 PISO TECHO'!L$14,((('1 PISO TECHO'!L$20-200)*4)/160)*'1 PISO TECHO'!L$22,0)))</f>
        <v>0</v>
      </c>
      <c r="BM14" s="845" t="b">
        <f>IF('1 PISO TECHO'!M$21&gt;1,IF('1 PISO TECHO'!M$21&lt;28.1,IF('1 PISO TECHO'!$B$27='1 PISO TECHO'!M$14,((('1 PISO TECHO'!M$20-200)*4)/160)*'1 PISO TECHO'!M$22,0)))</f>
        <v>0</v>
      </c>
      <c r="BN14" s="845" t="b">
        <f>IF('1 PISO TECHO'!N$21&gt;1,IF('1 PISO TECHO'!N$21&lt;28.1,IF('1 PISO TECHO'!$B$27='1 PISO TECHO'!N$14,((('1 PISO TECHO'!N$20-200)*4)/160)*'1 PISO TECHO'!N$22,0)))</f>
        <v>0</v>
      </c>
      <c r="BO14" s="844">
        <f t="shared" ref="BO14:BO19" si="3">SUM(BC14:BN14)*2</f>
        <v>0</v>
      </c>
      <c r="BP14" s="845" t="b">
        <f>IF('1 PISO TECHO'!C$21&gt;1,IF('1 PISO TECHO'!C$21&lt;28.1,IF('1 PISO TECHO'!$B$28='1 PISO TECHO'!C$14,((('1 PISO TECHO'!C$20-200)*4)/160)*'1 PISO TECHO'!C$22,0)))</f>
        <v>0</v>
      </c>
      <c r="BQ14" s="845" t="b">
        <f>IF('1 PISO TECHO'!D$21&gt;1,IF('1 PISO TECHO'!D$21&lt;28.1,IF('1 PISO TECHO'!$B$28='1 PISO TECHO'!D$14,((('1 PISO TECHO'!D$20-200)*4)/160)*'1 PISO TECHO'!D$22,0)))</f>
        <v>0</v>
      </c>
      <c r="BR14" s="845" t="b">
        <f>IF('1 PISO TECHO'!E$21&gt;1,IF('1 PISO TECHO'!E$21&lt;28.1,IF('1 PISO TECHO'!$B$28='1 PISO TECHO'!E$14,((('1 PISO TECHO'!E$20-200)*4)/160)*'1 PISO TECHO'!E$22,0)))</f>
        <v>0</v>
      </c>
      <c r="BS14" s="845" t="b">
        <f>IF('1 PISO TECHO'!F$21&gt;1,IF('1 PISO TECHO'!F$21&lt;28.1,IF('1 PISO TECHO'!$B$28='1 PISO TECHO'!F$14,((('1 PISO TECHO'!F$20-200)*4)/160)*'1 PISO TECHO'!F$22,0)))</f>
        <v>0</v>
      </c>
      <c r="BT14" s="845" t="b">
        <f>IF('1 PISO TECHO'!G$21&gt;1,IF('1 PISO TECHO'!G$21&lt;28.1,IF('1 PISO TECHO'!$B$28='1 PISO TECHO'!G$14,((('1 PISO TECHO'!G$20-200)*4)/160)*'1 PISO TECHO'!G$22,0)))</f>
        <v>0</v>
      </c>
      <c r="BU14" s="845" t="b">
        <f>IF('1 PISO TECHO'!H$21&gt;1,IF('1 PISO TECHO'!H$21&lt;28.1,IF('1 PISO TECHO'!$B$28='1 PISO TECHO'!H$14,((('1 PISO TECHO'!H$20-200)*4)/160)*'1 PISO TECHO'!H$22,0)))</f>
        <v>0</v>
      </c>
      <c r="BV14" s="845" t="b">
        <f>IF('1 PISO TECHO'!I$21&gt;1,IF('1 PISO TECHO'!I$21&lt;28.1,IF('1 PISO TECHO'!$B$28='1 PISO TECHO'!I$14,((('1 PISO TECHO'!I$20-200)*4)/160)*'1 PISO TECHO'!I$22,0)))</f>
        <v>0</v>
      </c>
      <c r="BW14" s="845" t="b">
        <f>IF('1 PISO TECHO'!J$21&gt;1,IF('1 PISO TECHO'!J$21&lt;28.1,IF('1 PISO TECHO'!$B$28='1 PISO TECHO'!J$14,((('1 PISO TECHO'!J$20-200)*4)/160)*'1 PISO TECHO'!J$22,0)))</f>
        <v>0</v>
      </c>
      <c r="BX14" s="845" t="b">
        <f>IF('1 PISO TECHO'!K$21&gt;1,IF('1 PISO TECHO'!K$21&lt;28.1,IF('1 PISO TECHO'!$B$28='1 PISO TECHO'!K$14,((('1 PISO TECHO'!K$20-200)*4)/160)*'1 PISO TECHO'!K$22,0)))</f>
        <v>0</v>
      </c>
      <c r="BY14" s="845" t="b">
        <f>IF('1 PISO TECHO'!L$21&gt;1,IF('1 PISO TECHO'!L$21&lt;28.1,IF('1 PISO TECHO'!$B$28='1 PISO TECHO'!L$14,((('1 PISO TECHO'!L$20-200)*4)/160)*'1 PISO TECHO'!L$22,0)))</f>
        <v>0</v>
      </c>
      <c r="BZ14" s="845" t="b">
        <f>IF('1 PISO TECHO'!M$21&gt;1,IF('1 PISO TECHO'!M$21&lt;28.1,IF('1 PISO TECHO'!$B$28='1 PISO TECHO'!M$14,((('1 PISO TECHO'!M$20-200)*4)/160)*'1 PISO TECHO'!M$22,0)))</f>
        <v>0</v>
      </c>
      <c r="CA14" s="845" t="b">
        <f>IF('1 PISO TECHO'!N$21&gt;1,IF('1 PISO TECHO'!N$21&lt;28.1,IF('1 PISO TECHO'!$B$28='1 PISO TECHO'!N$14,((('1 PISO TECHO'!N$20-200)*4)/160)*'1 PISO TECHO'!N$22,0)))</f>
        <v>0</v>
      </c>
      <c r="CB14" s="844">
        <f t="shared" ref="CB14:CB19" si="4">SUM(BP14:CA14)*2</f>
        <v>0</v>
      </c>
      <c r="CC14" s="845" t="b">
        <f>IF('1 PISO TECHO'!C$21&gt;1,IF('1 PISO TECHO'!C$21&lt;28.1,IF('1 PISO TECHO'!$B$29='1 PISO TECHO'!C$14,((('1 PISO TECHO'!C$20-200)*4)/160)*'1 PISO TECHO'!C$22,0)))</f>
        <v>0</v>
      </c>
      <c r="CD14" s="845" t="b">
        <f>IF('1 PISO TECHO'!D$21&gt;1,IF('1 PISO TECHO'!D$21&lt;28.1,IF('1 PISO TECHO'!$B$29='1 PISO TECHO'!D$14,((('1 PISO TECHO'!D$20-200)*4)/160)*'1 PISO TECHO'!D$22,0)))</f>
        <v>0</v>
      </c>
      <c r="CE14" s="845" t="b">
        <f>IF('1 PISO TECHO'!E$21&gt;1,IF('1 PISO TECHO'!E$21&lt;28.1,IF('1 PISO TECHO'!$B$29='1 PISO TECHO'!E$14,((('1 PISO TECHO'!E$20-200)*4)/160)*'1 PISO TECHO'!E$22,0)))</f>
        <v>0</v>
      </c>
      <c r="CF14" s="845" t="b">
        <f>IF('1 PISO TECHO'!F$21&gt;1,IF('1 PISO TECHO'!F$21&lt;28.1,IF('1 PISO TECHO'!$B$29='1 PISO TECHO'!F$14,((('1 PISO TECHO'!F$20-200)*4)/160)*'1 PISO TECHO'!F$22,0)))</f>
        <v>0</v>
      </c>
      <c r="CG14" s="845" t="b">
        <f>IF('1 PISO TECHO'!G$21&gt;1,IF('1 PISO TECHO'!G$21&lt;28.1,IF('1 PISO TECHO'!$B$29='1 PISO TECHO'!G$14,((('1 PISO TECHO'!G$20-200)*4)/160)*'1 PISO TECHO'!G$22,0)))</f>
        <v>0</v>
      </c>
      <c r="CH14" s="845" t="b">
        <f>IF('1 PISO TECHO'!H$21&gt;1,IF('1 PISO TECHO'!H$21&lt;28.1,IF('1 PISO TECHO'!$B$29='1 PISO TECHO'!H$14,((('1 PISO TECHO'!H$20-200)*4)/160)*'1 PISO TECHO'!H$22,0)))</f>
        <v>0</v>
      </c>
      <c r="CI14" s="845" t="b">
        <f>IF('1 PISO TECHO'!I$21&gt;1,IF('1 PISO TECHO'!I$21&lt;28.1,IF('1 PISO TECHO'!$B$29='1 PISO TECHO'!I$14,((('1 PISO TECHO'!I$20-200)*4)/160)*'1 PISO TECHO'!I$22,0)))</f>
        <v>0</v>
      </c>
      <c r="CJ14" s="845" t="b">
        <f>IF('1 PISO TECHO'!J$21&gt;1,IF('1 PISO TECHO'!J$21&lt;28.1,IF('1 PISO TECHO'!$B$29='1 PISO TECHO'!J$14,((('1 PISO TECHO'!J$20-200)*4)/160)*'1 PISO TECHO'!J$22,0)))</f>
        <v>0</v>
      </c>
      <c r="CK14" s="845" t="b">
        <f>IF('1 PISO TECHO'!K$21&gt;1,IF('1 PISO TECHO'!K$21&lt;28.1,IF('1 PISO TECHO'!$B$29='1 PISO TECHO'!K$14,((('1 PISO TECHO'!K$20-200)*4)/160)*'1 PISO TECHO'!K$22,0)))</f>
        <v>0</v>
      </c>
      <c r="CL14" s="845" t="b">
        <f>IF('1 PISO TECHO'!L$21&gt;1,IF('1 PISO TECHO'!L$21&lt;28.1,IF('1 PISO TECHO'!$B$29='1 PISO TECHO'!L$14,((('1 PISO TECHO'!L$20-200)*4)/160)*'1 PISO TECHO'!L$22,0)))</f>
        <v>0</v>
      </c>
      <c r="CM14" s="845" t="b">
        <f>IF('1 PISO TECHO'!M$21&gt;1,IF('1 PISO TECHO'!M$21&lt;28.1,IF('1 PISO TECHO'!$B$29='1 PISO TECHO'!M$14,((('1 PISO TECHO'!M$20-200)*4)/160)*'1 PISO TECHO'!M$22,0)))</f>
        <v>0</v>
      </c>
      <c r="CN14" s="845" t="b">
        <f>IF('1 PISO TECHO'!N$21&gt;1,IF('1 PISO TECHO'!N$21&lt;28.1,IF('1 PISO TECHO'!$B$29='1 PISO TECHO'!N$14,((('1 PISO TECHO'!N$20-200)*4)/160)*'1 PISO TECHO'!N$22,0)))</f>
        <v>0</v>
      </c>
      <c r="CO14" s="844">
        <f t="shared" ref="CO14:CO19" si="5">SUM(CC14:CN14)*2</f>
        <v>0</v>
      </c>
      <c r="CP14" s="845" t="b">
        <f>IF('1 PISO TECHO'!C$21&gt;1,IF('1 PISO TECHO'!C$21&lt;28.1,IF('1 PISO TECHO'!$B$30='1 PISO TECHO'!C$14,((('1 PISO TECHO'!C$20-200)*4)/160)*'1 PISO TECHO'!C$22,0)))</f>
        <v>0</v>
      </c>
      <c r="CQ14" s="845" t="b">
        <f>IF('1 PISO TECHO'!D$21&gt;1,IF('1 PISO TECHO'!D$21&lt;28.1,IF('1 PISO TECHO'!$B$30='1 PISO TECHO'!D$14,((('1 PISO TECHO'!D$20-200)*4)/160)*'1 PISO TECHO'!D$22,0)))</f>
        <v>0</v>
      </c>
      <c r="CR14" s="845" t="b">
        <f>IF('1 PISO TECHO'!E$21&gt;1,IF('1 PISO TECHO'!E$21&lt;28.1,IF('1 PISO TECHO'!$B$30='1 PISO TECHO'!E$14,((('1 PISO TECHO'!E$20-200)*4)/160)*'1 PISO TECHO'!E$22,0)))</f>
        <v>0</v>
      </c>
      <c r="CS14" s="845" t="b">
        <f>IF('1 PISO TECHO'!F$21&gt;1,IF('1 PISO TECHO'!F$21&lt;28.1,IF('1 PISO TECHO'!$B$30='1 PISO TECHO'!F$14,((('1 PISO TECHO'!F$20-200)*4)/160)*'1 PISO TECHO'!F$22,0)))</f>
        <v>0</v>
      </c>
      <c r="CT14" s="845" t="b">
        <f>IF('1 PISO TECHO'!G$21&gt;1,IF('1 PISO TECHO'!G$21&lt;28.1,IF('1 PISO TECHO'!$B$30='1 PISO TECHO'!G$14,((('1 PISO TECHO'!G$20-200)*4)/160)*'1 PISO TECHO'!G$22,0)))</f>
        <v>0</v>
      </c>
      <c r="CU14" s="845" t="b">
        <f>IF('1 PISO TECHO'!H$21&gt;1,IF('1 PISO TECHO'!H$21&lt;28.1,IF('1 PISO TECHO'!$B$30='1 PISO TECHO'!H$14,((('1 PISO TECHO'!H$20-200)*4)/160)*'1 PISO TECHO'!H$22,0)))</f>
        <v>0</v>
      </c>
      <c r="CV14" s="845" t="b">
        <f>IF('1 PISO TECHO'!I$21&gt;1,IF('1 PISO TECHO'!I$21&lt;28.1,IF('1 PISO TECHO'!$B$30='1 PISO TECHO'!I$14,((('1 PISO TECHO'!I$20-200)*4)/160)*'1 PISO TECHO'!I$22,0)))</f>
        <v>0</v>
      </c>
      <c r="CW14" s="845" t="b">
        <f>IF('1 PISO TECHO'!J$21&gt;1,IF('1 PISO TECHO'!J$21&lt;28.1,IF('1 PISO TECHO'!$B$30='1 PISO TECHO'!J$14,((('1 PISO TECHO'!J$20-200)*4)/160)*'1 PISO TECHO'!J$22,0)))</f>
        <v>0</v>
      </c>
      <c r="CX14" s="845" t="b">
        <f>IF('1 PISO TECHO'!K$21&gt;1,IF('1 PISO TECHO'!K$21&lt;28.1,IF('1 PISO TECHO'!$B$30='1 PISO TECHO'!K$14,((('1 PISO TECHO'!K$20-200)*4)/160)*'1 PISO TECHO'!K$22,0)))</f>
        <v>0</v>
      </c>
      <c r="CY14" s="845" t="b">
        <f>IF('1 PISO TECHO'!L$21&gt;1,IF('1 PISO TECHO'!L$21&lt;28.1,IF('1 PISO TECHO'!$B$30='1 PISO TECHO'!L$14,((('1 PISO TECHO'!L$20-200)*4)/160)*'1 PISO TECHO'!L$22,0)))</f>
        <v>0</v>
      </c>
      <c r="CZ14" s="845" t="b">
        <f>IF('1 PISO TECHO'!M$21&gt;1,IF('1 PISO TECHO'!M$21&lt;28.1,IF('1 PISO TECHO'!$B$30='1 PISO TECHO'!M$14,((('1 PISO TECHO'!M$20-200)*4)/160)*'1 PISO TECHO'!M$22,0)))</f>
        <v>0</v>
      </c>
      <c r="DA14" s="845" t="b">
        <f>IF('1 PISO TECHO'!N$21&gt;1,IF('1 PISO TECHO'!N$21&lt;28.1,IF('1 PISO TECHO'!$B$30='1 PISO TECHO'!N$14,((('1 PISO TECHO'!N$20-200)*4)/160)*'1 PISO TECHO'!N$22,0)))</f>
        <v>0</v>
      </c>
      <c r="DB14" s="844">
        <f t="shared" ref="DB14:DB19" si="6">SUM(CP14:DA14)*2</f>
        <v>0</v>
      </c>
      <c r="DK14" s="838"/>
    </row>
    <row r="15" spans="1:233" x14ac:dyDescent="0.35">
      <c r="A15" s="777" t="s">
        <v>1130</v>
      </c>
      <c r="I15" s="701" t="s">
        <v>997</v>
      </c>
      <c r="J15" s="702"/>
      <c r="K15" s="702"/>
      <c r="L15" s="702"/>
      <c r="M15" s="702"/>
      <c r="N15" s="702"/>
      <c r="O15" s="702"/>
      <c r="P15" s="702"/>
      <c r="Q15" s="702"/>
      <c r="R15" s="702"/>
      <c r="S15" s="702"/>
      <c r="T15" s="702"/>
      <c r="U15" s="702"/>
      <c r="V15" s="702"/>
      <c r="W15" s="702"/>
      <c r="X15" s="702"/>
      <c r="Y15" s="702"/>
      <c r="Z15" s="702"/>
      <c r="AA15" s="702"/>
      <c r="AB15" s="702"/>
      <c r="AC15" s="702"/>
      <c r="AD15" s="702"/>
      <c r="AE15" s="702"/>
      <c r="AF15" s="702"/>
      <c r="AG15" s="701" t="s">
        <v>1000</v>
      </c>
      <c r="AH15" s="702"/>
      <c r="AI15" s="855"/>
      <c r="AJ15" s="855"/>
      <c r="AK15" s="855"/>
      <c r="AL15" s="855"/>
      <c r="AM15" s="855"/>
      <c r="AN15" s="855"/>
      <c r="AO15" s="855"/>
      <c r="AP15" s="845">
        <f>IF('1 PISO TECHO'!C$20&lt;250.1,IF('1 PISO TECHO'!C$21&gt;28,IF('1 PISO TECHO'!C$21&lt;56.1,IF(OR('1 PISO TECHO'!C$14="V",'1 PISO TECHO'!C$14="VT",'1 PISO TECHO'!C$14="VTT",'1 PISO TECHO'!C$14="VSB",'1 PISO TECHO'!C$14="VE",'1 PISO TECHO'!C$14="VET",'1 PISO TECHO'!C$14="VESQ",),1,0))))*'1 PISO TECHO'!C$22</f>
        <v>0</v>
      </c>
      <c r="AQ15" s="845">
        <f>IF('1 PISO TECHO'!D$20&lt;250.1,IF('1 PISO TECHO'!D$21&gt;28,IF('1 PISO TECHO'!D$21&lt;56.1,IF(OR('1 PISO TECHO'!D$14="V",'1 PISO TECHO'!D$14="VT",'1 PISO TECHO'!D$14="VTT",'1 PISO TECHO'!D$14="VSB",'1 PISO TECHO'!D$14="VE",'1 PISO TECHO'!D$14="VET",'1 PISO TECHO'!D$14="VESQ",),1,0))))*'1 PISO TECHO'!D$22</f>
        <v>0</v>
      </c>
      <c r="AR15" s="845">
        <f>IF('1 PISO TECHO'!E$20&lt;250.1,IF('1 PISO TECHO'!E$21&gt;28,IF('1 PISO TECHO'!E$21&lt;56.1,IF(OR('1 PISO TECHO'!E$14="V",'1 PISO TECHO'!E$14="VT",'1 PISO TECHO'!E$14="VTT",'1 PISO TECHO'!E$14="VSB",'1 PISO TECHO'!E$14="VE",'1 PISO TECHO'!E$14="VET",'1 PISO TECHO'!E$14="VESQ",),1,0))))*'1 PISO TECHO'!E$22</f>
        <v>0</v>
      </c>
      <c r="AS15" s="845">
        <f>IF('1 PISO TECHO'!F$20&lt;250.1,IF('1 PISO TECHO'!F$21&gt;28,IF('1 PISO TECHO'!F$21&lt;56.1,IF(OR('1 PISO TECHO'!F$14="V",'1 PISO TECHO'!F$14="VT",'1 PISO TECHO'!F$14="VTT",'1 PISO TECHO'!F$14="VSB",'1 PISO TECHO'!F$14="VE",'1 PISO TECHO'!F$14="VET",'1 PISO TECHO'!F$14="VESQ",),1,0))))*'1 PISO TECHO'!F$22</f>
        <v>0</v>
      </c>
      <c r="AT15" s="845">
        <f>IF('1 PISO TECHO'!G$20&lt;250.1,IF('1 PISO TECHO'!G$21&gt;28,IF('1 PISO TECHO'!G$21&lt;56.1,IF(OR('1 PISO TECHO'!G$14="V",'1 PISO TECHO'!G$14="VT",'1 PISO TECHO'!G$14="VTT",'1 PISO TECHO'!G$14="VSB",'1 PISO TECHO'!G$14="VE",'1 PISO TECHO'!G$14="VET",'1 PISO TECHO'!G$14="VESQ",),1,0))))*'1 PISO TECHO'!G$22</f>
        <v>0</v>
      </c>
      <c r="AU15" s="845">
        <f>IF('1 PISO TECHO'!H$20&lt;250.1,IF('1 PISO TECHO'!H$21&gt;28,IF('1 PISO TECHO'!H$21&lt;56.1,IF(OR('1 PISO TECHO'!H$14="V",'1 PISO TECHO'!H$14="VT",'1 PISO TECHO'!H$14="VTT",'1 PISO TECHO'!H$14="VSB",'1 PISO TECHO'!H$14="VE",'1 PISO TECHO'!H$14="VET",'1 PISO TECHO'!H$14="VESQ",),1,0))))*'1 PISO TECHO'!H$22</f>
        <v>0</v>
      </c>
      <c r="AV15" s="845">
        <f>IF('1 PISO TECHO'!I$20&lt;250.1,IF('1 PISO TECHO'!I$21&gt;28,IF('1 PISO TECHO'!I$21&lt;56.1,IF(OR('1 PISO TECHO'!I$14="V",'1 PISO TECHO'!I$14="VT",'1 PISO TECHO'!I$14="VTT",'1 PISO TECHO'!I$14="VSB",'1 PISO TECHO'!I$14="VE",'1 PISO TECHO'!I$14="VET",'1 PISO TECHO'!I$14="VESQ",),1,0))))*'1 PISO TECHO'!I$22</f>
        <v>0</v>
      </c>
      <c r="AW15" s="845">
        <f>IF('1 PISO TECHO'!J$20&lt;250.1,IF('1 PISO TECHO'!J$21&gt;28,IF('1 PISO TECHO'!J$21&lt;56.1,IF(OR('1 PISO TECHO'!J$14="V",'1 PISO TECHO'!J$14="VT",'1 PISO TECHO'!J$14="VTT",'1 PISO TECHO'!J$14="VSB",'1 PISO TECHO'!J$14="VE",'1 PISO TECHO'!J$14="VET",'1 PISO TECHO'!J$14="VESQ",),1,0))))*'1 PISO TECHO'!J$22</f>
        <v>0</v>
      </c>
      <c r="AX15" s="845">
        <f>IF('1 PISO TECHO'!K$20&lt;250.1,IF('1 PISO TECHO'!K$21&gt;28,IF('1 PISO TECHO'!K$21&lt;56.1,IF(OR('1 PISO TECHO'!K$14="V",'1 PISO TECHO'!K$14="VT",'1 PISO TECHO'!K$14="VTT",'1 PISO TECHO'!K$14="VSB",'1 PISO TECHO'!K$14="VE",'1 PISO TECHO'!K$14="VET",'1 PISO TECHO'!K$14="VESQ",),1,0))))*'1 PISO TECHO'!K$22</f>
        <v>0</v>
      </c>
      <c r="AY15" s="845">
        <f>IF('1 PISO TECHO'!L$20&lt;250.1,IF('1 PISO TECHO'!L$21&gt;28,IF('1 PISO TECHO'!L$21&lt;56.1,IF(OR('1 PISO TECHO'!L$14="V",'1 PISO TECHO'!L$14="VT",'1 PISO TECHO'!L$14="VTT",'1 PISO TECHO'!L$14="VSB",'1 PISO TECHO'!L$14="VE",'1 PISO TECHO'!L$14="VET",'1 PISO TECHO'!L$14="VESQ",),1,0))))*'1 PISO TECHO'!L$22</f>
        <v>0</v>
      </c>
      <c r="AZ15" s="845">
        <f>IF('1 PISO TECHO'!M$20&lt;250.1,IF('1 PISO TECHO'!M$21&gt;28,IF('1 PISO TECHO'!M$21&lt;56.1,IF(OR('1 PISO TECHO'!M$14="V",'1 PISO TECHO'!M$14="VT",'1 PISO TECHO'!M$14="VTT",'1 PISO TECHO'!M$14="VSB",'1 PISO TECHO'!M$14="VE",'1 PISO TECHO'!M$14="VET",'1 PISO TECHO'!M$14="VESQ",),1,0))))*'1 PISO TECHO'!M$22</f>
        <v>0</v>
      </c>
      <c r="BA15" s="845">
        <f>IF('1 PISO TECHO'!N$20&lt;250.1,IF('1 PISO TECHO'!N$21&gt;28,IF('1 PISO TECHO'!N$21&lt;56.1,IF(OR('1 PISO TECHO'!N$14="V",'1 PISO TECHO'!N$14="VT",'1 PISO TECHO'!N$14="VTT",'1 PISO TECHO'!N$14="VSB",'1 PISO TECHO'!N$14="VE",'1 PISO TECHO'!N$14="VET",'1 PISO TECHO'!N$14="VESQ",),1,0))))*'1 PISO TECHO'!N$22</f>
        <v>0</v>
      </c>
      <c r="BB15" s="844">
        <f t="shared" si="2"/>
        <v>0</v>
      </c>
      <c r="BC15" s="845" t="b">
        <f>IF('1 PISO TECHO'!C$21&gt;28,IF('1 PISO TECHO'!C$21&lt;56.1,IF('1 PISO TECHO'!$B$27='1 PISO TECHO'!C$14,((('1 PISO TECHO'!C$20-200)*4)/160)*'1 PISO TECHO'!C$22,0)))</f>
        <v>0</v>
      </c>
      <c r="BD15" s="845" t="b">
        <f>IF('1 PISO TECHO'!D$21&gt;28,IF('1 PISO TECHO'!D$21&lt;56.1,IF('1 PISO TECHO'!$B$27='1 PISO TECHO'!D$14,((('1 PISO TECHO'!D$20-200)*4)/160)*'1 PISO TECHO'!D$22,0)))</f>
        <v>0</v>
      </c>
      <c r="BE15" s="845" t="b">
        <f>IF('1 PISO TECHO'!E$21&gt;28,IF('1 PISO TECHO'!E$21&lt;56.1,IF('1 PISO TECHO'!$B$27='1 PISO TECHO'!E$14,((('1 PISO TECHO'!E$20-200)*4)/160)*'1 PISO TECHO'!E$22,0)))</f>
        <v>0</v>
      </c>
      <c r="BF15" s="845" t="b">
        <f>IF('1 PISO TECHO'!F$21&gt;28,IF('1 PISO TECHO'!F$21&lt;56.1,IF('1 PISO TECHO'!$B$27='1 PISO TECHO'!F$14,((('1 PISO TECHO'!F$20-200)*4)/160)*'1 PISO TECHO'!F$22,0)))</f>
        <v>0</v>
      </c>
      <c r="BG15" s="845" t="b">
        <f>IF('1 PISO TECHO'!G$21&gt;28,IF('1 PISO TECHO'!G$21&lt;56.1,IF('1 PISO TECHO'!$B$27='1 PISO TECHO'!G$14,((('1 PISO TECHO'!G$20-200)*4)/160)*'1 PISO TECHO'!G$22,0)))</f>
        <v>0</v>
      </c>
      <c r="BH15" s="845" t="b">
        <f>IF('1 PISO TECHO'!H$21&gt;28,IF('1 PISO TECHO'!H$21&lt;56.1,IF('1 PISO TECHO'!$B$27='1 PISO TECHO'!H$14,((('1 PISO TECHO'!H$20-200)*4)/160)*'1 PISO TECHO'!H$22,0)))</f>
        <v>0</v>
      </c>
      <c r="BI15" s="845" t="b">
        <f>IF('1 PISO TECHO'!I$21&gt;28,IF('1 PISO TECHO'!I$21&lt;56.1,IF('1 PISO TECHO'!$B$27='1 PISO TECHO'!I$14,((('1 PISO TECHO'!I$20-200)*4)/160)*'1 PISO TECHO'!I$22,0)))</f>
        <v>0</v>
      </c>
      <c r="BJ15" s="845" t="b">
        <f>IF('1 PISO TECHO'!J$21&gt;28,IF('1 PISO TECHO'!J$21&lt;56.1,IF('1 PISO TECHO'!$B$27='1 PISO TECHO'!J$14,((('1 PISO TECHO'!J$20-200)*4)/160)*'1 PISO TECHO'!J$22,0)))</f>
        <v>0</v>
      </c>
      <c r="BK15" s="845" t="b">
        <f>IF('1 PISO TECHO'!K$21&gt;28,IF('1 PISO TECHO'!K$21&lt;56.1,IF('1 PISO TECHO'!$B$27='1 PISO TECHO'!K$14,((('1 PISO TECHO'!K$20-200)*4)/160)*'1 PISO TECHO'!K$22,0)))</f>
        <v>0</v>
      </c>
      <c r="BL15" s="845" t="b">
        <f>IF('1 PISO TECHO'!L$21&gt;28,IF('1 PISO TECHO'!L$21&lt;56.1,IF('1 PISO TECHO'!$B$27='1 PISO TECHO'!L$14,((('1 PISO TECHO'!L$20-200)*4)/160)*'1 PISO TECHO'!L$22,0)))</f>
        <v>0</v>
      </c>
      <c r="BM15" s="845" t="b">
        <f>IF('1 PISO TECHO'!M$21&gt;28,IF('1 PISO TECHO'!M$21&lt;56.1,IF('1 PISO TECHO'!$B$27='1 PISO TECHO'!M$14,((('1 PISO TECHO'!M$20-200)*4)/160)*'1 PISO TECHO'!M$22,0)))</f>
        <v>0</v>
      </c>
      <c r="BN15" s="845" t="b">
        <f>IF('1 PISO TECHO'!N$21&gt;28,IF('1 PISO TECHO'!N$21&lt;56.1,IF('1 PISO TECHO'!$B$27='1 PISO TECHO'!N$14,((('1 PISO TECHO'!N$20-200)*4)/160)*'1 PISO TECHO'!N$22,0)))</f>
        <v>0</v>
      </c>
      <c r="BO15" s="844">
        <f t="shared" si="3"/>
        <v>0</v>
      </c>
      <c r="BP15" s="845" t="b">
        <f>IF('1 PISO TECHO'!C$21&gt;28,IF('1 PISO TECHO'!C$21&lt;56.1,IF('1 PISO TECHO'!$B$28='1 PISO TECHO'!C$14,((('1 PISO TECHO'!C$20-200)*4)/160)*'1 PISO TECHO'!C$22,0)))</f>
        <v>0</v>
      </c>
      <c r="BQ15" s="845" t="b">
        <f>IF('1 PISO TECHO'!D$21&gt;28,IF('1 PISO TECHO'!D$21&lt;56.1,IF('1 PISO TECHO'!$B$28='1 PISO TECHO'!D$14,((('1 PISO TECHO'!D$20-200)*4)/160)*'1 PISO TECHO'!D$22,0)))</f>
        <v>0</v>
      </c>
      <c r="BR15" s="845" t="b">
        <f>IF('1 PISO TECHO'!E$21&gt;28,IF('1 PISO TECHO'!E$21&lt;56.1,IF('1 PISO TECHO'!$B$28='1 PISO TECHO'!E$14,((('1 PISO TECHO'!E$20-200)*4)/160)*'1 PISO TECHO'!E$22,0)))</f>
        <v>0</v>
      </c>
      <c r="BS15" s="845" t="b">
        <f>IF('1 PISO TECHO'!F$21&gt;28,IF('1 PISO TECHO'!F$21&lt;56.1,IF('1 PISO TECHO'!$B$28='1 PISO TECHO'!F$14,((('1 PISO TECHO'!F$20-200)*4)/160)*'1 PISO TECHO'!F$22,0)))</f>
        <v>0</v>
      </c>
      <c r="BT15" s="845" t="b">
        <f>IF('1 PISO TECHO'!G$21&gt;28,IF('1 PISO TECHO'!G$21&lt;56.1,IF('1 PISO TECHO'!$B$28='1 PISO TECHO'!G$14,((('1 PISO TECHO'!G$20-200)*4)/160)*'1 PISO TECHO'!G$22,0)))</f>
        <v>0</v>
      </c>
      <c r="BU15" s="845" t="b">
        <f>IF('1 PISO TECHO'!H$21&gt;28,IF('1 PISO TECHO'!H$21&lt;56.1,IF('1 PISO TECHO'!$B$28='1 PISO TECHO'!H$14,((('1 PISO TECHO'!H$20-200)*4)/160)*'1 PISO TECHO'!H$22,0)))</f>
        <v>0</v>
      </c>
      <c r="BV15" s="845" t="b">
        <f>IF('1 PISO TECHO'!I$21&gt;28,IF('1 PISO TECHO'!I$21&lt;56.1,IF('1 PISO TECHO'!$B$28='1 PISO TECHO'!I$14,((('1 PISO TECHO'!I$20-200)*4)/160)*'1 PISO TECHO'!I$22,0)))</f>
        <v>0</v>
      </c>
      <c r="BW15" s="845" t="b">
        <f>IF('1 PISO TECHO'!J$21&gt;28,IF('1 PISO TECHO'!J$21&lt;56.1,IF('1 PISO TECHO'!$B$28='1 PISO TECHO'!J$14,((('1 PISO TECHO'!J$20-200)*4)/160)*'1 PISO TECHO'!J$22,0)))</f>
        <v>0</v>
      </c>
      <c r="BX15" s="845" t="b">
        <f>IF('1 PISO TECHO'!K$21&gt;28,IF('1 PISO TECHO'!K$21&lt;56.1,IF('1 PISO TECHO'!$B$28='1 PISO TECHO'!K$14,((('1 PISO TECHO'!K$20-200)*4)/160)*'1 PISO TECHO'!K$22,0)))</f>
        <v>0</v>
      </c>
      <c r="BY15" s="845" t="b">
        <f>IF('1 PISO TECHO'!L$21&gt;28,IF('1 PISO TECHO'!L$21&lt;56.1,IF('1 PISO TECHO'!$B$28='1 PISO TECHO'!L$14,((('1 PISO TECHO'!L$20-200)*4)/160)*'1 PISO TECHO'!L$22,0)))</f>
        <v>0</v>
      </c>
      <c r="BZ15" s="845" t="b">
        <f>IF('1 PISO TECHO'!M$21&gt;28,IF('1 PISO TECHO'!M$21&lt;56.1,IF('1 PISO TECHO'!$B$28='1 PISO TECHO'!M$14,((('1 PISO TECHO'!M$20-200)*4)/160)*'1 PISO TECHO'!M$22,0)))</f>
        <v>0</v>
      </c>
      <c r="CA15" s="845" t="b">
        <f>IF('1 PISO TECHO'!N$21&gt;28,IF('1 PISO TECHO'!N$21&lt;56.1,IF('1 PISO TECHO'!$B$28='1 PISO TECHO'!N$14,((('1 PISO TECHO'!N$20-200)*4)/160)*'1 PISO TECHO'!N$22,0)))</f>
        <v>0</v>
      </c>
      <c r="CB15" s="844">
        <f t="shared" si="4"/>
        <v>0</v>
      </c>
      <c r="CC15" s="845" t="b">
        <f>IF('1 PISO TECHO'!C$21&gt;28,IF('1 PISO TECHO'!C$21&lt;56.1,IF('1 PISO TECHO'!$B$29='1 PISO TECHO'!C$14,((('1 PISO TECHO'!C$20-200)*4)/160)*'1 PISO TECHO'!C$22,0)))</f>
        <v>0</v>
      </c>
      <c r="CD15" s="845" t="b">
        <f>IF('1 PISO TECHO'!D$21&gt;28,IF('1 PISO TECHO'!D$21&lt;56.1,IF('1 PISO TECHO'!$B$29='1 PISO TECHO'!D$14,((('1 PISO TECHO'!D$20-200)*4)/160)*'1 PISO TECHO'!D$22,0)))</f>
        <v>0</v>
      </c>
      <c r="CE15" s="845" t="b">
        <f>IF('1 PISO TECHO'!E$21&gt;28,IF('1 PISO TECHO'!E$21&lt;56.1,IF('1 PISO TECHO'!$B$29='1 PISO TECHO'!E$14,((('1 PISO TECHO'!E$20-200)*4)/160)*'1 PISO TECHO'!E$22,0)))</f>
        <v>0</v>
      </c>
      <c r="CF15" s="845" t="b">
        <f>IF('1 PISO TECHO'!F$21&gt;28,IF('1 PISO TECHO'!F$21&lt;56.1,IF('1 PISO TECHO'!$B$29='1 PISO TECHO'!F$14,((('1 PISO TECHO'!F$20-200)*4)/160)*'1 PISO TECHO'!F$22,0)))</f>
        <v>0</v>
      </c>
      <c r="CG15" s="845" t="b">
        <f>IF('1 PISO TECHO'!G$21&gt;28,IF('1 PISO TECHO'!G$21&lt;56.1,IF('1 PISO TECHO'!$B$29='1 PISO TECHO'!G$14,((('1 PISO TECHO'!G$20-200)*4)/160)*'1 PISO TECHO'!G$22,0)))</f>
        <v>0</v>
      </c>
      <c r="CH15" s="845" t="b">
        <f>IF('1 PISO TECHO'!H$21&gt;28,IF('1 PISO TECHO'!H$21&lt;56.1,IF('1 PISO TECHO'!$B$29='1 PISO TECHO'!H$14,((('1 PISO TECHO'!H$20-200)*4)/160)*'1 PISO TECHO'!H$22,0)))</f>
        <v>0</v>
      </c>
      <c r="CI15" s="845" t="b">
        <f>IF('1 PISO TECHO'!I$21&gt;28,IF('1 PISO TECHO'!I$21&lt;56.1,IF('1 PISO TECHO'!$B$29='1 PISO TECHO'!I$14,((('1 PISO TECHO'!I$20-200)*4)/160)*'1 PISO TECHO'!I$22,0)))</f>
        <v>0</v>
      </c>
      <c r="CJ15" s="845" t="b">
        <f>IF('1 PISO TECHO'!J$21&gt;28,IF('1 PISO TECHO'!J$21&lt;56.1,IF('1 PISO TECHO'!$B$29='1 PISO TECHO'!J$14,((('1 PISO TECHO'!J$20-200)*4)/160)*'1 PISO TECHO'!J$22,0)))</f>
        <v>0</v>
      </c>
      <c r="CK15" s="845" t="b">
        <f>IF('1 PISO TECHO'!K$21&gt;28,IF('1 PISO TECHO'!K$21&lt;56.1,IF('1 PISO TECHO'!$B$29='1 PISO TECHO'!K$14,((('1 PISO TECHO'!K$20-200)*4)/160)*'1 PISO TECHO'!K$22,0)))</f>
        <v>0</v>
      </c>
      <c r="CL15" s="845" t="b">
        <f>IF('1 PISO TECHO'!L$21&gt;28,IF('1 PISO TECHO'!L$21&lt;56.1,IF('1 PISO TECHO'!$B$29='1 PISO TECHO'!L$14,((('1 PISO TECHO'!L$20-200)*4)/160)*'1 PISO TECHO'!L$22,0)))</f>
        <v>0</v>
      </c>
      <c r="CM15" s="845" t="b">
        <f>IF('1 PISO TECHO'!M$21&gt;28,IF('1 PISO TECHO'!M$21&lt;56.1,IF('1 PISO TECHO'!$B$29='1 PISO TECHO'!M$14,((('1 PISO TECHO'!M$20-200)*4)/160)*'1 PISO TECHO'!M$22,0)))</f>
        <v>0</v>
      </c>
      <c r="CN15" s="845" t="b">
        <f>IF('1 PISO TECHO'!N$21&gt;28,IF('1 PISO TECHO'!N$21&lt;56.1,IF('1 PISO TECHO'!$B$29='1 PISO TECHO'!N$14,((('1 PISO TECHO'!N$20-200)*4)/160)*'1 PISO TECHO'!N$22,0)))</f>
        <v>0</v>
      </c>
      <c r="CO15" s="844">
        <f t="shared" si="5"/>
        <v>0</v>
      </c>
      <c r="CP15" s="845" t="b">
        <f>IF('1 PISO TECHO'!C$21&gt;28,IF('1 PISO TECHO'!C$21&lt;56.1,IF('1 PISO TECHO'!$B$30='1 PISO TECHO'!C$14,((('1 PISO TECHO'!C$20-200)*4)/160)*'1 PISO TECHO'!C$22,0)))</f>
        <v>0</v>
      </c>
      <c r="CQ15" s="845" t="b">
        <f>IF('1 PISO TECHO'!D$21&gt;28,IF('1 PISO TECHO'!D$21&lt;56.1,IF('1 PISO TECHO'!$B$30='1 PISO TECHO'!D$14,((('1 PISO TECHO'!D$20-200)*4)/160)*'1 PISO TECHO'!D$22,0)))</f>
        <v>0</v>
      </c>
      <c r="CR15" s="845" t="b">
        <f>IF('1 PISO TECHO'!E$21&gt;28,IF('1 PISO TECHO'!E$21&lt;56.1,IF('1 PISO TECHO'!$B$30='1 PISO TECHO'!E$14,((('1 PISO TECHO'!E$20-200)*4)/160)*'1 PISO TECHO'!E$22,0)))</f>
        <v>0</v>
      </c>
      <c r="CS15" s="845" t="b">
        <f>IF('1 PISO TECHO'!F$21&gt;28,IF('1 PISO TECHO'!F$21&lt;56.1,IF('1 PISO TECHO'!$B$30='1 PISO TECHO'!F$14,((('1 PISO TECHO'!F$20-200)*4)/160)*'1 PISO TECHO'!F$22,0)))</f>
        <v>0</v>
      </c>
      <c r="CT15" s="845" t="b">
        <f>IF('1 PISO TECHO'!G$21&gt;28,IF('1 PISO TECHO'!G$21&lt;56.1,IF('1 PISO TECHO'!$B$30='1 PISO TECHO'!G$14,((('1 PISO TECHO'!G$20-200)*4)/160)*'1 PISO TECHO'!G$22,0)))</f>
        <v>0</v>
      </c>
      <c r="CU15" s="845" t="b">
        <f>IF('1 PISO TECHO'!H$21&gt;28,IF('1 PISO TECHO'!H$21&lt;56.1,IF('1 PISO TECHO'!$B$30='1 PISO TECHO'!H$14,((('1 PISO TECHO'!H$20-200)*4)/160)*'1 PISO TECHO'!H$22,0)))</f>
        <v>0</v>
      </c>
      <c r="CV15" s="845" t="b">
        <f>IF('1 PISO TECHO'!I$21&gt;28,IF('1 PISO TECHO'!I$21&lt;56.1,IF('1 PISO TECHO'!$B$30='1 PISO TECHO'!I$14,((('1 PISO TECHO'!I$20-200)*4)/160)*'1 PISO TECHO'!I$22,0)))</f>
        <v>0</v>
      </c>
      <c r="CW15" s="845" t="b">
        <f>IF('1 PISO TECHO'!J$21&gt;28,IF('1 PISO TECHO'!J$21&lt;56.1,IF('1 PISO TECHO'!$B$30='1 PISO TECHO'!J$14,((('1 PISO TECHO'!J$20-200)*4)/160)*'1 PISO TECHO'!J$22,0)))</f>
        <v>0</v>
      </c>
      <c r="CX15" s="845" t="b">
        <f>IF('1 PISO TECHO'!K$21&gt;28,IF('1 PISO TECHO'!K$21&lt;56.1,IF('1 PISO TECHO'!$B$30='1 PISO TECHO'!K$14,((('1 PISO TECHO'!K$20-200)*4)/160)*'1 PISO TECHO'!K$22,0)))</f>
        <v>0</v>
      </c>
      <c r="CY15" s="845" t="b">
        <f>IF('1 PISO TECHO'!L$21&gt;28,IF('1 PISO TECHO'!L$21&lt;56.1,IF('1 PISO TECHO'!$B$30='1 PISO TECHO'!L$14,((('1 PISO TECHO'!L$20-200)*4)/160)*'1 PISO TECHO'!L$22,0)))</f>
        <v>0</v>
      </c>
      <c r="CZ15" s="845" t="b">
        <f>IF('1 PISO TECHO'!M$21&gt;28,IF('1 PISO TECHO'!M$21&lt;56.1,IF('1 PISO TECHO'!$B$30='1 PISO TECHO'!M$14,((('1 PISO TECHO'!M$20-200)*4)/160)*'1 PISO TECHO'!M$22,0)))</f>
        <v>0</v>
      </c>
      <c r="DA15" s="845" t="b">
        <f>IF('1 PISO TECHO'!N$21&gt;28,IF('1 PISO TECHO'!N$21&lt;56.1,IF('1 PISO TECHO'!$B$30='1 PISO TECHO'!N$14,((('1 PISO TECHO'!N$20-200)*4)/160)*'1 PISO TECHO'!N$22,0)))</f>
        <v>0</v>
      </c>
      <c r="DB15" s="844">
        <f t="shared" si="6"/>
        <v>0</v>
      </c>
      <c r="DK15" s="855"/>
    </row>
    <row r="16" spans="1:233" x14ac:dyDescent="0.35">
      <c r="B16" s="777" t="s">
        <v>94</v>
      </c>
      <c r="F16" s="777" t="s">
        <v>1085</v>
      </c>
      <c r="I16" s="701">
        <f>IF('1 PISO TECHO'!C$16&gt;0,IF('1 PISO TECHO'!C$16='1 PISO TECHO'!$B$34,IF('1 PISO TECHO'!C$21=28,1,0)))*'1 PISO TECHO'!C$22</f>
        <v>0</v>
      </c>
      <c r="J16" s="701">
        <f>IF('1 PISO TECHO'!D$16&gt;0,IF('1 PISO TECHO'!D$16='1 PISO TECHO'!$B$34,IF('1 PISO TECHO'!D$21=28,1,0)))*'1 PISO TECHO'!D$22</f>
        <v>0</v>
      </c>
      <c r="K16" s="701">
        <f>IF('1 PISO TECHO'!E$16&gt;0,IF('1 PISO TECHO'!E$16='1 PISO TECHO'!$B$34,IF('1 PISO TECHO'!E$21=28,1,0)))*'1 PISO TECHO'!E$22</f>
        <v>0</v>
      </c>
      <c r="L16" s="701">
        <f>IF('1 PISO TECHO'!F$16&gt;0,IF('1 PISO TECHO'!F$16='1 PISO TECHO'!$B$34,IF('1 PISO TECHO'!F$21=28,1,0)))*'1 PISO TECHO'!F$22</f>
        <v>0</v>
      </c>
      <c r="M16" s="701">
        <f>IF('1 PISO TECHO'!G$16&gt;0,IF('1 PISO TECHO'!G$16='1 PISO TECHO'!$B$34,IF('1 PISO TECHO'!G$21=28,1,0)))*'1 PISO TECHO'!G$22</f>
        <v>0</v>
      </c>
      <c r="N16" s="701">
        <f>IF('1 PISO TECHO'!H$16&gt;0,IF('1 PISO TECHO'!H$16='1 PISO TECHO'!$B$34,IF('1 PISO TECHO'!H$21=28,1,0)))*'1 PISO TECHO'!H$22</f>
        <v>0</v>
      </c>
      <c r="O16" s="701">
        <f>IF('1 PISO TECHO'!I$16&gt;0,IF('1 PISO TECHO'!I$16='1 PISO TECHO'!$B$34,IF('1 PISO TECHO'!I$21=28,1,0)))*'1 PISO TECHO'!I$22</f>
        <v>0</v>
      </c>
      <c r="P16" s="701">
        <f>IF('1 PISO TECHO'!J$16&gt;0,IF('1 PISO TECHO'!J$16='1 PISO TECHO'!$B$34,IF('1 PISO TECHO'!J$21=28,1,0)))*'1 PISO TECHO'!J$22</f>
        <v>0</v>
      </c>
      <c r="Q16" s="701">
        <f>IF('1 PISO TECHO'!K$16&gt;0,IF('1 PISO TECHO'!K$16='1 PISO TECHO'!$B$34,IF('1 PISO TECHO'!K$21=28,1,0)))*'1 PISO TECHO'!K$22</f>
        <v>0</v>
      </c>
      <c r="R16" s="701">
        <f>IF('1 PISO TECHO'!L$16&gt;0,IF('1 PISO TECHO'!L$16='1 PISO TECHO'!$B$34,IF('1 PISO TECHO'!L$21=28,1,0)))*'1 PISO TECHO'!L$22</f>
        <v>0</v>
      </c>
      <c r="S16" s="701">
        <f>IF('1 PISO TECHO'!M$16&gt;0,IF('1 PISO TECHO'!M$16='1 PISO TECHO'!$B$34,IF('1 PISO TECHO'!M$21=28,1,0)))*'1 PISO TECHO'!M$22</f>
        <v>0</v>
      </c>
      <c r="T16" s="701">
        <f>IF('1 PISO TECHO'!N$16&gt;0,IF('1 PISO TECHO'!N$16='1 PISO TECHO'!$B$34,IF('1 PISO TECHO'!N$21=28,1,0)))*'1 PISO TECHO'!N$22</f>
        <v>0</v>
      </c>
      <c r="U16" s="706">
        <f t="shared" ref="U16:U27" si="7">SUM(I16:T16)</f>
        <v>0</v>
      </c>
      <c r="V16" s="701">
        <f>IF('1 PISO TECHO'!C$14='1 PISO TECHO'!$B$34,IF('1 PISO TECHO'!C$21=28,1,0))*'1 PISO TECHO'!C$22</f>
        <v>0</v>
      </c>
      <c r="W16" s="701">
        <f>IF('1 PISO TECHO'!D$14='1 PISO TECHO'!$B$34,IF('1 PISO TECHO'!D$21=28,1,0))*'1 PISO TECHO'!D$22</f>
        <v>0</v>
      </c>
      <c r="X16" s="701">
        <f>IF('1 PISO TECHO'!E$14='1 PISO TECHO'!$B$34,IF('1 PISO TECHO'!E$21=28,1,0))*'1 PISO TECHO'!E$22</f>
        <v>0</v>
      </c>
      <c r="Y16" s="701">
        <f>IF('1 PISO TECHO'!F$14='1 PISO TECHO'!$B$34,IF('1 PISO TECHO'!F$21=28,1,0))*'1 PISO TECHO'!F$22</f>
        <v>0</v>
      </c>
      <c r="Z16" s="701">
        <f>IF('1 PISO TECHO'!G$14='1 PISO TECHO'!$B$34,IF('1 PISO TECHO'!G$21=28,1,0))*'1 PISO TECHO'!G$22</f>
        <v>0</v>
      </c>
      <c r="AA16" s="701">
        <f>IF('1 PISO TECHO'!H$14='1 PISO TECHO'!$B$34,IF('1 PISO TECHO'!H$21=28,1,0))*'1 PISO TECHO'!H$22</f>
        <v>0</v>
      </c>
      <c r="AB16" s="701">
        <f>IF('1 PISO TECHO'!I$14='1 PISO TECHO'!$B$34,IF('1 PISO TECHO'!I$21=28,1,0))*'1 PISO TECHO'!I$22</f>
        <v>0</v>
      </c>
      <c r="AC16" s="701">
        <f>IF('1 PISO TECHO'!J$14='1 PISO TECHO'!$B$34,IF('1 PISO TECHO'!J$21=28,1,0))*'1 PISO TECHO'!J$22</f>
        <v>0</v>
      </c>
      <c r="AD16" s="701">
        <f>IF('1 PISO TECHO'!K$14='1 PISO TECHO'!$B$34,IF('1 PISO TECHO'!K$21=28,1,0))*'1 PISO TECHO'!K$22</f>
        <v>0</v>
      </c>
      <c r="AE16" s="701">
        <f>IF('1 PISO TECHO'!L$14='1 PISO TECHO'!$B$34,IF('1 PISO TECHO'!L$21=28,1,0))*'1 PISO TECHO'!L$22</f>
        <v>0</v>
      </c>
      <c r="AF16" s="701">
        <f>IF('1 PISO TECHO'!M$14='1 PISO TECHO'!$B$34,IF('1 PISO TECHO'!M$21=28,1,0))*'1 PISO TECHO'!M$22</f>
        <v>0</v>
      </c>
      <c r="AG16" s="701">
        <f>IF('1 PISO TECHO'!N$14='1 PISO TECHO'!$B$34,IF('1 PISO TECHO'!N$21=28,1,0))*'1 PISO TECHO'!N$22</f>
        <v>0</v>
      </c>
      <c r="AH16" s="701">
        <f t="shared" ref="AH16:AH27" si="8">SUM(V16:AG16)</f>
        <v>0</v>
      </c>
      <c r="AI16" s="855"/>
      <c r="AJ16" s="855"/>
      <c r="AK16" s="855"/>
      <c r="AL16" s="855"/>
      <c r="AM16" s="855"/>
      <c r="AN16" s="855"/>
      <c r="AO16" s="855"/>
      <c r="AP16" s="845">
        <f>IF('1 PISO TECHO'!C$20&lt;250.1,IF('1 PISO TECHO'!C$21&gt;56,IF('1 PISO TECHO'!C$21&lt;70.1,IF(OR('1 PISO TECHO'!C$14="V",'1 PISO TECHO'!C$14="VT",'1 PISO TECHO'!C$14="VTT",'1 PISO TECHO'!C$14="VSB",'1 PISO TECHO'!C$14="VE",'1 PISO TECHO'!C$14="VET",'1 PISO TECHO'!C$14="VESQ",),1,0))))*'1 PISO TECHO'!C$22</f>
        <v>0</v>
      </c>
      <c r="AQ16" s="845">
        <f>IF('1 PISO TECHO'!D$20&lt;250.1,IF('1 PISO TECHO'!D$21&gt;56,IF('1 PISO TECHO'!D$21&lt;70.1,IF(OR('1 PISO TECHO'!D$14="V",'1 PISO TECHO'!D$14="VT",'1 PISO TECHO'!D$14="VTT",'1 PISO TECHO'!D$14="VSB",'1 PISO TECHO'!D$14="VE",'1 PISO TECHO'!D$14="VET",'1 PISO TECHO'!D$14="VESQ",),1,0))))*'1 PISO TECHO'!D$22</f>
        <v>0</v>
      </c>
      <c r="AR16" s="845">
        <f>IF('1 PISO TECHO'!E$20&lt;250.1,IF('1 PISO TECHO'!E$21&gt;56,IF('1 PISO TECHO'!E$21&lt;70.1,IF(OR('1 PISO TECHO'!E$14="V",'1 PISO TECHO'!E$14="VT",'1 PISO TECHO'!E$14="VTT",'1 PISO TECHO'!E$14="VSB",'1 PISO TECHO'!E$14="VE",'1 PISO TECHO'!E$14="VET",'1 PISO TECHO'!E$14="VESQ",),1,0))))*'1 PISO TECHO'!E$22</f>
        <v>0</v>
      </c>
      <c r="AS16" s="845">
        <f>IF('1 PISO TECHO'!F$20&lt;250.1,IF('1 PISO TECHO'!F$21&gt;56,IF('1 PISO TECHO'!F$21&lt;70.1,IF(OR('1 PISO TECHO'!F$14="V",'1 PISO TECHO'!F$14="VT",'1 PISO TECHO'!F$14="VTT",'1 PISO TECHO'!F$14="VSB",'1 PISO TECHO'!F$14="VE",'1 PISO TECHO'!F$14="VET",'1 PISO TECHO'!F$14="VESQ",),1,0))))*'1 PISO TECHO'!F$22</f>
        <v>0</v>
      </c>
      <c r="AT16" s="845">
        <f>IF('1 PISO TECHO'!G$20&lt;250.1,IF('1 PISO TECHO'!G$21&gt;56,IF('1 PISO TECHO'!G$21&lt;70.1,IF(OR('1 PISO TECHO'!G$14="V",'1 PISO TECHO'!G$14="VT",'1 PISO TECHO'!G$14="VTT",'1 PISO TECHO'!G$14="VSB",'1 PISO TECHO'!G$14="VE",'1 PISO TECHO'!G$14="VET",'1 PISO TECHO'!G$14="VESQ",),1,0))))*'1 PISO TECHO'!G$22</f>
        <v>0</v>
      </c>
      <c r="AU16" s="845">
        <f>IF('1 PISO TECHO'!H$20&lt;250.1,IF('1 PISO TECHO'!H$21&gt;56,IF('1 PISO TECHO'!H$21&lt;70.1,IF(OR('1 PISO TECHO'!H$14="V",'1 PISO TECHO'!H$14="VT",'1 PISO TECHO'!H$14="VTT",'1 PISO TECHO'!H$14="VSB",'1 PISO TECHO'!H$14="VE",'1 PISO TECHO'!H$14="VET",'1 PISO TECHO'!H$14="VESQ",),1,0))))*'1 PISO TECHO'!H$22</f>
        <v>0</v>
      </c>
      <c r="AV16" s="845">
        <f>IF('1 PISO TECHO'!I$20&lt;250.1,IF('1 PISO TECHO'!I$21&gt;56,IF('1 PISO TECHO'!I$21&lt;70.1,IF(OR('1 PISO TECHO'!I$14="V",'1 PISO TECHO'!I$14="VT",'1 PISO TECHO'!I$14="VTT",'1 PISO TECHO'!I$14="VSB",'1 PISO TECHO'!I$14="VE",'1 PISO TECHO'!I$14="VET",'1 PISO TECHO'!I$14="VESQ",),1,0))))*'1 PISO TECHO'!I$22</f>
        <v>0</v>
      </c>
      <c r="AW16" s="845">
        <f>IF('1 PISO TECHO'!J$20&lt;250.1,IF('1 PISO TECHO'!J$21&gt;56,IF('1 PISO TECHO'!J$21&lt;70.1,IF(OR('1 PISO TECHO'!J$14="V",'1 PISO TECHO'!J$14="VT",'1 PISO TECHO'!J$14="VTT",'1 PISO TECHO'!J$14="VSB",'1 PISO TECHO'!J$14="VE",'1 PISO TECHO'!J$14="VET",'1 PISO TECHO'!J$14="VESQ",),1,0))))*'1 PISO TECHO'!J$22</f>
        <v>0</v>
      </c>
      <c r="AX16" s="845">
        <f>IF('1 PISO TECHO'!K$20&lt;250.1,IF('1 PISO TECHO'!K$21&gt;56,IF('1 PISO TECHO'!K$21&lt;70.1,IF(OR('1 PISO TECHO'!K$14="V",'1 PISO TECHO'!K$14="VT",'1 PISO TECHO'!K$14="VTT",'1 PISO TECHO'!K$14="VSB",'1 PISO TECHO'!K$14="VE",'1 PISO TECHO'!K$14="VET",'1 PISO TECHO'!K$14="VESQ",),1,0))))*'1 PISO TECHO'!K$22</f>
        <v>0</v>
      </c>
      <c r="AY16" s="845">
        <f>IF('1 PISO TECHO'!L$20&lt;250.1,IF('1 PISO TECHO'!L$21&gt;56,IF('1 PISO TECHO'!L$21&lt;70.1,IF(OR('1 PISO TECHO'!L$14="V",'1 PISO TECHO'!L$14="VT",'1 PISO TECHO'!L$14="VTT",'1 PISO TECHO'!L$14="VSB",'1 PISO TECHO'!L$14="VE",'1 PISO TECHO'!L$14="VET",'1 PISO TECHO'!L$14="VESQ",),1,0))))*'1 PISO TECHO'!L$22</f>
        <v>0</v>
      </c>
      <c r="AZ16" s="845">
        <f>IF('1 PISO TECHO'!M$20&lt;250.1,IF('1 PISO TECHO'!M$21&gt;56,IF('1 PISO TECHO'!M$21&lt;70.1,IF(OR('1 PISO TECHO'!M$14="V",'1 PISO TECHO'!M$14="VT",'1 PISO TECHO'!M$14="VTT",'1 PISO TECHO'!M$14="VSB",'1 PISO TECHO'!M$14="VE",'1 PISO TECHO'!M$14="VET",'1 PISO TECHO'!M$14="VESQ",),1,0))))*'1 PISO TECHO'!M$22</f>
        <v>0</v>
      </c>
      <c r="BA16" s="845">
        <f>IF('1 PISO TECHO'!N$20&lt;250.1,IF('1 PISO TECHO'!N$21&gt;56,IF('1 PISO TECHO'!N$21&lt;70.1,IF(OR('1 PISO TECHO'!N$14="V",'1 PISO TECHO'!N$14="VT",'1 PISO TECHO'!N$14="VTT",'1 PISO TECHO'!N$14="VSB",'1 PISO TECHO'!N$14="VE",'1 PISO TECHO'!N$14="VET",'1 PISO TECHO'!N$14="VESQ",),1,0))))*'1 PISO TECHO'!N$22</f>
        <v>0</v>
      </c>
      <c r="BB16" s="844">
        <f t="shared" si="2"/>
        <v>0</v>
      </c>
      <c r="BC16" s="845">
        <f>IF('1 PISO TECHO'!C$21&gt;56,IF('1 PISO TECHO'!C$21&lt;70.1,IF('1 PISO TECHO'!$B$27='1 PISO TECHO'!C$14,IF('1 PISO TECHO'!C20&gt;250,2,1))))*'1 PISO TECHO'!C$22</f>
        <v>0</v>
      </c>
      <c r="BD16" s="845">
        <f>IF('1 PISO TECHO'!D$21&gt;56,IF('1 PISO TECHO'!D$21&lt;70.1,IF('1 PISO TECHO'!$B$27='1 PISO TECHO'!D$14,IF('1 PISO TECHO'!D20&gt;250,2,1))))*'1 PISO TECHO'!D$22</f>
        <v>0</v>
      </c>
      <c r="BE16" s="845">
        <f>IF('1 PISO TECHO'!E$21&gt;56,IF('1 PISO TECHO'!E$21&lt;70.1,IF('1 PISO TECHO'!$B$27='1 PISO TECHO'!E$14,IF('1 PISO TECHO'!E20&gt;250,2,1))))*'1 PISO TECHO'!E$22</f>
        <v>0</v>
      </c>
      <c r="BF16" s="845">
        <f>IF('1 PISO TECHO'!F$21&gt;56,IF('1 PISO TECHO'!F$21&lt;70.1,IF('1 PISO TECHO'!$B$27='1 PISO TECHO'!F$14,IF('1 PISO TECHO'!F20&gt;250,2,1))))*'1 PISO TECHO'!F$22</f>
        <v>0</v>
      </c>
      <c r="BG16" s="845">
        <f>IF('1 PISO TECHO'!G$21&gt;56,IF('1 PISO TECHO'!G$21&lt;70.1,IF('1 PISO TECHO'!$B$27='1 PISO TECHO'!G$14,IF('1 PISO TECHO'!G20&gt;250,2,1))))*'1 PISO TECHO'!G$22</f>
        <v>0</v>
      </c>
      <c r="BH16" s="845">
        <f>IF('1 PISO TECHO'!H$21&gt;56,IF('1 PISO TECHO'!H$21&lt;70.1,IF('1 PISO TECHO'!$B$27='1 PISO TECHO'!H$14,IF('1 PISO TECHO'!H20&gt;250,2,1))))*'1 PISO TECHO'!H$22</f>
        <v>0</v>
      </c>
      <c r="BI16" s="845">
        <f>IF('1 PISO TECHO'!I$21&gt;56,IF('1 PISO TECHO'!I$21&lt;70.1,IF('1 PISO TECHO'!$B$27='1 PISO TECHO'!I$14,IF('1 PISO TECHO'!I20&gt;250,2,1))))*'1 PISO TECHO'!I$22</f>
        <v>0</v>
      </c>
      <c r="BJ16" s="845">
        <f>IF('1 PISO TECHO'!J$21&gt;56,IF('1 PISO TECHO'!J$21&lt;70.1,IF('1 PISO TECHO'!$B$27='1 PISO TECHO'!J$14,IF('1 PISO TECHO'!J20&gt;250,2,1))))*'1 PISO TECHO'!J$22</f>
        <v>0</v>
      </c>
      <c r="BK16" s="845">
        <f>IF('1 PISO TECHO'!K$21&gt;56,IF('1 PISO TECHO'!K$21&lt;70.1,IF('1 PISO TECHO'!$B$27='1 PISO TECHO'!K$14,IF('1 PISO TECHO'!K20&gt;250,2,1))))*'1 PISO TECHO'!K$22</f>
        <v>0</v>
      </c>
      <c r="BL16" s="845">
        <f>IF('1 PISO TECHO'!L$21&gt;56,IF('1 PISO TECHO'!L$21&lt;70.1,IF('1 PISO TECHO'!$B$27='1 PISO TECHO'!L$14,IF('1 PISO TECHO'!L20&gt;250,2,1))))*'1 PISO TECHO'!L$22</f>
        <v>0</v>
      </c>
      <c r="BM16" s="845">
        <f>IF('1 PISO TECHO'!M$21&gt;56,IF('1 PISO TECHO'!M$21&lt;70.1,IF('1 PISO TECHO'!$B$27='1 PISO TECHO'!M$14,IF('1 PISO TECHO'!M20&gt;250,2,1))))*'1 PISO TECHO'!M$22</f>
        <v>0</v>
      </c>
      <c r="BN16" s="845">
        <f>IF('1 PISO TECHO'!N$21&gt;56,IF('1 PISO TECHO'!N$21&lt;70.1,IF('1 PISO TECHO'!$B$27='1 PISO TECHO'!N$14,IF('1 PISO TECHO'!N20&gt;250,2,1))))*'1 PISO TECHO'!N$22</f>
        <v>0</v>
      </c>
      <c r="BO16" s="844">
        <f t="shared" si="3"/>
        <v>0</v>
      </c>
      <c r="BP16" s="845">
        <f>IF('1 PISO TECHO'!C$21&gt;56,IF('1 PISO TECHO'!C$21&lt;70.1,IF('1 PISO TECHO'!$B$28='1 PISO TECHO'!C$14,IF('1 PISO TECHO'!C20&gt;250,2,1))))*'1 PISO TECHO'!C$22</f>
        <v>0</v>
      </c>
      <c r="BQ16" s="845">
        <f>IF('1 PISO TECHO'!D$21&gt;56,IF('1 PISO TECHO'!D$21&lt;70.1,IF('1 PISO TECHO'!$B$28='1 PISO TECHO'!D$14,IF('1 PISO TECHO'!D20&gt;250,2,1))))*'1 PISO TECHO'!D$22</f>
        <v>0</v>
      </c>
      <c r="BR16" s="845">
        <f>IF('1 PISO TECHO'!E$21&gt;56,IF('1 PISO TECHO'!E$21&lt;70.1,IF('1 PISO TECHO'!$B$28='1 PISO TECHO'!E$14,IF('1 PISO TECHO'!E20&gt;250,2,1))))*'1 PISO TECHO'!E$22</f>
        <v>0</v>
      </c>
      <c r="BS16" s="845">
        <f>IF('1 PISO TECHO'!F$21&gt;56,IF('1 PISO TECHO'!F$21&lt;70.1,IF('1 PISO TECHO'!$B$28='1 PISO TECHO'!F$14,IF('1 PISO TECHO'!F20&gt;250,2,1))))*'1 PISO TECHO'!F$22</f>
        <v>0</v>
      </c>
      <c r="BT16" s="845">
        <f>IF('1 PISO TECHO'!G$21&gt;56,IF('1 PISO TECHO'!G$21&lt;70.1,IF('1 PISO TECHO'!$B$28='1 PISO TECHO'!G$14,IF('1 PISO TECHO'!G20&gt;250,2,1))))*'1 PISO TECHO'!G$22</f>
        <v>0</v>
      </c>
      <c r="BU16" s="845">
        <f>IF('1 PISO TECHO'!H$21&gt;56,IF('1 PISO TECHO'!H$21&lt;70.1,IF('1 PISO TECHO'!$B$28='1 PISO TECHO'!H$14,IF('1 PISO TECHO'!H20&gt;250,2,1))))*'1 PISO TECHO'!H$22</f>
        <v>0</v>
      </c>
      <c r="BV16" s="845">
        <f>IF('1 PISO TECHO'!I$21&gt;56,IF('1 PISO TECHO'!I$21&lt;70.1,IF('1 PISO TECHO'!$B$28='1 PISO TECHO'!I$14,IF('1 PISO TECHO'!I20&gt;250,2,1))))*'1 PISO TECHO'!I$22</f>
        <v>0</v>
      </c>
      <c r="BW16" s="845">
        <f>IF('1 PISO TECHO'!J$21&gt;56,IF('1 PISO TECHO'!J$21&lt;70.1,IF('1 PISO TECHO'!$B$28='1 PISO TECHO'!J$14,IF('1 PISO TECHO'!J20&gt;250,2,1))))*'1 PISO TECHO'!J$22</f>
        <v>0</v>
      </c>
      <c r="BX16" s="845">
        <f>IF('1 PISO TECHO'!K$21&gt;56,IF('1 PISO TECHO'!K$21&lt;70.1,IF('1 PISO TECHO'!$B$28='1 PISO TECHO'!K$14,IF('1 PISO TECHO'!K20&gt;250,2,1))))*'1 PISO TECHO'!K$22</f>
        <v>0</v>
      </c>
      <c r="BY16" s="845">
        <f>IF('1 PISO TECHO'!L$21&gt;56,IF('1 PISO TECHO'!L$21&lt;70.1,IF('1 PISO TECHO'!$B$28='1 PISO TECHO'!L$14,IF('1 PISO TECHO'!L20&gt;250,2,1))))*'1 PISO TECHO'!L$22</f>
        <v>0</v>
      </c>
      <c r="BZ16" s="845">
        <f>IF('1 PISO TECHO'!M$21&gt;56,IF('1 PISO TECHO'!M$21&lt;70.1,IF('1 PISO TECHO'!$B$28='1 PISO TECHO'!M$14,IF('1 PISO TECHO'!M20&gt;250,2,1))))*'1 PISO TECHO'!M$22</f>
        <v>0</v>
      </c>
      <c r="CA16" s="845">
        <f>IF('1 PISO TECHO'!N$21&gt;56,IF('1 PISO TECHO'!N$21&lt;70.1,IF('1 PISO TECHO'!$B$28='1 PISO TECHO'!N$14,IF('1 PISO TECHO'!N20&gt;250,2,1))))*'1 PISO TECHO'!N$22</f>
        <v>0</v>
      </c>
      <c r="CB16" s="844">
        <f t="shared" si="4"/>
        <v>0</v>
      </c>
      <c r="CC16" s="845">
        <f>IF('1 PISO TECHO'!C$21&gt;56,IF('1 PISO TECHO'!C$21&lt;70.1,IF('1 PISO TECHO'!$B$29='1 PISO TECHO'!C$14,IF('1 PISO TECHO'!O20&gt;250,2,1))))*'1 PISO TECHO'!C$22</f>
        <v>0</v>
      </c>
      <c r="CD16" s="845">
        <f>IF('1 PISO TECHO'!D$21&gt;56,IF('1 PISO TECHO'!D$21&lt;70.1,IF('1 PISO TECHO'!$B$29='1 PISO TECHO'!D$14,IF('1 PISO TECHO'!P20&gt;250,2,1))))*'1 PISO TECHO'!D$22</f>
        <v>0</v>
      </c>
      <c r="CE16" s="845">
        <f>IF('1 PISO TECHO'!E$21&gt;56,IF('1 PISO TECHO'!E$21&lt;70.1,IF('1 PISO TECHO'!$B$29='1 PISO TECHO'!E$14,IF('1 PISO TECHO'!Q20&gt;250,2,1))))*'1 PISO TECHO'!E$22</f>
        <v>0</v>
      </c>
      <c r="CF16" s="845">
        <f>IF('1 PISO TECHO'!F$21&gt;56,IF('1 PISO TECHO'!F$21&lt;70.1,IF('1 PISO TECHO'!$B$29='1 PISO TECHO'!F$14,IF('1 PISO TECHO'!R20&gt;250,2,1))))*'1 PISO TECHO'!F$22</f>
        <v>0</v>
      </c>
      <c r="CG16" s="845">
        <f>IF('1 PISO TECHO'!G$21&gt;56,IF('1 PISO TECHO'!G$21&lt;70.1,IF('1 PISO TECHO'!$B$29='1 PISO TECHO'!G$14,IF('1 PISO TECHO'!S20&gt;250,2,1))))*'1 PISO TECHO'!G$22</f>
        <v>0</v>
      </c>
      <c r="CH16" s="845">
        <f>IF('1 PISO TECHO'!H$21&gt;56,IF('1 PISO TECHO'!H$21&lt;70.1,IF('1 PISO TECHO'!$B$29='1 PISO TECHO'!H$14,IF('1 PISO TECHO'!T20&gt;250,2,1))))*'1 PISO TECHO'!H$22</f>
        <v>0</v>
      </c>
      <c r="CI16" s="845">
        <f>IF('1 PISO TECHO'!I$21&gt;56,IF('1 PISO TECHO'!I$21&lt;70.1,IF('1 PISO TECHO'!$B$29='1 PISO TECHO'!I$14,IF('1 PISO TECHO'!U20&gt;250,2,1))))*'1 PISO TECHO'!I$22</f>
        <v>0</v>
      </c>
      <c r="CJ16" s="845">
        <f>IF('1 PISO TECHO'!J$21&gt;56,IF('1 PISO TECHO'!J$21&lt;70.1,IF('1 PISO TECHO'!$B$29='1 PISO TECHO'!J$14,IF('1 PISO TECHO'!V20&gt;250,2,1))))*'1 PISO TECHO'!J$22</f>
        <v>0</v>
      </c>
      <c r="CK16" s="845">
        <f>IF('1 PISO TECHO'!K$21&gt;56,IF('1 PISO TECHO'!K$21&lt;70.1,IF('1 PISO TECHO'!$B$29='1 PISO TECHO'!K$14,IF('1 PISO TECHO'!W20&gt;250,2,1))))*'1 PISO TECHO'!K$22</f>
        <v>0</v>
      </c>
      <c r="CL16" s="845">
        <f>IF('1 PISO TECHO'!L$21&gt;56,IF('1 PISO TECHO'!L$21&lt;70.1,IF('1 PISO TECHO'!$B$29='1 PISO TECHO'!L$14,IF('1 PISO TECHO'!X20&gt;250,2,1))))*'1 PISO TECHO'!L$22</f>
        <v>0</v>
      </c>
      <c r="CM16" s="845">
        <f>IF('1 PISO TECHO'!M$21&gt;56,IF('1 PISO TECHO'!M$21&lt;70.1,IF('1 PISO TECHO'!$B$29='1 PISO TECHO'!M$14,IF('1 PISO TECHO'!Y20&gt;250,2,1))))*'1 PISO TECHO'!M$22</f>
        <v>0</v>
      </c>
      <c r="CN16" s="845">
        <f>IF('1 PISO TECHO'!N$21&gt;56,IF('1 PISO TECHO'!N$21&lt;70.1,IF('1 PISO TECHO'!$B$29='1 PISO TECHO'!N$14,IF('1 PISO TECHO'!Z20&gt;250,2,1))))*'1 PISO TECHO'!N$22</f>
        <v>0</v>
      </c>
      <c r="CO16" s="844">
        <f t="shared" si="5"/>
        <v>0</v>
      </c>
      <c r="CP16" s="845">
        <f>IF('1 PISO TECHO'!C$21&gt;56,IF('1 PISO TECHO'!C$21&lt;70.1,IF('1 PISO TECHO'!$B$30='1 PISO TECHO'!C$14,IF('1 PISO TECHO'!AM20&gt;250,2,1))))*'1 PISO TECHO'!C$22</f>
        <v>0</v>
      </c>
      <c r="CQ16" s="845">
        <f>IF('1 PISO TECHO'!D$21&gt;56,IF('1 PISO TECHO'!D$21&lt;70.1,IF('1 PISO TECHO'!$B$30='1 PISO TECHO'!D$14,IF('1 PISO TECHO'!AN20&gt;250,2,1))))*'1 PISO TECHO'!D$22</f>
        <v>0</v>
      </c>
      <c r="CR16" s="845">
        <f>IF('1 PISO TECHO'!E$21&gt;56,IF('1 PISO TECHO'!E$21&lt;70.1,IF('1 PISO TECHO'!$B$30='1 PISO TECHO'!E$14,IF('1 PISO TECHO'!AO20&gt;250,2,1))))*'1 PISO TECHO'!E$22</f>
        <v>0</v>
      </c>
      <c r="CS16" s="845">
        <f>IF('1 PISO TECHO'!F$21&gt;56,IF('1 PISO TECHO'!F$21&lt;70.1,IF('1 PISO TECHO'!$B$30='1 PISO TECHO'!F$14,IF('1 PISO TECHO'!AP20&gt;250,2,1))))*'1 PISO TECHO'!F$22</f>
        <v>0</v>
      </c>
      <c r="CT16" s="845">
        <f>IF('1 PISO TECHO'!G$21&gt;56,IF('1 PISO TECHO'!G$21&lt;70.1,IF('1 PISO TECHO'!$B$30='1 PISO TECHO'!G$14,IF('1 PISO TECHO'!AQ20&gt;250,2,1))))*'1 PISO TECHO'!G$22</f>
        <v>0</v>
      </c>
      <c r="CU16" s="845">
        <f>IF('1 PISO TECHO'!H$21&gt;56,IF('1 PISO TECHO'!H$21&lt;70.1,IF('1 PISO TECHO'!$B$30='1 PISO TECHO'!H$14,IF('1 PISO TECHO'!AR20&gt;250,2,1))))*'1 PISO TECHO'!H$22</f>
        <v>0</v>
      </c>
      <c r="CV16" s="845">
        <f>IF('1 PISO TECHO'!I$21&gt;56,IF('1 PISO TECHO'!I$21&lt;70.1,IF('1 PISO TECHO'!$B$30='1 PISO TECHO'!I$14,IF('1 PISO TECHO'!AS20&gt;250,2,1))))*'1 PISO TECHO'!I$22</f>
        <v>0</v>
      </c>
      <c r="CW16" s="845">
        <f>IF('1 PISO TECHO'!J$21&gt;56,IF('1 PISO TECHO'!J$21&lt;70.1,IF('1 PISO TECHO'!$B$30='1 PISO TECHO'!J$14,IF('1 PISO TECHO'!AT20&gt;250,2,1))))*'1 PISO TECHO'!J$22</f>
        <v>0</v>
      </c>
      <c r="CX16" s="845">
        <f>IF('1 PISO TECHO'!K$21&gt;56,IF('1 PISO TECHO'!K$21&lt;70.1,IF('1 PISO TECHO'!$B$30='1 PISO TECHO'!K$14,IF('1 PISO TECHO'!AU20&gt;250,2,1))))*'1 PISO TECHO'!K$22</f>
        <v>0</v>
      </c>
      <c r="CY16" s="845">
        <f>IF('1 PISO TECHO'!L$21&gt;56,IF('1 PISO TECHO'!L$21&lt;70.1,IF('1 PISO TECHO'!$B$30='1 PISO TECHO'!L$14,IF('1 PISO TECHO'!AV20&gt;250,2,1))))*'1 PISO TECHO'!L$22</f>
        <v>0</v>
      </c>
      <c r="CZ16" s="845">
        <f>IF('1 PISO TECHO'!M$21&gt;56,IF('1 PISO TECHO'!M$21&lt;70.1,IF('1 PISO TECHO'!$B$30='1 PISO TECHO'!M$14,IF('1 PISO TECHO'!AW20&gt;250,2,1))))*'1 PISO TECHO'!M$22</f>
        <v>0</v>
      </c>
      <c r="DA16" s="845">
        <f>IF('1 PISO TECHO'!N$21&gt;56,IF('1 PISO TECHO'!N$21&lt;70.1,IF('1 PISO TECHO'!$B$30='1 PISO TECHO'!N$14,IF('1 PISO TECHO'!AX20&gt;250,2,1))))*'1 PISO TECHO'!N$22</f>
        <v>0</v>
      </c>
      <c r="DB16" s="844">
        <f t="shared" si="6"/>
        <v>0</v>
      </c>
      <c r="DD16" s="845"/>
      <c r="DF16" s="845"/>
      <c r="DH16" s="845"/>
      <c r="DI16" s="845"/>
      <c r="DJ16" s="845"/>
      <c r="DK16" s="855"/>
    </row>
    <row r="17" spans="1:115" x14ac:dyDescent="0.35">
      <c r="B17" s="777">
        <f>+'2 M-A +'!B38</f>
        <v>0</v>
      </c>
      <c r="C17" s="777" t="s">
        <v>373</v>
      </c>
      <c r="F17" s="22" t="s">
        <v>1081</v>
      </c>
      <c r="I17" s="701">
        <f>IF('1 PISO TECHO'!C$16&gt;0,IF('1 PISO TECHO'!C$16='1 PISO TECHO'!$B$34,IF('1 PISO TECHO'!C$21=30,1,0)))*'1 PISO TECHO'!C$22</f>
        <v>0</v>
      </c>
      <c r="J17" s="701">
        <f>IF('1 PISO TECHO'!D$16&gt;0,IF('1 PISO TECHO'!D$16='1 PISO TECHO'!$B$34,IF('1 PISO TECHO'!D$21=30,1,0)))*'1 PISO TECHO'!D$22</f>
        <v>0</v>
      </c>
      <c r="K17" s="701">
        <f>IF('1 PISO TECHO'!E$16&gt;0,IF('1 PISO TECHO'!E$16='1 PISO TECHO'!$B$34,IF('1 PISO TECHO'!E$21=30,1,0)))*'1 PISO TECHO'!E$22</f>
        <v>0</v>
      </c>
      <c r="L17" s="701">
        <f>IF('1 PISO TECHO'!F$16&gt;0,IF('1 PISO TECHO'!F$16='1 PISO TECHO'!$B$34,IF('1 PISO TECHO'!F$21=30,1,0)))*'1 PISO TECHO'!F$22</f>
        <v>0</v>
      </c>
      <c r="M17" s="701">
        <f>IF('1 PISO TECHO'!G$16&gt;0,IF('1 PISO TECHO'!G$16='1 PISO TECHO'!$B$34,IF('1 PISO TECHO'!G$21=30,1,0)))*'1 PISO TECHO'!G$22</f>
        <v>0</v>
      </c>
      <c r="N17" s="701">
        <f>IF('1 PISO TECHO'!H$16&gt;0,IF('1 PISO TECHO'!H$16='1 PISO TECHO'!$B$34,IF('1 PISO TECHO'!H$21=30,1,0)))*'1 PISO TECHO'!H$22</f>
        <v>0</v>
      </c>
      <c r="O17" s="701">
        <f>IF('1 PISO TECHO'!I$16&gt;0,IF('1 PISO TECHO'!I$16='1 PISO TECHO'!$B$34,IF('1 PISO TECHO'!I$21=30,1,0)))*'1 PISO TECHO'!I$22</f>
        <v>0</v>
      </c>
      <c r="P17" s="701">
        <f>IF('1 PISO TECHO'!J$16&gt;0,IF('1 PISO TECHO'!J$16='1 PISO TECHO'!$B$34,IF('1 PISO TECHO'!J$21=30,1,0)))*'1 PISO TECHO'!J$22</f>
        <v>0</v>
      </c>
      <c r="Q17" s="701">
        <f>IF('1 PISO TECHO'!K$16&gt;0,IF('1 PISO TECHO'!K$16='1 PISO TECHO'!$B$34,IF('1 PISO TECHO'!K$21=30,1,0)))*'1 PISO TECHO'!K$22</f>
        <v>0</v>
      </c>
      <c r="R17" s="701">
        <f>IF('1 PISO TECHO'!L$16&gt;0,IF('1 PISO TECHO'!L$16='1 PISO TECHO'!$B$34,IF('1 PISO TECHO'!L$21=30,1,0)))*'1 PISO TECHO'!L$22</f>
        <v>0</v>
      </c>
      <c r="S17" s="701">
        <f>IF('1 PISO TECHO'!M$16&gt;0,IF('1 PISO TECHO'!M$16='1 PISO TECHO'!$B$34,IF('1 PISO TECHO'!M$21=30,1,0)))*'1 PISO TECHO'!M$22</f>
        <v>0</v>
      </c>
      <c r="T17" s="701">
        <f>IF('1 PISO TECHO'!N$16&gt;0,IF('1 PISO TECHO'!N$16='1 PISO TECHO'!$B$34,IF('1 PISO TECHO'!N$21=30,1,0)))*'1 PISO TECHO'!N$22</f>
        <v>0</v>
      </c>
      <c r="U17" s="706">
        <f t="shared" si="7"/>
        <v>0</v>
      </c>
      <c r="V17" s="701">
        <f>IF('1 PISO TECHO'!C$14='1 PISO TECHO'!$B$34,IF('1 PISO TECHO'!C$21=30,1,0))*'1 PISO TECHO'!C$22</f>
        <v>0</v>
      </c>
      <c r="W17" s="701">
        <f>IF('1 PISO TECHO'!D$14='1 PISO TECHO'!$B$34,IF('1 PISO TECHO'!D$21=30,1,0))*'1 PISO TECHO'!D$22</f>
        <v>0</v>
      </c>
      <c r="X17" s="701">
        <f>IF('1 PISO TECHO'!E$14='1 PISO TECHO'!$B$34,IF('1 PISO TECHO'!E$21=30,1,0))*'1 PISO TECHO'!E$22</f>
        <v>0</v>
      </c>
      <c r="Y17" s="701">
        <f>IF('1 PISO TECHO'!F$14='1 PISO TECHO'!$B$34,IF('1 PISO TECHO'!F$21=30,1,0))*'1 PISO TECHO'!F$22</f>
        <v>0</v>
      </c>
      <c r="Z17" s="701">
        <f>IF('1 PISO TECHO'!G$14='1 PISO TECHO'!$B$34,IF('1 PISO TECHO'!G$21=30,1,0))*'1 PISO TECHO'!G$22</f>
        <v>0</v>
      </c>
      <c r="AA17" s="701">
        <f>IF('1 PISO TECHO'!H$14='1 PISO TECHO'!$B$34,IF('1 PISO TECHO'!H$21=30,1,0))*'1 PISO TECHO'!H$22</f>
        <v>0</v>
      </c>
      <c r="AB17" s="701">
        <f>IF('1 PISO TECHO'!I$14='1 PISO TECHO'!$B$34,IF('1 PISO TECHO'!I$21=30,1,0))*'1 PISO TECHO'!I$22</f>
        <v>0</v>
      </c>
      <c r="AC17" s="701">
        <f>IF('1 PISO TECHO'!J$14='1 PISO TECHO'!$B$34,IF('1 PISO TECHO'!J$21=30,1,0))*'1 PISO TECHO'!J$22</f>
        <v>0</v>
      </c>
      <c r="AD17" s="701">
        <f>IF('1 PISO TECHO'!K$14='1 PISO TECHO'!$B$34,IF('1 PISO TECHO'!K$21=30,1,0))*'1 PISO TECHO'!K$22</f>
        <v>0</v>
      </c>
      <c r="AE17" s="701">
        <f>IF('1 PISO TECHO'!L$14='1 PISO TECHO'!$B$34,IF('1 PISO TECHO'!L$21=30,1,0))*'1 PISO TECHO'!L$22</f>
        <v>0</v>
      </c>
      <c r="AF17" s="701">
        <f>IF('1 PISO TECHO'!M$14='1 PISO TECHO'!$B$34,IF('1 PISO TECHO'!M$21=30,1,0))*'1 PISO TECHO'!M$22</f>
        <v>0</v>
      </c>
      <c r="AG17" s="701">
        <f>IF('1 PISO TECHO'!N$14='1 PISO TECHO'!$B$34,IF('1 PISO TECHO'!N$21=30,1,0))*'1 PISO TECHO'!N$22</f>
        <v>0</v>
      </c>
      <c r="AH17" s="701">
        <f t="shared" si="8"/>
        <v>0</v>
      </c>
      <c r="AI17" s="855"/>
      <c r="AJ17" s="855"/>
      <c r="AK17" s="855"/>
      <c r="AL17" s="855"/>
      <c r="AM17" s="855"/>
      <c r="AN17" s="855"/>
      <c r="AO17" s="855"/>
      <c r="AP17" s="845">
        <f>IF('1 PISO TECHO'!C$20&lt;250.1,IF('1 PISO TECHO'!C$21&gt;70,IF('1 PISO TECHO'!C$21&lt;84.1,IF(OR('1 PISO TECHO'!C$14="V",'1 PISO TECHO'!C$14="VT",'1 PISO TECHO'!C$14="VTT",'1 PISO TECHO'!C$14="VSB",'1 PISO TECHO'!C$14="VE",'1 PISO TECHO'!C$14="VET",'1 PISO TECHO'!C$14="VESQ",),1,0))))*'1 PISO TECHO'!C$22</f>
        <v>0</v>
      </c>
      <c r="AQ17" s="845">
        <f>IF('1 PISO TECHO'!D$20&lt;250.1,IF('1 PISO TECHO'!D$21&gt;70,IF('1 PISO TECHO'!D$21&lt;84.1,IF(OR('1 PISO TECHO'!D$14="V",'1 PISO TECHO'!D$14="VT",'1 PISO TECHO'!D$14="VTT",'1 PISO TECHO'!D$14="VSB",'1 PISO TECHO'!D$14="VE",'1 PISO TECHO'!D$14="VET",'1 PISO TECHO'!D$14="VESQ",),1,0))))*'1 PISO TECHO'!D$22</f>
        <v>0</v>
      </c>
      <c r="AR17" s="845">
        <f>IF('1 PISO TECHO'!E$20&lt;250.1,IF('1 PISO TECHO'!E$21&gt;70,IF('1 PISO TECHO'!E$21&lt;84.1,IF(OR('1 PISO TECHO'!E$14="V",'1 PISO TECHO'!E$14="VT",'1 PISO TECHO'!E$14="VTT",'1 PISO TECHO'!E$14="VSB",'1 PISO TECHO'!E$14="VE",'1 PISO TECHO'!E$14="VET",'1 PISO TECHO'!E$14="VESQ",),1,0))))*'1 PISO TECHO'!E$22</f>
        <v>0</v>
      </c>
      <c r="AS17" s="845">
        <f>IF('1 PISO TECHO'!F$20&lt;250.1,IF('1 PISO TECHO'!F$21&gt;70,IF('1 PISO TECHO'!F$21&lt;84.1,IF(OR('1 PISO TECHO'!F$14="V",'1 PISO TECHO'!F$14="VT",'1 PISO TECHO'!F$14="VTT",'1 PISO TECHO'!F$14="VSB",'1 PISO TECHO'!F$14="VE",'1 PISO TECHO'!F$14="VET",'1 PISO TECHO'!F$14="VESQ",),1,0))))*'1 PISO TECHO'!F$22</f>
        <v>0</v>
      </c>
      <c r="AT17" s="845">
        <f>IF('1 PISO TECHO'!G$20&lt;250.1,IF('1 PISO TECHO'!G$21&gt;70,IF('1 PISO TECHO'!G$21&lt;84.1,IF(OR('1 PISO TECHO'!G$14="V",'1 PISO TECHO'!G$14="VT",'1 PISO TECHO'!G$14="VTT",'1 PISO TECHO'!G$14="VSB",'1 PISO TECHO'!G$14="VE",'1 PISO TECHO'!G$14="VET",'1 PISO TECHO'!G$14="VESQ",),1,0))))*'1 PISO TECHO'!G$22</f>
        <v>0</v>
      </c>
      <c r="AU17" s="845">
        <f>IF('1 PISO TECHO'!H$20&lt;250.1,IF('1 PISO TECHO'!H$21&gt;70,IF('1 PISO TECHO'!H$21&lt;84.1,IF(OR('1 PISO TECHO'!H$14="V",'1 PISO TECHO'!H$14="VT",'1 PISO TECHO'!H$14="VTT",'1 PISO TECHO'!H$14="VSB",'1 PISO TECHO'!H$14="VE",'1 PISO TECHO'!H$14="VET",'1 PISO TECHO'!H$14="VESQ",),1,0))))*'1 PISO TECHO'!H$22</f>
        <v>0</v>
      </c>
      <c r="AV17" s="845">
        <f>IF('1 PISO TECHO'!I$20&lt;250.1,IF('1 PISO TECHO'!I$21&gt;70,IF('1 PISO TECHO'!I$21&lt;84.1,IF(OR('1 PISO TECHO'!I$14="V",'1 PISO TECHO'!I$14="VT",'1 PISO TECHO'!I$14="VTT",'1 PISO TECHO'!I$14="VSB",'1 PISO TECHO'!I$14="VE",'1 PISO TECHO'!I$14="VET",'1 PISO TECHO'!I$14="VESQ",),1,0))))*'1 PISO TECHO'!I$22</f>
        <v>0</v>
      </c>
      <c r="AW17" s="845">
        <f>IF('1 PISO TECHO'!J$20&lt;250.1,IF('1 PISO TECHO'!J$21&gt;70,IF('1 PISO TECHO'!J$21&lt;84.1,IF(OR('1 PISO TECHO'!J$14="V",'1 PISO TECHO'!J$14="VT",'1 PISO TECHO'!J$14="VTT",'1 PISO TECHO'!J$14="VSB",'1 PISO TECHO'!J$14="VE",'1 PISO TECHO'!J$14="VET",'1 PISO TECHO'!J$14="VESQ",),1,0))))*'1 PISO TECHO'!J$22</f>
        <v>0</v>
      </c>
      <c r="AX17" s="845">
        <f>IF('1 PISO TECHO'!K$20&lt;250.1,IF('1 PISO TECHO'!K$21&gt;70,IF('1 PISO TECHO'!K$21&lt;84.1,IF(OR('1 PISO TECHO'!K$14="V",'1 PISO TECHO'!K$14="VT",'1 PISO TECHO'!K$14="VTT",'1 PISO TECHO'!K$14="VSB",'1 PISO TECHO'!K$14="VE",'1 PISO TECHO'!K$14="VET",'1 PISO TECHO'!K$14="VESQ",),1,0))))*'1 PISO TECHO'!K$22</f>
        <v>0</v>
      </c>
      <c r="AY17" s="845">
        <f>IF('1 PISO TECHO'!L$20&lt;250.1,IF('1 PISO TECHO'!L$21&gt;70,IF('1 PISO TECHO'!L$21&lt;84.1,IF(OR('1 PISO TECHO'!L$14="V",'1 PISO TECHO'!L$14="VT",'1 PISO TECHO'!L$14="VTT",'1 PISO TECHO'!L$14="VSB",'1 PISO TECHO'!L$14="VE",'1 PISO TECHO'!L$14="VET",'1 PISO TECHO'!L$14="VESQ",),1,0))))*'1 PISO TECHO'!L$22</f>
        <v>0</v>
      </c>
      <c r="AZ17" s="845">
        <f>IF('1 PISO TECHO'!M$20&lt;250.1,IF('1 PISO TECHO'!M$21&gt;70,IF('1 PISO TECHO'!M$21&lt;84.1,IF(OR('1 PISO TECHO'!M$14="V",'1 PISO TECHO'!M$14="VT",'1 PISO TECHO'!M$14="VTT",'1 PISO TECHO'!M$14="VSB",'1 PISO TECHO'!M$14="VE",'1 PISO TECHO'!M$14="VET",'1 PISO TECHO'!M$14="VESQ",),1,0))))*'1 PISO TECHO'!M$22</f>
        <v>0</v>
      </c>
      <c r="BA17" s="845">
        <f>IF('1 PISO TECHO'!N$20&lt;250.1,IF('1 PISO TECHO'!N$21&gt;70,IF('1 PISO TECHO'!N$21&lt;84.1,IF(OR('1 PISO TECHO'!N$14="V",'1 PISO TECHO'!N$14="VT",'1 PISO TECHO'!N$14="VTT",'1 PISO TECHO'!N$14="VSB",'1 PISO TECHO'!N$14="VE",'1 PISO TECHO'!N$14="VET",'1 PISO TECHO'!N$14="VESQ",),1,0))))*'1 PISO TECHO'!N$22</f>
        <v>0</v>
      </c>
      <c r="BB17" s="844">
        <f t="shared" si="2"/>
        <v>0</v>
      </c>
      <c r="BC17" s="845" t="b">
        <f>IF('1 PISO TECHO'!C$21&gt;70,IF('1 PISO TECHO'!C$21&lt;84.1,IF('1 PISO TECHO'!$B$27='1 PISO TECHO'!C$14,((('1 PISO TECHO'!C$20-200)*4)/160)*'1 PISO TECHO'!C$22,0)))</f>
        <v>0</v>
      </c>
      <c r="BD17" s="845" t="b">
        <f>IF('1 PISO TECHO'!D$21&gt;70,IF('1 PISO TECHO'!D$21&lt;84.1,IF('1 PISO TECHO'!$B$27='1 PISO TECHO'!D$14,((('1 PISO TECHO'!D$20-200)*4)/160)*'1 PISO TECHO'!D$22,0)))</f>
        <v>0</v>
      </c>
      <c r="BE17" s="845" t="b">
        <f>IF('1 PISO TECHO'!E$21&gt;70,IF('1 PISO TECHO'!E$21&lt;84.1,IF('1 PISO TECHO'!$B$27='1 PISO TECHO'!E$14,((('1 PISO TECHO'!E$20-200)*4)/160)*'1 PISO TECHO'!E$22,0)))</f>
        <v>0</v>
      </c>
      <c r="BF17" s="845" t="b">
        <f>IF('1 PISO TECHO'!F$21&gt;70,IF('1 PISO TECHO'!F$21&lt;84.1,IF('1 PISO TECHO'!$B$27='1 PISO TECHO'!F$14,((('1 PISO TECHO'!F$20-200)*4)/160)*'1 PISO TECHO'!F$22,0)))</f>
        <v>0</v>
      </c>
      <c r="BG17" s="845" t="b">
        <f>IF('1 PISO TECHO'!G$21&gt;70,IF('1 PISO TECHO'!G$21&lt;84.1,IF('1 PISO TECHO'!$B$27='1 PISO TECHO'!G$14,((('1 PISO TECHO'!G$20-200)*4)/160)*'1 PISO TECHO'!G$22,0)))</f>
        <v>0</v>
      </c>
      <c r="BH17" s="845" t="b">
        <f>IF('1 PISO TECHO'!H$21&gt;70,IF('1 PISO TECHO'!H$21&lt;84.1,IF('1 PISO TECHO'!$B$27='1 PISO TECHO'!H$14,((('1 PISO TECHO'!H$20-200)*4)/160)*'1 PISO TECHO'!H$22,0)))</f>
        <v>0</v>
      </c>
      <c r="BI17" s="845" t="b">
        <f>IF('1 PISO TECHO'!I$21&gt;70,IF('1 PISO TECHO'!I$21&lt;84.1,IF('1 PISO TECHO'!$B$27='1 PISO TECHO'!I$14,((('1 PISO TECHO'!I$20-200)*4)/160)*'1 PISO TECHO'!I$22,0)))</f>
        <v>0</v>
      </c>
      <c r="BJ17" s="845" t="b">
        <f>IF('1 PISO TECHO'!J$21&gt;70,IF('1 PISO TECHO'!J$21&lt;84.1,IF('1 PISO TECHO'!$B$27='1 PISO TECHO'!J$14,((('1 PISO TECHO'!J$20-200)*4)/160)*'1 PISO TECHO'!J$22,0)))</f>
        <v>0</v>
      </c>
      <c r="BK17" s="845" t="b">
        <f>IF('1 PISO TECHO'!K$21&gt;70,IF('1 PISO TECHO'!K$21&lt;84.1,IF('1 PISO TECHO'!$B$27='1 PISO TECHO'!K$14,((('1 PISO TECHO'!K$20-200)*4)/160)*'1 PISO TECHO'!K$22,0)))</f>
        <v>0</v>
      </c>
      <c r="BL17" s="845" t="b">
        <f>IF('1 PISO TECHO'!L$21&gt;70,IF('1 PISO TECHO'!L$21&lt;84.1,IF('1 PISO TECHO'!$B$27='1 PISO TECHO'!L$14,((('1 PISO TECHO'!L$20-200)*4)/160)*'1 PISO TECHO'!L$22,0)))</f>
        <v>0</v>
      </c>
      <c r="BM17" s="845" t="b">
        <f>IF('1 PISO TECHO'!M$21&gt;70,IF('1 PISO TECHO'!M$21&lt;84.1,IF('1 PISO TECHO'!$B$27='1 PISO TECHO'!M$14,((('1 PISO TECHO'!M$20-200)*4)/160)*'1 PISO TECHO'!M$22,0)))</f>
        <v>0</v>
      </c>
      <c r="BN17" s="845" t="b">
        <f>IF('1 PISO TECHO'!N$21&gt;70,IF('1 PISO TECHO'!N$21&lt;84.1,IF('1 PISO TECHO'!$B$27='1 PISO TECHO'!N$14,((('1 PISO TECHO'!N$20-200)*4)/160)*'1 PISO TECHO'!N$22,0)))</f>
        <v>0</v>
      </c>
      <c r="BO17" s="844">
        <f t="shared" si="3"/>
        <v>0</v>
      </c>
      <c r="BP17" s="845" t="b">
        <f>IF('1 PISO TECHO'!C$21&gt;70,IF('1 PISO TECHO'!C$21&lt;84.1,IF('1 PISO TECHO'!$B$28='1 PISO TECHO'!C$14,((('1 PISO TECHO'!C$20-200)*4)/160)*'1 PISO TECHO'!C$22,0)))</f>
        <v>0</v>
      </c>
      <c r="BQ17" s="845" t="b">
        <f>IF('1 PISO TECHO'!D$21&gt;70,IF('1 PISO TECHO'!D$21&lt;84.1,IF('1 PISO TECHO'!$B$28='1 PISO TECHO'!D$14,((('1 PISO TECHO'!D$20-200)*4)/160)*'1 PISO TECHO'!D$22,0)))</f>
        <v>0</v>
      </c>
      <c r="BR17" s="845" t="b">
        <f>IF('1 PISO TECHO'!E$21&gt;70,IF('1 PISO TECHO'!E$21&lt;84.1,IF('1 PISO TECHO'!$B$28='1 PISO TECHO'!E$14,((('1 PISO TECHO'!E$20-200)*4)/160)*'1 PISO TECHO'!E$22,0)))</f>
        <v>0</v>
      </c>
      <c r="BS17" s="845" t="b">
        <f>IF('1 PISO TECHO'!F$21&gt;70,IF('1 PISO TECHO'!F$21&lt;84.1,IF('1 PISO TECHO'!$B$28='1 PISO TECHO'!F$14,((('1 PISO TECHO'!F$20-200)*4)/160)*'1 PISO TECHO'!F$22,0)))</f>
        <v>0</v>
      </c>
      <c r="BT17" s="845" t="b">
        <f>IF('1 PISO TECHO'!G$21&gt;70,IF('1 PISO TECHO'!G$21&lt;84.1,IF('1 PISO TECHO'!$B$28='1 PISO TECHO'!G$14,((('1 PISO TECHO'!G$20-200)*4)/160)*'1 PISO TECHO'!G$22,0)))</f>
        <v>0</v>
      </c>
      <c r="BU17" s="845" t="b">
        <f>IF('1 PISO TECHO'!H$21&gt;70,IF('1 PISO TECHO'!H$21&lt;84.1,IF('1 PISO TECHO'!$B$28='1 PISO TECHO'!H$14,((('1 PISO TECHO'!H$20-200)*4)/160)*'1 PISO TECHO'!H$22,0)))</f>
        <v>0</v>
      </c>
      <c r="BV17" s="845" t="b">
        <f>IF('1 PISO TECHO'!I$21&gt;70,IF('1 PISO TECHO'!I$21&lt;84.1,IF('1 PISO TECHO'!$B$28='1 PISO TECHO'!I$14,((('1 PISO TECHO'!I$20-200)*4)/160)*'1 PISO TECHO'!I$22,0)))</f>
        <v>0</v>
      </c>
      <c r="BW17" s="845" t="b">
        <f>IF('1 PISO TECHO'!J$21&gt;70,IF('1 PISO TECHO'!J$21&lt;84.1,IF('1 PISO TECHO'!$B$28='1 PISO TECHO'!J$14,((('1 PISO TECHO'!J$20-200)*4)/160)*'1 PISO TECHO'!J$22,0)))</f>
        <v>0</v>
      </c>
      <c r="BX17" s="845" t="b">
        <f>IF('1 PISO TECHO'!K$21&gt;70,IF('1 PISO TECHO'!K$21&lt;84.1,IF('1 PISO TECHO'!$B$28='1 PISO TECHO'!K$14,((('1 PISO TECHO'!K$20-200)*4)/160)*'1 PISO TECHO'!K$22,0)))</f>
        <v>0</v>
      </c>
      <c r="BY17" s="845" t="b">
        <f>IF('1 PISO TECHO'!L$21&gt;70,IF('1 PISO TECHO'!L$21&lt;84.1,IF('1 PISO TECHO'!$B$28='1 PISO TECHO'!L$14,((('1 PISO TECHO'!L$20-200)*4)/160)*'1 PISO TECHO'!L$22,0)))</f>
        <v>0</v>
      </c>
      <c r="BZ17" s="845" t="b">
        <f>IF('1 PISO TECHO'!M$21&gt;70,IF('1 PISO TECHO'!M$21&lt;84.1,IF('1 PISO TECHO'!$B$28='1 PISO TECHO'!M$14,((('1 PISO TECHO'!M$20-200)*4)/160)*'1 PISO TECHO'!M$22,0)))</f>
        <v>0</v>
      </c>
      <c r="CA17" s="845" t="b">
        <f>IF('1 PISO TECHO'!N$21&gt;70,IF('1 PISO TECHO'!N$21&lt;84.1,IF('1 PISO TECHO'!$B$28='1 PISO TECHO'!N$14,((('1 PISO TECHO'!N$20-200)*4)/160)*'1 PISO TECHO'!N$22,0)))</f>
        <v>0</v>
      </c>
      <c r="CB17" s="844">
        <f t="shared" si="4"/>
        <v>0</v>
      </c>
      <c r="CC17" s="845" t="b">
        <f>IF('1 PISO TECHO'!C$21&gt;70,IF('1 PISO TECHO'!C$21&lt;84.1,IF('1 PISO TECHO'!$B$29='1 PISO TECHO'!C$14,((('1 PISO TECHO'!C$20-200)*4)/160)*'1 PISO TECHO'!C$22,0)))</f>
        <v>0</v>
      </c>
      <c r="CD17" s="845" t="b">
        <f>IF('1 PISO TECHO'!D$21&gt;70,IF('1 PISO TECHO'!D$21&lt;84.1,IF('1 PISO TECHO'!$B$29='1 PISO TECHO'!D$14,((('1 PISO TECHO'!D$20-200)*4)/160)*'1 PISO TECHO'!D$22,0)))</f>
        <v>0</v>
      </c>
      <c r="CE17" s="845" t="b">
        <f>IF('1 PISO TECHO'!E$21&gt;70,IF('1 PISO TECHO'!E$21&lt;84.1,IF('1 PISO TECHO'!$B$29='1 PISO TECHO'!E$14,((('1 PISO TECHO'!E$20-200)*4)/160)*'1 PISO TECHO'!E$22,0)))</f>
        <v>0</v>
      </c>
      <c r="CF17" s="845" t="b">
        <f>IF('1 PISO TECHO'!F$21&gt;70,IF('1 PISO TECHO'!F$21&lt;84.1,IF('1 PISO TECHO'!$B$29='1 PISO TECHO'!F$14,((('1 PISO TECHO'!F$20-200)*4)/160)*'1 PISO TECHO'!F$22,0)))</f>
        <v>0</v>
      </c>
      <c r="CG17" s="845" t="b">
        <f>IF('1 PISO TECHO'!G$21&gt;70,IF('1 PISO TECHO'!G$21&lt;84.1,IF('1 PISO TECHO'!$B$29='1 PISO TECHO'!G$14,((('1 PISO TECHO'!G$20-200)*4)/160)*'1 PISO TECHO'!G$22,0)))</f>
        <v>0</v>
      </c>
      <c r="CH17" s="845" t="b">
        <f>IF('1 PISO TECHO'!H$21&gt;70,IF('1 PISO TECHO'!H$21&lt;84.1,IF('1 PISO TECHO'!$B$29='1 PISO TECHO'!H$14,((('1 PISO TECHO'!H$20-200)*4)/160)*'1 PISO TECHO'!H$22,0)))</f>
        <v>0</v>
      </c>
      <c r="CI17" s="845" t="b">
        <f>IF('1 PISO TECHO'!I$21&gt;70,IF('1 PISO TECHO'!I$21&lt;84.1,IF('1 PISO TECHO'!$B$29='1 PISO TECHO'!I$14,((('1 PISO TECHO'!I$20-200)*4)/160)*'1 PISO TECHO'!I$22,0)))</f>
        <v>0</v>
      </c>
      <c r="CJ17" s="845" t="b">
        <f>IF('1 PISO TECHO'!J$21&gt;70,IF('1 PISO TECHO'!J$21&lt;84.1,IF('1 PISO TECHO'!$B$29='1 PISO TECHO'!J$14,((('1 PISO TECHO'!J$20-200)*4)/160)*'1 PISO TECHO'!J$22,0)))</f>
        <v>0</v>
      </c>
      <c r="CK17" s="845" t="b">
        <f>IF('1 PISO TECHO'!K$21&gt;70,IF('1 PISO TECHO'!K$21&lt;84.1,IF('1 PISO TECHO'!$B$29='1 PISO TECHO'!K$14,((('1 PISO TECHO'!K$20-200)*4)/160)*'1 PISO TECHO'!K$22,0)))</f>
        <v>0</v>
      </c>
      <c r="CL17" s="845" t="b">
        <f>IF('1 PISO TECHO'!L$21&gt;70,IF('1 PISO TECHO'!L$21&lt;84.1,IF('1 PISO TECHO'!$B$29='1 PISO TECHO'!L$14,((('1 PISO TECHO'!L$20-200)*4)/160)*'1 PISO TECHO'!L$22,0)))</f>
        <v>0</v>
      </c>
      <c r="CM17" s="845" t="b">
        <f>IF('1 PISO TECHO'!M$21&gt;70,IF('1 PISO TECHO'!M$21&lt;84.1,IF('1 PISO TECHO'!$B$29='1 PISO TECHO'!M$14,((('1 PISO TECHO'!M$20-200)*4)/160)*'1 PISO TECHO'!M$22,0)))</f>
        <v>0</v>
      </c>
      <c r="CN17" s="845" t="b">
        <f>IF('1 PISO TECHO'!N$21&gt;70,IF('1 PISO TECHO'!N$21&lt;84.1,IF('1 PISO TECHO'!$B$29='1 PISO TECHO'!N$14,((('1 PISO TECHO'!N$20-200)*4)/160)*'1 PISO TECHO'!N$22,0)))</f>
        <v>0</v>
      </c>
      <c r="CO17" s="844">
        <f t="shared" si="5"/>
        <v>0</v>
      </c>
      <c r="CP17" s="845" t="b">
        <f>IF('1 PISO TECHO'!C$21&gt;70,IF('1 PISO TECHO'!C$21&lt;84.1,IF('1 PISO TECHO'!$B$30='1 PISO TECHO'!C$14,((('1 PISO TECHO'!C$20-200)*4)/160)*'1 PISO TECHO'!C$22,0)))</f>
        <v>0</v>
      </c>
      <c r="CQ17" s="845" t="b">
        <f>IF('1 PISO TECHO'!D$21&gt;70,IF('1 PISO TECHO'!D$21&lt;84.1,IF('1 PISO TECHO'!$B$30='1 PISO TECHO'!D$14,((('1 PISO TECHO'!D$20-200)*4)/160)*'1 PISO TECHO'!D$22,0)))</f>
        <v>0</v>
      </c>
      <c r="CR17" s="845" t="b">
        <f>IF('1 PISO TECHO'!E$21&gt;70,IF('1 PISO TECHO'!E$21&lt;84.1,IF('1 PISO TECHO'!$B$30='1 PISO TECHO'!E$14,((('1 PISO TECHO'!E$20-200)*4)/160)*'1 PISO TECHO'!E$22,0)))</f>
        <v>0</v>
      </c>
      <c r="CS17" s="845" t="b">
        <f>IF('1 PISO TECHO'!F$21&gt;70,IF('1 PISO TECHO'!F$21&lt;84.1,IF('1 PISO TECHO'!$B$30='1 PISO TECHO'!F$14,((('1 PISO TECHO'!F$20-200)*4)/160)*'1 PISO TECHO'!F$22,0)))</f>
        <v>0</v>
      </c>
      <c r="CT17" s="845" t="b">
        <f>IF('1 PISO TECHO'!G$21&gt;70,IF('1 PISO TECHO'!G$21&lt;84.1,IF('1 PISO TECHO'!$B$30='1 PISO TECHO'!G$14,((('1 PISO TECHO'!G$20-200)*4)/160)*'1 PISO TECHO'!G$22,0)))</f>
        <v>0</v>
      </c>
      <c r="CU17" s="845" t="b">
        <f>IF('1 PISO TECHO'!H$21&gt;70,IF('1 PISO TECHO'!H$21&lt;84.1,IF('1 PISO TECHO'!$B$30='1 PISO TECHO'!H$14,((('1 PISO TECHO'!H$20-200)*4)/160)*'1 PISO TECHO'!H$22,0)))</f>
        <v>0</v>
      </c>
      <c r="CV17" s="845" t="b">
        <f>IF('1 PISO TECHO'!I$21&gt;70,IF('1 PISO TECHO'!I$21&lt;84.1,IF('1 PISO TECHO'!$B$30='1 PISO TECHO'!I$14,((('1 PISO TECHO'!I$20-200)*4)/160)*'1 PISO TECHO'!I$22,0)))</f>
        <v>0</v>
      </c>
      <c r="CW17" s="845" t="b">
        <f>IF('1 PISO TECHO'!J$21&gt;70,IF('1 PISO TECHO'!J$21&lt;84.1,IF('1 PISO TECHO'!$B$30='1 PISO TECHO'!J$14,((('1 PISO TECHO'!J$20-200)*4)/160)*'1 PISO TECHO'!J$22,0)))</f>
        <v>0</v>
      </c>
      <c r="CX17" s="845" t="b">
        <f>IF('1 PISO TECHO'!K$21&gt;70,IF('1 PISO TECHO'!K$21&lt;84.1,IF('1 PISO TECHO'!$B$30='1 PISO TECHO'!K$14,((('1 PISO TECHO'!K$20-200)*4)/160)*'1 PISO TECHO'!K$22,0)))</f>
        <v>0</v>
      </c>
      <c r="CY17" s="845" t="b">
        <f>IF('1 PISO TECHO'!L$21&gt;70,IF('1 PISO TECHO'!L$21&lt;84.1,IF('1 PISO TECHO'!$B$30='1 PISO TECHO'!L$14,((('1 PISO TECHO'!L$20-200)*4)/160)*'1 PISO TECHO'!L$22,0)))</f>
        <v>0</v>
      </c>
      <c r="CZ17" s="845" t="b">
        <f>IF('1 PISO TECHO'!M$21&gt;70,IF('1 PISO TECHO'!M$21&lt;84.1,IF('1 PISO TECHO'!$B$30='1 PISO TECHO'!M$14,((('1 PISO TECHO'!M$20-200)*4)/160)*'1 PISO TECHO'!M$22,0)))</f>
        <v>0</v>
      </c>
      <c r="DA17" s="845" t="b">
        <f>IF('1 PISO TECHO'!N$21&gt;70,IF('1 PISO TECHO'!N$21&lt;84.1,IF('1 PISO TECHO'!$B$30='1 PISO TECHO'!N$14,((('1 PISO TECHO'!N$20-200)*4)/160)*'1 PISO TECHO'!N$22,0)))</f>
        <v>0</v>
      </c>
      <c r="DB17" s="844">
        <f t="shared" si="6"/>
        <v>0</v>
      </c>
      <c r="DD17" s="845"/>
      <c r="DF17" s="845"/>
      <c r="DH17" s="845"/>
      <c r="DI17" s="845"/>
      <c r="DJ17" s="845"/>
      <c r="DK17" s="855"/>
    </row>
    <row r="18" spans="1:115" ht="26.25" x14ac:dyDescent="0.4">
      <c r="B18" s="777">
        <f>+'2 M-A +'!B39</f>
        <v>0</v>
      </c>
      <c r="C18" s="777">
        <f>+'2 M-A +'!C38</f>
        <v>0</v>
      </c>
      <c r="F18" s="25" t="s">
        <v>1082</v>
      </c>
      <c r="I18" s="701">
        <f>IF('1 PISO TECHO'!C$16&gt;0,IF('1 PISO TECHO'!C$16='1 PISO TECHO'!$B$34,IF('1 PISO TECHO'!C$21=56,1,0)))*'1 PISO TECHO'!C$22</f>
        <v>0</v>
      </c>
      <c r="J18" s="701">
        <f>IF('1 PISO TECHO'!D$16&gt;0,IF('1 PISO TECHO'!D$16='1 PISO TECHO'!$B$34,IF('1 PISO TECHO'!D$21=56,1,0)))*'1 PISO TECHO'!D$22</f>
        <v>0</v>
      </c>
      <c r="K18" s="701">
        <f>IF('1 PISO TECHO'!E$16&gt;0,IF('1 PISO TECHO'!E$16='1 PISO TECHO'!$B$34,IF('1 PISO TECHO'!E$21=56,1,0)))*'1 PISO TECHO'!E$22</f>
        <v>0</v>
      </c>
      <c r="L18" s="701">
        <f>IF('1 PISO TECHO'!F$16&gt;0,IF('1 PISO TECHO'!F$16='1 PISO TECHO'!$B$34,IF('1 PISO TECHO'!F$21=56,1,0)))*'1 PISO TECHO'!F$22</f>
        <v>0</v>
      </c>
      <c r="M18" s="701">
        <f>IF('1 PISO TECHO'!G$16&gt;0,IF('1 PISO TECHO'!G$16='1 PISO TECHO'!$B$34,IF('1 PISO TECHO'!G$21=56,1,0)))*'1 PISO TECHO'!G$22</f>
        <v>0</v>
      </c>
      <c r="N18" s="701">
        <f>IF('1 PISO TECHO'!H$16&gt;0,IF('1 PISO TECHO'!H$16='1 PISO TECHO'!$B$34,IF('1 PISO TECHO'!H$21=56,1,0)))*'1 PISO TECHO'!H$22</f>
        <v>0</v>
      </c>
      <c r="O18" s="701">
        <f>IF('1 PISO TECHO'!I$16&gt;0,IF('1 PISO TECHO'!I$16='1 PISO TECHO'!$B$34,IF('1 PISO TECHO'!I$21=56,1,0)))*'1 PISO TECHO'!I$22</f>
        <v>0</v>
      </c>
      <c r="P18" s="701">
        <f>IF('1 PISO TECHO'!J$16&gt;0,IF('1 PISO TECHO'!J$16='1 PISO TECHO'!$B$34,IF('1 PISO TECHO'!J$21=56,1,0)))*'1 PISO TECHO'!J$22</f>
        <v>0</v>
      </c>
      <c r="Q18" s="701">
        <f>IF('1 PISO TECHO'!K$16&gt;0,IF('1 PISO TECHO'!K$16='1 PISO TECHO'!$B$34,IF('1 PISO TECHO'!K$21=56,1,0)))*'1 PISO TECHO'!K$22</f>
        <v>0</v>
      </c>
      <c r="R18" s="701">
        <f>IF('1 PISO TECHO'!L$16&gt;0,IF('1 PISO TECHO'!L$16='1 PISO TECHO'!$B$34,IF('1 PISO TECHO'!L$21=56,1,0)))*'1 PISO TECHO'!L$22</f>
        <v>0</v>
      </c>
      <c r="S18" s="701">
        <f>IF('1 PISO TECHO'!M$16&gt;0,IF('1 PISO TECHO'!M$16='1 PISO TECHO'!$B$34,IF('1 PISO TECHO'!M$21=56,1,0)))*'1 PISO TECHO'!M$22</f>
        <v>0</v>
      </c>
      <c r="T18" s="701">
        <f>IF('1 PISO TECHO'!N$16&gt;0,IF('1 PISO TECHO'!N$16='1 PISO TECHO'!$B$34,IF('1 PISO TECHO'!N$21=56,1,0)))*'1 PISO TECHO'!N$22</f>
        <v>0</v>
      </c>
      <c r="U18" s="706">
        <f t="shared" si="7"/>
        <v>0</v>
      </c>
      <c r="V18" s="701">
        <f>IF('1 PISO TECHO'!C$14='1 PISO TECHO'!$B$34,IF('1 PISO TECHO'!C$21=56,1,0))*'1 PISO TECHO'!C$22</f>
        <v>0</v>
      </c>
      <c r="W18" s="701">
        <f>IF('1 PISO TECHO'!D$14='1 PISO TECHO'!$B$34,IF('1 PISO TECHO'!D$21=56,1,0))*'1 PISO TECHO'!D$22</f>
        <v>0</v>
      </c>
      <c r="X18" s="701">
        <f>IF('1 PISO TECHO'!E$14='1 PISO TECHO'!$B$34,IF('1 PISO TECHO'!E$21=56,1,0))*'1 PISO TECHO'!E$22</f>
        <v>0</v>
      </c>
      <c r="Y18" s="701">
        <f>IF('1 PISO TECHO'!F$14='1 PISO TECHO'!$B$34,IF('1 PISO TECHO'!F$21=56,1,0))*'1 PISO TECHO'!F$22</f>
        <v>0</v>
      </c>
      <c r="Z18" s="701">
        <f>IF('1 PISO TECHO'!G$14='1 PISO TECHO'!$B$34,IF('1 PISO TECHO'!G$21=56,1,0))*'1 PISO TECHO'!G$22</f>
        <v>0</v>
      </c>
      <c r="AA18" s="701">
        <f>IF('1 PISO TECHO'!H$14='1 PISO TECHO'!$B$34,IF('1 PISO TECHO'!H$21=56,1,0))*'1 PISO TECHO'!H$22</f>
        <v>0</v>
      </c>
      <c r="AB18" s="701">
        <f>IF('1 PISO TECHO'!I$14='1 PISO TECHO'!$B$34,IF('1 PISO TECHO'!I$21=56,1,0))*'1 PISO TECHO'!I$22</f>
        <v>0</v>
      </c>
      <c r="AC18" s="701">
        <f>IF('1 PISO TECHO'!J$14='1 PISO TECHO'!$B$34,IF('1 PISO TECHO'!J$21=56,1,0))*'1 PISO TECHO'!J$22</f>
        <v>0</v>
      </c>
      <c r="AD18" s="701">
        <f>IF('1 PISO TECHO'!K$14='1 PISO TECHO'!$B$34,IF('1 PISO TECHO'!K$21=56,1,0))*'1 PISO TECHO'!K$22</f>
        <v>0</v>
      </c>
      <c r="AE18" s="701">
        <f>IF('1 PISO TECHO'!L$14='1 PISO TECHO'!$B$34,IF('1 PISO TECHO'!L$21=56,1,0))*'1 PISO TECHO'!L$22</f>
        <v>0</v>
      </c>
      <c r="AF18" s="701">
        <f>IF('1 PISO TECHO'!M$14='1 PISO TECHO'!$B$34,IF('1 PISO TECHO'!M$21=56,1,0))*'1 PISO TECHO'!M$22</f>
        <v>0</v>
      </c>
      <c r="AG18" s="701">
        <f>IF('1 PISO TECHO'!N$14='1 PISO TECHO'!$B$34,IF('1 PISO TECHO'!N$21=56,1,0))*'1 PISO TECHO'!N$22</f>
        <v>0</v>
      </c>
      <c r="AH18" s="701">
        <f t="shared" si="8"/>
        <v>0</v>
      </c>
      <c r="AI18" s="855"/>
      <c r="AJ18" s="855"/>
      <c r="AK18" s="855"/>
      <c r="AL18" s="855"/>
      <c r="AM18" s="855"/>
      <c r="AN18" s="855"/>
      <c r="AO18" s="855"/>
      <c r="AP18" s="845">
        <f>IF('1 PISO TECHO'!C$20&lt;250.1,IF('1 PISO TECHO'!C$21&gt;84,IF('1 PISO TECHO'!C$21&lt;112.1,IF(OR('1 PISO TECHO'!C$14="V",'1 PISO TECHO'!C$14="VT",'1 PISO TECHO'!C$14="VTT",'1 PISO TECHO'!C$14="VSB",'1 PISO TECHO'!C$14="VE",'1 PISO TECHO'!C$14="VET",'1 PISO TECHO'!C$14="VESQ",),1,0))))*'1 PISO TECHO'!C$22</f>
        <v>0</v>
      </c>
      <c r="AQ18" s="845">
        <f>IF('1 PISO TECHO'!D$20&lt;250.1,IF('1 PISO TECHO'!D$21&gt;84,IF('1 PISO TECHO'!D$21&lt;112.1,IF(OR('1 PISO TECHO'!D$14="V",'1 PISO TECHO'!D$14="VT",'1 PISO TECHO'!D$14="VTT",'1 PISO TECHO'!D$14="VSB",'1 PISO TECHO'!D$14="VE",'1 PISO TECHO'!D$14="VET",'1 PISO TECHO'!D$14="VESQ",),1,0))))*'1 PISO TECHO'!D$22</f>
        <v>0</v>
      </c>
      <c r="AR18" s="845">
        <f>IF('1 PISO TECHO'!E$20&lt;250.1,IF('1 PISO TECHO'!E$21&gt;84,IF('1 PISO TECHO'!E$21&lt;112.1,IF(OR('1 PISO TECHO'!E$14="V",'1 PISO TECHO'!E$14="VT",'1 PISO TECHO'!E$14="VTT",'1 PISO TECHO'!E$14="VSB",'1 PISO TECHO'!E$14="VE",'1 PISO TECHO'!E$14="VET",'1 PISO TECHO'!E$14="VESQ",),1,0))))*'1 PISO TECHO'!E$22</f>
        <v>0</v>
      </c>
      <c r="AS18" s="845">
        <f>IF('1 PISO TECHO'!F$20&lt;250.1,IF('1 PISO TECHO'!F$21&gt;84,IF('1 PISO TECHO'!F$21&lt;112.1,IF(OR('1 PISO TECHO'!F$14="V",'1 PISO TECHO'!F$14="VT",'1 PISO TECHO'!F$14="VTT",'1 PISO TECHO'!F$14="VSB",'1 PISO TECHO'!F$14="VE",'1 PISO TECHO'!F$14="VET",'1 PISO TECHO'!F$14="VESQ",),1,0))))*'1 PISO TECHO'!F$22</f>
        <v>0</v>
      </c>
      <c r="AT18" s="845">
        <f>IF('1 PISO TECHO'!G$20&lt;250.1,IF('1 PISO TECHO'!G$21&gt;84,IF('1 PISO TECHO'!G$21&lt;112.1,IF(OR('1 PISO TECHO'!G$14="V",'1 PISO TECHO'!G$14="VT",'1 PISO TECHO'!G$14="VTT",'1 PISO TECHO'!G$14="VSB",'1 PISO TECHO'!G$14="VE",'1 PISO TECHO'!G$14="VET",'1 PISO TECHO'!G$14="VESQ",),1,0))))*'1 PISO TECHO'!G$22</f>
        <v>0</v>
      </c>
      <c r="AU18" s="845">
        <f>IF('1 PISO TECHO'!H$20&lt;250.1,IF('1 PISO TECHO'!H$21&gt;84,IF('1 PISO TECHO'!H$21&lt;112.1,IF(OR('1 PISO TECHO'!H$14="V",'1 PISO TECHO'!H$14="VT",'1 PISO TECHO'!H$14="VTT",'1 PISO TECHO'!H$14="VSB",'1 PISO TECHO'!H$14="VE",'1 PISO TECHO'!H$14="VET",'1 PISO TECHO'!H$14="VESQ",),1,0))))*'1 PISO TECHO'!H$22</f>
        <v>0</v>
      </c>
      <c r="AV18" s="845">
        <f>IF('1 PISO TECHO'!I$20&lt;250.1,IF('1 PISO TECHO'!I$21&gt;84,IF('1 PISO TECHO'!I$21&lt;112.1,IF(OR('1 PISO TECHO'!I$14="V",'1 PISO TECHO'!I$14="VT",'1 PISO TECHO'!I$14="VTT",'1 PISO TECHO'!I$14="VSB",'1 PISO TECHO'!I$14="VE",'1 PISO TECHO'!I$14="VET",'1 PISO TECHO'!I$14="VESQ",),1,0))))*'1 PISO TECHO'!I$22</f>
        <v>0</v>
      </c>
      <c r="AW18" s="845">
        <f>IF('1 PISO TECHO'!J$20&lt;250.1,IF('1 PISO TECHO'!J$21&gt;84,IF('1 PISO TECHO'!J$21&lt;112.1,IF(OR('1 PISO TECHO'!J$14="V",'1 PISO TECHO'!J$14="VT",'1 PISO TECHO'!J$14="VTT",'1 PISO TECHO'!J$14="VSB",'1 PISO TECHO'!J$14="VE",'1 PISO TECHO'!J$14="VET",'1 PISO TECHO'!J$14="VESQ",),1,0))))*'1 PISO TECHO'!J$22</f>
        <v>0</v>
      </c>
      <c r="AX18" s="845">
        <f>IF('1 PISO TECHO'!K$20&lt;250.1,IF('1 PISO TECHO'!K$21&gt;84,IF('1 PISO TECHO'!K$21&lt;112.1,IF(OR('1 PISO TECHO'!K$14="V",'1 PISO TECHO'!K$14="VT",'1 PISO TECHO'!K$14="VTT",'1 PISO TECHO'!K$14="VSB",'1 PISO TECHO'!K$14="VE",'1 PISO TECHO'!K$14="VET",'1 PISO TECHO'!K$14="VESQ",),1,0))))*'1 PISO TECHO'!K$22</f>
        <v>0</v>
      </c>
      <c r="AY18" s="845">
        <f>IF('1 PISO TECHO'!L$20&lt;250.1,IF('1 PISO TECHO'!L$21&gt;84,IF('1 PISO TECHO'!L$21&lt;112.1,IF(OR('1 PISO TECHO'!L$14="V",'1 PISO TECHO'!L$14="VT",'1 PISO TECHO'!L$14="VTT",'1 PISO TECHO'!L$14="VSB",'1 PISO TECHO'!L$14="VE",'1 PISO TECHO'!L$14="VET",'1 PISO TECHO'!L$14="VESQ",),1,0))))*'1 PISO TECHO'!L$22</f>
        <v>0</v>
      </c>
      <c r="AZ18" s="845">
        <f>IF('1 PISO TECHO'!M$20&lt;250.1,IF('1 PISO TECHO'!M$21&gt;84,IF('1 PISO TECHO'!M$21&lt;112.1,IF(OR('1 PISO TECHO'!M$14="V",'1 PISO TECHO'!M$14="VT",'1 PISO TECHO'!M$14="VTT",'1 PISO TECHO'!M$14="VSB",'1 PISO TECHO'!M$14="VE",'1 PISO TECHO'!M$14="VET",'1 PISO TECHO'!M$14="VESQ",),1,0))))*'1 PISO TECHO'!M$22</f>
        <v>0</v>
      </c>
      <c r="BA18" s="845">
        <f>IF('1 PISO TECHO'!N$20&lt;250.1,IF('1 PISO TECHO'!N$21&gt;84,IF('1 PISO TECHO'!N$21&lt;112.1,IF(OR('1 PISO TECHO'!N$14="V",'1 PISO TECHO'!N$14="VT",'1 PISO TECHO'!N$14="VTT",'1 PISO TECHO'!N$14="VSB",'1 PISO TECHO'!N$14="VE",'1 PISO TECHO'!N$14="VET",'1 PISO TECHO'!N$14="VESQ",),1,0))))*'1 PISO TECHO'!N$22</f>
        <v>0</v>
      </c>
      <c r="BB18" s="844">
        <f t="shared" si="2"/>
        <v>0</v>
      </c>
      <c r="BC18" s="845" t="b">
        <f>IF('1 PISO TECHO'!C$21&gt;84,IF('1 PISO TECHO'!C$21&lt;112.1,IF('1 PISO TECHO'!$B$27='1 PISO TECHO'!C$14,((('1 PISO TECHO'!C$20-200)*4)/160)*'1 PISO TECHO'!C$22,0)))</f>
        <v>0</v>
      </c>
      <c r="BD18" s="845" t="b">
        <f>IF('1 PISO TECHO'!D$21&gt;84,IF('1 PISO TECHO'!D$21&lt;112.1,IF('1 PISO TECHO'!$B$27='1 PISO TECHO'!D$14,((('1 PISO TECHO'!D$20-200)*4)/160)*'1 PISO TECHO'!D$22,0)))</f>
        <v>0</v>
      </c>
      <c r="BE18" s="845" t="b">
        <f>IF('1 PISO TECHO'!E$21&gt;84,IF('1 PISO TECHO'!E$21&lt;112.1,IF('1 PISO TECHO'!$B$27='1 PISO TECHO'!E$14,((('1 PISO TECHO'!E$20-200)*4)/160)*'1 PISO TECHO'!E$22,0)))</f>
        <v>0</v>
      </c>
      <c r="BF18" s="845" t="b">
        <f>IF('1 PISO TECHO'!F$21&gt;84,IF('1 PISO TECHO'!F$21&lt;112.1,IF('1 PISO TECHO'!$B$27='1 PISO TECHO'!F$14,((('1 PISO TECHO'!F$20-200)*4)/160)*'1 PISO TECHO'!F$22,0)))</f>
        <v>0</v>
      </c>
      <c r="BG18" s="845" t="b">
        <f>IF('1 PISO TECHO'!G$21&gt;84,IF('1 PISO TECHO'!G$21&lt;112.1,IF('1 PISO TECHO'!$B$27='1 PISO TECHO'!G$14,((('1 PISO TECHO'!G$20-200)*4)/160)*'1 PISO TECHO'!G$22,0)))</f>
        <v>0</v>
      </c>
      <c r="BH18" s="845" t="b">
        <f>IF('1 PISO TECHO'!H$21&gt;84,IF('1 PISO TECHO'!H$21&lt;112.1,IF('1 PISO TECHO'!$B$27='1 PISO TECHO'!H$14,((('1 PISO TECHO'!H$20-200)*4)/160)*'1 PISO TECHO'!H$22,0)))</f>
        <v>0</v>
      </c>
      <c r="BI18" s="845" t="b">
        <f>IF('1 PISO TECHO'!I$21&gt;84,IF('1 PISO TECHO'!I$21&lt;112.1,IF('1 PISO TECHO'!$B$27='1 PISO TECHO'!I$14,((('1 PISO TECHO'!I$20-200)*4)/160)*'1 PISO TECHO'!I$22,0)))</f>
        <v>0</v>
      </c>
      <c r="BJ18" s="845" t="b">
        <f>IF('1 PISO TECHO'!J$21&gt;84,IF('1 PISO TECHO'!J$21&lt;112.1,IF('1 PISO TECHO'!$B$27='1 PISO TECHO'!J$14,((('1 PISO TECHO'!J$20-200)*4)/160)*'1 PISO TECHO'!J$22,0)))</f>
        <v>0</v>
      </c>
      <c r="BK18" s="845" t="b">
        <f>IF('1 PISO TECHO'!K$21&gt;84,IF('1 PISO TECHO'!K$21&lt;112.1,IF('1 PISO TECHO'!$B$27='1 PISO TECHO'!K$14,((('1 PISO TECHO'!K$20-200)*4)/160)*'1 PISO TECHO'!K$22,0)))</f>
        <v>0</v>
      </c>
      <c r="BL18" s="845" t="b">
        <f>IF('1 PISO TECHO'!L$21&gt;84,IF('1 PISO TECHO'!L$21&lt;112.1,IF('1 PISO TECHO'!$B$27='1 PISO TECHO'!L$14,((('1 PISO TECHO'!L$20-200)*4)/160)*'1 PISO TECHO'!L$22,0)))</f>
        <v>0</v>
      </c>
      <c r="BM18" s="845" t="b">
        <f>IF('1 PISO TECHO'!M$21&gt;84,IF('1 PISO TECHO'!M$21&lt;112.1,IF('1 PISO TECHO'!$B$27='1 PISO TECHO'!M$14,((('1 PISO TECHO'!M$20-200)*4)/160)*'1 PISO TECHO'!M$22,0)))</f>
        <v>0</v>
      </c>
      <c r="BN18" s="845" t="b">
        <f>IF('1 PISO TECHO'!N$21&gt;84,IF('1 PISO TECHO'!N$21&lt;112.1,IF('1 PISO TECHO'!$B$27='1 PISO TECHO'!N$14,((('1 PISO TECHO'!N$20-200)*4)/160)*'1 PISO TECHO'!N$22,0)))</f>
        <v>0</v>
      </c>
      <c r="BO18" s="844">
        <f t="shared" si="3"/>
        <v>0</v>
      </c>
      <c r="BP18" s="845" t="b">
        <f>IF('1 PISO TECHO'!C$21&gt;84,IF('1 PISO TECHO'!C$21&lt;112.1,IF('1 PISO TECHO'!$B$28='1 PISO TECHO'!C$14,((('1 PISO TECHO'!C$20-200)*4)/160)*'1 PISO TECHO'!C$22,0)))</f>
        <v>0</v>
      </c>
      <c r="BQ18" s="845" t="b">
        <f>IF('1 PISO TECHO'!D$21&gt;84,IF('1 PISO TECHO'!D$21&lt;112.1,IF('1 PISO TECHO'!$B$28='1 PISO TECHO'!D$14,((('1 PISO TECHO'!D$20-200)*4)/160)*'1 PISO TECHO'!D$22,0)))</f>
        <v>0</v>
      </c>
      <c r="BR18" s="845" t="b">
        <f>IF('1 PISO TECHO'!E$21&gt;84,IF('1 PISO TECHO'!E$21&lt;112.1,IF('1 PISO TECHO'!$B$28='1 PISO TECHO'!E$14,((('1 PISO TECHO'!E$20-200)*4)/160)*'1 PISO TECHO'!E$22,0)))</f>
        <v>0</v>
      </c>
      <c r="BS18" s="845" t="b">
        <f>IF('1 PISO TECHO'!F$21&gt;84,IF('1 PISO TECHO'!F$21&lt;112.1,IF('1 PISO TECHO'!$B$28='1 PISO TECHO'!F$14,((('1 PISO TECHO'!F$20-200)*4)/160)*'1 PISO TECHO'!F$22,0)))</f>
        <v>0</v>
      </c>
      <c r="BT18" s="845" t="b">
        <f>IF('1 PISO TECHO'!G$21&gt;84,IF('1 PISO TECHO'!G$21&lt;112.1,IF('1 PISO TECHO'!$B$28='1 PISO TECHO'!G$14,((('1 PISO TECHO'!G$20-200)*4)/160)*'1 PISO TECHO'!G$22,0)))</f>
        <v>0</v>
      </c>
      <c r="BU18" s="845" t="b">
        <f>IF('1 PISO TECHO'!H$21&gt;84,IF('1 PISO TECHO'!H$21&lt;112.1,IF('1 PISO TECHO'!$B$28='1 PISO TECHO'!H$14,((('1 PISO TECHO'!H$20-200)*4)/160)*'1 PISO TECHO'!H$22,0)))</f>
        <v>0</v>
      </c>
      <c r="BV18" s="845" t="b">
        <f>IF('1 PISO TECHO'!I$21&gt;84,IF('1 PISO TECHO'!I$21&lt;112.1,IF('1 PISO TECHO'!$B$28='1 PISO TECHO'!I$14,((('1 PISO TECHO'!I$20-200)*4)/160)*'1 PISO TECHO'!I$22,0)))</f>
        <v>0</v>
      </c>
      <c r="BW18" s="845" t="b">
        <f>IF('1 PISO TECHO'!J$21&gt;84,IF('1 PISO TECHO'!J$21&lt;112.1,IF('1 PISO TECHO'!$B$28='1 PISO TECHO'!J$14,((('1 PISO TECHO'!J$20-200)*4)/160)*'1 PISO TECHO'!J$22,0)))</f>
        <v>0</v>
      </c>
      <c r="BX18" s="845" t="b">
        <f>IF('1 PISO TECHO'!K$21&gt;84,IF('1 PISO TECHO'!K$21&lt;112.1,IF('1 PISO TECHO'!$B$28='1 PISO TECHO'!K$14,((('1 PISO TECHO'!K$20-200)*4)/160)*'1 PISO TECHO'!K$22,0)))</f>
        <v>0</v>
      </c>
      <c r="BY18" s="845" t="b">
        <f>IF('1 PISO TECHO'!L$21&gt;84,IF('1 PISO TECHO'!L$21&lt;112.1,IF('1 PISO TECHO'!$B$28='1 PISO TECHO'!L$14,((('1 PISO TECHO'!L$20-200)*4)/160)*'1 PISO TECHO'!L$22,0)))</f>
        <v>0</v>
      </c>
      <c r="BZ18" s="845" t="b">
        <f>IF('1 PISO TECHO'!M$21&gt;84,IF('1 PISO TECHO'!M$21&lt;112.1,IF('1 PISO TECHO'!$B$28='1 PISO TECHO'!M$14,((('1 PISO TECHO'!M$20-200)*4)/160)*'1 PISO TECHO'!M$22,0)))</f>
        <v>0</v>
      </c>
      <c r="CA18" s="845" t="b">
        <f>IF('1 PISO TECHO'!N$21&gt;84,IF('1 PISO TECHO'!N$21&lt;112.1,IF('1 PISO TECHO'!$B$28='1 PISO TECHO'!N$14,((('1 PISO TECHO'!N$20-200)*4)/160)*'1 PISO TECHO'!N$22,0)))</f>
        <v>0</v>
      </c>
      <c r="CB18" s="844">
        <f t="shared" si="4"/>
        <v>0</v>
      </c>
      <c r="CC18" s="845" t="b">
        <f>IF('1 PISO TECHO'!C$21&gt;84,IF('1 PISO TECHO'!C$21&lt;112.1,IF('1 PISO TECHO'!$B$29='1 PISO TECHO'!C$14,((('1 PISO TECHO'!C$20-200)*4)/160)*'1 PISO TECHO'!C$22,0)))</f>
        <v>0</v>
      </c>
      <c r="CD18" s="845" t="b">
        <f>IF('1 PISO TECHO'!D$21&gt;84,IF('1 PISO TECHO'!D$21&lt;112.1,IF('1 PISO TECHO'!$B$29='1 PISO TECHO'!D$14,((('1 PISO TECHO'!D$20-200)*4)/160)*'1 PISO TECHO'!D$22,0)))</f>
        <v>0</v>
      </c>
      <c r="CE18" s="845" t="b">
        <f>IF('1 PISO TECHO'!E$21&gt;84,IF('1 PISO TECHO'!E$21&lt;112.1,IF('1 PISO TECHO'!$B$29='1 PISO TECHO'!E$14,((('1 PISO TECHO'!E$20-200)*4)/160)*'1 PISO TECHO'!E$22,0)))</f>
        <v>0</v>
      </c>
      <c r="CF18" s="845" t="b">
        <f>IF('1 PISO TECHO'!F$21&gt;84,IF('1 PISO TECHO'!F$21&lt;112.1,IF('1 PISO TECHO'!$B$29='1 PISO TECHO'!F$14,((('1 PISO TECHO'!F$20-200)*4)/160)*'1 PISO TECHO'!F$22,0)))</f>
        <v>0</v>
      </c>
      <c r="CG18" s="845" t="b">
        <f>IF('1 PISO TECHO'!G$21&gt;84,IF('1 PISO TECHO'!G$21&lt;112.1,IF('1 PISO TECHO'!$B$29='1 PISO TECHO'!G$14,((('1 PISO TECHO'!G$20-200)*4)/160)*'1 PISO TECHO'!G$22,0)))</f>
        <v>0</v>
      </c>
      <c r="CH18" s="845" t="b">
        <f>IF('1 PISO TECHO'!H$21&gt;84,IF('1 PISO TECHO'!H$21&lt;112.1,IF('1 PISO TECHO'!$B$29='1 PISO TECHO'!H$14,((('1 PISO TECHO'!H$20-200)*4)/160)*'1 PISO TECHO'!H$22,0)))</f>
        <v>0</v>
      </c>
      <c r="CI18" s="845" t="b">
        <f>IF('1 PISO TECHO'!I$21&gt;84,IF('1 PISO TECHO'!I$21&lt;112.1,IF('1 PISO TECHO'!$B$29='1 PISO TECHO'!I$14,((('1 PISO TECHO'!I$20-200)*4)/160)*'1 PISO TECHO'!I$22,0)))</f>
        <v>0</v>
      </c>
      <c r="CJ18" s="845" t="b">
        <f>IF('1 PISO TECHO'!J$21&gt;84,IF('1 PISO TECHO'!J$21&lt;112.1,IF('1 PISO TECHO'!$B$29='1 PISO TECHO'!J$14,((('1 PISO TECHO'!J$20-200)*4)/160)*'1 PISO TECHO'!J$22,0)))</f>
        <v>0</v>
      </c>
      <c r="CK18" s="845" t="b">
        <f>IF('1 PISO TECHO'!K$21&gt;84,IF('1 PISO TECHO'!K$21&lt;112.1,IF('1 PISO TECHO'!$B$29='1 PISO TECHO'!K$14,((('1 PISO TECHO'!K$20-200)*4)/160)*'1 PISO TECHO'!K$22,0)))</f>
        <v>0</v>
      </c>
      <c r="CL18" s="845" t="b">
        <f>IF('1 PISO TECHO'!L$21&gt;84,IF('1 PISO TECHO'!L$21&lt;112.1,IF('1 PISO TECHO'!$B$29='1 PISO TECHO'!L$14,((('1 PISO TECHO'!L$20-200)*4)/160)*'1 PISO TECHO'!L$22,0)))</f>
        <v>0</v>
      </c>
      <c r="CM18" s="845" t="b">
        <f>IF('1 PISO TECHO'!M$21&gt;84,IF('1 PISO TECHO'!M$21&lt;112.1,IF('1 PISO TECHO'!$B$29='1 PISO TECHO'!M$14,((('1 PISO TECHO'!M$20-200)*4)/160)*'1 PISO TECHO'!M$22,0)))</f>
        <v>0</v>
      </c>
      <c r="CN18" s="845" t="b">
        <f>IF('1 PISO TECHO'!N$21&gt;84,IF('1 PISO TECHO'!N$21&lt;112.1,IF('1 PISO TECHO'!$B$29='1 PISO TECHO'!N$14,((('1 PISO TECHO'!N$20-200)*4)/160)*'1 PISO TECHO'!N$22,0)))</f>
        <v>0</v>
      </c>
      <c r="CO18" s="844">
        <f t="shared" si="5"/>
        <v>0</v>
      </c>
      <c r="CP18" s="845" t="b">
        <f>IF('1 PISO TECHO'!C$21&gt;84,IF('1 PISO TECHO'!C$21&lt;112.1,IF('1 PISO TECHO'!$B$30='1 PISO TECHO'!C$14,((('1 PISO TECHO'!C$20-200)*4)/160)*'1 PISO TECHO'!C$22,0)))</f>
        <v>0</v>
      </c>
      <c r="CQ18" s="845" t="b">
        <f>IF('1 PISO TECHO'!D$21&gt;84,IF('1 PISO TECHO'!D$21&lt;112.1,IF('1 PISO TECHO'!$B$30='1 PISO TECHO'!D$14,((('1 PISO TECHO'!D$20-200)*4)/160)*'1 PISO TECHO'!D$22,0)))</f>
        <v>0</v>
      </c>
      <c r="CR18" s="845" t="b">
        <f>IF('1 PISO TECHO'!E$21&gt;84,IF('1 PISO TECHO'!E$21&lt;112.1,IF('1 PISO TECHO'!$B$30='1 PISO TECHO'!E$14,((('1 PISO TECHO'!E$20-200)*4)/160)*'1 PISO TECHO'!E$22,0)))</f>
        <v>0</v>
      </c>
      <c r="CS18" s="845" t="b">
        <f>IF('1 PISO TECHO'!F$21&gt;84,IF('1 PISO TECHO'!F$21&lt;112.1,IF('1 PISO TECHO'!$B$30='1 PISO TECHO'!F$14,((('1 PISO TECHO'!F$20-200)*4)/160)*'1 PISO TECHO'!F$22,0)))</f>
        <v>0</v>
      </c>
      <c r="CT18" s="845" t="b">
        <f>IF('1 PISO TECHO'!G$21&gt;84,IF('1 PISO TECHO'!G$21&lt;112.1,IF('1 PISO TECHO'!$B$30='1 PISO TECHO'!G$14,((('1 PISO TECHO'!G$20-200)*4)/160)*'1 PISO TECHO'!G$22,0)))</f>
        <v>0</v>
      </c>
      <c r="CU18" s="845" t="b">
        <f>IF('1 PISO TECHO'!H$21&gt;84,IF('1 PISO TECHO'!H$21&lt;112.1,IF('1 PISO TECHO'!$B$30='1 PISO TECHO'!H$14,((('1 PISO TECHO'!H$20-200)*4)/160)*'1 PISO TECHO'!H$22,0)))</f>
        <v>0</v>
      </c>
      <c r="CV18" s="845" t="b">
        <f>IF('1 PISO TECHO'!I$21&gt;84,IF('1 PISO TECHO'!I$21&lt;112.1,IF('1 PISO TECHO'!$B$30='1 PISO TECHO'!I$14,((('1 PISO TECHO'!I$20-200)*4)/160)*'1 PISO TECHO'!I$22,0)))</f>
        <v>0</v>
      </c>
      <c r="CW18" s="845" t="b">
        <f>IF('1 PISO TECHO'!J$21&gt;84,IF('1 PISO TECHO'!J$21&lt;112.1,IF('1 PISO TECHO'!$B$30='1 PISO TECHO'!J$14,((('1 PISO TECHO'!J$20-200)*4)/160)*'1 PISO TECHO'!J$22,0)))</f>
        <v>0</v>
      </c>
      <c r="CX18" s="845" t="b">
        <f>IF('1 PISO TECHO'!K$21&gt;84,IF('1 PISO TECHO'!K$21&lt;112.1,IF('1 PISO TECHO'!$B$30='1 PISO TECHO'!K$14,((('1 PISO TECHO'!K$20-200)*4)/160)*'1 PISO TECHO'!K$22,0)))</f>
        <v>0</v>
      </c>
      <c r="CY18" s="845" t="b">
        <f>IF('1 PISO TECHO'!L$21&gt;84,IF('1 PISO TECHO'!L$21&lt;112.1,IF('1 PISO TECHO'!$B$30='1 PISO TECHO'!L$14,((('1 PISO TECHO'!L$20-200)*4)/160)*'1 PISO TECHO'!L$22,0)))</f>
        <v>0</v>
      </c>
      <c r="CZ18" s="845" t="b">
        <f>IF('1 PISO TECHO'!M$21&gt;84,IF('1 PISO TECHO'!M$21&lt;112.1,IF('1 PISO TECHO'!$B$30='1 PISO TECHO'!M$14,((('1 PISO TECHO'!M$20-200)*4)/160)*'1 PISO TECHO'!M$22,0)))</f>
        <v>0</v>
      </c>
      <c r="DA18" s="845" t="b">
        <f>IF('1 PISO TECHO'!N$21&gt;84,IF('1 PISO TECHO'!N$21&lt;112.1,IF('1 PISO TECHO'!$B$30='1 PISO TECHO'!N$14,((('1 PISO TECHO'!N$20-200)*4)/160)*'1 PISO TECHO'!N$22,0)))</f>
        <v>0</v>
      </c>
      <c r="DB18" s="844">
        <f t="shared" si="6"/>
        <v>0</v>
      </c>
      <c r="DD18" s="845"/>
      <c r="DF18" s="845"/>
      <c r="DH18" s="845"/>
      <c r="DI18" s="845"/>
      <c r="DJ18" s="845"/>
      <c r="DK18" s="855"/>
    </row>
    <row r="19" spans="1:115" ht="26.25" x14ac:dyDescent="0.4">
      <c r="B19" s="777">
        <f>+'2 M-A +'!B40</f>
        <v>0</v>
      </c>
      <c r="C19" s="777">
        <f>+'2 M-A +'!C39</f>
        <v>0</v>
      </c>
      <c r="D19" s="521"/>
      <c r="F19" s="25" t="s">
        <v>1083</v>
      </c>
      <c r="I19" s="701">
        <f>IF('1 PISO TECHO'!C$16&gt;0,IF('1 PISO TECHO'!C$16='1 PISO TECHO'!$B$34,IF('1 PISO TECHO'!C$21=60,1,0)))*'1 PISO TECHO'!C$22</f>
        <v>0</v>
      </c>
      <c r="J19" s="701">
        <f>IF('1 PISO TECHO'!D$16&gt;0,IF('1 PISO TECHO'!D$16='1 PISO TECHO'!$B$34,IF('1 PISO TECHO'!D$21=60,1,0)))*'1 PISO TECHO'!D$22</f>
        <v>0</v>
      </c>
      <c r="K19" s="701">
        <f>IF('1 PISO TECHO'!E$16&gt;0,IF('1 PISO TECHO'!E$16='1 PISO TECHO'!$B$34,IF('1 PISO TECHO'!E$21=60,1,0)))*'1 PISO TECHO'!E$22</f>
        <v>0</v>
      </c>
      <c r="L19" s="701">
        <f>IF('1 PISO TECHO'!F$16&gt;0,IF('1 PISO TECHO'!F$16='1 PISO TECHO'!$B$34,IF('1 PISO TECHO'!F$21=60,1,0)))*'1 PISO TECHO'!F$22</f>
        <v>0</v>
      </c>
      <c r="M19" s="701">
        <f>IF('1 PISO TECHO'!G$16&gt;0,IF('1 PISO TECHO'!G$16='1 PISO TECHO'!$B$34,IF('1 PISO TECHO'!G$21=60,1,0)))*'1 PISO TECHO'!G$22</f>
        <v>0</v>
      </c>
      <c r="N19" s="701">
        <f>IF('1 PISO TECHO'!H$16&gt;0,IF('1 PISO TECHO'!H$16='1 PISO TECHO'!$B$34,IF('1 PISO TECHO'!H$21=60,1,0)))*'1 PISO TECHO'!H$22</f>
        <v>0</v>
      </c>
      <c r="O19" s="701">
        <f>IF('1 PISO TECHO'!I$16&gt;0,IF('1 PISO TECHO'!I$16='1 PISO TECHO'!$B$34,IF('1 PISO TECHO'!I$21=60,1,0)))*'1 PISO TECHO'!I$22</f>
        <v>0</v>
      </c>
      <c r="P19" s="701">
        <f>IF('1 PISO TECHO'!J$16&gt;0,IF('1 PISO TECHO'!J$16='1 PISO TECHO'!$B$34,IF('1 PISO TECHO'!J$21=60,1,0)))*'1 PISO TECHO'!J$22</f>
        <v>0</v>
      </c>
      <c r="Q19" s="701">
        <f>IF('1 PISO TECHO'!K$16&gt;0,IF('1 PISO TECHO'!K$16='1 PISO TECHO'!$B$34,IF('1 PISO TECHO'!K$21=60,1,0)))*'1 PISO TECHO'!K$22</f>
        <v>0</v>
      </c>
      <c r="R19" s="701">
        <f>IF('1 PISO TECHO'!L$16&gt;0,IF('1 PISO TECHO'!L$16='1 PISO TECHO'!$B$34,IF('1 PISO TECHO'!L$21=60,1,0)))*'1 PISO TECHO'!L$22</f>
        <v>0</v>
      </c>
      <c r="S19" s="701">
        <f>IF('1 PISO TECHO'!M$16&gt;0,IF('1 PISO TECHO'!M$16='1 PISO TECHO'!$B$34,IF('1 PISO TECHO'!M$21=60,1,0)))*'1 PISO TECHO'!M$22</f>
        <v>0</v>
      </c>
      <c r="T19" s="701">
        <f>IF('1 PISO TECHO'!N$16&gt;0,IF('1 PISO TECHO'!N$16='1 PISO TECHO'!$B$34,IF('1 PISO TECHO'!N$21=60,1,0)))*'1 PISO TECHO'!N$22</f>
        <v>0</v>
      </c>
      <c r="U19" s="706">
        <f t="shared" si="7"/>
        <v>0</v>
      </c>
      <c r="V19" s="701">
        <f>IF('1 PISO TECHO'!C$14='1 PISO TECHO'!$B$34,IF('1 PISO TECHO'!C$21=60,1,0))*'1 PISO TECHO'!C$22</f>
        <v>0</v>
      </c>
      <c r="W19" s="701">
        <f>IF('1 PISO TECHO'!D$14='1 PISO TECHO'!$B$34,IF('1 PISO TECHO'!D$21=60,1,0))*'1 PISO TECHO'!D$22</f>
        <v>0</v>
      </c>
      <c r="X19" s="701">
        <f>IF('1 PISO TECHO'!E$14='1 PISO TECHO'!$B$34,IF('1 PISO TECHO'!E$21=60,1,0))*'1 PISO TECHO'!E$22</f>
        <v>0</v>
      </c>
      <c r="Y19" s="701">
        <f>IF('1 PISO TECHO'!F$14='1 PISO TECHO'!$B$34,IF('1 PISO TECHO'!F$21=60,1,0))*'1 PISO TECHO'!F$22</f>
        <v>0</v>
      </c>
      <c r="Z19" s="701">
        <f>IF('1 PISO TECHO'!G$14='1 PISO TECHO'!$B$34,IF('1 PISO TECHO'!G$21=60,1,0))*'1 PISO TECHO'!G$22</f>
        <v>0</v>
      </c>
      <c r="AA19" s="701">
        <f>IF('1 PISO TECHO'!H$14='1 PISO TECHO'!$B$34,IF('1 PISO TECHO'!H$21=60,1,0))*'1 PISO TECHO'!H$22</f>
        <v>0</v>
      </c>
      <c r="AB19" s="701">
        <f>IF('1 PISO TECHO'!I$14='1 PISO TECHO'!$B$34,IF('1 PISO TECHO'!I$21=60,1,0))*'1 PISO TECHO'!I$22</f>
        <v>0</v>
      </c>
      <c r="AC19" s="701">
        <f>IF('1 PISO TECHO'!J$14='1 PISO TECHO'!$B$34,IF('1 PISO TECHO'!J$21=60,1,0))*'1 PISO TECHO'!J$22</f>
        <v>0</v>
      </c>
      <c r="AD19" s="701">
        <f>IF('1 PISO TECHO'!K$14='1 PISO TECHO'!$B$34,IF('1 PISO TECHO'!K$21=60,1,0))*'1 PISO TECHO'!K$22</f>
        <v>0</v>
      </c>
      <c r="AE19" s="701">
        <f>IF('1 PISO TECHO'!L$14='1 PISO TECHO'!$B$34,IF('1 PISO TECHO'!L$21=60,1,0))*'1 PISO TECHO'!L$22</f>
        <v>0</v>
      </c>
      <c r="AF19" s="701">
        <f>IF('1 PISO TECHO'!M$14='1 PISO TECHO'!$B$34,IF('1 PISO TECHO'!M$21=60,1,0))*'1 PISO TECHO'!M$22</f>
        <v>0</v>
      </c>
      <c r="AG19" s="701">
        <f>IF('1 PISO TECHO'!N$14='1 PISO TECHO'!$B$34,IF('1 PISO TECHO'!N$21=60,1,0))*'1 PISO TECHO'!N$22</f>
        <v>0</v>
      </c>
      <c r="AH19" s="701">
        <f t="shared" si="8"/>
        <v>0</v>
      </c>
      <c r="AI19" s="855"/>
      <c r="AJ19" s="855"/>
      <c r="AK19" s="855"/>
      <c r="AL19" s="855"/>
      <c r="AM19" s="855"/>
      <c r="AN19" s="855"/>
      <c r="AO19" s="855"/>
      <c r="AP19" s="845">
        <f>IF('1 PISO TECHO'!C$20&lt;250.1,IF('1 PISO TECHO'!C$21&gt;112,IF('1 PISO TECHO'!C$21&lt;150.1,IF(OR('1 PISO TECHO'!C$14="V",'1 PISO TECHO'!C$14="VT",'1 PISO TECHO'!C$14="VTT",'1 PISO TECHO'!C$14="VSB",'1 PISO TECHO'!C$14="VE",'1 PISO TECHO'!C$14="VET",'1 PISO TECHO'!C$14="VESQ",),1,0))))*'1 PISO TECHO'!C$22</f>
        <v>0</v>
      </c>
      <c r="AQ19" s="845">
        <f>IF('1 PISO TECHO'!D$20&lt;250.1,IF('1 PISO TECHO'!D$21&gt;112,IF('1 PISO TECHO'!D$21&lt;150.1,IF(OR('1 PISO TECHO'!D$14="V",'1 PISO TECHO'!D$14="VT",'1 PISO TECHO'!D$14="VTT",'1 PISO TECHO'!D$14="VSB",'1 PISO TECHO'!D$14="VE",'1 PISO TECHO'!D$14="VET",'1 PISO TECHO'!D$14="VESQ",),1,0))))*'1 PISO TECHO'!D$22</f>
        <v>0</v>
      </c>
      <c r="AR19" s="845">
        <f>IF('1 PISO TECHO'!E$20&lt;250.1,IF('1 PISO TECHO'!E$21&gt;112,IF('1 PISO TECHO'!E$21&lt;150.1,IF(OR('1 PISO TECHO'!E$14="V",'1 PISO TECHO'!E$14="VT",'1 PISO TECHO'!E$14="VTT",'1 PISO TECHO'!E$14="VSB",'1 PISO TECHO'!E$14="VE",'1 PISO TECHO'!E$14="VET",'1 PISO TECHO'!E$14="VESQ",),1,0))))*'1 PISO TECHO'!E$22</f>
        <v>0</v>
      </c>
      <c r="AS19" s="845">
        <f>IF('1 PISO TECHO'!F$20&lt;250.1,IF('1 PISO TECHO'!F$21&gt;112,IF('1 PISO TECHO'!F$21&lt;150.1,IF(OR('1 PISO TECHO'!F$14="V",'1 PISO TECHO'!F$14="VT",'1 PISO TECHO'!F$14="VTT",'1 PISO TECHO'!F$14="VSB",'1 PISO TECHO'!F$14="VE",'1 PISO TECHO'!F$14="VET",'1 PISO TECHO'!F$14="VESQ",),1,0))))*'1 PISO TECHO'!F$22</f>
        <v>0</v>
      </c>
      <c r="AT19" s="845">
        <f>IF('1 PISO TECHO'!G$20&lt;250.1,IF('1 PISO TECHO'!G$21&gt;112,IF('1 PISO TECHO'!G$21&lt;150.1,IF(OR('1 PISO TECHO'!G$14="V",'1 PISO TECHO'!G$14="VT",'1 PISO TECHO'!G$14="VTT",'1 PISO TECHO'!G$14="VSB",'1 PISO TECHO'!G$14="VE",'1 PISO TECHO'!G$14="VET",'1 PISO TECHO'!G$14="VESQ",),1,0))))*'1 PISO TECHO'!G$22</f>
        <v>0</v>
      </c>
      <c r="AU19" s="845">
        <f>IF('1 PISO TECHO'!H$20&lt;250.1,IF('1 PISO TECHO'!H$21&gt;112,IF('1 PISO TECHO'!H$21&lt;150.1,IF(OR('1 PISO TECHO'!H$14="V",'1 PISO TECHO'!H$14="VT",'1 PISO TECHO'!H$14="VTT",'1 PISO TECHO'!H$14="VSB",'1 PISO TECHO'!H$14="VE",'1 PISO TECHO'!H$14="VET",'1 PISO TECHO'!H$14="VESQ",),1,0))))*'1 PISO TECHO'!H$22</f>
        <v>0</v>
      </c>
      <c r="AV19" s="845">
        <f>IF('1 PISO TECHO'!I$20&lt;250.1,IF('1 PISO TECHO'!I$21&gt;112,IF('1 PISO TECHO'!I$21&lt;150.1,IF(OR('1 PISO TECHO'!I$14="V",'1 PISO TECHO'!I$14="VT",'1 PISO TECHO'!I$14="VTT",'1 PISO TECHO'!I$14="VSB",'1 PISO TECHO'!I$14="VE",'1 PISO TECHO'!I$14="VET",'1 PISO TECHO'!I$14="VESQ",),1,0))))*'1 PISO TECHO'!I$22</f>
        <v>0</v>
      </c>
      <c r="AW19" s="845">
        <f>IF('1 PISO TECHO'!J$20&lt;250.1,IF('1 PISO TECHO'!J$21&gt;112,IF('1 PISO TECHO'!J$21&lt;150.1,IF(OR('1 PISO TECHO'!J$14="V",'1 PISO TECHO'!J$14="VT",'1 PISO TECHO'!J$14="VTT",'1 PISO TECHO'!J$14="VSB",'1 PISO TECHO'!J$14="VE",'1 PISO TECHO'!J$14="VET",'1 PISO TECHO'!J$14="VESQ",),1,0))))*'1 PISO TECHO'!J$22</f>
        <v>0</v>
      </c>
      <c r="AX19" s="845">
        <f>IF('1 PISO TECHO'!K$20&lt;250.1,IF('1 PISO TECHO'!K$21&gt;112,IF('1 PISO TECHO'!K$21&lt;150.1,IF(OR('1 PISO TECHO'!K$14="V",'1 PISO TECHO'!K$14="VT",'1 PISO TECHO'!K$14="VTT",'1 PISO TECHO'!K$14="VSB",'1 PISO TECHO'!K$14="VE",'1 PISO TECHO'!K$14="VET",'1 PISO TECHO'!K$14="VESQ",),1,0))))*'1 PISO TECHO'!K$22</f>
        <v>0</v>
      </c>
      <c r="AY19" s="845">
        <f>IF('1 PISO TECHO'!L$20&lt;250.1,IF('1 PISO TECHO'!L$21&gt;112,IF('1 PISO TECHO'!L$21&lt;150.1,IF(OR('1 PISO TECHO'!L$14="V",'1 PISO TECHO'!L$14="VT",'1 PISO TECHO'!L$14="VTT",'1 PISO TECHO'!L$14="VSB",'1 PISO TECHO'!L$14="VE",'1 PISO TECHO'!L$14="VET",'1 PISO TECHO'!L$14="VESQ",),1,0))))*'1 PISO TECHO'!L$22</f>
        <v>0</v>
      </c>
      <c r="AZ19" s="845">
        <f>IF('1 PISO TECHO'!M$20&lt;250.1,IF('1 PISO TECHO'!M$21&gt;112,IF('1 PISO TECHO'!M$21&lt;150.1,IF(OR('1 PISO TECHO'!M$14="V",'1 PISO TECHO'!M$14="VT",'1 PISO TECHO'!M$14="VTT",'1 PISO TECHO'!M$14="VSB",'1 PISO TECHO'!M$14="VE",'1 PISO TECHO'!M$14="VET",'1 PISO TECHO'!M$14="VESQ",),1,0))))*'1 PISO TECHO'!M$22</f>
        <v>0</v>
      </c>
      <c r="BA19" s="845">
        <f>IF('1 PISO TECHO'!N$20&lt;250.1,IF('1 PISO TECHO'!N$21&gt;112,IF('1 PISO TECHO'!N$21&lt;150.1,IF(OR('1 PISO TECHO'!N$14="V",'1 PISO TECHO'!N$14="VT",'1 PISO TECHO'!N$14="VTT",'1 PISO TECHO'!N$14="VSB",'1 PISO TECHO'!N$14="VE",'1 PISO TECHO'!N$14="VET",'1 PISO TECHO'!N$14="VESQ",),1,0))))*'1 PISO TECHO'!N$22</f>
        <v>0</v>
      </c>
      <c r="BB19" s="844">
        <f t="shared" si="2"/>
        <v>0</v>
      </c>
      <c r="BC19" s="845" t="b">
        <f>IF('1 PISO TECHO'!C$21&gt;112,IF('1 PISO TECHO'!C$21&lt;150.1,IF('1 PISO TECHO'!$B$27='1 PISO TECHO'!C$14,((('1 PISO TECHO'!C$20-200)*4)/160)*'1 PISO TECHO'!C$22,0)))</f>
        <v>0</v>
      </c>
      <c r="BD19" s="845" t="b">
        <f>IF('1 PISO TECHO'!D$21&gt;112,IF('1 PISO TECHO'!D$21&lt;150.1,IF('1 PISO TECHO'!$B$27='1 PISO TECHO'!D$14,((('1 PISO TECHO'!D$20-200)*4)/160)*'1 PISO TECHO'!D$22,0)))</f>
        <v>0</v>
      </c>
      <c r="BE19" s="845" t="b">
        <f>IF('1 PISO TECHO'!E$21&gt;112,IF('1 PISO TECHO'!E$21&lt;150.1,IF('1 PISO TECHO'!$B$27='1 PISO TECHO'!E$14,((('1 PISO TECHO'!E$20-200)*4)/160)*'1 PISO TECHO'!E$22,0)))</f>
        <v>0</v>
      </c>
      <c r="BF19" s="845" t="b">
        <f>IF('1 PISO TECHO'!F$21&gt;112,IF('1 PISO TECHO'!F$21&lt;150.1,IF('1 PISO TECHO'!$B$27='1 PISO TECHO'!F$14,((('1 PISO TECHO'!F$20-200)*4)/160)*'1 PISO TECHO'!F$22,0)))</f>
        <v>0</v>
      </c>
      <c r="BG19" s="845" t="b">
        <f>IF('1 PISO TECHO'!G$21&gt;112,IF('1 PISO TECHO'!G$21&lt;150.1,IF('1 PISO TECHO'!$B$27='1 PISO TECHO'!G$14,((('1 PISO TECHO'!G$20-200)*4)/160)*'1 PISO TECHO'!G$22,0)))</f>
        <v>0</v>
      </c>
      <c r="BH19" s="845" t="b">
        <f>IF('1 PISO TECHO'!H$21&gt;112,IF('1 PISO TECHO'!H$21&lt;150.1,IF('1 PISO TECHO'!$B$27='1 PISO TECHO'!H$14,((('1 PISO TECHO'!H$20-200)*4)/160)*'1 PISO TECHO'!H$22,0)))</f>
        <v>0</v>
      </c>
      <c r="BI19" s="845" t="b">
        <f>IF('1 PISO TECHO'!I$21&gt;112,IF('1 PISO TECHO'!I$21&lt;150.1,IF('1 PISO TECHO'!$B$27='1 PISO TECHO'!I$14,((('1 PISO TECHO'!I$20-200)*4)/160)*'1 PISO TECHO'!I$22,0)))</f>
        <v>0</v>
      </c>
      <c r="BJ19" s="845" t="b">
        <f>IF('1 PISO TECHO'!J$21&gt;112,IF('1 PISO TECHO'!J$21&lt;150.1,IF('1 PISO TECHO'!$B$27='1 PISO TECHO'!J$14,((('1 PISO TECHO'!J$20-200)*4)/160)*'1 PISO TECHO'!J$22,0)))</f>
        <v>0</v>
      </c>
      <c r="BK19" s="845" t="b">
        <f>IF('1 PISO TECHO'!K$21&gt;112,IF('1 PISO TECHO'!K$21&lt;150.1,IF('1 PISO TECHO'!$B$27='1 PISO TECHO'!K$14,((('1 PISO TECHO'!K$20-200)*4)/160)*'1 PISO TECHO'!K$22,0)))</f>
        <v>0</v>
      </c>
      <c r="BL19" s="845" t="b">
        <f>IF('1 PISO TECHO'!L$21&gt;112,IF('1 PISO TECHO'!L$21&lt;150.1,IF('1 PISO TECHO'!$B$27='1 PISO TECHO'!L$14,((('1 PISO TECHO'!L$20-200)*4)/160)*'1 PISO TECHO'!L$22,0)))</f>
        <v>0</v>
      </c>
      <c r="BM19" s="845" t="b">
        <f>IF('1 PISO TECHO'!M$21&gt;112,IF('1 PISO TECHO'!M$21&lt;150.1,IF('1 PISO TECHO'!$B$27='1 PISO TECHO'!M$14,((('1 PISO TECHO'!M$20-200)*4)/160)*'1 PISO TECHO'!M$22,0)))</f>
        <v>0</v>
      </c>
      <c r="BN19" s="845" t="b">
        <f>IF('1 PISO TECHO'!N$21&gt;112,IF('1 PISO TECHO'!N$21&lt;150.1,IF('1 PISO TECHO'!$B$27='1 PISO TECHO'!N$14,((('1 PISO TECHO'!N$20-200)*4)/160)*'1 PISO TECHO'!N$22,0)))</f>
        <v>0</v>
      </c>
      <c r="BO19" s="844">
        <f t="shared" si="3"/>
        <v>0</v>
      </c>
      <c r="BP19" s="845" t="b">
        <f>IF('1 PISO TECHO'!C$21&gt;112,IF('1 PISO TECHO'!C$21&lt;150.1,IF('1 PISO TECHO'!$B$28='1 PISO TECHO'!C$14,((('1 PISO TECHO'!C$20-200)*4)/160)*'1 PISO TECHO'!C$22,0)))</f>
        <v>0</v>
      </c>
      <c r="BQ19" s="845" t="b">
        <f>IF('1 PISO TECHO'!D$21&gt;112,IF('1 PISO TECHO'!D$21&lt;150.1,IF('1 PISO TECHO'!$B$28='1 PISO TECHO'!D$14,((('1 PISO TECHO'!D$20-200)*4)/160)*'1 PISO TECHO'!D$22,0)))</f>
        <v>0</v>
      </c>
      <c r="BR19" s="845" t="b">
        <f>IF('1 PISO TECHO'!E$21&gt;112,IF('1 PISO TECHO'!E$21&lt;150.1,IF('1 PISO TECHO'!$B$28='1 PISO TECHO'!E$14,((('1 PISO TECHO'!E$20-200)*4)/160)*'1 PISO TECHO'!E$22,0)))</f>
        <v>0</v>
      </c>
      <c r="BS19" s="845" t="b">
        <f>IF('1 PISO TECHO'!F$21&gt;112,IF('1 PISO TECHO'!F$21&lt;150.1,IF('1 PISO TECHO'!$B$28='1 PISO TECHO'!F$14,((('1 PISO TECHO'!F$20-200)*4)/160)*'1 PISO TECHO'!F$22,0)))</f>
        <v>0</v>
      </c>
      <c r="BT19" s="845" t="b">
        <f>IF('1 PISO TECHO'!G$21&gt;112,IF('1 PISO TECHO'!G$21&lt;150.1,IF('1 PISO TECHO'!$B$28='1 PISO TECHO'!G$14,((('1 PISO TECHO'!G$20-200)*4)/160)*'1 PISO TECHO'!G$22,0)))</f>
        <v>0</v>
      </c>
      <c r="BU19" s="845" t="b">
        <f>IF('1 PISO TECHO'!H$21&gt;112,IF('1 PISO TECHO'!H$21&lt;150.1,IF('1 PISO TECHO'!$B$28='1 PISO TECHO'!H$14,((('1 PISO TECHO'!H$20-200)*4)/160)*'1 PISO TECHO'!H$22,0)))</f>
        <v>0</v>
      </c>
      <c r="BV19" s="845" t="b">
        <f>IF('1 PISO TECHO'!I$21&gt;112,IF('1 PISO TECHO'!I$21&lt;150.1,IF('1 PISO TECHO'!$B$28='1 PISO TECHO'!I$14,((('1 PISO TECHO'!I$20-200)*4)/160)*'1 PISO TECHO'!I$22,0)))</f>
        <v>0</v>
      </c>
      <c r="BW19" s="845" t="b">
        <f>IF('1 PISO TECHO'!J$21&gt;112,IF('1 PISO TECHO'!J$21&lt;150.1,IF('1 PISO TECHO'!$B$28='1 PISO TECHO'!J$14,((('1 PISO TECHO'!J$20-200)*4)/160)*'1 PISO TECHO'!J$22,0)))</f>
        <v>0</v>
      </c>
      <c r="BX19" s="845" t="b">
        <f>IF('1 PISO TECHO'!K$21&gt;112,IF('1 PISO TECHO'!K$21&lt;150.1,IF('1 PISO TECHO'!$B$28='1 PISO TECHO'!K$14,((('1 PISO TECHO'!K$20-200)*4)/160)*'1 PISO TECHO'!K$22,0)))</f>
        <v>0</v>
      </c>
      <c r="BY19" s="845" t="b">
        <f>IF('1 PISO TECHO'!L$21&gt;112,IF('1 PISO TECHO'!L$21&lt;150.1,IF('1 PISO TECHO'!$B$28='1 PISO TECHO'!L$14,((('1 PISO TECHO'!L$20-200)*4)/160)*'1 PISO TECHO'!L$22,0)))</f>
        <v>0</v>
      </c>
      <c r="BZ19" s="845" t="b">
        <f>IF('1 PISO TECHO'!M$21&gt;112,IF('1 PISO TECHO'!M$21&lt;150.1,IF('1 PISO TECHO'!$B$28='1 PISO TECHO'!M$14,((('1 PISO TECHO'!M$20-200)*4)/160)*'1 PISO TECHO'!M$22,0)))</f>
        <v>0</v>
      </c>
      <c r="CA19" s="845" t="b">
        <f>IF('1 PISO TECHO'!N$21&gt;112,IF('1 PISO TECHO'!N$21&lt;150.1,IF('1 PISO TECHO'!$B$28='1 PISO TECHO'!N$14,((('1 PISO TECHO'!N$20-200)*4)/160)*'1 PISO TECHO'!N$22,0)))</f>
        <v>0</v>
      </c>
      <c r="CB19" s="844">
        <f t="shared" si="4"/>
        <v>0</v>
      </c>
      <c r="CC19" s="845" t="b">
        <f>IF('1 PISO TECHO'!C$21&gt;112,IF('1 PISO TECHO'!C$21&lt;150.1,IF('1 PISO TECHO'!$B$29='1 PISO TECHO'!C$14,((('1 PISO TECHO'!C$20-200)*4)/160)*'1 PISO TECHO'!C$22,0)))</f>
        <v>0</v>
      </c>
      <c r="CD19" s="845" t="b">
        <f>IF('1 PISO TECHO'!D$21&gt;112,IF('1 PISO TECHO'!D$21&lt;150.1,IF('1 PISO TECHO'!$B$29='1 PISO TECHO'!D$14,((('1 PISO TECHO'!D$20-200)*4)/160)*'1 PISO TECHO'!D$22,0)))</f>
        <v>0</v>
      </c>
      <c r="CE19" s="845" t="b">
        <f>IF('1 PISO TECHO'!E$21&gt;112,IF('1 PISO TECHO'!E$21&lt;150.1,IF('1 PISO TECHO'!$B$29='1 PISO TECHO'!E$14,((('1 PISO TECHO'!E$20-200)*4)/160)*'1 PISO TECHO'!E$22,0)))</f>
        <v>0</v>
      </c>
      <c r="CF19" s="845" t="b">
        <f>IF('1 PISO TECHO'!F$21&gt;112,IF('1 PISO TECHO'!F$21&lt;150.1,IF('1 PISO TECHO'!$B$29='1 PISO TECHO'!F$14,((('1 PISO TECHO'!F$20-200)*4)/160)*'1 PISO TECHO'!F$22,0)))</f>
        <v>0</v>
      </c>
      <c r="CG19" s="845" t="b">
        <f>IF('1 PISO TECHO'!G$21&gt;112,IF('1 PISO TECHO'!G$21&lt;150.1,IF('1 PISO TECHO'!$B$29='1 PISO TECHO'!G$14,((('1 PISO TECHO'!G$20-200)*4)/160)*'1 PISO TECHO'!G$22,0)))</f>
        <v>0</v>
      </c>
      <c r="CH19" s="845" t="b">
        <f>IF('1 PISO TECHO'!H$21&gt;112,IF('1 PISO TECHO'!H$21&lt;150.1,IF('1 PISO TECHO'!$B$29='1 PISO TECHO'!H$14,((('1 PISO TECHO'!H$20-200)*4)/160)*'1 PISO TECHO'!H$22,0)))</f>
        <v>0</v>
      </c>
      <c r="CI19" s="845" t="b">
        <f>IF('1 PISO TECHO'!I$21&gt;112,IF('1 PISO TECHO'!I$21&lt;150.1,IF('1 PISO TECHO'!$B$29='1 PISO TECHO'!I$14,((('1 PISO TECHO'!I$20-200)*4)/160)*'1 PISO TECHO'!I$22,0)))</f>
        <v>0</v>
      </c>
      <c r="CJ19" s="845" t="b">
        <f>IF('1 PISO TECHO'!J$21&gt;112,IF('1 PISO TECHO'!J$21&lt;150.1,IF('1 PISO TECHO'!$B$29='1 PISO TECHO'!J$14,((('1 PISO TECHO'!J$20-200)*4)/160)*'1 PISO TECHO'!J$22,0)))</f>
        <v>0</v>
      </c>
      <c r="CK19" s="845" t="b">
        <f>IF('1 PISO TECHO'!K$21&gt;112,IF('1 PISO TECHO'!K$21&lt;150.1,IF('1 PISO TECHO'!$B$29='1 PISO TECHO'!K$14,((('1 PISO TECHO'!K$20-200)*4)/160)*'1 PISO TECHO'!K$22,0)))</f>
        <v>0</v>
      </c>
      <c r="CL19" s="845" t="b">
        <f>IF('1 PISO TECHO'!L$21&gt;112,IF('1 PISO TECHO'!L$21&lt;150.1,IF('1 PISO TECHO'!$B$29='1 PISO TECHO'!L$14,((('1 PISO TECHO'!L$20-200)*4)/160)*'1 PISO TECHO'!L$22,0)))</f>
        <v>0</v>
      </c>
      <c r="CM19" s="845" t="b">
        <f>IF('1 PISO TECHO'!M$21&gt;112,IF('1 PISO TECHO'!M$21&lt;150.1,IF('1 PISO TECHO'!$B$29='1 PISO TECHO'!M$14,((('1 PISO TECHO'!M$20-200)*4)/160)*'1 PISO TECHO'!M$22,0)))</f>
        <v>0</v>
      </c>
      <c r="CN19" s="845" t="b">
        <f>IF('1 PISO TECHO'!N$21&gt;112,IF('1 PISO TECHO'!N$21&lt;150.1,IF('1 PISO TECHO'!$B$29='1 PISO TECHO'!N$14,((('1 PISO TECHO'!N$20-200)*4)/160)*'1 PISO TECHO'!N$22,0)))</f>
        <v>0</v>
      </c>
      <c r="CO19" s="844">
        <f t="shared" si="5"/>
        <v>0</v>
      </c>
      <c r="CP19" s="845" t="b">
        <f>IF('1 PISO TECHO'!C$21&gt;112,IF('1 PISO TECHO'!C$21&lt;150.1,IF('1 PISO TECHO'!$B$30='1 PISO TECHO'!C$14,((('1 PISO TECHO'!C$20-200)*4)/160)*'1 PISO TECHO'!C$22,0)))</f>
        <v>0</v>
      </c>
      <c r="CQ19" s="845" t="b">
        <f>IF('1 PISO TECHO'!D$21&gt;112,IF('1 PISO TECHO'!D$21&lt;150.1,IF('1 PISO TECHO'!$B$30='1 PISO TECHO'!D$14,((('1 PISO TECHO'!D$20-200)*4)/160)*'1 PISO TECHO'!D$22,0)))</f>
        <v>0</v>
      </c>
      <c r="CR19" s="845" t="b">
        <f>IF('1 PISO TECHO'!E$21&gt;112,IF('1 PISO TECHO'!E$21&lt;150.1,IF('1 PISO TECHO'!$B$30='1 PISO TECHO'!E$14,((('1 PISO TECHO'!E$20-200)*4)/160)*'1 PISO TECHO'!E$22,0)))</f>
        <v>0</v>
      </c>
      <c r="CS19" s="845" t="b">
        <f>IF('1 PISO TECHO'!F$21&gt;112,IF('1 PISO TECHO'!F$21&lt;150.1,IF('1 PISO TECHO'!$B$30='1 PISO TECHO'!F$14,((('1 PISO TECHO'!F$20-200)*4)/160)*'1 PISO TECHO'!F$22,0)))</f>
        <v>0</v>
      </c>
      <c r="CT19" s="845" t="b">
        <f>IF('1 PISO TECHO'!G$21&gt;112,IF('1 PISO TECHO'!G$21&lt;150.1,IF('1 PISO TECHO'!$B$30='1 PISO TECHO'!G$14,((('1 PISO TECHO'!G$20-200)*4)/160)*'1 PISO TECHO'!G$22,0)))</f>
        <v>0</v>
      </c>
      <c r="CU19" s="845" t="b">
        <f>IF('1 PISO TECHO'!H$21&gt;112,IF('1 PISO TECHO'!H$21&lt;150.1,IF('1 PISO TECHO'!$B$30='1 PISO TECHO'!H$14,((('1 PISO TECHO'!H$20-200)*4)/160)*'1 PISO TECHO'!H$22,0)))</f>
        <v>0</v>
      </c>
      <c r="CV19" s="845" t="b">
        <f>IF('1 PISO TECHO'!I$21&gt;112,IF('1 PISO TECHO'!I$21&lt;150.1,IF('1 PISO TECHO'!$B$30='1 PISO TECHO'!I$14,((('1 PISO TECHO'!I$20-200)*4)/160)*'1 PISO TECHO'!I$22,0)))</f>
        <v>0</v>
      </c>
      <c r="CW19" s="845" t="b">
        <f>IF('1 PISO TECHO'!J$21&gt;112,IF('1 PISO TECHO'!J$21&lt;150.1,IF('1 PISO TECHO'!$B$30='1 PISO TECHO'!J$14,((('1 PISO TECHO'!J$20-200)*4)/160)*'1 PISO TECHO'!J$22,0)))</f>
        <v>0</v>
      </c>
      <c r="CX19" s="845" t="b">
        <f>IF('1 PISO TECHO'!K$21&gt;112,IF('1 PISO TECHO'!K$21&lt;150.1,IF('1 PISO TECHO'!$B$30='1 PISO TECHO'!K$14,((('1 PISO TECHO'!K$20-200)*4)/160)*'1 PISO TECHO'!K$22,0)))</f>
        <v>0</v>
      </c>
      <c r="CY19" s="845" t="b">
        <f>IF('1 PISO TECHO'!L$21&gt;112,IF('1 PISO TECHO'!L$21&lt;150.1,IF('1 PISO TECHO'!$B$30='1 PISO TECHO'!L$14,((('1 PISO TECHO'!L$20-200)*4)/160)*'1 PISO TECHO'!L$22,0)))</f>
        <v>0</v>
      </c>
      <c r="CZ19" s="845" t="b">
        <f>IF('1 PISO TECHO'!M$21&gt;112,IF('1 PISO TECHO'!M$21&lt;150.1,IF('1 PISO TECHO'!$B$30='1 PISO TECHO'!M$14,((('1 PISO TECHO'!M$20-200)*4)/160)*'1 PISO TECHO'!M$22,0)))</f>
        <v>0</v>
      </c>
      <c r="DA19" s="845" t="b">
        <f>IF('1 PISO TECHO'!N$21&gt;112,IF('1 PISO TECHO'!N$21&lt;150.1,IF('1 PISO TECHO'!$B$30='1 PISO TECHO'!N$14,((('1 PISO TECHO'!N$20-200)*4)/160)*'1 PISO TECHO'!N$22,0)))</f>
        <v>0</v>
      </c>
      <c r="DB19" s="844">
        <f t="shared" si="6"/>
        <v>0</v>
      </c>
      <c r="DD19" s="845"/>
      <c r="DF19" s="845"/>
      <c r="DH19" s="845"/>
      <c r="DI19" s="845"/>
      <c r="DJ19" s="845"/>
      <c r="DK19" s="855"/>
    </row>
    <row r="20" spans="1:115" ht="26.25" x14ac:dyDescent="0.4">
      <c r="B20" s="777">
        <f>+'2 M-A +'!B41</f>
        <v>0</v>
      </c>
      <c r="C20" s="777">
        <f>+'2 M-A +'!C40</f>
        <v>0</v>
      </c>
      <c r="D20" s="521"/>
      <c r="F20" s="25" t="s">
        <v>1084</v>
      </c>
      <c r="I20" s="701">
        <f>IF('1 PISO TECHO'!C$16&gt;0,IF('1 PISO TECHO'!C$16='1 PISO TECHO'!$B$34,IF('1 PISO TECHO'!C$21=70,1,0)))*'1 PISO TECHO'!C$22</f>
        <v>0</v>
      </c>
      <c r="J20" s="701">
        <f>IF('1 PISO TECHO'!D$16&gt;0,IF('1 PISO TECHO'!D$16='1 PISO TECHO'!$B$34,IF('1 PISO TECHO'!D$21=70,1,0)))*'1 PISO TECHO'!D$22</f>
        <v>0</v>
      </c>
      <c r="K20" s="701">
        <f>IF('1 PISO TECHO'!E$16&gt;0,IF('1 PISO TECHO'!E$16='1 PISO TECHO'!$B$34,IF('1 PISO TECHO'!E$21=70,1,0)))*'1 PISO TECHO'!E$22</f>
        <v>0</v>
      </c>
      <c r="L20" s="701">
        <f>IF('1 PISO TECHO'!F$16&gt;0,IF('1 PISO TECHO'!F$16='1 PISO TECHO'!$B$34,IF('1 PISO TECHO'!F$21=70,1,0)))*'1 PISO TECHO'!F$22</f>
        <v>0</v>
      </c>
      <c r="M20" s="701">
        <f>IF('1 PISO TECHO'!G$16&gt;0,IF('1 PISO TECHO'!G$16='1 PISO TECHO'!$B$34,IF('1 PISO TECHO'!G$21=70,1,0)))*'1 PISO TECHO'!G$22</f>
        <v>0</v>
      </c>
      <c r="N20" s="701">
        <f>IF('1 PISO TECHO'!H$16&gt;0,IF('1 PISO TECHO'!H$16='1 PISO TECHO'!$B$34,IF('1 PISO TECHO'!H$21=70,1,0)))*'1 PISO TECHO'!H$22</f>
        <v>0</v>
      </c>
      <c r="O20" s="701">
        <f>IF('1 PISO TECHO'!I$16&gt;0,IF('1 PISO TECHO'!I$16='1 PISO TECHO'!$B$34,IF('1 PISO TECHO'!I$21=70,1,0)))*'1 PISO TECHO'!I$22</f>
        <v>0</v>
      </c>
      <c r="P20" s="701">
        <f>IF('1 PISO TECHO'!J$16&gt;0,IF('1 PISO TECHO'!J$16='1 PISO TECHO'!$B$34,IF('1 PISO TECHO'!J$21=70,1,0)))*'1 PISO TECHO'!J$22</f>
        <v>0</v>
      </c>
      <c r="Q20" s="701">
        <f>IF('1 PISO TECHO'!K$16&gt;0,IF('1 PISO TECHO'!K$16='1 PISO TECHO'!$B$34,IF('1 PISO TECHO'!K$21=70,1,0)))*'1 PISO TECHO'!K$22</f>
        <v>0</v>
      </c>
      <c r="R20" s="701">
        <f>IF('1 PISO TECHO'!L$16&gt;0,IF('1 PISO TECHO'!L$16='1 PISO TECHO'!$B$34,IF('1 PISO TECHO'!L$21=70,1,0)))*'1 PISO TECHO'!L$22</f>
        <v>0</v>
      </c>
      <c r="S20" s="701">
        <f>IF('1 PISO TECHO'!M$16&gt;0,IF('1 PISO TECHO'!M$16='1 PISO TECHO'!$B$34,IF('1 PISO TECHO'!M$21=70,1,0)))*'1 PISO TECHO'!M$22</f>
        <v>0</v>
      </c>
      <c r="T20" s="701">
        <f>IF('1 PISO TECHO'!N$16&gt;0,IF('1 PISO TECHO'!N$16='1 PISO TECHO'!$B$34,IF('1 PISO TECHO'!N$21=70,1,0)))*'1 PISO TECHO'!N$22</f>
        <v>0</v>
      </c>
      <c r="U20" s="706">
        <f t="shared" si="7"/>
        <v>0</v>
      </c>
      <c r="V20" s="701">
        <f>IF('1 PISO TECHO'!C$14='1 PISO TECHO'!$B$34,IF('1 PISO TECHO'!C$21=70,1,0))*'1 PISO TECHO'!C$22</f>
        <v>0</v>
      </c>
      <c r="W20" s="701">
        <f>IF('1 PISO TECHO'!D$14='1 PISO TECHO'!$B$34,IF('1 PISO TECHO'!D$21=70,1,0))*'1 PISO TECHO'!D$22</f>
        <v>0</v>
      </c>
      <c r="X20" s="701">
        <f>IF('1 PISO TECHO'!E$14='1 PISO TECHO'!$B$34,IF('1 PISO TECHO'!E$21=70,1,0))*'1 PISO TECHO'!E$22</f>
        <v>0</v>
      </c>
      <c r="Y20" s="701">
        <f>IF('1 PISO TECHO'!F$14='1 PISO TECHO'!$B$34,IF('1 PISO TECHO'!F$21=70,1,0))*'1 PISO TECHO'!F$22</f>
        <v>0</v>
      </c>
      <c r="Z20" s="701">
        <f>IF('1 PISO TECHO'!G$14='1 PISO TECHO'!$B$34,IF('1 PISO TECHO'!G$21=70,1,0))*'1 PISO TECHO'!G$22</f>
        <v>0</v>
      </c>
      <c r="AA20" s="701">
        <f>IF('1 PISO TECHO'!H$14='1 PISO TECHO'!$B$34,IF('1 PISO TECHO'!H$21=70,1,0))*'1 PISO TECHO'!H$22</f>
        <v>0</v>
      </c>
      <c r="AB20" s="701">
        <f>IF('1 PISO TECHO'!I$14='1 PISO TECHO'!$B$34,IF('1 PISO TECHO'!I$21=70,1,0))*'1 PISO TECHO'!I$22</f>
        <v>0</v>
      </c>
      <c r="AC20" s="701">
        <f>IF('1 PISO TECHO'!J$14='1 PISO TECHO'!$B$34,IF('1 PISO TECHO'!J$21=70,1,0))*'1 PISO TECHO'!J$22</f>
        <v>0</v>
      </c>
      <c r="AD20" s="701">
        <f>IF('1 PISO TECHO'!K$14='1 PISO TECHO'!$B$34,IF('1 PISO TECHO'!K$21=70,1,0))*'1 PISO TECHO'!K$22</f>
        <v>0</v>
      </c>
      <c r="AE20" s="701">
        <f>IF('1 PISO TECHO'!L$14='1 PISO TECHO'!$B$34,IF('1 PISO TECHO'!L$21=70,1,0))*'1 PISO TECHO'!L$22</f>
        <v>0</v>
      </c>
      <c r="AF20" s="701">
        <f>IF('1 PISO TECHO'!M$14='1 PISO TECHO'!$B$34,IF('1 PISO TECHO'!M$21=70,1,0))*'1 PISO TECHO'!M$22</f>
        <v>0</v>
      </c>
      <c r="AG20" s="701">
        <f>IF('1 PISO TECHO'!N$14='1 PISO TECHO'!$B$34,IF('1 PISO TECHO'!N$21=70,1,0))*'1 PISO TECHO'!N$22</f>
        <v>0</v>
      </c>
      <c r="AH20" s="701">
        <f t="shared" si="8"/>
        <v>0</v>
      </c>
      <c r="AI20" s="855"/>
      <c r="AJ20" s="855"/>
      <c r="AK20" s="855"/>
      <c r="AL20" s="855"/>
      <c r="AM20" s="855"/>
      <c r="AN20" s="855"/>
      <c r="AO20" s="855"/>
      <c r="AP20" s="678" t="s">
        <v>988</v>
      </c>
      <c r="AQ20" s="678"/>
      <c r="AR20" s="678"/>
      <c r="AS20" s="678"/>
      <c r="AT20" s="678"/>
      <c r="AU20" s="678"/>
      <c r="AV20" s="678"/>
      <c r="AW20" s="678"/>
      <c r="AX20" s="678"/>
      <c r="AY20" s="678"/>
      <c r="AZ20" s="678"/>
      <c r="BA20" s="678"/>
      <c r="BB20" s="855"/>
      <c r="BC20" s="859"/>
      <c r="BD20" s="859"/>
      <c r="BE20" s="859"/>
      <c r="BF20" s="859"/>
      <c r="BG20" s="859"/>
      <c r="BH20" s="859"/>
      <c r="BI20" s="859"/>
      <c r="BJ20" s="859"/>
      <c r="BK20" s="859"/>
      <c r="BL20" s="859"/>
      <c r="BM20" s="859"/>
      <c r="BN20" s="859"/>
      <c r="BO20" s="855"/>
      <c r="BP20" s="859"/>
      <c r="BQ20" s="859"/>
      <c r="BR20" s="859"/>
      <c r="BS20" s="859"/>
      <c r="BT20" s="859"/>
      <c r="BU20" s="859"/>
      <c r="BV20" s="859"/>
      <c r="BW20" s="859"/>
      <c r="BX20" s="859"/>
      <c r="BY20" s="859"/>
      <c r="BZ20" s="859"/>
      <c r="CA20" s="859"/>
      <c r="CB20" s="855"/>
      <c r="CC20" s="838"/>
      <c r="CD20" s="838"/>
      <c r="CE20" s="838"/>
      <c r="CF20" s="838"/>
      <c r="CG20" s="838"/>
      <c r="CH20" s="838"/>
      <c r="CI20" s="838"/>
      <c r="CJ20" s="838"/>
      <c r="CK20" s="838"/>
      <c r="CL20" s="838"/>
      <c r="CM20" s="838"/>
      <c r="CN20" s="838"/>
      <c r="CO20" s="855"/>
      <c r="CP20" s="838"/>
      <c r="CQ20" s="964"/>
      <c r="CR20" s="838"/>
      <c r="CS20" s="999"/>
      <c r="CT20" s="838"/>
      <c r="CU20" s="838"/>
      <c r="CV20" s="838"/>
      <c r="CW20" s="838"/>
      <c r="CX20" s="838"/>
      <c r="CY20" s="521"/>
      <c r="CZ20" s="838"/>
      <c r="DA20" s="838"/>
      <c r="DB20" s="838"/>
      <c r="DD20" s="845"/>
      <c r="DF20" s="845"/>
      <c r="DH20" s="845"/>
      <c r="DI20" s="845"/>
      <c r="DJ20" s="845"/>
      <c r="DK20" s="855"/>
    </row>
    <row r="21" spans="1:115" x14ac:dyDescent="0.35">
      <c r="B21" s="777">
        <f>+'2 M-A +'!B44</f>
        <v>0</v>
      </c>
      <c r="C21" s="777">
        <f>+'2 M-A +'!C41</f>
        <v>0</v>
      </c>
      <c r="D21" s="521"/>
      <c r="I21" s="701">
        <f>IF('1 PISO TECHO'!C$16&gt;0,IF('1 PISO TECHO'!C$16='1 PISO TECHO'!$B$34,IF('1 PISO TECHO'!C$21=75,1,0)))*'1 PISO TECHO'!C$22</f>
        <v>0</v>
      </c>
      <c r="J21" s="701">
        <f>IF('1 PISO TECHO'!D$16&gt;0,IF('1 PISO TECHO'!D$16='1 PISO TECHO'!$B$34,IF('1 PISO TECHO'!D$21=75,1,0)))*'1 PISO TECHO'!D$22</f>
        <v>0</v>
      </c>
      <c r="K21" s="701">
        <f>IF('1 PISO TECHO'!E$16&gt;0,IF('1 PISO TECHO'!E$16='1 PISO TECHO'!$B$34,IF('1 PISO TECHO'!E$21=75,1,0)))*'1 PISO TECHO'!E$22</f>
        <v>0</v>
      </c>
      <c r="L21" s="701">
        <f>IF('1 PISO TECHO'!F$16&gt;0,IF('1 PISO TECHO'!F$16='1 PISO TECHO'!$B$34,IF('1 PISO TECHO'!F$21=75,1,0)))*'1 PISO TECHO'!F$22</f>
        <v>0</v>
      </c>
      <c r="M21" s="701">
        <f>IF('1 PISO TECHO'!G$16&gt;0,IF('1 PISO TECHO'!G$16='1 PISO TECHO'!$B$34,IF('1 PISO TECHO'!G$21=75,1,0)))*'1 PISO TECHO'!G$22</f>
        <v>0</v>
      </c>
      <c r="N21" s="701">
        <f>IF('1 PISO TECHO'!H$16&gt;0,IF('1 PISO TECHO'!H$16='1 PISO TECHO'!$B$34,IF('1 PISO TECHO'!H$21=75,1,0)))*'1 PISO TECHO'!H$22</f>
        <v>0</v>
      </c>
      <c r="O21" s="701">
        <f>IF('1 PISO TECHO'!I$16&gt;0,IF('1 PISO TECHO'!I$16='1 PISO TECHO'!$B$34,IF('1 PISO TECHO'!I$21=75,1,0)))*'1 PISO TECHO'!I$22</f>
        <v>0</v>
      </c>
      <c r="P21" s="701">
        <f>IF('1 PISO TECHO'!J$16&gt;0,IF('1 PISO TECHO'!J$16='1 PISO TECHO'!$B$34,IF('1 PISO TECHO'!J$21=75,1,0)))*'1 PISO TECHO'!J$22</f>
        <v>0</v>
      </c>
      <c r="Q21" s="701">
        <f>IF('1 PISO TECHO'!K$16&gt;0,IF('1 PISO TECHO'!K$16='1 PISO TECHO'!$B$34,IF('1 PISO TECHO'!K$21=75,1,0)))*'1 PISO TECHO'!K$22</f>
        <v>0</v>
      </c>
      <c r="R21" s="701">
        <f>IF('1 PISO TECHO'!L$16&gt;0,IF('1 PISO TECHO'!L$16='1 PISO TECHO'!$B$34,IF('1 PISO TECHO'!L$21=75,1,0)))*'1 PISO TECHO'!L$22</f>
        <v>0</v>
      </c>
      <c r="S21" s="701">
        <f>IF('1 PISO TECHO'!M$16&gt;0,IF('1 PISO TECHO'!M$16='1 PISO TECHO'!$B$34,IF('1 PISO TECHO'!M$21=75,1,0)))*'1 PISO TECHO'!M$22</f>
        <v>0</v>
      </c>
      <c r="T21" s="701">
        <f>IF('1 PISO TECHO'!N$16&gt;0,IF('1 PISO TECHO'!N$16='1 PISO TECHO'!$B$34,IF('1 PISO TECHO'!N$21=75,1,0)))*'1 PISO TECHO'!N$22</f>
        <v>0</v>
      </c>
      <c r="U21" s="706">
        <f t="shared" si="7"/>
        <v>0</v>
      </c>
      <c r="V21" s="701">
        <f>IF('1 PISO TECHO'!C$14='1 PISO TECHO'!$B$34,IF('1 PISO TECHO'!C$21=75,1,0))*'1 PISO TECHO'!C$22</f>
        <v>0</v>
      </c>
      <c r="W21" s="701">
        <f>IF('1 PISO TECHO'!D$14='1 PISO TECHO'!$B$34,IF('1 PISO TECHO'!D$21=75,1,0))*'1 PISO TECHO'!D$22</f>
        <v>0</v>
      </c>
      <c r="X21" s="701">
        <f>IF('1 PISO TECHO'!E$14='1 PISO TECHO'!$B$34,IF('1 PISO TECHO'!E$21=75,1,0))*'1 PISO TECHO'!E$22</f>
        <v>0</v>
      </c>
      <c r="Y21" s="701">
        <f>IF('1 PISO TECHO'!F$14='1 PISO TECHO'!$B$34,IF('1 PISO TECHO'!F$21=75,1,0))*'1 PISO TECHO'!F$22</f>
        <v>0</v>
      </c>
      <c r="Z21" s="701">
        <f>IF('1 PISO TECHO'!G$14='1 PISO TECHO'!$B$34,IF('1 PISO TECHO'!G$21=75,1,0))*'1 PISO TECHO'!G$22</f>
        <v>0</v>
      </c>
      <c r="AA21" s="701">
        <f>IF('1 PISO TECHO'!H$14='1 PISO TECHO'!$B$34,IF('1 PISO TECHO'!H$21=75,1,0))*'1 PISO TECHO'!H$22</f>
        <v>0</v>
      </c>
      <c r="AB21" s="701">
        <f>IF('1 PISO TECHO'!I$14='1 PISO TECHO'!$B$34,IF('1 PISO TECHO'!I$21=75,1,0))*'1 PISO TECHO'!I$22</f>
        <v>0</v>
      </c>
      <c r="AC21" s="701">
        <f>IF('1 PISO TECHO'!J$14='1 PISO TECHO'!$B$34,IF('1 PISO TECHO'!J$21=75,1,0))*'1 PISO TECHO'!J$22</f>
        <v>0</v>
      </c>
      <c r="AD21" s="701">
        <f>IF('1 PISO TECHO'!K$14='1 PISO TECHO'!$B$34,IF('1 PISO TECHO'!K$21=75,1,0))*'1 PISO TECHO'!K$22</f>
        <v>0</v>
      </c>
      <c r="AE21" s="701">
        <f>IF('1 PISO TECHO'!L$14='1 PISO TECHO'!$B$34,IF('1 PISO TECHO'!L$21=75,1,0))*'1 PISO TECHO'!L$22</f>
        <v>0</v>
      </c>
      <c r="AF21" s="701">
        <f>IF('1 PISO TECHO'!M$14='1 PISO TECHO'!$B$34,IF('1 PISO TECHO'!M$21=75,1,0))*'1 PISO TECHO'!M$22</f>
        <v>0</v>
      </c>
      <c r="AG21" s="701">
        <f>IF('1 PISO TECHO'!N$14='1 PISO TECHO'!$B$34,IF('1 PISO TECHO'!N$21=75,1,0))*'1 PISO TECHO'!N$22</f>
        <v>0</v>
      </c>
      <c r="AH21" s="701">
        <f t="shared" si="8"/>
        <v>0</v>
      </c>
      <c r="AI21" s="855"/>
      <c r="AJ21" s="855"/>
      <c r="AK21" s="855"/>
      <c r="AL21" s="855"/>
      <c r="AM21" s="855"/>
      <c r="AN21" s="855"/>
      <c r="AO21" s="855"/>
      <c r="AP21" s="845">
        <f>IF(AP14&gt;0,0,IF('1 PISO TECHO'!C$20&lt;250.1,IF('1 PISO TECHO'!C$21&gt;5.5,IF('1 PISO TECHO'!C$21&lt;28.1,1,0)))*'1 PISO TECHO'!C$22)</f>
        <v>0</v>
      </c>
      <c r="AQ21" s="845">
        <f>IF(AQ14&gt;0,0,IF('1 PISO TECHO'!D$20&lt;250.1,IF('1 PISO TECHO'!D$21&gt;5.5,IF('1 PISO TECHO'!D$21&lt;28.1,1,0)))*'1 PISO TECHO'!D$22)</f>
        <v>0</v>
      </c>
      <c r="AR21" s="845">
        <f>IF(AR14&gt;0,0,IF('1 PISO TECHO'!E$20&lt;250.1,IF('1 PISO TECHO'!E$21&gt;5.5,IF('1 PISO TECHO'!E$21&lt;28.1,1,0)))*'1 PISO TECHO'!E$22)</f>
        <v>0</v>
      </c>
      <c r="AS21" s="845">
        <f>IF(AS14&gt;0,0,IF('1 PISO TECHO'!F$20&lt;250.1,IF('1 PISO TECHO'!F$21&gt;5.5,IF('1 PISO TECHO'!F$21&lt;28.1,1,0)))*'1 PISO TECHO'!F$22)</f>
        <v>0</v>
      </c>
      <c r="AT21" s="845">
        <f>IF(AT14&gt;0,0,IF('1 PISO TECHO'!G$20&lt;250.1,IF('1 PISO TECHO'!G$21&gt;5.5,IF('1 PISO TECHO'!G$21&lt;28.1,1,0)))*'1 PISO TECHO'!G$22)</f>
        <v>0</v>
      </c>
      <c r="AU21" s="845">
        <f>IF(AU14&gt;0,0,IF('1 PISO TECHO'!H$20&lt;250.1,IF('1 PISO TECHO'!H$21&gt;5.5,IF('1 PISO TECHO'!H$21&lt;28.1,1,0)))*'1 PISO TECHO'!H$22)</f>
        <v>0</v>
      </c>
      <c r="AV21" s="845">
        <f>IF(AV14&gt;0,0,IF('1 PISO TECHO'!I$20&lt;250.1,IF('1 PISO TECHO'!I$21&gt;5.5,IF('1 PISO TECHO'!I$21&lt;28.1,1,0)))*'1 PISO TECHO'!I$22)</f>
        <v>0</v>
      </c>
      <c r="AW21" s="845">
        <f>IF(AW14&gt;0,0,IF('1 PISO TECHO'!J$20&lt;250.1,IF('1 PISO TECHO'!J$21&gt;5.5,IF('1 PISO TECHO'!J$21&lt;28.1,1,0)))*'1 PISO TECHO'!J$22)</f>
        <v>0</v>
      </c>
      <c r="AX21" s="845">
        <f>IF(AX14&gt;0,0,IF('1 PISO TECHO'!K$20&lt;250.1,IF('1 PISO TECHO'!K$21&gt;5.5,IF('1 PISO TECHO'!K$21&lt;28.1,1,0)))*'1 PISO TECHO'!K$22)</f>
        <v>0</v>
      </c>
      <c r="AY21" s="845">
        <f>IF(AY14&gt;0,0,IF('1 PISO TECHO'!L$20&lt;250.1,IF('1 PISO TECHO'!L$21&gt;5.5,IF('1 PISO TECHO'!L$21&lt;28.1,1,0)))*'1 PISO TECHO'!L$22)</f>
        <v>0</v>
      </c>
      <c r="AZ21" s="845">
        <f>IF(AZ14&gt;0,0,IF('1 PISO TECHO'!M$20&lt;250.1,IF('1 PISO TECHO'!M$21&gt;5.5,IF('1 PISO TECHO'!M$21&lt;28.1,1,0)))*'1 PISO TECHO'!M$22)</f>
        <v>0</v>
      </c>
      <c r="BA21" s="845">
        <f>IF(BA14&gt;0,0,IF('1 PISO TECHO'!N$20&lt;250.1,IF('1 PISO TECHO'!N$21&gt;5.5,IF('1 PISO TECHO'!N$21&lt;28.1,1,0)))*'1 PISO TECHO'!N$22)</f>
        <v>0</v>
      </c>
      <c r="BB21" s="844">
        <f t="shared" ref="BB21:BB26" si="9">SUM(AP21:BA21)</f>
        <v>0</v>
      </c>
      <c r="BC21" s="838"/>
      <c r="BD21" s="855"/>
      <c r="BE21" s="855"/>
      <c r="BF21" s="855"/>
      <c r="BG21" s="855"/>
      <c r="BH21" s="855"/>
      <c r="BI21" s="855"/>
      <c r="BJ21" s="855"/>
      <c r="BK21" s="855"/>
      <c r="BL21" s="855"/>
      <c r="BM21" s="855"/>
      <c r="BN21" s="855"/>
      <c r="BO21" s="855"/>
      <c r="BP21" s="838"/>
      <c r="BQ21" s="855"/>
      <c r="BR21" s="855"/>
      <c r="BS21" s="855"/>
      <c r="BT21" s="855"/>
      <c r="BU21" s="855"/>
      <c r="BV21" s="855"/>
      <c r="BW21" s="855"/>
      <c r="BX21" s="855"/>
      <c r="BY21" s="855"/>
      <c r="BZ21" s="855"/>
      <c r="CA21" s="855"/>
      <c r="CB21" s="855"/>
      <c r="CC21" s="838"/>
      <c r="CD21" s="855"/>
      <c r="CE21" s="855"/>
      <c r="CF21" s="855"/>
      <c r="CG21" s="855"/>
      <c r="CH21" s="855"/>
      <c r="CI21" s="855"/>
      <c r="CJ21" s="855"/>
      <c r="CK21" s="855"/>
      <c r="CL21" s="855"/>
      <c r="CM21" s="855"/>
      <c r="CN21" s="855"/>
      <c r="CO21" s="855"/>
      <c r="CP21" s="838"/>
      <c r="CQ21" s="855"/>
      <c r="CR21" s="855"/>
      <c r="CS21" s="855"/>
      <c r="CT21" s="855"/>
      <c r="CU21" s="855"/>
      <c r="CV21" s="855"/>
      <c r="CW21" s="855"/>
      <c r="CX21" s="855"/>
      <c r="CY21" s="855"/>
      <c r="CZ21" s="855"/>
      <c r="DA21" s="855"/>
      <c r="DB21" s="855"/>
      <c r="DD21" s="845"/>
      <c r="DF21" s="845"/>
      <c r="DH21" s="845"/>
      <c r="DI21" s="845"/>
      <c r="DJ21" s="845"/>
      <c r="DK21" s="855"/>
    </row>
    <row r="22" spans="1:115" x14ac:dyDescent="0.35">
      <c r="B22" s="777">
        <f>+'2 M-A +'!B45</f>
        <v>0</v>
      </c>
      <c r="C22" s="701">
        <f>+'2 M-A +'!C44</f>
        <v>0</v>
      </c>
      <c r="D22" s="521"/>
      <c r="I22" s="701">
        <f>IF('1 PISO TECHO'!C$16&gt;0,IF('1 PISO TECHO'!C$16='1 PISO TECHO'!$B$34,IF('1 PISO TECHO'!C$21=84,1,0)))*'1 PISO TECHO'!C$22</f>
        <v>0</v>
      </c>
      <c r="J22" s="701">
        <f>IF('1 PISO TECHO'!D$16&gt;0,IF('1 PISO TECHO'!D$16='1 PISO TECHO'!$B$34,IF('1 PISO TECHO'!D$21=84,1,0)))*'1 PISO TECHO'!D$22</f>
        <v>0</v>
      </c>
      <c r="K22" s="701">
        <f>IF('1 PISO TECHO'!E$16&gt;0,IF('1 PISO TECHO'!E$16='1 PISO TECHO'!$B$34,IF('1 PISO TECHO'!E$21=84,1,0)))*'1 PISO TECHO'!E$22</f>
        <v>0</v>
      </c>
      <c r="L22" s="701">
        <f>IF('1 PISO TECHO'!F$16&gt;0,IF('1 PISO TECHO'!F$16='1 PISO TECHO'!$B$34,IF('1 PISO TECHO'!F$21=84,1,0)))*'1 PISO TECHO'!F$22</f>
        <v>0</v>
      </c>
      <c r="M22" s="701">
        <f>IF('1 PISO TECHO'!G$16&gt;0,IF('1 PISO TECHO'!G$16='1 PISO TECHO'!$B$34,IF('1 PISO TECHO'!G$21=84,1,0)))*'1 PISO TECHO'!G$22</f>
        <v>0</v>
      </c>
      <c r="N22" s="701">
        <f>IF('1 PISO TECHO'!H$16&gt;0,IF('1 PISO TECHO'!H$16='1 PISO TECHO'!$B$34,IF('1 PISO TECHO'!H$21=84,1,0)))*'1 PISO TECHO'!H$22</f>
        <v>0</v>
      </c>
      <c r="O22" s="701">
        <f>IF('1 PISO TECHO'!I$16&gt;0,IF('1 PISO TECHO'!I$16='1 PISO TECHO'!$B$34,IF('1 PISO TECHO'!I$21=84,1,0)))*'1 PISO TECHO'!I$22</f>
        <v>0</v>
      </c>
      <c r="P22" s="701">
        <f>IF('1 PISO TECHO'!J$16&gt;0,IF('1 PISO TECHO'!J$16='1 PISO TECHO'!$B$34,IF('1 PISO TECHO'!J$21=84,1,0)))*'1 PISO TECHO'!J$22</f>
        <v>0</v>
      </c>
      <c r="Q22" s="701">
        <f>IF('1 PISO TECHO'!K$16&gt;0,IF('1 PISO TECHO'!K$16='1 PISO TECHO'!$B$34,IF('1 PISO TECHO'!K$21=84,1,0)))*'1 PISO TECHO'!K$22</f>
        <v>0</v>
      </c>
      <c r="R22" s="701">
        <f>IF('1 PISO TECHO'!L$16&gt;0,IF('1 PISO TECHO'!L$16='1 PISO TECHO'!$B$34,IF('1 PISO TECHO'!L$21=84,1,0)))*'1 PISO TECHO'!L$22</f>
        <v>0</v>
      </c>
      <c r="S22" s="701">
        <f>IF('1 PISO TECHO'!M$16&gt;0,IF('1 PISO TECHO'!M$16='1 PISO TECHO'!$B$34,IF('1 PISO TECHO'!M$21=84,1,0)))*'1 PISO TECHO'!M$22</f>
        <v>0</v>
      </c>
      <c r="T22" s="701">
        <f>IF('1 PISO TECHO'!N$16&gt;0,IF('1 PISO TECHO'!N$16='1 PISO TECHO'!$B$34,IF('1 PISO TECHO'!N$21=84,1,0)))*'1 PISO TECHO'!N$22</f>
        <v>0</v>
      </c>
      <c r="U22" s="706">
        <f t="shared" si="7"/>
        <v>0</v>
      </c>
      <c r="V22" s="701">
        <f>IF('1 PISO TECHO'!C$14='1 PISO TECHO'!$B$34,IF('1 PISO TECHO'!C$21=84,1,0))*'1 PISO TECHO'!C$22</f>
        <v>0</v>
      </c>
      <c r="W22" s="701">
        <f>IF('1 PISO TECHO'!D$14='1 PISO TECHO'!$B$34,IF('1 PISO TECHO'!D$21=84,1,0))*'1 PISO TECHO'!D$22</f>
        <v>0</v>
      </c>
      <c r="X22" s="701">
        <f>IF('1 PISO TECHO'!E$14='1 PISO TECHO'!$B$34,IF('1 PISO TECHO'!E$21=84,1,0))*'1 PISO TECHO'!E$22</f>
        <v>0</v>
      </c>
      <c r="Y22" s="701">
        <f>IF('1 PISO TECHO'!F$14='1 PISO TECHO'!$B$34,IF('1 PISO TECHO'!F$21=84,1,0))*'1 PISO TECHO'!F$22</f>
        <v>0</v>
      </c>
      <c r="Z22" s="701">
        <f>IF('1 PISO TECHO'!G$14='1 PISO TECHO'!$B$34,IF('1 PISO TECHO'!G$21=84,1,0))*'1 PISO TECHO'!G$22</f>
        <v>0</v>
      </c>
      <c r="AA22" s="701">
        <f>IF('1 PISO TECHO'!H$14='1 PISO TECHO'!$B$34,IF('1 PISO TECHO'!H$21=84,1,0))*'1 PISO TECHO'!H$22</f>
        <v>0</v>
      </c>
      <c r="AB22" s="701">
        <f>IF('1 PISO TECHO'!I$14='1 PISO TECHO'!$B$34,IF('1 PISO TECHO'!I$21=84,1,0))*'1 PISO TECHO'!I$22</f>
        <v>0</v>
      </c>
      <c r="AC22" s="701">
        <f>IF('1 PISO TECHO'!J$14='1 PISO TECHO'!$B$34,IF('1 PISO TECHO'!J$21=84,1,0))*'1 PISO TECHO'!J$22</f>
        <v>0</v>
      </c>
      <c r="AD22" s="701">
        <f>IF('1 PISO TECHO'!K$14='1 PISO TECHO'!$B$34,IF('1 PISO TECHO'!K$21=84,1,0))*'1 PISO TECHO'!K$22</f>
        <v>0</v>
      </c>
      <c r="AE22" s="701">
        <f>IF('1 PISO TECHO'!L$14='1 PISO TECHO'!$B$34,IF('1 PISO TECHO'!L$21=84,1,0))*'1 PISO TECHO'!L$22</f>
        <v>0</v>
      </c>
      <c r="AF22" s="701">
        <f>IF('1 PISO TECHO'!M$14='1 PISO TECHO'!$B$34,IF('1 PISO TECHO'!M$21=84,1,0))*'1 PISO TECHO'!M$22</f>
        <v>0</v>
      </c>
      <c r="AG22" s="701">
        <f>IF('1 PISO TECHO'!N$14='1 PISO TECHO'!$B$34,IF('1 PISO TECHO'!N$21=84,1,0))*'1 PISO TECHO'!N$22</f>
        <v>0</v>
      </c>
      <c r="AH22" s="701">
        <f t="shared" si="8"/>
        <v>0</v>
      </c>
      <c r="AI22" s="855"/>
      <c r="AJ22" s="855"/>
      <c r="AK22" s="855"/>
      <c r="AL22" s="855"/>
      <c r="AM22" s="855"/>
      <c r="AN22" s="855"/>
      <c r="AO22" s="855"/>
      <c r="AP22" s="845">
        <f>IF(AP15&gt;0,0,IF('1 PISO TECHO'!C$20&lt;250.1,IF('1 PISO TECHO'!C$21&gt;28,IF('1 PISO TECHO'!C$21&lt;56.1,1,0)))*'1 PISO TECHO'!C$22)</f>
        <v>0</v>
      </c>
      <c r="AQ22" s="845">
        <f>IF(AQ15&gt;0,0,IF('1 PISO TECHO'!D$20&lt;250.1,IF('1 PISO TECHO'!D$21&gt;28,IF('1 PISO TECHO'!D$21&lt;56.1,1,0)))*'1 PISO TECHO'!D$22)</f>
        <v>0</v>
      </c>
      <c r="AR22" s="845">
        <f>IF(AR15&gt;0,0,IF('1 PISO TECHO'!E$20&lt;250.1,IF('1 PISO TECHO'!E$21&gt;28,IF('1 PISO TECHO'!E$21&lt;56.1,1,0)))*'1 PISO TECHO'!E$22)</f>
        <v>0</v>
      </c>
      <c r="AS22" s="845">
        <f>IF(AS15&gt;0,0,IF('1 PISO TECHO'!F$20&lt;250.1,IF('1 PISO TECHO'!F$21&gt;28,IF('1 PISO TECHO'!F$21&lt;56.1,1,0)))*'1 PISO TECHO'!F$22)</f>
        <v>0</v>
      </c>
      <c r="AT22" s="845">
        <f>IF(AT15&gt;0,0,IF('1 PISO TECHO'!G$20&lt;250.1,IF('1 PISO TECHO'!G$21&gt;28,IF('1 PISO TECHO'!G$21&lt;56.1,1,0)))*'1 PISO TECHO'!G$22)</f>
        <v>0</v>
      </c>
      <c r="AU22" s="845">
        <f>IF(AU15&gt;0,0,IF('1 PISO TECHO'!H$20&lt;250.1,IF('1 PISO TECHO'!H$21&gt;28,IF('1 PISO TECHO'!H$21&lt;56.1,1,0)))*'1 PISO TECHO'!H$22)</f>
        <v>0</v>
      </c>
      <c r="AV22" s="845">
        <f>IF(AV15&gt;0,0,IF('1 PISO TECHO'!I$20&lt;250.1,IF('1 PISO TECHO'!I$21&gt;28,IF('1 PISO TECHO'!I$21&lt;56.1,1,0)))*'1 PISO TECHO'!I$22)</f>
        <v>0</v>
      </c>
      <c r="AW22" s="845">
        <f>IF(AW15&gt;0,0,IF('1 PISO TECHO'!J$20&lt;250.1,IF('1 PISO TECHO'!J$21&gt;28,IF('1 PISO TECHO'!J$21&lt;56.1,1,0)))*'1 PISO TECHO'!J$22)</f>
        <v>0</v>
      </c>
      <c r="AX22" s="845">
        <f>IF(AX15&gt;0,0,IF('1 PISO TECHO'!K$20&lt;250.1,IF('1 PISO TECHO'!K$21&gt;28,IF('1 PISO TECHO'!K$21&lt;56.1,1,0)))*'1 PISO TECHO'!K$22)</f>
        <v>0</v>
      </c>
      <c r="AY22" s="845">
        <f>IF(AY15&gt;0,0,IF('1 PISO TECHO'!L$20&lt;250.1,IF('1 PISO TECHO'!L$21&gt;28,IF('1 PISO TECHO'!L$21&lt;56.1,1,0)))*'1 PISO TECHO'!L$22)</f>
        <v>0</v>
      </c>
      <c r="AZ22" s="845">
        <f>IF(AZ15&gt;0,0,IF('1 PISO TECHO'!M$20&lt;250.1,IF('1 PISO TECHO'!M$21&gt;28,IF('1 PISO TECHO'!M$21&lt;56.1,1,0)))*'1 PISO TECHO'!M$22)</f>
        <v>0</v>
      </c>
      <c r="BA22" s="845">
        <f>IF(BA15&gt;0,0,IF('1 PISO TECHO'!N$20&lt;250.1,IF('1 PISO TECHO'!N$21&gt;28,IF('1 PISO TECHO'!N$21&lt;56.1,1,0)))*'1 PISO TECHO'!N$22)</f>
        <v>0</v>
      </c>
      <c r="BB22" s="844">
        <f t="shared" si="9"/>
        <v>0</v>
      </c>
      <c r="BC22" s="855"/>
      <c r="BD22" s="855"/>
      <c r="BE22" s="855"/>
      <c r="BF22" s="855"/>
      <c r="BG22" s="855"/>
      <c r="BH22" s="855"/>
      <c r="BI22" s="855"/>
      <c r="BJ22" s="855"/>
      <c r="BK22" s="855"/>
      <c r="BL22" s="855"/>
      <c r="BM22" s="855"/>
      <c r="BN22" s="855"/>
      <c r="BO22" s="855"/>
      <c r="BP22" s="855"/>
      <c r="BQ22" s="855"/>
      <c r="BR22" s="855"/>
      <c r="BS22" s="855"/>
      <c r="BT22" s="855"/>
      <c r="BU22" s="855"/>
      <c r="BV22" s="855"/>
      <c r="BW22" s="855"/>
      <c r="BX22" s="855"/>
      <c r="BY22" s="855"/>
      <c r="BZ22" s="855"/>
      <c r="CA22" s="855"/>
      <c r="CB22" s="855"/>
      <c r="CC22" s="855"/>
      <c r="CD22" s="855"/>
      <c r="CE22" s="855"/>
      <c r="CF22" s="855"/>
      <c r="CG22" s="855"/>
      <c r="CH22" s="855"/>
      <c r="CI22" s="855"/>
      <c r="CJ22" s="855"/>
      <c r="CK22" s="855"/>
      <c r="CL22" s="855"/>
      <c r="CM22" s="855"/>
      <c r="CN22" s="855"/>
      <c r="CO22" s="855"/>
      <c r="CP22" s="855"/>
      <c r="CQ22" s="855"/>
      <c r="CR22" s="855"/>
      <c r="CS22" s="855"/>
      <c r="CT22" s="855"/>
      <c r="CU22" s="855"/>
      <c r="CV22" s="855"/>
      <c r="CW22" s="855"/>
      <c r="CX22" s="855"/>
      <c r="CY22" s="855"/>
      <c r="CZ22" s="855"/>
      <c r="DA22" s="855"/>
      <c r="DB22" s="855"/>
      <c r="DK22" s="855"/>
    </row>
    <row r="23" spans="1:115" x14ac:dyDescent="0.35">
      <c r="B23" s="777">
        <f>+'2 M-A +'!B46</f>
        <v>0</v>
      </c>
      <c r="C23" s="701">
        <f>+'2 M-A +'!C45</f>
        <v>0</v>
      </c>
      <c r="D23" s="521"/>
      <c r="I23" s="701">
        <f>IF('1 PISO TECHO'!C$16&gt;0,IF('1 PISO TECHO'!C$16='1 PISO TECHO'!$B$34,IF('1 PISO TECHO'!C$21=150,1,0)))*'1 PISO TECHO'!C$22</f>
        <v>0</v>
      </c>
      <c r="J23" s="701">
        <f>IF('1 PISO TECHO'!D$16&gt;0,IF('1 PISO TECHO'!D$16='1 PISO TECHO'!$B$34,IF('1 PISO TECHO'!D$21=150,1,0)))*'1 PISO TECHO'!D$22</f>
        <v>0</v>
      </c>
      <c r="K23" s="701">
        <f>IF('1 PISO TECHO'!E$16&gt;0,IF('1 PISO TECHO'!E$16='1 PISO TECHO'!$B$34,IF('1 PISO TECHO'!E$21=150,1,0)))*'1 PISO TECHO'!E$22</f>
        <v>0</v>
      </c>
      <c r="L23" s="701">
        <f>IF('1 PISO TECHO'!F$16&gt;0,IF('1 PISO TECHO'!F$16='1 PISO TECHO'!$B$34,IF('1 PISO TECHO'!F$21=150,1,0)))*'1 PISO TECHO'!F$22</f>
        <v>0</v>
      </c>
      <c r="M23" s="701">
        <f>IF('1 PISO TECHO'!G$16&gt;0,IF('1 PISO TECHO'!G$16='1 PISO TECHO'!$B$34,IF('1 PISO TECHO'!G$21=150,1,0)))*'1 PISO TECHO'!G$22</f>
        <v>0</v>
      </c>
      <c r="N23" s="701">
        <f>IF('1 PISO TECHO'!H$16&gt;0,IF('1 PISO TECHO'!H$16='1 PISO TECHO'!$B$34,IF('1 PISO TECHO'!H$21=150,1,0)))*'1 PISO TECHO'!H$22</f>
        <v>0</v>
      </c>
      <c r="O23" s="701">
        <f>IF('1 PISO TECHO'!I$16&gt;0,IF('1 PISO TECHO'!I$16='1 PISO TECHO'!$B$34,IF('1 PISO TECHO'!I$21=150,1,0)))*'1 PISO TECHO'!I$22</f>
        <v>0</v>
      </c>
      <c r="P23" s="701">
        <f>IF('1 PISO TECHO'!J$16&gt;0,IF('1 PISO TECHO'!J$16='1 PISO TECHO'!$B$34,IF('1 PISO TECHO'!J$21=150,1,0)))*'1 PISO TECHO'!J$22</f>
        <v>0</v>
      </c>
      <c r="Q23" s="701">
        <f>IF('1 PISO TECHO'!K$16&gt;0,IF('1 PISO TECHO'!K$16='1 PISO TECHO'!$B$34,IF('1 PISO TECHO'!K$21=150,1,0)))*'1 PISO TECHO'!K$22</f>
        <v>0</v>
      </c>
      <c r="R23" s="701">
        <f>IF('1 PISO TECHO'!L$16&gt;0,IF('1 PISO TECHO'!L$16='1 PISO TECHO'!$B$34,IF('1 PISO TECHO'!L$21=150,1,0)))*'1 PISO TECHO'!L$22</f>
        <v>0</v>
      </c>
      <c r="S23" s="701">
        <f>IF('1 PISO TECHO'!M$16&gt;0,IF('1 PISO TECHO'!M$16='1 PISO TECHO'!$B$34,IF('1 PISO TECHO'!M$21=150,1,0)))*'1 PISO TECHO'!M$22</f>
        <v>0</v>
      </c>
      <c r="T23" s="701">
        <f>IF('1 PISO TECHO'!N$16&gt;0,IF('1 PISO TECHO'!N$16='1 PISO TECHO'!$B$34,IF('1 PISO TECHO'!N$21=150,1,0)))*'1 PISO TECHO'!N$22</f>
        <v>0</v>
      </c>
      <c r="U23" s="706">
        <f t="shared" si="7"/>
        <v>0</v>
      </c>
      <c r="V23" s="701">
        <f>IF('1 PISO TECHO'!C$14='1 PISO TECHO'!$B$34,IF('1 PISO TECHO'!C$21=90,1,0))*'1 PISO TECHO'!C$22</f>
        <v>0</v>
      </c>
      <c r="W23" s="701">
        <f>IF('1 PISO TECHO'!D$14='1 PISO TECHO'!$B$34,IF('1 PISO TECHO'!D$21=90,1,0))*'1 PISO TECHO'!D$22</f>
        <v>0</v>
      </c>
      <c r="X23" s="701">
        <f>IF('1 PISO TECHO'!E$14='1 PISO TECHO'!$B$34,IF('1 PISO TECHO'!E$21=90,1,0))*'1 PISO TECHO'!E$22</f>
        <v>0</v>
      </c>
      <c r="Y23" s="701">
        <f>IF('1 PISO TECHO'!F$14='1 PISO TECHO'!$B$34,IF('1 PISO TECHO'!F$21=90,1,0))*'1 PISO TECHO'!F$22</f>
        <v>0</v>
      </c>
      <c r="Z23" s="701">
        <f>IF('1 PISO TECHO'!G$14='1 PISO TECHO'!$B$34,IF('1 PISO TECHO'!G$21=90,1,0))*'1 PISO TECHO'!G$22</f>
        <v>0</v>
      </c>
      <c r="AA23" s="701">
        <f>IF('1 PISO TECHO'!H$14='1 PISO TECHO'!$B$34,IF('1 PISO TECHO'!H$21=90,1,0))*'1 PISO TECHO'!H$22</f>
        <v>0</v>
      </c>
      <c r="AB23" s="701">
        <f>IF('1 PISO TECHO'!I$14='1 PISO TECHO'!$B$34,IF('1 PISO TECHO'!I$21=90,1,0))*'1 PISO TECHO'!I$22</f>
        <v>0</v>
      </c>
      <c r="AC23" s="701">
        <f>IF('1 PISO TECHO'!J$14='1 PISO TECHO'!$B$34,IF('1 PISO TECHO'!J$21=90,1,0))*'1 PISO TECHO'!J$22</f>
        <v>0</v>
      </c>
      <c r="AD23" s="701">
        <f>IF('1 PISO TECHO'!K$14='1 PISO TECHO'!$B$34,IF('1 PISO TECHO'!K$21=90,1,0))*'1 PISO TECHO'!K$22</f>
        <v>0</v>
      </c>
      <c r="AE23" s="701">
        <f>IF('1 PISO TECHO'!L$14='1 PISO TECHO'!$B$34,IF('1 PISO TECHO'!L$21=90,1,0))*'1 PISO TECHO'!L$22</f>
        <v>0</v>
      </c>
      <c r="AF23" s="701">
        <f>IF('1 PISO TECHO'!M$14='1 PISO TECHO'!$B$34,IF('1 PISO TECHO'!M$21=90,1,0))*'1 PISO TECHO'!M$22</f>
        <v>0</v>
      </c>
      <c r="AG23" s="701">
        <f>IF('1 PISO TECHO'!N$14='1 PISO TECHO'!$B$34,IF('1 PISO TECHO'!N$21=90,1,0))*'1 PISO TECHO'!N$22</f>
        <v>0</v>
      </c>
      <c r="AH23" s="701">
        <f t="shared" si="8"/>
        <v>0</v>
      </c>
      <c r="AI23" s="855"/>
      <c r="AJ23" s="855"/>
      <c r="AK23" s="855"/>
      <c r="AL23" s="855"/>
      <c r="AM23" s="855"/>
      <c r="AN23" s="855"/>
      <c r="AO23" s="855"/>
      <c r="AP23" s="845">
        <f>IF(AP16&gt;0,0,IF('1 PISO TECHO'!C$20&lt;250,IF('1 PISO TECHO'!C$21&gt;56,IF('1 PISO TECHO'!C$21&lt;70.1,1,0)))*'1 PISO TECHO'!C$22)</f>
        <v>0</v>
      </c>
      <c r="AQ23" s="845">
        <f>IF(AQ16&gt;0,0,IF('1 PISO TECHO'!D$20&lt;250,IF('1 PISO TECHO'!D$21&gt;56,IF('1 PISO TECHO'!D$21&lt;70.1,1,0)))*'1 PISO TECHO'!D$22)</f>
        <v>0</v>
      </c>
      <c r="AR23" s="845">
        <f>IF(AR16&gt;0,0,IF('1 PISO TECHO'!E$20&lt;250,IF('1 PISO TECHO'!E$21&gt;56,IF('1 PISO TECHO'!E$21&lt;70.1,1,0)))*'1 PISO TECHO'!E$22)</f>
        <v>0</v>
      </c>
      <c r="AS23" s="845">
        <f>IF(AS16&gt;0,0,IF('1 PISO TECHO'!F$20&lt;250,IF('1 PISO TECHO'!F$21&gt;56,IF('1 PISO TECHO'!F$21&lt;70.1,1,0)))*'1 PISO TECHO'!F$22)</f>
        <v>0</v>
      </c>
      <c r="AT23" s="845">
        <f>IF(AT16&gt;0,0,IF('1 PISO TECHO'!G$20&lt;250,IF('1 PISO TECHO'!G$21&gt;56,IF('1 PISO TECHO'!G$21&lt;70.1,1,0)))*'1 PISO TECHO'!G$22)</f>
        <v>0</v>
      </c>
      <c r="AU23" s="845">
        <f>IF(AU16&gt;0,0,IF('1 PISO TECHO'!H$20&lt;250,IF('1 PISO TECHO'!H$21&gt;56,IF('1 PISO TECHO'!H$21&lt;70.1,1,0)))*'1 PISO TECHO'!H$22)</f>
        <v>0</v>
      </c>
      <c r="AV23" s="845">
        <f>IF(AV16&gt;0,0,IF('1 PISO TECHO'!I$20&lt;250,IF('1 PISO TECHO'!I$21&gt;56,IF('1 PISO TECHO'!I$21&lt;70.1,1,0)))*'1 PISO TECHO'!I$22)</f>
        <v>0</v>
      </c>
      <c r="AW23" s="845">
        <f>IF(AW16&gt;0,0,IF('1 PISO TECHO'!J$20&lt;250,IF('1 PISO TECHO'!J$21&gt;56,IF('1 PISO TECHO'!J$21&lt;70.1,1,0)))*'1 PISO TECHO'!J$22)</f>
        <v>0</v>
      </c>
      <c r="AX23" s="845">
        <f>IF(AX16&gt;0,0,IF('1 PISO TECHO'!K$20&lt;250,IF('1 PISO TECHO'!K$21&gt;56,IF('1 PISO TECHO'!K$21&lt;70.1,1,0)))*'1 PISO TECHO'!K$22)</f>
        <v>0</v>
      </c>
      <c r="AY23" s="845">
        <f>IF(AY16&gt;0,0,IF('1 PISO TECHO'!L$20&lt;250,IF('1 PISO TECHO'!L$21&gt;56,IF('1 PISO TECHO'!L$21&lt;70.1,1,0)))*'1 PISO TECHO'!L$22)</f>
        <v>0</v>
      </c>
      <c r="AZ23" s="845">
        <f>IF(AZ16&gt;0,0,IF('1 PISO TECHO'!M$20&lt;250,IF('1 PISO TECHO'!M$21&gt;56,IF('1 PISO TECHO'!M$21&lt;70.1,1,0)))*'1 PISO TECHO'!M$22)</f>
        <v>0</v>
      </c>
      <c r="BA23" s="845">
        <f>IF(BA16&gt;0,0,IF('1 PISO TECHO'!N$20&lt;250,IF('1 PISO TECHO'!N$21&gt;56,IF('1 PISO TECHO'!N$21&lt;70.1,1,0)))*'1 PISO TECHO'!N$22)</f>
        <v>0</v>
      </c>
      <c r="BB23" s="844">
        <f t="shared" si="9"/>
        <v>0</v>
      </c>
      <c r="BC23" s="855"/>
      <c r="BD23" s="855"/>
      <c r="BE23" s="855"/>
      <c r="BF23" s="855"/>
      <c r="BG23" s="855"/>
      <c r="BH23" s="855"/>
      <c r="BI23" s="855"/>
      <c r="BJ23" s="855"/>
      <c r="BK23" s="855"/>
      <c r="BL23" s="855"/>
      <c r="BM23" s="855"/>
      <c r="BN23" s="855"/>
      <c r="BO23" s="855"/>
      <c r="BP23" s="855"/>
      <c r="BQ23" s="855"/>
      <c r="BR23" s="855"/>
      <c r="BS23" s="855"/>
      <c r="BT23" s="855"/>
      <c r="BU23" s="855"/>
      <c r="BV23" s="855"/>
      <c r="BW23" s="855"/>
      <c r="BX23" s="855"/>
      <c r="BY23" s="855"/>
      <c r="BZ23" s="855"/>
      <c r="CA23" s="855"/>
      <c r="CB23" s="855"/>
      <c r="CC23" s="855"/>
      <c r="CD23" s="855"/>
      <c r="CE23" s="855"/>
      <c r="CF23" s="855"/>
      <c r="CG23" s="855"/>
      <c r="CH23" s="855"/>
      <c r="CI23" s="855"/>
      <c r="CJ23" s="855"/>
      <c r="CK23" s="855"/>
      <c r="CL23" s="855"/>
      <c r="CM23" s="855"/>
      <c r="CN23" s="855"/>
      <c r="CO23" s="855"/>
      <c r="CP23" s="855"/>
      <c r="CQ23" s="855"/>
      <c r="CR23" s="855"/>
      <c r="CS23" s="855"/>
      <c r="CT23" s="855"/>
      <c r="CU23" s="855"/>
      <c r="CV23" s="855"/>
      <c r="CW23" s="855"/>
      <c r="CX23" s="855"/>
      <c r="CY23" s="855"/>
      <c r="CZ23" s="855"/>
      <c r="DA23" s="855"/>
      <c r="DB23" s="855"/>
      <c r="DK23" s="838"/>
    </row>
    <row r="24" spans="1:115" x14ac:dyDescent="0.35">
      <c r="B24" s="777">
        <f>+'2 M-A +'!B42</f>
        <v>0</v>
      </c>
      <c r="C24" s="701">
        <f>+'4 SUP +'!AI11</f>
        <v>0</v>
      </c>
      <c r="D24" s="521"/>
      <c r="I24" s="701">
        <f>IF('1 PISO TECHO'!C$16&gt;0,IF('1 PISO TECHO'!C$16='1 PISO TECHO'!$B$34,IF('1 PISO TECHO'!C$21=112,1,0)))*'1 PISO TECHO'!C$22</f>
        <v>0</v>
      </c>
      <c r="J24" s="701">
        <f>IF('1 PISO TECHO'!D$16&gt;0,IF('1 PISO TECHO'!D$16='1 PISO TECHO'!$B$34,IF('1 PISO TECHO'!D$21=112,1,0)))*'1 PISO TECHO'!D$22</f>
        <v>0</v>
      </c>
      <c r="K24" s="701">
        <f>IF('1 PISO TECHO'!E$16&gt;0,IF('1 PISO TECHO'!E$16='1 PISO TECHO'!$B$34,IF('1 PISO TECHO'!E$21=112,1,0)))*'1 PISO TECHO'!E$22</f>
        <v>0</v>
      </c>
      <c r="L24" s="701">
        <f>IF('1 PISO TECHO'!F$16&gt;0,IF('1 PISO TECHO'!F$16='1 PISO TECHO'!$B$34,IF('1 PISO TECHO'!F$21=112,1,0)))*'1 PISO TECHO'!F$22</f>
        <v>0</v>
      </c>
      <c r="M24" s="701">
        <f>IF('1 PISO TECHO'!G$16&gt;0,IF('1 PISO TECHO'!G$16='1 PISO TECHO'!$B$34,IF('1 PISO TECHO'!G$21=112,1,0)))*'1 PISO TECHO'!G$22</f>
        <v>0</v>
      </c>
      <c r="N24" s="701">
        <f>IF('1 PISO TECHO'!H$16&gt;0,IF('1 PISO TECHO'!H$16='1 PISO TECHO'!$B$34,IF('1 PISO TECHO'!H$21=112,1,0)))*'1 PISO TECHO'!H$22</f>
        <v>0</v>
      </c>
      <c r="O24" s="701">
        <f>IF('1 PISO TECHO'!I$16&gt;0,IF('1 PISO TECHO'!I$16='1 PISO TECHO'!$B$34,IF('1 PISO TECHO'!I$21=112,1,0)))*'1 PISO TECHO'!I$22</f>
        <v>0</v>
      </c>
      <c r="P24" s="701">
        <f>IF('1 PISO TECHO'!J$16&gt;0,IF('1 PISO TECHO'!J$16='1 PISO TECHO'!$B$34,IF('1 PISO TECHO'!J$21=112,1,0)))*'1 PISO TECHO'!J$22</f>
        <v>0</v>
      </c>
      <c r="Q24" s="701">
        <f>IF('1 PISO TECHO'!K$16&gt;0,IF('1 PISO TECHO'!K$16='1 PISO TECHO'!$B$34,IF('1 PISO TECHO'!K$21=112,1,0)))*'1 PISO TECHO'!K$22</f>
        <v>0</v>
      </c>
      <c r="R24" s="701">
        <f>IF('1 PISO TECHO'!L$16&gt;0,IF('1 PISO TECHO'!L$16='1 PISO TECHO'!$B$34,IF('1 PISO TECHO'!L$21=112,1,0)))*'1 PISO TECHO'!L$22</f>
        <v>0</v>
      </c>
      <c r="S24" s="701">
        <f>IF('1 PISO TECHO'!M$16&gt;0,IF('1 PISO TECHO'!M$16='1 PISO TECHO'!$B$34,IF('1 PISO TECHO'!M$21=112,1,0)))*'1 PISO TECHO'!M$22</f>
        <v>0</v>
      </c>
      <c r="T24" s="701">
        <f>IF('1 PISO TECHO'!N$16&gt;0,IF('1 PISO TECHO'!N$16='1 PISO TECHO'!$B$34,IF('1 PISO TECHO'!N$21=112,1,0)))*'1 PISO TECHO'!N$22</f>
        <v>0</v>
      </c>
      <c r="U24" s="706">
        <f t="shared" si="7"/>
        <v>0</v>
      </c>
      <c r="V24" s="701">
        <f>IF('1 PISO TECHO'!C$14='1 PISO TECHO'!$B$34,IF('1 PISO TECHO'!C$21=112,1,0))*'1 PISO TECHO'!C$22</f>
        <v>0</v>
      </c>
      <c r="W24" s="701">
        <f>IF('1 PISO TECHO'!D$14='1 PISO TECHO'!$B$34,IF('1 PISO TECHO'!D$21=112,1,0))*'1 PISO TECHO'!D$22</f>
        <v>0</v>
      </c>
      <c r="X24" s="701">
        <f>IF('1 PISO TECHO'!E$14='1 PISO TECHO'!$B$34,IF('1 PISO TECHO'!E$21=112,1,0))*'1 PISO TECHO'!E$22</f>
        <v>0</v>
      </c>
      <c r="Y24" s="701">
        <f>IF('1 PISO TECHO'!F$14='1 PISO TECHO'!$B$34,IF('1 PISO TECHO'!F$21=112,1,0))*'1 PISO TECHO'!F$22</f>
        <v>0</v>
      </c>
      <c r="Z24" s="701">
        <f>IF('1 PISO TECHO'!G$14='1 PISO TECHO'!$B$34,IF('1 PISO TECHO'!G$21=112,1,0))*'1 PISO TECHO'!G$22</f>
        <v>0</v>
      </c>
      <c r="AA24" s="701">
        <f>IF('1 PISO TECHO'!H$14='1 PISO TECHO'!$B$34,IF('1 PISO TECHO'!H$21=112,1,0))*'1 PISO TECHO'!H$22</f>
        <v>0</v>
      </c>
      <c r="AB24" s="701">
        <f>IF('1 PISO TECHO'!I$14='1 PISO TECHO'!$B$34,IF('1 PISO TECHO'!I$21=112,1,0))*'1 PISO TECHO'!I$22</f>
        <v>0</v>
      </c>
      <c r="AC24" s="701">
        <f>IF('1 PISO TECHO'!J$14='1 PISO TECHO'!$B$34,IF('1 PISO TECHO'!J$21=112,1,0))*'1 PISO TECHO'!J$22</f>
        <v>0</v>
      </c>
      <c r="AD24" s="701">
        <f>IF('1 PISO TECHO'!K$14='1 PISO TECHO'!$B$34,IF('1 PISO TECHO'!K$21=112,1,0))*'1 PISO TECHO'!K$22</f>
        <v>0</v>
      </c>
      <c r="AE24" s="701">
        <f>IF('1 PISO TECHO'!L$14='1 PISO TECHO'!$B$34,IF('1 PISO TECHO'!L$21=112,1,0))*'1 PISO TECHO'!L$22</f>
        <v>0</v>
      </c>
      <c r="AF24" s="701">
        <f>IF('1 PISO TECHO'!M$14='1 PISO TECHO'!$B$34,IF('1 PISO TECHO'!M$21=112,1,0))*'1 PISO TECHO'!M$22</f>
        <v>0</v>
      </c>
      <c r="AG24" s="701">
        <f>IF('1 PISO TECHO'!N$14='1 PISO TECHO'!$B$34,IF('1 PISO TECHO'!N$21=112,1,0))*'1 PISO TECHO'!N$22</f>
        <v>0</v>
      </c>
      <c r="AH24" s="701">
        <f t="shared" si="8"/>
        <v>0</v>
      </c>
      <c r="AI24" s="855"/>
      <c r="AJ24" s="855"/>
      <c r="AK24" s="855"/>
      <c r="AL24" s="855"/>
      <c r="AM24" s="855"/>
      <c r="AN24" s="855"/>
      <c r="AO24" s="855"/>
      <c r="AP24" s="845">
        <f>IF(AP17&gt;0,0,IF('1 PISO TECHO'!C$20&lt;250.1,IF('1 PISO TECHO'!C$21&gt;70,IF('1 PISO TECHO'!C$21&lt;84.1,1,0)))*'1 PISO TECHO'!C$22)</f>
        <v>0</v>
      </c>
      <c r="AQ24" s="845">
        <f>IF(AQ17&gt;0,0,IF('1 PISO TECHO'!D$20&lt;250.1,IF('1 PISO TECHO'!D$21&gt;70,IF('1 PISO TECHO'!D$21&lt;84.1,1,0)))*'1 PISO TECHO'!D$22)</f>
        <v>0</v>
      </c>
      <c r="AR24" s="845">
        <f>IF(AR17&gt;0,0,IF('1 PISO TECHO'!E$20&lt;250.1,IF('1 PISO TECHO'!E$21&gt;70,IF('1 PISO TECHO'!E$21&lt;84.1,1,0)))*'1 PISO TECHO'!E$22)</f>
        <v>0</v>
      </c>
      <c r="AS24" s="845">
        <f>IF(AS17&gt;0,0,IF('1 PISO TECHO'!F$20&lt;250.1,IF('1 PISO TECHO'!F$21&gt;70,IF('1 PISO TECHO'!F$21&lt;84.1,1,0)))*'1 PISO TECHO'!F$22)</f>
        <v>0</v>
      </c>
      <c r="AT24" s="845">
        <f>IF(AT17&gt;0,0,IF('1 PISO TECHO'!G$20&lt;250.1,IF('1 PISO TECHO'!G$21&gt;70,IF('1 PISO TECHO'!G$21&lt;84.1,1,0)))*'1 PISO TECHO'!G$22)</f>
        <v>0</v>
      </c>
      <c r="AU24" s="845">
        <f>IF(AU17&gt;0,0,IF('1 PISO TECHO'!H$20&lt;250.1,IF('1 PISO TECHO'!H$21&gt;70,IF('1 PISO TECHO'!H$21&lt;84.1,1,0)))*'1 PISO TECHO'!H$22)</f>
        <v>0</v>
      </c>
      <c r="AV24" s="845">
        <f>IF(AV17&gt;0,0,IF('1 PISO TECHO'!I$20&lt;250.1,IF('1 PISO TECHO'!I$21&gt;70,IF('1 PISO TECHO'!I$21&lt;84.1,1,0)))*'1 PISO TECHO'!I$22)</f>
        <v>0</v>
      </c>
      <c r="AW24" s="845">
        <f>IF(AW17&gt;0,0,IF('1 PISO TECHO'!J$20&lt;250.1,IF('1 PISO TECHO'!J$21&gt;70,IF('1 PISO TECHO'!J$21&lt;84.1,1,0)))*'1 PISO TECHO'!J$22)</f>
        <v>0</v>
      </c>
      <c r="AX24" s="845">
        <f>IF(AX17&gt;0,0,IF('1 PISO TECHO'!K$20&lt;250.1,IF('1 PISO TECHO'!K$21&gt;70,IF('1 PISO TECHO'!K$21&lt;84.1,1,0)))*'1 PISO TECHO'!K$22)</f>
        <v>0</v>
      </c>
      <c r="AY24" s="845">
        <f>IF(AY17&gt;0,0,IF('1 PISO TECHO'!L$20&lt;250.1,IF('1 PISO TECHO'!L$21&gt;70,IF('1 PISO TECHO'!L$21&lt;84.1,1,0)))*'1 PISO TECHO'!L$22)</f>
        <v>0</v>
      </c>
      <c r="AZ24" s="845">
        <f>IF(AZ17&gt;0,0,IF('1 PISO TECHO'!M$20&lt;250.1,IF('1 PISO TECHO'!M$21&gt;70,IF('1 PISO TECHO'!M$21&lt;84.1,1,0)))*'1 PISO TECHO'!M$22)</f>
        <v>0</v>
      </c>
      <c r="BA24" s="845">
        <f>IF(BA17&gt;0,0,IF('1 PISO TECHO'!N$20&lt;250.1,IF('1 PISO TECHO'!N$21&gt;70,IF('1 PISO TECHO'!N$21&lt;84.1,1,0)))*'1 PISO TECHO'!N$22)</f>
        <v>0</v>
      </c>
      <c r="BB24" s="844">
        <f t="shared" si="9"/>
        <v>0</v>
      </c>
      <c r="BC24" s="855"/>
      <c r="BD24" s="855"/>
      <c r="BE24" s="855"/>
      <c r="BF24" s="855"/>
      <c r="BG24" s="855"/>
      <c r="BH24" s="855"/>
      <c r="BI24" s="855"/>
      <c r="BJ24" s="855"/>
      <c r="BK24" s="855"/>
      <c r="BL24" s="855"/>
      <c r="BM24" s="855"/>
      <c r="BN24" s="855"/>
      <c r="BO24" s="855"/>
      <c r="BP24" s="855"/>
      <c r="BQ24" s="855"/>
      <c r="BR24" s="855"/>
      <c r="BS24" s="855"/>
      <c r="BT24" s="855"/>
      <c r="BU24" s="855"/>
      <c r="BV24" s="855"/>
      <c r="BW24" s="855"/>
      <c r="BX24" s="855"/>
      <c r="BY24" s="855"/>
      <c r="BZ24" s="855"/>
      <c r="CA24" s="855"/>
      <c r="CB24" s="855"/>
      <c r="CC24" s="855"/>
      <c r="CD24" s="855"/>
      <c r="CE24" s="855"/>
      <c r="CF24" s="855"/>
      <c r="CG24" s="855"/>
      <c r="CH24" s="855"/>
      <c r="CI24" s="855"/>
      <c r="CJ24" s="855"/>
      <c r="CK24" s="855"/>
      <c r="CL24" s="855"/>
      <c r="CM24" s="855"/>
      <c r="CN24" s="855"/>
      <c r="CO24" s="855"/>
      <c r="CP24" s="855"/>
      <c r="CQ24" s="855"/>
      <c r="CR24" s="855"/>
      <c r="CS24" s="855"/>
      <c r="CT24" s="855"/>
      <c r="CU24" s="855"/>
      <c r="CV24" s="855"/>
      <c r="CW24" s="855"/>
      <c r="CX24" s="855"/>
      <c r="CY24" s="855"/>
      <c r="CZ24" s="855"/>
      <c r="DA24" s="855"/>
      <c r="DB24" s="855"/>
      <c r="DK24" s="838"/>
    </row>
    <row r="25" spans="1:115" x14ac:dyDescent="0.35">
      <c r="A25" s="777" t="s">
        <v>1086</v>
      </c>
      <c r="B25" s="777">
        <f>+'2 M-A +'!B43</f>
        <v>0</v>
      </c>
      <c r="C25" s="701">
        <f>+'4 SUP +'!AI12</f>
        <v>0</v>
      </c>
      <c r="D25" s="521"/>
      <c r="I25" s="701">
        <f>IF('1 PISO TECHO'!C$16&gt;0,IF('1 PISO TECHO'!C$16='1 PISO TECHO'!$B$34,IF('1 PISO TECHO'!C$21=120,1,0)))*'1 PISO TECHO'!C$22</f>
        <v>0</v>
      </c>
      <c r="J25" s="701">
        <f>IF('1 PISO TECHO'!D$16&gt;0,IF('1 PISO TECHO'!D$16='1 PISO TECHO'!$B$34,IF('1 PISO TECHO'!D$21=120,1,0)))*'1 PISO TECHO'!D$22</f>
        <v>0</v>
      </c>
      <c r="K25" s="701">
        <f>IF('1 PISO TECHO'!E$16&gt;0,IF('1 PISO TECHO'!E$16='1 PISO TECHO'!$B$34,IF('1 PISO TECHO'!E$21=120,1,0)))*'1 PISO TECHO'!E$22</f>
        <v>0</v>
      </c>
      <c r="L25" s="701">
        <f>IF('1 PISO TECHO'!F$16&gt;0,IF('1 PISO TECHO'!F$16='1 PISO TECHO'!$B$34,IF('1 PISO TECHO'!F$21=120,1,0)))*'1 PISO TECHO'!F$22</f>
        <v>0</v>
      </c>
      <c r="M25" s="701">
        <f>IF('1 PISO TECHO'!G$16&gt;0,IF('1 PISO TECHO'!G$16='1 PISO TECHO'!$B$34,IF('1 PISO TECHO'!G$21=120,1,0)))*'1 PISO TECHO'!G$22</f>
        <v>0</v>
      </c>
      <c r="N25" s="701">
        <f>IF('1 PISO TECHO'!H$16&gt;0,IF('1 PISO TECHO'!H$16='1 PISO TECHO'!$B$34,IF('1 PISO TECHO'!H$21=120,1,0)))*'1 PISO TECHO'!H$22</f>
        <v>0</v>
      </c>
      <c r="O25" s="701">
        <f>IF('1 PISO TECHO'!I$16&gt;0,IF('1 PISO TECHO'!I$16='1 PISO TECHO'!$B$34,IF('1 PISO TECHO'!I$21=120,1,0)))*'1 PISO TECHO'!I$22</f>
        <v>0</v>
      </c>
      <c r="P25" s="701">
        <f>IF('1 PISO TECHO'!J$16&gt;0,IF('1 PISO TECHO'!J$16='1 PISO TECHO'!$B$34,IF('1 PISO TECHO'!J$21=120,1,0)))*'1 PISO TECHO'!J$22</f>
        <v>0</v>
      </c>
      <c r="Q25" s="701">
        <f>IF('1 PISO TECHO'!K$16&gt;0,IF('1 PISO TECHO'!K$16='1 PISO TECHO'!$B$34,IF('1 PISO TECHO'!K$21=120,1,0)))*'1 PISO TECHO'!K$22</f>
        <v>0</v>
      </c>
      <c r="R25" s="701">
        <f>IF('1 PISO TECHO'!L$16&gt;0,IF('1 PISO TECHO'!L$16='1 PISO TECHO'!$B$34,IF('1 PISO TECHO'!L$21=120,1,0)))*'1 PISO TECHO'!L$22</f>
        <v>0</v>
      </c>
      <c r="S25" s="701">
        <f>IF('1 PISO TECHO'!M$16&gt;0,IF('1 PISO TECHO'!M$16='1 PISO TECHO'!$B$34,IF('1 PISO TECHO'!M$21=120,1,0)))*'1 PISO TECHO'!M$22</f>
        <v>0</v>
      </c>
      <c r="T25" s="701">
        <f>IF('1 PISO TECHO'!N$16&gt;0,IF('1 PISO TECHO'!N$16='1 PISO TECHO'!$B$34,IF('1 PISO TECHO'!N$21=120,1,0)))*'1 PISO TECHO'!N$22</f>
        <v>0</v>
      </c>
      <c r="U25" s="706">
        <f t="shared" si="7"/>
        <v>0</v>
      </c>
      <c r="V25" s="701">
        <f>IF('1 PISO TECHO'!C$14='1 PISO TECHO'!$B$34,IF('1 PISO TECHO'!C$21=120,1,0))*'1 PISO TECHO'!C$22</f>
        <v>0</v>
      </c>
      <c r="W25" s="701">
        <f>IF('1 PISO TECHO'!D$14='1 PISO TECHO'!$B$34,IF('1 PISO TECHO'!D$21=120,1,0))*'1 PISO TECHO'!D$22</f>
        <v>0</v>
      </c>
      <c r="X25" s="701">
        <f>IF('1 PISO TECHO'!E$14='1 PISO TECHO'!$B$34,IF('1 PISO TECHO'!E$21=120,1,0))*'1 PISO TECHO'!E$22</f>
        <v>0</v>
      </c>
      <c r="Y25" s="701">
        <f>IF('1 PISO TECHO'!F$14='1 PISO TECHO'!$B$34,IF('1 PISO TECHO'!F$21=120,1,0))*'1 PISO TECHO'!F$22</f>
        <v>0</v>
      </c>
      <c r="Z25" s="701">
        <f>IF('1 PISO TECHO'!G$14='1 PISO TECHO'!$B$34,IF('1 PISO TECHO'!G$21=120,1,0))*'1 PISO TECHO'!G$22</f>
        <v>0</v>
      </c>
      <c r="AA25" s="701">
        <f>IF('1 PISO TECHO'!H$14='1 PISO TECHO'!$B$34,IF('1 PISO TECHO'!H$21=120,1,0))*'1 PISO TECHO'!H$22</f>
        <v>0</v>
      </c>
      <c r="AB25" s="701">
        <f>IF('1 PISO TECHO'!I$14='1 PISO TECHO'!$B$34,IF('1 PISO TECHO'!I$21=120,1,0))*'1 PISO TECHO'!I$22</f>
        <v>0</v>
      </c>
      <c r="AC25" s="701">
        <f>IF('1 PISO TECHO'!J$14='1 PISO TECHO'!$B$34,IF('1 PISO TECHO'!J$21=120,1,0))*'1 PISO TECHO'!J$22</f>
        <v>0</v>
      </c>
      <c r="AD25" s="701">
        <f>IF('1 PISO TECHO'!K$14='1 PISO TECHO'!$B$34,IF('1 PISO TECHO'!K$21=120,1,0))*'1 PISO TECHO'!K$22</f>
        <v>0</v>
      </c>
      <c r="AE25" s="701">
        <f>IF('1 PISO TECHO'!L$14='1 PISO TECHO'!$B$34,IF('1 PISO TECHO'!L$21=120,1,0))*'1 PISO TECHO'!L$22</f>
        <v>0</v>
      </c>
      <c r="AF25" s="701">
        <f>IF('1 PISO TECHO'!M$14='1 PISO TECHO'!$B$34,IF('1 PISO TECHO'!M$21=120,1,0))*'1 PISO TECHO'!M$22</f>
        <v>0</v>
      </c>
      <c r="AG25" s="701">
        <f>IF('1 PISO TECHO'!N$14='1 PISO TECHO'!$B$34,IF('1 PISO TECHO'!N$21=120,1,0))*'1 PISO TECHO'!N$22</f>
        <v>0</v>
      </c>
      <c r="AH25" s="701">
        <f t="shared" si="8"/>
        <v>0</v>
      </c>
      <c r="AI25" s="855"/>
      <c r="AJ25" s="855"/>
      <c r="AK25" s="855"/>
      <c r="AL25" s="855"/>
      <c r="AM25" s="855"/>
      <c r="AN25" s="855"/>
      <c r="AO25" s="855"/>
      <c r="AP25" s="845">
        <f>IF(AP18&gt;0,0,IF('1 PISO TECHO'!C$20&lt;250.1,IF('1 PISO TECHO'!C$21&gt;84,IF('1 PISO TECHO'!C$21&lt;112.1,1,0)))*'1 PISO TECHO'!C$22)</f>
        <v>0</v>
      </c>
      <c r="AQ25" s="845">
        <f>IF(AQ18&gt;0,0,IF('1 PISO TECHO'!D$20&lt;250.1,IF('1 PISO TECHO'!D$21&gt;84,IF('1 PISO TECHO'!D$21&lt;112.1,1,0)))*'1 PISO TECHO'!D$22)</f>
        <v>0</v>
      </c>
      <c r="AR25" s="845">
        <f>IF(AR18&gt;0,0,IF('1 PISO TECHO'!E$20&lt;250.1,IF('1 PISO TECHO'!E$21&gt;84,IF('1 PISO TECHO'!E$21&lt;112.1,1,0)))*'1 PISO TECHO'!E$22)</f>
        <v>0</v>
      </c>
      <c r="AS25" s="845">
        <f>IF(AS18&gt;0,0,IF('1 PISO TECHO'!F$20&lt;250.1,IF('1 PISO TECHO'!F$21&gt;84,IF('1 PISO TECHO'!F$21&lt;112.1,1,0)))*'1 PISO TECHO'!F$22)</f>
        <v>0</v>
      </c>
      <c r="AT25" s="845">
        <f>IF(AT18&gt;0,0,IF('1 PISO TECHO'!G$20&lt;250.1,IF('1 PISO TECHO'!G$21&gt;84,IF('1 PISO TECHO'!G$21&lt;112.1,1,0)))*'1 PISO TECHO'!G$22)</f>
        <v>0</v>
      </c>
      <c r="AU25" s="845">
        <f>IF(AU18&gt;0,0,IF('1 PISO TECHO'!H$20&lt;250.1,IF('1 PISO TECHO'!H$21&gt;84,IF('1 PISO TECHO'!H$21&lt;112.1,1,0)))*'1 PISO TECHO'!H$22)</f>
        <v>0</v>
      </c>
      <c r="AV25" s="845">
        <f>IF(AV18&gt;0,0,IF('1 PISO TECHO'!I$20&lt;250.1,IF('1 PISO TECHO'!I$21&gt;84,IF('1 PISO TECHO'!I$21&lt;112.1,1,0)))*'1 PISO TECHO'!I$22)</f>
        <v>0</v>
      </c>
      <c r="AW25" s="845">
        <f>IF(AW18&gt;0,0,IF('1 PISO TECHO'!J$20&lt;250.1,IF('1 PISO TECHO'!J$21&gt;84,IF('1 PISO TECHO'!J$21&lt;112.1,1,0)))*'1 PISO TECHO'!J$22)</f>
        <v>0</v>
      </c>
      <c r="AX25" s="845">
        <f>IF(AX18&gt;0,0,IF('1 PISO TECHO'!K$20&lt;250.1,IF('1 PISO TECHO'!K$21&gt;84,IF('1 PISO TECHO'!K$21&lt;112.1,1,0)))*'1 PISO TECHO'!K$22)</f>
        <v>0</v>
      </c>
      <c r="AY25" s="845">
        <f>IF(AY18&gt;0,0,IF('1 PISO TECHO'!L$20&lt;250.1,IF('1 PISO TECHO'!L$21&gt;84,IF('1 PISO TECHO'!L$21&lt;112.1,1,0)))*'1 PISO TECHO'!L$22)</f>
        <v>0</v>
      </c>
      <c r="AZ25" s="845">
        <f>IF(AZ18&gt;0,0,IF('1 PISO TECHO'!M$20&lt;250.1,IF('1 PISO TECHO'!M$21&gt;84,IF('1 PISO TECHO'!M$21&lt;112.1,1,0)))*'1 PISO TECHO'!M$22)</f>
        <v>0</v>
      </c>
      <c r="BA25" s="845">
        <f>IF(BA18&gt;0,0,IF('1 PISO TECHO'!N$20&lt;250.1,IF('1 PISO TECHO'!N$21&gt;84,IF('1 PISO TECHO'!N$21&lt;112.1,1,0)))*'1 PISO TECHO'!N$22)</f>
        <v>0</v>
      </c>
      <c r="BB25" s="844">
        <f t="shared" si="9"/>
        <v>0</v>
      </c>
      <c r="BC25" s="855"/>
      <c r="BD25" s="855"/>
      <c r="BE25" s="855"/>
      <c r="BF25" s="855"/>
      <c r="BG25" s="855"/>
      <c r="BH25" s="855"/>
      <c r="BI25" s="855"/>
      <c r="BJ25" s="855"/>
      <c r="BK25" s="855"/>
      <c r="BL25" s="855"/>
      <c r="BM25" s="855"/>
      <c r="BN25" s="855"/>
      <c r="BO25" s="855"/>
      <c r="BP25" s="855"/>
      <c r="BQ25" s="855"/>
      <c r="BR25" s="855"/>
      <c r="BS25" s="855"/>
      <c r="BT25" s="855"/>
      <c r="BU25" s="855"/>
      <c r="BV25" s="855"/>
      <c r="BW25" s="855"/>
      <c r="BX25" s="855"/>
      <c r="BY25" s="855"/>
      <c r="BZ25" s="855"/>
      <c r="CA25" s="855"/>
      <c r="CB25" s="855"/>
      <c r="CC25" s="855"/>
      <c r="CD25" s="855"/>
      <c r="CE25" s="855"/>
      <c r="CF25" s="855"/>
      <c r="CG25" s="855"/>
      <c r="CH25" s="855"/>
      <c r="CI25" s="855"/>
      <c r="CJ25" s="855"/>
      <c r="CK25" s="855"/>
      <c r="CL25" s="855"/>
      <c r="CM25" s="855"/>
      <c r="CN25" s="855"/>
      <c r="CO25" s="855"/>
      <c r="CP25" s="855"/>
      <c r="CQ25" s="855"/>
      <c r="CR25" s="855"/>
      <c r="CS25" s="855"/>
      <c r="CT25" s="855"/>
      <c r="CU25" s="855"/>
      <c r="CV25" s="855"/>
      <c r="CW25" s="855"/>
      <c r="CX25" s="855"/>
      <c r="CY25" s="855"/>
      <c r="CZ25" s="855"/>
      <c r="DA25" s="855"/>
      <c r="DB25" s="855"/>
      <c r="DK25" s="838"/>
    </row>
    <row r="26" spans="1:115" x14ac:dyDescent="0.35">
      <c r="C26" s="701">
        <f>+'4 SUP +'!AI13</f>
        <v>0</v>
      </c>
      <c r="D26" s="521"/>
      <c r="I26" s="701">
        <f>IF('1 PISO TECHO'!C$16&gt;0,IF('1 PISO TECHO'!C$16='1 PISO TECHO'!$B$34,IF('1 PISO TECHO'!C$21=140,1,0)))*'1 PISO TECHO'!C$22</f>
        <v>0</v>
      </c>
      <c r="J26" s="701">
        <f>IF('1 PISO TECHO'!D$16&gt;0,IF('1 PISO TECHO'!D$16='1 PISO TECHO'!$B$34,IF('1 PISO TECHO'!D$21=140,1,0)))*'1 PISO TECHO'!D$22</f>
        <v>0</v>
      </c>
      <c r="K26" s="701">
        <f>IF('1 PISO TECHO'!E$16&gt;0,IF('1 PISO TECHO'!E$16='1 PISO TECHO'!$B$34,IF('1 PISO TECHO'!E$21=140,1,0)))*'1 PISO TECHO'!E$22</f>
        <v>0</v>
      </c>
      <c r="L26" s="701">
        <f>IF('1 PISO TECHO'!F$16&gt;0,IF('1 PISO TECHO'!F$16='1 PISO TECHO'!$B$34,IF('1 PISO TECHO'!F$21=140,1,0)))*'1 PISO TECHO'!F$22</f>
        <v>0</v>
      </c>
      <c r="M26" s="701">
        <f>IF('1 PISO TECHO'!G$16&gt;0,IF('1 PISO TECHO'!G$16='1 PISO TECHO'!$B$34,IF('1 PISO TECHO'!G$21=140,1,0)))*'1 PISO TECHO'!G$22</f>
        <v>0</v>
      </c>
      <c r="N26" s="701">
        <f>IF('1 PISO TECHO'!H$16&gt;0,IF('1 PISO TECHO'!H$16='1 PISO TECHO'!$B$34,IF('1 PISO TECHO'!H$21=140,1,0)))*'1 PISO TECHO'!H$22</f>
        <v>0</v>
      </c>
      <c r="O26" s="701">
        <f>IF('1 PISO TECHO'!I$16&gt;0,IF('1 PISO TECHO'!I$16='1 PISO TECHO'!$B$34,IF('1 PISO TECHO'!I$21=140,1,0)))*'1 PISO TECHO'!I$22</f>
        <v>0</v>
      </c>
      <c r="P26" s="701">
        <f>IF('1 PISO TECHO'!J$16&gt;0,IF('1 PISO TECHO'!J$16='1 PISO TECHO'!$B$34,IF('1 PISO TECHO'!J$21=140,1,0)))*'1 PISO TECHO'!J$22</f>
        <v>0</v>
      </c>
      <c r="Q26" s="701">
        <f>IF('1 PISO TECHO'!K$16&gt;0,IF('1 PISO TECHO'!K$16='1 PISO TECHO'!$B$34,IF('1 PISO TECHO'!K$21=140,1,0)))*'1 PISO TECHO'!K$22</f>
        <v>0</v>
      </c>
      <c r="R26" s="701">
        <f>IF('1 PISO TECHO'!L$16&gt;0,IF('1 PISO TECHO'!L$16='1 PISO TECHO'!$B$34,IF('1 PISO TECHO'!L$21=140,1,0)))*'1 PISO TECHO'!L$22</f>
        <v>0</v>
      </c>
      <c r="S26" s="701">
        <f>IF('1 PISO TECHO'!M$16&gt;0,IF('1 PISO TECHO'!M$16='1 PISO TECHO'!$B$34,IF('1 PISO TECHO'!M$21=140,1,0)))*'1 PISO TECHO'!M$22</f>
        <v>0</v>
      </c>
      <c r="T26" s="701">
        <f>IF('1 PISO TECHO'!N$16&gt;0,IF('1 PISO TECHO'!N$16='1 PISO TECHO'!$B$34,IF('1 PISO TECHO'!N$21=140,1,0)))*'1 PISO TECHO'!N$22</f>
        <v>0</v>
      </c>
      <c r="U26" s="706">
        <f t="shared" si="7"/>
        <v>0</v>
      </c>
      <c r="V26" s="701">
        <f>IF('1 PISO TECHO'!C$14='1 PISO TECHO'!$B$34,IF('1 PISO TECHO'!C$21=140,1,0))*'1 PISO TECHO'!C$22</f>
        <v>0</v>
      </c>
      <c r="W26" s="701">
        <f>IF('1 PISO TECHO'!D$14='1 PISO TECHO'!$B$34,IF('1 PISO TECHO'!D$21=140,1,0))*'1 PISO TECHO'!D$22</f>
        <v>0</v>
      </c>
      <c r="X26" s="701">
        <f>IF('1 PISO TECHO'!E$14='1 PISO TECHO'!$B$34,IF('1 PISO TECHO'!E$21=140,1,0))*'1 PISO TECHO'!E$22</f>
        <v>0</v>
      </c>
      <c r="Y26" s="701">
        <f>IF('1 PISO TECHO'!F$14='1 PISO TECHO'!$B$34,IF('1 PISO TECHO'!F$21=140,1,0))*'1 PISO TECHO'!F$22</f>
        <v>0</v>
      </c>
      <c r="Z26" s="701">
        <f>IF('1 PISO TECHO'!G$14='1 PISO TECHO'!$B$34,IF('1 PISO TECHO'!G$21=140,1,0))*'1 PISO TECHO'!G$22</f>
        <v>0</v>
      </c>
      <c r="AA26" s="701">
        <f>IF('1 PISO TECHO'!H$14='1 PISO TECHO'!$B$34,IF('1 PISO TECHO'!H$21=140,1,0))*'1 PISO TECHO'!H$22</f>
        <v>0</v>
      </c>
      <c r="AB26" s="701">
        <f>IF('1 PISO TECHO'!I$14='1 PISO TECHO'!$B$34,IF('1 PISO TECHO'!I$21=140,1,0))*'1 PISO TECHO'!I$22</f>
        <v>0</v>
      </c>
      <c r="AC26" s="701">
        <f>IF('1 PISO TECHO'!J$14='1 PISO TECHO'!$B$34,IF('1 PISO TECHO'!J$21=140,1,0))*'1 PISO TECHO'!J$22</f>
        <v>0</v>
      </c>
      <c r="AD26" s="701">
        <f>IF('1 PISO TECHO'!K$14='1 PISO TECHO'!$B$34,IF('1 PISO TECHO'!K$21=140,1,0))*'1 PISO TECHO'!K$22</f>
        <v>0</v>
      </c>
      <c r="AE26" s="701">
        <f>IF('1 PISO TECHO'!L$14='1 PISO TECHO'!$B$34,IF('1 PISO TECHO'!L$21=140,1,0))*'1 PISO TECHO'!L$22</f>
        <v>0</v>
      </c>
      <c r="AF26" s="701">
        <f>IF('1 PISO TECHO'!M$14='1 PISO TECHO'!$B$34,IF('1 PISO TECHO'!M$21=140,1,0))*'1 PISO TECHO'!M$22</f>
        <v>0</v>
      </c>
      <c r="AG26" s="701">
        <f>IF('1 PISO TECHO'!N$14='1 PISO TECHO'!$B$34,IF('1 PISO TECHO'!N$21=140,1,0))*'1 PISO TECHO'!N$22</f>
        <v>0</v>
      </c>
      <c r="AH26" s="701">
        <f t="shared" si="8"/>
        <v>0</v>
      </c>
      <c r="AI26" s="855"/>
      <c r="AJ26" s="855"/>
      <c r="AK26" s="855"/>
      <c r="AL26" s="855"/>
      <c r="AM26" s="855"/>
      <c r="AN26" s="855"/>
      <c r="AO26" s="855"/>
      <c r="AP26" s="845">
        <f>IF(AP19&gt;0,0,IF('1 PISO TECHO'!C$20&lt;250.1,IF('1 PISO TECHO'!C$21&gt;112,IF('1 PISO TECHO'!C$21&lt;150.1,1,0)))*'1 PISO TECHO'!C$22)</f>
        <v>0</v>
      </c>
      <c r="AQ26" s="845">
        <f>IF(AQ19&gt;0,0,IF('1 PISO TECHO'!D$20&lt;250.1,IF('1 PISO TECHO'!D$21&gt;112,IF('1 PISO TECHO'!D$21&lt;150.1,1,0)))*'1 PISO TECHO'!D$22)</f>
        <v>0</v>
      </c>
      <c r="AR26" s="845">
        <f>IF(AR19&gt;0,0,IF('1 PISO TECHO'!E$20&lt;250.1,IF('1 PISO TECHO'!E$21&gt;112,IF('1 PISO TECHO'!E$21&lt;150.1,1,0)))*'1 PISO TECHO'!E$22)</f>
        <v>0</v>
      </c>
      <c r="AS26" s="845">
        <f>IF(AS19&gt;0,0,IF('1 PISO TECHO'!F$20&lt;250.1,IF('1 PISO TECHO'!F$21&gt;112,IF('1 PISO TECHO'!F$21&lt;150.1,1,0)))*'1 PISO TECHO'!F$22)</f>
        <v>0</v>
      </c>
      <c r="AT26" s="845">
        <f>IF(AT19&gt;0,0,IF('1 PISO TECHO'!G$20&lt;250.1,IF('1 PISO TECHO'!G$21&gt;112,IF('1 PISO TECHO'!G$21&lt;150.1,1,0)))*'1 PISO TECHO'!G$22)</f>
        <v>0</v>
      </c>
      <c r="AU26" s="845">
        <f>IF(AU19&gt;0,0,IF('1 PISO TECHO'!H$20&lt;250.1,IF('1 PISO TECHO'!H$21&gt;112,IF('1 PISO TECHO'!H$21&lt;150.1,1,0)))*'1 PISO TECHO'!H$22)</f>
        <v>0</v>
      </c>
      <c r="AV26" s="845">
        <f>IF(AV19&gt;0,0,IF('1 PISO TECHO'!I$20&lt;250.1,IF('1 PISO TECHO'!I$21&gt;112,IF('1 PISO TECHO'!I$21&lt;150.1,1,0)))*'1 PISO TECHO'!I$22)</f>
        <v>0</v>
      </c>
      <c r="AW26" s="845">
        <f>IF(AW19&gt;0,0,IF('1 PISO TECHO'!J$20&lt;250.1,IF('1 PISO TECHO'!J$21&gt;112,IF('1 PISO TECHO'!J$21&lt;150.1,1,0)))*'1 PISO TECHO'!J$22)</f>
        <v>0</v>
      </c>
      <c r="AX26" s="845">
        <f>IF(AX19&gt;0,0,IF('1 PISO TECHO'!K$20&lt;250.1,IF('1 PISO TECHO'!K$21&gt;112,IF('1 PISO TECHO'!K$21&lt;150.1,1,0)))*'1 PISO TECHO'!K$22)</f>
        <v>0</v>
      </c>
      <c r="AY26" s="845">
        <f>IF(AY19&gt;0,0,IF('1 PISO TECHO'!L$20&lt;250.1,IF('1 PISO TECHO'!L$21&gt;112,IF('1 PISO TECHO'!L$21&lt;150.1,1,0)))*'1 PISO TECHO'!L$22)</f>
        <v>0</v>
      </c>
      <c r="AZ26" s="845">
        <f>IF(AZ19&gt;0,0,IF('1 PISO TECHO'!M$20&lt;250.1,IF('1 PISO TECHO'!M$21&gt;112,IF('1 PISO TECHO'!M$21&lt;150.1,1,0)))*'1 PISO TECHO'!M$22)</f>
        <v>0</v>
      </c>
      <c r="BA26" s="845">
        <f>IF(BA19&gt;0,0,IF('1 PISO TECHO'!N$20&lt;250.1,IF('1 PISO TECHO'!N$21&gt;112,IF('1 PISO TECHO'!N$21&lt;150.1,1,0)))*'1 PISO TECHO'!N$22)</f>
        <v>0</v>
      </c>
      <c r="BB26" s="844">
        <f t="shared" si="9"/>
        <v>0</v>
      </c>
      <c r="BC26" s="855"/>
      <c r="BD26" s="855"/>
      <c r="BE26" s="855"/>
      <c r="BF26" s="855"/>
      <c r="BG26" s="855"/>
      <c r="BH26" s="855"/>
      <c r="BI26" s="855"/>
      <c r="BJ26" s="855"/>
      <c r="BK26" s="855"/>
      <c r="BL26" s="855"/>
      <c r="BM26" s="855"/>
      <c r="BN26" s="855"/>
      <c r="BO26" s="855"/>
      <c r="BP26" s="855"/>
      <c r="BQ26" s="855"/>
      <c r="BR26" s="855"/>
      <c r="BS26" s="855"/>
      <c r="BT26" s="855"/>
      <c r="BU26" s="855"/>
      <c r="BV26" s="855"/>
      <c r="BW26" s="855"/>
      <c r="BX26" s="855"/>
      <c r="BY26" s="855"/>
      <c r="BZ26" s="855"/>
      <c r="CA26" s="855"/>
      <c r="CB26" s="855"/>
      <c r="CC26" s="855"/>
      <c r="CD26" s="855"/>
      <c r="CE26" s="855"/>
      <c r="CF26" s="855"/>
      <c r="CG26" s="855"/>
      <c r="CH26" s="855"/>
      <c r="CI26" s="855"/>
      <c r="CJ26" s="855"/>
      <c r="CK26" s="855"/>
      <c r="CL26" s="855"/>
      <c r="CM26" s="855"/>
      <c r="CN26" s="855"/>
      <c r="CO26" s="855"/>
      <c r="CP26" s="855"/>
      <c r="CQ26" s="855"/>
      <c r="CR26" s="855"/>
      <c r="CS26" s="855"/>
      <c r="CT26" s="855"/>
      <c r="CU26" s="855"/>
      <c r="CV26" s="855"/>
      <c r="CW26" s="855"/>
      <c r="CX26" s="855"/>
      <c r="CY26" s="855"/>
      <c r="CZ26" s="855"/>
      <c r="DA26" s="855"/>
      <c r="DB26" s="855"/>
      <c r="DK26" s="838"/>
    </row>
    <row r="27" spans="1:115" x14ac:dyDescent="0.35">
      <c r="C27" s="701">
        <f>+'4 SUP +'!AI14</f>
        <v>0</v>
      </c>
      <c r="D27" s="521"/>
      <c r="I27" s="701">
        <f>IF('1 PISO TECHO'!C$16&gt;0,IF('1 PISO TECHO'!C$16='1 PISO TECHO'!$B$34,IF('1 PISO TECHO'!C$21=150,1,0)))*'1 PISO TECHO'!C$22</f>
        <v>0</v>
      </c>
      <c r="J27" s="701">
        <f>IF('1 PISO TECHO'!D$16&gt;0,IF('1 PISO TECHO'!D$16='1 PISO TECHO'!$B$34,IF('1 PISO TECHO'!D$21=150,1,0)))*'1 PISO TECHO'!D$22</f>
        <v>0</v>
      </c>
      <c r="K27" s="701">
        <f>IF('1 PISO TECHO'!E$16&gt;0,IF('1 PISO TECHO'!E$16='1 PISO TECHO'!$B$34,IF('1 PISO TECHO'!E$21=150,1,0)))*'1 PISO TECHO'!E$22</f>
        <v>0</v>
      </c>
      <c r="L27" s="701">
        <f>IF('1 PISO TECHO'!F$16&gt;0,IF('1 PISO TECHO'!F$16='1 PISO TECHO'!$B$34,IF('1 PISO TECHO'!F$21=150,1,0)))*'1 PISO TECHO'!F$22</f>
        <v>0</v>
      </c>
      <c r="M27" s="701">
        <f>IF('1 PISO TECHO'!G$16&gt;0,IF('1 PISO TECHO'!G$16='1 PISO TECHO'!$B$34,IF('1 PISO TECHO'!G$21=150,1,0)))*'1 PISO TECHO'!G$22</f>
        <v>0</v>
      </c>
      <c r="N27" s="701">
        <f>IF('1 PISO TECHO'!H$16&gt;0,IF('1 PISO TECHO'!H$16='1 PISO TECHO'!$B$34,IF('1 PISO TECHO'!H$21=150,1,0)))*'1 PISO TECHO'!H$22</f>
        <v>0</v>
      </c>
      <c r="O27" s="701">
        <f>IF('1 PISO TECHO'!I$16&gt;0,IF('1 PISO TECHO'!I$16='1 PISO TECHO'!$B$34,IF('1 PISO TECHO'!I$21=150,1,0)))*'1 PISO TECHO'!I$22</f>
        <v>0</v>
      </c>
      <c r="P27" s="701">
        <f>IF('1 PISO TECHO'!J$16&gt;0,IF('1 PISO TECHO'!J$16='1 PISO TECHO'!$B$34,IF('1 PISO TECHO'!J$21=150,1,0)))*'1 PISO TECHO'!J$22</f>
        <v>0</v>
      </c>
      <c r="Q27" s="701">
        <f>IF('1 PISO TECHO'!K$16&gt;0,IF('1 PISO TECHO'!K$16='1 PISO TECHO'!$B$34,IF('1 PISO TECHO'!K$21=150,1,0)))*'1 PISO TECHO'!K$22</f>
        <v>0</v>
      </c>
      <c r="R27" s="701">
        <f>IF('1 PISO TECHO'!L$16&gt;0,IF('1 PISO TECHO'!L$16='1 PISO TECHO'!$B$34,IF('1 PISO TECHO'!L$21=150,1,0)))*'1 PISO TECHO'!L$22</f>
        <v>0</v>
      </c>
      <c r="S27" s="701">
        <f>IF('1 PISO TECHO'!M$16&gt;0,IF('1 PISO TECHO'!M$16='1 PISO TECHO'!$B$34,IF('1 PISO TECHO'!M$21=150,1,0)))*'1 PISO TECHO'!M$22</f>
        <v>0</v>
      </c>
      <c r="T27" s="701">
        <f>IF('1 PISO TECHO'!N$16&gt;0,IF('1 PISO TECHO'!N$16='1 PISO TECHO'!$B$34,IF('1 PISO TECHO'!N$21=150,1,0)))*'1 PISO TECHO'!N$22</f>
        <v>0</v>
      </c>
      <c r="U27" s="706">
        <f t="shared" si="7"/>
        <v>0</v>
      </c>
      <c r="V27" s="701">
        <f>IF('1 PISO TECHO'!C$14='1 PISO TECHO'!$B$34,IF('1 PISO TECHO'!C$21=150,1,0))*'1 PISO TECHO'!C$22</f>
        <v>0</v>
      </c>
      <c r="W27" s="701">
        <f>IF('1 PISO TECHO'!D$14='1 PISO TECHO'!$B$34,IF('1 PISO TECHO'!D$21=150,1,0))*'1 PISO TECHO'!D$22</f>
        <v>0</v>
      </c>
      <c r="X27" s="701">
        <f>IF('1 PISO TECHO'!E$14='1 PISO TECHO'!$B$34,IF('1 PISO TECHO'!E$21=150,1,0))*'1 PISO TECHO'!E$22</f>
        <v>0</v>
      </c>
      <c r="Y27" s="701">
        <f>IF('1 PISO TECHO'!F$14='1 PISO TECHO'!$B$34,IF('1 PISO TECHO'!F$21=150,1,0))*'1 PISO TECHO'!F$22</f>
        <v>0</v>
      </c>
      <c r="Z27" s="701">
        <f>IF('1 PISO TECHO'!G$14='1 PISO TECHO'!$B$34,IF('1 PISO TECHO'!G$21=150,1,0))*'1 PISO TECHO'!G$22</f>
        <v>0</v>
      </c>
      <c r="AA27" s="701">
        <f>IF('1 PISO TECHO'!H$14='1 PISO TECHO'!$B$34,IF('1 PISO TECHO'!H$21=150,1,0))*'1 PISO TECHO'!H$22</f>
        <v>0</v>
      </c>
      <c r="AB27" s="701">
        <f>IF('1 PISO TECHO'!I$14='1 PISO TECHO'!$B$34,IF('1 PISO TECHO'!I$21=150,1,0))*'1 PISO TECHO'!I$22</f>
        <v>0</v>
      </c>
      <c r="AC27" s="701">
        <f>IF('1 PISO TECHO'!J$14='1 PISO TECHO'!$B$34,IF('1 PISO TECHO'!J$21=150,1,0))*'1 PISO TECHO'!J$22</f>
        <v>0</v>
      </c>
      <c r="AD27" s="701">
        <f>IF('1 PISO TECHO'!K$14='1 PISO TECHO'!$B$34,IF('1 PISO TECHO'!K$21=150,1,0))*'1 PISO TECHO'!K$22</f>
        <v>0</v>
      </c>
      <c r="AE27" s="701">
        <f>IF('1 PISO TECHO'!L$14='1 PISO TECHO'!$B$34,IF('1 PISO TECHO'!L$21=150,1,0))*'1 PISO TECHO'!L$22</f>
        <v>0</v>
      </c>
      <c r="AF27" s="701">
        <f>IF('1 PISO TECHO'!M$14='1 PISO TECHO'!$B$34,IF('1 PISO TECHO'!M$21=150,1,0))*'1 PISO TECHO'!M$22</f>
        <v>0</v>
      </c>
      <c r="AG27" s="701">
        <f>IF('1 PISO TECHO'!N$14='1 PISO TECHO'!$B$34,IF('1 PISO TECHO'!N$21=150,1,0))*'1 PISO TECHO'!N$22</f>
        <v>0</v>
      </c>
      <c r="AH27" s="701">
        <f t="shared" si="8"/>
        <v>0</v>
      </c>
      <c r="AI27" s="855"/>
      <c r="AJ27" s="855"/>
      <c r="AK27" s="855"/>
      <c r="AL27" s="855"/>
      <c r="AM27" s="855"/>
      <c r="AN27" s="855"/>
      <c r="AO27" s="855"/>
      <c r="AP27" s="678" t="s">
        <v>989</v>
      </c>
      <c r="AQ27" s="678"/>
      <c r="AR27" s="678"/>
      <c r="AS27" s="678"/>
      <c r="AT27" s="678"/>
      <c r="AU27" s="678"/>
      <c r="AV27" s="678"/>
      <c r="AW27" s="678"/>
      <c r="AX27" s="678"/>
      <c r="AY27" s="678"/>
      <c r="AZ27" s="678"/>
      <c r="BA27" s="678"/>
      <c r="BB27" s="855"/>
      <c r="BC27" s="859"/>
      <c r="BD27" s="859"/>
      <c r="BE27" s="859"/>
      <c r="BF27" s="859"/>
      <c r="BG27" s="859"/>
      <c r="BH27" s="859"/>
      <c r="BI27" s="859"/>
      <c r="BJ27" s="859"/>
      <c r="BK27" s="859"/>
      <c r="BL27" s="859"/>
      <c r="BM27" s="859"/>
      <c r="BN27" s="859"/>
      <c r="BO27" s="855"/>
      <c r="BP27" s="859"/>
      <c r="BQ27" s="859"/>
      <c r="BR27" s="859"/>
      <c r="BS27" s="859"/>
      <c r="BT27" s="859"/>
      <c r="BU27" s="859"/>
      <c r="BV27" s="859"/>
      <c r="BW27" s="859"/>
      <c r="BX27" s="859"/>
      <c r="BY27" s="859"/>
      <c r="BZ27" s="859"/>
      <c r="CA27" s="859"/>
      <c r="CB27" s="855"/>
      <c r="CC27" s="838"/>
      <c r="CD27" s="838"/>
      <c r="CE27" s="838"/>
      <c r="CF27" s="838"/>
      <c r="CG27" s="838"/>
      <c r="CH27" s="838"/>
      <c r="CI27" s="838"/>
      <c r="CJ27" s="838"/>
      <c r="CK27" s="838"/>
      <c r="CL27" s="838"/>
      <c r="CM27" s="838"/>
      <c r="CN27" s="838"/>
      <c r="CO27" s="855"/>
      <c r="CP27" s="838"/>
      <c r="CQ27" s="838"/>
      <c r="CR27" s="838"/>
      <c r="CS27" s="838"/>
      <c r="CT27" s="838"/>
      <c r="CU27" s="838"/>
      <c r="CV27" s="838"/>
      <c r="CW27" s="838"/>
      <c r="CX27" s="838"/>
      <c r="CY27" s="838"/>
      <c r="CZ27" s="838"/>
      <c r="DA27" s="838"/>
      <c r="DB27" s="855"/>
      <c r="DK27" s="838"/>
    </row>
    <row r="28" spans="1:115" x14ac:dyDescent="0.35">
      <c r="A28" s="838"/>
      <c r="B28" s="777">
        <f>SUMIF('1 P-T +'!C20:N20,"=P1",'1 P-T +'!C24:N24)</f>
        <v>0</v>
      </c>
      <c r="AA28" s="838"/>
      <c r="AI28" s="838"/>
      <c r="AJ28" s="838"/>
      <c r="AK28" s="838"/>
      <c r="AL28" s="838"/>
      <c r="AM28" s="838"/>
      <c r="AN28" s="838"/>
      <c r="AO28" s="855"/>
      <c r="AP28" s="845">
        <f>IF(AP7&gt;0,0,IF('1 PISO TECHO'!C$20&gt;250,IF('1 PISO TECHO'!C$21&gt;5.5,IF('1 PISO TECHO'!C$21&lt;28.1,1,0)))*'1 PISO TECHO'!C$22)</f>
        <v>0</v>
      </c>
      <c r="AQ28" s="845">
        <f>IF(AQ7&gt;0,0,IF('1 PISO TECHO'!D$20&gt;250,IF('1 PISO TECHO'!D$21&gt;5.5,IF('1 PISO TECHO'!D$21&lt;28.1,1,0)))*'1 PISO TECHO'!D$22)</f>
        <v>0</v>
      </c>
      <c r="AR28" s="845">
        <f>IF(AR7&gt;0,0,IF('1 PISO TECHO'!E$20&gt;250,IF('1 PISO TECHO'!E$21&gt;5.5,IF('1 PISO TECHO'!E$21&lt;28.1,1,0)))*'1 PISO TECHO'!E$22)</f>
        <v>0</v>
      </c>
      <c r="AS28" s="845">
        <f>IF(AS7&gt;0,0,IF('1 PISO TECHO'!F$20&gt;250,IF('1 PISO TECHO'!F$21&gt;5.5,IF('1 PISO TECHO'!F$21&lt;28.1,1,0)))*'1 PISO TECHO'!F$22)</f>
        <v>0</v>
      </c>
      <c r="AT28" s="845">
        <f>IF(AT7&gt;0,0,IF('1 PISO TECHO'!G$20&gt;250,IF('1 PISO TECHO'!G$21&gt;5.5,IF('1 PISO TECHO'!G$21&lt;28.1,1,0)))*'1 PISO TECHO'!G$22)</f>
        <v>0</v>
      </c>
      <c r="AU28" s="845">
        <f>IF(AU7&gt;0,0,IF('1 PISO TECHO'!H$20&gt;250,IF('1 PISO TECHO'!H$21&gt;5.5,IF('1 PISO TECHO'!H$21&lt;28.1,1,0)))*'1 PISO TECHO'!H$22)</f>
        <v>0</v>
      </c>
      <c r="AV28" s="845">
        <f>IF(AV7&gt;0,0,IF('1 PISO TECHO'!I$20&gt;250,IF('1 PISO TECHO'!I$21&gt;5.5,IF('1 PISO TECHO'!I$21&lt;28.1,1,0)))*'1 PISO TECHO'!I$22)</f>
        <v>0</v>
      </c>
      <c r="AW28" s="845">
        <f>IF(AW7&gt;0,0,IF('1 PISO TECHO'!J$20&gt;250,IF('1 PISO TECHO'!J$21&gt;5.5,IF('1 PISO TECHO'!J$21&lt;28.1,1,0)))*'1 PISO TECHO'!J$22)</f>
        <v>0</v>
      </c>
      <c r="AX28" s="845">
        <f>IF(AX7&gt;0,0,IF('1 PISO TECHO'!K$20&gt;250,IF('1 PISO TECHO'!K$21&gt;5.5,IF('1 PISO TECHO'!K$21&lt;28.1,1,0)))*'1 PISO TECHO'!K$22)</f>
        <v>0</v>
      </c>
      <c r="AY28" s="845">
        <f>IF(AY7&gt;0,0,IF('1 PISO TECHO'!L$20&gt;250,IF('1 PISO TECHO'!L$21&gt;5.5,IF('1 PISO TECHO'!L$21&lt;28.1,1,0)))*'1 PISO TECHO'!L$22)</f>
        <v>0</v>
      </c>
      <c r="AZ28" s="845">
        <f>IF(AZ7&gt;0,0,IF('1 PISO TECHO'!M$20&gt;250,IF('1 PISO TECHO'!M$21&gt;5.5,IF('1 PISO TECHO'!M$21&lt;28.1,1,0)))*'1 PISO TECHO'!M$22)</f>
        <v>0</v>
      </c>
      <c r="BA28" s="845">
        <f>IF(BA7&gt;0,0,IF('1 PISO TECHO'!N$20&gt;250,IF('1 PISO TECHO'!N$21&gt;5.5,IF('1 PISO TECHO'!N$21&lt;28.1,1,0)))*'1 PISO TECHO'!N$22)</f>
        <v>0</v>
      </c>
      <c r="BB28" s="844">
        <f t="shared" ref="BB28:BB33" si="10">SUM(AP28:BA28)</f>
        <v>0</v>
      </c>
      <c r="BC28" s="859"/>
      <c r="BD28" s="859"/>
      <c r="BE28" s="859"/>
      <c r="BF28" s="859"/>
      <c r="BG28" s="859"/>
      <c r="BH28" s="859"/>
      <c r="BI28" s="859"/>
      <c r="BJ28" s="859"/>
      <c r="BK28" s="859"/>
      <c r="BL28" s="859"/>
      <c r="BM28" s="859"/>
      <c r="BN28" s="859"/>
      <c r="BO28" s="855"/>
      <c r="BP28" s="859"/>
      <c r="BQ28" s="859"/>
      <c r="BR28" s="859"/>
      <c r="BS28" s="859"/>
      <c r="BT28" s="859"/>
      <c r="BU28" s="859"/>
      <c r="BV28" s="859"/>
      <c r="BW28" s="859"/>
      <c r="BX28" s="859"/>
      <c r="BY28" s="859"/>
      <c r="BZ28" s="859"/>
      <c r="CA28" s="859"/>
      <c r="CB28" s="855"/>
      <c r="CC28" s="838"/>
      <c r="CD28" s="838"/>
      <c r="CE28" s="838"/>
      <c r="CF28" s="838"/>
      <c r="CG28" s="838"/>
      <c r="CH28" s="838"/>
      <c r="CI28" s="838"/>
      <c r="CJ28" s="838"/>
      <c r="CK28" s="838"/>
      <c r="CL28" s="838"/>
      <c r="CM28" s="838"/>
      <c r="CN28" s="838"/>
      <c r="CO28" s="855"/>
      <c r="CP28" s="838"/>
      <c r="CQ28" s="838"/>
      <c r="CR28" s="838"/>
      <c r="CS28" s="838"/>
      <c r="CT28" s="838"/>
      <c r="CU28" s="838"/>
      <c r="CV28" s="838"/>
      <c r="CW28" s="838"/>
      <c r="CX28" s="838"/>
      <c r="CY28" s="838"/>
      <c r="CZ28" s="838"/>
      <c r="DA28" s="838"/>
      <c r="DB28" s="855"/>
      <c r="DK28" s="838"/>
    </row>
    <row r="29" spans="1:115" ht="26.25" x14ac:dyDescent="0.4">
      <c r="A29" s="1467"/>
      <c r="B29" s="1467"/>
      <c r="C29" s="852"/>
      <c r="D29" s="852"/>
      <c r="E29" s="852"/>
      <c r="F29" s="852"/>
      <c r="G29" s="852"/>
      <c r="H29" s="852"/>
      <c r="I29" s="852"/>
      <c r="J29" s="852"/>
      <c r="K29" s="852"/>
      <c r="L29" s="852"/>
      <c r="M29" s="852"/>
      <c r="N29" s="852"/>
      <c r="O29" s="852"/>
      <c r="P29" s="849"/>
      <c r="Q29" s="849"/>
      <c r="R29" s="849"/>
      <c r="S29" s="849"/>
      <c r="T29" s="849"/>
      <c r="U29" s="849"/>
      <c r="V29" s="849"/>
      <c r="W29" s="849"/>
      <c r="X29" s="849"/>
      <c r="Y29" s="849"/>
      <c r="Z29" s="849"/>
      <c r="AA29" s="849"/>
      <c r="AB29" s="852"/>
      <c r="AC29" s="855"/>
      <c r="AD29" s="855"/>
      <c r="AE29" s="855"/>
      <c r="AF29" s="855"/>
      <c r="AG29" s="855"/>
      <c r="AH29" s="855"/>
      <c r="AI29" s="855"/>
      <c r="AJ29" s="855"/>
      <c r="AK29" s="855"/>
      <c r="AL29" s="855"/>
      <c r="AM29" s="855"/>
      <c r="AN29" s="855"/>
      <c r="AO29" s="855"/>
      <c r="AP29" s="845">
        <f>IF(AP8&gt;0,0,IF('1 PISO TECHO'!C$20&gt;250,IF('1 PISO TECHO'!C$21&gt;28,IF('1 PISO TECHO'!C$21&lt;56.1,1,0)))*'1 PISO TECHO'!C$22)</f>
        <v>0</v>
      </c>
      <c r="AQ29" s="845">
        <f>IF(AQ8&gt;0,0,IF('1 PISO TECHO'!D$20&gt;250,IF('1 PISO TECHO'!D$21&gt;28,IF('1 PISO TECHO'!D$21&lt;56.1,1,0)))*'1 PISO TECHO'!D$22)</f>
        <v>0</v>
      </c>
      <c r="AR29" s="845">
        <f>IF(AR8&gt;0,0,IF('1 PISO TECHO'!E$20&gt;250,IF('1 PISO TECHO'!E$21&gt;28,IF('1 PISO TECHO'!E$21&lt;56.1,1,0)))*'1 PISO TECHO'!E$22)</f>
        <v>0</v>
      </c>
      <c r="AS29" s="845">
        <f>IF(AS8&gt;0,0,IF('1 PISO TECHO'!F$20&gt;250,IF('1 PISO TECHO'!F$21&gt;28,IF('1 PISO TECHO'!F$21&lt;56.1,1,0)))*'1 PISO TECHO'!F$22)</f>
        <v>0</v>
      </c>
      <c r="AT29" s="845">
        <f>IF(AT8&gt;0,0,IF('1 PISO TECHO'!G$20&gt;250,IF('1 PISO TECHO'!G$21&gt;28,IF('1 PISO TECHO'!G$21&lt;56.1,1,0)))*'1 PISO TECHO'!G$22)</f>
        <v>0</v>
      </c>
      <c r="AU29" s="845">
        <f>IF(AU8&gt;0,0,IF('1 PISO TECHO'!H$20&gt;250,IF('1 PISO TECHO'!H$21&gt;28,IF('1 PISO TECHO'!H$21&lt;56.1,1,0)))*'1 PISO TECHO'!H$22)</f>
        <v>0</v>
      </c>
      <c r="AV29" s="845">
        <f>IF(AV8&gt;0,0,IF('1 PISO TECHO'!I$20&gt;250,IF('1 PISO TECHO'!I$21&gt;28,IF('1 PISO TECHO'!I$21&lt;56.1,1,0)))*'1 PISO TECHO'!I$22)</f>
        <v>0</v>
      </c>
      <c r="AW29" s="845">
        <f>IF(AW8&gt;0,0,IF('1 PISO TECHO'!J$20&gt;250,IF('1 PISO TECHO'!J$21&gt;28,IF('1 PISO TECHO'!J$21&lt;56.1,1,0)))*'1 PISO TECHO'!J$22)</f>
        <v>0</v>
      </c>
      <c r="AX29" s="845">
        <f>IF(AX8&gt;0,0,IF('1 PISO TECHO'!K$20&gt;250,IF('1 PISO TECHO'!K$21&gt;28,IF('1 PISO TECHO'!K$21&lt;56.1,1,0)))*'1 PISO TECHO'!K$22)</f>
        <v>0</v>
      </c>
      <c r="AY29" s="845">
        <f>IF(AY8&gt;0,0,IF('1 PISO TECHO'!L$20&gt;250,IF('1 PISO TECHO'!L$21&gt;28,IF('1 PISO TECHO'!L$21&lt;56.1,1,0)))*'1 PISO TECHO'!L$22)</f>
        <v>0</v>
      </c>
      <c r="AZ29" s="845">
        <f>IF(AZ8&gt;0,0,IF('1 PISO TECHO'!M$20&gt;250,IF('1 PISO TECHO'!M$21&gt;28,IF('1 PISO TECHO'!M$21&lt;56.1,1,0)))*'1 PISO TECHO'!M$22)</f>
        <v>0</v>
      </c>
      <c r="BA29" s="845">
        <f>IF(BA8&gt;0,0,IF('1 PISO TECHO'!N$20&gt;250,IF('1 PISO TECHO'!N$21&gt;28,IF('1 PISO TECHO'!N$21&lt;56.1,1,0)))*'1 PISO TECHO'!N$22)</f>
        <v>0</v>
      </c>
      <c r="BB29" s="844">
        <f t="shared" si="10"/>
        <v>0</v>
      </c>
      <c r="BC29" s="838"/>
      <c r="BD29" s="855"/>
      <c r="BE29" s="855"/>
      <c r="BF29" s="855"/>
      <c r="BG29" s="855"/>
      <c r="BH29" s="855"/>
      <c r="BI29" s="855"/>
      <c r="BJ29" s="855"/>
      <c r="BK29" s="855"/>
      <c r="BL29" s="855"/>
      <c r="BM29" s="855"/>
      <c r="BN29" s="855"/>
      <c r="BO29" s="855"/>
      <c r="BP29" s="838"/>
      <c r="BQ29" s="855"/>
      <c r="BR29" s="855"/>
      <c r="BS29" s="855"/>
      <c r="BT29" s="855"/>
      <c r="BU29" s="855"/>
      <c r="BV29" s="855"/>
      <c r="BW29" s="855"/>
      <c r="BX29" s="855"/>
      <c r="BY29" s="855"/>
      <c r="BZ29" s="855"/>
      <c r="CA29" s="855"/>
      <c r="CB29" s="855"/>
      <c r="CC29" s="838"/>
      <c r="CD29" s="855"/>
      <c r="CE29" s="855"/>
      <c r="CF29" s="855"/>
      <c r="CG29" s="855"/>
      <c r="CH29" s="855"/>
      <c r="CI29" s="855"/>
      <c r="CJ29" s="855"/>
      <c r="CK29" s="855"/>
      <c r="CL29" s="855"/>
      <c r="CM29" s="855"/>
      <c r="CN29" s="855"/>
      <c r="CO29" s="855"/>
      <c r="CP29" s="838"/>
      <c r="CQ29" s="855"/>
      <c r="CR29" s="855"/>
      <c r="CS29" s="855"/>
      <c r="CT29" s="855"/>
      <c r="CU29" s="855"/>
      <c r="CV29" s="855"/>
      <c r="CW29" s="855"/>
      <c r="CX29" s="855"/>
      <c r="CY29" s="855"/>
      <c r="CZ29" s="855"/>
      <c r="DA29" s="855"/>
      <c r="DB29" s="855"/>
      <c r="DK29" s="838"/>
    </row>
    <row r="30" spans="1:115" ht="26.25" x14ac:dyDescent="0.4">
      <c r="A30" s="1467"/>
      <c r="B30" s="1467"/>
      <c r="C30" s="852"/>
      <c r="D30" s="852"/>
      <c r="E30" s="852"/>
      <c r="F30" s="852"/>
      <c r="G30" s="852"/>
      <c r="H30" s="852"/>
      <c r="I30" s="852"/>
      <c r="J30" s="852"/>
      <c r="K30" s="852"/>
      <c r="L30" s="852"/>
      <c r="M30" s="852"/>
      <c r="N30" s="852"/>
      <c r="O30" s="852"/>
      <c r="P30" s="849"/>
      <c r="Q30" s="849"/>
      <c r="R30" s="849"/>
      <c r="S30" s="849"/>
      <c r="T30" s="849"/>
      <c r="U30" s="849"/>
      <c r="V30" s="849"/>
      <c r="W30" s="849"/>
      <c r="X30" s="849"/>
      <c r="Y30" s="849"/>
      <c r="Z30" s="849"/>
      <c r="AA30" s="849"/>
      <c r="AB30" s="852"/>
      <c r="AC30" s="855"/>
      <c r="AD30" s="855"/>
      <c r="AE30" s="855"/>
      <c r="AF30" s="855"/>
      <c r="AG30" s="855"/>
      <c r="AH30" s="855"/>
      <c r="AI30" s="855"/>
      <c r="AJ30" s="855"/>
      <c r="AK30" s="855"/>
      <c r="AL30" s="855"/>
      <c r="AM30" s="855"/>
      <c r="AN30" s="855"/>
      <c r="AO30" s="855"/>
      <c r="AP30" s="845">
        <f>IF(AP9&gt;0,0,IF('1 PISO TECHO'!C$20&gt;250,IF('1 PISO TECHO'!C$21&gt;56,IF('1 PISO TECHO'!C$21&lt;70.1,1,0)))*'1 PISO TECHO'!C$22)</f>
        <v>0</v>
      </c>
      <c r="AQ30" s="845">
        <f>IF(AQ9&gt;0,0,IF('1 PISO TECHO'!D$20&gt;250,IF('1 PISO TECHO'!D$21&gt;56,IF('1 PISO TECHO'!D$21&lt;70.1,1,0)))*'1 PISO TECHO'!D$22)</f>
        <v>0</v>
      </c>
      <c r="AR30" s="845">
        <f>IF(AR9&gt;0,0,IF('1 PISO TECHO'!E$20&gt;250,IF('1 PISO TECHO'!E$21&gt;56,IF('1 PISO TECHO'!E$21&lt;70.1,1,0)))*'1 PISO TECHO'!E$22)</f>
        <v>0</v>
      </c>
      <c r="AS30" s="845">
        <f>IF(AS9&gt;0,0,IF('1 PISO TECHO'!F$20&gt;250,IF('1 PISO TECHO'!F$21&gt;56,IF('1 PISO TECHO'!F$21&lt;70.1,1,0)))*'1 PISO TECHO'!F$22)</f>
        <v>0</v>
      </c>
      <c r="AT30" s="845">
        <f>IF(AT9&gt;0,0,IF('1 PISO TECHO'!G$20&gt;250,IF('1 PISO TECHO'!G$21&gt;56,IF('1 PISO TECHO'!G$21&lt;70.1,1,0)))*'1 PISO TECHO'!G$22)</f>
        <v>0</v>
      </c>
      <c r="AU30" s="845">
        <f>IF(AU9&gt;0,0,IF('1 PISO TECHO'!H$20&gt;250,IF('1 PISO TECHO'!H$21&gt;56,IF('1 PISO TECHO'!H$21&lt;70.1,1,0)))*'1 PISO TECHO'!H$22)</f>
        <v>0</v>
      </c>
      <c r="AV30" s="845">
        <f>IF(AV9&gt;0,0,IF('1 PISO TECHO'!I$20&gt;250,IF('1 PISO TECHO'!I$21&gt;56,IF('1 PISO TECHO'!I$21&lt;70.1,1,0)))*'1 PISO TECHO'!I$22)</f>
        <v>0</v>
      </c>
      <c r="AW30" s="845">
        <f>IF(AW9&gt;0,0,IF('1 PISO TECHO'!J$20&gt;250,IF('1 PISO TECHO'!J$21&gt;56,IF('1 PISO TECHO'!J$21&lt;70.1,1,0)))*'1 PISO TECHO'!J$22)</f>
        <v>0</v>
      </c>
      <c r="AX30" s="845">
        <f>IF(AX9&gt;0,0,IF('1 PISO TECHO'!K$20&gt;250,IF('1 PISO TECHO'!K$21&gt;56,IF('1 PISO TECHO'!K$21&lt;70.1,1,0)))*'1 PISO TECHO'!K$22)</f>
        <v>0</v>
      </c>
      <c r="AY30" s="845">
        <f>IF(AY9&gt;0,0,IF('1 PISO TECHO'!L$20&gt;250,IF('1 PISO TECHO'!L$21&gt;56,IF('1 PISO TECHO'!L$21&lt;70.1,1,0)))*'1 PISO TECHO'!L$22)</f>
        <v>0</v>
      </c>
      <c r="AZ30" s="845">
        <f>IF(AZ9&gt;0,0,IF('1 PISO TECHO'!M$20&gt;250,IF('1 PISO TECHO'!M$21&gt;56,IF('1 PISO TECHO'!M$21&lt;70.1,1,0)))*'1 PISO TECHO'!M$22)</f>
        <v>0</v>
      </c>
      <c r="BA30" s="845">
        <f>IF(BA9&gt;0,0,IF('1 PISO TECHO'!N$20&gt;250,IF('1 PISO TECHO'!N$21&gt;56,IF('1 PISO TECHO'!N$21&lt;70.1,1,0)))*'1 PISO TECHO'!N$22)</f>
        <v>0</v>
      </c>
      <c r="BB30" s="844">
        <f t="shared" si="10"/>
        <v>0</v>
      </c>
      <c r="BC30" s="855"/>
      <c r="BD30" s="855"/>
      <c r="BE30" s="855"/>
      <c r="BF30" s="855"/>
      <c r="BG30" s="855"/>
      <c r="BH30" s="855"/>
      <c r="BI30" s="855"/>
      <c r="BJ30" s="855"/>
      <c r="BK30" s="855"/>
      <c r="BL30" s="855"/>
      <c r="BM30" s="855"/>
      <c r="BN30" s="855"/>
      <c r="BO30" s="855"/>
      <c r="BP30" s="855"/>
      <c r="BQ30" s="855"/>
      <c r="BR30" s="855"/>
      <c r="BS30" s="855"/>
      <c r="BT30" s="855"/>
      <c r="BU30" s="855"/>
      <c r="BV30" s="855"/>
      <c r="BW30" s="855"/>
      <c r="BX30" s="855"/>
      <c r="BY30" s="855"/>
      <c r="BZ30" s="855"/>
      <c r="CA30" s="855"/>
      <c r="CB30" s="855"/>
      <c r="CC30" s="855"/>
      <c r="CD30" s="855"/>
      <c r="CE30" s="855"/>
      <c r="CF30" s="855"/>
      <c r="CG30" s="855"/>
      <c r="CH30" s="855"/>
      <c r="CI30" s="855"/>
      <c r="CJ30" s="855"/>
      <c r="CK30" s="855"/>
      <c r="CL30" s="855"/>
      <c r="CM30" s="855"/>
      <c r="CN30" s="855"/>
      <c r="CO30" s="855"/>
      <c r="CP30" s="855"/>
      <c r="CQ30" s="855"/>
      <c r="CR30" s="855"/>
      <c r="CS30" s="855"/>
      <c r="CT30" s="855"/>
      <c r="CU30" s="855"/>
      <c r="CV30" s="855"/>
      <c r="CW30" s="855"/>
      <c r="CX30" s="855"/>
      <c r="CY30" s="855"/>
      <c r="CZ30" s="855"/>
      <c r="DA30" s="855"/>
      <c r="DB30" s="855"/>
      <c r="DK30" s="838"/>
    </row>
    <row r="31" spans="1:115" ht="26.25" x14ac:dyDescent="0.4">
      <c r="A31" s="1467"/>
      <c r="B31" s="1467"/>
      <c r="C31" s="852"/>
      <c r="D31" s="852"/>
      <c r="E31" s="852"/>
      <c r="F31" s="852"/>
      <c r="G31" s="852"/>
      <c r="H31" s="852"/>
      <c r="I31" s="852"/>
      <c r="J31" s="852"/>
      <c r="K31" s="852"/>
      <c r="L31" s="852"/>
      <c r="M31" s="852"/>
      <c r="N31" s="852"/>
      <c r="O31" s="852"/>
      <c r="AB31" s="838"/>
      <c r="AC31" s="855"/>
      <c r="AD31" s="855"/>
      <c r="AE31" s="855"/>
      <c r="AF31" s="855"/>
      <c r="AG31" s="855"/>
      <c r="AH31" s="855"/>
      <c r="AI31" s="855"/>
      <c r="AJ31" s="855"/>
      <c r="AK31" s="855"/>
      <c r="AL31" s="855"/>
      <c r="AM31" s="855"/>
      <c r="AN31" s="855"/>
      <c r="AO31" s="855"/>
      <c r="AP31" s="845">
        <f>IF(AP10&gt;0,0,IF('1 PISO TECHO'!C$20&gt;250,IF('1 PISO TECHO'!C$21&gt;70,IF('1 PISO TECHO'!C$21&lt;84.1,1,0)))*'1 PISO TECHO'!C$22)</f>
        <v>0</v>
      </c>
      <c r="AQ31" s="845">
        <f>IF(AQ10&gt;0,0,IF('1 PISO TECHO'!D$20&gt;250,IF('1 PISO TECHO'!D$21&gt;70,IF('1 PISO TECHO'!D$21&lt;84.1,1,0)))*'1 PISO TECHO'!D$22)</f>
        <v>0</v>
      </c>
      <c r="AR31" s="845">
        <f>IF(AR10&gt;0,0,IF('1 PISO TECHO'!E$20&gt;250,IF('1 PISO TECHO'!E$21&gt;70,IF('1 PISO TECHO'!E$21&lt;84.1,1,0)))*'1 PISO TECHO'!E$22)</f>
        <v>0</v>
      </c>
      <c r="AS31" s="845">
        <f>IF(AS10&gt;0,0,IF('1 PISO TECHO'!F$20&gt;250,IF('1 PISO TECHO'!F$21&gt;70,IF('1 PISO TECHO'!F$21&lt;84.1,1,0)))*'1 PISO TECHO'!F$22)</f>
        <v>0</v>
      </c>
      <c r="AT31" s="845">
        <f>IF(AT10&gt;0,0,IF('1 PISO TECHO'!G$20&gt;250,IF('1 PISO TECHO'!G$21&gt;70,IF('1 PISO TECHO'!G$21&lt;84.1,1,0)))*'1 PISO TECHO'!G$22)</f>
        <v>0</v>
      </c>
      <c r="AU31" s="845">
        <f>IF(AU10&gt;0,0,IF('1 PISO TECHO'!H$20&gt;250,IF('1 PISO TECHO'!H$21&gt;70,IF('1 PISO TECHO'!H$21&lt;84.1,1,0)))*'1 PISO TECHO'!H$22)</f>
        <v>0</v>
      </c>
      <c r="AV31" s="845">
        <f>IF(AV10&gt;0,0,IF('1 PISO TECHO'!I$20&gt;250,IF('1 PISO TECHO'!I$21&gt;70,IF('1 PISO TECHO'!I$21&lt;84.1,1,0)))*'1 PISO TECHO'!I$22)</f>
        <v>0</v>
      </c>
      <c r="AW31" s="845">
        <f>IF(AW10&gt;0,0,IF('1 PISO TECHO'!J$20&gt;250,IF('1 PISO TECHO'!J$21&gt;70,IF('1 PISO TECHO'!J$21&lt;84.1,1,0)))*'1 PISO TECHO'!J$22)</f>
        <v>0</v>
      </c>
      <c r="AX31" s="845">
        <f>IF(AX10&gt;0,0,IF('1 PISO TECHO'!K$20&gt;250,IF('1 PISO TECHO'!K$21&gt;70,IF('1 PISO TECHO'!K$21&lt;84.1,1,0)))*'1 PISO TECHO'!K$22)</f>
        <v>0</v>
      </c>
      <c r="AY31" s="845">
        <f>IF(AY10&gt;0,0,IF('1 PISO TECHO'!L$20&gt;250,IF('1 PISO TECHO'!L$21&gt;70,IF('1 PISO TECHO'!L$21&lt;84.1,1,0)))*'1 PISO TECHO'!L$22)</f>
        <v>0</v>
      </c>
      <c r="AZ31" s="845">
        <f>IF(AZ10&gt;0,0,IF('1 PISO TECHO'!M$20&gt;250,IF('1 PISO TECHO'!M$21&gt;70,IF('1 PISO TECHO'!M$21&lt;84.1,1,0)))*'1 PISO TECHO'!M$22)</f>
        <v>0</v>
      </c>
      <c r="BA31" s="845">
        <f>IF(BA10&gt;0,0,IF('1 PISO TECHO'!N$20&gt;250,IF('1 PISO TECHO'!N$21&gt;70,IF('1 PISO TECHO'!N$21&lt;84.1,1,0)))*'1 PISO TECHO'!N$22)</f>
        <v>0</v>
      </c>
      <c r="BB31" s="844">
        <f t="shared" si="10"/>
        <v>0</v>
      </c>
      <c r="BC31" s="855"/>
      <c r="BD31" s="855"/>
      <c r="BE31" s="855"/>
      <c r="BF31" s="855"/>
      <c r="BG31" s="855"/>
      <c r="BH31" s="855"/>
      <c r="BI31" s="855"/>
      <c r="BJ31" s="855"/>
      <c r="BK31" s="855"/>
      <c r="BL31" s="855"/>
      <c r="BM31" s="855"/>
      <c r="BN31" s="855"/>
      <c r="BO31" s="855"/>
      <c r="BP31" s="855"/>
      <c r="BQ31" s="855"/>
      <c r="BR31" s="855"/>
      <c r="BS31" s="855"/>
      <c r="BT31" s="855"/>
      <c r="BU31" s="855"/>
      <c r="BV31" s="855"/>
      <c r="BW31" s="855"/>
      <c r="BX31" s="855"/>
      <c r="BY31" s="855"/>
      <c r="BZ31" s="855"/>
      <c r="CA31" s="855"/>
      <c r="CB31" s="855"/>
      <c r="CC31" s="855"/>
      <c r="CD31" s="855"/>
      <c r="CE31" s="855"/>
      <c r="CF31" s="855"/>
      <c r="CG31" s="855"/>
      <c r="CH31" s="855"/>
      <c r="CI31" s="855"/>
      <c r="CJ31" s="855"/>
      <c r="CK31" s="855"/>
      <c r="CL31" s="855"/>
      <c r="CM31" s="855"/>
      <c r="CN31" s="855"/>
      <c r="CO31" s="855"/>
      <c r="CP31" s="855"/>
      <c r="CQ31" s="855"/>
      <c r="CR31" s="855"/>
      <c r="CS31" s="855"/>
      <c r="CT31" s="855"/>
      <c r="CU31" s="855"/>
      <c r="CV31" s="855"/>
      <c r="CW31" s="855"/>
      <c r="CX31" s="855"/>
      <c r="CY31" s="855"/>
      <c r="CZ31" s="855"/>
      <c r="DA31" s="855"/>
      <c r="DB31" s="855"/>
      <c r="DK31" s="838"/>
    </row>
    <row r="32" spans="1:115" x14ac:dyDescent="0.35">
      <c r="A32" s="856"/>
      <c r="C32" s="852"/>
      <c r="D32" s="852"/>
      <c r="E32" s="852"/>
      <c r="F32" s="852"/>
      <c r="G32" s="852"/>
      <c r="H32" s="852"/>
      <c r="I32" s="852"/>
      <c r="J32" s="852"/>
      <c r="K32" s="852"/>
      <c r="L32" s="852"/>
      <c r="M32" s="852"/>
      <c r="N32" s="852"/>
      <c r="O32" s="852"/>
      <c r="AB32" s="838"/>
      <c r="AC32" s="855"/>
      <c r="AD32" s="855"/>
      <c r="AE32" s="855"/>
      <c r="AF32" s="855"/>
      <c r="AG32" s="855"/>
      <c r="AH32" s="855"/>
      <c r="AI32" s="855"/>
      <c r="AJ32" s="855"/>
      <c r="AK32" s="855"/>
      <c r="AL32" s="855"/>
      <c r="AM32" s="855"/>
      <c r="AN32" s="855"/>
      <c r="AO32" s="855"/>
      <c r="AP32" s="845">
        <f>IF(AP11&gt;0,0,IF('1 PISO TECHO'!C$20&gt;250,IF('1 PISO TECHO'!C$21&gt;84,IF('1 PISO TECHO'!C$21&lt;112.1,1,0)))*'1 PISO TECHO'!C$22)</f>
        <v>0</v>
      </c>
      <c r="AQ32" s="845">
        <f>IF(AQ11&gt;0,0,IF('1 PISO TECHO'!D$20&gt;250,IF('1 PISO TECHO'!D$21&gt;84,IF('1 PISO TECHO'!D$21&lt;112.1,1,0)))*'1 PISO TECHO'!D$22)</f>
        <v>0</v>
      </c>
      <c r="AR32" s="845">
        <f>IF(AR11&gt;0,0,IF('1 PISO TECHO'!E$20&gt;250,IF('1 PISO TECHO'!E$21&gt;84,IF('1 PISO TECHO'!E$21&lt;112.1,1,0)))*'1 PISO TECHO'!E$22)</f>
        <v>0</v>
      </c>
      <c r="AS32" s="845">
        <f>IF(AS11&gt;0,0,IF('1 PISO TECHO'!F$20&gt;250,IF('1 PISO TECHO'!F$21&gt;84,IF('1 PISO TECHO'!F$21&lt;112.1,1,0)))*'1 PISO TECHO'!F$22)</f>
        <v>0</v>
      </c>
      <c r="AT32" s="845">
        <f>IF(AT11&gt;0,0,IF('1 PISO TECHO'!G$20&gt;250,IF('1 PISO TECHO'!G$21&gt;84,IF('1 PISO TECHO'!G$21&lt;112.1,1,0)))*'1 PISO TECHO'!G$22)</f>
        <v>0</v>
      </c>
      <c r="AU32" s="845">
        <f>IF(AU11&gt;0,0,IF('1 PISO TECHO'!H$20&gt;250,IF('1 PISO TECHO'!H$21&gt;84,IF('1 PISO TECHO'!H$21&lt;112.1,1,0)))*'1 PISO TECHO'!H$22)</f>
        <v>0</v>
      </c>
      <c r="AV32" s="845">
        <f>IF(AV11&gt;0,0,IF('1 PISO TECHO'!I$20&gt;250,IF('1 PISO TECHO'!I$21&gt;84,IF('1 PISO TECHO'!I$21&lt;112.1,1,0)))*'1 PISO TECHO'!I$22)</f>
        <v>0</v>
      </c>
      <c r="AW32" s="845">
        <f>IF(AW11&gt;0,0,IF('1 PISO TECHO'!J$20&gt;250,IF('1 PISO TECHO'!J$21&gt;84,IF('1 PISO TECHO'!J$21&lt;112.1,1,0)))*'1 PISO TECHO'!J$22)</f>
        <v>0</v>
      </c>
      <c r="AX32" s="845">
        <f>IF(AX11&gt;0,0,IF('1 PISO TECHO'!K$20&gt;250,IF('1 PISO TECHO'!K$21&gt;84,IF('1 PISO TECHO'!K$21&lt;112.1,1,0)))*'1 PISO TECHO'!K$22)</f>
        <v>0</v>
      </c>
      <c r="AY32" s="845">
        <f>IF(AY11&gt;0,0,IF('1 PISO TECHO'!L$20&gt;250,IF('1 PISO TECHO'!L$21&gt;84,IF('1 PISO TECHO'!L$21&lt;112.1,1,0)))*'1 PISO TECHO'!L$22)</f>
        <v>0</v>
      </c>
      <c r="AZ32" s="845">
        <f>IF(AZ11&gt;0,0,IF('1 PISO TECHO'!M$20&gt;250,IF('1 PISO TECHO'!M$21&gt;84,IF('1 PISO TECHO'!M$21&lt;112.1,1,0)))*'1 PISO TECHO'!M$22)</f>
        <v>0</v>
      </c>
      <c r="BA32" s="845">
        <f>IF(BA11&gt;0,0,IF('1 PISO TECHO'!N$20&gt;250,IF('1 PISO TECHO'!N$21&gt;84,IF('1 PISO TECHO'!N$21&lt;112.1,1,0)))*'1 PISO TECHO'!N$22)</f>
        <v>0</v>
      </c>
      <c r="BB32" s="844">
        <f t="shared" si="10"/>
        <v>0</v>
      </c>
      <c r="BC32" s="855"/>
      <c r="BD32" s="855"/>
      <c r="BE32" s="855"/>
      <c r="BF32" s="855"/>
      <c r="BG32" s="855"/>
      <c r="BH32" s="855"/>
      <c r="BI32" s="855"/>
      <c r="BJ32" s="855"/>
      <c r="BK32" s="855"/>
      <c r="BL32" s="855"/>
      <c r="BM32" s="855"/>
      <c r="BN32" s="855"/>
      <c r="BO32" s="855"/>
      <c r="BP32" s="855"/>
      <c r="BQ32" s="855"/>
      <c r="BR32" s="855"/>
      <c r="BS32" s="855"/>
      <c r="BT32" s="855"/>
      <c r="BU32" s="855"/>
      <c r="BV32" s="855"/>
      <c r="BW32" s="855"/>
      <c r="BX32" s="855"/>
      <c r="BY32" s="855"/>
      <c r="BZ32" s="855"/>
      <c r="CA32" s="855"/>
      <c r="CB32" s="855"/>
      <c r="CC32" s="855"/>
      <c r="CD32" s="855"/>
      <c r="CE32" s="855"/>
      <c r="CF32" s="855"/>
      <c r="CG32" s="855"/>
      <c r="CH32" s="855"/>
      <c r="CI32" s="855"/>
      <c r="CJ32" s="855"/>
      <c r="CK32" s="855"/>
      <c r="CL32" s="855"/>
      <c r="CM32" s="855"/>
      <c r="CN32" s="855"/>
      <c r="CO32" s="855"/>
      <c r="CP32" s="855"/>
      <c r="CQ32" s="855"/>
      <c r="CR32" s="855"/>
      <c r="CS32" s="855"/>
      <c r="CT32" s="855"/>
      <c r="CU32" s="855"/>
      <c r="CV32" s="855"/>
      <c r="CW32" s="855"/>
      <c r="CX32" s="855"/>
      <c r="CY32" s="855"/>
      <c r="CZ32" s="855"/>
      <c r="DA32" s="855"/>
      <c r="DB32" s="855"/>
      <c r="DK32" s="838"/>
    </row>
    <row r="33" spans="1:194" ht="26.25" x14ac:dyDescent="0.35">
      <c r="A33" s="1471"/>
      <c r="B33" s="1471"/>
      <c r="C33" s="852"/>
      <c r="D33" s="852"/>
      <c r="E33" s="852"/>
      <c r="F33" s="852"/>
      <c r="G33" s="852"/>
      <c r="H33" s="852"/>
      <c r="I33" s="852"/>
      <c r="J33" s="852"/>
      <c r="K33" s="852"/>
      <c r="L33" s="852"/>
      <c r="M33" s="852"/>
      <c r="N33" s="852"/>
      <c r="O33" s="852"/>
      <c r="P33" s="847"/>
      <c r="AB33" s="838"/>
      <c r="AC33" s="838"/>
      <c r="AD33" s="838"/>
      <c r="AE33" s="838"/>
      <c r="AF33" s="838"/>
      <c r="AG33" s="838"/>
      <c r="AH33" s="838"/>
      <c r="AI33" s="838"/>
      <c r="AJ33" s="838"/>
      <c r="AK33" s="838"/>
      <c r="AL33" s="838"/>
      <c r="AM33" s="838"/>
      <c r="AN33" s="838"/>
      <c r="AO33" s="855"/>
      <c r="AP33" s="845">
        <f>IF(AP12&gt;0,0,IF('1 PISO TECHO'!C$20&gt;250,IF('1 PISO TECHO'!C$21&gt;112,IF('1 PISO TECHO'!C$21&lt;150.1,1,0)))*'1 PISO TECHO'!C$22)</f>
        <v>0</v>
      </c>
      <c r="AQ33" s="845">
        <f>IF(AQ12&gt;0,0,IF('1 PISO TECHO'!D$20&gt;250,IF('1 PISO TECHO'!D$21&gt;112,IF('1 PISO TECHO'!D$21&lt;150.1,1,0)))*'1 PISO TECHO'!D$22)</f>
        <v>0</v>
      </c>
      <c r="AR33" s="845">
        <f>IF(AR12&gt;0,0,IF('1 PISO TECHO'!E$20&gt;250,IF('1 PISO TECHO'!E$21&gt;112,IF('1 PISO TECHO'!E$21&lt;150.1,1,0)))*'1 PISO TECHO'!E$22)</f>
        <v>0</v>
      </c>
      <c r="AS33" s="845">
        <f>IF(AS12&gt;0,0,IF('1 PISO TECHO'!F$20&gt;250,IF('1 PISO TECHO'!F$21&gt;112,IF('1 PISO TECHO'!F$21&lt;150.1,1,0)))*'1 PISO TECHO'!F$22)</f>
        <v>0</v>
      </c>
      <c r="AT33" s="845">
        <f>IF(AT12&gt;0,0,IF('1 PISO TECHO'!G$20&gt;250,IF('1 PISO TECHO'!G$21&gt;112,IF('1 PISO TECHO'!G$21&lt;150.1,1,0)))*'1 PISO TECHO'!G$22)</f>
        <v>0</v>
      </c>
      <c r="AU33" s="845">
        <f>IF(AU12&gt;0,0,IF('1 PISO TECHO'!H$20&gt;250,IF('1 PISO TECHO'!H$21&gt;112,IF('1 PISO TECHO'!H$21&lt;150.1,1,0)))*'1 PISO TECHO'!H$22)</f>
        <v>0</v>
      </c>
      <c r="AV33" s="845">
        <f>IF(AV12&gt;0,0,IF('1 PISO TECHO'!I$20&gt;250,IF('1 PISO TECHO'!I$21&gt;112,IF('1 PISO TECHO'!I$21&lt;150.1,1,0)))*'1 PISO TECHO'!I$22)</f>
        <v>0</v>
      </c>
      <c r="AW33" s="845">
        <f>IF(AW12&gt;0,0,IF('1 PISO TECHO'!J$20&gt;250,IF('1 PISO TECHO'!J$21&gt;112,IF('1 PISO TECHO'!J$21&lt;150.1,1,0)))*'1 PISO TECHO'!J$22)</f>
        <v>0</v>
      </c>
      <c r="AX33" s="845">
        <f>IF(AX12&gt;0,0,IF('1 PISO TECHO'!K$20&gt;250,IF('1 PISO TECHO'!K$21&gt;112,IF('1 PISO TECHO'!K$21&lt;150.1,1,0)))*'1 PISO TECHO'!K$22)</f>
        <v>0</v>
      </c>
      <c r="AY33" s="845">
        <f>IF(AY12&gt;0,0,IF('1 PISO TECHO'!L$20&gt;250,IF('1 PISO TECHO'!L$21&gt;112,IF('1 PISO TECHO'!L$21&lt;150.1,1,0)))*'1 PISO TECHO'!L$22)</f>
        <v>0</v>
      </c>
      <c r="AZ33" s="845">
        <f>IF(AZ12&gt;0,0,IF('1 PISO TECHO'!M$20&gt;250,IF('1 PISO TECHO'!M$21&gt;112,IF('1 PISO TECHO'!M$21&lt;150.1,1,0)))*'1 PISO TECHO'!M$22)</f>
        <v>0</v>
      </c>
      <c r="BA33" s="845">
        <f>IF(BA12&gt;0,0,IF('1 PISO TECHO'!N$20&gt;250,IF('1 PISO TECHO'!N$21&gt;112,IF('1 PISO TECHO'!N$21&lt;150.1,1,0)))*'1 PISO TECHO'!N$22)</f>
        <v>0</v>
      </c>
      <c r="BB33" s="844">
        <f t="shared" si="10"/>
        <v>0</v>
      </c>
      <c r="BC33" s="855"/>
      <c r="BD33" s="855"/>
      <c r="BE33" s="855"/>
      <c r="BF33" s="855"/>
      <c r="BG33" s="855"/>
      <c r="BH33" s="855"/>
      <c r="BI33" s="855"/>
      <c r="BJ33" s="855"/>
      <c r="BK33" s="855"/>
      <c r="BL33" s="855"/>
      <c r="BM33" s="855"/>
      <c r="BN33" s="855"/>
      <c r="BO33" s="855"/>
      <c r="BP33" s="855"/>
      <c r="BQ33" s="855"/>
      <c r="BR33" s="855"/>
      <c r="BS33" s="855"/>
      <c r="BT33" s="855"/>
      <c r="BU33" s="855"/>
      <c r="BV33" s="855"/>
      <c r="BW33" s="855"/>
      <c r="BX33" s="855"/>
      <c r="BY33" s="855"/>
      <c r="BZ33" s="855"/>
      <c r="CA33" s="855"/>
      <c r="CB33" s="855"/>
      <c r="CC33" s="855"/>
      <c r="CD33" s="855"/>
      <c r="CE33" s="855"/>
      <c r="CF33" s="855"/>
      <c r="CG33" s="855"/>
      <c r="CH33" s="855"/>
      <c r="CI33" s="855"/>
      <c r="CJ33" s="855"/>
      <c r="CK33" s="855"/>
      <c r="CL33" s="855"/>
      <c r="CM33" s="855"/>
      <c r="CN33" s="855"/>
      <c r="CO33" s="855"/>
      <c r="CP33" s="855"/>
      <c r="CQ33" s="855"/>
      <c r="CR33" s="855"/>
      <c r="CS33" s="855"/>
      <c r="CT33" s="855"/>
      <c r="CU33" s="855"/>
      <c r="CV33" s="855"/>
      <c r="CW33" s="855"/>
      <c r="CX33" s="855"/>
      <c r="CY33" s="855"/>
      <c r="CZ33" s="855"/>
      <c r="DA33" s="855"/>
      <c r="DB33" s="855"/>
      <c r="DK33" s="838"/>
    </row>
    <row r="34" spans="1:194" ht="26.25" x14ac:dyDescent="0.4">
      <c r="A34" s="1467"/>
      <c r="B34" s="1467"/>
      <c r="C34" s="852"/>
      <c r="D34" s="852"/>
      <c r="E34" s="852"/>
      <c r="F34" s="852"/>
      <c r="G34" s="852"/>
      <c r="H34" s="852"/>
      <c r="I34" s="852"/>
      <c r="J34" s="852"/>
      <c r="K34" s="852"/>
      <c r="L34" s="852"/>
      <c r="M34" s="852"/>
      <c r="N34" s="852"/>
      <c r="O34" s="852"/>
      <c r="AB34" s="838"/>
      <c r="AC34" s="855"/>
      <c r="AD34" s="855"/>
      <c r="AE34" s="855"/>
      <c r="AF34" s="855"/>
      <c r="AG34" s="855"/>
      <c r="AH34" s="855"/>
      <c r="AI34" s="855"/>
      <c r="AJ34" s="855"/>
      <c r="AK34" s="855"/>
      <c r="AL34" s="855"/>
      <c r="AM34" s="855"/>
      <c r="AN34" s="855"/>
      <c r="AO34" s="855"/>
      <c r="BC34" s="855"/>
      <c r="BD34" s="855"/>
      <c r="BE34" s="855"/>
      <c r="BF34" s="855"/>
      <c r="BG34" s="855"/>
      <c r="BH34" s="855"/>
      <c r="BI34" s="855"/>
      <c r="BJ34" s="855"/>
      <c r="BK34" s="855"/>
      <c r="BL34" s="855"/>
      <c r="BM34" s="855"/>
      <c r="BN34" s="855"/>
      <c r="BO34" s="855"/>
      <c r="BP34" s="855"/>
      <c r="BQ34" s="855"/>
      <c r="BR34" s="855"/>
      <c r="BS34" s="855"/>
      <c r="BT34" s="855"/>
      <c r="BU34" s="855"/>
      <c r="BV34" s="855"/>
      <c r="BW34" s="855"/>
      <c r="BX34" s="855"/>
      <c r="BY34" s="855"/>
      <c r="BZ34" s="855"/>
      <c r="CA34" s="855"/>
      <c r="CB34" s="855"/>
      <c r="CC34" s="855"/>
      <c r="CD34" s="855"/>
      <c r="CE34" s="855"/>
      <c r="CF34" s="855"/>
      <c r="CG34" s="855"/>
      <c r="CH34" s="855"/>
      <c r="CI34" s="855"/>
      <c r="CJ34" s="855"/>
      <c r="CK34" s="855"/>
      <c r="CL34" s="855"/>
      <c r="CM34" s="855"/>
      <c r="CN34" s="855"/>
      <c r="CO34" s="855"/>
      <c r="CP34" s="855"/>
      <c r="CQ34" s="855"/>
      <c r="CR34" s="855"/>
      <c r="CS34" s="855"/>
      <c r="CT34" s="855"/>
      <c r="CU34" s="855"/>
      <c r="CV34" s="855"/>
      <c r="CW34" s="855"/>
      <c r="CX34" s="855"/>
      <c r="CY34" s="855"/>
      <c r="CZ34" s="855"/>
      <c r="DA34" s="855"/>
      <c r="DB34" s="855"/>
      <c r="DK34" s="838"/>
    </row>
    <row r="35" spans="1:194" ht="26.25" x14ac:dyDescent="0.4">
      <c r="A35" s="1467"/>
      <c r="B35" s="1467"/>
      <c r="C35" s="852"/>
      <c r="D35" s="852"/>
      <c r="E35" s="852"/>
      <c r="F35" s="852"/>
      <c r="G35" s="852"/>
      <c r="H35" s="852"/>
      <c r="I35" s="852"/>
      <c r="J35" s="852"/>
      <c r="K35" s="852"/>
      <c r="L35" s="852"/>
      <c r="M35" s="852"/>
      <c r="N35" s="852"/>
      <c r="O35" s="852"/>
      <c r="AB35" s="838"/>
      <c r="AC35" s="855"/>
      <c r="AD35" s="855"/>
      <c r="AE35" s="855"/>
      <c r="AF35" s="855"/>
      <c r="AG35" s="855"/>
      <c r="AH35" s="855"/>
      <c r="AI35" s="855"/>
      <c r="AJ35" s="855"/>
      <c r="AK35" s="855"/>
      <c r="AL35" s="855"/>
      <c r="AM35" s="855"/>
      <c r="AN35" s="855"/>
      <c r="AO35" s="855"/>
      <c r="CP35" s="838"/>
      <c r="CQ35" s="838"/>
      <c r="CR35" s="838"/>
      <c r="CS35" s="838"/>
      <c r="CT35" s="838"/>
      <c r="CU35" s="838"/>
      <c r="CV35" s="838"/>
      <c r="CW35" s="838"/>
      <c r="CX35" s="838"/>
      <c r="CY35" s="838"/>
      <c r="CZ35" s="838"/>
      <c r="DA35" s="838"/>
      <c r="DB35" s="838"/>
      <c r="DK35" s="838"/>
    </row>
    <row r="36" spans="1:194" ht="26.25" x14ac:dyDescent="0.4">
      <c r="A36" s="1467"/>
      <c r="B36" s="1467"/>
      <c r="C36" s="852"/>
      <c r="D36" s="852"/>
      <c r="E36" s="852"/>
      <c r="F36" s="852"/>
      <c r="G36" s="852"/>
      <c r="H36" s="852"/>
      <c r="I36" s="852"/>
      <c r="J36" s="852"/>
      <c r="K36" s="852"/>
      <c r="L36" s="852"/>
      <c r="M36" s="852"/>
      <c r="N36" s="852"/>
      <c r="O36" s="852"/>
      <c r="AB36" s="838"/>
      <c r="AC36" s="855"/>
      <c r="AD36" s="855"/>
      <c r="AE36" s="855"/>
      <c r="AF36" s="855"/>
      <c r="AG36" s="855"/>
      <c r="AH36" s="855"/>
      <c r="AI36" s="855"/>
      <c r="AJ36" s="855"/>
      <c r="AK36" s="855"/>
      <c r="AL36" s="855"/>
      <c r="AM36" s="855"/>
      <c r="AN36" s="855"/>
      <c r="AO36" s="855"/>
      <c r="BB36" s="859"/>
      <c r="BC36" s="678"/>
      <c r="BE36" s="678"/>
      <c r="BG36" s="678"/>
      <c r="BI36" s="678"/>
      <c r="BK36" s="678"/>
      <c r="BM36" s="859"/>
      <c r="BO36" s="678"/>
      <c r="BQ36" s="678"/>
      <c r="BS36" s="678"/>
      <c r="BU36" s="678"/>
      <c r="BW36" s="678"/>
      <c r="BY36" s="678"/>
      <c r="BZ36" s="855"/>
      <c r="CK36" s="838"/>
      <c r="CL36" s="838"/>
      <c r="CX36" s="855"/>
      <c r="DH36" s="521"/>
      <c r="DT36" s="855"/>
    </row>
    <row r="37" spans="1:194" x14ac:dyDescent="0.35">
      <c r="A37" s="856"/>
      <c r="O37" s="838"/>
      <c r="AB37" s="838"/>
      <c r="AC37" s="855"/>
      <c r="AD37" s="855"/>
      <c r="AE37" s="855"/>
      <c r="AF37" s="855"/>
      <c r="AG37" s="855"/>
      <c r="AH37" s="855"/>
      <c r="AI37" s="855"/>
      <c r="AJ37" s="855"/>
      <c r="AK37" s="855"/>
      <c r="AL37" s="855"/>
      <c r="AM37" s="855"/>
      <c r="AN37" s="855"/>
      <c r="AO37" s="855"/>
      <c r="BB37" s="859"/>
      <c r="BM37" s="838"/>
      <c r="BN37" s="845"/>
      <c r="BP37" s="845"/>
      <c r="BR37" s="845"/>
      <c r="BT37" s="845"/>
      <c r="BV37" s="845"/>
      <c r="BX37" s="845"/>
      <c r="BZ37" s="845"/>
      <c r="CB37" s="845"/>
      <c r="CD37" s="845"/>
      <c r="CF37" s="845"/>
      <c r="CH37" s="845"/>
      <c r="CJ37" s="845"/>
      <c r="CK37" s="855"/>
      <c r="CL37" s="855"/>
      <c r="CN37" s="845"/>
      <c r="CP37" s="845"/>
      <c r="CR37" s="845"/>
      <c r="CT37" s="845"/>
      <c r="CV37" s="845"/>
      <c r="CX37" s="845"/>
      <c r="CZ37" s="845"/>
      <c r="DB37" s="845"/>
      <c r="DD37" s="845"/>
      <c r="DF37" s="845"/>
      <c r="DH37" s="845"/>
      <c r="DI37" s="855"/>
      <c r="DJ37" s="845"/>
      <c r="DL37" s="845"/>
      <c r="DN37" s="845"/>
      <c r="DP37" s="845"/>
      <c r="DR37" s="845"/>
      <c r="DT37" s="845"/>
      <c r="DV37" s="845"/>
      <c r="DX37" s="845"/>
      <c r="DZ37" s="845"/>
      <c r="EB37" s="845"/>
      <c r="ED37" s="845"/>
      <c r="EF37" s="845"/>
      <c r="EG37" s="855"/>
    </row>
    <row r="38" spans="1:194" ht="26.25" x14ac:dyDescent="0.4">
      <c r="A38" s="838"/>
      <c r="C38" s="1469" t="s">
        <v>983</v>
      </c>
      <c r="D38" s="1469"/>
      <c r="E38" s="1469"/>
      <c r="F38" s="1469"/>
      <c r="G38" s="1469"/>
      <c r="H38" s="1469"/>
      <c r="I38" s="1469"/>
      <c r="J38" s="1469"/>
      <c r="K38" s="1469"/>
      <c r="L38" s="1469"/>
      <c r="M38" s="1469"/>
      <c r="N38" s="1469"/>
      <c r="O38" s="868"/>
      <c r="P38" s="1469" t="s">
        <v>72</v>
      </c>
      <c r="Q38" s="1469"/>
      <c r="R38" s="1469"/>
      <c r="S38" s="1469"/>
      <c r="T38" s="1469"/>
      <c r="U38" s="1469"/>
      <c r="V38" s="1469"/>
      <c r="W38" s="1469"/>
      <c r="X38" s="1469"/>
      <c r="Y38" s="1469"/>
      <c r="Z38" s="1469"/>
      <c r="AA38" s="1469"/>
      <c r="AC38" s="1469" t="s">
        <v>793</v>
      </c>
      <c r="AD38" s="1469"/>
      <c r="AE38" s="1469"/>
      <c r="AF38" s="1469"/>
      <c r="AG38" s="1469"/>
      <c r="AH38" s="1469"/>
      <c r="AI38" s="1469"/>
      <c r="AJ38" s="1469"/>
      <c r="AK38" s="1469"/>
      <c r="AL38" s="1469"/>
      <c r="AM38" s="1469"/>
      <c r="AN38" s="1469"/>
      <c r="AO38" s="868"/>
      <c r="AP38" s="868"/>
      <c r="AQ38" s="868"/>
      <c r="AR38" s="868"/>
      <c r="AS38" s="868"/>
      <c r="AT38" s="868"/>
      <c r="AU38" s="868"/>
      <c r="AV38" s="868"/>
      <c r="AW38" s="868"/>
      <c r="AX38" s="868"/>
      <c r="AY38" s="838"/>
      <c r="AZ38" s="1081"/>
      <c r="BA38" s="1081"/>
      <c r="BG38" s="1081" t="s">
        <v>1160</v>
      </c>
      <c r="BH38" s="1081"/>
      <c r="BI38" s="1081"/>
      <c r="BJ38" s="1081"/>
      <c r="BK38" s="1081"/>
      <c r="BL38" s="1081"/>
      <c r="BM38" s="1081"/>
      <c r="BN38" s="1081"/>
      <c r="BO38" s="1081"/>
      <c r="BP38" s="1081"/>
      <c r="BQ38" s="1081"/>
      <c r="BR38" s="1081"/>
      <c r="BS38" s="1081"/>
      <c r="BT38" s="1081" t="s">
        <v>1163</v>
      </c>
      <c r="BU38" s="1081"/>
      <c r="BV38" s="1081"/>
      <c r="BW38" s="1081"/>
      <c r="BX38" s="1081"/>
      <c r="BY38" s="1081"/>
      <c r="BZ38" s="1081"/>
      <c r="CA38" s="1081"/>
      <c r="CB38" s="1081"/>
      <c r="CC38" s="678"/>
      <c r="CD38" s="678"/>
      <c r="CE38" s="678"/>
      <c r="CF38" s="678"/>
      <c r="CG38" s="678" t="s">
        <v>1162</v>
      </c>
      <c r="CH38" s="678"/>
      <c r="CI38" s="678"/>
      <c r="CJ38" s="678"/>
      <c r="CK38" s="678"/>
      <c r="CL38" s="678"/>
      <c r="CM38" s="678"/>
      <c r="CN38" s="678"/>
      <c r="CO38" s="678"/>
      <c r="CP38" s="678"/>
      <c r="CQ38" s="678"/>
      <c r="CR38" s="678"/>
      <c r="CS38" s="678"/>
      <c r="CT38" s="678" t="s">
        <v>1161</v>
      </c>
      <c r="CU38" s="678"/>
      <c r="CV38" s="678"/>
      <c r="CW38" s="678"/>
      <c r="CX38" s="678"/>
      <c r="CY38" s="678"/>
      <c r="CZ38" s="838"/>
      <c r="DA38" s="678"/>
      <c r="DB38" s="678"/>
      <c r="DD38" s="845"/>
      <c r="DF38" s="845"/>
      <c r="DH38" s="845"/>
      <c r="DI38" s="855"/>
      <c r="DJ38" s="845"/>
      <c r="DL38" s="845"/>
      <c r="DN38" s="845"/>
      <c r="DP38" s="845"/>
      <c r="DR38" s="845"/>
      <c r="DT38" s="845"/>
      <c r="DV38" s="845"/>
      <c r="DX38" s="845"/>
      <c r="DZ38" s="845"/>
      <c r="EB38" s="845"/>
      <c r="ED38" s="845"/>
      <c r="EF38" s="845"/>
      <c r="EG38" s="855"/>
      <c r="FZ38" s="521"/>
      <c r="GL38" s="855"/>
    </row>
    <row r="39" spans="1:194" x14ac:dyDescent="0.35">
      <c r="A39" s="838"/>
      <c r="AA39" s="838"/>
      <c r="AY39" s="838"/>
      <c r="AZ39" s="838"/>
      <c r="BA39" s="838"/>
      <c r="BB39" s="838"/>
      <c r="BC39" s="838"/>
      <c r="BD39" s="838"/>
      <c r="BE39" s="838"/>
      <c r="BF39" s="838"/>
      <c r="BG39" s="838"/>
      <c r="BH39" s="838"/>
      <c r="BI39" s="838"/>
      <c r="BJ39" s="838"/>
      <c r="BK39" s="838"/>
      <c r="BL39" s="838"/>
      <c r="CJ39" s="838"/>
      <c r="CK39" s="838"/>
      <c r="CL39" s="838"/>
      <c r="CM39" s="838"/>
      <c r="CN39" s="838"/>
      <c r="CO39" s="838"/>
      <c r="CP39" s="838"/>
      <c r="CQ39" s="838"/>
      <c r="CR39" s="838"/>
      <c r="CS39" s="838"/>
      <c r="CT39" s="838"/>
      <c r="CU39" s="838"/>
      <c r="CV39" s="838"/>
      <c r="CW39" s="838"/>
      <c r="CX39" s="838"/>
      <c r="CY39" s="838"/>
      <c r="CZ39" s="838"/>
      <c r="DA39" s="838"/>
      <c r="DB39" s="838"/>
      <c r="ES39" s="521"/>
      <c r="FE39" s="855"/>
    </row>
    <row r="40" spans="1:194" ht="26.25" x14ac:dyDescent="0.35">
      <c r="A40" s="1471" t="s">
        <v>1164</v>
      </c>
      <c r="B40" s="1471"/>
      <c r="C40" s="696">
        <f>IF('1 P-T +'!C20="M8",'1 P-T +'!C24*2,0)</f>
        <v>0</v>
      </c>
      <c r="D40" s="697">
        <f>IF('1 P-T +'!D20="M8",'1 P-T +'!D24*2,0)</f>
        <v>0</v>
      </c>
      <c r="E40" s="697">
        <f>IF('1 P-T +'!E20="M8",'1 P-T +'!E24*2,0)</f>
        <v>0</v>
      </c>
      <c r="F40" s="697">
        <f>IF('1 P-T +'!F20="M8",'1 P-T +'!F24*2,0)</f>
        <v>0</v>
      </c>
      <c r="G40" s="697">
        <f>IF('1 P-T +'!G20="M8",'1 P-T +'!G24*2,0)</f>
        <v>0</v>
      </c>
      <c r="H40" s="697">
        <f>IF('1 P-T +'!H20="M8",'1 P-T +'!H24*2,0)</f>
        <v>0</v>
      </c>
      <c r="I40" s="697">
        <f>IF('1 P-T +'!I20="M8",'1 P-T +'!I24*2,0)</f>
        <v>0</v>
      </c>
      <c r="J40" s="697">
        <f>IF('1 P-T +'!J20="M8",'1 P-T +'!J24*2,0)</f>
        <v>0</v>
      </c>
      <c r="K40" s="697">
        <f>IF('1 P-T +'!K20="M8",'1 P-T +'!K24*2,0)</f>
        <v>0</v>
      </c>
      <c r="L40" s="697">
        <f>IF('1 P-T +'!L20="M8",'1 P-T +'!L24*2,0)</f>
        <v>0</v>
      </c>
      <c r="M40" s="697">
        <f>IF('1 P-T +'!M20="M8",'1 P-T +'!M24*2,0)</f>
        <v>0</v>
      </c>
      <c r="N40" s="1082">
        <f>IF('1 P-T +'!N20="M8",'1 P-T +'!N24*2,0)</f>
        <v>0</v>
      </c>
      <c r="O40" s="842">
        <f>SUM(C40:N43)</f>
        <v>0</v>
      </c>
      <c r="P40" s="843">
        <f>IF(OR('1 P-T +'!C20="M8",'1 P-T +'!C20="P1",),IF(OR('1 P-T +'!C16="V",'1 P-T +'!C16="VT",'1 P-T +'!C16="VSB",'1 P-T +'!C16="VTT",),1,0))*'1 P-T +'!C24</f>
        <v>0</v>
      </c>
      <c r="Q40" s="841">
        <f>IF(OR('1 P-T +'!D20="M8",'1 P-T +'!D20="P1",),IF(OR('1 P-T +'!D16="V",'1 P-T +'!D16="VT",'1 P-T +'!D16="VSB",'1 P-T +'!D16="VTT",),1,0))*'1 P-T +'!D24</f>
        <v>0</v>
      </c>
      <c r="R40" s="841">
        <f>IF(OR('1 P-T +'!E20="M8",'1 P-T +'!E20="P1",),IF(OR('1 P-T +'!E16="V",'1 P-T +'!E16="VT",'1 P-T +'!E16="VSB",'1 P-T +'!E16="VTT",),1,0))*'1 P-T +'!E24</f>
        <v>0</v>
      </c>
      <c r="S40" s="841">
        <f>IF(OR('1 P-T +'!F20="M8",'1 P-T +'!F20="P1",),IF(OR('1 P-T +'!F16="V",'1 P-T +'!F16="VT",'1 P-T +'!F16="VSB",'1 P-T +'!F16="VTT",),1,0))*'1 P-T +'!F24</f>
        <v>0</v>
      </c>
      <c r="T40" s="841">
        <f>IF(OR('1 P-T +'!G20="M8",'1 P-T +'!G20="P1",),IF(OR('1 P-T +'!G16="V",'1 P-T +'!G16="VT",'1 P-T +'!G16="VSB",'1 P-T +'!G16="VTT",),1,0))*'1 P-T +'!G24</f>
        <v>0</v>
      </c>
      <c r="U40" s="841">
        <f>IF(OR('1 P-T +'!H20="M8",'1 P-T +'!H20="P1",),IF(OR('1 P-T +'!H16="V",'1 P-T +'!H16="VT",'1 P-T +'!H16="VSB",'1 P-T +'!H16="VTT",),1,0))*'1 P-T +'!H24</f>
        <v>0</v>
      </c>
      <c r="V40" s="841">
        <f>IF(OR('1 P-T +'!I20="M8",'1 P-T +'!I20="P1",),IF(OR('1 P-T +'!I16="V",'1 P-T +'!I16="VT",'1 P-T +'!I16="VSB",'1 P-T +'!I16="VTT",),1,0))*'1 P-T +'!I24</f>
        <v>0</v>
      </c>
      <c r="W40" s="841">
        <f>IF(OR('1 P-T +'!J20="M8",'1 P-T +'!J20="P1",),IF(OR('1 P-T +'!J16="V",'1 P-T +'!J16="VT",'1 P-T +'!J16="VSB",'1 P-T +'!J16="VTT",),1,0))*'1 P-T +'!J24</f>
        <v>0</v>
      </c>
      <c r="X40" s="841">
        <f>IF(OR('1 P-T +'!K20="M8",'1 P-T +'!K20="P1",),IF(OR('1 P-T +'!K16="V",'1 P-T +'!K16="VT",'1 P-T +'!K16="VSB",'1 P-T +'!K16="VTT",),1,0))*'1 P-T +'!K24</f>
        <v>0</v>
      </c>
      <c r="Y40" s="841">
        <f>IF(OR('1 P-T +'!L20="M8",'1 P-T +'!L20="P1",),IF(OR('1 P-T +'!L16="V",'1 P-T +'!L16="VT",'1 P-T +'!L16="VSB",'1 P-T +'!L16="VTT",),1,0))*'1 P-T +'!L24</f>
        <v>0</v>
      </c>
      <c r="Z40" s="841">
        <f>IF(OR('1 P-T +'!M20="M8",'1 P-T +'!M20="P1",),IF(OR('1 P-T +'!M16="V",'1 P-T +'!M16="VT",'1 P-T +'!M16="VSB",'1 P-T +'!M16="VTT",),1,0))*'1 P-T +'!M24</f>
        <v>0</v>
      </c>
      <c r="AA40" s="873">
        <f>IF(OR('1 P-T +'!N20="M8",'1 P-T +'!N20="P1",),IF(OR('1 P-T +'!N16="V",'1 P-T +'!N16="VT",'1 P-T +'!N16="VSB",'1 P-T +'!N16="VTT",),1,0))*'1 P-T +'!N24</f>
        <v>0</v>
      </c>
      <c r="AB40" s="1168">
        <f>SUM(P40:AA42)</f>
        <v>0</v>
      </c>
      <c r="AC40" s="855">
        <f>IF(OR('1 P-T +'!C20="M2",'1 P-T +'!C20="M1",),1,0)*'1 P-T +'!C24</f>
        <v>0</v>
      </c>
      <c r="AD40" s="855">
        <f>IF(OR('1 P-T +'!D20="M2",'1 P-T +'!D20="M1",),1,0)*'1 P-T +'!D24</f>
        <v>0</v>
      </c>
      <c r="AE40" s="855">
        <f>IF(OR('1 P-T +'!E20="M2",'1 P-T +'!E20="M1",),1,0)*'1 P-T +'!E24</f>
        <v>0</v>
      </c>
      <c r="AF40" s="855">
        <f>IF(OR('1 P-T +'!F20="M2",'1 P-T +'!F20="M1",),1,0)*'1 P-T +'!F24</f>
        <v>0</v>
      </c>
      <c r="AG40" s="855">
        <f>IF(OR('1 P-T +'!G20="M2",'1 P-T +'!G20="M1",),1,0)*'1 P-T +'!G24</f>
        <v>0</v>
      </c>
      <c r="AH40" s="855">
        <f>IF(OR('1 P-T +'!H20="M2",'1 P-T +'!H20="M1",),1,0)*'1 P-T +'!H24</f>
        <v>0</v>
      </c>
      <c r="AI40" s="855">
        <f>IF(OR('1 P-T +'!I20="M2",'1 P-T +'!I20="M1",),1,0)*'1 P-T +'!I24</f>
        <v>0</v>
      </c>
      <c r="AJ40" s="855">
        <f>IF(OR('1 P-T +'!J20="M2",'1 P-T +'!J20="M1",),1,0)*'1 P-T +'!J24</f>
        <v>0</v>
      </c>
      <c r="AK40" s="855">
        <f>IF(OR('1 P-T +'!K20="M2",'1 P-T +'!K20="M1",),1,0)*'1 P-T +'!K24</f>
        <v>0</v>
      </c>
      <c r="AL40" s="855">
        <f>IF(OR('1 P-T +'!L20="M2",'1 P-T +'!L20="M1",),1,0)*'1 P-T +'!L24</f>
        <v>0</v>
      </c>
      <c r="AM40" s="855">
        <f>IF(OR('1 P-T +'!M20="M2",'1 P-T +'!M20="M1",),1,0)*'1 P-T +'!M24</f>
        <v>0</v>
      </c>
      <c r="AN40" s="855">
        <f>IF(OR('1 P-T +'!N20="M2",'1 P-T +'!N20="M1",),1,0)*'1 P-T +'!N24</f>
        <v>0</v>
      </c>
      <c r="AO40" s="844">
        <f>SUM(AC40:AN40)</f>
        <v>0</v>
      </c>
      <c r="AP40" s="845">
        <f>IF('1 P-T +'!C$22&gt;250,IF('1 P-T +'!C$23&gt;5.5,IF('1 P-T +'!C$23&lt;28.1,IF(OR('1 P-T +'!C$16="V",'1 P-T +'!C$16="VT",'1 P-T +'!C$16="VTT",'1 P-T +'!C$16="VSB",'1 P-T +'!C$16="VE",'1 P-T +'!C$16="VET",'1 P-T +'!C$16="VESQ",),1,0))))*'1 P-T +'!C$24</f>
        <v>0</v>
      </c>
      <c r="AQ40" s="845">
        <f>IF('1 P-T +'!D$22&gt;250,IF('1 P-T +'!D$23&gt;5.5,IF('1 P-T +'!D$23&lt;28.1,IF(OR('1 P-T +'!D$16="V",'1 P-T +'!D$16="VT",'1 P-T +'!D$16="VTT",'1 P-T +'!D$16="VSB",'1 P-T +'!D$16="VE",'1 P-T +'!D$16="VET",'1 P-T +'!D$16="VESQ",),1,0))))*'1 P-T +'!D$24</f>
        <v>0</v>
      </c>
      <c r="AR40" s="845">
        <f>IF('1 P-T +'!E$22&gt;250,IF('1 P-T +'!E$23&gt;5.5,IF('1 P-T +'!E$23&lt;28.1,IF(OR('1 P-T +'!E$16="V",'1 P-T +'!E$16="VT",'1 P-T +'!E$16="VTT",'1 P-T +'!E$16="VSB",'1 P-T +'!E$16="VE",'1 P-T +'!E$16="VET",'1 P-T +'!E$16="VESQ",),1,0))))*'1 P-T +'!E$24</f>
        <v>0</v>
      </c>
      <c r="AS40" s="845">
        <f>IF('1 P-T +'!F$22&gt;250,IF('1 P-T +'!F$23&gt;5.5,IF('1 P-T +'!F$23&lt;28.1,IF(OR('1 P-T +'!F$16="V",'1 P-T +'!F$16="VT",'1 P-T +'!F$16="VTT",'1 P-T +'!F$16="VSB",'1 P-T +'!F$16="VE",'1 P-T +'!F$16="VET",'1 P-T +'!F$16="VESQ",),1,0))))*'1 P-T +'!F$24</f>
        <v>0</v>
      </c>
      <c r="AT40" s="845">
        <f>IF('1 P-T +'!G$22&gt;250,IF('1 P-T +'!G$23&gt;5.5,IF('1 P-T +'!G$23&lt;28.1,IF(OR('1 P-T +'!G$16="V",'1 P-T +'!G$16="VT",'1 P-T +'!G$16="VTT",'1 P-T +'!G$16="VSB",'1 P-T +'!G$16="VE",'1 P-T +'!G$16="VET",'1 P-T +'!G$16="VESQ",),1,0))))*'1 P-T +'!G$24</f>
        <v>0</v>
      </c>
      <c r="AU40" s="845">
        <f>IF('1 P-T +'!H$22&gt;250,IF('1 P-T +'!H$23&gt;5.5,IF('1 P-T +'!H$23&lt;28.1,IF(OR('1 P-T +'!H$16="V",'1 P-T +'!H$16="VT",'1 P-T +'!H$16="VTT",'1 P-T +'!H$16="VSB",'1 P-T +'!H$16="VE",'1 P-T +'!H$16="VET",'1 P-T +'!H$16="VESQ",),1,0))))*'1 P-T +'!H$24</f>
        <v>0</v>
      </c>
      <c r="AV40" s="845">
        <f>IF('1 P-T +'!I$22&gt;250,IF('1 P-T +'!I$23&gt;5.5,IF('1 P-T +'!I$23&lt;28.1,IF(OR('1 P-T +'!I$16="V",'1 P-T +'!I$16="VT",'1 P-T +'!I$16="VTT",'1 P-T +'!I$16="VSB",'1 P-T +'!I$16="VE",'1 P-T +'!I$16="VET",'1 P-T +'!I$16="VESQ",),1,0))))*'1 P-T +'!I$24</f>
        <v>0</v>
      </c>
      <c r="AW40" s="845">
        <f>IF('1 P-T +'!J$22&gt;250,IF('1 P-T +'!J$23&gt;5.5,IF('1 P-T +'!J$23&lt;28.1,IF(OR('1 P-T +'!J$16="V",'1 P-T +'!J$16="VT",'1 P-T +'!J$16="VTT",'1 P-T +'!J$16="VSB",'1 P-T +'!J$16="VE",'1 P-T +'!J$16="VET",'1 P-T +'!J$16="VESQ",),1,0))))*'1 P-T +'!J$24</f>
        <v>0</v>
      </c>
      <c r="AX40" s="845">
        <f>IF('1 P-T +'!K$22&gt;250,IF('1 P-T +'!K$23&gt;5.5,IF('1 P-T +'!K$23&lt;28.1,IF(OR('1 P-T +'!K$16="V",'1 P-T +'!K$16="VT",'1 P-T +'!K$16="VTT",'1 P-T +'!K$16="VSB",'1 P-T +'!K$16="VE",'1 P-T +'!K$16="VET",'1 P-T +'!K$16="VESQ",),1,0))))*'1 P-T +'!K$24</f>
        <v>0</v>
      </c>
      <c r="AY40" s="845">
        <f>IF('1 P-T +'!L$22&gt;250,IF('1 P-T +'!L$23&gt;5.5,IF('1 P-T +'!L$23&lt;28.1,IF(OR('1 P-T +'!L$16="V",'1 P-T +'!L$16="VT",'1 P-T +'!L$16="VTT",'1 P-T +'!L$16="VSB",'1 P-T +'!L$16="VE",'1 P-T +'!L$16="VET",'1 P-T +'!L$16="VESQ",),1,0))))*'1 P-T +'!L$24</f>
        <v>0</v>
      </c>
      <c r="AZ40" s="845">
        <f>IF('1 P-T +'!M$22&gt;250,IF('1 P-T +'!M$23&gt;5.5,IF('1 P-T +'!M$23&lt;28.1,IF(OR('1 P-T +'!M$16="V",'1 P-T +'!M$16="VT",'1 P-T +'!M$16="VTT",'1 P-T +'!M$16="VSB",'1 P-T +'!M$16="VE",'1 P-T +'!M$16="VET",'1 P-T +'!M$16="VESQ",),1,0))))*'1 P-T +'!M$24</f>
        <v>0</v>
      </c>
      <c r="BA40" s="845">
        <f>IF('1 P-T +'!N$22&gt;250,IF('1 P-T +'!N$23&gt;5.5,IF('1 P-T +'!N$23&lt;28.1,IF(OR('1 P-T +'!N$16="V",'1 P-T +'!N$16="VT",'1 P-T +'!N$16="VTT",'1 P-T +'!N$16="VSB",'1 P-T +'!N$16="VE",'1 P-T +'!N$16="VET",'1 P-T +'!N$16="VESQ",),1,0))))*'1 P-T +'!N$24</f>
        <v>0</v>
      </c>
      <c r="BB40" s="844">
        <f t="shared" ref="BB40:BB45" si="11">SUM(AP40:BA40)</f>
        <v>0</v>
      </c>
      <c r="BC40" s="845">
        <f>IF(OR('1 P-T +'!C$20="M2",'1 P-T +'!C$20="M1",),IF('1 P-T +'!$B$29='1 P-T +'!C$18,1,0))*'1 P-T +'!C$24</f>
        <v>0</v>
      </c>
      <c r="BD40" s="845">
        <f>IF(OR('1 P-T +'!D$20="M2",'1 P-T +'!D$20="M1",),IF('1 P-T +'!$B$29='1 P-T +'!D$18,1,0))*'1 P-T +'!D$24</f>
        <v>0</v>
      </c>
      <c r="BE40" s="845">
        <f>IF(OR('1 P-T +'!E$20="M2",'1 P-T +'!E$20="M1",),IF('1 P-T +'!$B$29='1 P-T +'!E$18,1,0))*'1 P-T +'!E$24</f>
        <v>0</v>
      </c>
      <c r="BF40" s="845">
        <f>IF(OR('1 P-T +'!F$20="M2",'1 P-T +'!F$20="M1",),IF('1 P-T +'!$B$29='1 P-T +'!F$18,1,0))*'1 P-T +'!F$24</f>
        <v>0</v>
      </c>
      <c r="BG40" s="845">
        <f>IF(OR('1 P-T +'!G$20="M2",'1 P-T +'!G$20="M1",),IF('1 P-T +'!$B$29='1 P-T +'!G$18,1,0))*'1 P-T +'!G$24</f>
        <v>0</v>
      </c>
      <c r="BH40" s="845">
        <f>IF(OR('1 P-T +'!H$20="M2",'1 P-T +'!H$20="M1",),IF('1 P-T +'!$B$29='1 P-T +'!H$18,1,0))*'1 P-T +'!H$24</f>
        <v>0</v>
      </c>
      <c r="BI40" s="845">
        <f>IF(OR('1 P-T +'!I$20="M2",'1 P-T +'!I$20="M1",),IF('1 P-T +'!$B$29='1 P-T +'!I$18,1,0))*'1 P-T +'!I$24</f>
        <v>0</v>
      </c>
      <c r="BJ40" s="845">
        <f>IF(OR('1 P-T +'!J$20="M2",'1 P-T +'!J$20="M1",),IF('1 P-T +'!$B$29='1 P-T +'!J$18,1,0))*'1 P-T +'!J$24</f>
        <v>0</v>
      </c>
      <c r="BK40" s="845">
        <f>IF(OR('1 P-T +'!K$20="M2",'1 P-T +'!K$20="M1",),IF('1 P-T +'!$B$29='1 P-T +'!K$18,1,0))*'1 P-T +'!K$24</f>
        <v>0</v>
      </c>
      <c r="BL40" s="845">
        <f>IF(OR('1 P-T +'!L$20="M2",'1 P-T +'!L$20="M1",),IF('1 P-T +'!$B$29='1 P-T +'!L$18,1,0))*'1 P-T +'!L$24</f>
        <v>0</v>
      </c>
      <c r="BM40" s="845">
        <f>IF(OR('1 P-T +'!M$20="M2",'1 P-T +'!M$20="M1",),IF('1 P-T +'!$B$29='1 P-T +'!M$18,1,0))*'1 P-T +'!M$24</f>
        <v>0</v>
      </c>
      <c r="BN40" s="845">
        <f>IF(OR('1 P-T +'!N$20="M2",'1 P-T +'!N$20="M1",),IF('1 P-T +'!$B$29='1 P-T +'!N$18,1,0))*'1 P-T +'!N$24</f>
        <v>0</v>
      </c>
      <c r="BO40" s="844">
        <f>SUM(BC40:BN40)*2</f>
        <v>0</v>
      </c>
      <c r="BP40" s="845">
        <f>IF(OR('1 P-T +'!C$20="M2",'1 P-T +'!C$20="M1",),IF('1 P-T +'!$B$30='1 P-T +'!C$18,1,0))*'1 P-T +'!C$24</f>
        <v>0</v>
      </c>
      <c r="BQ40" s="845">
        <f>IF(OR('1 P-T +'!D$20="M2",'1 P-T +'!D$20="M1",),IF('1 P-T +'!$B$30='1 P-T +'!D$18,1,0))*'1 P-T +'!D$24</f>
        <v>0</v>
      </c>
      <c r="BR40" s="845">
        <f>IF(OR('1 P-T +'!E$20="M2",'1 P-T +'!E$20="M1",),IF('1 P-T +'!$B$30='1 P-T +'!E$18,1,0))*'1 P-T +'!E$24</f>
        <v>0</v>
      </c>
      <c r="BS40" s="845">
        <f>IF(OR('1 P-T +'!F$20="M2",'1 P-T +'!F$20="M1",),IF('1 P-T +'!$B$30='1 P-T +'!F$18,1,0))*'1 P-T +'!F$24</f>
        <v>0</v>
      </c>
      <c r="BT40" s="845">
        <f>IF(OR('1 P-T +'!G$20="M2",'1 P-T +'!G$20="M1",),IF('1 P-T +'!$B$30='1 P-T +'!G$18,1,0))*'1 P-T +'!G$24</f>
        <v>0</v>
      </c>
      <c r="BU40" s="845">
        <f>IF(OR('1 P-T +'!H$20="M2",'1 P-T +'!H$20="M1",),IF('1 P-T +'!$B$30='1 P-T +'!H$18,1,0))*'1 P-T +'!H$24</f>
        <v>0</v>
      </c>
      <c r="BV40" s="845">
        <f>IF(OR('1 P-T +'!I$20="M2",'1 P-T +'!I$20="M1",),IF('1 P-T +'!$B$30='1 P-T +'!I$18,1,0))*'1 P-T +'!I$24</f>
        <v>0</v>
      </c>
      <c r="BW40" s="845">
        <f>IF(OR('1 P-T +'!J$20="M2",'1 P-T +'!J$20="M1",),IF('1 P-T +'!$B$30='1 P-T +'!J$18,1,0))*'1 P-T +'!J$24</f>
        <v>0</v>
      </c>
      <c r="BX40" s="845">
        <f>IF(OR('1 P-T +'!K$20="M2",'1 P-T +'!K$20="M1",),IF('1 P-T +'!$B$30='1 P-T +'!K$18,1,0))*'1 P-T +'!K$24</f>
        <v>0</v>
      </c>
      <c r="BY40" s="845">
        <f>IF(OR('1 P-T +'!L$20="M2",'1 P-T +'!L$20="M1",),IF('1 P-T +'!$B$30='1 P-T +'!L$18,1,0))*'1 P-T +'!L$24</f>
        <v>0</v>
      </c>
      <c r="BZ40" s="845">
        <f>IF(OR('1 P-T +'!M$20="M2",'1 P-T +'!M$20="M1",),IF('1 P-T +'!$B$30='1 P-T +'!M$18,1,0))*'1 P-T +'!M$24</f>
        <v>0</v>
      </c>
      <c r="CA40" s="845">
        <f>IF(OR('1 P-T +'!N$20="M2",'1 P-T +'!N$20="M1",),IF('1 P-T +'!$B$30='1 P-T +'!N$18,1,0))*'1 P-T +'!N$24</f>
        <v>0</v>
      </c>
      <c r="CB40" s="844">
        <f>SUM(BP40:CA40)*2</f>
        <v>0</v>
      </c>
      <c r="CC40" s="845">
        <f>IF(OR('1 P-T +'!C$20="M2",'1 P-T +'!C$20="M1",),IF('1 P-T +'!$B$31='1 P-T +'!C$18,1,0))*'1 P-T +'!C$24</f>
        <v>0</v>
      </c>
      <c r="CD40" s="845">
        <f>IF(OR('1 P-T +'!D$20="M2",'1 P-T +'!D$20="M1",),IF('1 P-T +'!$B$31='1 P-T +'!D$18,1,0))*'1 P-T +'!D$24</f>
        <v>0</v>
      </c>
      <c r="CE40" s="845">
        <f>IF(OR('1 P-T +'!E$20="M2",'1 P-T +'!E$20="M1",),IF('1 P-T +'!$B$31='1 P-T +'!E$18,1,0))*'1 P-T +'!E$24</f>
        <v>0</v>
      </c>
      <c r="CF40" s="845">
        <f>IF(OR('1 P-T +'!F$20="M2",'1 P-T +'!F$20="M1",),IF('1 P-T +'!$B$31='1 P-T +'!F$18,1,0))*'1 P-T +'!F$24</f>
        <v>0</v>
      </c>
      <c r="CG40" s="845">
        <f>IF(OR('1 P-T +'!G$20="M2",'1 P-T +'!G$20="M1",),IF('1 P-T +'!$B$31='1 P-T +'!G$18,1,0))*'1 P-T +'!G$24</f>
        <v>0</v>
      </c>
      <c r="CH40" s="845">
        <f>IF(OR('1 P-T +'!H$20="M2",'1 P-T +'!H$20="M1",),IF('1 P-T +'!$B$31='1 P-T +'!H$18,1,0))*'1 P-T +'!H$24</f>
        <v>0</v>
      </c>
      <c r="CI40" s="845">
        <f>IF(OR('1 P-T +'!I$20="M2",'1 P-T +'!I$20="M1",),IF('1 P-T +'!$B$31='1 P-T +'!I$18,1,0))*'1 P-T +'!I$24</f>
        <v>0</v>
      </c>
      <c r="CJ40" s="845">
        <f>IF(OR('1 P-T +'!J$20="M2",'1 P-T +'!J$20="M1",),IF('1 P-T +'!$B$31='1 P-T +'!J$18,1,0))*'1 P-T +'!J$24</f>
        <v>0</v>
      </c>
      <c r="CK40" s="845">
        <f>IF(OR('1 P-T +'!K$20="M2",'1 P-T +'!K$20="M1",),IF('1 P-T +'!$B$31='1 P-T +'!K$18,1,0))*'1 P-T +'!K$24</f>
        <v>0</v>
      </c>
      <c r="CL40" s="845">
        <f>IF(OR('1 P-T +'!L$20="M2",'1 P-T +'!L$20="M1",),IF('1 P-T +'!$B$31='1 P-T +'!L$18,1,0))*'1 P-T +'!L$24</f>
        <v>0</v>
      </c>
      <c r="CM40" s="845">
        <f>IF(OR('1 P-T +'!M$20="M2",'1 P-T +'!M$20="M1",),IF('1 P-T +'!$B$31='1 P-T +'!M$18,1,0))*'1 P-T +'!M$24</f>
        <v>0</v>
      </c>
      <c r="CN40" s="845">
        <f>IF(OR('1 P-T +'!N$20="M2",'1 P-T +'!N$20="M1",),IF('1 P-T +'!$B$31='1 P-T +'!N$18,1,0))*'1 P-T +'!N$24</f>
        <v>0</v>
      </c>
      <c r="CO40" s="844">
        <f>SUM(CC40:CN40)*2</f>
        <v>0</v>
      </c>
      <c r="CP40" s="845">
        <f>IF(OR('1 P-T +'!C$20="M2",'1 P-T +'!C$20="M1",),IF('1 P-T +'!$B$32='1 P-T +'!C$18,1,0))*'1 P-T +'!C$24</f>
        <v>0</v>
      </c>
      <c r="CQ40" s="845">
        <f>IF(OR('1 P-T +'!D$20="M2",'1 P-T +'!D$20="M1",),IF('1 P-T +'!$B$32='1 P-T +'!D$18,1,0))*'1 P-T +'!D$24</f>
        <v>0</v>
      </c>
      <c r="CR40" s="845">
        <f>IF(OR('1 P-T +'!E$20="M2",'1 P-T +'!E$20="M1",),IF('1 P-T +'!$B$32='1 P-T +'!E$18,1,0))*'1 P-T +'!E$24</f>
        <v>0</v>
      </c>
      <c r="CS40" s="845">
        <f>IF(OR('1 P-T +'!F$20="M2",'1 P-T +'!F$20="M1",),IF('1 P-T +'!$B$32='1 P-T +'!F$18,1,0))*'1 P-T +'!F$24</f>
        <v>0</v>
      </c>
      <c r="CT40" s="845">
        <f>IF(OR('1 P-T +'!G$20="M2",'1 P-T +'!G$20="M1",),IF('1 P-T +'!$B$32='1 P-T +'!G$18,1,0))*'1 P-T +'!G$24</f>
        <v>0</v>
      </c>
      <c r="CU40" s="845">
        <f>IF(OR('1 P-T +'!H$20="M2",'1 P-T +'!H$20="M1",),IF('1 P-T +'!$B$32='1 P-T +'!H$18,1,0))*'1 P-T +'!H$24</f>
        <v>0</v>
      </c>
      <c r="CV40" s="845">
        <f>IF(OR('1 P-T +'!I$20="M2",'1 P-T +'!I$20="M1",),IF('1 P-T +'!$B$32='1 P-T +'!I$18,1,0))*'1 P-T +'!I$24</f>
        <v>0</v>
      </c>
      <c r="CW40" s="845">
        <f>IF(OR('1 P-T +'!J$20="M2",'1 P-T +'!J$20="M1",),IF('1 P-T +'!$B$32='1 P-T +'!J$18,1,0))*'1 P-T +'!J$24</f>
        <v>0</v>
      </c>
      <c r="CX40" s="845">
        <f>IF(OR('1 P-T +'!K$20="M2",'1 P-T +'!K$20="M1",),IF('1 P-T +'!$B$32='1 P-T +'!K$18,1,0))*'1 P-T +'!K$24</f>
        <v>0</v>
      </c>
      <c r="CY40" s="845">
        <f>IF(OR('1 P-T +'!L$20="M2",'1 P-T +'!L$20="M1",),IF('1 P-T +'!$B$32='1 P-T +'!L$18,1,0))*'1 P-T +'!L$24</f>
        <v>0</v>
      </c>
      <c r="CZ40" s="845">
        <f>IF(OR('1 P-T +'!M$20="M2",'1 P-T +'!M$20="M1",),IF('1 P-T +'!$B$32='1 P-T +'!M$18,1,0))*'1 P-T +'!M$24</f>
        <v>0</v>
      </c>
      <c r="DA40" s="845">
        <f>IF(OR('1 P-T +'!N$20="M2",'1 P-T +'!N$20="M1",),IF('1 P-T +'!$B$32='1 P-T +'!N$18,1,0))*'1 P-T +'!N$24</f>
        <v>0</v>
      </c>
      <c r="DB40" s="844">
        <f>SUM(CP40:DA40)*2</f>
        <v>0</v>
      </c>
    </row>
    <row r="41" spans="1:194" ht="26.25" x14ac:dyDescent="0.4">
      <c r="A41" s="1467" t="s">
        <v>1165</v>
      </c>
      <c r="B41" s="1467"/>
      <c r="C41" s="846">
        <f>IF('1 P-T +'!C20="M2",IF(OR('1 P-T +'!C16="V",'1 P-T +'!C16="VT",'1 P-T +'!C16="VSB",'1 P-T +'!C16="VTT",'1 P-T +'!C16="VTSB",),'1 P-T +'!C24*2,1))*1</f>
        <v>0</v>
      </c>
      <c r="D41" s="847">
        <f>IF('1 P-T +'!D20="M2",IF(OR('1 P-T +'!D16="V",'1 P-T +'!D16="VT",'1 P-T +'!D16="VSB",'1 P-T +'!D16="VTT",'1 P-T +'!D16="VTSB",),'1 P-T +'!D24*2,1))*1</f>
        <v>0</v>
      </c>
      <c r="E41" s="847">
        <f>IF('1 P-T +'!E20="M2",IF(OR('1 P-T +'!E16="V",'1 P-T +'!E16="VT",'1 P-T +'!E16="VSB",'1 P-T +'!E16="VTT",'1 P-T +'!E16="VTSB",),'1 P-T +'!E24*2,1))*1</f>
        <v>0</v>
      </c>
      <c r="F41" s="847">
        <f>IF('1 P-T +'!F20="M2",IF(OR('1 P-T +'!F16="V",'1 P-T +'!F16="VT",'1 P-T +'!F16="VSB",'1 P-T +'!F16="VTT",'1 P-T +'!F16="VTSB",),'1 P-T +'!F24*2,1))*1</f>
        <v>0</v>
      </c>
      <c r="G41" s="847">
        <f>IF('1 P-T +'!G20="M2",IF(OR('1 P-T +'!G16="V",'1 P-T +'!G16="VT",'1 P-T +'!G16="VSB",'1 P-T +'!G16="VTT",'1 P-T +'!G16="VTSB",),'1 P-T +'!G24*2,1))*1</f>
        <v>0</v>
      </c>
      <c r="H41" s="847">
        <f>IF('1 P-T +'!H20="M2",IF(OR('1 P-T +'!H16="V",'1 P-T +'!H16="VT",'1 P-T +'!H16="VSB",'1 P-T +'!H16="VTT",'1 P-T +'!H16="VTSB",),'1 P-T +'!H24*2,1))*1</f>
        <v>0</v>
      </c>
      <c r="I41" s="847">
        <f>IF('1 P-T +'!I20="M2",IF(OR('1 P-T +'!I16="V",'1 P-T +'!I16="VT",'1 P-T +'!I16="VSB",'1 P-T +'!I16="VTT",'1 P-T +'!I16="VTSB",),'1 P-T +'!I24*2,1))*1</f>
        <v>0</v>
      </c>
      <c r="J41" s="847">
        <f>IF('1 P-T +'!J20="M2",IF(OR('1 P-T +'!J16="V",'1 P-T +'!J16="VT",'1 P-T +'!J16="VSB",'1 P-T +'!J16="VTT",'1 P-T +'!J16="VTSB",),'1 P-T +'!J24*2,1))*1</f>
        <v>0</v>
      </c>
      <c r="K41" s="847">
        <f>IF('1 P-T +'!K20="M2",IF(OR('1 P-T +'!K16="V",'1 P-T +'!K16="VT",'1 P-T +'!K16="VSB",'1 P-T +'!K16="VTT",'1 P-T +'!K16="VTSB",),'1 P-T +'!K24*2,1))*1</f>
        <v>0</v>
      </c>
      <c r="L41" s="847">
        <f>IF('1 P-T +'!L20="M2",IF(OR('1 P-T +'!L16="V",'1 P-T +'!L16="VT",'1 P-T +'!L16="VSB",'1 P-T +'!L16="VTT",'1 P-T +'!L16="VTSB",),'1 P-T +'!L24*2,1))*1</f>
        <v>0</v>
      </c>
      <c r="M41" s="847">
        <f>IF('1 P-T +'!M20="M2",IF(OR('1 P-T +'!M16="V",'1 P-T +'!M16="VT",'1 P-T +'!M16="VSB",'1 P-T +'!M16="VTT",'1 P-T +'!M16="VTSB",),'1 P-T +'!M24*2,1))*1</f>
        <v>0</v>
      </c>
      <c r="N41" s="1083">
        <f>IF('1 P-T +'!N20="M2",IF(OR('1 P-T +'!N16="V",'1 P-T +'!N16="VT",'1 P-T +'!N16="VSB",'1 P-T +'!N16="VTT",'1 P-T +'!N16="VTSB",),'1 P-T +'!N24*2,1))*1</f>
        <v>0</v>
      </c>
      <c r="O41" s="838"/>
      <c r="P41" s="848">
        <f>IF('1 P-T +'!C20="M6",IF(OR('1 P-T +'!C16="V",'1 P-T +'!C16="VT",'1 P-T +'!C16="VSB",'1 P-T +'!C16="VTT",),1,0))*'1 P-T +'!C24</f>
        <v>0</v>
      </c>
      <c r="Q41" s="849">
        <f>IF('1 P-T +'!D20="M6",IF(OR('1 P-T +'!D16="V",'1 P-T +'!D16="VT",'1 P-T +'!D16="VSB",'1 P-T +'!D16="VTT",),1,0))*'1 P-T +'!D24</f>
        <v>0</v>
      </c>
      <c r="R41" s="849">
        <f>IF('1 P-T +'!E20="M6",IF(OR('1 P-T +'!E16="V",'1 P-T +'!E16="VT",'1 P-T +'!E16="VSB",'1 P-T +'!E16="VTT",),1,0))*'1 P-T +'!E24</f>
        <v>0</v>
      </c>
      <c r="S41" s="849">
        <f>IF('1 P-T +'!F20="M6",IF(OR('1 P-T +'!F16="V",'1 P-T +'!F16="VT",'1 P-T +'!F16="VSB",'1 P-T +'!F16="VTT",),1,0))*'1 P-T +'!F24</f>
        <v>0</v>
      </c>
      <c r="T41" s="849">
        <f>IF('1 P-T +'!G20="M6",IF(OR('1 P-T +'!G16="V",'1 P-T +'!G16="VT",'1 P-T +'!G16="VSB",'1 P-T +'!G16="VTT",),1,0))*'1 P-T +'!G24</f>
        <v>0</v>
      </c>
      <c r="U41" s="849">
        <f>IF('1 P-T +'!H20="M6",IF(OR('1 P-T +'!H16="V",'1 P-T +'!H16="VT",'1 P-T +'!H16="VSB",'1 P-T +'!H16="VTT",),1,0))*'1 P-T +'!H24</f>
        <v>0</v>
      </c>
      <c r="V41" s="849">
        <f>IF('1 P-T +'!I20="M6",IF(OR('1 P-T +'!I16="V",'1 P-T +'!I16="VT",'1 P-T +'!I16="VSB",'1 P-T +'!I16="VTT",),1,0))*'1 P-T +'!I24</f>
        <v>0</v>
      </c>
      <c r="W41" s="849">
        <f>IF('1 P-T +'!J20="M6",IF(OR('1 P-T +'!J16="V",'1 P-T +'!J16="VT",'1 P-T +'!J16="VSB",'1 P-T +'!J16="VTT",),1,0))*'1 P-T +'!J24</f>
        <v>0</v>
      </c>
      <c r="X41" s="849">
        <f>IF('1 P-T +'!K20="M6",IF(OR('1 P-T +'!K16="V",'1 P-T +'!K16="VT",'1 P-T +'!K16="VSB",'1 P-T +'!K16="VTT",),1,0))*'1 P-T +'!K24</f>
        <v>0</v>
      </c>
      <c r="Y41" s="849">
        <f>IF('1 P-T +'!L20="M6",IF(OR('1 P-T +'!L16="V",'1 P-T +'!L16="VT",'1 P-T +'!L16="VSB",'1 P-T +'!L16="VTT",),1,0))*'1 P-T +'!L24</f>
        <v>0</v>
      </c>
      <c r="Z41" s="849">
        <f>IF('1 P-T +'!M20="M6",IF(OR('1 P-T +'!M16="V",'1 P-T +'!M16="VT",'1 P-T +'!M16="VSB",'1 P-T +'!M16="VTT",),1,0))*'1 P-T +'!M24</f>
        <v>0</v>
      </c>
      <c r="AA41" s="874">
        <f>IF('1 P-T +'!N20="M6",IF(OR('1 P-T +'!N16="V",'1 P-T +'!N16="VT",'1 P-T +'!N16="VSB",'1 P-T +'!N16="VTT",),1,0))*'1 P-T +'!N24</f>
        <v>0</v>
      </c>
      <c r="AB41" s="838"/>
      <c r="AC41" s="855">
        <f>IF('1 P-T +'!C20="M6",1,0)*'1 P-T +'!C24</f>
        <v>0</v>
      </c>
      <c r="AD41" s="855">
        <f>IF('1 P-T +'!D20="M6",1,0)*'1 P-T +'!D24</f>
        <v>0</v>
      </c>
      <c r="AE41" s="855">
        <f>IF('1 P-T +'!E20="M6",1,0)*'1 P-T +'!E24</f>
        <v>0</v>
      </c>
      <c r="AF41" s="855">
        <f>IF('1 P-T +'!F20="M6",1,0)*'1 P-T +'!F24</f>
        <v>0</v>
      </c>
      <c r="AG41" s="855">
        <f>IF('1 P-T +'!G20="M6",1,0)*'1 P-T +'!G24</f>
        <v>0</v>
      </c>
      <c r="AH41" s="855">
        <f>IF('1 P-T +'!H20="M6",1,0)*'1 P-T +'!H24</f>
        <v>0</v>
      </c>
      <c r="AI41" s="855">
        <f>IF('1 P-T +'!I20="M6",1,0)*'1 P-T +'!I24</f>
        <v>0</v>
      </c>
      <c r="AJ41" s="855">
        <f>IF('1 P-T +'!J20="M6",1,0)*'1 P-T +'!J24</f>
        <v>0</v>
      </c>
      <c r="AK41" s="855">
        <f>IF('1 P-T +'!K20="M6",1,0)*'1 P-T +'!K24</f>
        <v>0</v>
      </c>
      <c r="AL41" s="855">
        <f>IF('1 P-T +'!L20="M6",1,0)*'1 P-T +'!L24</f>
        <v>0</v>
      </c>
      <c r="AM41" s="855">
        <f>IF('1 P-T +'!M20="M6",1,0)*'1 P-T +'!M24</f>
        <v>0</v>
      </c>
      <c r="AN41" s="855">
        <f>IF('1 P-T +'!N20="M6",1,0)*'1 P-T +'!N24</f>
        <v>0</v>
      </c>
      <c r="AO41" s="844">
        <f>SUM(AC41:AN41)</f>
        <v>0</v>
      </c>
      <c r="AP41" s="845">
        <f>IF('1 P-T +'!C$22&gt;250,IF('1 P-T +'!C$23&gt;28,IF('1 P-T +'!C$23&lt;56.1,IF(OR('1 P-T +'!C$16="V",'1 P-T +'!C$16="VT",'1 P-T +'!C$16="VTT",'1 P-T +'!C$16="VSB",'1 P-T +'!C$16="VE",'1 P-T +'!C$16="VET",'1 P-T +'!C$16="VESQ",),1,0))))*'1 P-T +'!C$24</f>
        <v>0</v>
      </c>
      <c r="AQ41" s="845">
        <f>IF('1 P-T +'!D$22&gt;250,IF('1 P-T +'!D$23&gt;28,IF('1 P-T +'!D$23&lt;56.1,IF(OR('1 P-T +'!D$16="V",'1 P-T +'!D$16="VT",'1 P-T +'!D$16="VTT",'1 P-T +'!D$16="VSB",'1 P-T +'!D$16="VE",'1 P-T +'!D$16="VET",'1 P-T +'!D$16="VESQ",),1,0))))*'1 P-T +'!D$24</f>
        <v>0</v>
      </c>
      <c r="AR41" s="845">
        <f>IF('1 P-T +'!E$22&gt;250,IF('1 P-T +'!E$23&gt;28,IF('1 P-T +'!E$23&lt;56.1,IF(OR('1 P-T +'!E$16="V",'1 P-T +'!E$16="VT",'1 P-T +'!E$16="VTT",'1 P-T +'!E$16="VSB",'1 P-T +'!E$16="VE",'1 P-T +'!E$16="VET",'1 P-T +'!E$16="VESQ",),1,0))))*'1 P-T +'!E$24</f>
        <v>0</v>
      </c>
      <c r="AS41" s="845">
        <f>IF('1 P-T +'!F$22&gt;250,IF('1 P-T +'!F$23&gt;28,IF('1 P-T +'!F$23&lt;56.1,IF(OR('1 P-T +'!F$16="V",'1 P-T +'!F$16="VT",'1 P-T +'!F$16="VTT",'1 P-T +'!F$16="VSB",'1 P-T +'!F$16="VE",'1 P-T +'!F$16="VET",'1 P-T +'!F$16="VESQ",),1,0))))*'1 P-T +'!F$24</f>
        <v>0</v>
      </c>
      <c r="AT41" s="845">
        <f>IF('1 P-T +'!G$22&gt;250,IF('1 P-T +'!G$23&gt;28,IF('1 P-T +'!G$23&lt;56.1,IF(OR('1 P-T +'!G$16="V",'1 P-T +'!G$16="VT",'1 P-T +'!G$16="VTT",'1 P-T +'!G$16="VSB",'1 P-T +'!G$16="VE",'1 P-T +'!G$16="VET",'1 P-T +'!G$16="VESQ",),1,0))))*'1 P-T +'!G$24</f>
        <v>0</v>
      </c>
      <c r="AU41" s="845">
        <f>IF('1 P-T +'!H$22&gt;250,IF('1 P-T +'!H$23&gt;28,IF('1 P-T +'!H$23&lt;56.1,IF(OR('1 P-T +'!H$16="V",'1 P-T +'!H$16="VT",'1 P-T +'!H$16="VTT",'1 P-T +'!H$16="VSB",'1 P-T +'!H$16="VE",'1 P-T +'!H$16="VET",'1 P-T +'!H$16="VESQ",),1,0))))*'1 P-T +'!H$24</f>
        <v>0</v>
      </c>
      <c r="AV41" s="845">
        <f>IF('1 P-T +'!I$22&gt;250,IF('1 P-T +'!I$23&gt;28,IF('1 P-T +'!I$23&lt;56.1,IF(OR('1 P-T +'!I$16="V",'1 P-T +'!I$16="VT",'1 P-T +'!I$16="VTT",'1 P-T +'!I$16="VSB",'1 P-T +'!I$16="VE",'1 P-T +'!I$16="VET",'1 P-T +'!I$16="VESQ",),1,0))))*'1 P-T +'!I$24</f>
        <v>0</v>
      </c>
      <c r="AW41" s="845">
        <f>IF('1 P-T +'!J$22&gt;250,IF('1 P-T +'!J$23&gt;28,IF('1 P-T +'!J$23&lt;56.1,IF(OR('1 P-T +'!J$16="V",'1 P-T +'!J$16="VT",'1 P-T +'!J$16="VTT",'1 P-T +'!J$16="VSB",'1 P-T +'!J$16="VE",'1 P-T +'!J$16="VET",'1 P-T +'!J$16="VESQ",),1,0))))*'1 P-T +'!J$24</f>
        <v>0</v>
      </c>
      <c r="AX41" s="845">
        <f>IF('1 P-T +'!K$22&gt;250,IF('1 P-T +'!K$23&gt;28,IF('1 P-T +'!K$23&lt;56.1,IF(OR('1 P-T +'!K$16="V",'1 P-T +'!K$16="VT",'1 P-T +'!K$16="VTT",'1 P-T +'!K$16="VSB",'1 P-T +'!K$16="VE",'1 P-T +'!K$16="VET",'1 P-T +'!K$16="VESQ",),1,0))))*'1 P-T +'!K$24</f>
        <v>0</v>
      </c>
      <c r="AY41" s="845">
        <f>IF('1 P-T +'!L$22&gt;250,IF('1 P-T +'!L$23&gt;28,IF('1 P-T +'!L$23&lt;56.1,IF(OR('1 P-T +'!L$16="V",'1 P-T +'!L$16="VT",'1 P-T +'!L$16="VTT",'1 P-T +'!L$16="VSB",'1 P-T +'!L$16="VE",'1 P-T +'!L$16="VET",'1 P-T +'!L$16="VESQ",),1,0))))*'1 P-T +'!L$24</f>
        <v>0</v>
      </c>
      <c r="AZ41" s="845">
        <f>IF('1 P-T +'!M$22&gt;250,IF('1 P-T +'!M$23&gt;28,IF('1 P-T +'!M$23&lt;56.1,IF(OR('1 P-T +'!M$16="V",'1 P-T +'!M$16="VT",'1 P-T +'!M$16="VTT",'1 P-T +'!M$16="VSB",'1 P-T +'!M$16="VE",'1 P-T +'!M$16="VET",'1 P-T +'!M$16="VESQ",),1,0))))*'1 P-T +'!M$24</f>
        <v>0</v>
      </c>
      <c r="BA41" s="845">
        <f>IF('1 P-T +'!N$22&gt;250,IF('1 P-T +'!N$23&gt;28,IF('1 P-T +'!N$23&lt;56.1,IF(OR('1 P-T +'!N$16="V",'1 P-T +'!N$16="VT",'1 P-T +'!N$16="VTT",'1 P-T +'!N$16="VSB",'1 P-T +'!N$16="VE",'1 P-T +'!N$16="VET",'1 P-T +'!N$16="VESQ",),1,0))))*'1 P-T +'!N$24</f>
        <v>0</v>
      </c>
      <c r="BB41" s="844">
        <f t="shared" si="11"/>
        <v>0</v>
      </c>
      <c r="BC41" s="845">
        <f>IF('1 P-T +'!C$20="M8",IF('1 P-T +'!$B$29='1 P-T +'!C$18,1,0))*'1 P-T +'!C$24</f>
        <v>0</v>
      </c>
      <c r="BD41" s="845">
        <f>IF('1 P-T +'!D$20="M8",IF('1 P-T +'!$B$29='1 P-T +'!D$18,1,0))*'1 P-T +'!D$24</f>
        <v>0</v>
      </c>
      <c r="BE41" s="845">
        <f>IF('1 P-T +'!E$20="M8",IF('1 P-T +'!$B$29='1 P-T +'!E$18,1,0))*'1 P-T +'!E$24</f>
        <v>0</v>
      </c>
      <c r="BF41" s="845">
        <f>IF('1 P-T +'!F$20="M8",IF('1 P-T +'!$B$29='1 P-T +'!F$18,1,0))*'1 P-T +'!F$24</f>
        <v>0</v>
      </c>
      <c r="BG41" s="845">
        <f>IF('1 P-T +'!G$20="M8",IF('1 P-T +'!$B$29='1 P-T +'!G$18,1,0))*'1 P-T +'!G$24</f>
        <v>0</v>
      </c>
      <c r="BH41" s="845">
        <f>IF('1 P-T +'!H$20="M8",IF('1 P-T +'!$B$29='1 P-T +'!H$18,1,0))*'1 P-T +'!H$24</f>
        <v>0</v>
      </c>
      <c r="BI41" s="845">
        <f>IF('1 P-T +'!I$20="M8",IF('1 P-T +'!$B$29='1 P-T +'!I$18,1,0))*'1 P-T +'!I$24</f>
        <v>0</v>
      </c>
      <c r="BJ41" s="845">
        <f>IF('1 P-T +'!J$20="M8",IF('1 P-T +'!$B$29='1 P-T +'!J$18,1,0))*'1 P-T +'!J$24</f>
        <v>0</v>
      </c>
      <c r="BK41" s="845">
        <f>IF('1 P-T +'!K$20="M8",IF('1 P-T +'!$B$29='1 P-T +'!K$18,1,0))*'1 P-T +'!K$24</f>
        <v>0</v>
      </c>
      <c r="BL41" s="845">
        <f>IF('1 P-T +'!L$20="M8",IF('1 P-T +'!$B$29='1 P-T +'!L$18,1,0))*'1 P-T +'!L$24</f>
        <v>0</v>
      </c>
      <c r="BM41" s="845">
        <f>IF('1 P-T +'!M$20="M8",IF('1 P-T +'!$B$29='1 P-T +'!M$18,1,0))*'1 P-T +'!M$24</f>
        <v>0</v>
      </c>
      <c r="BN41" s="845">
        <f>IF('1 P-T +'!N$20="M8",IF('1 P-T +'!$B$29='1 P-T +'!N$18,1,0))*'1 P-T +'!N$24</f>
        <v>0</v>
      </c>
      <c r="BO41" s="844">
        <f>SUM(BC41:BN41)*2</f>
        <v>0</v>
      </c>
      <c r="BP41" s="845">
        <f>IF('1 P-T +'!C$20="M8",IF('1 P-T +'!$B$30='1 P-T +'!C$18,1,0))*'1 P-T +'!C$24</f>
        <v>0</v>
      </c>
      <c r="BQ41" s="845">
        <f>IF('1 P-T +'!D$20="M8",IF('1 P-T +'!$B$30='1 P-T +'!D$18,1,0))*'1 P-T +'!D$24</f>
        <v>0</v>
      </c>
      <c r="BR41" s="845">
        <f>IF('1 P-T +'!E$20="M8",IF('1 P-T +'!$B$30='1 P-T +'!E$18,1,0))*'1 P-T +'!E$24</f>
        <v>0</v>
      </c>
      <c r="BS41" s="845">
        <f>IF('1 P-T +'!F$20="M8",IF('1 P-T +'!$B$30='1 P-T +'!F$18,1,0))*'1 P-T +'!F$24</f>
        <v>0</v>
      </c>
      <c r="BT41" s="845">
        <f>IF('1 P-T +'!G$20="M8",IF('1 P-T +'!$B$30='1 P-T +'!G$18,1,0))*'1 P-T +'!G$24</f>
        <v>0</v>
      </c>
      <c r="BU41" s="845">
        <f>IF('1 P-T +'!H$20="M8",IF('1 P-T +'!$B$30='1 P-T +'!H$18,1,0))*'1 P-T +'!H$24</f>
        <v>0</v>
      </c>
      <c r="BV41" s="845">
        <f>IF('1 P-T +'!I$20="M8",IF('1 P-T +'!$B$30='1 P-T +'!I$18,1,0))*'1 P-T +'!I$24</f>
        <v>0</v>
      </c>
      <c r="BW41" s="845">
        <f>IF('1 P-T +'!J$20="M8",IF('1 P-T +'!$B$30='1 P-T +'!J$18,1,0))*'1 P-T +'!J$24</f>
        <v>0</v>
      </c>
      <c r="BX41" s="845">
        <f>IF('1 P-T +'!K$20="M8",IF('1 P-T +'!$B$30='1 P-T +'!K$18,1,0))*'1 P-T +'!K$24</f>
        <v>0</v>
      </c>
      <c r="BY41" s="845">
        <f>IF('1 P-T +'!L$20="M8",IF('1 P-T +'!$B$30='1 P-T +'!L$18,1,0))*'1 P-T +'!L$24</f>
        <v>0</v>
      </c>
      <c r="BZ41" s="845">
        <f>IF('1 P-T +'!M$20="M8",IF('1 P-T +'!$B$30='1 P-T +'!M$18,1,0))*'1 P-T +'!M$24</f>
        <v>0</v>
      </c>
      <c r="CA41" s="845">
        <f>IF('1 P-T +'!N$20="M8",IF('1 P-T +'!$B$30='1 P-T +'!N$18,1,0))*'1 P-T +'!N$24</f>
        <v>0</v>
      </c>
      <c r="CB41" s="844">
        <f>SUM(BP41:CA41)*2</f>
        <v>0</v>
      </c>
      <c r="CC41" s="845">
        <f>IF('1 P-T +'!C$20="M8",IF('1 P-T +'!$B$31='1 P-T +'!C$18,1,0))*'1 P-T +'!C$24</f>
        <v>0</v>
      </c>
      <c r="CD41" s="845">
        <f>IF('1 P-T +'!D$20="M8",IF('1 P-T +'!$B$31='1 P-T +'!D$18,1,0))*'1 P-T +'!D$24</f>
        <v>0</v>
      </c>
      <c r="CE41" s="845">
        <f>IF('1 P-T +'!E$20="M8",IF('1 P-T +'!$B$31='1 P-T +'!E$18,1,0))*'1 P-T +'!E$24</f>
        <v>0</v>
      </c>
      <c r="CF41" s="845">
        <f>IF('1 P-T +'!F$20="M8",IF('1 P-T +'!$B$31='1 P-T +'!F$18,1,0))*'1 P-T +'!F$24</f>
        <v>0</v>
      </c>
      <c r="CG41" s="845">
        <f>IF('1 P-T +'!G$20="M8",IF('1 P-T +'!$B$31='1 P-T +'!G$18,1,0))*'1 P-T +'!G$24</f>
        <v>0</v>
      </c>
      <c r="CH41" s="845">
        <f>IF('1 P-T +'!H$20="M8",IF('1 P-T +'!$B$31='1 P-T +'!H$18,1,0))*'1 P-T +'!H$24</f>
        <v>0</v>
      </c>
      <c r="CI41" s="845">
        <f>IF('1 P-T +'!I$20="M8",IF('1 P-T +'!$B$31='1 P-T +'!I$18,1,0))*'1 P-T +'!I$24</f>
        <v>0</v>
      </c>
      <c r="CJ41" s="845">
        <f>IF('1 P-T +'!J$20="M8",IF('1 P-T +'!$B$31='1 P-T +'!J$18,1,0))*'1 P-T +'!J$24</f>
        <v>0</v>
      </c>
      <c r="CK41" s="845">
        <f>IF('1 P-T +'!K$20="M8",IF('1 P-T +'!$B$31='1 P-T +'!K$18,1,0))*'1 P-T +'!K$24</f>
        <v>0</v>
      </c>
      <c r="CL41" s="845">
        <f>IF('1 P-T +'!L$20="M8",IF('1 P-T +'!$B$31='1 P-T +'!L$18,1,0))*'1 P-T +'!L$24</f>
        <v>0</v>
      </c>
      <c r="CM41" s="845">
        <f>IF('1 P-T +'!M$20="M8",IF('1 P-T +'!$B$31='1 P-T +'!M$18,1,0))*'1 P-T +'!M$24</f>
        <v>0</v>
      </c>
      <c r="CN41" s="845">
        <f>IF('1 P-T +'!N$20="M8",IF('1 P-T +'!$B$31='1 P-T +'!N$18,1,0))*'1 P-T +'!N$24</f>
        <v>0</v>
      </c>
      <c r="CO41" s="844">
        <f>SUM(CC41:CN41)*2</f>
        <v>0</v>
      </c>
      <c r="CP41" s="845">
        <f>IF('1 P-T +'!C$20="M8",IF('1 P-T +'!$B$32='1 P-T +'!C$18,1,0))*'1 P-T +'!C$24</f>
        <v>0</v>
      </c>
      <c r="CQ41" s="845">
        <f>IF('1 P-T +'!D$20="M8",IF('1 P-T +'!$B$32='1 P-T +'!D$18,1,0))*'1 P-T +'!D$24</f>
        <v>0</v>
      </c>
      <c r="CR41" s="845">
        <f>IF('1 P-T +'!E$20="M8",IF('1 P-T +'!$B$32='1 P-T +'!E$18,1,0))*'1 P-T +'!E$24</f>
        <v>0</v>
      </c>
      <c r="CS41" s="845">
        <f>IF('1 P-T +'!F$20="M8",IF('1 P-T +'!$B$32='1 P-T +'!F$18,1,0))*'1 P-T +'!F$24</f>
        <v>0</v>
      </c>
      <c r="CT41" s="845">
        <f>IF('1 P-T +'!G$20="M8",IF('1 P-T +'!$B$32='1 P-T +'!G$18,1,0))*'1 P-T +'!G$24</f>
        <v>0</v>
      </c>
      <c r="CU41" s="845">
        <f>IF('1 P-T +'!H$20="M8",IF('1 P-T +'!$B$32='1 P-T +'!H$18,1,0))*'1 P-T +'!H$24</f>
        <v>0</v>
      </c>
      <c r="CV41" s="845">
        <f>IF('1 P-T +'!I$20="M8",IF('1 P-T +'!$B$32='1 P-T +'!I$18,1,0))*'1 P-T +'!I$24</f>
        <v>0</v>
      </c>
      <c r="CW41" s="845">
        <f>IF('1 P-T +'!J$20="M8",IF('1 P-T +'!$B$32='1 P-T +'!J$18,1,0))*'1 P-T +'!J$24</f>
        <v>0</v>
      </c>
      <c r="CX41" s="845">
        <f>IF('1 P-T +'!K$20="M8",IF('1 P-T +'!$B$32='1 P-T +'!K$18,1,0))*'1 P-T +'!K$24</f>
        <v>0</v>
      </c>
      <c r="CY41" s="845">
        <f>IF('1 P-T +'!L$20="M8",IF('1 P-T +'!$B$32='1 P-T +'!L$18,1,0))*'1 P-T +'!L$24</f>
        <v>0</v>
      </c>
      <c r="CZ41" s="845">
        <f>IF('1 P-T +'!M$20="M8",IF('1 P-T +'!$B$32='1 P-T +'!M$18,1,0))*'1 P-T +'!M$24</f>
        <v>0</v>
      </c>
      <c r="DA41" s="845">
        <f>IF('1 P-T +'!N$20="M8",IF('1 P-T +'!$B$32='1 P-T +'!N$18,1,0))*'1 P-T +'!N$24</f>
        <v>0</v>
      </c>
      <c r="DB41" s="844">
        <f>SUM(CP41:DA41)*2</f>
        <v>0</v>
      </c>
    </row>
    <row r="42" spans="1:194" ht="26.25" x14ac:dyDescent="0.4">
      <c r="A42" s="1467" t="s">
        <v>1166</v>
      </c>
      <c r="B42" s="1467"/>
      <c r="C42" s="846">
        <f>IF('1 P-T +'!C20="V3",'1 P-T +'!C24*2,0)</f>
        <v>0</v>
      </c>
      <c r="D42" s="847">
        <f>IF('1 P-T +'!D20="V3",'1 P-T +'!D24*2,0)</f>
        <v>0</v>
      </c>
      <c r="E42" s="847">
        <f>IF('1 P-T +'!E20="V3",'1 P-T +'!E24*2,0)</f>
        <v>0</v>
      </c>
      <c r="F42" s="847">
        <f>IF('1 P-T +'!F20="V3",'1 P-T +'!F24*2,0)</f>
        <v>0</v>
      </c>
      <c r="G42" s="847">
        <f>IF('1 P-T +'!G20="V3",'1 P-T +'!G24*2,0)</f>
        <v>0</v>
      </c>
      <c r="H42" s="847">
        <f>IF('1 P-T +'!H20="V3",'1 P-T +'!H24*2,0)</f>
        <v>0</v>
      </c>
      <c r="I42" s="847">
        <f>IF('1 P-T +'!I20="V3",'1 P-T +'!I24*2,0)</f>
        <v>0</v>
      </c>
      <c r="J42" s="847">
        <f>IF('1 P-T +'!J20="V3",'1 P-T +'!J24*2,0)</f>
        <v>0</v>
      </c>
      <c r="K42" s="847">
        <f>IF('1 P-T +'!K20="V3",'1 P-T +'!K24*2,0)</f>
        <v>0</v>
      </c>
      <c r="L42" s="847">
        <f>IF('1 P-T +'!L20="V3",'1 P-T +'!L24*2,0)</f>
        <v>0</v>
      </c>
      <c r="M42" s="847">
        <f>IF('1 P-T +'!M20="V3",'1 P-T +'!M24*2,0)</f>
        <v>0</v>
      </c>
      <c r="N42" s="1083">
        <f>IF('1 P-T +'!N20="V3",'1 P-T +'!N24*2,0)</f>
        <v>0</v>
      </c>
      <c r="O42" s="838"/>
      <c r="P42" s="850">
        <f>IF('1 P-T +'!C20="V3",IF(OR('1 P-T +'!C16="V",'1 P-T +'!C16="VT",'1 P-T +'!C16="VSB",'1 P-T +'!C16="VTT",),1,0))*'1 P-T +'!C24</f>
        <v>0</v>
      </c>
      <c r="Q42" s="851">
        <f>IF('1 P-T +'!D20="V3",IF(OR('1 P-T +'!D16="V",'1 P-T +'!D16="VT",'1 P-T +'!D16="VSB",'1 P-T +'!D16="VTT",),1,0))*'1 P-T +'!D24</f>
        <v>0</v>
      </c>
      <c r="R42" s="851">
        <f>IF('1 P-T +'!E20="V3",IF(OR('1 P-T +'!E16="V",'1 P-T +'!E16="VT",'1 P-T +'!E16="VSB",'1 P-T +'!E16="VTT",),1,0))*'1 P-T +'!E24</f>
        <v>0</v>
      </c>
      <c r="S42" s="851">
        <f>IF('1 P-T +'!F20="V3",IF(OR('1 P-T +'!F16="V",'1 P-T +'!F16="VT",'1 P-T +'!F16="VSB",'1 P-T +'!F16="VTT",),1,0))*'1 P-T +'!F24</f>
        <v>0</v>
      </c>
      <c r="T42" s="851">
        <f>IF('1 P-T +'!G20="V3",IF(OR('1 P-T +'!G16="V",'1 P-T +'!G16="VT",'1 P-T +'!G16="VSB",'1 P-T +'!G16="VTT",),1,0))*'1 P-T +'!G24</f>
        <v>0</v>
      </c>
      <c r="U42" s="851">
        <f>IF('1 P-T +'!H20="V3",IF(OR('1 P-T +'!H16="V",'1 P-T +'!H16="VT",'1 P-T +'!H16="VSB",'1 P-T +'!H16="VTT",),1,0))*'1 P-T +'!H24</f>
        <v>0</v>
      </c>
      <c r="V42" s="851">
        <f>IF('1 P-T +'!I20="V3",IF(OR('1 P-T +'!I16="V",'1 P-T +'!I16="VT",'1 P-T +'!I16="VSB",'1 P-T +'!I16="VTT",),1,0))*'1 P-T +'!I24</f>
        <v>0</v>
      </c>
      <c r="W42" s="851">
        <f>IF('1 P-T +'!J20="V3",IF(OR('1 P-T +'!J16="V",'1 P-T +'!J16="VT",'1 P-T +'!J16="VSB",'1 P-T +'!J16="VTT",),1,0))*'1 P-T +'!J24</f>
        <v>0</v>
      </c>
      <c r="X42" s="851">
        <f>IF('1 P-T +'!K20="V3",IF(OR('1 P-T +'!K16="V",'1 P-T +'!K16="VT",'1 P-T +'!K16="VSB",'1 P-T +'!K16="VTT",),1,0))*'1 P-T +'!K24</f>
        <v>0</v>
      </c>
      <c r="Y42" s="851">
        <f>IF('1 P-T +'!L20="V3",IF(OR('1 P-T +'!L16="V",'1 P-T +'!L16="VT",'1 P-T +'!L16="VSB",'1 P-T +'!L16="VTT",),1,0))*'1 P-T +'!L24</f>
        <v>0</v>
      </c>
      <c r="Z42" s="851">
        <f>IF('1 P-T +'!M20="V3",IF(OR('1 P-T +'!M16="V",'1 P-T +'!M16="VT",'1 P-T +'!M16="VSB",'1 P-T +'!M16="VTT",),1,0))*'1 P-T +'!M24</f>
        <v>0</v>
      </c>
      <c r="AA42" s="875">
        <f>IF('1 P-T +'!N20="V3",IF(OR('1 P-T +'!N16="V",'1 P-T +'!N16="VT",'1 P-T +'!N16="VSB",'1 P-T +'!N16="VTT",),1,0))*'1 P-T +'!N24</f>
        <v>0</v>
      </c>
      <c r="AB42" s="838"/>
      <c r="AC42" s="855">
        <f>IF('1 P-T +'!C20="M8",1,0)*'1 P-T +'!C24</f>
        <v>0</v>
      </c>
      <c r="AD42" s="855">
        <f>IF('1 P-T +'!D20="M8",1,0)*'1 P-T +'!D24</f>
        <v>0</v>
      </c>
      <c r="AE42" s="855">
        <f>IF('1 P-T +'!E20="M8",1,0)*'1 P-T +'!E24</f>
        <v>0</v>
      </c>
      <c r="AF42" s="855">
        <f>IF('1 P-T +'!F20="M8",1,0)*'1 P-T +'!F24</f>
        <v>0</v>
      </c>
      <c r="AG42" s="855">
        <f>IF('1 P-T +'!G20="M8",1,0)*'1 P-T +'!G24</f>
        <v>0</v>
      </c>
      <c r="AH42" s="855">
        <f>IF('1 P-T +'!H20="M8",1,0)*'1 P-T +'!H24</f>
        <v>0</v>
      </c>
      <c r="AI42" s="855">
        <f>IF('1 P-T +'!I20="M8",1,0)*'1 P-T +'!I24</f>
        <v>0</v>
      </c>
      <c r="AJ42" s="855">
        <f>IF('1 P-T +'!J20="M8",1,0)*'1 P-T +'!J24</f>
        <v>0</v>
      </c>
      <c r="AK42" s="855">
        <f>IF('1 P-T +'!K20="M8",1,0)*'1 P-T +'!K24</f>
        <v>0</v>
      </c>
      <c r="AL42" s="855">
        <f>IF('1 P-T +'!L20="M8",1,0)*'1 P-T +'!L24</f>
        <v>0</v>
      </c>
      <c r="AM42" s="855">
        <f>IF('1 P-T +'!M20="M8",1,0)*'1 P-T +'!M24</f>
        <v>0</v>
      </c>
      <c r="AN42" s="855">
        <f>IF('1 P-T +'!N20="M8",1,0)*'1 P-T +'!N24</f>
        <v>0</v>
      </c>
      <c r="AO42" s="844">
        <f>SUM(AC42:AN42)</f>
        <v>0</v>
      </c>
      <c r="AP42" s="845">
        <f>IF('1 P-T +'!C$22&gt;250,IF('1 P-T +'!C$23&gt;56,IF('1 P-T +'!C$23&lt;70.1,IF(OR('1 P-T +'!C$16="V",'1 P-T +'!C$16="VT",'1 P-T +'!C$16="VTT",'1 P-T +'!C$16="VSB",'1 P-T +'!C$16="VE",'1 P-T +'!C$16="VET",'1 P-T +'!C$16="VESQ",),1,0))))*'1 P-T +'!C$24</f>
        <v>0</v>
      </c>
      <c r="AQ42" s="845">
        <f>IF('1 P-T +'!D$22&gt;250,IF('1 P-T +'!D$23&gt;56,IF('1 P-T +'!D$23&lt;70.1,IF(OR('1 P-T +'!D$16="V",'1 P-T +'!D$16="VT",'1 P-T +'!D$16="VTT",'1 P-T +'!D$16="VSB",'1 P-T +'!D$16="VE",'1 P-T +'!D$16="VET",'1 P-T +'!D$16="VESQ",),1,0))))*'1 P-T +'!D$24</f>
        <v>0</v>
      </c>
      <c r="AR42" s="845">
        <f>IF('1 P-T +'!E$22&gt;250,IF('1 P-T +'!E$23&gt;56,IF('1 P-T +'!E$23&lt;70.1,IF(OR('1 P-T +'!E$16="V",'1 P-T +'!E$16="VT",'1 P-T +'!E$16="VTT",'1 P-T +'!E$16="VSB",'1 P-T +'!E$16="VE",'1 P-T +'!E$16="VET",'1 P-T +'!E$16="VESQ",),1,0))))*'1 P-T +'!E$24</f>
        <v>0</v>
      </c>
      <c r="AS42" s="845">
        <f>IF('1 P-T +'!F$22&gt;250,IF('1 P-T +'!F$23&gt;56,IF('1 P-T +'!F$23&lt;70.1,IF(OR('1 P-T +'!F$16="V",'1 P-T +'!F$16="VT",'1 P-T +'!F$16="VTT",'1 P-T +'!F$16="VSB",'1 P-T +'!F$16="VE",'1 P-T +'!F$16="VET",'1 P-T +'!F$16="VESQ",),1,0))))*'1 P-T +'!F$24</f>
        <v>0</v>
      </c>
      <c r="AT42" s="845">
        <f>IF('1 P-T +'!G$22&gt;250,IF('1 P-T +'!G$23&gt;56,IF('1 P-T +'!G$23&lt;70.1,IF(OR('1 P-T +'!G$16="V",'1 P-T +'!G$16="VT",'1 P-T +'!G$16="VTT",'1 P-T +'!G$16="VSB",'1 P-T +'!G$16="VE",'1 P-T +'!G$16="VET",'1 P-T +'!G$16="VESQ",),1,0))))*'1 P-T +'!G$24</f>
        <v>0</v>
      </c>
      <c r="AU42" s="845">
        <f>IF('1 P-T +'!H$22&gt;250,IF('1 P-T +'!H$23&gt;56,IF('1 P-T +'!H$23&lt;70.1,IF(OR('1 P-T +'!H$16="V",'1 P-T +'!H$16="VT",'1 P-T +'!H$16="VTT",'1 P-T +'!H$16="VSB",'1 P-T +'!H$16="VE",'1 P-T +'!H$16="VET",'1 P-T +'!H$16="VESQ",),1,0))))*'1 P-T +'!H$24</f>
        <v>0</v>
      </c>
      <c r="AV42" s="845">
        <f>IF('1 P-T +'!I$22&gt;250,IF('1 P-T +'!I$23&gt;56,IF('1 P-T +'!I$23&lt;70.1,IF(OR('1 P-T +'!I$16="V",'1 P-T +'!I$16="VT",'1 P-T +'!I$16="VTT",'1 P-T +'!I$16="VSB",'1 P-T +'!I$16="VE",'1 P-T +'!I$16="VET",'1 P-T +'!I$16="VESQ",),1,0))))*'1 P-T +'!I$24</f>
        <v>0</v>
      </c>
      <c r="AW42" s="845">
        <f>IF('1 P-T +'!J$22&gt;250,IF('1 P-T +'!J$23&gt;56,IF('1 P-T +'!J$23&lt;70.1,IF(OR('1 P-T +'!J$16="V",'1 P-T +'!J$16="VT",'1 P-T +'!J$16="VTT",'1 P-T +'!J$16="VSB",'1 P-T +'!J$16="VE",'1 P-T +'!J$16="VET",'1 P-T +'!J$16="VESQ",),1,0))))*'1 P-T +'!J$24</f>
        <v>0</v>
      </c>
      <c r="AX42" s="845">
        <f>IF('1 P-T +'!K$22&gt;250,IF('1 P-T +'!K$23&gt;56,IF('1 P-T +'!K$23&lt;70.1,IF(OR('1 P-T +'!K$16="V",'1 P-T +'!K$16="VT",'1 P-T +'!K$16="VTT",'1 P-T +'!K$16="VSB",'1 P-T +'!K$16="VE",'1 P-T +'!K$16="VET",'1 P-T +'!K$16="VESQ",),1,0))))*'1 P-T +'!K$24</f>
        <v>0</v>
      </c>
      <c r="AY42" s="845">
        <f>IF('1 P-T +'!L$22&gt;250,IF('1 P-T +'!L$23&gt;56,IF('1 P-T +'!L$23&lt;70.1,IF(OR('1 P-T +'!L$16="V",'1 P-T +'!L$16="VT",'1 P-T +'!L$16="VTT",'1 P-T +'!L$16="VSB",'1 P-T +'!L$16="VE",'1 P-T +'!L$16="VET",'1 P-T +'!L$16="VESQ",),1,0))))*'1 P-T +'!L$24</f>
        <v>0</v>
      </c>
      <c r="AZ42" s="845">
        <f>IF('1 P-T +'!M$22&gt;250,IF('1 P-T +'!M$23&gt;56,IF('1 P-T +'!M$23&lt;70.1,IF(OR('1 P-T +'!M$16="V",'1 P-T +'!M$16="VT",'1 P-T +'!M$16="VTT",'1 P-T +'!M$16="VSB",'1 P-T +'!M$16="VE",'1 P-T +'!M$16="VET",'1 P-T +'!M$16="VESQ",),1,0))))*'1 P-T +'!M$24</f>
        <v>0</v>
      </c>
      <c r="BA42" s="845">
        <f>IF('1 P-T +'!N$22&gt;250,IF('1 P-T +'!N$23&gt;56,IF('1 P-T +'!N$23&lt;70.1,IF(OR('1 P-T +'!N$16="V",'1 P-T +'!N$16="VT",'1 P-T +'!N$16="VTT",'1 P-T +'!N$16="VSB",'1 P-T +'!N$16="VE",'1 P-T +'!N$16="VET",'1 P-T +'!N$16="VESQ",),1,0))))*'1 P-T +'!N$24</f>
        <v>0</v>
      </c>
      <c r="BB42" s="844">
        <f t="shared" si="11"/>
        <v>0</v>
      </c>
      <c r="BC42" s="845">
        <f>IF('1 P-T +'!C$20="V3",IF('1 P-T +'!$B$29='1 P-T +'!C$18,1,0))*'1 P-T +'!C$24</f>
        <v>0</v>
      </c>
      <c r="BD42" s="845">
        <f>IF('1 P-T +'!D$20="V3",IF('1 P-T +'!$B$29='1 P-T +'!D$18,1,0))*'1 P-T +'!D$24</f>
        <v>0</v>
      </c>
      <c r="BE42" s="845">
        <f>IF('1 P-T +'!E$20="V3",IF('1 P-T +'!$B$29='1 P-T +'!E$18,1,0))*'1 P-T +'!E$24</f>
        <v>0</v>
      </c>
      <c r="BF42" s="845">
        <f>IF('1 P-T +'!F$20="V3",IF('1 P-T +'!$B$29='1 P-T +'!F$18,1,0))*'1 P-T +'!F$24</f>
        <v>0</v>
      </c>
      <c r="BG42" s="845">
        <f>IF('1 P-T +'!G$20="V3",IF('1 P-T +'!$B$29='1 P-T +'!G$18,1,0))*'1 P-T +'!G$24</f>
        <v>0</v>
      </c>
      <c r="BH42" s="845">
        <f>IF('1 P-T +'!H$20="V3",IF('1 P-T +'!$B$29='1 P-T +'!H$18,1,0))*'1 P-T +'!H$24</f>
        <v>0</v>
      </c>
      <c r="BI42" s="845">
        <f>IF('1 P-T +'!I$20="V3",IF('1 P-T +'!$B$29='1 P-T +'!I$18,1,0))*'1 P-T +'!I$24</f>
        <v>0</v>
      </c>
      <c r="BJ42" s="845">
        <f>IF('1 P-T +'!J$20="V3",IF('1 P-T +'!$B$29='1 P-T +'!J$18,1,0))*'1 P-T +'!J$24</f>
        <v>0</v>
      </c>
      <c r="BK42" s="845">
        <f>IF('1 P-T +'!K$20="V3",IF('1 P-T +'!$B$29='1 P-T +'!K$18,1,0))*'1 P-T +'!K$24</f>
        <v>0</v>
      </c>
      <c r="BL42" s="845">
        <f>IF('1 P-T +'!L$20="V3",IF('1 P-T +'!$B$29='1 P-T +'!L$18,1,0))*'1 P-T +'!L$24</f>
        <v>0</v>
      </c>
      <c r="BM42" s="845">
        <f>IF('1 P-T +'!M$20="V3",IF('1 P-T +'!$B$29='1 P-T +'!M$18,1,0))*'1 P-T +'!M$24</f>
        <v>0</v>
      </c>
      <c r="BN42" s="845">
        <f>IF('1 P-T +'!N$20="V3",IF('1 P-T +'!$B$29='1 P-T +'!N$18,1,0))*'1 P-T +'!N$24</f>
        <v>0</v>
      </c>
      <c r="BO42" s="844">
        <f>SUM(BC42:BN42)*2</f>
        <v>0</v>
      </c>
      <c r="BP42" s="845">
        <f>IF('1 P-T +'!C$20="v3",IF('1 P-T +'!$B$30='1 P-T +'!C$18,1,0))*'1 P-T +'!C$24</f>
        <v>0</v>
      </c>
      <c r="BQ42" s="845">
        <f>IF('1 P-T +'!D$20="v3",IF('1 P-T +'!$B$30='1 P-T +'!D$18,1,0))*'1 P-T +'!D$24</f>
        <v>0</v>
      </c>
      <c r="BR42" s="845">
        <f>IF('1 P-T +'!E$20="v3",IF('1 P-T +'!$B$30='1 P-T +'!E$18,1,0))*'1 P-T +'!E$24</f>
        <v>0</v>
      </c>
      <c r="BS42" s="845">
        <f>IF('1 P-T +'!F$20="v3",IF('1 P-T +'!$B$30='1 P-T +'!F$18,1,0))*'1 P-T +'!F$24</f>
        <v>0</v>
      </c>
      <c r="BT42" s="845">
        <f>IF('1 P-T +'!G$20="v3",IF('1 P-T +'!$B$30='1 P-T +'!G$18,1,0))*'1 P-T +'!G$24</f>
        <v>0</v>
      </c>
      <c r="BU42" s="845">
        <f>IF('1 P-T +'!H$20="v3",IF('1 P-T +'!$B$30='1 P-T +'!H$18,1,0))*'1 P-T +'!H$24</f>
        <v>0</v>
      </c>
      <c r="BV42" s="845">
        <f>IF('1 P-T +'!I$20="v3",IF('1 P-T +'!$B$30='1 P-T +'!I$18,1,0))*'1 P-T +'!I$24</f>
        <v>0</v>
      </c>
      <c r="BW42" s="845">
        <f>IF('1 P-T +'!J$20="v3",IF('1 P-T +'!$B$30='1 P-T +'!J$18,1,0))*'1 P-T +'!J$24</f>
        <v>0</v>
      </c>
      <c r="BX42" s="845">
        <f>IF('1 P-T +'!K$20="v3",IF('1 P-T +'!$B$30='1 P-T +'!K$18,1,0))*'1 P-T +'!K$24</f>
        <v>0</v>
      </c>
      <c r="BY42" s="845">
        <f>IF('1 P-T +'!L$20="v3",IF('1 P-T +'!$B$30='1 P-T +'!L$18,1,0))*'1 P-T +'!L$24</f>
        <v>0</v>
      </c>
      <c r="BZ42" s="845">
        <f>IF('1 P-T +'!M$20="v3",IF('1 P-T +'!$B$30='1 P-T +'!M$18,1,0))*'1 P-T +'!M$24</f>
        <v>0</v>
      </c>
      <c r="CA42" s="845">
        <f>IF('1 P-T +'!N$20="v3",IF('1 P-T +'!$B$30='1 P-T +'!N$18,1,0))*'1 P-T +'!N$24</f>
        <v>0</v>
      </c>
      <c r="CB42" s="844">
        <f>SUM(BP42:CA42)*2</f>
        <v>0</v>
      </c>
      <c r="CC42" s="845">
        <f>IF('1 P-T +'!C$20="V3",IF('1 P-T +'!$B$31='1 P-T +'!C$18,1,0))*'1 P-T +'!C$24</f>
        <v>0</v>
      </c>
      <c r="CD42" s="845">
        <f>IF('1 P-T +'!D$20="V3",IF('1 P-T +'!$B$31='1 P-T +'!D$18,1,0))*'1 P-T +'!D$24</f>
        <v>0</v>
      </c>
      <c r="CE42" s="845">
        <f>IF('1 P-T +'!E$20="V3",IF('1 P-T +'!$B$31='1 P-T +'!E$18,1,0))*'1 P-T +'!E$24</f>
        <v>0</v>
      </c>
      <c r="CF42" s="845">
        <f>IF('1 P-T +'!F$20="V3",IF('1 P-T +'!$B$31='1 P-T +'!F$18,1,0))*'1 P-T +'!F$24</f>
        <v>0</v>
      </c>
      <c r="CG42" s="845">
        <f>IF('1 P-T +'!G$20="V3",IF('1 P-T +'!$B$31='1 P-T +'!G$18,1,0))*'1 P-T +'!G$24</f>
        <v>0</v>
      </c>
      <c r="CH42" s="845">
        <f>IF('1 P-T +'!H$20="V3",IF('1 P-T +'!$B$31='1 P-T +'!H$18,1,0))*'1 P-T +'!H$24</f>
        <v>0</v>
      </c>
      <c r="CI42" s="845">
        <f>IF('1 P-T +'!I$20="V3",IF('1 P-T +'!$B$31='1 P-T +'!I$18,1,0))*'1 P-T +'!I$24</f>
        <v>0</v>
      </c>
      <c r="CJ42" s="845">
        <f>IF('1 P-T +'!J$20="V3",IF('1 P-T +'!$B$31='1 P-T +'!J$18,1,0))*'1 P-T +'!J$24</f>
        <v>0</v>
      </c>
      <c r="CK42" s="845">
        <f>IF('1 P-T +'!K$20="V3",IF('1 P-T +'!$B$31='1 P-T +'!K$18,1,0))*'1 P-T +'!K$24</f>
        <v>0</v>
      </c>
      <c r="CL42" s="845">
        <f>IF('1 P-T +'!L$20="V3",IF('1 P-T +'!$B$31='1 P-T +'!L$18,1,0))*'1 P-T +'!L$24</f>
        <v>0</v>
      </c>
      <c r="CM42" s="845">
        <f>IF('1 P-T +'!M$20="V3",IF('1 P-T +'!$B$31='1 P-T +'!M$18,1,0))*'1 P-T +'!M$24</f>
        <v>0</v>
      </c>
      <c r="CN42" s="845">
        <f>IF('1 P-T +'!N$20="V3",IF('1 P-T +'!$B$31='1 P-T +'!N$18,1,0))*'1 P-T +'!N$24</f>
        <v>0</v>
      </c>
      <c r="CO42" s="844">
        <f>SUM(CC42:CN42)*2</f>
        <v>0</v>
      </c>
      <c r="CP42" s="845">
        <f>IF('1 P-T +'!C$20="V3",IF('1 P-T +'!$B$32='1 P-T +'!C$18,1,0))*'1 P-T +'!C$24</f>
        <v>0</v>
      </c>
      <c r="CQ42" s="845">
        <f>IF('1 P-T +'!D$20="V3",IF('1 P-T +'!$B$32='1 P-T +'!D$18,1,0))*'1 P-T +'!D$24</f>
        <v>0</v>
      </c>
      <c r="CR42" s="845">
        <f>IF('1 P-T +'!E$20="V3",IF('1 P-T +'!$B$32='1 P-T +'!E$18,1,0))*'1 P-T +'!E$24</f>
        <v>0</v>
      </c>
      <c r="CS42" s="845">
        <f>IF('1 P-T +'!F$20="V3",IF('1 P-T +'!$B$32='1 P-T +'!F$18,1,0))*'1 P-T +'!F$24</f>
        <v>0</v>
      </c>
      <c r="CT42" s="845">
        <f>IF('1 P-T +'!G$20="V3",IF('1 P-T +'!$B$32='1 P-T +'!G$18,1,0))*'1 P-T +'!G$24</f>
        <v>0</v>
      </c>
      <c r="CU42" s="845">
        <f>IF('1 P-T +'!H$20="V3",IF('1 P-T +'!$B$32='1 P-T +'!H$18,1,0))*'1 P-T +'!H$24</f>
        <v>0</v>
      </c>
      <c r="CV42" s="845">
        <f>IF('1 P-T +'!I$20="V3",IF('1 P-T +'!$B$32='1 P-T +'!I$18,1,0))*'1 P-T +'!I$24</f>
        <v>0</v>
      </c>
      <c r="CW42" s="845">
        <f>IF('1 P-T +'!J$20="V3",IF('1 P-T +'!$B$32='1 P-T +'!J$18,1,0))*'1 P-T +'!J$24</f>
        <v>0</v>
      </c>
      <c r="CX42" s="845">
        <f>IF('1 P-T +'!K$20="V3",IF('1 P-T +'!$B$32='1 P-T +'!K$18,1,0))*'1 P-T +'!K$24</f>
        <v>0</v>
      </c>
      <c r="CY42" s="845">
        <f>IF('1 P-T +'!L$20="V3",IF('1 P-T +'!$B$32='1 P-T +'!L$18,1,0))*'1 P-T +'!L$24</f>
        <v>0</v>
      </c>
      <c r="CZ42" s="845">
        <f>IF('1 P-T +'!M$20="V3",IF('1 P-T +'!$B$32='1 P-T +'!M$18,1,0))*'1 P-T +'!M$24</f>
        <v>0</v>
      </c>
      <c r="DA42" s="845">
        <f>IF('1 P-T +'!N$20="V3",IF('1 P-T +'!$B$32='1 P-T +'!N$18,1,0))*'1 P-T +'!N$24</f>
        <v>0</v>
      </c>
      <c r="DB42" s="844">
        <f>SUM(CP42:DA42)*2</f>
        <v>0</v>
      </c>
    </row>
    <row r="43" spans="1:194" ht="26.25" x14ac:dyDescent="0.4">
      <c r="A43" s="1467" t="s">
        <v>1167</v>
      </c>
      <c r="B43" s="1467"/>
      <c r="C43" s="846">
        <f>IF('1 P-T +'!C20="M6",'1 P-T +'!C24*2,0)</f>
        <v>0</v>
      </c>
      <c r="D43" s="847">
        <f>IF('1 P-T +'!D20="M6",'1 P-T +'!D24*2,0)</f>
        <v>0</v>
      </c>
      <c r="E43" s="847">
        <f>IF('1 P-T +'!E20="M6",'1 P-T +'!E24*2,0)</f>
        <v>0</v>
      </c>
      <c r="F43" s="847">
        <f>IF('1 P-T +'!F20="M6",'1 P-T +'!F24*2,0)</f>
        <v>0</v>
      </c>
      <c r="G43" s="847">
        <f>IF('1 P-T +'!G20="M6",'1 P-T +'!G24*2,0)</f>
        <v>0</v>
      </c>
      <c r="H43" s="847">
        <f>IF('1 P-T +'!H20="M6",'1 P-T +'!H24*2,0)</f>
        <v>0</v>
      </c>
      <c r="I43" s="847">
        <f>IF('1 P-T +'!I20="M6",'1 P-T +'!I24*2,0)</f>
        <v>0</v>
      </c>
      <c r="J43" s="847">
        <f>IF('1 P-T +'!J20="M6",'1 P-T +'!J24*2,0)</f>
        <v>0</v>
      </c>
      <c r="K43" s="847">
        <f>IF('1 P-T +'!K20="M6",'1 P-T +'!K24*2,0)</f>
        <v>0</v>
      </c>
      <c r="L43" s="847">
        <f>IF('1 P-T +'!L20="M6",'1 P-T +'!L24*2,0)</f>
        <v>0</v>
      </c>
      <c r="M43" s="847">
        <f>IF('1 P-T +'!M20="M6",'1 P-T +'!M24*2,0)</f>
        <v>0</v>
      </c>
      <c r="N43" s="1083">
        <f>IF('1 P-T +'!N20="M6",'1 P-T +'!N24*2,0)</f>
        <v>0</v>
      </c>
      <c r="O43" s="838"/>
      <c r="P43" s="777">
        <f>SUM(P40:P42)</f>
        <v>0</v>
      </c>
      <c r="Q43" s="777">
        <f t="shared" ref="Q43:AA43" si="12">SUM(Q40:Q42)</f>
        <v>0</v>
      </c>
      <c r="R43" s="777">
        <f t="shared" si="12"/>
        <v>0</v>
      </c>
      <c r="S43" s="777">
        <f t="shared" si="12"/>
        <v>0</v>
      </c>
      <c r="T43" s="777">
        <f t="shared" si="12"/>
        <v>0</v>
      </c>
      <c r="U43" s="777">
        <f t="shared" si="12"/>
        <v>0</v>
      </c>
      <c r="V43" s="777">
        <f t="shared" si="12"/>
        <v>0</v>
      </c>
      <c r="W43" s="777">
        <f t="shared" si="12"/>
        <v>0</v>
      </c>
      <c r="X43" s="777">
        <f t="shared" si="12"/>
        <v>0</v>
      </c>
      <c r="Y43" s="777">
        <f t="shared" si="12"/>
        <v>0</v>
      </c>
      <c r="Z43" s="777">
        <f t="shared" si="12"/>
        <v>0</v>
      </c>
      <c r="AA43" s="777">
        <f t="shared" si="12"/>
        <v>0</v>
      </c>
      <c r="AB43" s="838"/>
      <c r="AC43" s="855">
        <f>IF('1 P-T +'!C20="V3",1,0)*'1 P-T +'!C24</f>
        <v>0</v>
      </c>
      <c r="AD43" s="855">
        <f>IF('1 P-T +'!D20="V3",1,0)*'1 P-T +'!D24</f>
        <v>0</v>
      </c>
      <c r="AE43" s="855">
        <f>IF('1 P-T +'!E20="V3",1,0)*'1 P-T +'!E24</f>
        <v>0</v>
      </c>
      <c r="AF43" s="855">
        <f>IF('1 P-T +'!F20="V3",1,0)*'1 P-T +'!F24</f>
        <v>0</v>
      </c>
      <c r="AG43" s="855">
        <f>IF('1 P-T +'!G20="V3",1,0)*'1 P-T +'!G24</f>
        <v>0</v>
      </c>
      <c r="AH43" s="855">
        <f>IF('1 P-T +'!H20="V3",1,0)*'1 P-T +'!H24</f>
        <v>0</v>
      </c>
      <c r="AI43" s="855">
        <f>IF('1 P-T +'!I20="V3",1,0)*'1 P-T +'!I24</f>
        <v>0</v>
      </c>
      <c r="AJ43" s="855">
        <f>IF('1 P-T +'!J20="V3",1,0)*'1 P-T +'!J24</f>
        <v>0</v>
      </c>
      <c r="AK43" s="855">
        <f>IF('1 P-T +'!K20="V3",1,0)*'1 P-T +'!K24</f>
        <v>0</v>
      </c>
      <c r="AL43" s="855">
        <f>IF('1 P-T +'!L20="V3",1,0)*'1 P-T +'!L24</f>
        <v>0</v>
      </c>
      <c r="AM43" s="855">
        <f>IF('1 P-T +'!M20="V3",1,0)*'1 P-T +'!M24</f>
        <v>0</v>
      </c>
      <c r="AN43" s="855">
        <f>IF('1 P-T +'!N20="V3",1,0)*'1 P-T +'!N24</f>
        <v>0</v>
      </c>
      <c r="AO43" s="844">
        <f>SUM(AC43:AN43)</f>
        <v>0</v>
      </c>
      <c r="AP43" s="845">
        <f>IF('1 P-T +'!C$22&gt;250,IF('1 P-T +'!C$23&gt;70,IF('1 P-T +'!C$23&lt;84.1,IF(OR('1 P-T +'!C$16="V",'1 P-T +'!C$16="VT",'1 P-T +'!C$16="VTT",'1 P-T +'!C$16="VSB",'1 P-T +'!C$16="VE",'1 P-T +'!C$16="VET",'1 P-T +'!C$16="VESQ",),1,0))))*'1 P-T +'!C$24</f>
        <v>0</v>
      </c>
      <c r="AQ43" s="845">
        <f>IF('1 P-T +'!D$22&gt;250,IF('1 P-T +'!D$23&gt;70,IF('1 P-T +'!D$23&lt;84.1,IF(OR('1 P-T +'!D$16="V",'1 P-T +'!D$16="VT",'1 P-T +'!D$16="VTT",'1 P-T +'!D$16="VSB",'1 P-T +'!D$16="VE",'1 P-T +'!D$16="VET",'1 P-T +'!D$16="VESQ",),1,0))))*'1 P-T +'!D$24</f>
        <v>0</v>
      </c>
      <c r="AR43" s="845">
        <f>IF('1 P-T +'!E$22&gt;250,IF('1 P-T +'!E$23&gt;70,IF('1 P-T +'!E$23&lt;84.1,IF(OR('1 P-T +'!E$16="V",'1 P-T +'!E$16="VT",'1 P-T +'!E$16="VTT",'1 P-T +'!E$16="VSB",'1 P-T +'!E$16="VE",'1 P-T +'!E$16="VET",'1 P-T +'!E$16="VESQ",),1,0))))*'1 P-T +'!E$24</f>
        <v>0</v>
      </c>
      <c r="AS43" s="845">
        <f>IF('1 P-T +'!F$22&gt;250,IF('1 P-T +'!F$23&gt;70,IF('1 P-T +'!F$23&lt;84.1,IF(OR('1 P-T +'!F$16="V",'1 P-T +'!F$16="VT",'1 P-T +'!F$16="VTT",'1 P-T +'!F$16="VSB",'1 P-T +'!F$16="VE",'1 P-T +'!F$16="VET",'1 P-T +'!F$16="VESQ",),1,0))))*'1 P-T +'!F$24</f>
        <v>0</v>
      </c>
      <c r="AT43" s="845">
        <f>IF('1 P-T +'!G$22&gt;250,IF('1 P-T +'!G$23&gt;70,IF('1 P-T +'!G$23&lt;84.1,IF(OR('1 P-T +'!G$16="V",'1 P-T +'!G$16="VT",'1 P-T +'!G$16="VTT",'1 P-T +'!G$16="VSB",'1 P-T +'!G$16="VE",'1 P-T +'!G$16="VET",'1 P-T +'!G$16="VESQ",),1,0))))*'1 P-T +'!G$24</f>
        <v>0</v>
      </c>
      <c r="AU43" s="845">
        <f>IF('1 P-T +'!H$22&gt;250,IF('1 P-T +'!H$23&gt;70,IF('1 P-T +'!H$23&lt;84.1,IF(OR('1 P-T +'!H$16="V",'1 P-T +'!H$16="VT",'1 P-T +'!H$16="VTT",'1 P-T +'!H$16="VSB",'1 P-T +'!H$16="VE",'1 P-T +'!H$16="VET",'1 P-T +'!H$16="VESQ",),1,0))))*'1 P-T +'!H$24</f>
        <v>0</v>
      </c>
      <c r="AV43" s="845">
        <f>IF('1 P-T +'!I$22&gt;250,IF('1 P-T +'!I$23&gt;70,IF('1 P-T +'!I$23&lt;84.1,IF(OR('1 P-T +'!I$16="V",'1 P-T +'!I$16="VT",'1 P-T +'!I$16="VTT",'1 P-T +'!I$16="VSB",'1 P-T +'!I$16="VE",'1 P-T +'!I$16="VET",'1 P-T +'!I$16="VESQ",),1,0))))*'1 P-T +'!I$24</f>
        <v>0</v>
      </c>
      <c r="AW43" s="845">
        <f>IF('1 P-T +'!J$22&gt;250,IF('1 P-T +'!J$23&gt;70,IF('1 P-T +'!J$23&lt;84.1,IF(OR('1 P-T +'!J$16="V",'1 P-T +'!J$16="VT",'1 P-T +'!J$16="VTT",'1 P-T +'!J$16="VSB",'1 P-T +'!J$16="VE",'1 P-T +'!J$16="VET",'1 P-T +'!J$16="VESQ",),1,0))))*'1 P-T +'!J$24</f>
        <v>0</v>
      </c>
      <c r="AX43" s="845">
        <f>IF('1 P-T +'!K$22&gt;250,IF('1 P-T +'!K$23&gt;70,IF('1 P-T +'!K$23&lt;84.1,IF(OR('1 P-T +'!K$16="V",'1 P-T +'!K$16="VT",'1 P-T +'!K$16="VTT",'1 P-T +'!K$16="VSB",'1 P-T +'!K$16="VE",'1 P-T +'!K$16="VET",'1 P-T +'!K$16="VESQ",),1,0))))*'1 P-T +'!K$24</f>
        <v>0</v>
      </c>
      <c r="AY43" s="845">
        <f>IF('1 P-T +'!L$22&gt;250,IF('1 P-T +'!L$23&gt;70,IF('1 P-T +'!L$23&lt;84.1,IF(OR('1 P-T +'!L$16="V",'1 P-T +'!L$16="VT",'1 P-T +'!L$16="VTT",'1 P-T +'!L$16="VSB",'1 P-T +'!L$16="VE",'1 P-T +'!L$16="VET",'1 P-T +'!L$16="VESQ",),1,0))))*'1 P-T +'!L$24</f>
        <v>0</v>
      </c>
      <c r="AZ43" s="845">
        <f>IF('1 P-T +'!M$22&gt;250,IF('1 P-T +'!M$23&gt;70,IF('1 P-T +'!M$23&lt;84.1,IF(OR('1 P-T +'!M$16="V",'1 P-T +'!M$16="VT",'1 P-T +'!M$16="VTT",'1 P-T +'!M$16="VSB",'1 P-T +'!M$16="VE",'1 P-T +'!M$16="VET",'1 P-T +'!M$16="VESQ",),1,0))))*'1 P-T +'!M$24</f>
        <v>0</v>
      </c>
      <c r="BA43" s="845">
        <f>IF('1 P-T +'!N$22&gt;250,IF('1 P-T +'!N$23&gt;70,IF('1 P-T +'!N$23&lt;84.1,IF(OR('1 P-T +'!N$16="V",'1 P-T +'!N$16="VT",'1 P-T +'!N$16="VTT",'1 P-T +'!N$16="VSB",'1 P-T +'!N$16="VE",'1 P-T +'!N$16="VET",'1 P-T +'!N$16="VESQ",),1,0))))*'1 P-T +'!N$24</f>
        <v>0</v>
      </c>
      <c r="BB43" s="844">
        <f t="shared" si="11"/>
        <v>0</v>
      </c>
      <c r="BC43" s="855"/>
      <c r="BD43" s="855"/>
      <c r="BE43" s="855"/>
      <c r="BF43" s="855"/>
      <c r="BG43" s="855"/>
      <c r="BH43" s="855"/>
      <c r="BI43" s="855"/>
      <c r="BJ43" s="855"/>
      <c r="BK43" s="855"/>
      <c r="BL43" s="855"/>
      <c r="BM43" s="855"/>
      <c r="BN43" s="855"/>
      <c r="BO43" s="855"/>
      <c r="BP43" s="855"/>
      <c r="BQ43" s="855"/>
      <c r="BR43" s="855"/>
      <c r="BS43" s="855"/>
      <c r="BT43" s="855"/>
      <c r="BU43" s="855"/>
      <c r="BV43" s="855"/>
      <c r="BW43" s="855"/>
      <c r="BX43" s="855"/>
      <c r="BY43" s="855"/>
      <c r="BZ43" s="855"/>
      <c r="CA43" s="855"/>
      <c r="CB43" s="855"/>
      <c r="CC43" s="855"/>
      <c r="CD43" s="855"/>
      <c r="CE43" s="855"/>
      <c r="CF43" s="855"/>
      <c r="CG43" s="855"/>
      <c r="CH43" s="855"/>
      <c r="CI43" s="855"/>
      <c r="CJ43" s="855"/>
      <c r="CK43" s="855"/>
      <c r="CL43" s="855"/>
      <c r="CM43" s="855"/>
      <c r="CN43" s="855"/>
      <c r="CO43" s="855"/>
      <c r="CP43" s="855"/>
      <c r="CQ43" s="855"/>
      <c r="CR43" s="855"/>
      <c r="CS43" s="855"/>
      <c r="CT43" s="855"/>
      <c r="CU43" s="855"/>
      <c r="CV43" s="855"/>
      <c r="CW43" s="855"/>
      <c r="CX43" s="855"/>
      <c r="CY43" s="855"/>
      <c r="CZ43" s="855"/>
      <c r="DA43" s="855"/>
      <c r="DB43" s="855"/>
    </row>
    <row r="44" spans="1:194" ht="26.25" x14ac:dyDescent="0.4">
      <c r="A44" s="1467" t="s">
        <v>1182</v>
      </c>
      <c r="B44" s="1467"/>
      <c r="C44" s="693" t="b">
        <f>IF('1 P-T +'!C$20="P1",'1 P-T +'!C$24)</f>
        <v>0</v>
      </c>
      <c r="D44" s="694" t="b">
        <f>IF('1 P-T +'!D$20="P1",'1 P-T +'!D$24)</f>
        <v>0</v>
      </c>
      <c r="E44" s="694" t="b">
        <f>IF('1 P-T +'!E$20="P1",'1 P-T +'!E$24)</f>
        <v>0</v>
      </c>
      <c r="F44" s="694" t="b">
        <f>IF('1 P-T +'!F$20="P1",'1 P-T +'!F$24)</f>
        <v>0</v>
      </c>
      <c r="G44" s="694" t="b">
        <f>IF('1 P-T +'!G$20="P1",'1 P-T +'!G$24)</f>
        <v>0</v>
      </c>
      <c r="H44" s="694" t="b">
        <f>IF('1 P-T +'!H$20="P1",'1 P-T +'!H$24)</f>
        <v>0</v>
      </c>
      <c r="I44" s="694" t="b">
        <f>IF('1 P-T +'!I$20="P1",'1 P-T +'!I$24)</f>
        <v>0</v>
      </c>
      <c r="J44" s="694" t="b">
        <f>IF('1 P-T +'!J$20="P1",'1 P-T +'!J$24)</f>
        <v>0</v>
      </c>
      <c r="K44" s="694" t="b">
        <f>IF('1 P-T +'!K$20="P1",'1 P-T +'!K$24)</f>
        <v>0</v>
      </c>
      <c r="L44" s="694" t="b">
        <f>IF('1 P-T +'!L$20="P1",'1 P-T +'!L$24)</f>
        <v>0</v>
      </c>
      <c r="M44" s="694" t="b">
        <f>IF('1 P-T +'!M$20="P1",'1 P-T +'!M$24)</f>
        <v>0</v>
      </c>
      <c r="N44" s="695" t="b">
        <f>IF('1 P-T +'!N$20="P1",'1 P-T +'!N$24)</f>
        <v>0</v>
      </c>
      <c r="O44" s="838"/>
      <c r="P44" s="855"/>
      <c r="Q44" s="838"/>
      <c r="R44" s="855"/>
      <c r="S44" s="838"/>
      <c r="T44" s="855"/>
      <c r="U44" s="838"/>
      <c r="V44" s="855"/>
      <c r="W44" s="838"/>
      <c r="X44" s="855"/>
      <c r="Y44" s="838"/>
      <c r="Z44" s="855"/>
      <c r="AA44" s="855"/>
      <c r="AB44" s="838"/>
      <c r="AD44" s="838"/>
      <c r="AE44" s="855"/>
      <c r="AF44" s="838"/>
      <c r="AG44" s="855"/>
      <c r="AH44" s="838"/>
      <c r="AI44" s="855"/>
      <c r="AJ44" s="838"/>
      <c r="AK44" s="855"/>
      <c r="AL44" s="838"/>
      <c r="AM44" s="855"/>
      <c r="AN44" s="838"/>
      <c r="AO44" s="855"/>
      <c r="AP44" s="845">
        <f>IF('1 P-T +'!C$22&gt;250,IF('1 P-T +'!C$23&gt;84,IF('1 P-T +'!C$23&lt;112.1,IF(OR('1 P-T +'!C$16="V",'1 P-T +'!C$16="VT",'1 P-T +'!C$16="VTT",'1 P-T +'!C$16="VSB",'1 P-T +'!C$16="VE",'1 P-T +'!C$16="VET",'1 P-T +'!C$16="VESQ",),1,0))))*'1 P-T +'!C$24</f>
        <v>0</v>
      </c>
      <c r="AQ44" s="845">
        <f>IF('1 P-T +'!D$22&gt;250,IF('1 P-T +'!D$23&gt;84,IF('1 P-T +'!D$23&lt;112.1,IF(OR('1 P-T +'!D$16="V",'1 P-T +'!D$16="VT",'1 P-T +'!D$16="VTT",'1 P-T +'!D$16="VSB",'1 P-T +'!D$16="VE",'1 P-T +'!D$16="VET",'1 P-T +'!D$16="VESQ",),1,0))))*'1 P-T +'!D$24</f>
        <v>0</v>
      </c>
      <c r="AR44" s="845">
        <f>IF('1 P-T +'!E$22&gt;250,IF('1 P-T +'!E$23&gt;84,IF('1 P-T +'!E$23&lt;112.1,IF(OR('1 P-T +'!E$16="V",'1 P-T +'!E$16="VT",'1 P-T +'!E$16="VTT",'1 P-T +'!E$16="VSB",'1 P-T +'!E$16="VE",'1 P-T +'!E$16="VET",'1 P-T +'!E$16="VESQ",),1,0))))*'1 P-T +'!E$24</f>
        <v>0</v>
      </c>
      <c r="AS44" s="845">
        <f>IF('1 P-T +'!F$22&gt;250,IF('1 P-T +'!F$23&gt;84,IF('1 P-T +'!F$23&lt;112.1,IF(OR('1 P-T +'!F$16="V",'1 P-T +'!F$16="VT",'1 P-T +'!F$16="VTT",'1 P-T +'!F$16="VSB",'1 P-T +'!F$16="VE",'1 P-T +'!F$16="VET",'1 P-T +'!F$16="VESQ",),1,0))))*'1 P-T +'!F$24</f>
        <v>0</v>
      </c>
      <c r="AT44" s="845">
        <f>IF('1 P-T +'!G$22&gt;250,IF('1 P-T +'!G$23&gt;84,IF('1 P-T +'!G$23&lt;112.1,IF(OR('1 P-T +'!G$16="V",'1 P-T +'!G$16="VT",'1 P-T +'!G$16="VTT",'1 P-T +'!G$16="VSB",'1 P-T +'!G$16="VE",'1 P-T +'!G$16="VET",'1 P-T +'!G$16="VESQ",),1,0))))*'1 P-T +'!G$24</f>
        <v>0</v>
      </c>
      <c r="AU44" s="845">
        <f>IF('1 P-T +'!H$22&gt;250,IF('1 P-T +'!H$23&gt;84,IF('1 P-T +'!H$23&lt;112.1,IF(OR('1 P-T +'!H$16="V",'1 P-T +'!H$16="VT",'1 P-T +'!H$16="VTT",'1 P-T +'!H$16="VSB",'1 P-T +'!H$16="VE",'1 P-T +'!H$16="VET",'1 P-T +'!H$16="VESQ",),1,0))))*'1 P-T +'!H$24</f>
        <v>0</v>
      </c>
      <c r="AV44" s="845">
        <f>IF('1 P-T +'!I$22&gt;250,IF('1 P-T +'!I$23&gt;84,IF('1 P-T +'!I$23&lt;112.1,IF(OR('1 P-T +'!I$16="V",'1 P-T +'!I$16="VT",'1 P-T +'!I$16="VTT",'1 P-T +'!I$16="VSB",'1 P-T +'!I$16="VE",'1 P-T +'!I$16="VET",'1 P-T +'!I$16="VESQ",),1,0))))*'1 P-T +'!I$24</f>
        <v>0</v>
      </c>
      <c r="AW44" s="845">
        <f>IF('1 P-T +'!J$22&gt;250,IF('1 P-T +'!J$23&gt;84,IF('1 P-T +'!J$23&lt;112.1,IF(OR('1 P-T +'!J$16="V",'1 P-T +'!J$16="VT",'1 P-T +'!J$16="VTT",'1 P-T +'!J$16="VSB",'1 P-T +'!J$16="VE",'1 P-T +'!J$16="VET",'1 P-T +'!J$16="VESQ",),1,0))))*'1 P-T +'!J$24</f>
        <v>0</v>
      </c>
      <c r="AX44" s="845">
        <f>IF('1 P-T +'!K$22&gt;250,IF('1 P-T +'!K$23&gt;84,IF('1 P-T +'!K$23&lt;112.1,IF(OR('1 P-T +'!K$16="V",'1 P-T +'!K$16="VT",'1 P-T +'!K$16="VTT",'1 P-T +'!K$16="VSB",'1 P-T +'!K$16="VE",'1 P-T +'!K$16="VET",'1 P-T +'!K$16="VESQ",),1,0))))*'1 P-T +'!K$24</f>
        <v>0</v>
      </c>
      <c r="AY44" s="845">
        <f>IF('1 P-T +'!L$22&gt;250,IF('1 P-T +'!L$23&gt;84,IF('1 P-T +'!L$23&lt;112.1,IF(OR('1 P-T +'!L$16="V",'1 P-T +'!L$16="VT",'1 P-T +'!L$16="VTT",'1 P-T +'!L$16="VSB",'1 P-T +'!L$16="VE",'1 P-T +'!L$16="VET",'1 P-T +'!L$16="VESQ",),1,0))))*'1 P-T +'!L$24</f>
        <v>0</v>
      </c>
      <c r="AZ44" s="845">
        <f>IF('1 P-T +'!M$22&gt;250,IF('1 P-T +'!M$23&gt;84,IF('1 P-T +'!M$23&lt;112.1,IF(OR('1 P-T +'!M$16="V",'1 P-T +'!M$16="VT",'1 P-T +'!M$16="VTT",'1 P-T +'!M$16="VSB",'1 P-T +'!M$16="VE",'1 P-T +'!M$16="VET",'1 P-T +'!M$16="VESQ",),1,0))))*'1 P-T +'!M$24</f>
        <v>0</v>
      </c>
      <c r="BA44" s="845">
        <f>IF('1 P-T +'!N$22&gt;250,IF('1 P-T +'!N$23&gt;84,IF('1 P-T +'!N$23&lt;112.1,IF(OR('1 P-T +'!N$16="V",'1 P-T +'!N$16="VT",'1 P-T +'!N$16="VTT",'1 P-T +'!N$16="VSB",'1 P-T +'!N$16="VE",'1 P-T +'!N$16="VET",'1 P-T +'!N$16="VESQ",),1,0))))*'1 P-T +'!N$24</f>
        <v>0</v>
      </c>
      <c r="BB44" s="844">
        <f t="shared" si="11"/>
        <v>0</v>
      </c>
      <c r="BC44" s="855"/>
      <c r="BD44" s="855"/>
      <c r="BE44" s="855"/>
      <c r="BF44" s="855"/>
      <c r="BG44" s="855"/>
      <c r="BH44" s="855"/>
      <c r="BI44" s="855"/>
      <c r="BJ44" s="855"/>
      <c r="BK44" s="855"/>
      <c r="BL44" s="855"/>
      <c r="BM44" s="855"/>
      <c r="BN44" s="855"/>
      <c r="BO44" s="855"/>
      <c r="BP44" s="855"/>
      <c r="BQ44" s="855"/>
      <c r="BR44" s="855"/>
      <c r="BS44" s="855"/>
      <c r="BT44" s="855"/>
      <c r="BU44" s="855"/>
      <c r="BV44" s="855"/>
      <c r="BW44" s="855"/>
      <c r="BX44" s="855"/>
      <c r="BY44" s="855"/>
      <c r="BZ44" s="855"/>
      <c r="CA44" s="855"/>
      <c r="CB44" s="855"/>
      <c r="CC44" s="855"/>
      <c r="CD44" s="855"/>
      <c r="CE44" s="855"/>
      <c r="CF44" s="855"/>
      <c r="CG44" s="855"/>
      <c r="CH44" s="855"/>
      <c r="CI44" s="855"/>
      <c r="CJ44" s="855"/>
      <c r="CK44" s="855"/>
      <c r="CL44" s="855"/>
      <c r="CM44" s="855"/>
      <c r="CN44" s="855"/>
      <c r="CO44" s="855"/>
      <c r="CP44" s="855"/>
      <c r="CQ44" s="855"/>
      <c r="CR44" s="855"/>
      <c r="CS44" s="855"/>
      <c r="CT44" s="855"/>
      <c r="CU44" s="855"/>
      <c r="CV44" s="855"/>
      <c r="CW44" s="855"/>
      <c r="CX44" s="855"/>
      <c r="CY44" s="855"/>
      <c r="CZ44" s="855"/>
      <c r="DA44" s="855"/>
      <c r="DB44" s="855"/>
    </row>
    <row r="45" spans="1:194" x14ac:dyDescent="0.35">
      <c r="A45" s="853"/>
      <c r="C45" s="838"/>
      <c r="D45" s="838"/>
      <c r="E45" s="838"/>
      <c r="F45" s="838"/>
      <c r="G45" s="838"/>
      <c r="H45" s="838"/>
      <c r="I45" s="838"/>
      <c r="J45" s="838"/>
      <c r="K45" s="838"/>
      <c r="L45" s="838"/>
      <c r="M45" s="838"/>
      <c r="N45" s="838"/>
      <c r="O45" s="838"/>
      <c r="P45" s="855"/>
      <c r="Q45" s="838"/>
      <c r="R45" s="855"/>
      <c r="S45" s="838"/>
      <c r="T45" s="855"/>
      <c r="U45" s="838"/>
      <c r="V45" s="855"/>
      <c r="W45" s="838"/>
      <c r="X45" s="855"/>
      <c r="Y45" s="838"/>
      <c r="Z45" s="855"/>
      <c r="AA45" s="838"/>
      <c r="AB45" s="838"/>
      <c r="AD45" s="838"/>
      <c r="AE45" s="855"/>
      <c r="AF45" s="838"/>
      <c r="AG45" s="855"/>
      <c r="AH45" s="838"/>
      <c r="AI45" s="855"/>
      <c r="AJ45" s="838"/>
      <c r="AK45" s="855"/>
      <c r="AL45" s="838"/>
      <c r="AM45" s="855"/>
      <c r="AN45" s="838"/>
      <c r="AO45" s="855"/>
      <c r="AP45" s="845">
        <f>IF('1 P-T +'!C$22&gt;250,IF('1 P-T +'!C$23&gt;112,IF('1 P-T +'!C$23&lt;150.1,IF(OR('1 P-T +'!C$16="V",'1 P-T +'!C$16="VT",'1 P-T +'!C$16="VTT",'1 P-T +'!C$16="VSB",'1 P-T +'!C$16="VE",'1 P-T +'!C$16="VET",'1 P-T +'!C$16="VESQ",),1,0))))*'1 P-T +'!C$24</f>
        <v>0</v>
      </c>
      <c r="AQ45" s="845">
        <f>IF('1 P-T +'!D$22&gt;250,IF('1 P-T +'!D$23&gt;112,IF('1 P-T +'!D$23&lt;150.1,IF(OR('1 P-T +'!D$16="V",'1 P-T +'!D$16="VT",'1 P-T +'!D$16="VTT",'1 P-T +'!D$16="VSB",'1 P-T +'!D$16="VE",'1 P-T +'!D$16="VET",'1 P-T +'!D$16="VESQ",),1,0))))*'1 P-T +'!D$24</f>
        <v>0</v>
      </c>
      <c r="AR45" s="845">
        <f>IF('1 P-T +'!E$22&gt;250,IF('1 P-T +'!E$23&gt;112,IF('1 P-T +'!E$23&lt;150.1,IF(OR('1 P-T +'!E$16="V",'1 P-T +'!E$16="VT",'1 P-T +'!E$16="VTT",'1 P-T +'!E$16="VSB",'1 P-T +'!E$16="VE",'1 P-T +'!E$16="VET",'1 P-T +'!E$16="VESQ",),1,0))))*'1 P-T +'!E$24</f>
        <v>0</v>
      </c>
      <c r="AS45" s="845">
        <f>IF('1 P-T +'!F$22&gt;250,IF('1 P-T +'!F$23&gt;112,IF('1 P-T +'!F$23&lt;150.1,IF(OR('1 P-T +'!F$16="V",'1 P-T +'!F$16="VT",'1 P-T +'!F$16="VTT",'1 P-T +'!F$16="VSB",'1 P-T +'!F$16="VE",'1 P-T +'!F$16="VET",'1 P-T +'!F$16="VESQ",),1,0))))*'1 P-T +'!F$24</f>
        <v>0</v>
      </c>
      <c r="AT45" s="845">
        <f>IF('1 P-T +'!G$22&gt;250,IF('1 P-T +'!G$23&gt;112,IF('1 P-T +'!G$23&lt;150.1,IF(OR('1 P-T +'!G$16="V",'1 P-T +'!G$16="VT",'1 P-T +'!G$16="VTT",'1 P-T +'!G$16="VSB",'1 P-T +'!G$16="VE",'1 P-T +'!G$16="VET",'1 P-T +'!G$16="VESQ",),1,0))))*'1 P-T +'!G$24</f>
        <v>0</v>
      </c>
      <c r="AU45" s="845">
        <f>IF('1 P-T +'!H$22&gt;250,IF('1 P-T +'!H$23&gt;112,IF('1 P-T +'!H$23&lt;150.1,IF(OR('1 P-T +'!H$16="V",'1 P-T +'!H$16="VT",'1 P-T +'!H$16="VTT",'1 P-T +'!H$16="VSB",'1 P-T +'!H$16="VE",'1 P-T +'!H$16="VET",'1 P-T +'!H$16="VESQ",),1,0))))*'1 P-T +'!H$24</f>
        <v>0</v>
      </c>
      <c r="AV45" s="845">
        <f>IF('1 P-T +'!I$22&gt;250,IF('1 P-T +'!I$23&gt;112,IF('1 P-T +'!I$23&lt;150.1,IF(OR('1 P-T +'!I$16="V",'1 P-T +'!I$16="VT",'1 P-T +'!I$16="VTT",'1 P-T +'!I$16="VSB",'1 P-T +'!I$16="VE",'1 P-T +'!I$16="VET",'1 P-T +'!I$16="VESQ",),1,0))))*'1 P-T +'!I$24</f>
        <v>0</v>
      </c>
      <c r="AW45" s="845">
        <f>IF('1 P-T +'!J$22&gt;250,IF('1 P-T +'!J$23&gt;112,IF('1 P-T +'!J$23&lt;150.1,IF(OR('1 P-T +'!J$16="V",'1 P-T +'!J$16="VT",'1 P-T +'!J$16="VTT",'1 P-T +'!J$16="VSB",'1 P-T +'!J$16="VE",'1 P-T +'!J$16="VET",'1 P-T +'!J$16="VESQ",),1,0))))*'1 P-T +'!J$24</f>
        <v>0</v>
      </c>
      <c r="AX45" s="845">
        <f>IF('1 P-T +'!K$22&gt;250,IF('1 P-T +'!K$23&gt;112,IF('1 P-T +'!K$23&lt;150.1,IF(OR('1 P-T +'!K$16="V",'1 P-T +'!K$16="VT",'1 P-T +'!K$16="VTT",'1 P-T +'!K$16="VSB",'1 P-T +'!K$16="VE",'1 P-T +'!K$16="VET",'1 P-T +'!K$16="VESQ",),1,0))))*'1 P-T +'!K$24</f>
        <v>0</v>
      </c>
      <c r="AY45" s="845">
        <f>IF('1 P-T +'!L$22&gt;250,IF('1 P-T +'!L$23&gt;112,IF('1 P-T +'!L$23&lt;150.1,IF(OR('1 P-T +'!L$16="V",'1 P-T +'!L$16="VT",'1 P-T +'!L$16="VTT",'1 P-T +'!L$16="VSB",'1 P-T +'!L$16="VE",'1 P-T +'!L$16="VET",'1 P-T +'!L$16="VESQ",),1,0))))*'1 P-T +'!L$24</f>
        <v>0</v>
      </c>
      <c r="AZ45" s="845">
        <f>IF('1 P-T +'!M$22&gt;250,IF('1 P-T +'!M$23&gt;112,IF('1 P-T +'!M$23&lt;150.1,IF(OR('1 P-T +'!M$16="V",'1 P-T +'!M$16="VT",'1 P-T +'!M$16="VTT",'1 P-T +'!M$16="VSB",'1 P-T +'!M$16="VE",'1 P-T +'!M$16="VET",'1 P-T +'!M$16="VESQ",),1,0))))*'1 P-T +'!M$24</f>
        <v>0</v>
      </c>
      <c r="BA45" s="845">
        <f>IF('1 P-T +'!N$22&gt;250,IF('1 P-T +'!N$23&gt;112,IF('1 P-T +'!N$23&lt;150.1,IF(OR('1 P-T +'!N$16="V",'1 P-T +'!N$16="VT",'1 P-T +'!N$16="VTT",'1 P-T +'!N$16="VSB",'1 P-T +'!N$16="VE",'1 P-T +'!N$16="VET",'1 P-T +'!N$16="VESQ",),1,0))))*'1 P-T +'!N$24</f>
        <v>0</v>
      </c>
      <c r="BB45" s="844">
        <f t="shared" si="11"/>
        <v>0</v>
      </c>
      <c r="BC45" s="855"/>
      <c r="BD45" s="855"/>
      <c r="BE45" s="855"/>
      <c r="BF45" s="855"/>
      <c r="BG45" s="855"/>
      <c r="BH45" s="855"/>
      <c r="BI45" s="855"/>
      <c r="BJ45" s="855"/>
      <c r="BK45" s="855"/>
      <c r="BL45" s="855"/>
      <c r="BM45" s="855"/>
      <c r="BN45" s="855"/>
      <c r="BO45" s="855"/>
      <c r="BP45" s="855"/>
      <c r="BQ45" s="855"/>
      <c r="BR45" s="855"/>
      <c r="BS45" s="855"/>
      <c r="BT45" s="855"/>
      <c r="BU45" s="855"/>
      <c r="BV45" s="855"/>
      <c r="BW45" s="855"/>
      <c r="BX45" s="855"/>
      <c r="BY45" s="855"/>
      <c r="BZ45" s="855"/>
      <c r="CA45" s="855"/>
      <c r="CB45" s="855"/>
      <c r="CC45" s="855"/>
      <c r="CD45" s="855"/>
      <c r="CE45" s="855"/>
      <c r="CF45" s="855"/>
      <c r="CG45" s="855"/>
      <c r="CH45" s="855"/>
      <c r="CI45" s="855"/>
      <c r="CJ45" s="855"/>
      <c r="CK45" s="855"/>
      <c r="CL45" s="855"/>
      <c r="CM45" s="855"/>
      <c r="CN45" s="855"/>
      <c r="CO45" s="855"/>
      <c r="CP45" s="855"/>
      <c r="CQ45" s="855"/>
      <c r="CR45" s="855"/>
      <c r="CS45" s="855"/>
      <c r="CT45" s="855"/>
      <c r="CU45" s="855"/>
      <c r="CV45" s="855"/>
      <c r="CW45" s="855"/>
      <c r="CX45" s="855"/>
      <c r="CY45" s="855"/>
      <c r="CZ45" s="855"/>
      <c r="DA45" s="855"/>
      <c r="DB45" s="855"/>
      <c r="DC45" s="838"/>
      <c r="DD45" s="838"/>
      <c r="DE45" s="838"/>
      <c r="DF45" s="838"/>
      <c r="DG45" s="838"/>
      <c r="DH45" s="838"/>
      <c r="DK45" s="838"/>
      <c r="DL45" s="845"/>
      <c r="DM45" s="838"/>
      <c r="DN45" s="838"/>
      <c r="DO45" s="838"/>
      <c r="DP45" s="838"/>
      <c r="DQ45" s="838"/>
      <c r="DR45" s="838"/>
      <c r="DS45" s="838"/>
      <c r="DT45" s="838"/>
      <c r="DU45" s="521"/>
      <c r="DV45" s="838"/>
      <c r="DW45" s="838"/>
      <c r="DX45" s="838"/>
    </row>
    <row r="46" spans="1:194" x14ac:dyDescent="0.35">
      <c r="A46" s="852"/>
      <c r="C46" s="838"/>
      <c r="D46" s="838"/>
      <c r="E46" s="838"/>
      <c r="F46" s="838"/>
      <c r="G46" s="838"/>
      <c r="H46" s="838"/>
      <c r="I46" s="838"/>
      <c r="J46" s="838"/>
      <c r="K46" s="838"/>
      <c r="L46" s="838"/>
      <c r="M46" s="838"/>
      <c r="N46" s="838"/>
      <c r="O46" s="838"/>
      <c r="P46" s="855"/>
      <c r="Q46" s="838"/>
      <c r="R46" s="855"/>
      <c r="S46" s="838"/>
      <c r="T46" s="855"/>
      <c r="U46" s="838"/>
      <c r="V46" s="855"/>
      <c r="W46" s="838"/>
      <c r="X46" s="855"/>
      <c r="Y46" s="838"/>
      <c r="Z46" s="855"/>
      <c r="AA46" s="838"/>
      <c r="AB46" s="838"/>
      <c r="AC46" s="838"/>
      <c r="AD46" s="838"/>
      <c r="AE46" s="838"/>
      <c r="AF46" s="838"/>
      <c r="AG46" s="838"/>
      <c r="AH46" s="838"/>
      <c r="AI46" s="838"/>
      <c r="AJ46" s="838"/>
      <c r="AK46" s="838"/>
      <c r="AL46" s="838"/>
      <c r="AM46" s="838"/>
      <c r="AN46" s="838"/>
      <c r="AO46" s="855"/>
      <c r="AP46" s="678" t="s">
        <v>990</v>
      </c>
      <c r="AQ46" s="678"/>
      <c r="AR46" s="678"/>
      <c r="AS46" s="678"/>
      <c r="AT46" s="678"/>
      <c r="AU46" s="678"/>
      <c r="AV46" s="678"/>
      <c r="AW46" s="678"/>
      <c r="AX46" s="678"/>
      <c r="AY46" s="678"/>
      <c r="AZ46" s="678"/>
      <c r="BA46" s="678"/>
      <c r="BB46" s="855"/>
      <c r="BC46" s="855"/>
      <c r="BD46" s="855"/>
      <c r="BE46" s="855"/>
      <c r="BF46" s="855"/>
      <c r="BG46" s="855"/>
      <c r="BH46" s="855"/>
      <c r="BI46" s="855"/>
      <c r="BJ46" s="855"/>
      <c r="BK46" s="855"/>
      <c r="BL46" s="855"/>
      <c r="BM46" s="855"/>
      <c r="BN46" s="855"/>
      <c r="BO46" s="855"/>
      <c r="BP46" s="855"/>
      <c r="BQ46" s="855"/>
      <c r="BR46" s="855"/>
      <c r="BS46" s="855"/>
      <c r="BT46" s="855"/>
      <c r="BU46" s="855"/>
      <c r="BV46" s="855"/>
      <c r="BW46" s="855"/>
      <c r="BX46" s="855"/>
      <c r="BY46" s="855"/>
      <c r="BZ46" s="855"/>
      <c r="CA46" s="855"/>
      <c r="CB46" s="855"/>
      <c r="CC46" s="855"/>
      <c r="CD46" s="855"/>
      <c r="CE46" s="855"/>
      <c r="CF46" s="855"/>
      <c r="CG46" s="855"/>
      <c r="CH46" s="855"/>
      <c r="CI46" s="855"/>
      <c r="CJ46" s="855"/>
      <c r="CK46" s="855"/>
      <c r="CL46" s="855"/>
      <c r="CM46" s="855"/>
      <c r="CN46" s="855"/>
      <c r="CO46" s="855"/>
      <c r="CP46" s="855"/>
      <c r="CQ46" s="855"/>
      <c r="CR46" s="855"/>
      <c r="CS46" s="855"/>
      <c r="CT46" s="855"/>
      <c r="CU46" s="855"/>
      <c r="CV46" s="855"/>
      <c r="CW46" s="855"/>
      <c r="CX46" s="855"/>
      <c r="CY46" s="855"/>
      <c r="CZ46" s="855"/>
      <c r="DA46" s="855"/>
      <c r="DB46" s="855"/>
      <c r="DC46" s="838"/>
      <c r="DD46" s="838"/>
      <c r="DE46" s="838"/>
      <c r="DF46" s="838"/>
      <c r="DG46" s="838"/>
      <c r="DH46" s="838"/>
      <c r="DK46" s="838"/>
      <c r="DL46" s="838"/>
      <c r="DM46" s="838"/>
      <c r="DN46" s="838"/>
      <c r="DO46" s="838"/>
      <c r="DP46" s="838"/>
      <c r="DQ46" s="838"/>
      <c r="DR46" s="838"/>
      <c r="DS46" s="838"/>
      <c r="DT46" s="838"/>
      <c r="DU46" s="521"/>
      <c r="DV46" s="838"/>
      <c r="DW46" s="838"/>
      <c r="DX46" s="838"/>
      <c r="FH46" s="838"/>
      <c r="FI46" s="838"/>
      <c r="FJ46" s="838"/>
      <c r="FK46" s="838"/>
      <c r="FL46" s="838"/>
      <c r="FM46" s="838"/>
      <c r="FN46" s="838"/>
      <c r="FO46" s="838"/>
      <c r="FP46" s="838"/>
    </row>
    <row r="47" spans="1:194" x14ac:dyDescent="0.35">
      <c r="A47" s="853"/>
      <c r="C47" s="838"/>
      <c r="D47" s="838"/>
      <c r="E47" s="838"/>
      <c r="F47" s="838"/>
      <c r="G47" s="838"/>
      <c r="H47" s="838"/>
      <c r="I47" s="838"/>
      <c r="J47" s="838"/>
      <c r="K47" s="838"/>
      <c r="L47" s="838"/>
      <c r="M47" s="838"/>
      <c r="N47" s="838"/>
      <c r="O47" s="838"/>
      <c r="P47" s="838"/>
      <c r="Q47" s="838"/>
      <c r="R47" s="838"/>
      <c r="S47" s="838"/>
      <c r="T47" s="838"/>
      <c r="U47" s="838"/>
      <c r="V47" s="838"/>
      <c r="W47" s="838"/>
      <c r="X47" s="838"/>
      <c r="Y47" s="838"/>
      <c r="Z47" s="838"/>
      <c r="AA47" s="838"/>
      <c r="AB47" s="838"/>
      <c r="AC47" s="855"/>
      <c r="AD47" s="838"/>
      <c r="AE47" s="855"/>
      <c r="AF47" s="838"/>
      <c r="AG47" s="855"/>
      <c r="AH47" s="838"/>
      <c r="AI47" s="855"/>
      <c r="AJ47" s="838"/>
      <c r="AK47" s="855"/>
      <c r="AL47" s="838"/>
      <c r="AM47" s="855"/>
      <c r="AN47" s="838"/>
      <c r="AO47" s="855"/>
      <c r="AP47" s="845">
        <f>IF('1 P-T +'!C$22&lt;250.1,IF('1 P-T +'!C$23&gt;5.5,IF('1 P-T +'!C$23&lt;28.1,IF(OR('1 P-T +'!C$16="V",'1 P-T +'!C$16="VT",'1 P-T +'!C$16="VTT",'1 P-T +'!C$16="VSB",'1 P-T +'!C$16="VE",'1 P-T +'!C$16="VET",'1 P-T +'!C$16="VESQ",),1,0))))*'1 P-T +'!C$24</f>
        <v>0</v>
      </c>
      <c r="AQ47" s="845">
        <f>IF('1 P-T +'!D$22&lt;250.1,IF('1 P-T +'!D$23&gt;5.5,IF('1 P-T +'!D$23&lt;28.1,IF(OR('1 P-T +'!D$16="V",'1 P-T +'!D$16="VT",'1 P-T +'!D$16="VTT",'1 P-T +'!D$16="VSB",'1 P-T +'!D$16="VE",'1 P-T +'!D$16="VET",'1 P-T +'!D$16="VESQ",),1,0))))*'1 P-T +'!D$24</f>
        <v>0</v>
      </c>
      <c r="AR47" s="845">
        <f>IF('1 P-T +'!E$22&lt;250.1,IF('1 P-T +'!E$23&gt;5.5,IF('1 P-T +'!E$23&lt;28.1,IF(OR('1 P-T +'!E$16="V",'1 P-T +'!E$16="VT",'1 P-T +'!E$16="VTT",'1 P-T +'!E$16="VSB",'1 P-T +'!E$16="VE",'1 P-T +'!E$16="VET",'1 P-T +'!E$16="VESQ",),1,0))))*'1 P-T +'!E$24</f>
        <v>0</v>
      </c>
      <c r="AS47" s="845">
        <f>IF('1 P-T +'!F$22&lt;250.1,IF('1 P-T +'!F$23&gt;5.5,IF('1 P-T +'!F$23&lt;28.1,IF(OR('1 P-T +'!F$16="V",'1 P-T +'!F$16="VT",'1 P-T +'!F$16="VTT",'1 P-T +'!F$16="VSB",'1 P-T +'!F$16="VE",'1 P-T +'!F$16="VET",'1 P-T +'!F$16="VESQ",),1,0))))*'1 P-T +'!F$24</f>
        <v>0</v>
      </c>
      <c r="AT47" s="845">
        <f>IF('1 P-T +'!G$22&lt;250.1,IF('1 P-T +'!G$23&gt;5.5,IF('1 P-T +'!G$23&lt;28.1,IF(OR('1 P-T +'!G$16="V",'1 P-T +'!G$16="VT",'1 P-T +'!G$16="VTT",'1 P-T +'!G$16="VSB",'1 P-T +'!G$16="VE",'1 P-T +'!G$16="VET",'1 P-T +'!G$16="VESQ",),1,0))))*'1 P-T +'!G$24</f>
        <v>0</v>
      </c>
      <c r="AU47" s="845">
        <f>IF('1 P-T +'!H$22&lt;250.1,IF('1 P-T +'!H$23&gt;5.5,IF('1 P-T +'!H$23&lt;28.1,IF(OR('1 P-T +'!H$16="V",'1 P-T +'!H$16="VT",'1 P-T +'!H$16="VTT",'1 P-T +'!H$16="VSB",'1 P-T +'!H$16="VE",'1 P-T +'!H$16="VET",'1 P-T +'!H$16="VESQ",),1,0))))*'1 P-T +'!H$24</f>
        <v>0</v>
      </c>
      <c r="AV47" s="845">
        <f>IF('1 P-T +'!I$22&lt;250.1,IF('1 P-T +'!I$23&gt;5.5,IF('1 P-T +'!I$23&lt;28.1,IF(OR('1 P-T +'!I$16="V",'1 P-T +'!I$16="VT",'1 P-T +'!I$16="VTT",'1 P-T +'!I$16="VSB",'1 P-T +'!I$16="VE",'1 P-T +'!I$16="VET",'1 P-T +'!I$16="VESQ",),1,0))))*'1 P-T +'!I$24</f>
        <v>0</v>
      </c>
      <c r="AW47" s="845">
        <f>IF('1 P-T +'!J$22&lt;250.1,IF('1 P-T +'!J$23&gt;5.5,IF('1 P-T +'!J$23&lt;28.1,IF(OR('1 P-T +'!J$16="V",'1 P-T +'!J$16="VT",'1 P-T +'!J$16="VTT",'1 P-T +'!J$16="VSB",'1 P-T +'!J$16="VE",'1 P-T +'!J$16="VET",'1 P-T +'!J$16="VESQ",),1,0))))*'1 P-T +'!J$24</f>
        <v>0</v>
      </c>
      <c r="AX47" s="845">
        <f>IF('1 P-T +'!K$22&lt;250.1,IF('1 P-T +'!K$23&gt;5.5,IF('1 P-T +'!K$23&lt;28.1,IF(OR('1 P-T +'!K$16="V",'1 P-T +'!K$16="VT",'1 P-T +'!K$16="VTT",'1 P-T +'!K$16="VSB",'1 P-T +'!K$16="VE",'1 P-T +'!K$16="VET",'1 P-T +'!K$16="VESQ",),1,0))))*'1 P-T +'!K$24</f>
        <v>0</v>
      </c>
      <c r="AY47" s="845">
        <f>IF('1 P-T +'!L$22&lt;250.1,IF('1 P-T +'!L$23&gt;5.5,IF('1 P-T +'!L$23&lt;28.1,IF(OR('1 P-T +'!L$16="V",'1 P-T +'!L$16="VT",'1 P-T +'!L$16="VTT",'1 P-T +'!L$16="VSB",'1 P-T +'!L$16="VE",'1 P-T +'!L$16="VET",'1 P-T +'!L$16="VESQ",),1,0))))*'1 P-T +'!L$24</f>
        <v>0</v>
      </c>
      <c r="AZ47" s="845">
        <f>IF('1 P-T +'!M$22&lt;250.1,IF('1 P-T +'!M$23&gt;5.5,IF('1 P-T +'!M$23&lt;28.1,IF(OR('1 P-T +'!M$16="V",'1 P-T +'!M$16="VT",'1 P-T +'!M$16="VTT",'1 P-T +'!M$16="VSB",'1 P-T +'!M$16="VE",'1 P-T +'!M$16="VET",'1 P-T +'!M$16="VESQ",),1,0))))*'1 P-T +'!M$24</f>
        <v>0</v>
      </c>
      <c r="BA47" s="845">
        <f>IF('1 P-T +'!N$22&lt;250.1,IF('1 P-T +'!N$23&gt;5.5,IF('1 P-T +'!N$23&lt;28.1,IF(OR('1 P-T +'!N$16="V",'1 P-T +'!N$16="VT",'1 P-T +'!N$16="VTT",'1 P-T +'!N$16="VSB",'1 P-T +'!N$16="VE",'1 P-T +'!N$16="VET",'1 P-T +'!N$16="VESQ",),1,0))))*'1 P-T +'!N$24</f>
        <v>0</v>
      </c>
      <c r="BB47" s="844">
        <f t="shared" ref="BB47:BB52" si="13">SUM(AP47:BA47)</f>
        <v>0</v>
      </c>
      <c r="BC47" s="845" t="b">
        <f>IF('1 P-T +'!C$23&gt;1,IF('1 P-T +'!C$23&lt;28.1,IF('1 P-T +'!$B$29='1 P-T +'!C$16,((('1 P-T +'!C$22-200)*4)/160)*'1 P-T +'!C$24,0)))</f>
        <v>0</v>
      </c>
      <c r="BD47" s="845" t="b">
        <f>IF('1 P-T +'!D$23&gt;1,IF('1 P-T +'!D$23&lt;28.1,IF('1 P-T +'!$B$29='1 P-T +'!D$16,((('1 P-T +'!D$22-200)*4)/160)*'1 P-T +'!D$24,0)))</f>
        <v>0</v>
      </c>
      <c r="BE47" s="845" t="b">
        <f>IF('1 P-T +'!E$23&gt;1,IF('1 P-T +'!E$23&lt;28.1,IF('1 P-T +'!$B$29='1 P-T +'!E$16,((('1 P-T +'!E$22-200)*4)/160)*'1 P-T +'!E$24,0)))</f>
        <v>0</v>
      </c>
      <c r="BF47" s="845" t="b">
        <f>IF('1 P-T +'!F$23&gt;1,IF('1 P-T +'!F$23&lt;28.1,IF('1 P-T +'!$B$29='1 P-T +'!F$16,((('1 P-T +'!F$22-200)*4)/160)*'1 P-T +'!F$24,0)))</f>
        <v>0</v>
      </c>
      <c r="BG47" s="845" t="b">
        <f>IF('1 P-T +'!G$23&gt;1,IF('1 P-T +'!G$23&lt;28.1,IF('1 P-T +'!$B$29='1 P-T +'!G$16,((('1 P-T +'!G$22-200)*4)/160)*'1 P-T +'!G$24,0)))</f>
        <v>0</v>
      </c>
      <c r="BH47" s="845" t="b">
        <f>IF('1 P-T +'!H$23&gt;1,IF('1 P-T +'!H$23&lt;28.1,IF('1 P-T +'!$B$29='1 P-T +'!H$16,((('1 P-T +'!H$22-200)*4)/160)*'1 P-T +'!H$24,0)))</f>
        <v>0</v>
      </c>
      <c r="BI47" s="845" t="b">
        <f>IF('1 P-T +'!I$23&gt;1,IF('1 P-T +'!I$23&lt;28.1,IF('1 P-T +'!$B$29='1 P-T +'!I$16,((('1 P-T +'!I$22-200)*4)/160)*'1 P-T +'!I$24,0)))</f>
        <v>0</v>
      </c>
      <c r="BJ47" s="845" t="b">
        <f>IF('1 P-T +'!J$23&gt;1,IF('1 P-T +'!J$23&lt;28.1,IF('1 P-T +'!$B$29='1 P-T +'!J$16,((('1 P-T +'!J$22-200)*4)/160)*'1 P-T +'!J$24,0)))</f>
        <v>0</v>
      </c>
      <c r="BK47" s="845" t="b">
        <f>IF('1 P-T +'!K$23&gt;1,IF('1 P-T +'!K$23&lt;28.1,IF('1 P-T +'!$B$29='1 P-T +'!K$16,((('1 P-T +'!K$22-200)*4)/160)*'1 P-T +'!K$24,0)))</f>
        <v>0</v>
      </c>
      <c r="BL47" s="845" t="b">
        <f>IF('1 P-T +'!L$23&gt;1,IF('1 P-T +'!L$23&lt;28.1,IF('1 P-T +'!$B$29='1 P-T +'!L$16,((('1 P-T +'!L$22-200)*4)/160)*'1 P-T +'!L$24,0)))</f>
        <v>0</v>
      </c>
      <c r="BM47" s="845" t="b">
        <f>IF('1 P-T +'!M$23&gt;1,IF('1 P-T +'!M$23&lt;28.1,IF('1 P-T +'!$B$29='1 P-T +'!M$16,((('1 P-T +'!M$22-200)*4)/160)*'1 P-T +'!M$24,0)))</f>
        <v>0</v>
      </c>
      <c r="BN47" s="845" t="b">
        <f>IF('1 P-T +'!N$23&gt;1,IF('1 P-T +'!N$23&lt;28.1,IF('1 P-T +'!$B$29='1 P-T +'!N$16,((('1 P-T +'!N$22-200)*4)/160)*'1 P-T +'!N$24,0)))</f>
        <v>0</v>
      </c>
      <c r="BO47" s="844">
        <f t="shared" ref="BO47:BO52" si="14">SUM(BC47:BN47)*2</f>
        <v>0</v>
      </c>
      <c r="BP47" s="845" t="b">
        <f>IF('1 P-T +'!C$23&gt;1,IF('1 P-T +'!C$23&lt;28.1,IF('1 P-T +'!$B$30='1 P-T +'!C$16,((('1 P-T +'!C$22-200)*4)/160)*'1 P-T +'!C$24,0)))</f>
        <v>0</v>
      </c>
      <c r="BQ47" s="845" t="b">
        <f>IF('1 P-T +'!D$23&gt;1,IF('1 P-T +'!D$23&lt;28.1,IF('1 P-T +'!$B$30='1 P-T +'!D$16,((('1 P-T +'!D$22-200)*4)/160)*'1 P-T +'!D$24,0)))</f>
        <v>0</v>
      </c>
      <c r="BR47" s="845" t="b">
        <f>IF('1 P-T +'!E$23&gt;1,IF('1 P-T +'!E$23&lt;28.1,IF('1 P-T +'!$B$30='1 P-T +'!E$16,((('1 P-T +'!E$22-200)*4)/160)*'1 P-T +'!E$24,0)))</f>
        <v>0</v>
      </c>
      <c r="BS47" s="845" t="b">
        <f>IF('1 P-T +'!F$23&gt;1,IF('1 P-T +'!F$23&lt;28.1,IF('1 P-T +'!$B$30='1 P-T +'!F$16,((('1 P-T +'!F$22-200)*4)/160)*'1 P-T +'!F$24,0)))</f>
        <v>0</v>
      </c>
      <c r="BT47" s="845" t="b">
        <f>IF('1 P-T +'!G$23&gt;1,IF('1 P-T +'!G$23&lt;28.1,IF('1 P-T +'!$B$30='1 P-T +'!G$16,((('1 P-T +'!G$22-200)*4)/160)*'1 P-T +'!G$24,0)))</f>
        <v>0</v>
      </c>
      <c r="BU47" s="845" t="b">
        <f>IF('1 P-T +'!H$23&gt;1,IF('1 P-T +'!H$23&lt;28.1,IF('1 P-T +'!$B$30='1 P-T +'!H$16,((('1 P-T +'!H$22-200)*4)/160)*'1 P-T +'!H$24,0)))</f>
        <v>0</v>
      </c>
      <c r="BV47" s="845" t="b">
        <f>IF('1 P-T +'!I$23&gt;1,IF('1 P-T +'!I$23&lt;28.1,IF('1 P-T +'!$B$30='1 P-T +'!I$16,((('1 P-T +'!I$22-200)*4)/160)*'1 P-T +'!I$24,0)))</f>
        <v>0</v>
      </c>
      <c r="BW47" s="845" t="b">
        <f>IF('1 P-T +'!J$23&gt;1,IF('1 P-T +'!J$23&lt;28.1,IF('1 P-T +'!$B$30='1 P-T +'!J$16,((('1 P-T +'!J$22-200)*4)/160)*'1 P-T +'!J$24,0)))</f>
        <v>0</v>
      </c>
      <c r="BX47" s="845" t="b">
        <f>IF('1 P-T +'!K$23&gt;1,IF('1 P-T +'!K$23&lt;28.1,IF('1 P-T +'!$B$30='1 P-T +'!K$16,((('1 P-T +'!K$22-200)*4)/160)*'1 P-T +'!K$24,0)))</f>
        <v>0</v>
      </c>
      <c r="BY47" s="845" t="b">
        <f>IF('1 P-T +'!L$23&gt;1,IF('1 P-T +'!L$23&lt;28.1,IF('1 P-T +'!$B$30='1 P-T +'!L$16,((('1 P-T +'!L$22-200)*4)/160)*'1 P-T +'!L$24,0)))</f>
        <v>0</v>
      </c>
      <c r="BZ47" s="845" t="b">
        <f>IF('1 P-T +'!M$23&gt;1,IF('1 P-T +'!M$23&lt;28.1,IF('1 P-T +'!$B$30='1 P-T +'!M$16,((('1 P-T +'!M$22-200)*4)/160)*'1 P-T +'!M$24,0)))</f>
        <v>0</v>
      </c>
      <c r="CA47" s="845" t="b">
        <f>IF('1 P-T +'!N$23&gt;1,IF('1 P-T +'!N$23&lt;28.1,IF('1 P-T +'!$B$30='1 P-T +'!N$16,((('1 P-T +'!N$22-200)*4)/160)*'1 P-T +'!N$24,0)))</f>
        <v>0</v>
      </c>
      <c r="CB47" s="844">
        <f t="shared" ref="CB47:CB52" si="15">SUM(BP47:CA47)*2</f>
        <v>0</v>
      </c>
      <c r="CC47" s="845" t="b">
        <f>IF('1 P-T +'!C$23&gt;1,IF('1 P-T +'!C$23&lt;28.1,IF('1 P-T +'!$B$31='1 P-T +'!C$16,((('1 P-T +'!C$22-200)*4)/160)*'1 P-T +'!C$24,0)))</f>
        <v>0</v>
      </c>
      <c r="CD47" s="845" t="b">
        <f>IF('1 P-T +'!D$23&gt;1,IF('1 P-T +'!D$23&lt;28.1,IF('1 P-T +'!$B$31='1 P-T +'!D$16,((('1 P-T +'!D$22-200)*4)/160)*'1 P-T +'!D$24,0)))</f>
        <v>0</v>
      </c>
      <c r="CE47" s="845" t="b">
        <f>IF('1 P-T +'!E$23&gt;1,IF('1 P-T +'!E$23&lt;28.1,IF('1 P-T +'!$B$31='1 P-T +'!E$16,((('1 P-T +'!E$22-200)*4)/160)*'1 P-T +'!E$24,0)))</f>
        <v>0</v>
      </c>
      <c r="CF47" s="845" t="b">
        <f>IF('1 P-T +'!F$23&gt;1,IF('1 P-T +'!F$23&lt;28.1,IF('1 P-T +'!$B$31='1 P-T +'!F$16,((('1 P-T +'!F$22-200)*4)/160)*'1 P-T +'!F$24,0)))</f>
        <v>0</v>
      </c>
      <c r="CG47" s="845" t="b">
        <f>IF('1 P-T +'!G$23&gt;1,IF('1 P-T +'!G$23&lt;28.1,IF('1 P-T +'!$B$31='1 P-T +'!G$16,((('1 P-T +'!G$22-200)*4)/160)*'1 P-T +'!G$24,0)))</f>
        <v>0</v>
      </c>
      <c r="CH47" s="845" t="b">
        <f>IF('1 P-T +'!H$23&gt;1,IF('1 P-T +'!H$23&lt;28.1,IF('1 P-T +'!$B$31='1 P-T +'!H$16,((('1 P-T +'!H$22-200)*4)/160)*'1 P-T +'!H$24,0)))</f>
        <v>0</v>
      </c>
      <c r="CI47" s="845" t="b">
        <f>IF('1 P-T +'!I$23&gt;1,IF('1 P-T +'!I$23&lt;28.1,IF('1 P-T +'!$B$31='1 P-T +'!I$16,((('1 P-T +'!I$22-200)*4)/160)*'1 P-T +'!I$24,0)))</f>
        <v>0</v>
      </c>
      <c r="CJ47" s="845" t="b">
        <f>IF('1 P-T +'!J$23&gt;1,IF('1 P-T +'!J$23&lt;28.1,IF('1 P-T +'!$B$31='1 P-T +'!J$16,((('1 P-T +'!J$22-200)*4)/160)*'1 P-T +'!J$24,0)))</f>
        <v>0</v>
      </c>
      <c r="CK47" s="845" t="b">
        <f>IF('1 P-T +'!K$23&gt;1,IF('1 P-T +'!K$23&lt;28.1,IF('1 P-T +'!$B$31='1 P-T +'!K$16,((('1 P-T +'!K$22-200)*4)/160)*'1 P-T +'!K$24,0)))</f>
        <v>0</v>
      </c>
      <c r="CL47" s="845" t="b">
        <f>IF('1 P-T +'!L$23&gt;1,IF('1 P-T +'!L$23&lt;28.1,IF('1 P-T +'!$B$31='1 P-T +'!L$16,((('1 P-T +'!L$22-200)*4)/160)*'1 P-T +'!L$24,0)))</f>
        <v>0</v>
      </c>
      <c r="CM47" s="845" t="b">
        <f>IF('1 P-T +'!M$23&gt;1,IF('1 P-T +'!M$23&lt;28.1,IF('1 P-T +'!$B$31='1 P-T +'!M$16,((('1 P-T +'!M$22-200)*4)/160)*'1 P-T +'!M$24,0)))</f>
        <v>0</v>
      </c>
      <c r="CN47" s="845" t="b">
        <f>IF('1 P-T +'!N$23&gt;1,IF('1 P-T +'!N$23&lt;28.1,IF('1 P-T +'!$B$31='1 P-T +'!N$16,((('1 P-T +'!N$22-200)*4)/160)*'1 P-T +'!N$24,0)))</f>
        <v>0</v>
      </c>
      <c r="CO47" s="844">
        <f t="shared" ref="CO47:CO52" si="16">SUM(CC47:CN47)*2</f>
        <v>0</v>
      </c>
      <c r="CP47" s="845" t="b">
        <f>IF('1 P-T +'!C$23&gt;1,IF('1 P-T +'!C$23&lt;28.1,IF('1 P-T +'!$B$32='1 P-T +'!C$16,((('1 P-T +'!C$22-200)*4)/160)*'1 P-T +'!C$24,0)))</f>
        <v>0</v>
      </c>
      <c r="CQ47" s="845" t="b">
        <f>IF('1 P-T +'!D$23&gt;1,IF('1 P-T +'!D$23&lt;28.1,IF('1 P-T +'!$B$32='1 P-T +'!D$16,((('1 P-T +'!D$22-200)*4)/160)*'1 P-T +'!D$24,0)))</f>
        <v>0</v>
      </c>
      <c r="CR47" s="845" t="b">
        <f>IF('1 P-T +'!E$23&gt;1,IF('1 P-T +'!E$23&lt;28.1,IF('1 P-T +'!$B$32='1 P-T +'!E$16,((('1 P-T +'!E$22-200)*4)/160)*'1 P-T +'!E$24,0)))</f>
        <v>0</v>
      </c>
      <c r="CS47" s="845" t="b">
        <f>IF('1 P-T +'!F$23&gt;1,IF('1 P-T +'!F$23&lt;28.1,IF('1 P-T +'!$B$32='1 P-T +'!F$16,((('1 P-T +'!F$22-200)*4)/160)*'1 P-T +'!F$24,0)))</f>
        <v>0</v>
      </c>
      <c r="CT47" s="845" t="b">
        <f>IF('1 P-T +'!G$23&gt;1,IF('1 P-T +'!G$23&lt;28.1,IF('1 P-T +'!$B$32='1 P-T +'!G$16,((('1 P-T +'!G$22-200)*4)/160)*'1 P-T +'!G$24,0)))</f>
        <v>0</v>
      </c>
      <c r="CU47" s="845" t="b">
        <f>IF('1 P-T +'!H$23&gt;1,IF('1 P-T +'!H$23&lt;28.1,IF('1 P-T +'!$B$32='1 P-T +'!H$16,((('1 P-T +'!H$22-200)*4)/160)*'1 P-T +'!H$24,0)))</f>
        <v>0</v>
      </c>
      <c r="CV47" s="845" t="b">
        <f>IF('1 P-T +'!I$23&gt;1,IF('1 P-T +'!I$23&lt;28.1,IF('1 P-T +'!$B$32='1 P-T +'!I$16,((('1 P-T +'!I$22-200)*4)/160)*'1 P-T +'!I$24,0)))</f>
        <v>0</v>
      </c>
      <c r="CW47" s="845" t="b">
        <f>IF('1 P-T +'!J$23&gt;1,IF('1 P-T +'!J$23&lt;28.1,IF('1 P-T +'!$B$32='1 P-T +'!J$16,((('1 P-T +'!J$22-200)*4)/160)*'1 P-T +'!J$24,0)))</f>
        <v>0</v>
      </c>
      <c r="CX47" s="845" t="b">
        <f>IF('1 P-T +'!K$23&gt;1,IF('1 P-T +'!K$23&lt;28.1,IF('1 P-T +'!$B$32='1 P-T +'!K$16,((('1 P-T +'!K$22-200)*4)/160)*'1 P-T +'!K$24,0)))</f>
        <v>0</v>
      </c>
      <c r="CY47" s="845" t="b">
        <f>IF('1 P-T +'!L$23&gt;1,IF('1 P-T +'!L$23&lt;28.1,IF('1 P-T +'!$B$32='1 P-T +'!L$16,((('1 P-T +'!L$22-200)*4)/160)*'1 P-T +'!L$24,0)))</f>
        <v>0</v>
      </c>
      <c r="CZ47" s="845" t="b">
        <f>IF('1 P-T +'!M$23&gt;1,IF('1 P-T +'!M$23&lt;28.1,IF('1 P-T +'!$B$32='1 P-T +'!M$16,((('1 P-T +'!M$22-200)*4)/160)*'1 P-T +'!M$24,0)))</f>
        <v>0</v>
      </c>
      <c r="DA47" s="845" t="b">
        <f>IF('1 P-T +'!N$23&gt;1,IF('1 P-T +'!N$23&lt;28.1,IF('1 P-T +'!$B$32='1 P-T +'!N$16,((('1 P-T +'!N$22-200)*4)/160)*'1 P-T +'!N$24,0)))</f>
        <v>0</v>
      </c>
      <c r="DB47" s="844">
        <f t="shared" ref="DB47:DB52" si="17">SUM(CP47:DA47)*2</f>
        <v>0</v>
      </c>
      <c r="DC47" s="838"/>
      <c r="DD47" s="838"/>
      <c r="DE47" s="838"/>
      <c r="DF47" s="838"/>
      <c r="DG47" s="838"/>
      <c r="DJ47" s="838"/>
      <c r="DK47" s="838"/>
      <c r="DL47" s="838"/>
      <c r="DM47" s="838"/>
      <c r="DN47" s="838"/>
      <c r="DO47" s="838"/>
      <c r="DP47" s="838"/>
      <c r="DQ47" s="838"/>
      <c r="DR47" s="838"/>
      <c r="DS47" s="838"/>
      <c r="DT47" s="521"/>
      <c r="DU47" s="838"/>
      <c r="DV47" s="838"/>
      <c r="DW47" s="838"/>
      <c r="FG47" s="838"/>
      <c r="FH47" s="838"/>
      <c r="FI47" s="838"/>
      <c r="FJ47" s="838"/>
      <c r="FK47" s="838"/>
      <c r="FL47" s="838"/>
      <c r="FM47" s="838"/>
      <c r="FN47" s="838"/>
      <c r="FO47" s="838"/>
    </row>
    <row r="48" spans="1:194" x14ac:dyDescent="0.35">
      <c r="A48" s="852"/>
      <c r="C48" s="838"/>
      <c r="D48" s="838"/>
      <c r="E48" s="838"/>
      <c r="F48" s="838"/>
      <c r="G48" s="838"/>
      <c r="H48" s="838"/>
      <c r="I48" s="838"/>
      <c r="J48" s="838"/>
      <c r="K48" s="838"/>
      <c r="L48" s="838"/>
      <c r="M48" s="838"/>
      <c r="N48" s="838"/>
      <c r="O48" s="838"/>
      <c r="P48" s="855"/>
      <c r="Q48" s="855"/>
      <c r="R48" s="855"/>
      <c r="S48" s="855"/>
      <c r="T48" s="855"/>
      <c r="U48" s="855"/>
      <c r="V48" s="855"/>
      <c r="W48" s="855"/>
      <c r="X48" s="855"/>
      <c r="Y48" s="855"/>
      <c r="Z48" s="855"/>
      <c r="AA48" s="855"/>
      <c r="AB48" s="838"/>
      <c r="AC48" s="855"/>
      <c r="AD48" s="838"/>
      <c r="AE48" s="855"/>
      <c r="AF48" s="838"/>
      <c r="AG48" s="855"/>
      <c r="AH48" s="838"/>
      <c r="AI48" s="855"/>
      <c r="AJ48" s="838"/>
      <c r="AK48" s="855"/>
      <c r="AL48" s="838"/>
      <c r="AM48" s="855"/>
      <c r="AN48" s="838"/>
      <c r="AO48" s="855"/>
      <c r="AP48" s="845">
        <f>IF('1 P-T +'!C$22&lt;250.1,IF('1 P-T +'!C$23&gt;28,IF('1 P-T +'!C$23&lt;56.1,IF(OR('1 P-T +'!C$16="V",'1 P-T +'!C$16="VT",'1 P-T +'!C$16="VTT",'1 P-T +'!C$16="VSB",'1 P-T +'!C$16="VE",'1 P-T +'!C$16="VET",'1 P-T +'!C$16="VESQ",),1,0))))*'1 P-T +'!C$24</f>
        <v>0</v>
      </c>
      <c r="AQ48" s="845">
        <f>IF('1 P-T +'!D$22&lt;250.1,IF('1 P-T +'!D$23&gt;28,IF('1 P-T +'!D$23&lt;56.1,IF(OR('1 P-T +'!D$16="V",'1 P-T +'!D$16="VT",'1 P-T +'!D$16="VTT",'1 P-T +'!D$16="VSB",'1 P-T +'!D$16="VE",'1 P-T +'!D$16="VET",'1 P-T +'!D$16="VESQ",),1,0))))*'1 P-T +'!D$24</f>
        <v>0</v>
      </c>
      <c r="AR48" s="845">
        <f>IF('1 P-T +'!E$22&lt;250.1,IF('1 P-T +'!E$23&gt;28,IF('1 P-T +'!E$23&lt;56.1,IF(OR('1 P-T +'!E$16="V",'1 P-T +'!E$16="VT",'1 P-T +'!E$16="VTT",'1 P-T +'!E$16="VSB",'1 P-T +'!E$16="VE",'1 P-T +'!E$16="VET",'1 P-T +'!E$16="VESQ",),1,0))))*'1 P-T +'!E$24</f>
        <v>0</v>
      </c>
      <c r="AS48" s="845">
        <f>IF('1 P-T +'!F$22&lt;250.1,IF('1 P-T +'!F$23&gt;28,IF('1 P-T +'!F$23&lt;56.1,IF(OR('1 P-T +'!F$16="V",'1 P-T +'!F$16="VT",'1 P-T +'!F$16="VTT",'1 P-T +'!F$16="VSB",'1 P-T +'!F$16="VE",'1 P-T +'!F$16="VET",'1 P-T +'!F$16="VESQ",),1,0))))*'1 P-T +'!F$24</f>
        <v>0</v>
      </c>
      <c r="AT48" s="845">
        <f>IF('1 P-T +'!G$22&lt;250.1,IF('1 P-T +'!G$23&gt;28,IF('1 P-T +'!G$23&lt;56.1,IF(OR('1 P-T +'!G$16="V",'1 P-T +'!G$16="VT",'1 P-T +'!G$16="VTT",'1 P-T +'!G$16="VSB",'1 P-T +'!G$16="VE",'1 P-T +'!G$16="VET",'1 P-T +'!G$16="VESQ",),1,0))))*'1 P-T +'!G$24</f>
        <v>0</v>
      </c>
      <c r="AU48" s="845">
        <f>IF('1 P-T +'!H$22&lt;250.1,IF('1 P-T +'!H$23&gt;28,IF('1 P-T +'!H$23&lt;56.1,IF(OR('1 P-T +'!H$16="V",'1 P-T +'!H$16="VT",'1 P-T +'!H$16="VTT",'1 P-T +'!H$16="VSB",'1 P-T +'!H$16="VE",'1 P-T +'!H$16="VET",'1 P-T +'!H$16="VESQ",),1,0))))*'1 P-T +'!H$24</f>
        <v>0</v>
      </c>
      <c r="AV48" s="845">
        <f>IF('1 P-T +'!I$22&lt;250.1,IF('1 P-T +'!I$23&gt;28,IF('1 P-T +'!I$23&lt;56.1,IF(OR('1 P-T +'!I$16="V",'1 P-T +'!I$16="VT",'1 P-T +'!I$16="VTT",'1 P-T +'!I$16="VSB",'1 P-T +'!I$16="VE",'1 P-T +'!I$16="VET",'1 P-T +'!I$16="VESQ",),1,0))))*'1 P-T +'!I$24</f>
        <v>0</v>
      </c>
      <c r="AW48" s="845">
        <f>IF('1 P-T +'!J$22&lt;250.1,IF('1 P-T +'!J$23&gt;28,IF('1 P-T +'!J$23&lt;56.1,IF(OR('1 P-T +'!J$16="V",'1 P-T +'!J$16="VT",'1 P-T +'!J$16="VTT",'1 P-T +'!J$16="VSB",'1 P-T +'!J$16="VE",'1 P-T +'!J$16="VET",'1 P-T +'!J$16="VESQ",),1,0))))*'1 P-T +'!J$24</f>
        <v>0</v>
      </c>
      <c r="AX48" s="845">
        <f>IF('1 P-T +'!K$22&lt;250.1,IF('1 P-T +'!K$23&gt;28,IF('1 P-T +'!K$23&lt;56.1,IF(OR('1 P-T +'!K$16="V",'1 P-T +'!K$16="VT",'1 P-T +'!K$16="VTT",'1 P-T +'!K$16="VSB",'1 P-T +'!K$16="VE",'1 P-T +'!K$16="VET",'1 P-T +'!K$16="VESQ",),1,0))))*'1 P-T +'!K$24</f>
        <v>0</v>
      </c>
      <c r="AY48" s="845">
        <f>IF('1 P-T +'!L$22&lt;250.1,IF('1 P-T +'!L$23&gt;28,IF('1 P-T +'!L$23&lt;56.1,IF(OR('1 P-T +'!L$16="V",'1 P-T +'!L$16="VT",'1 P-T +'!L$16="VTT",'1 P-T +'!L$16="VSB",'1 P-T +'!L$16="VE",'1 P-T +'!L$16="VET",'1 P-T +'!L$16="VESQ",),1,0))))*'1 P-T +'!L$24</f>
        <v>0</v>
      </c>
      <c r="AZ48" s="845">
        <f>IF('1 P-T +'!M$22&lt;250.1,IF('1 P-T +'!M$23&gt;28,IF('1 P-T +'!M$23&lt;56.1,IF(OR('1 P-T +'!M$16="V",'1 P-T +'!M$16="VT",'1 P-T +'!M$16="VTT",'1 P-T +'!M$16="VSB",'1 P-T +'!M$16="VE",'1 P-T +'!M$16="VET",'1 P-T +'!M$16="VESQ",),1,0))))*'1 P-T +'!M$24</f>
        <v>0</v>
      </c>
      <c r="BA48" s="845">
        <f>IF('1 P-T +'!N$22&lt;250.1,IF('1 P-T +'!N$23&gt;28,IF('1 P-T +'!N$23&lt;56.1,IF(OR('1 P-T +'!N$16="V",'1 P-T +'!N$16="VT",'1 P-T +'!N$16="VTT",'1 P-T +'!N$16="VSB",'1 P-T +'!N$16="VE",'1 P-T +'!N$16="VET",'1 P-T +'!N$16="VESQ",),1,0))))*'1 P-T +'!N$24</f>
        <v>0</v>
      </c>
      <c r="BB48" s="844">
        <f t="shared" si="13"/>
        <v>0</v>
      </c>
      <c r="BC48" s="845" t="b">
        <f>IF('1 P-T +'!C$23&gt;28,IF('1 P-T +'!C$23&lt;56.1,IF('1 P-T +'!$B$29='1 P-T +'!C$16,((('1 P-T +'!C$22-200)*4)/160)*'1 P-T +'!C$24,0)))</f>
        <v>0</v>
      </c>
      <c r="BD48" s="845" t="b">
        <f>IF('1 P-T +'!D$23&gt;28,IF('1 P-T +'!D$23&lt;56.1,IF('1 P-T +'!$B$29='1 P-T +'!D$16,((('1 P-T +'!D$22-200)*4)/160)*'1 P-T +'!D$24,0)))</f>
        <v>0</v>
      </c>
      <c r="BE48" s="845" t="b">
        <f>IF('1 P-T +'!E$23&gt;28,IF('1 P-T +'!E$23&lt;56.1,IF('1 P-T +'!$B$29='1 P-T +'!E$16,((('1 P-T +'!E$22-200)*4)/160)*'1 P-T +'!E$24,0)))</f>
        <v>0</v>
      </c>
      <c r="BF48" s="845" t="b">
        <f>IF('1 P-T +'!F$23&gt;28,IF('1 P-T +'!F$23&lt;56.1,IF('1 P-T +'!$B$29='1 P-T +'!F$16,((('1 P-T +'!F$22-200)*4)/160)*'1 P-T +'!F$24,0)))</f>
        <v>0</v>
      </c>
      <c r="BG48" s="845" t="b">
        <f>IF('1 P-T +'!G$23&gt;28,IF('1 P-T +'!G$23&lt;56.1,IF('1 P-T +'!$B$29='1 P-T +'!G$16,((('1 P-T +'!G$22-200)*4)/160)*'1 P-T +'!G$24,0)))</f>
        <v>0</v>
      </c>
      <c r="BH48" s="845" t="b">
        <f>IF('1 P-T +'!H$23&gt;28,IF('1 P-T +'!H$23&lt;56.1,IF('1 P-T +'!$B$29='1 P-T +'!H$16,((('1 P-T +'!H$22-200)*4)/160)*'1 P-T +'!H$24,0)))</f>
        <v>0</v>
      </c>
      <c r="BI48" s="845" t="b">
        <f>IF('1 P-T +'!I$23&gt;28,IF('1 P-T +'!I$23&lt;56.1,IF('1 P-T +'!$B$29='1 P-T +'!I$16,((('1 P-T +'!I$22-200)*4)/160)*'1 P-T +'!I$24,0)))</f>
        <v>0</v>
      </c>
      <c r="BJ48" s="845" t="b">
        <f>IF('1 P-T +'!J$23&gt;28,IF('1 P-T +'!J$23&lt;56.1,IF('1 P-T +'!$B$29='1 P-T +'!J$16,((('1 P-T +'!J$22-200)*4)/160)*'1 P-T +'!J$24,0)))</f>
        <v>0</v>
      </c>
      <c r="BK48" s="845" t="b">
        <f>IF('1 P-T +'!K$23&gt;28,IF('1 P-T +'!K$23&lt;56.1,IF('1 P-T +'!$B$29='1 P-T +'!K$16,((('1 P-T +'!K$22-200)*4)/160)*'1 P-T +'!K$24,0)))</f>
        <v>0</v>
      </c>
      <c r="BL48" s="845" t="b">
        <f>IF('1 P-T +'!L$23&gt;28,IF('1 P-T +'!L$23&lt;56.1,IF('1 P-T +'!$B$29='1 P-T +'!L$16,((('1 P-T +'!L$22-200)*4)/160)*'1 P-T +'!L$24,0)))</f>
        <v>0</v>
      </c>
      <c r="BM48" s="845" t="b">
        <f>IF('1 P-T +'!M$23&gt;28,IF('1 P-T +'!M$23&lt;56.1,IF('1 P-T +'!$B$29='1 P-T +'!M$16,((('1 P-T +'!M$22-200)*4)/160)*'1 P-T +'!M$24,0)))</f>
        <v>0</v>
      </c>
      <c r="BN48" s="845" t="b">
        <f>IF('1 P-T +'!N$23&gt;28,IF('1 P-T +'!N$23&lt;56.1,IF('1 P-T +'!$B$29='1 P-T +'!N$16,((('1 P-T +'!N$22-200)*4)/160)*'1 P-T +'!N$24,0)))</f>
        <v>0</v>
      </c>
      <c r="BO48" s="844">
        <f t="shared" si="14"/>
        <v>0</v>
      </c>
      <c r="BP48" s="845" t="b">
        <f>IF('1 P-T +'!C$23&gt;28,IF('1 P-T +'!C$23&lt;56.1,IF('1 P-T +'!$B$30='1 P-T +'!C$16,((('1 P-T +'!C$22-200)*4)/160)*'1 P-T +'!C$24,0)))</f>
        <v>0</v>
      </c>
      <c r="BQ48" s="845" t="b">
        <f>IF('1 P-T +'!D$23&gt;28,IF('1 P-T +'!D$23&lt;56.1,IF('1 P-T +'!$B$30='1 P-T +'!D$16,((('1 P-T +'!D$22-200)*4)/160)*'1 P-T +'!D$24,0)))</f>
        <v>0</v>
      </c>
      <c r="BR48" s="845" t="b">
        <f>IF('1 P-T +'!E$23&gt;28,IF('1 P-T +'!E$23&lt;56.1,IF('1 P-T +'!$B$30='1 P-T +'!E$16,((('1 P-T +'!E$22-200)*4)/160)*'1 P-T +'!E$24,0)))</f>
        <v>0</v>
      </c>
      <c r="BS48" s="845" t="b">
        <f>IF('1 P-T +'!F$23&gt;28,IF('1 P-T +'!F$23&lt;56.1,IF('1 P-T +'!$B$30='1 P-T +'!F$16,((('1 P-T +'!F$22-200)*4)/160)*'1 P-T +'!F$24,0)))</f>
        <v>0</v>
      </c>
      <c r="BT48" s="845" t="b">
        <f>IF('1 P-T +'!G$23&gt;28,IF('1 P-T +'!G$23&lt;56.1,IF('1 P-T +'!$B$30='1 P-T +'!G$16,((('1 P-T +'!G$22-200)*4)/160)*'1 P-T +'!G$24,0)))</f>
        <v>0</v>
      </c>
      <c r="BU48" s="845" t="b">
        <f>IF('1 P-T +'!H$23&gt;28,IF('1 P-T +'!H$23&lt;56.1,IF('1 P-T +'!$B$30='1 P-T +'!H$16,((('1 P-T +'!H$22-200)*4)/160)*'1 P-T +'!H$24,0)))</f>
        <v>0</v>
      </c>
      <c r="BV48" s="845" t="b">
        <f>IF('1 P-T +'!I$23&gt;28,IF('1 P-T +'!I$23&lt;56.1,IF('1 P-T +'!$B$30='1 P-T +'!I$16,((('1 P-T +'!I$22-200)*4)/160)*'1 P-T +'!I$24,0)))</f>
        <v>0</v>
      </c>
      <c r="BW48" s="845" t="b">
        <f>IF('1 P-T +'!J$23&gt;28,IF('1 P-T +'!J$23&lt;56.1,IF('1 P-T +'!$B$30='1 P-T +'!J$16,((('1 P-T +'!J$22-200)*4)/160)*'1 P-T +'!J$24,0)))</f>
        <v>0</v>
      </c>
      <c r="BX48" s="845" t="b">
        <f>IF('1 P-T +'!K$23&gt;28,IF('1 P-T +'!K$23&lt;56.1,IF('1 P-T +'!$B$30='1 P-T +'!K$16,((('1 P-T +'!K$22-200)*4)/160)*'1 P-T +'!K$24,0)))</f>
        <v>0</v>
      </c>
      <c r="BY48" s="845" t="b">
        <f>IF('1 P-T +'!L$23&gt;28,IF('1 P-T +'!L$23&lt;56.1,IF('1 P-T +'!$B$30='1 P-T +'!L$16,((('1 P-T +'!L$22-200)*4)/160)*'1 P-T +'!L$24,0)))</f>
        <v>0</v>
      </c>
      <c r="BZ48" s="845" t="b">
        <f>IF('1 P-T +'!M$23&gt;28,IF('1 P-T +'!M$23&lt;56.1,IF('1 P-T +'!$B$30='1 P-T +'!M$16,((('1 P-T +'!M$22-200)*4)/160)*'1 P-T +'!M$24,0)))</f>
        <v>0</v>
      </c>
      <c r="CA48" s="845" t="b">
        <f>IF('1 P-T +'!N$23&gt;28,IF('1 P-T +'!N$23&lt;56.1,IF('1 P-T +'!$B$30='1 P-T +'!N$16,((('1 P-T +'!N$22-200)*4)/160)*'1 P-T +'!N$24,0)))</f>
        <v>0</v>
      </c>
      <c r="CB48" s="844">
        <f t="shared" si="15"/>
        <v>0</v>
      </c>
      <c r="CC48" s="845" t="b">
        <f>IF('1 P-T +'!C$23&gt;28,IF('1 P-T +'!C$23&lt;56.1,IF('1 P-T +'!$B$31='1 P-T +'!C$16,((('1 P-T +'!C$22-200)*4)/160)*'1 P-T +'!C$24,0)))</f>
        <v>0</v>
      </c>
      <c r="CD48" s="845" t="b">
        <f>IF('1 P-T +'!D$23&gt;28,IF('1 P-T +'!D$23&lt;56.1,IF('1 P-T +'!$B$31='1 P-T +'!D$16,((('1 P-T +'!D$22-200)*4)/160)*'1 P-T +'!D$24,0)))</f>
        <v>0</v>
      </c>
      <c r="CE48" s="845" t="b">
        <f>IF('1 P-T +'!E$23&gt;28,IF('1 P-T +'!E$23&lt;56.1,IF('1 P-T +'!$B$31='1 P-T +'!E$16,((('1 P-T +'!E$22-200)*4)/160)*'1 P-T +'!E$24,0)))</f>
        <v>0</v>
      </c>
      <c r="CF48" s="845" t="b">
        <f>IF('1 P-T +'!F$23&gt;28,IF('1 P-T +'!F$23&lt;56.1,IF('1 P-T +'!$B$31='1 P-T +'!F$16,((('1 P-T +'!F$22-200)*4)/160)*'1 P-T +'!F$24,0)))</f>
        <v>0</v>
      </c>
      <c r="CG48" s="845" t="b">
        <f>IF('1 P-T +'!G$23&gt;28,IF('1 P-T +'!G$23&lt;56.1,IF('1 P-T +'!$B$31='1 P-T +'!G$16,((('1 P-T +'!G$22-200)*4)/160)*'1 P-T +'!G$24,0)))</f>
        <v>0</v>
      </c>
      <c r="CH48" s="845" t="b">
        <f>IF('1 P-T +'!H$23&gt;28,IF('1 P-T +'!H$23&lt;56.1,IF('1 P-T +'!$B$31='1 P-T +'!H$16,((('1 P-T +'!H$22-200)*4)/160)*'1 P-T +'!H$24,0)))</f>
        <v>0</v>
      </c>
      <c r="CI48" s="845" t="b">
        <f>IF('1 P-T +'!I$23&gt;28,IF('1 P-T +'!I$23&lt;56.1,IF('1 P-T +'!$B$31='1 P-T +'!I$16,((('1 P-T +'!I$22-200)*4)/160)*'1 P-T +'!I$24,0)))</f>
        <v>0</v>
      </c>
      <c r="CJ48" s="845" t="b">
        <f>IF('1 P-T +'!J$23&gt;28,IF('1 P-T +'!J$23&lt;56.1,IF('1 P-T +'!$B$31='1 P-T +'!J$16,((('1 P-T +'!J$22-200)*4)/160)*'1 P-T +'!J$24,0)))</f>
        <v>0</v>
      </c>
      <c r="CK48" s="845" t="b">
        <f>IF('1 P-T +'!K$23&gt;28,IF('1 P-T +'!K$23&lt;56.1,IF('1 P-T +'!$B$31='1 P-T +'!K$16,((('1 P-T +'!K$22-200)*4)/160)*'1 P-T +'!K$24,0)))</f>
        <v>0</v>
      </c>
      <c r="CL48" s="845" t="b">
        <f>IF('1 P-T +'!L$23&gt;28,IF('1 P-T +'!L$23&lt;56.1,IF('1 P-T +'!$B$31='1 P-T +'!L$16,((('1 P-T +'!L$22-200)*4)/160)*'1 P-T +'!L$24,0)))</f>
        <v>0</v>
      </c>
      <c r="CM48" s="845" t="b">
        <f>IF('1 P-T +'!M$23&gt;28,IF('1 P-T +'!M$23&lt;56.1,IF('1 P-T +'!$B$31='1 P-T +'!M$16,((('1 P-T +'!M$22-200)*4)/160)*'1 P-T +'!M$24,0)))</f>
        <v>0</v>
      </c>
      <c r="CN48" s="845" t="b">
        <f>IF('1 P-T +'!N$23&gt;28,IF('1 P-T +'!N$23&lt;56.1,IF('1 P-T +'!$B$31='1 P-T +'!N$16,((('1 P-T +'!N$22-200)*4)/160)*'1 P-T +'!N$24,0)))</f>
        <v>0</v>
      </c>
      <c r="CO48" s="844">
        <f t="shared" si="16"/>
        <v>0</v>
      </c>
      <c r="CP48" s="845" t="b">
        <f>IF('1 P-T +'!C$23&gt;28,IF('1 P-T +'!C$23&lt;56.1,IF('1 P-T +'!$B$32='1 P-T +'!C$16,((('1 P-T +'!C$22-200)*4)/160)*'1 P-T +'!C$24,0)))</f>
        <v>0</v>
      </c>
      <c r="CQ48" s="845" t="b">
        <f>IF('1 P-T +'!D$23&gt;28,IF('1 P-T +'!D$23&lt;56.1,IF('1 P-T +'!$B$32='1 P-T +'!D$16,((('1 P-T +'!D$22-200)*4)/160)*'1 P-T +'!D$24,0)))</f>
        <v>0</v>
      </c>
      <c r="CR48" s="845" t="b">
        <f>IF('1 P-T +'!E$23&gt;28,IF('1 P-T +'!E$23&lt;56.1,IF('1 P-T +'!$B$32='1 P-T +'!E$16,((('1 P-T +'!E$22-200)*4)/160)*'1 P-T +'!E$24,0)))</f>
        <v>0</v>
      </c>
      <c r="CS48" s="845" t="b">
        <f>IF('1 P-T +'!F$23&gt;28,IF('1 P-T +'!F$23&lt;56.1,IF('1 P-T +'!$B$32='1 P-T +'!F$16,((('1 P-T +'!F$22-200)*4)/160)*'1 P-T +'!F$24,0)))</f>
        <v>0</v>
      </c>
      <c r="CT48" s="845" t="b">
        <f>IF('1 P-T +'!G$23&gt;28,IF('1 P-T +'!G$23&lt;56.1,IF('1 P-T +'!$B$32='1 P-T +'!G$16,((('1 P-T +'!G$22-200)*4)/160)*'1 P-T +'!G$24,0)))</f>
        <v>0</v>
      </c>
      <c r="CU48" s="845" t="b">
        <f>IF('1 P-T +'!H$23&gt;28,IF('1 P-T +'!H$23&lt;56.1,IF('1 P-T +'!$B$32='1 P-T +'!H$16,((('1 P-T +'!H$22-200)*4)/160)*'1 P-T +'!H$24,0)))</f>
        <v>0</v>
      </c>
      <c r="CV48" s="845" t="b">
        <f>IF('1 P-T +'!I$23&gt;28,IF('1 P-T +'!I$23&lt;56.1,IF('1 P-T +'!$B$32='1 P-T +'!I$16,((('1 P-T +'!I$22-200)*4)/160)*'1 P-T +'!I$24,0)))</f>
        <v>0</v>
      </c>
      <c r="CW48" s="845" t="b">
        <f>IF('1 P-T +'!J$23&gt;28,IF('1 P-T +'!J$23&lt;56.1,IF('1 P-T +'!$B$32='1 P-T +'!J$16,((('1 P-T +'!J$22-200)*4)/160)*'1 P-T +'!J$24,0)))</f>
        <v>0</v>
      </c>
      <c r="CX48" s="845" t="b">
        <f>IF('1 P-T +'!K$23&gt;28,IF('1 P-T +'!K$23&lt;56.1,IF('1 P-T +'!$B$32='1 P-T +'!K$16,((('1 P-T +'!K$22-200)*4)/160)*'1 P-T +'!K$24,0)))</f>
        <v>0</v>
      </c>
      <c r="CY48" s="845" t="b">
        <f>IF('1 P-T +'!L$23&gt;28,IF('1 P-T +'!L$23&lt;56.1,IF('1 P-T +'!$B$32='1 P-T +'!L$16,((('1 P-T +'!L$22-200)*4)/160)*'1 P-T +'!L$24,0)))</f>
        <v>0</v>
      </c>
      <c r="CZ48" s="845" t="b">
        <f>IF('1 P-T +'!M$23&gt;28,IF('1 P-T +'!M$23&lt;56.1,IF('1 P-T +'!$B$32='1 P-T +'!M$16,((('1 P-T +'!M$22-200)*4)/160)*'1 P-T +'!M$24,0)))</f>
        <v>0</v>
      </c>
      <c r="DA48" s="845" t="b">
        <f>IF('1 P-T +'!N$23&gt;28,IF('1 P-T +'!N$23&lt;56.1,IF('1 P-T +'!$B$32='1 P-T +'!N$16,((('1 P-T +'!N$22-200)*4)/160)*'1 P-T +'!N$24,0)))</f>
        <v>0</v>
      </c>
      <c r="DB48" s="844">
        <f t="shared" si="17"/>
        <v>0</v>
      </c>
      <c r="DC48" s="838"/>
      <c r="DD48" s="838"/>
      <c r="DE48" s="838"/>
      <c r="DF48" s="838"/>
      <c r="DG48" s="838"/>
      <c r="DJ48" s="838"/>
      <c r="DK48" s="838"/>
      <c r="DL48" s="838"/>
      <c r="DM48" s="838"/>
      <c r="DN48" s="838"/>
      <c r="DO48" s="838"/>
      <c r="DP48" s="838"/>
      <c r="DQ48" s="838"/>
      <c r="DR48" s="838"/>
      <c r="DS48" s="838"/>
      <c r="DT48" s="521"/>
      <c r="DU48" s="838"/>
      <c r="DV48" s="838"/>
      <c r="DW48" s="838"/>
      <c r="FG48" s="838"/>
      <c r="FH48" s="838"/>
      <c r="FI48" s="838"/>
      <c r="FJ48" s="838"/>
      <c r="FK48" s="838"/>
      <c r="FL48" s="838"/>
      <c r="FM48" s="838"/>
      <c r="FN48" s="838"/>
      <c r="FO48" s="838"/>
    </row>
    <row r="49" spans="1:193" x14ac:dyDescent="0.35">
      <c r="A49" s="853"/>
      <c r="C49" s="838"/>
      <c r="D49" s="838"/>
      <c r="E49" s="838"/>
      <c r="F49" s="838"/>
      <c r="G49" s="838"/>
      <c r="H49" s="838"/>
      <c r="I49" s="838"/>
      <c r="J49" s="838"/>
      <c r="K49" s="838"/>
      <c r="L49" s="838"/>
      <c r="M49" s="838"/>
      <c r="N49" s="838"/>
      <c r="O49" s="838"/>
      <c r="P49" s="855"/>
      <c r="Q49" s="855"/>
      <c r="R49" s="855"/>
      <c r="S49" s="855"/>
      <c r="T49" s="855"/>
      <c r="U49" s="855"/>
      <c r="V49" s="855"/>
      <c r="W49" s="855"/>
      <c r="X49" s="855"/>
      <c r="Y49" s="855"/>
      <c r="Z49" s="855"/>
      <c r="AA49" s="855"/>
      <c r="AB49" s="838"/>
      <c r="AC49" s="855"/>
      <c r="AD49" s="838"/>
      <c r="AE49" s="855"/>
      <c r="AF49" s="838"/>
      <c r="AG49" s="855"/>
      <c r="AH49" s="838"/>
      <c r="AI49" s="855"/>
      <c r="AJ49" s="838"/>
      <c r="AK49" s="855"/>
      <c r="AL49" s="838"/>
      <c r="AM49" s="855"/>
      <c r="AN49" s="838"/>
      <c r="AO49" s="855"/>
      <c r="AP49" s="845">
        <f>IF('1 P-T +'!C$22&lt;250.1,IF('1 P-T +'!C$23&gt;56,IF('1 P-T +'!C$23&lt;70.1,IF(OR('1 P-T +'!C$16="V",'1 P-T +'!C$16="VT",'1 P-T +'!C$16="VTT",'1 P-T +'!C$16="VSB",'1 P-T +'!C$16="VE",'1 P-T +'!C$16="VET",'1 P-T +'!C$16="VESQ",),1,0))))*'1 P-T +'!C$24</f>
        <v>0</v>
      </c>
      <c r="AQ49" s="845">
        <f>IF('1 P-T +'!D$22&lt;250.1,IF('1 P-T +'!D$23&gt;56,IF('1 P-T +'!D$23&lt;70.1,IF(OR('1 P-T +'!D$16="V",'1 P-T +'!D$16="VT",'1 P-T +'!D$16="VTT",'1 P-T +'!D$16="VSB",'1 P-T +'!D$16="VE",'1 P-T +'!D$16="VET",'1 P-T +'!D$16="VESQ",),1,0))))*'1 P-T +'!D$24</f>
        <v>0</v>
      </c>
      <c r="AR49" s="845">
        <f>IF('1 P-T +'!E$22&lt;250.1,IF('1 P-T +'!E$23&gt;56,IF('1 P-T +'!E$23&lt;70.1,IF(OR('1 P-T +'!E$16="V",'1 P-T +'!E$16="VT",'1 P-T +'!E$16="VTT",'1 P-T +'!E$16="VSB",'1 P-T +'!E$16="VE",'1 P-T +'!E$16="VET",'1 P-T +'!E$16="VESQ",),1,0))))*'1 P-T +'!E$24</f>
        <v>0</v>
      </c>
      <c r="AS49" s="845">
        <f>IF('1 P-T +'!F$22&lt;250.1,IF('1 P-T +'!F$23&gt;56,IF('1 P-T +'!F$23&lt;70.1,IF(OR('1 P-T +'!F$16="V",'1 P-T +'!F$16="VT",'1 P-T +'!F$16="VTT",'1 P-T +'!F$16="VSB",'1 P-T +'!F$16="VE",'1 P-T +'!F$16="VET",'1 P-T +'!F$16="VESQ",),1,0))))*'1 P-T +'!F$24</f>
        <v>0</v>
      </c>
      <c r="AT49" s="845">
        <f>IF('1 P-T +'!G$22&lt;250.1,IF('1 P-T +'!G$23&gt;56,IF('1 P-T +'!G$23&lt;70.1,IF(OR('1 P-T +'!G$16="V",'1 P-T +'!G$16="VT",'1 P-T +'!G$16="VTT",'1 P-T +'!G$16="VSB",'1 P-T +'!G$16="VE",'1 P-T +'!G$16="VET",'1 P-T +'!G$16="VESQ",),1,0))))*'1 P-T +'!G$24</f>
        <v>0</v>
      </c>
      <c r="AU49" s="845">
        <f>IF('1 P-T +'!H$22&lt;250.1,IF('1 P-T +'!H$23&gt;56,IF('1 P-T +'!H$23&lt;70.1,IF(OR('1 P-T +'!H$16="V",'1 P-T +'!H$16="VT",'1 P-T +'!H$16="VTT",'1 P-T +'!H$16="VSB",'1 P-T +'!H$16="VE",'1 P-T +'!H$16="VET",'1 P-T +'!H$16="VESQ",),1,0))))*'1 P-T +'!H$24</f>
        <v>0</v>
      </c>
      <c r="AV49" s="845">
        <f>IF('1 P-T +'!I$22&lt;250.1,IF('1 P-T +'!I$23&gt;56,IF('1 P-T +'!I$23&lt;70.1,IF(OR('1 P-T +'!I$16="V",'1 P-T +'!I$16="VT",'1 P-T +'!I$16="VTT",'1 P-T +'!I$16="VSB",'1 P-T +'!I$16="VE",'1 P-T +'!I$16="VET",'1 P-T +'!I$16="VESQ",),1,0))))*'1 P-T +'!I$24</f>
        <v>0</v>
      </c>
      <c r="AW49" s="845">
        <f>IF('1 P-T +'!J$22&lt;250.1,IF('1 P-T +'!J$23&gt;56,IF('1 P-T +'!J$23&lt;70.1,IF(OR('1 P-T +'!J$16="V",'1 P-T +'!J$16="VT",'1 P-T +'!J$16="VTT",'1 P-T +'!J$16="VSB",'1 P-T +'!J$16="VE",'1 P-T +'!J$16="VET",'1 P-T +'!J$16="VESQ",),1,0))))*'1 P-T +'!J$24</f>
        <v>0</v>
      </c>
      <c r="AX49" s="845">
        <f>IF('1 P-T +'!K$22&lt;250.1,IF('1 P-T +'!K$23&gt;56,IF('1 P-T +'!K$23&lt;70.1,IF(OR('1 P-T +'!K$16="V",'1 P-T +'!K$16="VT",'1 P-T +'!K$16="VTT",'1 P-T +'!K$16="VSB",'1 P-T +'!K$16="VE",'1 P-T +'!K$16="VET",'1 P-T +'!K$16="VESQ",),1,0))))*'1 P-T +'!K$24</f>
        <v>0</v>
      </c>
      <c r="AY49" s="845">
        <f>IF('1 P-T +'!L$22&lt;250.1,IF('1 P-T +'!L$23&gt;56,IF('1 P-T +'!L$23&lt;70.1,IF(OR('1 P-T +'!L$16="V",'1 P-T +'!L$16="VT",'1 P-T +'!L$16="VTT",'1 P-T +'!L$16="VSB",'1 P-T +'!L$16="VE",'1 P-T +'!L$16="VET",'1 P-T +'!L$16="VESQ",),1,0))))*'1 P-T +'!L$24</f>
        <v>0</v>
      </c>
      <c r="AZ49" s="845">
        <f>IF('1 P-T +'!M$22&lt;250.1,IF('1 P-T +'!M$23&gt;56,IF('1 P-T +'!M$23&lt;70.1,IF(OR('1 P-T +'!M$16="V",'1 P-T +'!M$16="VT",'1 P-T +'!M$16="VTT",'1 P-T +'!M$16="VSB",'1 P-T +'!M$16="VE",'1 P-T +'!M$16="VET",'1 P-T +'!M$16="VESQ",),1,0))))*'1 P-T +'!M$24</f>
        <v>0</v>
      </c>
      <c r="BA49" s="845">
        <f>IF('1 P-T +'!N$22&lt;250.1,IF('1 P-T +'!N$23&gt;56,IF('1 P-T +'!N$23&lt;70.1,IF(OR('1 P-T +'!N$16="V",'1 P-T +'!N$16="VT",'1 P-T +'!N$16="VTT",'1 P-T +'!N$16="VSB",'1 P-T +'!N$16="VE",'1 P-T +'!N$16="VET",'1 P-T +'!N$16="VESQ",),1,0))))*'1 P-T +'!N$24</f>
        <v>0</v>
      </c>
      <c r="BB49" s="844">
        <f t="shared" si="13"/>
        <v>0</v>
      </c>
      <c r="BC49" s="845">
        <f>IF('1 P-T +'!C$23&gt;56,IF('1 P-T +'!C$23&lt;70.1,IF('1 P-T +'!$B$29='1 P-T +'!C$16,IF('1 P-T +'!C70&gt;250,2,1))))*'1 P-T +'!C$24</f>
        <v>0</v>
      </c>
      <c r="BD49" s="845">
        <f>IF('1 P-T +'!D$23&gt;56,IF('1 P-T +'!D$23&lt;70.1,IF('1 P-T +'!$B$29='1 P-T +'!D$16,IF('1 P-T +'!D70&gt;250,2,1))))*'1 P-T +'!D$24</f>
        <v>0</v>
      </c>
      <c r="BE49" s="845">
        <f>IF('1 P-T +'!E$23&gt;56,IF('1 P-T +'!E$23&lt;70.1,IF('1 P-T +'!$B$29='1 P-T +'!E$16,IF('1 P-T +'!E70&gt;250,2,1))))*'1 P-T +'!E$24</f>
        <v>0</v>
      </c>
      <c r="BF49" s="845">
        <f>IF('1 P-T +'!F$23&gt;56,IF('1 P-T +'!F$23&lt;70.1,IF('1 P-T +'!$B$29='1 P-T +'!F$16,IF('1 P-T +'!F70&gt;250,2,1))))*'1 P-T +'!F$24</f>
        <v>0</v>
      </c>
      <c r="BG49" s="845">
        <f>IF('1 P-T +'!G$23&gt;56,IF('1 P-T +'!G$23&lt;70.1,IF('1 P-T +'!$B$29='1 P-T +'!G$16,IF('1 P-T +'!G70&gt;250,2,1))))*'1 P-T +'!G$24</f>
        <v>0</v>
      </c>
      <c r="BH49" s="845">
        <f>IF('1 P-T +'!H$23&gt;56,IF('1 P-T +'!H$23&lt;70.1,IF('1 P-T +'!$B$29='1 P-T +'!H$16,IF('1 P-T +'!H70&gt;250,2,1))))*'1 P-T +'!H$24</f>
        <v>0</v>
      </c>
      <c r="BI49" s="845">
        <f>IF('1 P-T +'!I$23&gt;56,IF('1 P-T +'!I$23&lt;70.1,IF('1 P-T +'!$B$29='1 P-T +'!I$16,IF('1 P-T +'!I70&gt;250,2,1))))*'1 P-T +'!I$24</f>
        <v>0</v>
      </c>
      <c r="BJ49" s="845">
        <f>IF('1 P-T +'!J$23&gt;56,IF('1 P-T +'!J$23&lt;70.1,IF('1 P-T +'!$B$29='1 P-T +'!J$16,IF('1 P-T +'!J70&gt;250,2,1))))*'1 P-T +'!J$24</f>
        <v>0</v>
      </c>
      <c r="BK49" s="845">
        <f>IF('1 P-T +'!K$23&gt;56,IF('1 P-T +'!K$23&lt;70.1,IF('1 P-T +'!$B$29='1 P-T +'!K$16,IF('1 P-T +'!K70&gt;250,2,1))))*'1 P-T +'!K$24</f>
        <v>0</v>
      </c>
      <c r="BL49" s="845">
        <f>IF('1 P-T +'!L$23&gt;56,IF('1 P-T +'!L$23&lt;70.1,IF('1 P-T +'!$B$29='1 P-T +'!L$16,IF('1 P-T +'!L70&gt;250,2,1))))*'1 P-T +'!L$24</f>
        <v>0</v>
      </c>
      <c r="BM49" s="845">
        <f>IF('1 P-T +'!M$23&gt;56,IF('1 P-T +'!M$23&lt;70.1,IF('1 P-T +'!$B$29='1 P-T +'!M$16,IF('1 P-T +'!M70&gt;250,2,1))))*'1 P-T +'!M$24</f>
        <v>0</v>
      </c>
      <c r="BN49" s="845">
        <f>IF('1 P-T +'!N$23&gt;56,IF('1 P-T +'!N$23&lt;70.1,IF('1 P-T +'!$B$29='1 P-T +'!N$16,IF('1 P-T +'!N70&gt;250,2,1))))*'1 P-T +'!N$24</f>
        <v>0</v>
      </c>
      <c r="BO49" s="844">
        <f t="shared" si="14"/>
        <v>0</v>
      </c>
      <c r="BP49" s="845">
        <f>IF('1 P-T +'!C$23&gt;56,IF('1 P-T +'!C$23&lt;70.1,IF('1 P-T +'!$B$30='1 P-T +'!C$16,IF('1 P-T +'!C70&gt;250,2,1))))*'1 P-T +'!C$24</f>
        <v>0</v>
      </c>
      <c r="BQ49" s="845">
        <f>IF('1 P-T +'!D$23&gt;56,IF('1 P-T +'!D$23&lt;70.1,IF('1 P-T +'!$B$30='1 P-T +'!D$16,IF('1 P-T +'!D70&gt;250,2,1))))*'1 P-T +'!D$24</f>
        <v>0</v>
      </c>
      <c r="BR49" s="845">
        <f>IF('1 P-T +'!E$23&gt;56,IF('1 P-T +'!E$23&lt;70.1,IF('1 P-T +'!$B$30='1 P-T +'!E$16,IF('1 P-T +'!E70&gt;250,2,1))))*'1 P-T +'!E$24</f>
        <v>0</v>
      </c>
      <c r="BS49" s="845">
        <f>IF('1 P-T +'!F$23&gt;56,IF('1 P-T +'!F$23&lt;70.1,IF('1 P-T +'!$B$30='1 P-T +'!F$16,IF('1 P-T +'!F70&gt;250,2,1))))*'1 P-T +'!F$24</f>
        <v>0</v>
      </c>
      <c r="BT49" s="845">
        <f>IF('1 P-T +'!G$23&gt;56,IF('1 P-T +'!G$23&lt;70.1,IF('1 P-T +'!$B$30='1 P-T +'!G$16,IF('1 P-T +'!G70&gt;250,2,1))))*'1 P-T +'!G$24</f>
        <v>0</v>
      </c>
      <c r="BU49" s="845">
        <f>IF('1 P-T +'!H$23&gt;56,IF('1 P-T +'!H$23&lt;70.1,IF('1 P-T +'!$B$30='1 P-T +'!H$16,IF('1 P-T +'!H70&gt;250,2,1))))*'1 P-T +'!H$24</f>
        <v>0</v>
      </c>
      <c r="BV49" s="845">
        <f>IF('1 P-T +'!I$23&gt;56,IF('1 P-T +'!I$23&lt;70.1,IF('1 P-T +'!$B$30='1 P-T +'!I$16,IF('1 P-T +'!I70&gt;250,2,1))))*'1 P-T +'!I$24</f>
        <v>0</v>
      </c>
      <c r="BW49" s="845">
        <f>IF('1 P-T +'!J$23&gt;56,IF('1 P-T +'!J$23&lt;70.1,IF('1 P-T +'!$B$30='1 P-T +'!J$16,IF('1 P-T +'!J70&gt;250,2,1))))*'1 P-T +'!J$24</f>
        <v>0</v>
      </c>
      <c r="BX49" s="845">
        <f>IF('1 P-T +'!K$23&gt;56,IF('1 P-T +'!K$23&lt;70.1,IF('1 P-T +'!$B$30='1 P-T +'!K$16,IF('1 P-T +'!K70&gt;250,2,1))))*'1 P-T +'!K$24</f>
        <v>0</v>
      </c>
      <c r="BY49" s="845">
        <f>IF('1 P-T +'!L$23&gt;56,IF('1 P-T +'!L$23&lt;70.1,IF('1 P-T +'!$B$30='1 P-T +'!L$16,IF('1 P-T +'!L70&gt;250,2,1))))*'1 P-T +'!L$24</f>
        <v>0</v>
      </c>
      <c r="BZ49" s="845">
        <f>IF('1 P-T +'!M$23&gt;56,IF('1 P-T +'!M$23&lt;70.1,IF('1 P-T +'!$B$30='1 P-T +'!M$16,IF('1 P-T +'!M70&gt;250,2,1))))*'1 P-T +'!M$24</f>
        <v>0</v>
      </c>
      <c r="CA49" s="845">
        <f>IF('1 P-T +'!N$23&gt;56,IF('1 P-T +'!N$23&lt;70.1,IF('1 P-T +'!$B$30='1 P-T +'!N$16,IF('1 P-T +'!N70&gt;250,2,1))))*'1 P-T +'!N$24</f>
        <v>0</v>
      </c>
      <c r="CB49" s="844">
        <f t="shared" si="15"/>
        <v>0</v>
      </c>
      <c r="CC49" s="845">
        <f>IF('1 P-T +'!C$23&gt;56,IF('1 P-T +'!C$23&lt;70.1,IF('1 P-T +'!$B$31='1 P-T +'!C$16,IF('1 P-T +'!O70&gt;250,2,1))))*'1 P-T +'!C$24</f>
        <v>0</v>
      </c>
      <c r="CD49" s="845">
        <f>IF('1 P-T +'!D$23&gt;56,IF('1 P-T +'!D$23&lt;70.1,IF('1 P-T +'!$B$31='1 P-T +'!D$16,IF('1 P-T +'!P70&gt;250,2,1))))*'1 P-T +'!D$24</f>
        <v>0</v>
      </c>
      <c r="CE49" s="845">
        <f>IF('1 P-T +'!E$23&gt;56,IF('1 P-T +'!E$23&lt;70.1,IF('1 P-T +'!$B$31='1 P-T +'!E$16,IF('1 P-T +'!Q70&gt;250,2,1))))*'1 P-T +'!E$24</f>
        <v>0</v>
      </c>
      <c r="CF49" s="845">
        <f>IF('1 P-T +'!F$23&gt;56,IF('1 P-T +'!F$23&lt;70.1,IF('1 P-T +'!$B$31='1 P-T +'!F$16,IF('1 P-T +'!R70&gt;250,2,1))))*'1 P-T +'!F$24</f>
        <v>0</v>
      </c>
      <c r="CG49" s="845">
        <f>IF('1 P-T +'!G$23&gt;56,IF('1 P-T +'!G$23&lt;70.1,IF('1 P-T +'!$B$31='1 P-T +'!G$16,IF('1 P-T +'!S70&gt;250,2,1))))*'1 P-T +'!G$24</f>
        <v>0</v>
      </c>
      <c r="CH49" s="845">
        <f>IF('1 P-T +'!H$23&gt;56,IF('1 P-T +'!H$23&lt;70.1,IF('1 P-T +'!$B$31='1 P-T +'!H$16,IF('1 P-T +'!T70&gt;250,2,1))))*'1 P-T +'!H$24</f>
        <v>0</v>
      </c>
      <c r="CI49" s="845">
        <f>IF('1 P-T +'!I$23&gt;56,IF('1 P-T +'!I$23&lt;70.1,IF('1 P-T +'!$B$31='1 P-T +'!I$16,IF('1 P-T +'!U70&gt;250,2,1))))*'1 P-T +'!I$24</f>
        <v>0</v>
      </c>
      <c r="CJ49" s="845">
        <f>IF('1 P-T +'!J$23&gt;56,IF('1 P-T +'!J$23&lt;70.1,IF('1 P-T +'!$B$31='1 P-T +'!J$16,IF('1 P-T +'!V70&gt;250,2,1))))*'1 P-T +'!J$24</f>
        <v>0</v>
      </c>
      <c r="CK49" s="845">
        <f>IF('1 P-T +'!K$23&gt;56,IF('1 P-T +'!K$23&lt;70.1,IF('1 P-T +'!$B$31='1 P-T +'!K$16,IF('1 P-T +'!W70&gt;250,2,1))))*'1 P-T +'!K$24</f>
        <v>0</v>
      </c>
      <c r="CL49" s="845">
        <f>IF('1 P-T +'!L$23&gt;56,IF('1 P-T +'!L$23&lt;70.1,IF('1 P-T +'!$B$31='1 P-T +'!L$16,IF('1 P-T +'!X70&gt;250,2,1))))*'1 P-T +'!L$24</f>
        <v>0</v>
      </c>
      <c r="CM49" s="845">
        <f>IF('1 P-T +'!M$23&gt;56,IF('1 P-T +'!M$23&lt;70.1,IF('1 P-T +'!$B$31='1 P-T +'!M$16,IF('1 P-T +'!Y70&gt;250,2,1))))*'1 P-T +'!M$24</f>
        <v>0</v>
      </c>
      <c r="CN49" s="845">
        <f>IF('1 P-T +'!N$23&gt;56,IF('1 P-T +'!N$23&lt;70.1,IF('1 P-T +'!$B$31='1 P-T +'!N$16,IF('1 P-T +'!Z70&gt;250,2,1))))*'1 P-T +'!N$24</f>
        <v>0</v>
      </c>
      <c r="CO49" s="844">
        <f t="shared" si="16"/>
        <v>0</v>
      </c>
      <c r="CP49" s="845">
        <f>IF('1 P-T +'!C$23&gt;56,IF('1 P-T +'!C$23&lt;70.1,IF('1 P-T +'!$B$32='1 P-T +'!C$16,IF('1 P-T +'!AM70&gt;250,2,1))))*'1 P-T +'!C$24</f>
        <v>0</v>
      </c>
      <c r="CQ49" s="845">
        <f>IF('1 P-T +'!D$23&gt;56,IF('1 P-T +'!D$23&lt;70.1,IF('1 P-T +'!$B$32='1 P-T +'!D$16,IF('1 P-T +'!AN70&gt;250,2,1))))*'1 P-T +'!D$24</f>
        <v>0</v>
      </c>
      <c r="CR49" s="845">
        <f>IF('1 P-T +'!E$23&gt;56,IF('1 P-T +'!E$23&lt;70.1,IF('1 P-T +'!$B$32='1 P-T +'!E$16,IF('1 P-T +'!AO70&gt;250,2,1))))*'1 P-T +'!E$24</f>
        <v>0</v>
      </c>
      <c r="CS49" s="845">
        <f>IF('1 P-T +'!F$23&gt;56,IF('1 P-T +'!F$23&lt;70.1,IF('1 P-T +'!$B$32='1 P-T +'!F$16,IF('1 P-T +'!AP70&gt;250,2,1))))*'1 P-T +'!F$24</f>
        <v>0</v>
      </c>
      <c r="CT49" s="845">
        <f>IF('1 P-T +'!G$23&gt;56,IF('1 P-T +'!G$23&lt;70.1,IF('1 P-T +'!$B$32='1 P-T +'!G$16,IF('1 P-T +'!AQ70&gt;250,2,1))))*'1 P-T +'!G$24</f>
        <v>0</v>
      </c>
      <c r="CU49" s="845">
        <f>IF('1 P-T +'!H$23&gt;56,IF('1 P-T +'!H$23&lt;70.1,IF('1 P-T +'!$B$32='1 P-T +'!H$16,IF('1 P-T +'!AR70&gt;250,2,1))))*'1 P-T +'!H$24</f>
        <v>0</v>
      </c>
      <c r="CV49" s="845">
        <f>IF('1 P-T +'!I$23&gt;56,IF('1 P-T +'!I$23&lt;70.1,IF('1 P-T +'!$B$32='1 P-T +'!I$16,IF('1 P-T +'!AS70&gt;250,2,1))))*'1 P-T +'!I$24</f>
        <v>0</v>
      </c>
      <c r="CW49" s="845">
        <f>IF('1 P-T +'!J$23&gt;56,IF('1 P-T +'!J$23&lt;70.1,IF('1 P-T +'!$B$32='1 P-T +'!J$16,IF('1 P-T +'!AT70&gt;250,2,1))))*'1 P-T +'!J$24</f>
        <v>0</v>
      </c>
      <c r="CX49" s="845">
        <f>IF('1 P-T +'!K$23&gt;56,IF('1 P-T +'!K$23&lt;70.1,IF('1 P-T +'!$B$32='1 P-T +'!K$16,IF('1 P-T +'!AU70&gt;250,2,1))))*'1 P-T +'!K$24</f>
        <v>0</v>
      </c>
      <c r="CY49" s="845">
        <f>IF('1 P-T +'!L$23&gt;56,IF('1 P-T +'!L$23&lt;70.1,IF('1 P-T +'!$B$32='1 P-T +'!L$16,IF('1 P-T +'!AV70&gt;250,2,1))))*'1 P-T +'!L$24</f>
        <v>0</v>
      </c>
      <c r="CZ49" s="845">
        <f>IF('1 P-T +'!M$23&gt;56,IF('1 P-T +'!M$23&lt;70.1,IF('1 P-T +'!$B$32='1 P-T +'!M$16,IF('1 P-T +'!AW70&gt;250,2,1))))*'1 P-T +'!M$24</f>
        <v>0</v>
      </c>
      <c r="DA49" s="845">
        <f>IF('1 P-T +'!N$23&gt;56,IF('1 P-T +'!N$23&lt;70.1,IF('1 P-T +'!$B$32='1 P-T +'!N$16,IF('1 P-T +'!AX70&gt;250,2,1))))*'1 P-T +'!N$24</f>
        <v>0</v>
      </c>
      <c r="DB49" s="844">
        <f t="shared" si="17"/>
        <v>0</v>
      </c>
      <c r="DC49" s="838"/>
      <c r="DD49" s="838"/>
      <c r="DE49" s="838"/>
      <c r="DF49" s="838"/>
      <c r="DG49" s="838"/>
      <c r="DJ49" s="838"/>
      <c r="DK49" s="838"/>
      <c r="DL49" s="838"/>
      <c r="DM49" s="838"/>
      <c r="DN49" s="838"/>
      <c r="DO49" s="838"/>
      <c r="DP49" s="838"/>
      <c r="DQ49" s="838"/>
      <c r="DR49" s="838"/>
      <c r="DS49" s="838"/>
      <c r="DT49" s="521"/>
      <c r="DU49" s="838"/>
      <c r="DV49" s="838"/>
      <c r="DW49" s="838"/>
      <c r="FG49" s="838"/>
      <c r="FH49" s="838"/>
      <c r="FI49" s="838"/>
      <c r="FJ49" s="838"/>
      <c r="FK49" s="838"/>
      <c r="FL49" s="838"/>
      <c r="FM49" s="838"/>
      <c r="FN49" s="838"/>
      <c r="FO49" s="838"/>
    </row>
    <row r="50" spans="1:193" x14ac:dyDescent="0.35">
      <c r="A50" s="852"/>
      <c r="C50" s="838"/>
      <c r="D50" s="838"/>
      <c r="E50" s="838"/>
      <c r="F50" s="838"/>
      <c r="G50" s="838"/>
      <c r="H50" s="838"/>
      <c r="I50" s="838"/>
      <c r="J50" s="838"/>
      <c r="K50" s="838"/>
      <c r="L50" s="838"/>
      <c r="M50" s="838"/>
      <c r="N50" s="838"/>
      <c r="O50" s="838"/>
      <c r="P50" s="855"/>
      <c r="Q50" s="855"/>
      <c r="R50" s="855"/>
      <c r="S50" s="855"/>
      <c r="T50" s="855"/>
      <c r="U50" s="855"/>
      <c r="V50" s="855"/>
      <c r="W50" s="855"/>
      <c r="X50" s="855"/>
      <c r="Y50" s="855"/>
      <c r="Z50" s="855"/>
      <c r="AA50" s="855"/>
      <c r="AB50" s="838"/>
      <c r="AC50" s="855"/>
      <c r="AD50" s="838"/>
      <c r="AE50" s="855"/>
      <c r="AF50" s="838"/>
      <c r="AG50" s="855"/>
      <c r="AH50" s="838"/>
      <c r="AI50" s="855"/>
      <c r="AJ50" s="838"/>
      <c r="AK50" s="855"/>
      <c r="AL50" s="838"/>
      <c r="AM50" s="855"/>
      <c r="AN50" s="838"/>
      <c r="AO50" s="855"/>
      <c r="AP50" s="845">
        <f>IF('1 P-T +'!C$22&lt;250.1,IF('1 P-T +'!C$23&gt;70,IF('1 P-T +'!C$23&lt;84.1,IF(OR('1 P-T +'!C$16="V",'1 P-T +'!C$16="VT",'1 P-T +'!C$16="VTT",'1 P-T +'!C$16="VSB",'1 P-T +'!C$16="VE",'1 P-T +'!C$16="VET",'1 P-T +'!C$16="VESQ",),1,0))))*'1 P-T +'!C$24</f>
        <v>0</v>
      </c>
      <c r="AQ50" s="845">
        <f>IF('1 P-T +'!D$22&lt;250.1,IF('1 P-T +'!D$23&gt;70,IF('1 P-T +'!D$23&lt;84.1,IF(OR('1 P-T +'!D$16="V",'1 P-T +'!D$16="VT",'1 P-T +'!D$16="VTT",'1 P-T +'!D$16="VSB",'1 P-T +'!D$16="VE",'1 P-T +'!D$16="VET",'1 P-T +'!D$16="VESQ",),1,0))))*'1 P-T +'!D$24</f>
        <v>0</v>
      </c>
      <c r="AR50" s="845">
        <f>IF('1 P-T +'!E$22&lt;250.1,IF('1 P-T +'!E$23&gt;70,IF('1 P-T +'!E$23&lt;84.1,IF(OR('1 P-T +'!E$16="V",'1 P-T +'!E$16="VT",'1 P-T +'!E$16="VTT",'1 P-T +'!E$16="VSB",'1 P-T +'!E$16="VE",'1 P-T +'!E$16="VET",'1 P-T +'!E$16="VESQ",),1,0))))*'1 P-T +'!E$24</f>
        <v>0</v>
      </c>
      <c r="AS50" s="845">
        <f>IF('1 P-T +'!F$22&lt;250.1,IF('1 P-T +'!F$23&gt;70,IF('1 P-T +'!F$23&lt;84.1,IF(OR('1 P-T +'!F$16="V",'1 P-T +'!F$16="VT",'1 P-T +'!F$16="VTT",'1 P-T +'!F$16="VSB",'1 P-T +'!F$16="VE",'1 P-T +'!F$16="VET",'1 P-T +'!F$16="VESQ",),1,0))))*'1 P-T +'!F$24</f>
        <v>0</v>
      </c>
      <c r="AT50" s="845">
        <f>IF('1 P-T +'!G$22&lt;250.1,IF('1 P-T +'!G$23&gt;70,IF('1 P-T +'!G$23&lt;84.1,IF(OR('1 P-T +'!G$16="V",'1 P-T +'!G$16="VT",'1 P-T +'!G$16="VTT",'1 P-T +'!G$16="VSB",'1 P-T +'!G$16="VE",'1 P-T +'!G$16="VET",'1 P-T +'!G$16="VESQ",),1,0))))*'1 P-T +'!G$24</f>
        <v>0</v>
      </c>
      <c r="AU50" s="845">
        <f>IF('1 P-T +'!H$22&lt;250.1,IF('1 P-T +'!H$23&gt;70,IF('1 P-T +'!H$23&lt;84.1,IF(OR('1 P-T +'!H$16="V",'1 P-T +'!H$16="VT",'1 P-T +'!H$16="VTT",'1 P-T +'!H$16="VSB",'1 P-T +'!H$16="VE",'1 P-T +'!H$16="VET",'1 P-T +'!H$16="VESQ",),1,0))))*'1 P-T +'!H$24</f>
        <v>0</v>
      </c>
      <c r="AV50" s="845">
        <f>IF('1 P-T +'!I$22&lt;250.1,IF('1 P-T +'!I$23&gt;70,IF('1 P-T +'!I$23&lt;84.1,IF(OR('1 P-T +'!I$16="V",'1 P-T +'!I$16="VT",'1 P-T +'!I$16="VTT",'1 P-T +'!I$16="VSB",'1 P-T +'!I$16="VE",'1 P-T +'!I$16="VET",'1 P-T +'!I$16="VESQ",),1,0))))*'1 P-T +'!I$24</f>
        <v>0</v>
      </c>
      <c r="AW50" s="845">
        <f>IF('1 P-T +'!J$22&lt;250.1,IF('1 P-T +'!J$23&gt;70,IF('1 P-T +'!J$23&lt;84.1,IF(OR('1 P-T +'!J$16="V",'1 P-T +'!J$16="VT",'1 P-T +'!J$16="VTT",'1 P-T +'!J$16="VSB",'1 P-T +'!J$16="VE",'1 P-T +'!J$16="VET",'1 P-T +'!J$16="VESQ",),1,0))))*'1 P-T +'!J$24</f>
        <v>0</v>
      </c>
      <c r="AX50" s="845">
        <f>IF('1 P-T +'!K$22&lt;250.1,IF('1 P-T +'!K$23&gt;70,IF('1 P-T +'!K$23&lt;84.1,IF(OR('1 P-T +'!K$16="V",'1 P-T +'!K$16="VT",'1 P-T +'!K$16="VTT",'1 P-T +'!K$16="VSB",'1 P-T +'!K$16="VE",'1 P-T +'!K$16="VET",'1 P-T +'!K$16="VESQ",),1,0))))*'1 P-T +'!K$24</f>
        <v>0</v>
      </c>
      <c r="AY50" s="845">
        <f>IF('1 P-T +'!L$22&lt;250.1,IF('1 P-T +'!L$23&gt;70,IF('1 P-T +'!L$23&lt;84.1,IF(OR('1 P-T +'!L$16="V",'1 P-T +'!L$16="VT",'1 P-T +'!L$16="VTT",'1 P-T +'!L$16="VSB",'1 P-T +'!L$16="VE",'1 P-T +'!L$16="VET",'1 P-T +'!L$16="VESQ",),1,0))))*'1 P-T +'!L$24</f>
        <v>0</v>
      </c>
      <c r="AZ50" s="845">
        <f>IF('1 P-T +'!M$22&lt;250.1,IF('1 P-T +'!M$23&gt;70,IF('1 P-T +'!M$23&lt;84.1,IF(OR('1 P-T +'!M$16="V",'1 P-T +'!M$16="VT",'1 P-T +'!M$16="VTT",'1 P-T +'!M$16="VSB",'1 P-T +'!M$16="VE",'1 P-T +'!M$16="VET",'1 P-T +'!M$16="VESQ",),1,0))))*'1 P-T +'!M$24</f>
        <v>0</v>
      </c>
      <c r="BA50" s="845">
        <f>IF('1 P-T +'!N$22&lt;250.1,IF('1 P-T +'!N$23&gt;70,IF('1 P-T +'!N$23&lt;84.1,IF(OR('1 P-T +'!N$16="V",'1 P-T +'!N$16="VT",'1 P-T +'!N$16="VTT",'1 P-T +'!N$16="VSB",'1 P-T +'!N$16="VE",'1 P-T +'!N$16="VET",'1 P-T +'!N$16="VESQ",),1,0))))*'1 P-T +'!N$24</f>
        <v>0</v>
      </c>
      <c r="BB50" s="844">
        <f t="shared" si="13"/>
        <v>0</v>
      </c>
      <c r="BC50" s="845" t="b">
        <f>IF('1 P-T +'!C$23&gt;70,IF('1 P-T +'!C$23&lt;84.1,IF('1 P-T +'!$B$29='1 P-T +'!C$16,((('1 P-T +'!C$22-200)*4)/160)*'1 P-T +'!C$24,0)))</f>
        <v>0</v>
      </c>
      <c r="BD50" s="845" t="b">
        <f>IF('1 P-T +'!D$23&gt;70,IF('1 P-T +'!D$23&lt;84.1,IF('1 P-T +'!$B$29='1 P-T +'!D$16,((('1 P-T +'!D$22-200)*4)/160)*'1 P-T +'!D$24,0)))</f>
        <v>0</v>
      </c>
      <c r="BE50" s="845" t="b">
        <f>IF('1 P-T +'!E$23&gt;70,IF('1 P-T +'!E$23&lt;84.1,IF('1 P-T +'!$B$29='1 P-T +'!E$16,((('1 P-T +'!E$22-200)*4)/160)*'1 P-T +'!E$24,0)))</f>
        <v>0</v>
      </c>
      <c r="BF50" s="845" t="b">
        <f>IF('1 P-T +'!F$23&gt;70,IF('1 P-T +'!F$23&lt;84.1,IF('1 P-T +'!$B$29='1 P-T +'!F$16,((('1 P-T +'!F$22-200)*4)/160)*'1 P-T +'!F$24,0)))</f>
        <v>0</v>
      </c>
      <c r="BG50" s="845" t="b">
        <f>IF('1 P-T +'!G$23&gt;70,IF('1 P-T +'!G$23&lt;84.1,IF('1 P-T +'!$B$29='1 P-T +'!G$16,((('1 P-T +'!G$22-200)*4)/160)*'1 P-T +'!G$24,0)))</f>
        <v>0</v>
      </c>
      <c r="BH50" s="845" t="b">
        <f>IF('1 P-T +'!H$23&gt;70,IF('1 P-T +'!H$23&lt;84.1,IF('1 P-T +'!$B$29='1 P-T +'!H$16,((('1 P-T +'!H$22-200)*4)/160)*'1 P-T +'!H$24,0)))</f>
        <v>0</v>
      </c>
      <c r="BI50" s="845" t="b">
        <f>IF('1 P-T +'!I$23&gt;70,IF('1 P-T +'!I$23&lt;84.1,IF('1 P-T +'!$B$29='1 P-T +'!I$16,((('1 P-T +'!I$22-200)*4)/160)*'1 P-T +'!I$24,0)))</f>
        <v>0</v>
      </c>
      <c r="BJ50" s="845" t="b">
        <f>IF('1 P-T +'!J$23&gt;70,IF('1 P-T +'!J$23&lt;84.1,IF('1 P-T +'!$B$29='1 P-T +'!J$16,((('1 P-T +'!J$22-200)*4)/160)*'1 P-T +'!J$24,0)))</f>
        <v>0</v>
      </c>
      <c r="BK50" s="845" t="b">
        <f>IF('1 P-T +'!K$23&gt;70,IF('1 P-T +'!K$23&lt;84.1,IF('1 P-T +'!$B$29='1 P-T +'!K$16,((('1 P-T +'!K$22-200)*4)/160)*'1 P-T +'!K$24,0)))</f>
        <v>0</v>
      </c>
      <c r="BL50" s="845" t="b">
        <f>IF('1 P-T +'!L$23&gt;70,IF('1 P-T +'!L$23&lt;84.1,IF('1 P-T +'!$B$29='1 P-T +'!L$16,((('1 P-T +'!L$22-200)*4)/160)*'1 P-T +'!L$24,0)))</f>
        <v>0</v>
      </c>
      <c r="BM50" s="845" t="b">
        <f>IF('1 P-T +'!M$23&gt;70,IF('1 P-T +'!M$23&lt;84.1,IF('1 P-T +'!$B$29='1 P-T +'!M$16,((('1 P-T +'!M$22-200)*4)/160)*'1 P-T +'!M$24,0)))</f>
        <v>0</v>
      </c>
      <c r="BN50" s="845" t="b">
        <f>IF('1 P-T +'!N$23&gt;70,IF('1 P-T +'!N$23&lt;84.1,IF('1 P-T +'!$B$29='1 P-T +'!N$16,((('1 P-T +'!N$22-200)*4)/160)*'1 P-T +'!N$24,0)))</f>
        <v>0</v>
      </c>
      <c r="BO50" s="844">
        <f t="shared" si="14"/>
        <v>0</v>
      </c>
      <c r="BP50" s="845" t="b">
        <f>IF('1 P-T +'!C$23&gt;70,IF('1 P-T +'!C$23&lt;84.1,IF('1 P-T +'!$B$30='1 P-T +'!C$16,((('1 P-T +'!C$22-200)*4)/160)*'1 P-T +'!C$24,0)))</f>
        <v>0</v>
      </c>
      <c r="BQ50" s="845" t="b">
        <f>IF('1 P-T +'!D$23&gt;70,IF('1 P-T +'!D$23&lt;84.1,IF('1 P-T +'!$B$30='1 P-T +'!D$16,((('1 P-T +'!D$22-200)*4)/160)*'1 P-T +'!D$24,0)))</f>
        <v>0</v>
      </c>
      <c r="BR50" s="845" t="b">
        <f>IF('1 P-T +'!E$23&gt;70,IF('1 P-T +'!E$23&lt;84.1,IF('1 P-T +'!$B$30='1 P-T +'!E$16,((('1 P-T +'!E$22-200)*4)/160)*'1 P-T +'!E$24,0)))</f>
        <v>0</v>
      </c>
      <c r="BS50" s="845" t="b">
        <f>IF('1 P-T +'!F$23&gt;70,IF('1 P-T +'!F$23&lt;84.1,IF('1 P-T +'!$B$30='1 P-T +'!F$16,((('1 P-T +'!F$22-200)*4)/160)*'1 P-T +'!F$24,0)))</f>
        <v>0</v>
      </c>
      <c r="BT50" s="845" t="b">
        <f>IF('1 P-T +'!G$23&gt;70,IF('1 P-T +'!G$23&lt;84.1,IF('1 P-T +'!$B$30='1 P-T +'!G$16,((('1 P-T +'!G$22-200)*4)/160)*'1 P-T +'!G$24,0)))</f>
        <v>0</v>
      </c>
      <c r="BU50" s="845" t="b">
        <f>IF('1 P-T +'!H$23&gt;70,IF('1 P-T +'!H$23&lt;84.1,IF('1 P-T +'!$B$30='1 P-T +'!H$16,((('1 P-T +'!H$22-200)*4)/160)*'1 P-T +'!H$24,0)))</f>
        <v>0</v>
      </c>
      <c r="BV50" s="845" t="b">
        <f>IF('1 P-T +'!I$23&gt;70,IF('1 P-T +'!I$23&lt;84.1,IF('1 P-T +'!$B$30='1 P-T +'!I$16,((('1 P-T +'!I$22-200)*4)/160)*'1 P-T +'!I$24,0)))</f>
        <v>0</v>
      </c>
      <c r="BW50" s="845" t="b">
        <f>IF('1 P-T +'!J$23&gt;70,IF('1 P-T +'!J$23&lt;84.1,IF('1 P-T +'!$B$30='1 P-T +'!J$16,((('1 P-T +'!J$22-200)*4)/160)*'1 P-T +'!J$24,0)))</f>
        <v>0</v>
      </c>
      <c r="BX50" s="845" t="b">
        <f>IF('1 P-T +'!K$23&gt;70,IF('1 P-T +'!K$23&lt;84.1,IF('1 P-T +'!$B$30='1 P-T +'!K$16,((('1 P-T +'!K$22-200)*4)/160)*'1 P-T +'!K$24,0)))</f>
        <v>0</v>
      </c>
      <c r="BY50" s="845" t="b">
        <f>IF('1 P-T +'!L$23&gt;70,IF('1 P-T +'!L$23&lt;84.1,IF('1 P-T +'!$B$30='1 P-T +'!L$16,((('1 P-T +'!L$22-200)*4)/160)*'1 P-T +'!L$24,0)))</f>
        <v>0</v>
      </c>
      <c r="BZ50" s="845" t="b">
        <f>IF('1 P-T +'!M$23&gt;70,IF('1 P-T +'!M$23&lt;84.1,IF('1 P-T +'!$B$30='1 P-T +'!M$16,((('1 P-T +'!M$22-200)*4)/160)*'1 P-T +'!M$24,0)))</f>
        <v>0</v>
      </c>
      <c r="CA50" s="845" t="b">
        <f>IF('1 P-T +'!N$23&gt;70,IF('1 P-T +'!N$23&lt;84.1,IF('1 P-T +'!$B$30='1 P-T +'!N$16,((('1 P-T +'!N$22-200)*4)/160)*'1 P-T +'!N$24,0)))</f>
        <v>0</v>
      </c>
      <c r="CB50" s="844">
        <f t="shared" si="15"/>
        <v>0</v>
      </c>
      <c r="CC50" s="845" t="b">
        <f>IF('1 P-T +'!C$23&gt;70,IF('1 P-T +'!C$23&lt;84.1,IF('1 P-T +'!$B$31='1 P-T +'!C$16,((('1 P-T +'!C$22-200)*4)/160)*'1 P-T +'!C$24,0)))</f>
        <v>0</v>
      </c>
      <c r="CD50" s="845" t="b">
        <f>IF('1 P-T +'!D$23&gt;70,IF('1 P-T +'!D$23&lt;84.1,IF('1 P-T +'!$B$31='1 P-T +'!D$16,((('1 P-T +'!D$22-200)*4)/160)*'1 P-T +'!D$24,0)))</f>
        <v>0</v>
      </c>
      <c r="CE50" s="845" t="b">
        <f>IF('1 P-T +'!E$23&gt;70,IF('1 P-T +'!E$23&lt;84.1,IF('1 P-T +'!$B$31='1 P-T +'!E$16,((('1 P-T +'!E$22-200)*4)/160)*'1 P-T +'!E$24,0)))</f>
        <v>0</v>
      </c>
      <c r="CF50" s="845" t="b">
        <f>IF('1 P-T +'!F$23&gt;70,IF('1 P-T +'!F$23&lt;84.1,IF('1 P-T +'!$B$31='1 P-T +'!F$16,((('1 P-T +'!F$22-200)*4)/160)*'1 P-T +'!F$24,0)))</f>
        <v>0</v>
      </c>
      <c r="CG50" s="845" t="b">
        <f>IF('1 P-T +'!G$23&gt;70,IF('1 P-T +'!G$23&lt;84.1,IF('1 P-T +'!$B$31='1 P-T +'!G$16,((('1 P-T +'!G$22-200)*4)/160)*'1 P-T +'!G$24,0)))</f>
        <v>0</v>
      </c>
      <c r="CH50" s="845" t="b">
        <f>IF('1 P-T +'!H$23&gt;70,IF('1 P-T +'!H$23&lt;84.1,IF('1 P-T +'!$B$31='1 P-T +'!H$16,((('1 P-T +'!H$22-200)*4)/160)*'1 P-T +'!H$24,0)))</f>
        <v>0</v>
      </c>
      <c r="CI50" s="845" t="b">
        <f>IF('1 P-T +'!I$23&gt;70,IF('1 P-T +'!I$23&lt;84.1,IF('1 P-T +'!$B$31='1 P-T +'!I$16,((('1 P-T +'!I$22-200)*4)/160)*'1 P-T +'!I$24,0)))</f>
        <v>0</v>
      </c>
      <c r="CJ50" s="845" t="b">
        <f>IF('1 P-T +'!J$23&gt;70,IF('1 P-T +'!J$23&lt;84.1,IF('1 P-T +'!$B$31='1 P-T +'!J$16,((('1 P-T +'!J$22-200)*4)/160)*'1 P-T +'!J$24,0)))</f>
        <v>0</v>
      </c>
      <c r="CK50" s="845" t="b">
        <f>IF('1 P-T +'!K$23&gt;70,IF('1 P-T +'!K$23&lt;84.1,IF('1 P-T +'!$B$31='1 P-T +'!K$16,((('1 P-T +'!K$22-200)*4)/160)*'1 P-T +'!K$24,0)))</f>
        <v>0</v>
      </c>
      <c r="CL50" s="845" t="b">
        <f>IF('1 P-T +'!L$23&gt;70,IF('1 P-T +'!L$23&lt;84.1,IF('1 P-T +'!$B$31='1 P-T +'!L$16,((('1 P-T +'!L$22-200)*4)/160)*'1 P-T +'!L$24,0)))</f>
        <v>0</v>
      </c>
      <c r="CM50" s="845" t="b">
        <f>IF('1 P-T +'!M$23&gt;70,IF('1 P-T +'!M$23&lt;84.1,IF('1 P-T +'!$B$31='1 P-T +'!M$16,((('1 P-T +'!M$22-200)*4)/160)*'1 P-T +'!M$24,0)))</f>
        <v>0</v>
      </c>
      <c r="CN50" s="845" t="b">
        <f>IF('1 P-T +'!N$23&gt;70,IF('1 P-T +'!N$23&lt;84.1,IF('1 P-T +'!$B$31='1 P-T +'!N$16,((('1 P-T +'!N$22-200)*4)/160)*'1 P-T +'!N$24,0)))</f>
        <v>0</v>
      </c>
      <c r="CO50" s="844">
        <f t="shared" si="16"/>
        <v>0</v>
      </c>
      <c r="CP50" s="845" t="b">
        <f>IF('1 P-T +'!C$23&gt;70,IF('1 P-T +'!C$23&lt;84.1,IF('1 P-T +'!$B$32='1 P-T +'!C$16,((('1 P-T +'!C$22-200)*4)/160)*'1 P-T +'!C$24,0)))</f>
        <v>0</v>
      </c>
      <c r="CQ50" s="845" t="b">
        <f>IF('1 P-T +'!D$23&gt;70,IF('1 P-T +'!D$23&lt;84.1,IF('1 P-T +'!$B$32='1 P-T +'!D$16,((('1 P-T +'!D$22-200)*4)/160)*'1 P-T +'!D$24,0)))</f>
        <v>0</v>
      </c>
      <c r="CR50" s="845" t="b">
        <f>IF('1 P-T +'!E$23&gt;70,IF('1 P-T +'!E$23&lt;84.1,IF('1 P-T +'!$B$32='1 P-T +'!E$16,((('1 P-T +'!E$22-200)*4)/160)*'1 P-T +'!E$24,0)))</f>
        <v>0</v>
      </c>
      <c r="CS50" s="845" t="b">
        <f>IF('1 P-T +'!F$23&gt;70,IF('1 P-T +'!F$23&lt;84.1,IF('1 P-T +'!$B$32='1 P-T +'!F$16,((('1 P-T +'!F$22-200)*4)/160)*'1 P-T +'!F$24,0)))</f>
        <v>0</v>
      </c>
      <c r="CT50" s="845" t="b">
        <f>IF('1 P-T +'!G$23&gt;70,IF('1 P-T +'!G$23&lt;84.1,IF('1 P-T +'!$B$32='1 P-T +'!G$16,((('1 P-T +'!G$22-200)*4)/160)*'1 P-T +'!G$24,0)))</f>
        <v>0</v>
      </c>
      <c r="CU50" s="845" t="b">
        <f>IF('1 P-T +'!H$23&gt;70,IF('1 P-T +'!H$23&lt;84.1,IF('1 P-T +'!$B$32='1 P-T +'!H$16,((('1 P-T +'!H$22-200)*4)/160)*'1 P-T +'!H$24,0)))</f>
        <v>0</v>
      </c>
      <c r="CV50" s="845" t="b">
        <f>IF('1 P-T +'!I$23&gt;70,IF('1 P-T +'!I$23&lt;84.1,IF('1 P-T +'!$B$32='1 P-T +'!I$16,((('1 P-T +'!I$22-200)*4)/160)*'1 P-T +'!I$24,0)))</f>
        <v>0</v>
      </c>
      <c r="CW50" s="845" t="b">
        <f>IF('1 P-T +'!J$23&gt;70,IF('1 P-T +'!J$23&lt;84.1,IF('1 P-T +'!$B$32='1 P-T +'!J$16,((('1 P-T +'!J$22-200)*4)/160)*'1 P-T +'!J$24,0)))</f>
        <v>0</v>
      </c>
      <c r="CX50" s="845" t="b">
        <f>IF('1 P-T +'!K$23&gt;70,IF('1 P-T +'!K$23&lt;84.1,IF('1 P-T +'!$B$32='1 P-T +'!K$16,((('1 P-T +'!K$22-200)*4)/160)*'1 P-T +'!K$24,0)))</f>
        <v>0</v>
      </c>
      <c r="CY50" s="845" t="b">
        <f>IF('1 P-T +'!L$23&gt;70,IF('1 P-T +'!L$23&lt;84.1,IF('1 P-T +'!$B$32='1 P-T +'!L$16,((('1 P-T +'!L$22-200)*4)/160)*'1 P-T +'!L$24,0)))</f>
        <v>0</v>
      </c>
      <c r="CZ50" s="845" t="b">
        <f>IF('1 P-T +'!M$23&gt;70,IF('1 P-T +'!M$23&lt;84.1,IF('1 P-T +'!$B$32='1 P-T +'!M$16,((('1 P-T +'!M$22-200)*4)/160)*'1 P-T +'!M$24,0)))</f>
        <v>0</v>
      </c>
      <c r="DA50" s="845" t="b">
        <f>IF('1 P-T +'!N$23&gt;70,IF('1 P-T +'!N$23&lt;84.1,IF('1 P-T +'!$B$32='1 P-T +'!N$16,((('1 P-T +'!N$22-200)*4)/160)*'1 P-T +'!N$24,0)))</f>
        <v>0</v>
      </c>
      <c r="DB50" s="844">
        <f t="shared" si="17"/>
        <v>0</v>
      </c>
      <c r="DC50" s="838"/>
      <c r="DD50" s="838"/>
      <c r="DE50" s="838"/>
      <c r="DF50" s="838"/>
      <c r="DG50" s="838"/>
      <c r="DJ50" s="838"/>
      <c r="DK50" s="838"/>
      <c r="DL50" s="838"/>
      <c r="DM50" s="838"/>
      <c r="DN50" s="838"/>
      <c r="DO50" s="838"/>
      <c r="DP50" s="838"/>
      <c r="DQ50" s="838"/>
      <c r="DR50" s="838"/>
      <c r="DS50" s="838"/>
      <c r="DT50" s="521"/>
      <c r="DU50" s="838"/>
      <c r="DV50" s="838"/>
      <c r="DW50" s="838"/>
      <c r="FG50" s="838"/>
      <c r="FH50" s="838"/>
      <c r="FI50" s="838"/>
      <c r="FJ50" s="838"/>
      <c r="FK50" s="838"/>
      <c r="FL50" s="838"/>
      <c r="FM50" s="838"/>
      <c r="FN50" s="838"/>
      <c r="FO50" s="838"/>
    </row>
    <row r="51" spans="1:193" x14ac:dyDescent="0.35">
      <c r="A51" s="857"/>
      <c r="B51" s="847"/>
      <c r="C51" s="838"/>
      <c r="D51" s="852"/>
      <c r="E51" s="838"/>
      <c r="F51" s="852"/>
      <c r="G51" s="838"/>
      <c r="H51" s="852"/>
      <c r="I51" s="838"/>
      <c r="J51" s="852"/>
      <c r="K51" s="838"/>
      <c r="L51" s="852"/>
      <c r="M51" s="838"/>
      <c r="N51" s="852"/>
      <c r="O51" s="838"/>
      <c r="P51" s="838"/>
      <c r="Q51" s="838"/>
      <c r="R51" s="838"/>
      <c r="S51" s="838"/>
      <c r="T51" s="838"/>
      <c r="U51" s="838"/>
      <c r="V51" s="838"/>
      <c r="W51" s="838"/>
      <c r="X51" s="838"/>
      <c r="Y51" s="838"/>
      <c r="Z51" s="838"/>
      <c r="AA51" s="838"/>
      <c r="AB51" s="838"/>
      <c r="AC51" s="855"/>
      <c r="AD51" s="838"/>
      <c r="AE51" s="855"/>
      <c r="AF51" s="838"/>
      <c r="AG51" s="855"/>
      <c r="AH51" s="838"/>
      <c r="AI51" s="855"/>
      <c r="AJ51" s="838"/>
      <c r="AK51" s="855"/>
      <c r="AL51" s="838"/>
      <c r="AM51" s="855"/>
      <c r="AN51" s="838"/>
      <c r="AO51" s="855"/>
      <c r="AP51" s="845">
        <f>IF('1 P-T +'!C$22&lt;250.1,IF('1 P-T +'!C$23&gt;84,IF('1 P-T +'!C$23&lt;112.1,IF(OR('1 P-T +'!C$16="V",'1 P-T +'!C$16="VT",'1 P-T +'!C$16="VTT",'1 P-T +'!C$16="VSB",'1 P-T +'!C$16="VE",'1 P-T +'!C$16="VET",'1 P-T +'!C$16="VESQ",),1,0))))*'1 P-T +'!C$24</f>
        <v>0</v>
      </c>
      <c r="AQ51" s="845">
        <f>IF('1 P-T +'!D$22&lt;250.1,IF('1 P-T +'!D$23&gt;84,IF('1 P-T +'!D$23&lt;112.1,IF(OR('1 P-T +'!D$16="V",'1 P-T +'!D$16="VT",'1 P-T +'!D$16="VTT",'1 P-T +'!D$16="VSB",'1 P-T +'!D$16="VE",'1 P-T +'!D$16="VET",'1 P-T +'!D$16="VESQ",),1,0))))*'1 P-T +'!D$24</f>
        <v>0</v>
      </c>
      <c r="AR51" s="845">
        <f>IF('1 P-T +'!E$22&lt;250.1,IF('1 P-T +'!E$23&gt;84,IF('1 P-T +'!E$23&lt;112.1,IF(OR('1 P-T +'!E$16="V",'1 P-T +'!E$16="VT",'1 P-T +'!E$16="VTT",'1 P-T +'!E$16="VSB",'1 P-T +'!E$16="VE",'1 P-T +'!E$16="VET",'1 P-T +'!E$16="VESQ",),1,0))))*'1 P-T +'!E$24</f>
        <v>0</v>
      </c>
      <c r="AS51" s="845">
        <f>IF('1 P-T +'!F$22&lt;250.1,IF('1 P-T +'!F$23&gt;84,IF('1 P-T +'!F$23&lt;112.1,IF(OR('1 P-T +'!F$16="V",'1 P-T +'!F$16="VT",'1 P-T +'!F$16="VTT",'1 P-T +'!F$16="VSB",'1 P-T +'!F$16="VE",'1 P-T +'!F$16="VET",'1 P-T +'!F$16="VESQ",),1,0))))*'1 P-T +'!F$24</f>
        <v>0</v>
      </c>
      <c r="AT51" s="845">
        <f>IF('1 P-T +'!G$22&lt;250.1,IF('1 P-T +'!G$23&gt;84,IF('1 P-T +'!G$23&lt;112.1,IF(OR('1 P-T +'!G$16="V",'1 P-T +'!G$16="VT",'1 P-T +'!G$16="VTT",'1 P-T +'!G$16="VSB",'1 P-T +'!G$16="VE",'1 P-T +'!G$16="VET",'1 P-T +'!G$16="VESQ",),1,0))))*'1 P-T +'!G$24</f>
        <v>0</v>
      </c>
      <c r="AU51" s="845">
        <f>IF('1 P-T +'!H$22&lt;250.1,IF('1 P-T +'!H$23&gt;84,IF('1 P-T +'!H$23&lt;112.1,IF(OR('1 P-T +'!H$16="V",'1 P-T +'!H$16="VT",'1 P-T +'!H$16="VTT",'1 P-T +'!H$16="VSB",'1 P-T +'!H$16="VE",'1 P-T +'!H$16="VET",'1 P-T +'!H$16="VESQ",),1,0))))*'1 P-T +'!H$24</f>
        <v>0</v>
      </c>
      <c r="AV51" s="845">
        <f>IF('1 P-T +'!I$22&lt;250.1,IF('1 P-T +'!I$23&gt;84,IF('1 P-T +'!I$23&lt;112.1,IF(OR('1 P-T +'!I$16="V",'1 P-T +'!I$16="VT",'1 P-T +'!I$16="VTT",'1 P-T +'!I$16="VSB",'1 P-T +'!I$16="VE",'1 P-T +'!I$16="VET",'1 P-T +'!I$16="VESQ",),1,0))))*'1 P-T +'!I$24</f>
        <v>0</v>
      </c>
      <c r="AW51" s="845">
        <f>IF('1 P-T +'!J$22&lt;250.1,IF('1 P-T +'!J$23&gt;84,IF('1 P-T +'!J$23&lt;112.1,IF(OR('1 P-T +'!J$16="V",'1 P-T +'!J$16="VT",'1 P-T +'!J$16="VTT",'1 P-T +'!J$16="VSB",'1 P-T +'!J$16="VE",'1 P-T +'!J$16="VET",'1 P-T +'!J$16="VESQ",),1,0))))*'1 P-T +'!J$24</f>
        <v>0</v>
      </c>
      <c r="AX51" s="845">
        <f>IF('1 P-T +'!K$22&lt;250.1,IF('1 P-T +'!K$23&gt;84,IF('1 P-T +'!K$23&lt;112.1,IF(OR('1 P-T +'!K$16="V",'1 P-T +'!K$16="VT",'1 P-T +'!K$16="VTT",'1 P-T +'!K$16="VSB",'1 P-T +'!K$16="VE",'1 P-T +'!K$16="VET",'1 P-T +'!K$16="VESQ",),1,0))))*'1 P-T +'!K$24</f>
        <v>0</v>
      </c>
      <c r="AY51" s="845">
        <f>IF('1 P-T +'!L$22&lt;250.1,IF('1 P-T +'!L$23&gt;84,IF('1 P-T +'!L$23&lt;112.1,IF(OR('1 P-T +'!L$16="V",'1 P-T +'!L$16="VT",'1 P-T +'!L$16="VTT",'1 P-T +'!L$16="VSB",'1 P-T +'!L$16="VE",'1 P-T +'!L$16="VET",'1 P-T +'!L$16="VESQ",),1,0))))*'1 P-T +'!L$24</f>
        <v>0</v>
      </c>
      <c r="AZ51" s="845">
        <f>IF('1 P-T +'!M$22&lt;250.1,IF('1 P-T +'!M$23&gt;84,IF('1 P-T +'!M$23&lt;112.1,IF(OR('1 P-T +'!M$16="V",'1 P-T +'!M$16="VT",'1 P-T +'!M$16="VTT",'1 P-T +'!M$16="VSB",'1 P-T +'!M$16="VE",'1 P-T +'!M$16="VET",'1 P-T +'!M$16="VESQ",),1,0))))*'1 P-T +'!M$24</f>
        <v>0</v>
      </c>
      <c r="BA51" s="845">
        <f>IF('1 P-T +'!N$22&lt;250.1,IF('1 P-T +'!N$23&gt;84,IF('1 P-T +'!N$23&lt;112.1,IF(OR('1 P-T +'!N$16="V",'1 P-T +'!N$16="VT",'1 P-T +'!N$16="VTT",'1 P-T +'!N$16="VSB",'1 P-T +'!N$16="VE",'1 P-T +'!N$16="VET",'1 P-T +'!N$16="VESQ",),1,0))))*'1 P-T +'!N$24</f>
        <v>0</v>
      </c>
      <c r="BB51" s="844">
        <f t="shared" si="13"/>
        <v>0</v>
      </c>
      <c r="BC51" s="845" t="b">
        <f>IF('1 P-T +'!C$23&gt;84,IF('1 P-T +'!C$23&lt;112.1,IF('1 P-T +'!$B$29='1 P-T +'!C$16,((('1 P-T +'!C$22-200)*4)/160)*'1 P-T +'!C$24,0)))</f>
        <v>0</v>
      </c>
      <c r="BD51" s="845" t="b">
        <f>IF('1 P-T +'!D$23&gt;84,IF('1 P-T +'!D$23&lt;112.1,IF('1 P-T +'!$B$29='1 P-T +'!D$16,((('1 P-T +'!D$22-200)*4)/160)*'1 P-T +'!D$24,0)))</f>
        <v>0</v>
      </c>
      <c r="BE51" s="845" t="b">
        <f>IF('1 P-T +'!E$23&gt;84,IF('1 P-T +'!E$23&lt;112.1,IF('1 P-T +'!$B$29='1 P-T +'!E$16,((('1 P-T +'!E$22-200)*4)/160)*'1 P-T +'!E$24,0)))</f>
        <v>0</v>
      </c>
      <c r="BF51" s="845" t="b">
        <f>IF('1 P-T +'!F$23&gt;84,IF('1 P-T +'!F$23&lt;112.1,IF('1 P-T +'!$B$29='1 P-T +'!F$16,((('1 P-T +'!F$22-200)*4)/160)*'1 P-T +'!F$24,0)))</f>
        <v>0</v>
      </c>
      <c r="BG51" s="845" t="b">
        <f>IF('1 P-T +'!G$23&gt;84,IF('1 P-T +'!G$23&lt;112.1,IF('1 P-T +'!$B$29='1 P-T +'!G$16,((('1 P-T +'!G$22-200)*4)/160)*'1 P-T +'!G$24,0)))</f>
        <v>0</v>
      </c>
      <c r="BH51" s="845" t="b">
        <f>IF('1 P-T +'!H$23&gt;84,IF('1 P-T +'!H$23&lt;112.1,IF('1 P-T +'!$B$29='1 P-T +'!H$16,((('1 P-T +'!H$22-200)*4)/160)*'1 P-T +'!H$24,0)))</f>
        <v>0</v>
      </c>
      <c r="BI51" s="845" t="b">
        <f>IF('1 P-T +'!I$23&gt;84,IF('1 P-T +'!I$23&lt;112.1,IF('1 P-T +'!$B$29='1 P-T +'!I$16,((('1 P-T +'!I$22-200)*4)/160)*'1 P-T +'!I$24,0)))</f>
        <v>0</v>
      </c>
      <c r="BJ51" s="845" t="b">
        <f>IF('1 P-T +'!J$23&gt;84,IF('1 P-T +'!J$23&lt;112.1,IF('1 P-T +'!$B$29='1 P-T +'!J$16,((('1 P-T +'!J$22-200)*4)/160)*'1 P-T +'!J$24,0)))</f>
        <v>0</v>
      </c>
      <c r="BK51" s="845" t="b">
        <f>IF('1 P-T +'!K$23&gt;84,IF('1 P-T +'!K$23&lt;112.1,IF('1 P-T +'!$B$29='1 P-T +'!K$16,((('1 P-T +'!K$22-200)*4)/160)*'1 P-T +'!K$24,0)))</f>
        <v>0</v>
      </c>
      <c r="BL51" s="845" t="b">
        <f>IF('1 P-T +'!L$23&gt;84,IF('1 P-T +'!L$23&lt;112.1,IF('1 P-T +'!$B$29='1 P-T +'!L$16,((('1 P-T +'!L$22-200)*4)/160)*'1 P-T +'!L$24,0)))</f>
        <v>0</v>
      </c>
      <c r="BM51" s="845" t="b">
        <f>IF('1 P-T +'!M$23&gt;84,IF('1 P-T +'!M$23&lt;112.1,IF('1 P-T +'!$B$29='1 P-T +'!M$16,((('1 P-T +'!M$22-200)*4)/160)*'1 P-T +'!M$24,0)))</f>
        <v>0</v>
      </c>
      <c r="BN51" s="845" t="b">
        <f>IF('1 P-T +'!N$23&gt;84,IF('1 P-T +'!N$23&lt;112.1,IF('1 P-T +'!$B$29='1 P-T +'!N$16,((('1 P-T +'!N$22-200)*4)/160)*'1 P-T +'!N$24,0)))</f>
        <v>0</v>
      </c>
      <c r="BO51" s="844">
        <f t="shared" si="14"/>
        <v>0</v>
      </c>
      <c r="BP51" s="845" t="b">
        <f>IF('1 P-T +'!C$23&gt;84,IF('1 P-T +'!C$23&lt;112.1,IF('1 P-T +'!$B$30='1 P-T +'!C$16,((('1 P-T +'!C$22-200)*4)/160)*'1 P-T +'!C$24,0)))</f>
        <v>0</v>
      </c>
      <c r="BQ51" s="845" t="b">
        <f>IF('1 P-T +'!D$23&gt;84,IF('1 P-T +'!D$23&lt;112.1,IF('1 P-T +'!$B$30='1 P-T +'!D$16,((('1 P-T +'!D$22-200)*4)/160)*'1 P-T +'!D$24,0)))</f>
        <v>0</v>
      </c>
      <c r="BR51" s="845" t="b">
        <f>IF('1 P-T +'!E$23&gt;84,IF('1 P-T +'!E$23&lt;112.1,IF('1 P-T +'!$B$30='1 P-T +'!E$16,((('1 P-T +'!E$22-200)*4)/160)*'1 P-T +'!E$24,0)))</f>
        <v>0</v>
      </c>
      <c r="BS51" s="845" t="b">
        <f>IF('1 P-T +'!F$23&gt;84,IF('1 P-T +'!F$23&lt;112.1,IF('1 P-T +'!$B$30='1 P-T +'!F$16,((('1 P-T +'!F$22-200)*4)/160)*'1 P-T +'!F$24,0)))</f>
        <v>0</v>
      </c>
      <c r="BT51" s="845" t="b">
        <f>IF('1 P-T +'!G$23&gt;84,IF('1 P-T +'!G$23&lt;112.1,IF('1 P-T +'!$B$30='1 P-T +'!G$16,((('1 P-T +'!G$22-200)*4)/160)*'1 P-T +'!G$24,0)))</f>
        <v>0</v>
      </c>
      <c r="BU51" s="845" t="b">
        <f>IF('1 P-T +'!H$23&gt;84,IF('1 P-T +'!H$23&lt;112.1,IF('1 P-T +'!$B$30='1 P-T +'!H$16,((('1 P-T +'!H$22-200)*4)/160)*'1 P-T +'!H$24,0)))</f>
        <v>0</v>
      </c>
      <c r="BV51" s="845" t="b">
        <f>IF('1 P-T +'!I$23&gt;84,IF('1 P-T +'!I$23&lt;112.1,IF('1 P-T +'!$B$30='1 P-T +'!I$16,((('1 P-T +'!I$22-200)*4)/160)*'1 P-T +'!I$24,0)))</f>
        <v>0</v>
      </c>
      <c r="BW51" s="845" t="b">
        <f>IF('1 P-T +'!J$23&gt;84,IF('1 P-T +'!J$23&lt;112.1,IF('1 P-T +'!$B$30='1 P-T +'!J$16,((('1 P-T +'!J$22-200)*4)/160)*'1 P-T +'!J$24,0)))</f>
        <v>0</v>
      </c>
      <c r="BX51" s="845" t="b">
        <f>IF('1 P-T +'!K$23&gt;84,IF('1 P-T +'!K$23&lt;112.1,IF('1 P-T +'!$B$30='1 P-T +'!K$16,((('1 P-T +'!K$22-200)*4)/160)*'1 P-T +'!K$24,0)))</f>
        <v>0</v>
      </c>
      <c r="BY51" s="845" t="b">
        <f>IF('1 P-T +'!L$23&gt;84,IF('1 P-T +'!L$23&lt;112.1,IF('1 P-T +'!$B$30='1 P-T +'!L$16,((('1 P-T +'!L$22-200)*4)/160)*'1 P-T +'!L$24,0)))</f>
        <v>0</v>
      </c>
      <c r="BZ51" s="845" t="b">
        <f>IF('1 P-T +'!M$23&gt;84,IF('1 P-T +'!M$23&lt;112.1,IF('1 P-T +'!$B$30='1 P-T +'!M$16,((('1 P-T +'!M$22-200)*4)/160)*'1 P-T +'!M$24,0)))</f>
        <v>0</v>
      </c>
      <c r="CA51" s="845" t="b">
        <f>IF('1 P-T +'!N$23&gt;84,IF('1 P-T +'!N$23&lt;112.1,IF('1 P-T +'!$B$30='1 P-T +'!N$16,((('1 P-T +'!N$22-200)*4)/160)*'1 P-T +'!N$24,0)))</f>
        <v>0</v>
      </c>
      <c r="CB51" s="844">
        <f t="shared" si="15"/>
        <v>0</v>
      </c>
      <c r="CC51" s="845" t="b">
        <f>IF('1 P-T +'!C$23&gt;84,IF('1 P-T +'!C$23&lt;112.1,IF('1 P-T +'!$B$31='1 P-T +'!C$16,((('1 P-T +'!C$22-200)*4)/160)*'1 P-T +'!C$24,0)))</f>
        <v>0</v>
      </c>
      <c r="CD51" s="845" t="b">
        <f>IF('1 P-T +'!D$23&gt;84,IF('1 P-T +'!D$23&lt;112.1,IF('1 P-T +'!$B$31='1 P-T +'!D$16,((('1 P-T +'!D$22-200)*4)/160)*'1 P-T +'!D$24,0)))</f>
        <v>0</v>
      </c>
      <c r="CE51" s="845" t="b">
        <f>IF('1 P-T +'!E$23&gt;84,IF('1 P-T +'!E$23&lt;112.1,IF('1 P-T +'!$B$31='1 P-T +'!E$16,((('1 P-T +'!E$22-200)*4)/160)*'1 P-T +'!E$24,0)))</f>
        <v>0</v>
      </c>
      <c r="CF51" s="845" t="b">
        <f>IF('1 P-T +'!F$23&gt;84,IF('1 P-T +'!F$23&lt;112.1,IF('1 P-T +'!$B$31='1 P-T +'!F$16,((('1 P-T +'!F$22-200)*4)/160)*'1 P-T +'!F$24,0)))</f>
        <v>0</v>
      </c>
      <c r="CG51" s="845" t="b">
        <f>IF('1 P-T +'!G$23&gt;84,IF('1 P-T +'!G$23&lt;112.1,IF('1 P-T +'!$B$31='1 P-T +'!G$16,((('1 P-T +'!G$22-200)*4)/160)*'1 P-T +'!G$24,0)))</f>
        <v>0</v>
      </c>
      <c r="CH51" s="845" t="b">
        <f>IF('1 P-T +'!H$23&gt;84,IF('1 P-T +'!H$23&lt;112.1,IF('1 P-T +'!$B$31='1 P-T +'!H$16,((('1 P-T +'!H$22-200)*4)/160)*'1 P-T +'!H$24,0)))</f>
        <v>0</v>
      </c>
      <c r="CI51" s="845" t="b">
        <f>IF('1 P-T +'!I$23&gt;84,IF('1 P-T +'!I$23&lt;112.1,IF('1 P-T +'!$B$31='1 P-T +'!I$16,((('1 P-T +'!I$22-200)*4)/160)*'1 P-T +'!I$24,0)))</f>
        <v>0</v>
      </c>
      <c r="CJ51" s="845" t="b">
        <f>IF('1 P-T +'!J$23&gt;84,IF('1 P-T +'!J$23&lt;112.1,IF('1 P-T +'!$B$31='1 P-T +'!J$16,((('1 P-T +'!J$22-200)*4)/160)*'1 P-T +'!J$24,0)))</f>
        <v>0</v>
      </c>
      <c r="CK51" s="845" t="b">
        <f>IF('1 P-T +'!K$23&gt;84,IF('1 P-T +'!K$23&lt;112.1,IF('1 P-T +'!$B$31='1 P-T +'!K$16,((('1 P-T +'!K$22-200)*4)/160)*'1 P-T +'!K$24,0)))</f>
        <v>0</v>
      </c>
      <c r="CL51" s="845" t="b">
        <f>IF('1 P-T +'!L$23&gt;84,IF('1 P-T +'!L$23&lt;112.1,IF('1 P-T +'!$B$31='1 P-T +'!L$16,((('1 P-T +'!L$22-200)*4)/160)*'1 P-T +'!L$24,0)))</f>
        <v>0</v>
      </c>
      <c r="CM51" s="845" t="b">
        <f>IF('1 P-T +'!M$23&gt;84,IF('1 P-T +'!M$23&lt;112.1,IF('1 P-T +'!$B$31='1 P-T +'!M$16,((('1 P-T +'!M$22-200)*4)/160)*'1 P-T +'!M$24,0)))</f>
        <v>0</v>
      </c>
      <c r="CN51" s="845" t="b">
        <f>IF('1 P-T +'!N$23&gt;84,IF('1 P-T +'!N$23&lt;112.1,IF('1 P-T +'!$B$31='1 P-T +'!N$16,((('1 P-T +'!N$22-200)*4)/160)*'1 P-T +'!N$24,0)))</f>
        <v>0</v>
      </c>
      <c r="CO51" s="844">
        <f t="shared" si="16"/>
        <v>0</v>
      </c>
      <c r="CP51" s="845" t="b">
        <f>IF('1 P-T +'!C$23&gt;84,IF('1 P-T +'!C$23&lt;112.1,IF('1 P-T +'!$B$32='1 P-T +'!C$16,((('1 P-T +'!C$22-200)*4)/160)*'1 P-T +'!C$24,0)))</f>
        <v>0</v>
      </c>
      <c r="CQ51" s="845" t="b">
        <f>IF('1 P-T +'!D$23&gt;84,IF('1 P-T +'!D$23&lt;112.1,IF('1 P-T +'!$B$32='1 P-T +'!D$16,((('1 P-T +'!D$22-200)*4)/160)*'1 P-T +'!D$24,0)))</f>
        <v>0</v>
      </c>
      <c r="CR51" s="845" t="b">
        <f>IF('1 P-T +'!E$23&gt;84,IF('1 P-T +'!E$23&lt;112.1,IF('1 P-T +'!$B$32='1 P-T +'!E$16,((('1 P-T +'!E$22-200)*4)/160)*'1 P-T +'!E$24,0)))</f>
        <v>0</v>
      </c>
      <c r="CS51" s="845" t="b">
        <f>IF('1 P-T +'!F$23&gt;84,IF('1 P-T +'!F$23&lt;112.1,IF('1 P-T +'!$B$32='1 P-T +'!F$16,((('1 P-T +'!F$22-200)*4)/160)*'1 P-T +'!F$24,0)))</f>
        <v>0</v>
      </c>
      <c r="CT51" s="845" t="b">
        <f>IF('1 P-T +'!G$23&gt;84,IF('1 P-T +'!G$23&lt;112.1,IF('1 P-T +'!$B$32='1 P-T +'!G$16,((('1 P-T +'!G$22-200)*4)/160)*'1 P-T +'!G$24,0)))</f>
        <v>0</v>
      </c>
      <c r="CU51" s="845" t="b">
        <f>IF('1 P-T +'!H$23&gt;84,IF('1 P-T +'!H$23&lt;112.1,IF('1 P-T +'!$B$32='1 P-T +'!H$16,((('1 P-T +'!H$22-200)*4)/160)*'1 P-T +'!H$24,0)))</f>
        <v>0</v>
      </c>
      <c r="CV51" s="845" t="b">
        <f>IF('1 P-T +'!I$23&gt;84,IF('1 P-T +'!I$23&lt;112.1,IF('1 P-T +'!$B$32='1 P-T +'!I$16,((('1 P-T +'!I$22-200)*4)/160)*'1 P-T +'!I$24,0)))</f>
        <v>0</v>
      </c>
      <c r="CW51" s="845" t="b">
        <f>IF('1 P-T +'!J$23&gt;84,IF('1 P-T +'!J$23&lt;112.1,IF('1 P-T +'!$B$32='1 P-T +'!J$16,((('1 P-T +'!J$22-200)*4)/160)*'1 P-T +'!J$24,0)))</f>
        <v>0</v>
      </c>
      <c r="CX51" s="845" t="b">
        <f>IF('1 P-T +'!K$23&gt;84,IF('1 P-T +'!K$23&lt;112.1,IF('1 P-T +'!$B$32='1 P-T +'!K$16,((('1 P-T +'!K$22-200)*4)/160)*'1 P-T +'!K$24,0)))</f>
        <v>0</v>
      </c>
      <c r="CY51" s="845" t="b">
        <f>IF('1 P-T +'!L$23&gt;84,IF('1 P-T +'!L$23&lt;112.1,IF('1 P-T +'!$B$32='1 P-T +'!L$16,((('1 P-T +'!L$22-200)*4)/160)*'1 P-T +'!L$24,0)))</f>
        <v>0</v>
      </c>
      <c r="CZ51" s="845" t="b">
        <f>IF('1 P-T +'!M$23&gt;84,IF('1 P-T +'!M$23&lt;112.1,IF('1 P-T +'!$B$32='1 P-T +'!M$16,((('1 P-T +'!M$22-200)*4)/160)*'1 P-T +'!M$24,0)))</f>
        <v>0</v>
      </c>
      <c r="DA51" s="845" t="b">
        <f>IF('1 P-T +'!N$23&gt;84,IF('1 P-T +'!N$23&lt;112.1,IF('1 P-T +'!$B$32='1 P-T +'!N$16,((('1 P-T +'!N$22-200)*4)/160)*'1 P-T +'!N$24,0)))</f>
        <v>0</v>
      </c>
      <c r="DB51" s="844">
        <f t="shared" si="17"/>
        <v>0</v>
      </c>
      <c r="DC51" s="838"/>
      <c r="DD51" s="838"/>
      <c r="DE51" s="838"/>
      <c r="DF51" s="838"/>
      <c r="DG51" s="838"/>
      <c r="FG51" s="838"/>
      <c r="FH51" s="838"/>
      <c r="FI51" s="838"/>
      <c r="FJ51" s="838"/>
      <c r="FK51" s="838"/>
      <c r="FL51" s="838"/>
      <c r="FM51" s="838"/>
      <c r="FN51" s="838"/>
      <c r="FO51" s="838"/>
    </row>
    <row r="52" spans="1:193" x14ac:dyDescent="0.35">
      <c r="A52" s="856"/>
      <c r="B52" s="847"/>
      <c r="C52" s="838"/>
      <c r="D52" s="852"/>
      <c r="E52" s="838"/>
      <c r="F52" s="852"/>
      <c r="G52" s="838"/>
      <c r="H52" s="852"/>
      <c r="I52" s="838"/>
      <c r="J52" s="852"/>
      <c r="K52" s="838"/>
      <c r="L52" s="852"/>
      <c r="M52" s="838"/>
      <c r="N52" s="852"/>
      <c r="O52" s="838"/>
      <c r="P52" s="855"/>
      <c r="Q52" s="838"/>
      <c r="R52" s="855"/>
      <c r="S52" s="838"/>
      <c r="T52" s="855"/>
      <c r="U52" s="838"/>
      <c r="V52" s="855"/>
      <c r="W52" s="838"/>
      <c r="X52" s="855"/>
      <c r="Y52" s="838"/>
      <c r="Z52" s="855"/>
      <c r="AA52" s="838"/>
      <c r="AB52" s="838"/>
      <c r="AC52" s="855"/>
      <c r="AD52" s="838"/>
      <c r="AE52" s="855"/>
      <c r="AF52" s="838"/>
      <c r="AG52" s="855"/>
      <c r="AH52" s="838"/>
      <c r="AI52" s="855"/>
      <c r="AJ52" s="838"/>
      <c r="AK52" s="855"/>
      <c r="AL52" s="838"/>
      <c r="AM52" s="855"/>
      <c r="AN52" s="838"/>
      <c r="AO52" s="855"/>
      <c r="AP52" s="845">
        <f>IF('1 P-T +'!C$22&lt;250.1,IF('1 P-T +'!C$23&gt;112,IF('1 P-T +'!C$23&lt;150.1,IF(OR('1 P-T +'!C$16="V",'1 P-T +'!C$16="VT",'1 P-T +'!C$16="VTT",'1 P-T +'!C$16="VSB",'1 P-T +'!C$16="VE",'1 P-T +'!C$16="VET",'1 P-T +'!C$16="VESQ",),1,0))))*'1 P-T +'!C$24</f>
        <v>0</v>
      </c>
      <c r="AQ52" s="845">
        <f>IF('1 P-T +'!D$22&lt;250.1,IF('1 P-T +'!D$23&gt;112,IF('1 P-T +'!D$23&lt;150.1,IF(OR('1 P-T +'!D$16="V",'1 P-T +'!D$16="VT",'1 P-T +'!D$16="VTT",'1 P-T +'!D$16="VSB",'1 P-T +'!D$16="VE",'1 P-T +'!D$16="VET",'1 P-T +'!D$16="VESQ",),1,0))))*'1 P-T +'!D$24</f>
        <v>0</v>
      </c>
      <c r="AR52" s="845">
        <f>IF('1 P-T +'!E$22&lt;250.1,IF('1 P-T +'!E$23&gt;112,IF('1 P-T +'!E$23&lt;150.1,IF(OR('1 P-T +'!E$16="V",'1 P-T +'!E$16="VT",'1 P-T +'!E$16="VTT",'1 P-T +'!E$16="VSB",'1 P-T +'!E$16="VE",'1 P-T +'!E$16="VET",'1 P-T +'!E$16="VESQ",),1,0))))*'1 P-T +'!E$24</f>
        <v>0</v>
      </c>
      <c r="AS52" s="845">
        <f>IF('1 P-T +'!F$22&lt;250.1,IF('1 P-T +'!F$23&gt;112,IF('1 P-T +'!F$23&lt;150.1,IF(OR('1 P-T +'!F$16="V",'1 P-T +'!F$16="VT",'1 P-T +'!F$16="VTT",'1 P-T +'!F$16="VSB",'1 P-T +'!F$16="VE",'1 P-T +'!F$16="VET",'1 P-T +'!F$16="VESQ",),1,0))))*'1 P-T +'!F$24</f>
        <v>0</v>
      </c>
      <c r="AT52" s="845">
        <f>IF('1 P-T +'!G$22&lt;250.1,IF('1 P-T +'!G$23&gt;112,IF('1 P-T +'!G$23&lt;150.1,IF(OR('1 P-T +'!G$16="V",'1 P-T +'!G$16="VT",'1 P-T +'!G$16="VTT",'1 P-T +'!G$16="VSB",'1 P-T +'!G$16="VE",'1 P-T +'!G$16="VET",'1 P-T +'!G$16="VESQ",),1,0))))*'1 P-T +'!G$24</f>
        <v>0</v>
      </c>
      <c r="AU52" s="845">
        <f>IF('1 P-T +'!H$22&lt;250.1,IF('1 P-T +'!H$23&gt;112,IF('1 P-T +'!H$23&lt;150.1,IF(OR('1 P-T +'!H$16="V",'1 P-T +'!H$16="VT",'1 P-T +'!H$16="VTT",'1 P-T +'!H$16="VSB",'1 P-T +'!H$16="VE",'1 P-T +'!H$16="VET",'1 P-T +'!H$16="VESQ",),1,0))))*'1 P-T +'!H$24</f>
        <v>0</v>
      </c>
      <c r="AV52" s="845">
        <f>IF('1 P-T +'!I$22&lt;250.1,IF('1 P-T +'!I$23&gt;112,IF('1 P-T +'!I$23&lt;150.1,IF(OR('1 P-T +'!I$16="V",'1 P-T +'!I$16="VT",'1 P-T +'!I$16="VTT",'1 P-T +'!I$16="VSB",'1 P-T +'!I$16="VE",'1 P-T +'!I$16="VET",'1 P-T +'!I$16="VESQ",),1,0))))*'1 P-T +'!I$24</f>
        <v>0</v>
      </c>
      <c r="AW52" s="845">
        <f>IF('1 P-T +'!J$22&lt;250.1,IF('1 P-T +'!J$23&gt;112,IF('1 P-T +'!J$23&lt;150.1,IF(OR('1 P-T +'!J$16="V",'1 P-T +'!J$16="VT",'1 P-T +'!J$16="VTT",'1 P-T +'!J$16="VSB",'1 P-T +'!J$16="VE",'1 P-T +'!J$16="VET",'1 P-T +'!J$16="VESQ",),1,0))))*'1 P-T +'!J$24</f>
        <v>0</v>
      </c>
      <c r="AX52" s="845">
        <f>IF('1 P-T +'!K$22&lt;250.1,IF('1 P-T +'!K$23&gt;112,IF('1 P-T +'!K$23&lt;150.1,IF(OR('1 P-T +'!K$16="V",'1 P-T +'!K$16="VT",'1 P-T +'!K$16="VTT",'1 P-T +'!K$16="VSB",'1 P-T +'!K$16="VE",'1 P-T +'!K$16="VET",'1 P-T +'!K$16="VESQ",),1,0))))*'1 P-T +'!K$24</f>
        <v>0</v>
      </c>
      <c r="AY52" s="845">
        <f>IF('1 P-T +'!L$22&lt;250.1,IF('1 P-T +'!L$23&gt;112,IF('1 P-T +'!L$23&lt;150.1,IF(OR('1 P-T +'!L$16="V",'1 P-T +'!L$16="VT",'1 P-T +'!L$16="VTT",'1 P-T +'!L$16="VSB",'1 P-T +'!L$16="VE",'1 P-T +'!L$16="VET",'1 P-T +'!L$16="VESQ",),1,0))))*'1 P-T +'!L$24</f>
        <v>0</v>
      </c>
      <c r="AZ52" s="845">
        <f>IF('1 P-T +'!M$22&lt;250.1,IF('1 P-T +'!M$23&gt;112,IF('1 P-T +'!M$23&lt;150.1,IF(OR('1 P-T +'!M$16="V",'1 P-T +'!M$16="VT",'1 P-T +'!M$16="VTT",'1 P-T +'!M$16="VSB",'1 P-T +'!M$16="VE",'1 P-T +'!M$16="VET",'1 P-T +'!M$16="VESQ",),1,0))))*'1 P-T +'!M$24</f>
        <v>0</v>
      </c>
      <c r="BA52" s="845">
        <f>IF('1 P-T +'!N$22&lt;250.1,IF('1 P-T +'!N$23&gt;112,IF('1 P-T +'!N$23&lt;150.1,IF(OR('1 P-T +'!N$16="V",'1 P-T +'!N$16="VT",'1 P-T +'!N$16="VTT",'1 P-T +'!N$16="VSB",'1 P-T +'!N$16="VE",'1 P-T +'!N$16="VET",'1 P-T +'!N$16="VESQ",),1,0))))*'1 P-T +'!N$24</f>
        <v>0</v>
      </c>
      <c r="BB52" s="844">
        <f t="shared" si="13"/>
        <v>0</v>
      </c>
      <c r="BC52" s="845" t="b">
        <f>IF('1 P-T +'!C$23&gt;112,IF('1 P-T +'!C$23&lt;150.1,IF('1 P-T +'!$B$29='1 P-T +'!C$16,((('1 P-T +'!C$22-200)*4)/160)*'1 P-T +'!C$24,0)))</f>
        <v>0</v>
      </c>
      <c r="BD52" s="845" t="b">
        <f>IF('1 P-T +'!D$23&gt;112,IF('1 P-T +'!D$23&lt;150.1,IF('1 P-T +'!$B$29='1 P-T +'!D$16,((('1 P-T +'!D$22-200)*4)/160)*'1 P-T +'!D$24,0)))</f>
        <v>0</v>
      </c>
      <c r="BE52" s="845" t="b">
        <f>IF('1 P-T +'!E$23&gt;112,IF('1 P-T +'!E$23&lt;150.1,IF('1 P-T +'!$B$29='1 P-T +'!E$16,((('1 P-T +'!E$22-200)*4)/160)*'1 P-T +'!E$24,0)))</f>
        <v>0</v>
      </c>
      <c r="BF52" s="845" t="b">
        <f>IF('1 P-T +'!F$23&gt;112,IF('1 P-T +'!F$23&lt;150.1,IF('1 P-T +'!$B$29='1 P-T +'!F$16,((('1 P-T +'!F$22-200)*4)/160)*'1 P-T +'!F$24,0)))</f>
        <v>0</v>
      </c>
      <c r="BG52" s="845" t="b">
        <f>IF('1 P-T +'!G$23&gt;112,IF('1 P-T +'!G$23&lt;150.1,IF('1 P-T +'!$B$29='1 P-T +'!G$16,((('1 P-T +'!G$22-200)*4)/160)*'1 P-T +'!G$24,0)))</f>
        <v>0</v>
      </c>
      <c r="BH52" s="845" t="b">
        <f>IF('1 P-T +'!H$23&gt;112,IF('1 P-T +'!H$23&lt;150.1,IF('1 P-T +'!$B$29='1 P-T +'!H$16,((('1 P-T +'!H$22-200)*4)/160)*'1 P-T +'!H$24,0)))</f>
        <v>0</v>
      </c>
      <c r="BI52" s="845" t="b">
        <f>IF('1 P-T +'!I$23&gt;112,IF('1 P-T +'!I$23&lt;150.1,IF('1 P-T +'!$B$29='1 P-T +'!I$16,((('1 P-T +'!I$22-200)*4)/160)*'1 P-T +'!I$24,0)))</f>
        <v>0</v>
      </c>
      <c r="BJ52" s="845" t="b">
        <f>IF('1 P-T +'!J$23&gt;112,IF('1 P-T +'!J$23&lt;150.1,IF('1 P-T +'!$B$29='1 P-T +'!J$16,((('1 P-T +'!J$22-200)*4)/160)*'1 P-T +'!J$24,0)))</f>
        <v>0</v>
      </c>
      <c r="BK52" s="845" t="b">
        <f>IF('1 P-T +'!K$23&gt;112,IF('1 P-T +'!K$23&lt;150.1,IF('1 P-T +'!$B$29='1 P-T +'!K$16,((('1 P-T +'!K$22-200)*4)/160)*'1 P-T +'!K$24,0)))</f>
        <v>0</v>
      </c>
      <c r="BL52" s="845" t="b">
        <f>IF('1 P-T +'!L$23&gt;112,IF('1 P-T +'!L$23&lt;150.1,IF('1 P-T +'!$B$29='1 P-T +'!L$16,((('1 P-T +'!L$22-200)*4)/160)*'1 P-T +'!L$24,0)))</f>
        <v>0</v>
      </c>
      <c r="BM52" s="845" t="b">
        <f>IF('1 P-T +'!M$23&gt;112,IF('1 P-T +'!M$23&lt;150.1,IF('1 P-T +'!$B$29='1 P-T +'!M$16,((('1 P-T +'!M$22-200)*4)/160)*'1 P-T +'!M$24,0)))</f>
        <v>0</v>
      </c>
      <c r="BN52" s="845" t="b">
        <f>IF('1 P-T +'!N$23&gt;112,IF('1 P-T +'!N$23&lt;150.1,IF('1 P-T +'!$B$29='1 P-T +'!N$16,((('1 P-T +'!N$22-200)*4)/160)*'1 P-T +'!N$24,0)))</f>
        <v>0</v>
      </c>
      <c r="BO52" s="844">
        <f t="shared" si="14"/>
        <v>0</v>
      </c>
      <c r="BP52" s="845" t="b">
        <f>IF('1 P-T +'!C$23&gt;112,IF('1 P-T +'!C$23&lt;150.1,IF('1 P-T +'!$B$30='1 P-T +'!C$16,((('1 P-T +'!C$22-200)*4)/160)*'1 P-T +'!C$24,0)))</f>
        <v>0</v>
      </c>
      <c r="BQ52" s="845" t="b">
        <f>IF('1 P-T +'!D$23&gt;112,IF('1 P-T +'!D$23&lt;150.1,IF('1 P-T +'!$B$30='1 P-T +'!D$16,((('1 P-T +'!D$22-200)*4)/160)*'1 P-T +'!D$24,0)))</f>
        <v>0</v>
      </c>
      <c r="BR52" s="845" t="b">
        <f>IF('1 P-T +'!E$23&gt;112,IF('1 P-T +'!E$23&lt;150.1,IF('1 P-T +'!$B$30='1 P-T +'!E$16,((('1 P-T +'!E$22-200)*4)/160)*'1 P-T +'!E$24,0)))</f>
        <v>0</v>
      </c>
      <c r="BS52" s="845" t="b">
        <f>IF('1 P-T +'!F$23&gt;112,IF('1 P-T +'!F$23&lt;150.1,IF('1 P-T +'!$B$30='1 P-T +'!F$16,((('1 P-T +'!F$22-200)*4)/160)*'1 P-T +'!F$24,0)))</f>
        <v>0</v>
      </c>
      <c r="BT52" s="845" t="b">
        <f>IF('1 P-T +'!G$23&gt;112,IF('1 P-T +'!G$23&lt;150.1,IF('1 P-T +'!$B$30='1 P-T +'!G$16,((('1 P-T +'!G$22-200)*4)/160)*'1 P-T +'!G$24,0)))</f>
        <v>0</v>
      </c>
      <c r="BU52" s="845" t="b">
        <f>IF('1 P-T +'!H$23&gt;112,IF('1 P-T +'!H$23&lt;150.1,IF('1 P-T +'!$B$30='1 P-T +'!H$16,((('1 P-T +'!H$22-200)*4)/160)*'1 P-T +'!H$24,0)))</f>
        <v>0</v>
      </c>
      <c r="BV52" s="845" t="b">
        <f>IF('1 P-T +'!I$23&gt;112,IF('1 P-T +'!I$23&lt;150.1,IF('1 P-T +'!$B$30='1 P-T +'!I$16,((('1 P-T +'!I$22-200)*4)/160)*'1 P-T +'!I$24,0)))</f>
        <v>0</v>
      </c>
      <c r="BW52" s="845" t="b">
        <f>IF('1 P-T +'!J$23&gt;112,IF('1 P-T +'!J$23&lt;150.1,IF('1 P-T +'!$B$30='1 P-T +'!J$16,((('1 P-T +'!J$22-200)*4)/160)*'1 P-T +'!J$24,0)))</f>
        <v>0</v>
      </c>
      <c r="BX52" s="845" t="b">
        <f>IF('1 P-T +'!K$23&gt;112,IF('1 P-T +'!K$23&lt;150.1,IF('1 P-T +'!$B$30='1 P-T +'!K$16,((('1 P-T +'!K$22-200)*4)/160)*'1 P-T +'!K$24,0)))</f>
        <v>0</v>
      </c>
      <c r="BY52" s="845" t="b">
        <f>IF('1 P-T +'!L$23&gt;112,IF('1 P-T +'!L$23&lt;150.1,IF('1 P-T +'!$B$30='1 P-T +'!L$16,((('1 P-T +'!L$22-200)*4)/160)*'1 P-T +'!L$24,0)))</f>
        <v>0</v>
      </c>
      <c r="BZ52" s="845" t="b">
        <f>IF('1 P-T +'!M$23&gt;112,IF('1 P-T +'!M$23&lt;150.1,IF('1 P-T +'!$B$30='1 P-T +'!M$16,((('1 P-T +'!M$22-200)*4)/160)*'1 P-T +'!M$24,0)))</f>
        <v>0</v>
      </c>
      <c r="CA52" s="845" t="b">
        <f>IF('1 P-T +'!N$23&gt;112,IF('1 P-T +'!N$23&lt;150.1,IF('1 P-T +'!$B$30='1 P-T +'!N$16,((('1 P-T +'!N$22-200)*4)/160)*'1 P-T +'!N$24,0)))</f>
        <v>0</v>
      </c>
      <c r="CB52" s="844">
        <f t="shared" si="15"/>
        <v>0</v>
      </c>
      <c r="CC52" s="845" t="b">
        <f>IF('1 P-T +'!C$23&gt;112,IF('1 P-T +'!C$23&lt;150.1,IF('1 P-T +'!$B$31='1 P-T +'!C$16,((('1 P-T +'!C$22-200)*4)/160)*'1 P-T +'!C$24,0)))</f>
        <v>0</v>
      </c>
      <c r="CD52" s="845" t="b">
        <f>IF('1 P-T +'!D$23&gt;112,IF('1 P-T +'!D$23&lt;150.1,IF('1 P-T +'!$B$31='1 P-T +'!D$16,((('1 P-T +'!D$22-200)*4)/160)*'1 P-T +'!D$24,0)))</f>
        <v>0</v>
      </c>
      <c r="CE52" s="845" t="b">
        <f>IF('1 P-T +'!E$23&gt;112,IF('1 P-T +'!E$23&lt;150.1,IF('1 P-T +'!$B$31='1 P-T +'!E$16,((('1 P-T +'!E$22-200)*4)/160)*'1 P-T +'!E$24,0)))</f>
        <v>0</v>
      </c>
      <c r="CF52" s="845" t="b">
        <f>IF('1 P-T +'!F$23&gt;112,IF('1 P-T +'!F$23&lt;150.1,IF('1 P-T +'!$B$31='1 P-T +'!F$16,((('1 P-T +'!F$22-200)*4)/160)*'1 P-T +'!F$24,0)))</f>
        <v>0</v>
      </c>
      <c r="CG52" s="845" t="b">
        <f>IF('1 P-T +'!G$23&gt;112,IF('1 P-T +'!G$23&lt;150.1,IF('1 P-T +'!$B$31='1 P-T +'!G$16,((('1 P-T +'!G$22-200)*4)/160)*'1 P-T +'!G$24,0)))</f>
        <v>0</v>
      </c>
      <c r="CH52" s="845" t="b">
        <f>IF('1 P-T +'!H$23&gt;112,IF('1 P-T +'!H$23&lt;150.1,IF('1 P-T +'!$B$31='1 P-T +'!H$16,((('1 P-T +'!H$22-200)*4)/160)*'1 P-T +'!H$24,0)))</f>
        <v>0</v>
      </c>
      <c r="CI52" s="845" t="b">
        <f>IF('1 P-T +'!I$23&gt;112,IF('1 P-T +'!I$23&lt;150.1,IF('1 P-T +'!$B$31='1 P-T +'!I$16,((('1 P-T +'!I$22-200)*4)/160)*'1 P-T +'!I$24,0)))</f>
        <v>0</v>
      </c>
      <c r="CJ52" s="845" t="b">
        <f>IF('1 P-T +'!J$23&gt;112,IF('1 P-T +'!J$23&lt;150.1,IF('1 P-T +'!$B$31='1 P-T +'!J$16,((('1 P-T +'!J$22-200)*4)/160)*'1 P-T +'!J$24,0)))</f>
        <v>0</v>
      </c>
      <c r="CK52" s="845" t="b">
        <f>IF('1 P-T +'!K$23&gt;112,IF('1 P-T +'!K$23&lt;150.1,IF('1 P-T +'!$B$31='1 P-T +'!K$16,((('1 P-T +'!K$22-200)*4)/160)*'1 P-T +'!K$24,0)))</f>
        <v>0</v>
      </c>
      <c r="CL52" s="845" t="b">
        <f>IF('1 P-T +'!L$23&gt;112,IF('1 P-T +'!L$23&lt;150.1,IF('1 P-T +'!$B$31='1 P-T +'!L$16,((('1 P-T +'!L$22-200)*4)/160)*'1 P-T +'!L$24,0)))</f>
        <v>0</v>
      </c>
      <c r="CM52" s="845" t="b">
        <f>IF('1 P-T +'!M$23&gt;112,IF('1 P-T +'!M$23&lt;150.1,IF('1 P-T +'!$B$31='1 P-T +'!M$16,((('1 P-T +'!M$22-200)*4)/160)*'1 P-T +'!M$24,0)))</f>
        <v>0</v>
      </c>
      <c r="CN52" s="845" t="b">
        <f>IF('1 P-T +'!N$23&gt;112,IF('1 P-T +'!N$23&lt;150.1,IF('1 P-T +'!$B$31='1 P-T +'!N$16,((('1 P-T +'!N$22-200)*4)/160)*'1 P-T +'!N$24,0)))</f>
        <v>0</v>
      </c>
      <c r="CO52" s="844">
        <f t="shared" si="16"/>
        <v>0</v>
      </c>
      <c r="CP52" s="845" t="b">
        <f>IF('1 P-T +'!C$23&gt;112,IF('1 P-T +'!C$23&lt;150.1,IF('1 P-T +'!$B$32='1 P-T +'!C$16,((('1 P-T +'!C$22-200)*4)/160)*'1 P-T +'!C$24,0)))</f>
        <v>0</v>
      </c>
      <c r="CQ52" s="845" t="b">
        <f>IF('1 P-T +'!D$23&gt;112,IF('1 P-T +'!D$23&lt;150.1,IF('1 P-T +'!$B$32='1 P-T +'!D$16,((('1 P-T +'!D$22-200)*4)/160)*'1 P-T +'!D$24,0)))</f>
        <v>0</v>
      </c>
      <c r="CR52" s="845" t="b">
        <f>IF('1 P-T +'!E$23&gt;112,IF('1 P-T +'!E$23&lt;150.1,IF('1 P-T +'!$B$32='1 P-T +'!E$16,((('1 P-T +'!E$22-200)*4)/160)*'1 P-T +'!E$24,0)))</f>
        <v>0</v>
      </c>
      <c r="CS52" s="845" t="b">
        <f>IF('1 P-T +'!F$23&gt;112,IF('1 P-T +'!F$23&lt;150.1,IF('1 P-T +'!$B$32='1 P-T +'!F$16,((('1 P-T +'!F$22-200)*4)/160)*'1 P-T +'!F$24,0)))</f>
        <v>0</v>
      </c>
      <c r="CT52" s="845" t="b">
        <f>IF('1 P-T +'!G$23&gt;112,IF('1 P-T +'!G$23&lt;150.1,IF('1 P-T +'!$B$32='1 P-T +'!G$16,((('1 P-T +'!G$22-200)*4)/160)*'1 P-T +'!G$24,0)))</f>
        <v>0</v>
      </c>
      <c r="CU52" s="845" t="b">
        <f>IF('1 P-T +'!H$23&gt;112,IF('1 P-T +'!H$23&lt;150.1,IF('1 P-T +'!$B$32='1 P-T +'!H$16,((('1 P-T +'!H$22-200)*4)/160)*'1 P-T +'!H$24,0)))</f>
        <v>0</v>
      </c>
      <c r="CV52" s="845" t="b">
        <f>IF('1 P-T +'!I$23&gt;112,IF('1 P-T +'!I$23&lt;150.1,IF('1 P-T +'!$B$32='1 P-T +'!I$16,((('1 P-T +'!I$22-200)*4)/160)*'1 P-T +'!I$24,0)))</f>
        <v>0</v>
      </c>
      <c r="CW52" s="845" t="b">
        <f>IF('1 P-T +'!J$23&gt;112,IF('1 P-T +'!J$23&lt;150.1,IF('1 P-T +'!$B$32='1 P-T +'!J$16,((('1 P-T +'!J$22-200)*4)/160)*'1 P-T +'!J$24,0)))</f>
        <v>0</v>
      </c>
      <c r="CX52" s="845" t="b">
        <f>IF('1 P-T +'!K$23&gt;112,IF('1 P-T +'!K$23&lt;150.1,IF('1 P-T +'!$B$32='1 P-T +'!K$16,((('1 P-T +'!K$22-200)*4)/160)*'1 P-T +'!K$24,0)))</f>
        <v>0</v>
      </c>
      <c r="CY52" s="845" t="b">
        <f>IF('1 P-T +'!L$23&gt;112,IF('1 P-T +'!L$23&lt;150.1,IF('1 P-T +'!$B$32='1 P-T +'!L$16,((('1 P-T +'!L$22-200)*4)/160)*'1 P-T +'!L$24,0)))</f>
        <v>0</v>
      </c>
      <c r="CZ52" s="845" t="b">
        <f>IF('1 P-T +'!M$23&gt;112,IF('1 P-T +'!M$23&lt;150.1,IF('1 P-T +'!$B$32='1 P-T +'!M$16,((('1 P-T +'!M$22-200)*4)/160)*'1 P-T +'!M$24,0)))</f>
        <v>0</v>
      </c>
      <c r="DA52" s="845" t="b">
        <f>IF('1 P-T +'!N$23&gt;112,IF('1 P-T +'!N$23&lt;150.1,IF('1 P-T +'!$B$32='1 P-T +'!N$16,((('1 P-T +'!N$22-200)*4)/160)*'1 P-T +'!N$24,0)))</f>
        <v>0</v>
      </c>
      <c r="DB52" s="844">
        <f t="shared" si="17"/>
        <v>0</v>
      </c>
      <c r="DC52" s="859"/>
      <c r="DD52" s="859"/>
      <c r="DE52" s="859"/>
      <c r="DF52" s="859"/>
      <c r="DG52" s="859"/>
      <c r="DH52" s="859"/>
      <c r="DI52" s="859"/>
      <c r="DJ52" s="859"/>
      <c r="DK52" s="859"/>
      <c r="DL52" s="859"/>
      <c r="DM52" s="859"/>
      <c r="DN52" s="859"/>
      <c r="DO52" s="859"/>
      <c r="DP52" s="859"/>
      <c r="DQ52" s="859"/>
      <c r="DR52" s="859"/>
      <c r="DS52" s="838"/>
      <c r="DT52" s="1468"/>
      <c r="DU52" s="1468"/>
      <c r="DV52" s="1468"/>
      <c r="DW52" s="1468"/>
      <c r="DX52" s="1468"/>
      <c r="DY52" s="1468"/>
      <c r="DZ52" s="1468"/>
      <c r="EA52" s="1468"/>
      <c r="EB52" s="1468"/>
      <c r="EC52" s="1468"/>
      <c r="ED52" s="1468"/>
      <c r="EE52" s="1468"/>
      <c r="EF52" s="1468"/>
      <c r="EG52" s="1468"/>
      <c r="EH52" s="1468"/>
      <c r="EI52" s="1468"/>
      <c r="EJ52" s="1468"/>
      <c r="EK52" s="1468"/>
      <c r="EL52" s="1468"/>
      <c r="EM52" s="1468"/>
      <c r="EN52" s="1468"/>
      <c r="EO52" s="1468"/>
      <c r="EP52" s="1468"/>
      <c r="EQ52" s="838"/>
      <c r="ER52" s="678"/>
      <c r="ES52" s="678"/>
      <c r="ET52" s="678"/>
      <c r="EU52" s="678"/>
      <c r="EV52" s="678"/>
      <c r="EW52" s="678"/>
      <c r="EX52" s="678"/>
      <c r="EY52" s="678"/>
      <c r="EZ52" s="678"/>
      <c r="FA52" s="678"/>
      <c r="FB52" s="678"/>
      <c r="FC52" s="678"/>
      <c r="FD52" s="678"/>
      <c r="FE52" s="678"/>
      <c r="FF52" s="678"/>
      <c r="FG52" s="678"/>
      <c r="FH52" s="678"/>
      <c r="FI52" s="678"/>
      <c r="FJ52" s="678"/>
      <c r="FK52" s="678"/>
      <c r="FL52" s="678"/>
      <c r="FM52" s="678"/>
      <c r="FN52" s="678"/>
      <c r="FO52" s="838"/>
      <c r="FP52" s="838"/>
      <c r="FQ52" s="838"/>
      <c r="FR52" s="838"/>
      <c r="FS52" s="838"/>
      <c r="FT52" s="838"/>
      <c r="FU52" s="838"/>
      <c r="FV52" s="838"/>
      <c r="FW52" s="838"/>
      <c r="FX52" s="838"/>
      <c r="FY52" s="521"/>
      <c r="FZ52" s="838"/>
      <c r="GA52" s="838"/>
      <c r="GB52" s="838"/>
      <c r="GC52" s="838"/>
      <c r="GD52" s="838"/>
      <c r="GE52" s="838"/>
      <c r="GF52" s="838"/>
      <c r="GG52" s="838"/>
      <c r="GH52" s="838"/>
      <c r="GI52" s="838"/>
      <c r="GJ52" s="838"/>
      <c r="GK52" s="838"/>
    </row>
    <row r="53" spans="1:193" x14ac:dyDescent="0.35">
      <c r="A53" s="857"/>
      <c r="C53" s="838"/>
      <c r="D53" s="838"/>
      <c r="E53" s="838"/>
      <c r="F53" s="838"/>
      <c r="G53" s="838"/>
      <c r="H53" s="838"/>
      <c r="I53" s="838"/>
      <c r="J53" s="838"/>
      <c r="K53" s="838"/>
      <c r="L53" s="838"/>
      <c r="M53" s="838"/>
      <c r="N53" s="838"/>
      <c r="O53" s="838"/>
      <c r="P53" s="855"/>
      <c r="Q53" s="838"/>
      <c r="R53" s="855"/>
      <c r="S53" s="838"/>
      <c r="T53" s="855"/>
      <c r="U53" s="838"/>
      <c r="V53" s="855"/>
      <c r="W53" s="838"/>
      <c r="X53" s="855"/>
      <c r="Y53" s="838"/>
      <c r="Z53" s="855"/>
      <c r="AA53" s="838"/>
      <c r="AB53" s="838"/>
      <c r="AC53" s="855"/>
      <c r="AD53" s="838"/>
      <c r="AE53" s="855"/>
      <c r="AF53" s="838"/>
      <c r="AG53" s="855"/>
      <c r="AH53" s="838"/>
      <c r="AI53" s="855"/>
      <c r="AJ53" s="838"/>
      <c r="AK53" s="855"/>
      <c r="AL53" s="838"/>
      <c r="AM53" s="855"/>
      <c r="AN53" s="838"/>
      <c r="AO53" s="855"/>
      <c r="AP53" s="678" t="s">
        <v>988</v>
      </c>
      <c r="AQ53" s="678"/>
      <c r="AR53" s="678"/>
      <c r="AS53" s="678"/>
      <c r="AT53" s="678"/>
      <c r="AU53" s="678"/>
      <c r="AV53" s="678"/>
      <c r="AW53" s="678"/>
      <c r="AX53" s="678"/>
      <c r="AY53" s="678"/>
      <c r="AZ53" s="678"/>
      <c r="BA53" s="678"/>
      <c r="BB53" s="855"/>
      <c r="BC53" s="855"/>
      <c r="BD53" s="838"/>
      <c r="BE53" s="855"/>
      <c r="BF53" s="838"/>
      <c r="BG53" s="855"/>
      <c r="BH53" s="838"/>
      <c r="BI53" s="855"/>
      <c r="BJ53" s="838"/>
      <c r="BK53" s="855"/>
      <c r="BL53" s="838"/>
      <c r="BM53" s="855"/>
      <c r="BN53" s="838"/>
      <c r="BO53" s="855"/>
      <c r="BP53" s="838"/>
      <c r="BQ53" s="855"/>
      <c r="BR53" s="838"/>
      <c r="BS53" s="855"/>
      <c r="BT53" s="838"/>
      <c r="BU53" s="855"/>
      <c r="BV53" s="838"/>
      <c r="BW53" s="855"/>
      <c r="BX53" s="838"/>
      <c r="BY53" s="855"/>
      <c r="BZ53" s="855"/>
      <c r="CA53" s="855"/>
      <c r="CB53" s="838"/>
      <c r="CC53" s="855"/>
      <c r="CD53" s="838"/>
      <c r="CE53" s="855"/>
      <c r="CF53" s="838"/>
      <c r="CG53" s="855"/>
      <c r="CH53" s="838"/>
      <c r="CI53" s="855"/>
      <c r="CJ53" s="838"/>
      <c r="CK53" s="855"/>
      <c r="CL53" s="838"/>
      <c r="CM53" s="855"/>
      <c r="CN53" s="838"/>
      <c r="CO53" s="855"/>
      <c r="CP53" s="838"/>
      <c r="CQ53" s="855"/>
      <c r="CR53" s="838"/>
      <c r="CS53" s="855"/>
      <c r="CT53" s="838"/>
      <c r="CU53" s="855"/>
      <c r="CV53" s="838"/>
      <c r="CW53" s="855"/>
      <c r="CX53" s="855"/>
      <c r="CY53" s="855"/>
      <c r="CZ53" s="838"/>
      <c r="DA53" s="855"/>
      <c r="DB53" s="838"/>
      <c r="DC53" s="859"/>
      <c r="DD53" s="859"/>
      <c r="DE53" s="859"/>
      <c r="DF53" s="859"/>
      <c r="DG53" s="859"/>
      <c r="DH53" s="838"/>
      <c r="EF53" s="838"/>
      <c r="FD53" s="838"/>
      <c r="FE53" s="838"/>
      <c r="FF53" s="838"/>
      <c r="FG53" s="838"/>
      <c r="FH53" s="838"/>
      <c r="FI53" s="838"/>
      <c r="FJ53" s="838"/>
      <c r="FK53" s="838"/>
      <c r="FL53" s="838"/>
      <c r="FM53" s="838"/>
      <c r="FN53" s="521"/>
      <c r="FO53" s="838"/>
      <c r="FP53" s="838"/>
      <c r="FQ53" s="838"/>
      <c r="FR53" s="838"/>
      <c r="FS53" s="838"/>
      <c r="FT53" s="838"/>
      <c r="FU53" s="838"/>
      <c r="FV53" s="838"/>
      <c r="FW53" s="838"/>
      <c r="FX53" s="838"/>
      <c r="FY53" s="838"/>
      <c r="FZ53" s="838"/>
    </row>
    <row r="54" spans="1:193" x14ac:dyDescent="0.35">
      <c r="A54" s="852"/>
      <c r="C54" s="838"/>
      <c r="D54" s="838"/>
      <c r="E54" s="838"/>
      <c r="F54" s="838"/>
      <c r="G54" s="838"/>
      <c r="H54" s="838"/>
      <c r="I54" s="838"/>
      <c r="J54" s="838"/>
      <c r="K54" s="838"/>
      <c r="L54" s="838"/>
      <c r="M54" s="838"/>
      <c r="N54" s="838"/>
      <c r="O54" s="838"/>
      <c r="P54" s="855"/>
      <c r="Q54" s="838"/>
      <c r="R54" s="855"/>
      <c r="S54" s="838"/>
      <c r="T54" s="855"/>
      <c r="U54" s="838"/>
      <c r="V54" s="855"/>
      <c r="W54" s="838"/>
      <c r="X54" s="855"/>
      <c r="Y54" s="838"/>
      <c r="Z54" s="855"/>
      <c r="AA54" s="838"/>
      <c r="AB54" s="838"/>
      <c r="AC54" s="855"/>
      <c r="AD54" s="838"/>
      <c r="AE54" s="855"/>
      <c r="AF54" s="838"/>
      <c r="AG54" s="855"/>
      <c r="AH54" s="838"/>
      <c r="AI54" s="855"/>
      <c r="AJ54" s="838"/>
      <c r="AK54" s="855"/>
      <c r="AL54" s="838"/>
      <c r="AM54" s="855"/>
      <c r="AN54" s="838"/>
      <c r="AO54" s="855"/>
      <c r="AP54" s="845">
        <f>IF(AP47&gt;0,0,IF('1 P-T +'!C$22&lt;250.1,IF('1 P-T +'!C$23&gt;5.5,IF('1 P-T +'!C$23&lt;28.1,1,0)))*'1 P-T +'!C$24)</f>
        <v>0</v>
      </c>
      <c r="AQ54" s="845">
        <f>IF(AQ47&gt;0,0,IF('1 P-T +'!D$22&lt;250.1,IF('1 P-T +'!D$23&gt;5.5,IF('1 P-T +'!D$23&lt;28.1,1,0)))*'1 P-T +'!D$24)</f>
        <v>0</v>
      </c>
      <c r="AR54" s="845">
        <f>IF(AR47&gt;0,0,IF('1 P-T +'!E$22&lt;250.1,IF('1 P-T +'!E$23&gt;5.5,IF('1 P-T +'!E$23&lt;28.1,1,0)))*'1 P-T +'!E$24)</f>
        <v>0</v>
      </c>
      <c r="AS54" s="845">
        <f>IF(AS47&gt;0,0,IF('1 P-T +'!F$22&lt;250.1,IF('1 P-T +'!F$23&gt;5.5,IF('1 P-T +'!F$23&lt;28.1,1,0)))*'1 P-T +'!F$24)</f>
        <v>0</v>
      </c>
      <c r="AT54" s="845">
        <f>IF(AT47&gt;0,0,IF('1 P-T +'!G$22&lt;250.1,IF('1 P-T +'!G$23&gt;5.5,IF('1 P-T +'!G$23&lt;28.1,1,0)))*'1 P-T +'!G$24)</f>
        <v>0</v>
      </c>
      <c r="AU54" s="845">
        <f>IF(AU47&gt;0,0,IF('1 P-T +'!H$22&lt;250.1,IF('1 P-T +'!H$23&gt;5.5,IF('1 P-T +'!H$23&lt;28.1,1,0)))*'1 P-T +'!H$24)</f>
        <v>0</v>
      </c>
      <c r="AV54" s="845">
        <f>IF(AV47&gt;0,0,IF('1 P-T +'!I$22&lt;250.1,IF('1 P-T +'!I$23&gt;5.5,IF('1 P-T +'!I$23&lt;28.1,1,0)))*'1 P-T +'!I$24)</f>
        <v>0</v>
      </c>
      <c r="AW54" s="845">
        <f>IF(AW47&gt;0,0,IF('1 P-T +'!J$22&lt;250.1,IF('1 P-T +'!J$23&gt;5.5,IF('1 P-T +'!J$23&lt;28.1,1,0)))*'1 P-T +'!J$24)</f>
        <v>0</v>
      </c>
      <c r="AX54" s="845">
        <f>IF(AX47&gt;0,0,IF('1 P-T +'!K$22&lt;250.1,IF('1 P-T +'!K$23&gt;5.5,IF('1 P-T +'!K$23&lt;28.1,1,0)))*'1 P-T +'!K$24)</f>
        <v>0</v>
      </c>
      <c r="AY54" s="845">
        <f>IF(AY47&gt;0,0,IF('1 P-T +'!L$22&lt;250.1,IF('1 P-T +'!L$23&gt;5.5,IF('1 P-T +'!L$23&lt;28.1,1,0)))*'1 P-T +'!L$24)</f>
        <v>0</v>
      </c>
      <c r="AZ54" s="845">
        <f>IF(AZ47&gt;0,0,IF('1 P-T +'!M$22&lt;250.1,IF('1 P-T +'!M$23&gt;5.5,IF('1 P-T +'!M$23&lt;28.1,1,0)))*'1 P-T +'!M$24)</f>
        <v>0</v>
      </c>
      <c r="BA54" s="845">
        <f>IF(BA47&gt;0,0,IF('1 P-T +'!N$22&lt;250.1,IF('1 P-T +'!N$23&gt;5.5,IF('1 P-T +'!N$23&lt;28.1,1,0)))*'1 P-T +'!N$24)</f>
        <v>0</v>
      </c>
      <c r="BB54" s="844">
        <f t="shared" ref="BB54:BB59" si="18">SUM(AP54:BA54)</f>
        <v>0</v>
      </c>
      <c r="BC54" s="855"/>
      <c r="BD54" s="838"/>
      <c r="BE54" s="855"/>
      <c r="BF54" s="838"/>
      <c r="BG54" s="855"/>
      <c r="BH54" s="838"/>
      <c r="BI54" s="855"/>
      <c r="BJ54" s="838"/>
      <c r="BK54" s="855"/>
      <c r="BL54" s="838"/>
      <c r="BM54" s="855"/>
      <c r="BN54" s="838"/>
      <c r="BO54" s="855"/>
      <c r="BP54" s="838"/>
      <c r="BQ54" s="855"/>
      <c r="BR54" s="838"/>
      <c r="BS54" s="855"/>
      <c r="BT54" s="838"/>
      <c r="BU54" s="855"/>
      <c r="BV54" s="838"/>
      <c r="BW54" s="855"/>
      <c r="BX54" s="838"/>
      <c r="BY54" s="855"/>
      <c r="BZ54" s="855"/>
      <c r="CA54" s="855"/>
      <c r="CB54" s="838"/>
      <c r="CC54" s="855"/>
      <c r="CD54" s="838"/>
      <c r="CE54" s="855"/>
      <c r="CF54" s="838"/>
      <c r="CG54" s="855"/>
      <c r="CH54" s="838"/>
      <c r="CI54" s="855"/>
      <c r="CJ54" s="838"/>
      <c r="CK54" s="855"/>
      <c r="CL54" s="838"/>
      <c r="CM54" s="855"/>
      <c r="CN54" s="838"/>
      <c r="CO54" s="855"/>
      <c r="CP54" s="838"/>
      <c r="CQ54" s="855"/>
      <c r="CR54" s="838"/>
      <c r="CS54" s="855"/>
      <c r="CT54" s="838"/>
      <c r="CU54" s="855"/>
      <c r="CV54" s="838"/>
      <c r="CW54" s="855"/>
      <c r="CX54" s="855"/>
      <c r="CY54" s="855"/>
      <c r="CZ54" s="838"/>
      <c r="DA54" s="855"/>
      <c r="DB54" s="838"/>
      <c r="DC54" s="838"/>
      <c r="DD54" s="838"/>
      <c r="DE54" s="838"/>
      <c r="DF54" s="838"/>
      <c r="DG54" s="838"/>
      <c r="DH54" s="838"/>
      <c r="EF54" s="838"/>
      <c r="FD54" s="838"/>
      <c r="FE54" s="838"/>
      <c r="FF54" s="838"/>
      <c r="FG54" s="838"/>
      <c r="FH54" s="838"/>
      <c r="FI54" s="838"/>
      <c r="FJ54" s="838"/>
      <c r="FK54" s="838"/>
      <c r="FL54" s="838"/>
      <c r="FM54" s="838"/>
      <c r="FN54" s="521"/>
      <c r="FO54" s="838"/>
      <c r="FP54" s="838"/>
      <c r="FQ54" s="838"/>
      <c r="FR54" s="838"/>
      <c r="FS54" s="838"/>
      <c r="FT54" s="838"/>
      <c r="FU54" s="838"/>
      <c r="FV54" s="838"/>
      <c r="FW54" s="838"/>
      <c r="FX54" s="838"/>
      <c r="FY54" s="838"/>
      <c r="FZ54" s="838"/>
    </row>
    <row r="55" spans="1:193" x14ac:dyDescent="0.35">
      <c r="A55" s="854"/>
      <c r="C55" s="838"/>
      <c r="D55" s="838"/>
      <c r="E55" s="838"/>
      <c r="F55" s="838"/>
      <c r="G55" s="838"/>
      <c r="H55" s="838"/>
      <c r="I55" s="838"/>
      <c r="J55" s="838"/>
      <c r="K55" s="838"/>
      <c r="L55" s="838"/>
      <c r="M55" s="838"/>
      <c r="N55" s="838"/>
      <c r="O55" s="838"/>
      <c r="P55" s="855"/>
      <c r="Q55" s="838"/>
      <c r="R55" s="855"/>
      <c r="S55" s="838"/>
      <c r="T55" s="855"/>
      <c r="U55" s="838"/>
      <c r="V55" s="855"/>
      <c r="W55" s="838"/>
      <c r="X55" s="855"/>
      <c r="Y55" s="838"/>
      <c r="Z55" s="855"/>
      <c r="AA55" s="838"/>
      <c r="AB55" s="838"/>
      <c r="AC55" s="855"/>
      <c r="AD55" s="838"/>
      <c r="AE55" s="855"/>
      <c r="AF55" s="838"/>
      <c r="AG55" s="855"/>
      <c r="AH55" s="838"/>
      <c r="AI55" s="855"/>
      <c r="AJ55" s="838"/>
      <c r="AK55" s="855"/>
      <c r="AL55" s="838"/>
      <c r="AM55" s="855"/>
      <c r="AN55" s="838"/>
      <c r="AO55" s="855"/>
      <c r="AP55" s="845">
        <f>IF(AP48&gt;0,0,IF('1 P-T +'!C$22&lt;250.1,IF('1 P-T +'!C$23&gt;28,IF('1 P-T +'!C$23&lt;56.1,1,0)))*'1 P-T +'!C$24)</f>
        <v>0</v>
      </c>
      <c r="AQ55" s="845">
        <f>IF(AQ48&gt;0,0,IF('1 P-T +'!D$22&lt;250.1,IF('1 P-T +'!D$23&gt;28,IF('1 P-T +'!D$23&lt;56.1,1,0)))*'1 P-T +'!D$24)</f>
        <v>0</v>
      </c>
      <c r="AR55" s="845">
        <f>IF(AR48&gt;0,0,IF('1 P-T +'!E$22&lt;250.1,IF('1 P-T +'!E$23&gt;28,IF('1 P-T +'!E$23&lt;56.1,1,0)))*'1 P-T +'!E$24)</f>
        <v>0</v>
      </c>
      <c r="AS55" s="845">
        <f>IF(AS48&gt;0,0,IF('1 P-T +'!F$22&lt;250.1,IF('1 P-T +'!F$23&gt;28,IF('1 P-T +'!F$23&lt;56.1,1,0)))*'1 P-T +'!F$24)</f>
        <v>0</v>
      </c>
      <c r="AT55" s="845">
        <f>IF(AT48&gt;0,0,IF('1 P-T +'!G$22&lt;250.1,IF('1 P-T +'!G$23&gt;28,IF('1 P-T +'!G$23&lt;56.1,1,0)))*'1 P-T +'!G$24)</f>
        <v>0</v>
      </c>
      <c r="AU55" s="845">
        <f>IF(AU48&gt;0,0,IF('1 P-T +'!H$22&lt;250.1,IF('1 P-T +'!H$23&gt;28,IF('1 P-T +'!H$23&lt;56.1,1,0)))*'1 P-T +'!H$24)</f>
        <v>0</v>
      </c>
      <c r="AV55" s="845">
        <f>IF(AV48&gt;0,0,IF('1 P-T +'!I$22&lt;250.1,IF('1 P-T +'!I$23&gt;28,IF('1 P-T +'!I$23&lt;56.1,1,0)))*'1 P-T +'!I$24)</f>
        <v>0</v>
      </c>
      <c r="AW55" s="845">
        <f>IF(AW48&gt;0,0,IF('1 P-T +'!J$22&lt;250.1,IF('1 P-T +'!J$23&gt;28,IF('1 P-T +'!J$23&lt;56.1,1,0)))*'1 P-T +'!J$24)</f>
        <v>0</v>
      </c>
      <c r="AX55" s="845">
        <f>IF(AX48&gt;0,0,IF('1 P-T +'!K$22&lt;250.1,IF('1 P-T +'!K$23&gt;28,IF('1 P-T +'!K$23&lt;56.1,1,0)))*'1 P-T +'!K$24)</f>
        <v>0</v>
      </c>
      <c r="AY55" s="845">
        <f>IF(AY48&gt;0,0,IF('1 P-T +'!L$22&lt;250.1,IF('1 P-T +'!L$23&gt;28,IF('1 P-T +'!L$23&lt;56.1,1,0)))*'1 P-T +'!L$24)</f>
        <v>0</v>
      </c>
      <c r="AZ55" s="845">
        <f>IF(AZ48&gt;0,0,IF('1 P-T +'!M$22&lt;250.1,IF('1 P-T +'!M$23&gt;28,IF('1 P-T +'!M$23&lt;56.1,1,0)))*'1 P-T +'!M$24)</f>
        <v>0</v>
      </c>
      <c r="BA55" s="845">
        <f>IF(BA48&gt;0,0,IF('1 P-T +'!N$22&lt;250.1,IF('1 P-T +'!N$23&gt;28,IF('1 P-T +'!N$23&lt;56.1,1,0)))*'1 P-T +'!N$24)</f>
        <v>0</v>
      </c>
      <c r="BB55" s="844">
        <f t="shared" si="18"/>
        <v>0</v>
      </c>
      <c r="BC55" s="859"/>
      <c r="BD55" s="859"/>
      <c r="BE55" s="859"/>
      <c r="BF55" s="859"/>
      <c r="BG55" s="859"/>
      <c r="BH55" s="859"/>
      <c r="BI55" s="859"/>
      <c r="BJ55" s="859"/>
      <c r="BK55" s="859"/>
      <c r="BL55" s="859"/>
      <c r="BM55" s="859"/>
      <c r="BN55" s="859"/>
      <c r="BO55" s="859"/>
      <c r="BP55" s="859"/>
      <c r="BQ55" s="859"/>
      <c r="BR55" s="859"/>
      <c r="BS55" s="859"/>
      <c r="BT55" s="859"/>
      <c r="BU55" s="859"/>
      <c r="BV55" s="859"/>
      <c r="BW55" s="859"/>
      <c r="BX55" s="859"/>
      <c r="BY55" s="859"/>
      <c r="BZ55" s="855"/>
      <c r="CA55" s="859"/>
      <c r="CB55" s="838"/>
      <c r="CC55" s="859"/>
      <c r="CD55" s="838"/>
    </row>
    <row r="56" spans="1:193" x14ac:dyDescent="0.35">
      <c r="A56" s="854"/>
      <c r="C56" s="838"/>
      <c r="D56" s="838"/>
      <c r="E56" s="838"/>
      <c r="F56" s="838"/>
      <c r="G56" s="838"/>
      <c r="H56" s="838"/>
      <c r="I56" s="838"/>
      <c r="J56" s="838"/>
      <c r="K56" s="838"/>
      <c r="L56" s="838"/>
      <c r="M56" s="838"/>
      <c r="N56" s="838"/>
      <c r="O56" s="838"/>
      <c r="P56" s="838"/>
      <c r="Q56" s="838"/>
      <c r="R56" s="838"/>
      <c r="S56" s="838"/>
      <c r="T56" s="838"/>
      <c r="U56" s="838"/>
      <c r="V56" s="838"/>
      <c r="W56" s="838"/>
      <c r="X56" s="838"/>
      <c r="Y56" s="838"/>
      <c r="Z56" s="838"/>
      <c r="AA56" s="838"/>
      <c r="AB56" s="838"/>
      <c r="AC56" s="855"/>
      <c r="AD56" s="838"/>
      <c r="AE56" s="855"/>
      <c r="AF56" s="838"/>
      <c r="AG56" s="855"/>
      <c r="AH56" s="838"/>
      <c r="AI56" s="855"/>
      <c r="AJ56" s="838"/>
      <c r="AK56" s="855"/>
      <c r="AL56" s="838"/>
      <c r="AM56" s="855"/>
      <c r="AN56" s="838"/>
      <c r="AO56" s="855"/>
      <c r="AP56" s="845">
        <f>IF(AP49&gt;0,0,IF('1 P-T +'!C$22&lt;250.1,IF('1 P-T +'!C$23&gt;56,IF('1 P-T +'!C$23&lt;70.1,1,0)))*'1 P-T +'!C$24)</f>
        <v>0</v>
      </c>
      <c r="AQ56" s="845">
        <f>IF(AQ49&gt;0,0,IF('1 P-T +'!D$22&lt;250.1,IF('1 P-T +'!D$23&gt;56,IF('1 P-T +'!D$23&lt;70.1,1,0)))*'1 P-T +'!D$24)</f>
        <v>0</v>
      </c>
      <c r="AR56" s="845">
        <f>IF(AR49&gt;0,0,IF('1 P-T +'!E$22&lt;250.1,IF('1 P-T +'!E$23&gt;56,IF('1 P-T +'!E$23&lt;70.1,1,0)))*'1 P-T +'!E$24)</f>
        <v>0</v>
      </c>
      <c r="AS56" s="845">
        <f>IF(AS49&gt;0,0,IF('1 P-T +'!F$22&lt;250.1,IF('1 P-T +'!F$23&gt;56,IF('1 P-T +'!F$23&lt;70.1,1,0)))*'1 P-T +'!F$24)</f>
        <v>0</v>
      </c>
      <c r="AT56" s="845">
        <f>IF(AT49&gt;0,0,IF('1 P-T +'!G$22&lt;250.1,IF('1 P-T +'!G$23&gt;56,IF('1 P-T +'!G$23&lt;70.1,1,0)))*'1 P-T +'!G$24)</f>
        <v>0</v>
      </c>
      <c r="AU56" s="845">
        <f>IF(AU49&gt;0,0,IF('1 P-T +'!H$22&lt;250.1,IF('1 P-T +'!H$23&gt;56,IF('1 P-T +'!H$23&lt;70.1,1,0)))*'1 P-T +'!H$24)</f>
        <v>0</v>
      </c>
      <c r="AV56" s="845">
        <f>IF(AV49&gt;0,0,IF('1 P-T +'!I$22&lt;250.1,IF('1 P-T +'!I$23&gt;56,IF('1 P-T +'!I$23&lt;70.1,1,0)))*'1 P-T +'!I$24)</f>
        <v>0</v>
      </c>
      <c r="AW56" s="845">
        <f>IF(AW49&gt;0,0,IF('1 P-T +'!J$22&lt;250.1,IF('1 P-T +'!J$23&gt;56,IF('1 P-T +'!J$23&lt;70.1,1,0)))*'1 P-T +'!J$24)</f>
        <v>0</v>
      </c>
      <c r="AX56" s="845">
        <f>IF(AX49&gt;0,0,IF('1 P-T +'!K$22&lt;250.1,IF('1 P-T +'!K$23&gt;56,IF('1 P-T +'!K$23&lt;70.1,1,0)))*'1 P-T +'!K$24)</f>
        <v>0</v>
      </c>
      <c r="AY56" s="845">
        <f>IF(AY49&gt;0,0,IF('1 P-T +'!L$22&lt;250.1,IF('1 P-T +'!L$23&gt;56,IF('1 P-T +'!L$23&lt;70.1,1,0)))*'1 P-T +'!L$24)</f>
        <v>0</v>
      </c>
      <c r="AZ56" s="845">
        <f>IF(AZ49&gt;0,0,IF('1 P-T +'!M$22&lt;250.1,IF('1 P-T +'!M$23&gt;56,IF('1 P-T +'!M$23&lt;70.1,1,0)))*'1 P-T +'!M$24)</f>
        <v>0</v>
      </c>
      <c r="BA56" s="845">
        <f>IF(BA49&gt;0,0,IF('1 P-T +'!N$22&lt;250.1,IF('1 P-T +'!N$23&gt;56,IF('1 P-T +'!N$23&lt;70.1,1,0)))*'1 P-T +'!N$24)</f>
        <v>0</v>
      </c>
      <c r="BB56" s="844">
        <f t="shared" si="18"/>
        <v>0</v>
      </c>
      <c r="BC56" s="838"/>
      <c r="BD56" s="855"/>
      <c r="BE56" s="855"/>
      <c r="BF56" s="855"/>
      <c r="BG56" s="855"/>
      <c r="BH56" s="855"/>
      <c r="BI56" s="855"/>
      <c r="BJ56" s="855"/>
      <c r="BK56" s="855"/>
      <c r="BL56" s="855"/>
      <c r="BM56" s="855"/>
      <c r="BN56" s="855"/>
      <c r="BO56" s="855"/>
      <c r="BP56" s="855"/>
      <c r="BQ56" s="855"/>
      <c r="BR56" s="855"/>
      <c r="BS56" s="855"/>
      <c r="BT56" s="855"/>
      <c r="BU56" s="855"/>
      <c r="BV56" s="855"/>
      <c r="BW56" s="855"/>
      <c r="BX56" s="855"/>
      <c r="BY56" s="855"/>
      <c r="BZ56" s="855"/>
      <c r="CA56" s="855"/>
      <c r="CB56" s="855"/>
      <c r="CC56" s="855"/>
      <c r="CD56" s="855"/>
      <c r="DC56" s="838"/>
    </row>
    <row r="57" spans="1:193" x14ac:dyDescent="0.35">
      <c r="A57" s="854"/>
      <c r="C57" s="838"/>
      <c r="D57" s="838"/>
      <c r="E57" s="838"/>
      <c r="F57" s="838"/>
      <c r="G57" s="838"/>
      <c r="H57" s="838"/>
      <c r="I57" s="838"/>
      <c r="J57" s="838"/>
      <c r="K57" s="838"/>
      <c r="L57" s="838"/>
      <c r="M57" s="838"/>
      <c r="N57" s="838"/>
      <c r="O57" s="838"/>
      <c r="P57" s="855"/>
      <c r="Q57" s="838"/>
      <c r="R57" s="855"/>
      <c r="S57" s="838"/>
      <c r="T57" s="855"/>
      <c r="U57" s="838"/>
      <c r="V57" s="855"/>
      <c r="W57" s="838"/>
      <c r="X57" s="855"/>
      <c r="Y57" s="838"/>
      <c r="Z57" s="855"/>
      <c r="AA57" s="838"/>
      <c r="AB57" s="838"/>
      <c r="AC57" s="855"/>
      <c r="AD57" s="838"/>
      <c r="AE57" s="855"/>
      <c r="AF57" s="838"/>
      <c r="AG57" s="855"/>
      <c r="AH57" s="838"/>
      <c r="AI57" s="855"/>
      <c r="AJ57" s="838"/>
      <c r="AK57" s="855"/>
      <c r="AL57" s="838"/>
      <c r="AM57" s="855"/>
      <c r="AN57" s="838"/>
      <c r="AO57" s="855"/>
      <c r="AP57" s="845">
        <f>IF(AP50,0,IF('1 P-T +'!C$22&lt;250.1,IF('1 P-T +'!C$23&gt;70,IF('1 P-T +'!C$23&lt;84.1,1,0)))*'1 P-T +'!C$24)</f>
        <v>0</v>
      </c>
      <c r="AQ57" s="845">
        <f>IF(AQ50,0,IF('1 P-T +'!D$22&lt;250.1,IF('1 P-T +'!D$23&gt;70,IF('1 P-T +'!D$23&lt;84.1,1,0)))*'1 P-T +'!D$24)</f>
        <v>0</v>
      </c>
      <c r="AR57" s="845">
        <f>IF(AR50,0,IF('1 P-T +'!E$22&lt;250.1,IF('1 P-T +'!E$23&gt;70,IF('1 P-T +'!E$23&lt;84.1,1,0)))*'1 P-T +'!E$24)</f>
        <v>0</v>
      </c>
      <c r="AS57" s="845">
        <f>IF(AS50,0,IF('1 P-T +'!F$22&lt;250.1,IF('1 P-T +'!F$23&gt;70,IF('1 P-T +'!F$23&lt;84.1,1,0)))*'1 P-T +'!F$24)</f>
        <v>0</v>
      </c>
      <c r="AT57" s="845">
        <f>IF(AT50,0,IF('1 P-T +'!G$22&lt;250.1,IF('1 P-T +'!G$23&gt;70,IF('1 P-T +'!G$23&lt;84.1,1,0)))*'1 P-T +'!G$24)</f>
        <v>0</v>
      </c>
      <c r="AU57" s="845">
        <f>IF(AU50,0,IF('1 P-T +'!H$22&lt;250.1,IF('1 P-T +'!H$23&gt;70,IF('1 P-T +'!H$23&lt;84.1,1,0)))*'1 P-T +'!H$24)</f>
        <v>0</v>
      </c>
      <c r="AV57" s="845">
        <f>IF(AV50,0,IF('1 P-T +'!I$22&lt;250.1,IF('1 P-T +'!I$23&gt;70,IF('1 P-T +'!I$23&lt;84.1,1,0)))*'1 P-T +'!I$24)</f>
        <v>0</v>
      </c>
      <c r="AW57" s="845">
        <f>IF(AW50,0,IF('1 P-T +'!J$22&lt;250.1,IF('1 P-T +'!J$23&gt;70,IF('1 P-T +'!J$23&lt;84.1,1,0)))*'1 P-T +'!J$24)</f>
        <v>0</v>
      </c>
      <c r="AX57" s="845">
        <f>IF(AX50,0,IF('1 P-T +'!K$22&lt;250.1,IF('1 P-T +'!K$23&gt;70,IF('1 P-T +'!K$23&lt;84.1,1,0)))*'1 P-T +'!K$24)</f>
        <v>0</v>
      </c>
      <c r="AY57" s="845">
        <f>IF(AY50,0,IF('1 P-T +'!L$22&lt;250.1,IF('1 P-T +'!L$23&gt;70,IF('1 P-T +'!L$23&lt;84.1,1,0)))*'1 P-T +'!L$24)</f>
        <v>0</v>
      </c>
      <c r="AZ57" s="845">
        <f>IF(AZ50,0,IF('1 P-T +'!M$22&lt;250.1,IF('1 P-T +'!M$23&gt;70,IF('1 P-T +'!M$23&lt;84.1,1,0)))*'1 P-T +'!M$24)</f>
        <v>0</v>
      </c>
      <c r="BA57" s="845">
        <f>IF(BA50,0,IF('1 P-T +'!N$22&lt;250.1,IF('1 P-T +'!N$23&gt;70,IF('1 P-T +'!N$23&lt;84.1,1,0)))*'1 P-T +'!N$24)</f>
        <v>0</v>
      </c>
      <c r="BB57" s="844">
        <f t="shared" si="18"/>
        <v>0</v>
      </c>
      <c r="BC57" s="855"/>
      <c r="BD57" s="855"/>
      <c r="BE57" s="855"/>
      <c r="BF57" s="855"/>
      <c r="BG57" s="855"/>
      <c r="BH57" s="855"/>
      <c r="BI57" s="855"/>
      <c r="BJ57" s="855"/>
      <c r="BK57" s="855"/>
      <c r="BL57" s="855"/>
      <c r="BM57" s="855"/>
      <c r="BN57" s="855"/>
      <c r="BO57" s="855"/>
      <c r="BP57" s="855"/>
      <c r="BQ57" s="855"/>
      <c r="BR57" s="855"/>
      <c r="BS57" s="855"/>
      <c r="BT57" s="855"/>
      <c r="BU57" s="855"/>
      <c r="BV57" s="855"/>
      <c r="BW57" s="855"/>
      <c r="BX57" s="855"/>
      <c r="BY57" s="855"/>
      <c r="BZ57" s="855"/>
      <c r="CA57" s="855"/>
      <c r="CB57" s="855"/>
      <c r="CC57" s="855"/>
      <c r="CD57" s="855"/>
      <c r="CE57" s="855"/>
      <c r="CF57" s="855"/>
      <c r="CG57" s="855"/>
      <c r="CH57" s="855"/>
      <c r="CI57" s="855"/>
      <c r="CJ57" s="855"/>
      <c r="CK57" s="855"/>
      <c r="CL57" s="855"/>
      <c r="CM57" s="855"/>
      <c r="CN57" s="855"/>
      <c r="CO57" s="855"/>
      <c r="CP57" s="855"/>
      <c r="CQ57" s="855"/>
      <c r="CR57" s="855"/>
      <c r="CS57" s="855"/>
      <c r="CT57" s="855"/>
      <c r="CU57" s="855"/>
      <c r="CV57" s="855"/>
      <c r="CW57" s="855"/>
      <c r="CX57" s="855"/>
      <c r="CY57" s="855"/>
      <c r="CZ57" s="855"/>
      <c r="DA57" s="855"/>
      <c r="DB57" s="855"/>
      <c r="DC57" s="838"/>
    </row>
    <row r="58" spans="1:193" x14ac:dyDescent="0.35">
      <c r="A58" s="853"/>
      <c r="C58" s="838"/>
      <c r="D58" s="838"/>
      <c r="E58" s="838"/>
      <c r="F58" s="838"/>
      <c r="G58" s="838"/>
      <c r="H58" s="838"/>
      <c r="I58" s="838"/>
      <c r="J58" s="838"/>
      <c r="K58" s="838"/>
      <c r="L58" s="838"/>
      <c r="M58" s="838"/>
      <c r="N58" s="838"/>
      <c r="O58" s="855"/>
      <c r="P58" s="855"/>
      <c r="Q58" s="838"/>
      <c r="R58" s="855"/>
      <c r="S58" s="838"/>
      <c r="T58" s="855"/>
      <c r="U58" s="838"/>
      <c r="V58" s="855"/>
      <c r="W58" s="838"/>
      <c r="X58" s="855"/>
      <c r="Y58" s="838"/>
      <c r="Z58" s="855"/>
      <c r="AA58" s="838"/>
      <c r="AB58" s="855"/>
      <c r="AC58" s="855"/>
      <c r="AD58" s="855"/>
      <c r="AE58" s="855"/>
      <c r="AF58" s="855"/>
      <c r="AG58" s="855"/>
      <c r="AH58" s="855"/>
      <c r="AI58" s="855"/>
      <c r="AJ58" s="855"/>
      <c r="AK58" s="855"/>
      <c r="AL58" s="855"/>
      <c r="AM58" s="855"/>
      <c r="AN58" s="855"/>
      <c r="AO58" s="855"/>
      <c r="AP58" s="845">
        <f>IF(AP51&gt;0,0,IF('1 P-T +'!C$22&lt;250.1,IF('1 P-T +'!C$23&gt;84,IF('1 P-T +'!C$23&lt;112.1,1,0)))*'1 P-T +'!C$24)</f>
        <v>0</v>
      </c>
      <c r="AQ58" s="845">
        <f>IF(AQ51&gt;0,0,IF('1 P-T +'!D$22&lt;250.1,IF('1 P-T +'!D$23&gt;84,IF('1 P-T +'!D$23&lt;112.1,1,0)))*'1 P-T +'!D$24)</f>
        <v>0</v>
      </c>
      <c r="AR58" s="845">
        <f>IF(AR51&gt;0,0,IF('1 P-T +'!E$22&lt;250.1,IF('1 P-T +'!E$23&gt;84,IF('1 P-T +'!E$23&lt;112.1,1,0)))*'1 P-T +'!E$24)</f>
        <v>0</v>
      </c>
      <c r="AS58" s="845">
        <f>IF(AS51&gt;0,0,IF('1 P-T +'!F$22&lt;250.1,IF('1 P-T +'!F$23&gt;84,IF('1 P-T +'!F$23&lt;112.1,1,0)))*'1 P-T +'!F$24)</f>
        <v>0</v>
      </c>
      <c r="AT58" s="845">
        <f>IF(AT51&gt;0,0,IF('1 P-T +'!G$22&lt;250.1,IF('1 P-T +'!G$23&gt;84,IF('1 P-T +'!G$23&lt;112.1,1,0)))*'1 P-T +'!G$24)</f>
        <v>0</v>
      </c>
      <c r="AU58" s="845">
        <f>IF(AU51&gt;0,0,IF('1 P-T +'!H$22&lt;250.1,IF('1 P-T +'!H$23&gt;84,IF('1 P-T +'!H$23&lt;112.1,1,0)))*'1 P-T +'!H$24)</f>
        <v>0</v>
      </c>
      <c r="AV58" s="845">
        <f>IF(AV51&gt;0,0,IF('1 P-T +'!I$22&lt;250.1,IF('1 P-T +'!I$23&gt;84,IF('1 P-T +'!I$23&lt;112.1,1,0)))*'1 P-T +'!I$24)</f>
        <v>0</v>
      </c>
      <c r="AW58" s="845">
        <f>IF(AW51&gt;0,0,IF('1 P-T +'!J$22&lt;250.1,IF('1 P-T +'!J$23&gt;84,IF('1 P-T +'!J$23&lt;112.1,1,0)))*'1 P-T +'!J$24)</f>
        <v>0</v>
      </c>
      <c r="AX58" s="845">
        <f>IF(AX51&gt;0,0,IF('1 P-T +'!K$22&lt;250.1,IF('1 P-T +'!K$23&gt;84,IF('1 P-T +'!K$23&lt;112.1,1,0)))*'1 P-T +'!K$24)</f>
        <v>0</v>
      </c>
      <c r="AY58" s="845">
        <f>IF(AY51&gt;0,0,IF('1 P-T +'!L$22&lt;250.1,IF('1 P-T +'!L$23&gt;84,IF('1 P-T +'!L$23&lt;112.1,1,0)))*'1 P-T +'!L$24)</f>
        <v>0</v>
      </c>
      <c r="AZ58" s="845">
        <f>IF(AZ51&gt;0,0,IF('1 P-T +'!M$22&lt;250.1,IF('1 P-T +'!M$23&gt;84,IF('1 P-T +'!M$23&lt;112.1,1,0)))*'1 P-T +'!M$24)</f>
        <v>0</v>
      </c>
      <c r="BA58" s="845">
        <f>IF(BA51&gt;0,0,IF('1 P-T +'!N$22&lt;250.1,IF('1 P-T +'!N$23&gt;84,IF('1 P-T +'!N$23&lt;112.1,1,0)))*'1 P-T +'!N$24)</f>
        <v>0</v>
      </c>
      <c r="BB58" s="844">
        <f t="shared" si="18"/>
        <v>0</v>
      </c>
      <c r="BC58" s="855"/>
      <c r="BD58" s="855"/>
      <c r="BE58" s="855"/>
      <c r="BF58" s="855"/>
      <c r="BG58" s="855"/>
      <c r="BH58" s="855"/>
      <c r="BI58" s="855"/>
      <c r="BJ58" s="855"/>
      <c r="BK58" s="855"/>
      <c r="BL58" s="855"/>
      <c r="BM58" s="855"/>
      <c r="BN58" s="855"/>
      <c r="BO58" s="855"/>
      <c r="BP58" s="855"/>
      <c r="BQ58" s="855"/>
      <c r="BR58" s="855"/>
      <c r="BS58" s="855"/>
      <c r="BT58" s="855"/>
      <c r="BU58" s="855"/>
      <c r="BV58" s="855"/>
      <c r="BW58" s="855"/>
      <c r="BX58" s="855"/>
      <c r="BY58" s="855"/>
      <c r="BZ58" s="855"/>
      <c r="CA58" s="855"/>
      <c r="CB58" s="855"/>
      <c r="CC58" s="855"/>
      <c r="CD58" s="855"/>
      <c r="CE58" s="855"/>
      <c r="CF58" s="855"/>
      <c r="CG58" s="855"/>
      <c r="CH58" s="855"/>
      <c r="CI58" s="855"/>
      <c r="CJ58" s="855"/>
      <c r="CK58" s="855"/>
      <c r="CL58" s="855"/>
      <c r="CM58" s="855"/>
      <c r="CN58" s="855"/>
      <c r="CO58" s="855"/>
      <c r="CP58" s="855"/>
      <c r="CQ58" s="855"/>
      <c r="CR58" s="855"/>
      <c r="CS58" s="855"/>
      <c r="CT58" s="855"/>
      <c r="CU58" s="855"/>
      <c r="CV58" s="855"/>
      <c r="CW58" s="855"/>
      <c r="CX58" s="855"/>
      <c r="CY58" s="855"/>
      <c r="CZ58" s="855"/>
      <c r="DA58" s="855"/>
      <c r="DB58" s="855"/>
    </row>
    <row r="59" spans="1:193" x14ac:dyDescent="0.35">
      <c r="A59" s="853"/>
      <c r="C59" s="838"/>
      <c r="D59" s="838"/>
      <c r="E59" s="838"/>
      <c r="F59" s="838"/>
      <c r="G59" s="838"/>
      <c r="H59" s="838"/>
      <c r="I59" s="838"/>
      <c r="J59" s="838"/>
      <c r="K59" s="838"/>
      <c r="L59" s="838"/>
      <c r="M59" s="838"/>
      <c r="N59" s="838"/>
      <c r="O59" s="838"/>
      <c r="P59" s="855"/>
      <c r="Q59" s="855"/>
      <c r="R59" s="855"/>
      <c r="S59" s="855"/>
      <c r="T59" s="855"/>
      <c r="U59" s="855"/>
      <c r="V59" s="855"/>
      <c r="W59" s="855"/>
      <c r="X59" s="855"/>
      <c r="Y59" s="855"/>
      <c r="Z59" s="855"/>
      <c r="AA59" s="855"/>
      <c r="AB59" s="838"/>
      <c r="AC59" s="855"/>
      <c r="AD59" s="838"/>
      <c r="AE59" s="855"/>
      <c r="AF59" s="838"/>
      <c r="AG59" s="855"/>
      <c r="AH59" s="838"/>
      <c r="AI59" s="855"/>
      <c r="AJ59" s="838"/>
      <c r="AK59" s="855"/>
      <c r="AL59" s="838"/>
      <c r="AM59" s="855"/>
      <c r="AN59" s="838"/>
      <c r="AO59" s="855"/>
      <c r="AP59" s="845">
        <f>IF(AP52&gt;0,0,IF('1 P-T +'!C$22&lt;250.1,IF('1 P-T +'!C$23&gt;112,IF('1 P-T +'!C$23&lt;150.1,1,0)))*'1 P-T +'!C$24)</f>
        <v>0</v>
      </c>
      <c r="AQ59" s="845">
        <f>IF(AQ52&gt;0,0,IF('1 P-T +'!D$22&lt;250.1,IF('1 P-T +'!D$23&gt;112,IF('1 P-T +'!D$23&lt;150.1,1,0)))*'1 P-T +'!D$24)</f>
        <v>0</v>
      </c>
      <c r="AR59" s="845">
        <f>IF(AR52&gt;0,0,IF('1 P-T +'!E$22&lt;250.1,IF('1 P-T +'!E$23&gt;112,IF('1 P-T +'!E$23&lt;150.1,1,0)))*'1 P-T +'!E$24)</f>
        <v>0</v>
      </c>
      <c r="AS59" s="845">
        <f>IF(AS52&gt;0,0,IF('1 P-T +'!F$22&lt;250.1,IF('1 P-T +'!F$23&gt;112,IF('1 P-T +'!F$23&lt;150.1,1,0)))*'1 P-T +'!F$24)</f>
        <v>0</v>
      </c>
      <c r="AT59" s="845">
        <f>IF(AT52&gt;0,0,IF('1 P-T +'!G$22&lt;250.1,IF('1 P-T +'!G$23&gt;112,IF('1 P-T +'!G$23&lt;150.1,1,0)))*'1 P-T +'!G$24)</f>
        <v>0</v>
      </c>
      <c r="AU59" s="845">
        <f>IF(AU52&gt;0,0,IF('1 P-T +'!H$22&lt;250.1,IF('1 P-T +'!H$23&gt;112,IF('1 P-T +'!H$23&lt;150.1,1,0)))*'1 P-T +'!H$24)</f>
        <v>0</v>
      </c>
      <c r="AV59" s="845">
        <f>IF(AV52&gt;0,0,IF('1 P-T +'!I$22&lt;250.1,IF('1 P-T +'!I$23&gt;112,IF('1 P-T +'!I$23&lt;150.1,1,0)))*'1 P-T +'!I$24)</f>
        <v>0</v>
      </c>
      <c r="AW59" s="845">
        <f>IF(AW52&gt;0,0,IF('1 P-T +'!J$22&lt;250.1,IF('1 P-T +'!J$23&gt;112,IF('1 P-T +'!J$23&lt;150.1,1,0)))*'1 P-T +'!J$24)</f>
        <v>0</v>
      </c>
      <c r="AX59" s="845">
        <f>IF(AX52&gt;0,0,IF('1 P-T +'!K$22&lt;250.1,IF('1 P-T +'!K$23&gt;112,IF('1 P-T +'!K$23&lt;150.1,1,0)))*'1 P-T +'!K$24)</f>
        <v>0</v>
      </c>
      <c r="AY59" s="845">
        <f>IF(AY52&gt;0,0,IF('1 P-T +'!L$22&lt;250.1,IF('1 P-T +'!L$23&gt;112,IF('1 P-T +'!L$23&lt;150.1,1,0)))*'1 P-T +'!L$24)</f>
        <v>0</v>
      </c>
      <c r="AZ59" s="845">
        <f>IF(AZ52&gt;0,0,IF('1 P-T +'!M$22&lt;250.1,IF('1 P-T +'!M$23&gt;112,IF('1 P-T +'!M$23&lt;150.1,1,0)))*'1 P-T +'!M$24)</f>
        <v>0</v>
      </c>
      <c r="BA59" s="845">
        <f>IF(BA52&gt;0,0,IF('1 P-T +'!N$22&lt;250.1,IF('1 P-T +'!N$23&gt;112,IF('1 P-T +'!N$23&lt;150.1,1,0)))*'1 P-T +'!N$24)</f>
        <v>0</v>
      </c>
      <c r="BB59" s="844">
        <f t="shared" si="18"/>
        <v>0</v>
      </c>
      <c r="BC59" s="855"/>
      <c r="BG59" s="1105"/>
      <c r="BH59" s="1106"/>
      <c r="BI59" s="1106"/>
      <c r="BJ59" s="1106"/>
      <c r="BK59" s="1106"/>
      <c r="BL59" s="1106"/>
      <c r="BM59" s="1106"/>
      <c r="BN59" s="1106"/>
      <c r="BO59" s="1106"/>
      <c r="BP59" s="1106"/>
      <c r="BQ59" s="1106"/>
      <c r="BR59" s="1107"/>
      <c r="BS59" s="1105"/>
      <c r="BT59" s="1106"/>
      <c r="BU59" s="1106"/>
      <c r="BV59" s="1106"/>
      <c r="BW59" s="1106"/>
      <c r="BX59" s="1106"/>
      <c r="BY59" s="1106"/>
      <c r="BZ59" s="1106"/>
      <c r="CA59" s="1106"/>
      <c r="CB59" s="1106"/>
      <c r="CC59" s="1106"/>
      <c r="CD59" s="1107"/>
      <c r="CE59" s="1105"/>
      <c r="CF59" s="1106"/>
      <c r="CG59" s="1106"/>
      <c r="CH59" s="1106"/>
      <c r="CI59" s="1106"/>
      <c r="CJ59" s="1106"/>
      <c r="CK59" s="1106"/>
      <c r="CL59" s="1106"/>
      <c r="CM59" s="1106"/>
      <c r="CN59" s="1106"/>
      <c r="CO59" s="1106"/>
      <c r="CP59" s="1107"/>
      <c r="CQ59" s="1105"/>
      <c r="CR59" s="1106"/>
      <c r="CS59" s="1106"/>
      <c r="CT59" s="1106"/>
      <c r="CU59" s="1106"/>
      <c r="CV59" s="1106"/>
      <c r="CW59" s="1106"/>
      <c r="CX59" s="1106"/>
      <c r="CY59" s="1106"/>
      <c r="CZ59" s="1106"/>
      <c r="DA59" s="1106"/>
      <c r="DB59" s="1107"/>
    </row>
    <row r="60" spans="1:193" x14ac:dyDescent="0.35">
      <c r="A60" s="852"/>
      <c r="C60" s="838"/>
      <c r="D60" s="838"/>
      <c r="E60" s="838"/>
      <c r="F60" s="838"/>
      <c r="G60" s="838"/>
      <c r="H60" s="838"/>
      <c r="I60" s="838"/>
      <c r="J60" s="838"/>
      <c r="K60" s="838"/>
      <c r="L60" s="838"/>
      <c r="M60" s="838"/>
      <c r="N60" s="838"/>
      <c r="O60" s="838"/>
      <c r="P60" s="838"/>
      <c r="Q60" s="838"/>
      <c r="R60" s="838"/>
      <c r="S60" s="838"/>
      <c r="T60" s="838"/>
      <c r="U60" s="838"/>
      <c r="V60" s="838"/>
      <c r="W60" s="838"/>
      <c r="X60" s="838"/>
      <c r="Y60" s="838"/>
      <c r="Z60" s="838"/>
      <c r="AA60" s="838"/>
      <c r="AB60" s="838"/>
      <c r="AC60" s="855"/>
      <c r="AD60" s="838"/>
      <c r="AE60" s="855"/>
      <c r="AF60" s="838"/>
      <c r="AG60" s="855"/>
      <c r="AH60" s="838"/>
      <c r="AI60" s="855"/>
      <c r="AJ60" s="838"/>
      <c r="AK60" s="855"/>
      <c r="AL60" s="838"/>
      <c r="AM60" s="855"/>
      <c r="AN60" s="838"/>
      <c r="AO60" s="855"/>
      <c r="AP60" s="678" t="s">
        <v>989</v>
      </c>
      <c r="AQ60" s="678"/>
      <c r="AR60" s="678"/>
      <c r="AS60" s="678"/>
      <c r="AT60" s="678"/>
      <c r="AU60" s="678"/>
      <c r="AV60" s="678"/>
      <c r="AW60" s="678"/>
      <c r="AX60" s="678"/>
      <c r="AY60" s="678"/>
      <c r="AZ60" s="678"/>
      <c r="BA60" s="678"/>
      <c r="BB60" s="855"/>
      <c r="BC60" s="855"/>
      <c r="BG60" s="1108" t="s">
        <v>1168</v>
      </c>
      <c r="BH60" s="999"/>
      <c r="BI60" s="999"/>
      <c r="BJ60" s="999"/>
      <c r="BK60" s="999"/>
      <c r="BL60" s="999"/>
      <c r="BM60" s="999"/>
      <c r="BN60" s="999"/>
      <c r="BO60" s="999"/>
      <c r="BP60" s="999"/>
      <c r="BQ60" s="999"/>
      <c r="BR60" s="1109"/>
      <c r="BS60" s="1108" t="s">
        <v>1169</v>
      </c>
      <c r="BT60" s="999"/>
      <c r="BU60" s="999"/>
      <c r="BV60" s="999"/>
      <c r="BW60" s="999"/>
      <c r="BX60" s="999"/>
      <c r="BY60" s="999"/>
      <c r="BZ60" s="999"/>
      <c r="CA60" s="999"/>
      <c r="CB60" s="999"/>
      <c r="CC60" s="999"/>
      <c r="CD60" s="1109"/>
      <c r="CE60" s="1108" t="s">
        <v>1170</v>
      </c>
      <c r="CF60" s="999"/>
      <c r="CG60" s="999"/>
      <c r="CH60" s="999"/>
      <c r="CI60" s="999"/>
      <c r="CJ60" s="999"/>
      <c r="CK60" s="999"/>
      <c r="CL60" s="999"/>
      <c r="CM60" s="999"/>
      <c r="CN60" s="999"/>
      <c r="CO60" s="999"/>
      <c r="CP60" s="1109"/>
      <c r="CQ60" s="1108" t="s">
        <v>1171</v>
      </c>
      <c r="CR60" s="999"/>
      <c r="CS60" s="999"/>
      <c r="CT60" s="999"/>
      <c r="CU60" s="999"/>
      <c r="CV60" s="999"/>
      <c r="CW60" s="999"/>
      <c r="CX60" s="999"/>
      <c r="CY60" s="999"/>
      <c r="CZ60" s="999"/>
      <c r="DA60" s="999"/>
      <c r="DB60" s="1109"/>
    </row>
    <row r="61" spans="1:193" x14ac:dyDescent="0.35">
      <c r="A61" s="857"/>
      <c r="C61" s="838"/>
      <c r="D61" s="838"/>
      <c r="E61" s="838"/>
      <c r="F61" s="838"/>
      <c r="G61" s="838"/>
      <c r="H61" s="838"/>
      <c r="I61" s="838"/>
      <c r="J61" s="838"/>
      <c r="K61" s="838"/>
      <c r="L61" s="838"/>
      <c r="M61" s="838"/>
      <c r="N61" s="838"/>
      <c r="O61" s="838"/>
      <c r="P61" s="855"/>
      <c r="Q61" s="838"/>
      <c r="R61" s="855"/>
      <c r="S61" s="838"/>
      <c r="T61" s="855"/>
      <c r="U61" s="838"/>
      <c r="V61" s="855"/>
      <c r="W61" s="838"/>
      <c r="X61" s="855"/>
      <c r="Y61" s="838"/>
      <c r="Z61" s="855"/>
      <c r="AA61" s="838"/>
      <c r="AB61" s="838"/>
      <c r="AC61" s="838"/>
      <c r="AD61" s="838"/>
      <c r="AE61" s="838"/>
      <c r="AF61" s="838"/>
      <c r="AG61" s="838"/>
      <c r="AH61" s="838"/>
      <c r="AI61" s="838"/>
      <c r="AJ61" s="838"/>
      <c r="AK61" s="838"/>
      <c r="AL61" s="838"/>
      <c r="AM61" s="838"/>
      <c r="AN61" s="838"/>
      <c r="AO61" s="855"/>
      <c r="AP61" s="845">
        <f>IF(AP40&gt;0,0,IF('1 P-T +'!C$22&gt;250,IF('1 P-T +'!C$23&gt;5.5,IF('1 P-T +'!C$23&lt;28.1,1,0)))*'1 P-T +'!C$24)</f>
        <v>0</v>
      </c>
      <c r="AQ61" s="845">
        <f>IF(AQ40&gt;0,0,IF('1 P-T +'!D$22&gt;250,IF('1 P-T +'!D$23&gt;5.5,IF('1 P-T +'!D$23&lt;28.1,1,0)))*'1 P-T +'!D$24)</f>
        <v>0</v>
      </c>
      <c r="AR61" s="845">
        <f>IF(AR40&gt;0,0,IF('1 P-T +'!E$22&gt;250,IF('1 P-T +'!E$23&gt;5.5,IF('1 P-T +'!E$23&lt;28.1,1,0)))*'1 P-T +'!E$24)</f>
        <v>0</v>
      </c>
      <c r="AS61" s="845">
        <f>IF(AS40&gt;0,0,IF('1 P-T +'!F$22&gt;250,IF('1 P-T +'!F$23&gt;5.5,IF('1 P-T +'!F$23&lt;28.1,1,0)))*'1 P-T +'!F$24)</f>
        <v>0</v>
      </c>
      <c r="AT61" s="845">
        <f>IF(AT40&gt;0,0,IF('1 P-T +'!G$22&gt;250,IF('1 P-T +'!G$23&gt;5.5,IF('1 P-T +'!G$23&lt;28.1,1,0)))*'1 P-T +'!G$24)</f>
        <v>0</v>
      </c>
      <c r="AU61" s="845">
        <f>IF(AU40&gt;0,0,IF('1 P-T +'!H$22&gt;250,IF('1 P-T +'!H$23&gt;5.5,IF('1 P-T +'!H$23&lt;28.1,1,0)))*'1 P-T +'!H$24)</f>
        <v>0</v>
      </c>
      <c r="AV61" s="845">
        <f>IF(AV40&gt;0,0,IF('1 P-T +'!I$22&gt;250,IF('1 P-T +'!I$23&gt;5.5,IF('1 P-T +'!I$23&lt;28.1,1,0)))*'1 P-T +'!I$24)</f>
        <v>0</v>
      </c>
      <c r="AW61" s="845">
        <f>IF(AW40&gt;0,0,IF('1 P-T +'!J$22&gt;250,IF('1 P-T +'!J$23&gt;5.5,IF('1 P-T +'!J$23&lt;28.1,1,0)))*'1 P-T +'!J$24)</f>
        <v>0</v>
      </c>
      <c r="AX61" s="845">
        <f>IF(AX40&gt;0,0,IF('1 P-T +'!K$22&gt;250,IF('1 P-T +'!K$23&gt;5.5,IF('1 P-T +'!K$23&lt;28.1,1,0)))*'1 P-T +'!K$24)</f>
        <v>0</v>
      </c>
      <c r="AY61" s="845">
        <f>IF(AY40&gt;0,0,IF('1 P-T +'!L$22&gt;250,IF('1 P-T +'!L$23&gt;5.5,IF('1 P-T +'!L$23&lt;28.1,1,0)))*'1 P-T +'!L$24)</f>
        <v>0</v>
      </c>
      <c r="AZ61" s="845">
        <f>IF(AZ40&gt;0,0,IF('1 P-T +'!M$22&gt;250,IF('1 P-T +'!M$23&gt;5.5,IF('1 P-T +'!M$23&lt;28.1,1,0)))*'1 P-T +'!M$24)</f>
        <v>0</v>
      </c>
      <c r="BA61" s="845">
        <f>IF(BA40&gt;0,0,IF('1 P-T +'!N$22&gt;250,IF('1 P-T +'!N$23&gt;5.5,IF('1 P-T +'!N$23&lt;28.1,1,0)))*'1 P-T +'!N$24)</f>
        <v>0</v>
      </c>
      <c r="BB61" s="844">
        <f t="shared" ref="BB61:BB66" si="19">SUM(AP61:BA61)</f>
        <v>0</v>
      </c>
      <c r="BC61" s="855"/>
      <c r="BG61" s="846"/>
      <c r="BH61" s="847"/>
      <c r="BI61" s="847"/>
      <c r="BJ61" s="847"/>
      <c r="BK61" s="847"/>
      <c r="BL61" s="847"/>
      <c r="BM61" s="847"/>
      <c r="BN61" s="847"/>
      <c r="BO61" s="847"/>
      <c r="BP61" s="847"/>
      <c r="BQ61" s="847"/>
      <c r="BR61" s="1083"/>
      <c r="BS61" s="846"/>
      <c r="BT61" s="847"/>
      <c r="BU61" s="847"/>
      <c r="BV61" s="847"/>
      <c r="BW61" s="847"/>
      <c r="BX61" s="847"/>
      <c r="BY61" s="847"/>
      <c r="BZ61" s="847"/>
      <c r="CA61" s="847"/>
      <c r="CB61" s="847"/>
      <c r="CC61" s="847"/>
      <c r="CD61" s="1083"/>
      <c r="CE61" s="846"/>
      <c r="CF61" s="847"/>
      <c r="CG61" s="847"/>
      <c r="CH61" s="847"/>
      <c r="CI61" s="847"/>
      <c r="CJ61" s="847"/>
      <c r="CK61" s="847"/>
      <c r="CL61" s="847"/>
      <c r="CM61" s="847"/>
      <c r="CN61" s="847"/>
      <c r="CO61" s="847"/>
      <c r="CP61" s="1083"/>
      <c r="CQ61" s="846"/>
      <c r="CR61" s="847"/>
      <c r="CS61" s="847"/>
      <c r="CT61" s="847"/>
      <c r="CU61" s="847"/>
      <c r="CV61" s="847"/>
      <c r="CW61" s="847"/>
      <c r="CX61" s="847"/>
      <c r="CY61" s="847"/>
      <c r="CZ61" s="847"/>
      <c r="DA61" s="847"/>
      <c r="DB61" s="1083"/>
    </row>
    <row r="62" spans="1:193" x14ac:dyDescent="0.35">
      <c r="A62" s="856"/>
      <c r="C62" s="838"/>
      <c r="D62" s="838"/>
      <c r="E62" s="838"/>
      <c r="F62" s="838"/>
      <c r="G62" s="838"/>
      <c r="H62" s="838"/>
      <c r="I62" s="838"/>
      <c r="J62" s="838"/>
      <c r="K62" s="838"/>
      <c r="L62" s="838"/>
      <c r="M62" s="838"/>
      <c r="N62" s="838"/>
      <c r="O62" s="838"/>
      <c r="P62" s="855"/>
      <c r="Q62" s="838"/>
      <c r="R62" s="855"/>
      <c r="S62" s="838"/>
      <c r="T62" s="855"/>
      <c r="U62" s="838"/>
      <c r="V62" s="855"/>
      <c r="W62" s="838"/>
      <c r="X62" s="855"/>
      <c r="Y62" s="838"/>
      <c r="Z62" s="855"/>
      <c r="AA62" s="838"/>
      <c r="AB62" s="838"/>
      <c r="AC62" s="855"/>
      <c r="AD62" s="838"/>
      <c r="AE62" s="855"/>
      <c r="AF62" s="838"/>
      <c r="AG62" s="855"/>
      <c r="AH62" s="838"/>
      <c r="AI62" s="855"/>
      <c r="AJ62" s="838"/>
      <c r="AK62" s="855"/>
      <c r="AL62" s="838"/>
      <c r="AM62" s="855"/>
      <c r="AN62" s="838"/>
      <c r="AO62" s="855"/>
      <c r="AP62" s="845">
        <f>IF(AP41&gt;0,0,IF('1 P-T +'!C$22&gt;250,IF('1 P-T +'!C$23&gt;28,IF('1 P-T +'!C$23&lt;56.1,1,0)))*'1 P-T +'!C$24)</f>
        <v>0</v>
      </c>
      <c r="AQ62" s="845">
        <f>IF(AQ41&gt;0,0,IF('1 P-T +'!D$22&gt;250,IF('1 P-T +'!D$23&gt;28,IF('1 P-T +'!D$23&lt;56.1,1,0)))*'1 P-T +'!D$24)</f>
        <v>0</v>
      </c>
      <c r="AR62" s="845">
        <f>IF(AR41&gt;0,0,IF('1 P-T +'!E$22&gt;250,IF('1 P-T +'!E$23&gt;28,IF('1 P-T +'!E$23&lt;56.1,1,0)))*'1 P-T +'!E$24)</f>
        <v>0</v>
      </c>
      <c r="AS62" s="845">
        <f>IF(AS41&gt;0,0,IF('1 P-T +'!F$22&gt;250,IF('1 P-T +'!F$23&gt;28,IF('1 P-T +'!F$23&lt;56.1,1,0)))*'1 P-T +'!F$24)</f>
        <v>0</v>
      </c>
      <c r="AT62" s="845">
        <f>IF(AT41&gt;0,0,IF('1 P-T +'!G$22&gt;250,IF('1 P-T +'!G$23&gt;28,IF('1 P-T +'!G$23&lt;56.1,1,0)))*'1 P-T +'!G$24)</f>
        <v>0</v>
      </c>
      <c r="AU62" s="845">
        <f>IF(AU41&gt;0,0,IF('1 P-T +'!H$22&gt;250,IF('1 P-T +'!H$23&gt;28,IF('1 P-T +'!H$23&lt;56.1,1,0)))*'1 P-T +'!H$24)</f>
        <v>0</v>
      </c>
      <c r="AV62" s="845">
        <f>IF(AV41&gt;0,0,IF('1 P-T +'!I$22&gt;250,IF('1 P-T +'!I$23&gt;28,IF('1 P-T +'!I$23&lt;56.1,1,0)))*'1 P-T +'!I$24)</f>
        <v>0</v>
      </c>
      <c r="AW62" s="845">
        <f>IF(AW41&gt;0,0,IF('1 P-T +'!J$22&gt;250,IF('1 P-T +'!J$23&gt;28,IF('1 P-T +'!J$23&lt;56.1,1,0)))*'1 P-T +'!J$24)</f>
        <v>0</v>
      </c>
      <c r="AX62" s="845">
        <f>IF(AX41&gt;0,0,IF('1 P-T +'!K$22&gt;250,IF('1 P-T +'!K$23&gt;28,IF('1 P-T +'!K$23&lt;56.1,1,0)))*'1 P-T +'!K$24)</f>
        <v>0</v>
      </c>
      <c r="AY62" s="845">
        <f>IF(AY41&gt;0,0,IF('1 P-T +'!L$22&gt;250,IF('1 P-T +'!L$23&gt;28,IF('1 P-T +'!L$23&lt;56.1,1,0)))*'1 P-T +'!L$24)</f>
        <v>0</v>
      </c>
      <c r="AZ62" s="845">
        <f>IF(AZ41&gt;0,0,IF('1 P-T +'!M$22&gt;250,IF('1 P-T +'!M$23&gt;28,IF('1 P-T +'!M$23&lt;56.1,1,0)))*'1 P-T +'!M$24)</f>
        <v>0</v>
      </c>
      <c r="BA62" s="845">
        <f>IF(BA41&gt;0,0,IF('1 P-T +'!N$22&gt;250,IF('1 P-T +'!N$23&gt;28,IF('1 P-T +'!N$23&lt;56.1,1,0)))*'1 P-T +'!N$24)</f>
        <v>0</v>
      </c>
      <c r="BB62" s="844">
        <f t="shared" si="19"/>
        <v>0</v>
      </c>
      <c r="BC62" s="859"/>
      <c r="BG62" s="846"/>
      <c r="BH62" s="847"/>
      <c r="BI62" s="847"/>
      <c r="BJ62" s="847"/>
      <c r="BK62" s="847"/>
      <c r="BL62" s="847"/>
      <c r="BM62" s="847"/>
      <c r="BN62" s="847"/>
      <c r="BO62" s="847"/>
      <c r="BP62" s="847"/>
      <c r="BQ62" s="847"/>
      <c r="BR62" s="1083"/>
      <c r="BS62" s="846"/>
      <c r="BT62" s="847"/>
      <c r="BU62" s="847"/>
      <c r="BV62" s="847"/>
      <c r="BW62" s="847"/>
      <c r="BX62" s="847"/>
      <c r="BY62" s="847"/>
      <c r="BZ62" s="847"/>
      <c r="CA62" s="847"/>
      <c r="CB62" s="847"/>
      <c r="CC62" s="847"/>
      <c r="CD62" s="1083"/>
      <c r="CE62" s="1110">
        <f>+'2 MEDIA ALTURA'!C33</f>
        <v>0</v>
      </c>
      <c r="CF62" s="1111">
        <f>+'2 MEDIA ALTURA'!D33</f>
        <v>0</v>
      </c>
      <c r="CG62" s="1111">
        <f>+'2 MEDIA ALTURA'!E33</f>
        <v>0</v>
      </c>
      <c r="CH62" s="1111">
        <f>+'2 MEDIA ALTURA'!F33</f>
        <v>0</v>
      </c>
      <c r="CI62" s="1111">
        <f>+'2 MEDIA ALTURA'!G33</f>
        <v>0</v>
      </c>
      <c r="CJ62" s="1111">
        <f>+'2 MEDIA ALTURA'!H33</f>
        <v>0</v>
      </c>
      <c r="CK62" s="1111">
        <f>+'2 MEDIA ALTURA'!I33</f>
        <v>0</v>
      </c>
      <c r="CL62" s="1111">
        <f>+'2 MEDIA ALTURA'!J33</f>
        <v>0</v>
      </c>
      <c r="CM62" s="1111">
        <f>+'2 MEDIA ALTURA'!K33</f>
        <v>0</v>
      </c>
      <c r="CN62" s="1111">
        <f>+'2 MEDIA ALTURA'!L33</f>
        <v>0</v>
      </c>
      <c r="CO62" s="1111">
        <f>+'2 MEDIA ALTURA'!M33</f>
        <v>0</v>
      </c>
      <c r="CP62" s="1112">
        <f>+'2 MEDIA ALTURA'!N33</f>
        <v>0</v>
      </c>
      <c r="CQ62" s="1110">
        <f>+'2 M-A +'!C31</f>
        <v>0</v>
      </c>
      <c r="CR62" s="1110">
        <f>+'2 M-A +'!D31</f>
        <v>0</v>
      </c>
      <c r="CS62" s="1110">
        <f>+'2 M-A +'!E31</f>
        <v>0</v>
      </c>
      <c r="CT62" s="1110">
        <f>+'2 M-A +'!F31</f>
        <v>0</v>
      </c>
      <c r="CU62" s="1110">
        <f>+'2 M-A +'!G31</f>
        <v>0</v>
      </c>
      <c r="CV62" s="1110">
        <f>+'2 M-A +'!H31</f>
        <v>0</v>
      </c>
      <c r="CW62" s="1110">
        <f>+'2 M-A +'!I31</f>
        <v>0</v>
      </c>
      <c r="CX62" s="1110">
        <f>+'2 M-A +'!J31</f>
        <v>0</v>
      </c>
      <c r="CY62" s="1110">
        <f>+'2 M-A +'!K31</f>
        <v>0</v>
      </c>
      <c r="CZ62" s="1110">
        <f>+'2 M-A +'!L31</f>
        <v>0</v>
      </c>
      <c r="DA62" s="1110">
        <f>+'2 M-A +'!M31</f>
        <v>0</v>
      </c>
      <c r="DB62" s="1110">
        <f>+'2 M-A +'!N31</f>
        <v>0</v>
      </c>
      <c r="DC62" s="777" t="s">
        <v>1173</v>
      </c>
      <c r="DD62" s="1020"/>
      <c r="DE62" s="1020"/>
      <c r="DF62" s="1020"/>
      <c r="DG62" s="1020"/>
      <c r="DH62" s="1020"/>
      <c r="DI62" s="1020"/>
      <c r="DJ62" s="1020"/>
      <c r="DK62" s="1020"/>
      <c r="DL62" s="1020"/>
      <c r="DM62" s="1020"/>
      <c r="DN62" s="1020"/>
      <c r="DO62" s="1020"/>
      <c r="DP62" s="1020"/>
      <c r="DQ62" s="1020"/>
      <c r="DR62" s="1020"/>
      <c r="DS62" s="1020"/>
      <c r="DT62" s="1020"/>
      <c r="DU62" s="1020"/>
      <c r="DV62" s="1020"/>
      <c r="DW62" s="1020"/>
      <c r="DX62" s="1019"/>
      <c r="DZ62" s="1019"/>
      <c r="EB62" s="1019"/>
      <c r="ED62" s="1019"/>
      <c r="EF62" s="1019"/>
      <c r="EH62" s="1019"/>
      <c r="EJ62" s="1019"/>
      <c r="EL62" s="1019"/>
      <c r="EN62" s="1019"/>
      <c r="EP62" s="1019"/>
      <c r="ER62" s="1019"/>
      <c r="ET62" s="1019"/>
    </row>
    <row r="63" spans="1:193" x14ac:dyDescent="0.35">
      <c r="A63" s="856"/>
      <c r="C63" s="838"/>
      <c r="D63" s="838"/>
      <c r="E63" s="838"/>
      <c r="F63" s="838"/>
      <c r="G63" s="838"/>
      <c r="H63" s="838"/>
      <c r="I63" s="838"/>
      <c r="J63" s="838"/>
      <c r="K63" s="838"/>
      <c r="L63" s="838"/>
      <c r="M63" s="838"/>
      <c r="N63" s="838"/>
      <c r="O63" s="838"/>
      <c r="P63" s="855"/>
      <c r="Q63" s="838"/>
      <c r="R63" s="855"/>
      <c r="S63" s="838"/>
      <c r="T63" s="855"/>
      <c r="U63" s="838"/>
      <c r="V63" s="855"/>
      <c r="W63" s="838"/>
      <c r="X63" s="855"/>
      <c r="Y63" s="838"/>
      <c r="Z63" s="855"/>
      <c r="AA63" s="838"/>
      <c r="AB63" s="838"/>
      <c r="AC63" s="855"/>
      <c r="AD63" s="838"/>
      <c r="AE63" s="855"/>
      <c r="AF63" s="838"/>
      <c r="AG63" s="855"/>
      <c r="AH63" s="838"/>
      <c r="AI63" s="855"/>
      <c r="AJ63" s="838"/>
      <c r="AK63" s="855"/>
      <c r="AL63" s="838"/>
      <c r="AM63" s="855"/>
      <c r="AN63" s="838"/>
      <c r="AO63" s="855"/>
      <c r="AP63" s="845">
        <f>IF(AP42&gt;0,0,IF('1 P-T +'!C$22&gt;250,IF('1 P-T +'!C$23&gt;56,IF('1 P-T +'!C$23&lt;70.1,1,0)))*'1 P-T +'!C$24)</f>
        <v>0</v>
      </c>
      <c r="AQ63" s="845">
        <f>IF(AQ42&gt;0,0,IF('1 P-T +'!D$22&gt;250,IF('1 P-T +'!D$23&gt;56,IF('1 P-T +'!D$23&lt;70.1,1,0)))*'1 P-T +'!D$24)</f>
        <v>0</v>
      </c>
      <c r="AR63" s="845">
        <f>IF(AR42&gt;0,0,IF('1 P-T +'!E$22&gt;250,IF('1 P-T +'!E$23&gt;56,IF('1 P-T +'!E$23&lt;70.1,1,0)))*'1 P-T +'!E$24)</f>
        <v>0</v>
      </c>
      <c r="AS63" s="845">
        <f>IF(AS42&gt;0,0,IF('1 P-T +'!F$22&gt;250,IF('1 P-T +'!F$23&gt;56,IF('1 P-T +'!F$23&lt;70.1,1,0)))*'1 P-T +'!F$24)</f>
        <v>0</v>
      </c>
      <c r="AT63" s="845">
        <f>IF(AT42&gt;0,0,IF('1 P-T +'!G$22&gt;250,IF('1 P-T +'!G$23&gt;56,IF('1 P-T +'!G$23&lt;70.1,1,0)))*'1 P-T +'!G$24)</f>
        <v>0</v>
      </c>
      <c r="AU63" s="845">
        <f>IF(AU42&gt;0,0,IF('1 P-T +'!H$22&gt;250,IF('1 P-T +'!H$23&gt;56,IF('1 P-T +'!H$23&lt;70.1,1,0)))*'1 P-T +'!H$24)</f>
        <v>0</v>
      </c>
      <c r="AV63" s="845">
        <f>IF(AV42&gt;0,0,IF('1 P-T +'!I$22&gt;250,IF('1 P-T +'!I$23&gt;56,IF('1 P-T +'!I$23&lt;70.1,1,0)))*'1 P-T +'!I$24)</f>
        <v>0</v>
      </c>
      <c r="AW63" s="845">
        <f>IF(AW42&gt;0,0,IF('1 P-T +'!J$22&gt;250,IF('1 P-T +'!J$23&gt;56,IF('1 P-T +'!J$23&lt;70.1,1,0)))*'1 P-T +'!J$24)</f>
        <v>0</v>
      </c>
      <c r="AX63" s="845">
        <f>IF(AX42&gt;0,0,IF('1 P-T +'!K$22&gt;250,IF('1 P-T +'!K$23&gt;56,IF('1 P-T +'!K$23&lt;70.1,1,0)))*'1 P-T +'!K$24)</f>
        <v>0</v>
      </c>
      <c r="AY63" s="845">
        <f>IF(AY42&gt;0,0,IF('1 P-T +'!L$22&gt;250,IF('1 P-T +'!L$23&gt;56,IF('1 P-T +'!L$23&lt;70.1,1,0)))*'1 P-T +'!L$24)</f>
        <v>0</v>
      </c>
      <c r="AZ63" s="845">
        <f>IF(AZ42&gt;0,0,IF('1 P-T +'!M$22&gt;250,IF('1 P-T +'!M$23&gt;56,IF('1 P-T +'!M$23&lt;70.1,1,0)))*'1 P-T +'!M$24)</f>
        <v>0</v>
      </c>
      <c r="BA63" s="845">
        <f>IF(BA42&gt;0,0,IF('1 P-T +'!N$22&gt;250,IF('1 P-T +'!N$23&gt;56,IF('1 P-T +'!N$23&lt;70.1,1,0)))*'1 P-T +'!N$24)</f>
        <v>0</v>
      </c>
      <c r="BB63" s="844">
        <f t="shared" si="19"/>
        <v>0</v>
      </c>
      <c r="BC63" s="859"/>
      <c r="BD63" s="777" t="s">
        <v>1173</v>
      </c>
      <c r="BG63" s="846">
        <f>+'1 PISO TECHO'!C18</f>
        <v>0</v>
      </c>
      <c r="BH63" s="847">
        <f>+'1 PISO TECHO'!D18</f>
        <v>0</v>
      </c>
      <c r="BI63" s="847">
        <f>+'1 PISO TECHO'!E18</f>
        <v>0</v>
      </c>
      <c r="BJ63" s="847">
        <f>+'1 PISO TECHO'!F18</f>
        <v>0</v>
      </c>
      <c r="BK63" s="847">
        <f>+'1 PISO TECHO'!G18</f>
        <v>0</v>
      </c>
      <c r="BL63" s="847">
        <f>+'1 PISO TECHO'!H18</f>
        <v>0</v>
      </c>
      <c r="BM63" s="847">
        <f>+'1 PISO TECHO'!I18</f>
        <v>0</v>
      </c>
      <c r="BN63" s="847">
        <f>+'1 PISO TECHO'!J18</f>
        <v>0</v>
      </c>
      <c r="BO63" s="847">
        <f>+'1 PISO TECHO'!K18</f>
        <v>0</v>
      </c>
      <c r="BP63" s="847">
        <f>+'1 PISO TECHO'!L18</f>
        <v>0</v>
      </c>
      <c r="BQ63" s="847">
        <f>+'1 PISO TECHO'!M18</f>
        <v>0</v>
      </c>
      <c r="BR63" s="1083">
        <f>+'1 PISO TECHO'!N18</f>
        <v>0</v>
      </c>
      <c r="BS63" s="846">
        <f>+'1 P-T +'!C20</f>
        <v>0</v>
      </c>
      <c r="BT63" s="847">
        <f>+'1 P-T +'!D20</f>
        <v>0</v>
      </c>
      <c r="BU63" s="847">
        <f>+'1 P-T +'!E20</f>
        <v>0</v>
      </c>
      <c r="BV63" s="847">
        <f>+'1 P-T +'!F20</f>
        <v>0</v>
      </c>
      <c r="BW63" s="847">
        <f>+'1 P-T +'!G20</f>
        <v>0</v>
      </c>
      <c r="BX63" s="847">
        <f>+'1 P-T +'!H20</f>
        <v>0</v>
      </c>
      <c r="BY63" s="847">
        <f>+'1 P-T +'!I20</f>
        <v>0</v>
      </c>
      <c r="BZ63" s="847">
        <f>+'1 P-T +'!J20</f>
        <v>0</v>
      </c>
      <c r="CA63" s="847">
        <f>+'1 P-T +'!K20</f>
        <v>0</v>
      </c>
      <c r="CB63" s="847">
        <f>+'1 P-T +'!L20</f>
        <v>0</v>
      </c>
      <c r="CC63" s="847">
        <f>+'1 P-T +'!M20</f>
        <v>0</v>
      </c>
      <c r="CD63" s="1083">
        <f>+'1 P-T +'!N20</f>
        <v>0</v>
      </c>
      <c r="CE63" s="1113">
        <f>+'2 MEDIA ALTURA'!C31</f>
        <v>0</v>
      </c>
      <c r="CF63" s="1114">
        <f>+'2 MEDIA ALTURA'!D31</f>
        <v>0</v>
      </c>
      <c r="CG63" s="1114">
        <f>+'2 MEDIA ALTURA'!E31</f>
        <v>0</v>
      </c>
      <c r="CH63" s="1114">
        <f>+'2 MEDIA ALTURA'!F31</f>
        <v>0</v>
      </c>
      <c r="CI63" s="1114">
        <f>+'2 MEDIA ALTURA'!G31</f>
        <v>0</v>
      </c>
      <c r="CJ63" s="1114">
        <f>+'2 MEDIA ALTURA'!H31</f>
        <v>0</v>
      </c>
      <c r="CK63" s="1114">
        <f>+'2 MEDIA ALTURA'!I31</f>
        <v>0</v>
      </c>
      <c r="CL63" s="1114">
        <f>+'2 MEDIA ALTURA'!J31</f>
        <v>0</v>
      </c>
      <c r="CM63" s="1114">
        <f>+'2 MEDIA ALTURA'!K31</f>
        <v>0</v>
      </c>
      <c r="CN63" s="1114">
        <f>+'2 MEDIA ALTURA'!L31</f>
        <v>0</v>
      </c>
      <c r="CO63" s="1114">
        <f>+'2 MEDIA ALTURA'!M31</f>
        <v>0</v>
      </c>
      <c r="CP63" s="1115">
        <f>+'2 MEDIA ALTURA'!N31</f>
        <v>0</v>
      </c>
      <c r="CQ63" s="1113" t="s">
        <v>1186</v>
      </c>
      <c r="CR63" s="1113" t="s">
        <v>1187</v>
      </c>
      <c r="CS63" s="1113" t="s">
        <v>1188</v>
      </c>
      <c r="CT63" s="1113" t="s">
        <v>1189</v>
      </c>
      <c r="CU63" s="1113" t="s">
        <v>1190</v>
      </c>
      <c r="CV63" s="1113" t="s">
        <v>1191</v>
      </c>
      <c r="CW63" s="1113" t="s">
        <v>1192</v>
      </c>
      <c r="CX63" s="1113" t="s">
        <v>1193</v>
      </c>
      <c r="CY63" s="1113" t="s">
        <v>1194</v>
      </c>
      <c r="CZ63" s="1113" t="s">
        <v>1195</v>
      </c>
      <c r="DA63" s="1113" t="s">
        <v>1196</v>
      </c>
      <c r="DB63" s="1113" t="s">
        <v>1197</v>
      </c>
      <c r="DD63" s="1019"/>
      <c r="DE63" s="1019"/>
      <c r="DF63" s="1019"/>
      <c r="DG63" s="1019"/>
      <c r="DH63" s="1019"/>
      <c r="DI63" s="1019"/>
      <c r="DJ63" s="1019"/>
      <c r="DK63" s="1019"/>
      <c r="DL63" s="1019"/>
      <c r="DM63" s="1019"/>
      <c r="DN63" s="1019"/>
      <c r="DO63" s="1019"/>
      <c r="DP63" s="1019"/>
      <c r="DQ63" s="1019"/>
      <c r="DR63" s="1019"/>
      <c r="DS63" s="1019"/>
      <c r="DT63" s="1019"/>
      <c r="DU63" s="1019"/>
      <c r="DV63" s="1019"/>
      <c r="DW63" s="1019"/>
      <c r="DX63" s="1019"/>
      <c r="DY63" s="1019"/>
      <c r="DZ63" s="1019"/>
      <c r="EA63" s="1019"/>
      <c r="EB63" s="1019"/>
      <c r="EC63" s="1019"/>
      <c r="ED63" s="1019"/>
      <c r="EE63" s="1019"/>
      <c r="EF63" s="1019"/>
      <c r="EG63" s="1019"/>
      <c r="EH63" s="1019"/>
      <c r="EI63" s="1019"/>
      <c r="EJ63" s="1019"/>
      <c r="EK63" s="1019"/>
      <c r="EL63" s="1019"/>
      <c r="EM63" s="1019"/>
      <c r="EN63" s="1019"/>
      <c r="EO63" s="1019"/>
      <c r="EP63" s="1019"/>
      <c r="EQ63" s="1019"/>
      <c r="ER63" s="1019"/>
      <c r="ES63" s="1019"/>
      <c r="ET63" s="1019"/>
    </row>
    <row r="64" spans="1:193" x14ac:dyDescent="0.35">
      <c r="A64" s="857"/>
      <c r="C64" s="838"/>
      <c r="D64" s="838"/>
      <c r="E64" s="838"/>
      <c r="F64" s="838"/>
      <c r="G64" s="838"/>
      <c r="H64" s="838"/>
      <c r="I64" s="838"/>
      <c r="J64" s="838"/>
      <c r="K64" s="838"/>
      <c r="L64" s="838"/>
      <c r="M64" s="838"/>
      <c r="N64" s="838"/>
      <c r="O64" s="838"/>
      <c r="P64" s="838"/>
      <c r="Q64" s="838"/>
      <c r="R64" s="838"/>
      <c r="S64" s="838"/>
      <c r="T64" s="838"/>
      <c r="U64" s="838"/>
      <c r="V64" s="838"/>
      <c r="W64" s="838"/>
      <c r="X64" s="838"/>
      <c r="Y64" s="838"/>
      <c r="Z64" s="838"/>
      <c r="AA64" s="838"/>
      <c r="AB64" s="838"/>
      <c r="AC64" s="855"/>
      <c r="AD64" s="838"/>
      <c r="AE64" s="855"/>
      <c r="AF64" s="838"/>
      <c r="AG64" s="855"/>
      <c r="AH64" s="838"/>
      <c r="AI64" s="855"/>
      <c r="AJ64" s="838"/>
      <c r="AK64" s="855"/>
      <c r="AL64" s="838"/>
      <c r="AM64" s="855"/>
      <c r="AN64" s="838"/>
      <c r="AO64" s="855"/>
      <c r="AP64" s="845">
        <f>IF(AP43&gt;0,0,IF('1 P-T +'!C$22&gt;250,IF('1 P-T +'!C$23&gt;70,IF('1 P-T +'!C$23&lt;84.1,1,0)))*'1 P-T +'!C$24)</f>
        <v>0</v>
      </c>
      <c r="AQ64" s="845">
        <f>IF(AQ43&gt;0,0,IF('1 P-T +'!D$22&gt;250,IF('1 P-T +'!D$23&gt;70,IF('1 P-T +'!D$23&lt;84.1,1,0)))*'1 P-T +'!D$24)</f>
        <v>0</v>
      </c>
      <c r="AR64" s="845">
        <f>IF(AR43&gt;0,0,IF('1 P-T +'!E$22&gt;250,IF('1 P-T +'!E$23&gt;70,IF('1 P-T +'!E$23&lt;84.1,1,0)))*'1 P-T +'!E$24)</f>
        <v>0</v>
      </c>
      <c r="AS64" s="845">
        <f>IF(AS43&gt;0,0,IF('1 P-T +'!F$22&gt;250,IF('1 P-T +'!F$23&gt;70,IF('1 P-T +'!F$23&lt;84.1,1,0)))*'1 P-T +'!F$24)</f>
        <v>0</v>
      </c>
      <c r="AT64" s="845">
        <f>IF(AT43&gt;0,0,IF('1 P-T +'!G$22&gt;250,IF('1 P-T +'!G$23&gt;70,IF('1 P-T +'!G$23&lt;84.1,1,0)))*'1 P-T +'!G$24)</f>
        <v>0</v>
      </c>
      <c r="AU64" s="845">
        <f>IF(AU43&gt;0,0,IF('1 P-T +'!H$22&gt;250,IF('1 P-T +'!H$23&gt;70,IF('1 P-T +'!H$23&lt;84.1,1,0)))*'1 P-T +'!H$24)</f>
        <v>0</v>
      </c>
      <c r="AV64" s="845">
        <f>IF(AV43&gt;0,0,IF('1 P-T +'!I$22&gt;250,IF('1 P-T +'!I$23&gt;70,IF('1 P-T +'!I$23&lt;84.1,1,0)))*'1 P-T +'!I$24)</f>
        <v>0</v>
      </c>
      <c r="AW64" s="845">
        <f>IF(AW43&gt;0,0,IF('1 P-T +'!J$22&gt;250,IF('1 P-T +'!J$23&gt;70,IF('1 P-T +'!J$23&lt;84.1,1,0)))*'1 P-T +'!J$24)</f>
        <v>0</v>
      </c>
      <c r="AX64" s="845">
        <f>IF(AX43&gt;0,0,IF('1 P-T +'!K$22&gt;250,IF('1 P-T +'!K$23&gt;70,IF('1 P-T +'!K$23&lt;84.1,1,0)))*'1 P-T +'!K$24)</f>
        <v>0</v>
      </c>
      <c r="AY64" s="845">
        <f>IF(AY43&gt;0,0,IF('1 P-T +'!L$22&gt;250,IF('1 P-T +'!L$23&gt;70,IF('1 P-T +'!L$23&lt;84.1,1,0)))*'1 P-T +'!L$24)</f>
        <v>0</v>
      </c>
      <c r="AZ64" s="845">
        <f>IF(AZ43&gt;0,0,IF('1 P-T +'!M$22&gt;250,IF('1 P-T +'!M$23&gt;70,IF('1 P-T +'!M$23&lt;84.1,1,0)))*'1 P-T +'!M$24)</f>
        <v>0</v>
      </c>
      <c r="BA64" s="845">
        <f>IF(BA43&gt;0,0,IF('1 P-T +'!N$22&gt;250,IF('1 P-T +'!N$23&gt;70,IF('1 P-T +'!N$23&lt;84.1,1,0)))*'1 P-T +'!N$24)</f>
        <v>0</v>
      </c>
      <c r="BB64" s="844">
        <f t="shared" si="19"/>
        <v>0</v>
      </c>
      <c r="BC64" s="838"/>
      <c r="BD64" s="777" t="s">
        <v>1174</v>
      </c>
      <c r="BG64" s="1111">
        <f>+'1 PISO TECHO'!C21</f>
        <v>0</v>
      </c>
      <c r="BH64" s="1111">
        <f>+'1 PISO TECHO'!D21</f>
        <v>0</v>
      </c>
      <c r="BI64" s="1111">
        <f>+'1 PISO TECHO'!E21</f>
        <v>0</v>
      </c>
      <c r="BJ64" s="1111">
        <f>+'1 PISO TECHO'!F21</f>
        <v>0</v>
      </c>
      <c r="BK64" s="1111">
        <f>+'1 PISO TECHO'!G21</f>
        <v>0</v>
      </c>
      <c r="BL64" s="1111">
        <f>+'1 PISO TECHO'!H21</f>
        <v>0</v>
      </c>
      <c r="BM64" s="1111">
        <f>+'1 PISO TECHO'!I21</f>
        <v>0</v>
      </c>
      <c r="BN64" s="1111">
        <f>+'1 PISO TECHO'!J21</f>
        <v>0</v>
      </c>
      <c r="BO64" s="1111">
        <f>+'1 PISO TECHO'!K21</f>
        <v>0</v>
      </c>
      <c r="BP64" s="1111">
        <f>+'1 PISO TECHO'!L21</f>
        <v>0</v>
      </c>
      <c r="BQ64" s="1111">
        <f>+'1 PISO TECHO'!M21</f>
        <v>0</v>
      </c>
      <c r="BR64" s="1112">
        <f>+'1 PISO TECHO'!N21</f>
        <v>0</v>
      </c>
      <c r="BS64" s="1110">
        <f>+'1 P-T +'!C23</f>
        <v>0</v>
      </c>
      <c r="BT64" s="1111">
        <f>+'1 P-T +'!D23</f>
        <v>0</v>
      </c>
      <c r="BU64" s="1111">
        <f>+'1 P-T +'!E23</f>
        <v>0</v>
      </c>
      <c r="BV64" s="1111">
        <f>+'1 P-T +'!F23</f>
        <v>0</v>
      </c>
      <c r="BW64" s="1111">
        <f>+'1 P-T +'!G23</f>
        <v>0</v>
      </c>
      <c r="BX64" s="1111">
        <f>+'1 P-T +'!H23</f>
        <v>0</v>
      </c>
      <c r="BY64" s="1111">
        <f>+'1 P-T +'!I23</f>
        <v>0</v>
      </c>
      <c r="BZ64" s="1111">
        <f>+'1 P-T +'!J23</f>
        <v>0</v>
      </c>
      <c r="CA64" s="1111">
        <f>+'1 P-T +'!K23</f>
        <v>0</v>
      </c>
      <c r="CB64" s="1111">
        <f>+'1 P-T +'!L23</f>
        <v>0</v>
      </c>
      <c r="CC64" s="1111">
        <f>+'1 P-T +'!M23</f>
        <v>0</v>
      </c>
      <c r="CD64" s="1112">
        <f>+'1 P-T +'!N23</f>
        <v>0</v>
      </c>
      <c r="CE64" s="1110">
        <f>+'2 MEDIA ALTURA'!C34</f>
        <v>0</v>
      </c>
      <c r="CF64" s="1111">
        <f>+'2 MEDIA ALTURA'!D34</f>
        <v>0</v>
      </c>
      <c r="CG64" s="1111">
        <f>+'2 MEDIA ALTURA'!E34</f>
        <v>0</v>
      </c>
      <c r="CH64" s="1111">
        <f>+'2 MEDIA ALTURA'!F34</f>
        <v>0</v>
      </c>
      <c r="CI64" s="1111">
        <f>+'2 MEDIA ALTURA'!G34</f>
        <v>0</v>
      </c>
      <c r="CJ64" s="1111">
        <f>+'2 MEDIA ALTURA'!H34</f>
        <v>0</v>
      </c>
      <c r="CK64" s="1111">
        <f>+'2 MEDIA ALTURA'!I34</f>
        <v>0</v>
      </c>
      <c r="CL64" s="1111">
        <f>+'2 MEDIA ALTURA'!J34</f>
        <v>0</v>
      </c>
      <c r="CM64" s="1111">
        <f>+'2 MEDIA ALTURA'!K34</f>
        <v>0</v>
      </c>
      <c r="CN64" s="1111">
        <f>+'2 MEDIA ALTURA'!L34</f>
        <v>0</v>
      </c>
      <c r="CO64" s="1111">
        <f>+'2 MEDIA ALTURA'!M34</f>
        <v>0</v>
      </c>
      <c r="CP64" s="1112">
        <f>+'2 MEDIA ALTURA'!N34</f>
        <v>0</v>
      </c>
      <c r="CQ64" s="1110">
        <f>+'2 M-A +'!C32</f>
        <v>0</v>
      </c>
      <c r="CR64" s="1110">
        <f>+'2 M-A +'!D32</f>
        <v>0</v>
      </c>
      <c r="CS64" s="1110">
        <f>+'2 M-A +'!E32</f>
        <v>0</v>
      </c>
      <c r="CT64" s="1110">
        <f>+'2 M-A +'!F32</f>
        <v>0</v>
      </c>
      <c r="CU64" s="1110">
        <f>+'2 M-A +'!G32</f>
        <v>0</v>
      </c>
      <c r="CV64" s="1110">
        <f>+'2 M-A +'!H32</f>
        <v>0</v>
      </c>
      <c r="CW64" s="1110">
        <f>+'2 M-A +'!I32</f>
        <v>0</v>
      </c>
      <c r="CX64" s="1110">
        <f>+'2 M-A +'!J32</f>
        <v>0</v>
      </c>
      <c r="CY64" s="1110">
        <f>+'2 M-A +'!K32</f>
        <v>0</v>
      </c>
      <c r="CZ64" s="1110">
        <f>+'2 M-A +'!L32</f>
        <v>0</v>
      </c>
      <c r="DA64" s="1110">
        <f>+'2 M-A +'!M32</f>
        <v>0</v>
      </c>
      <c r="DB64" s="1110">
        <f>+'2 M-A +'!N32</f>
        <v>0</v>
      </c>
      <c r="DC64" s="777" t="s">
        <v>1174</v>
      </c>
      <c r="DD64" s="1019"/>
      <c r="DE64" s="1019"/>
      <c r="DF64" s="1019"/>
      <c r="DG64" s="1019"/>
      <c r="DH64" s="1019"/>
      <c r="DI64" s="1019"/>
      <c r="DJ64" s="1019"/>
      <c r="DK64" s="1019"/>
      <c r="DL64" s="1019"/>
      <c r="DM64" s="1019"/>
      <c r="DN64" s="1019"/>
      <c r="DO64" s="1019"/>
      <c r="DP64" s="1019"/>
      <c r="DQ64" s="1019"/>
      <c r="DR64" s="1019"/>
      <c r="DS64" s="1019"/>
      <c r="DT64" s="1019"/>
      <c r="DU64" s="1019"/>
      <c r="DV64" s="1019"/>
      <c r="DW64" s="1019"/>
      <c r="DX64" s="1019"/>
      <c r="DY64" s="1019"/>
      <c r="DZ64" s="1019"/>
      <c r="EA64" s="1019"/>
      <c r="EB64" s="1019"/>
      <c r="EC64" s="1019"/>
      <c r="ED64" s="1019"/>
      <c r="EE64" s="1019"/>
      <c r="EF64" s="1019"/>
      <c r="EG64" s="1019"/>
      <c r="EH64" s="1019"/>
      <c r="EI64" s="1019"/>
      <c r="EJ64" s="1019"/>
      <c r="EK64" s="1019"/>
      <c r="EL64" s="1019"/>
      <c r="EM64" s="1019"/>
      <c r="EN64" s="1019"/>
      <c r="EO64" s="1019"/>
      <c r="EP64" s="1019"/>
      <c r="EQ64" s="1019"/>
      <c r="ER64" s="1019"/>
      <c r="ES64" s="1019"/>
      <c r="ET64" s="1019"/>
    </row>
    <row r="65" spans="1:150" x14ac:dyDescent="0.35">
      <c r="A65" s="856"/>
      <c r="C65" s="838"/>
      <c r="D65" s="838"/>
      <c r="E65" s="838"/>
      <c r="F65" s="838"/>
      <c r="G65" s="838"/>
      <c r="H65" s="838"/>
      <c r="I65" s="838"/>
      <c r="J65" s="838"/>
      <c r="K65" s="838"/>
      <c r="L65" s="838"/>
      <c r="M65" s="838"/>
      <c r="N65" s="838"/>
      <c r="O65" s="838"/>
      <c r="P65" s="838"/>
      <c r="Q65" s="838"/>
      <c r="R65" s="838"/>
      <c r="S65" s="838"/>
      <c r="T65" s="838"/>
      <c r="U65" s="838"/>
      <c r="V65" s="838"/>
      <c r="W65" s="838"/>
      <c r="X65" s="838"/>
      <c r="Y65" s="838"/>
      <c r="Z65" s="838"/>
      <c r="AA65" s="838"/>
      <c r="AB65" s="838"/>
      <c r="AC65" s="855"/>
      <c r="AD65" s="838"/>
      <c r="AE65" s="855"/>
      <c r="AF65" s="838"/>
      <c r="AG65" s="855"/>
      <c r="AH65" s="838"/>
      <c r="AI65" s="855"/>
      <c r="AJ65" s="838"/>
      <c r="AK65" s="855"/>
      <c r="AL65" s="838"/>
      <c r="AM65" s="855"/>
      <c r="AN65" s="838"/>
      <c r="AO65" s="855"/>
      <c r="AP65" s="845">
        <f>IF(AP44&gt;0,0,IF('1 P-T +'!C$22&gt;250,IF('1 P-T +'!C$23&gt;84,IF('1 P-T +'!C$23&lt;112.1,1,0)))*'1 P-T +'!C$24)</f>
        <v>0</v>
      </c>
      <c r="AQ65" s="845">
        <f>IF(AQ44&gt;0,0,IF('1 P-T +'!D$22&gt;250,IF('1 P-T +'!D$23&gt;84,IF('1 P-T +'!D$23&lt;112.1,1,0)))*'1 P-T +'!D$24)</f>
        <v>0</v>
      </c>
      <c r="AR65" s="845">
        <f>IF(AR44&gt;0,0,IF('1 P-T +'!E$22&gt;250,IF('1 P-T +'!E$23&gt;84,IF('1 P-T +'!E$23&lt;112.1,1,0)))*'1 P-T +'!E$24)</f>
        <v>0</v>
      </c>
      <c r="AS65" s="845">
        <f>IF(AS44&gt;0,0,IF('1 P-T +'!F$22&gt;250,IF('1 P-T +'!F$23&gt;84,IF('1 P-T +'!F$23&lt;112.1,1,0)))*'1 P-T +'!F$24)</f>
        <v>0</v>
      </c>
      <c r="AT65" s="845">
        <f>IF(AT44&gt;0,0,IF('1 P-T +'!G$22&gt;250,IF('1 P-T +'!G$23&gt;84,IF('1 P-T +'!G$23&lt;112.1,1,0)))*'1 P-T +'!G$24)</f>
        <v>0</v>
      </c>
      <c r="AU65" s="845">
        <f>IF(AU44&gt;0,0,IF('1 P-T +'!H$22&gt;250,IF('1 P-T +'!H$23&gt;84,IF('1 P-T +'!H$23&lt;112.1,1,0)))*'1 P-T +'!H$24)</f>
        <v>0</v>
      </c>
      <c r="AV65" s="845">
        <f>IF(AV44&gt;0,0,IF('1 P-T +'!I$22&gt;250,IF('1 P-T +'!I$23&gt;84,IF('1 P-T +'!I$23&lt;112.1,1,0)))*'1 P-T +'!I$24)</f>
        <v>0</v>
      </c>
      <c r="AW65" s="845">
        <f>IF(AW44&gt;0,0,IF('1 P-T +'!J$22&gt;250,IF('1 P-T +'!J$23&gt;84,IF('1 P-T +'!J$23&lt;112.1,1,0)))*'1 P-T +'!J$24)</f>
        <v>0</v>
      </c>
      <c r="AX65" s="845">
        <f>IF(AX44&gt;0,0,IF('1 P-T +'!K$22&gt;250,IF('1 P-T +'!K$23&gt;84,IF('1 P-T +'!K$23&lt;112.1,1,0)))*'1 P-T +'!K$24)</f>
        <v>0</v>
      </c>
      <c r="AY65" s="845">
        <f>IF(AY44&gt;0,0,IF('1 P-T +'!L$22&gt;250,IF('1 P-T +'!L$23&gt;84,IF('1 P-T +'!L$23&lt;112.1,1,0)))*'1 P-T +'!L$24)</f>
        <v>0</v>
      </c>
      <c r="AZ65" s="845">
        <f>IF(AZ44&gt;0,0,IF('1 P-T +'!M$22&gt;250,IF('1 P-T +'!M$23&gt;84,IF('1 P-T +'!M$23&lt;112.1,1,0)))*'1 P-T +'!M$24)</f>
        <v>0</v>
      </c>
      <c r="BA65" s="845">
        <f>IF(BA44&gt;0,0,IF('1 P-T +'!N$22&gt;250,IF('1 P-T +'!N$23&gt;84,IF('1 P-T +'!N$23&lt;112.1,1,0)))*'1 P-T +'!N$24)</f>
        <v>0</v>
      </c>
      <c r="BB65" s="844">
        <f t="shared" si="19"/>
        <v>0</v>
      </c>
      <c r="BC65" s="855"/>
      <c r="BD65" s="777" t="s">
        <v>1172</v>
      </c>
      <c r="BG65" s="1110">
        <f>IF(BG63="P1",0,'1 PISO TECHO'!C22)</f>
        <v>0</v>
      </c>
      <c r="BH65" s="1111">
        <f>IF(BH63="P1",0,'1 PISO TECHO'!D22)</f>
        <v>0</v>
      </c>
      <c r="BI65" s="1111">
        <f>IF(BI63="P1",0,'1 PISO TECHO'!E22)</f>
        <v>0</v>
      </c>
      <c r="BJ65" s="1111">
        <f>IF(BJ63="P1",0,'1 PISO TECHO'!F22)</f>
        <v>0</v>
      </c>
      <c r="BK65" s="1111">
        <f>IF(BK63="P1",0,'1 PISO TECHO'!G22)</f>
        <v>0</v>
      </c>
      <c r="BL65" s="1111">
        <f>IF(BL63="P1",0,'1 PISO TECHO'!H22)</f>
        <v>0</v>
      </c>
      <c r="BM65" s="1111">
        <f>IF(BM63="P1",0,'1 PISO TECHO'!I22)</f>
        <v>0</v>
      </c>
      <c r="BN65" s="1111">
        <f>IF(BN63="P1",0,'1 PISO TECHO'!J22)</f>
        <v>0</v>
      </c>
      <c r="BO65" s="1111">
        <f>IF(BO63="P1",0,'1 PISO TECHO'!K22)</f>
        <v>0</v>
      </c>
      <c r="BP65" s="1111">
        <f>IF(BP63="P1",0,'1 PISO TECHO'!L22)</f>
        <v>0</v>
      </c>
      <c r="BQ65" s="1111">
        <f>IF(BQ63="P1",0,'1 PISO TECHO'!M22)</f>
        <v>0</v>
      </c>
      <c r="BR65" s="1112">
        <f>IF(BR63="P1",0,'1 PISO TECHO'!N22)</f>
        <v>0</v>
      </c>
      <c r="BS65" s="1110">
        <f>IF(BS63="P1",0,+'1 P-T +'!C24)</f>
        <v>0</v>
      </c>
      <c r="BT65" s="1111">
        <f>IF(BT63="P1",0,+'1 P-T +'!D24)</f>
        <v>0</v>
      </c>
      <c r="BU65" s="1111">
        <f>IF(BU63="P1",0,+'1 P-T +'!E24)</f>
        <v>0</v>
      </c>
      <c r="BV65" s="1111">
        <f>IF(BV63="P1",0,+'1 P-T +'!F24)</f>
        <v>0</v>
      </c>
      <c r="BW65" s="1111">
        <f>IF(BW63="P1",0,+'1 P-T +'!G24)</f>
        <v>0</v>
      </c>
      <c r="BX65" s="1111">
        <f>IF(BX63="P1",0,+'1 P-T +'!H24)</f>
        <v>0</v>
      </c>
      <c r="BY65" s="1111">
        <f>IF(BY63="P1",0,+'1 P-T +'!I24)</f>
        <v>0</v>
      </c>
      <c r="BZ65" s="1111">
        <f>IF(BZ63="P1",0,+'1 P-T +'!J24)</f>
        <v>0</v>
      </c>
      <c r="CA65" s="1111">
        <f>IF(CA63="P1",0,+'1 P-T +'!K24)</f>
        <v>0</v>
      </c>
      <c r="CB65" s="1111">
        <f>IF(CB63="P1",0,+'1 P-T +'!L24)</f>
        <v>0</v>
      </c>
      <c r="CC65" s="1111">
        <f>IF(CC63="P1",0,+'1 P-T +'!M24)</f>
        <v>0</v>
      </c>
      <c r="CD65" s="1112">
        <f>IF(CD63="P1",0,+'1 P-T +'!N24)</f>
        <v>0</v>
      </c>
      <c r="CE65" s="1110">
        <f>IF(OR(CE63="P1",CE62&lt;80,),0,'2 MEDIA ALTURA'!C35)</f>
        <v>0</v>
      </c>
      <c r="CF65" s="1111">
        <f>IF(OR(CF63="P1",CF62&lt;80,),0,'2 MEDIA ALTURA'!D35)</f>
        <v>0</v>
      </c>
      <c r="CG65" s="1111">
        <f>IF(OR(CG63="P1",CG62&lt;80,),0,'2 MEDIA ALTURA'!E35)</f>
        <v>0</v>
      </c>
      <c r="CH65" s="1111">
        <f>IF(OR(CH63="P1",CH62&lt;80,),0,'2 MEDIA ALTURA'!F35)</f>
        <v>0</v>
      </c>
      <c r="CI65" s="1111">
        <f>IF(OR(CI63="P1",CI62&lt;80,),0,'2 MEDIA ALTURA'!G35)</f>
        <v>0</v>
      </c>
      <c r="CJ65" s="1111">
        <f>IF(OR(CJ63="P1",CJ62&lt;80,),0,'2 MEDIA ALTURA'!H35)</f>
        <v>0</v>
      </c>
      <c r="CK65" s="1111">
        <f>IF(OR(CK63="P1",CK62&lt;80,),0,'2 MEDIA ALTURA'!I35)</f>
        <v>0</v>
      </c>
      <c r="CL65" s="1111">
        <f>IF(OR(CL63="P1",CL62&lt;80,),0,'2 MEDIA ALTURA'!J35)</f>
        <v>0</v>
      </c>
      <c r="CM65" s="1111">
        <f>IF(OR(CM63="P1",CM62&lt;80,),0,'2 MEDIA ALTURA'!K35)</f>
        <v>0</v>
      </c>
      <c r="CN65" s="1111">
        <f>IF(OR(CN63="P1",CN62&lt;80,),0,'2 MEDIA ALTURA'!L35)</f>
        <v>0</v>
      </c>
      <c r="CO65" s="1111">
        <f>IF(OR(CO63="P1",CO62&lt;80,),0,'2 MEDIA ALTURA'!M35)</f>
        <v>0</v>
      </c>
      <c r="CP65" s="1112">
        <f>IF(OR(CP63="P1",CP62&lt;80,),0,'2 MEDIA ALTURA'!N35)</f>
        <v>0</v>
      </c>
      <c r="CQ65" s="1110">
        <f>IF(OR(CQ63="P1",CQ62&lt;80,),0,'2 M-A +'!C33)</f>
        <v>0</v>
      </c>
      <c r="CR65" s="1110">
        <f>IF(OR(CR63="P1",CR62&lt;80,),0,'2 M-A +'!D33)</f>
        <v>0</v>
      </c>
      <c r="CS65" s="1110">
        <f>IF(OR(CS63="P1",CS62&lt;80,),0,'2 M-A +'!E33)</f>
        <v>0</v>
      </c>
      <c r="CT65" s="1110">
        <f>IF(OR(CT63="P1",CT62&lt;80,),0,'2 M-A +'!F33)</f>
        <v>0</v>
      </c>
      <c r="CU65" s="1110">
        <f>IF(OR(CU63="P1",CU62&lt;80,),0,'2 M-A +'!G33)</f>
        <v>0</v>
      </c>
      <c r="CV65" s="1110">
        <f>IF(OR(CV63="P1",CV62&lt;80,),0,'2 M-A +'!H33)</f>
        <v>0</v>
      </c>
      <c r="CW65" s="1110">
        <f>IF(OR(CW63="P1",CW62&lt;80,),0,'2 M-A +'!I33)</f>
        <v>0</v>
      </c>
      <c r="CX65" s="1110">
        <f>IF(OR(CX63="P1",CX62&lt;80,),0,'2 M-A +'!J33)</f>
        <v>0</v>
      </c>
      <c r="CY65" s="1110">
        <f>IF(OR(CY63="P1",CY62&lt;80,),0,'2 M-A +'!K33)</f>
        <v>0</v>
      </c>
      <c r="CZ65" s="1110">
        <f>IF(OR(CZ63="P1",CZ62&lt;80,),0,'2 M-A +'!L33)</f>
        <v>0</v>
      </c>
      <c r="DA65" s="1110">
        <f>IF(OR(DA63="P1",DA62&lt;80,),0,'2 M-A +'!M33)</f>
        <v>0</v>
      </c>
      <c r="DB65" s="1110">
        <f>IF(OR(DB63="P1",DB62&lt;80,),0,'2 M-A +'!N33)</f>
        <v>0</v>
      </c>
      <c r="DC65" s="777" t="s">
        <v>1172</v>
      </c>
      <c r="DD65" s="1019"/>
      <c r="DE65" s="1019"/>
      <c r="DF65" s="1019"/>
      <c r="DG65" s="1019"/>
      <c r="DH65" s="1019"/>
      <c r="DI65" s="1019"/>
      <c r="DJ65" s="1019"/>
      <c r="DK65" s="1019"/>
      <c r="DL65" s="1019"/>
      <c r="DM65" s="1019"/>
      <c r="DN65" s="1019"/>
      <c r="DO65" s="1019"/>
      <c r="DP65" s="1019"/>
      <c r="DQ65" s="1019"/>
      <c r="DR65" s="1019"/>
      <c r="DS65" s="1019"/>
      <c r="DT65" s="1019"/>
      <c r="DU65" s="1019"/>
      <c r="DV65" s="1019"/>
      <c r="DW65" s="1019"/>
      <c r="DX65" s="1019"/>
      <c r="DY65" s="1019"/>
      <c r="DZ65" s="1019"/>
      <c r="EA65" s="1019"/>
      <c r="EB65" s="1019"/>
      <c r="EC65" s="1019"/>
      <c r="ED65" s="1019"/>
      <c r="EE65" s="1019"/>
      <c r="EF65" s="1019"/>
      <c r="EG65" s="1019"/>
      <c r="EH65" s="1019"/>
      <c r="EI65" s="1019"/>
      <c r="EJ65" s="1019"/>
      <c r="EK65" s="1019"/>
      <c r="EL65" s="1019"/>
      <c r="EM65" s="1019"/>
      <c r="EN65" s="1019"/>
      <c r="EO65" s="1019"/>
      <c r="EP65" s="1019"/>
      <c r="EQ65" s="1019"/>
      <c r="ER65" s="1019"/>
      <c r="ES65" s="1019"/>
      <c r="ET65" s="1019"/>
    </row>
    <row r="66" spans="1:150" x14ac:dyDescent="0.35">
      <c r="A66" s="856"/>
      <c r="C66" s="838"/>
      <c r="D66" s="838"/>
      <c r="E66" s="838"/>
      <c r="F66" s="838"/>
      <c r="G66" s="838"/>
      <c r="H66" s="838"/>
      <c r="I66" s="838"/>
      <c r="J66" s="838"/>
      <c r="K66" s="838"/>
      <c r="L66" s="838"/>
      <c r="M66" s="838"/>
      <c r="N66" s="838"/>
      <c r="O66" s="838"/>
      <c r="P66" s="838"/>
      <c r="Q66" s="838"/>
      <c r="R66" s="838"/>
      <c r="S66" s="838"/>
      <c r="T66" s="838"/>
      <c r="U66" s="838"/>
      <c r="V66" s="838"/>
      <c r="W66" s="838"/>
      <c r="X66" s="838"/>
      <c r="Y66" s="838"/>
      <c r="Z66" s="838"/>
      <c r="AA66" s="838"/>
      <c r="AB66" s="838"/>
      <c r="AC66" s="838"/>
      <c r="AD66" s="838"/>
      <c r="AE66" s="838"/>
      <c r="AF66" s="838"/>
      <c r="AG66" s="838"/>
      <c r="AH66" s="838"/>
      <c r="AI66" s="838"/>
      <c r="AJ66" s="838"/>
      <c r="AK66" s="838"/>
      <c r="AL66" s="838"/>
      <c r="AM66" s="838"/>
      <c r="AN66" s="838"/>
      <c r="AO66" s="855"/>
      <c r="AP66" s="845">
        <f>IF(AP45&gt;0,0,IF('1 P-T +'!C$22&gt;250,IF('1 P-T +'!C$23&gt;112,IF('1 P-T +'!C$23&lt;150.1,1,0)))*'1 P-T +'!C$24)</f>
        <v>0</v>
      </c>
      <c r="AQ66" s="845">
        <f>IF(AQ45&gt;0,0,IF('1 P-T +'!D$22&gt;250,IF('1 P-T +'!D$23&gt;112,IF('1 P-T +'!D$23&lt;150.1,1,0)))*'1 P-T +'!D$24)</f>
        <v>0</v>
      </c>
      <c r="AR66" s="845">
        <f>IF(AR45&gt;0,0,IF('1 P-T +'!E$22&gt;250,IF('1 P-T +'!E$23&gt;112,IF('1 P-T +'!E$23&lt;150.1,1,0)))*'1 P-T +'!E$24)</f>
        <v>0</v>
      </c>
      <c r="AS66" s="845">
        <f>IF(AS45&gt;0,0,IF('1 P-T +'!F$22&gt;250,IF('1 P-T +'!F$23&gt;112,IF('1 P-T +'!F$23&lt;150.1,1,0)))*'1 P-T +'!F$24)</f>
        <v>0</v>
      </c>
      <c r="AT66" s="845">
        <f>IF(AT45&gt;0,0,IF('1 P-T +'!G$22&gt;250,IF('1 P-T +'!G$23&gt;112,IF('1 P-T +'!G$23&lt;150.1,1,0)))*'1 P-T +'!G$24)</f>
        <v>0</v>
      </c>
      <c r="AU66" s="845">
        <f>IF(AU45&gt;0,0,IF('1 P-T +'!H$22&gt;250,IF('1 P-T +'!H$23&gt;112,IF('1 P-T +'!H$23&lt;150.1,1,0)))*'1 P-T +'!H$24)</f>
        <v>0</v>
      </c>
      <c r="AV66" s="845">
        <f>IF(AV45&gt;0,0,IF('1 P-T +'!I$22&gt;250,IF('1 P-T +'!I$23&gt;112,IF('1 P-T +'!I$23&lt;150.1,1,0)))*'1 P-T +'!I$24)</f>
        <v>0</v>
      </c>
      <c r="AW66" s="845">
        <f>IF(AW45&gt;0,0,IF('1 P-T +'!J$22&gt;250,IF('1 P-T +'!J$23&gt;112,IF('1 P-T +'!J$23&lt;150.1,1,0)))*'1 P-T +'!J$24)</f>
        <v>0</v>
      </c>
      <c r="AX66" s="845">
        <f>IF(AX45&gt;0,0,IF('1 P-T +'!K$22&gt;250,IF('1 P-T +'!K$23&gt;112,IF('1 P-T +'!K$23&lt;150.1,1,0)))*'1 P-T +'!K$24)</f>
        <v>0</v>
      </c>
      <c r="AY66" s="845">
        <f>IF(AY45&gt;0,0,IF('1 P-T +'!L$22&gt;250,IF('1 P-T +'!L$23&gt;112,IF('1 P-T +'!L$23&lt;150.1,1,0)))*'1 P-T +'!L$24)</f>
        <v>0</v>
      </c>
      <c r="AZ66" s="845">
        <f>IF(AZ45&gt;0,0,IF('1 P-T +'!M$22&gt;250,IF('1 P-T +'!M$23&gt;112,IF('1 P-T +'!M$23&lt;150.1,1,0)))*'1 P-T +'!M$24)</f>
        <v>0</v>
      </c>
      <c r="BA66" s="845">
        <f>IF(BA45&gt;0,0,IF('1 P-T +'!N$22&gt;250,IF('1 P-T +'!N$23&gt;112,IF('1 P-T +'!N$23&lt;150.1,1,0)))*'1 P-T +'!N$24)</f>
        <v>0</v>
      </c>
      <c r="BB66" s="844">
        <f t="shared" si="19"/>
        <v>0</v>
      </c>
      <c r="BC66" s="855"/>
      <c r="BD66" s="777" t="s">
        <v>405</v>
      </c>
      <c r="BG66" s="852">
        <f>SUM(C7:C11)</f>
        <v>0</v>
      </c>
      <c r="BH66" s="852">
        <f t="shared" ref="BH66:BR66" si="20">SUM(D7:D11)</f>
        <v>0</v>
      </c>
      <c r="BI66" s="852">
        <f t="shared" si="20"/>
        <v>0</v>
      </c>
      <c r="BJ66" s="852">
        <f t="shared" si="20"/>
        <v>0</v>
      </c>
      <c r="BK66" s="852">
        <f t="shared" si="20"/>
        <v>0</v>
      </c>
      <c r="BL66" s="852">
        <f t="shared" si="20"/>
        <v>0</v>
      </c>
      <c r="BM66" s="852">
        <f t="shared" si="20"/>
        <v>0</v>
      </c>
      <c r="BN66" s="852">
        <f t="shared" si="20"/>
        <v>0</v>
      </c>
      <c r="BO66" s="852">
        <f t="shared" si="20"/>
        <v>0</v>
      </c>
      <c r="BP66" s="852">
        <f t="shared" si="20"/>
        <v>0</v>
      </c>
      <c r="BQ66" s="852">
        <f t="shared" si="20"/>
        <v>0</v>
      </c>
      <c r="BR66" s="852">
        <f t="shared" si="20"/>
        <v>0</v>
      </c>
      <c r="BS66" s="852">
        <f>SUM(C40:C44)</f>
        <v>0</v>
      </c>
      <c r="BT66" s="852">
        <f t="shared" ref="BT66:CD66" si="21">SUM(D40:D44)</f>
        <v>0</v>
      </c>
      <c r="BU66" s="852">
        <f t="shared" si="21"/>
        <v>0</v>
      </c>
      <c r="BV66" s="852">
        <f t="shared" si="21"/>
        <v>0</v>
      </c>
      <c r="BW66" s="852">
        <f t="shared" si="21"/>
        <v>0</v>
      </c>
      <c r="BX66" s="852">
        <f t="shared" si="21"/>
        <v>0</v>
      </c>
      <c r="BY66" s="852">
        <f t="shared" si="21"/>
        <v>0</v>
      </c>
      <c r="BZ66" s="852">
        <f t="shared" si="21"/>
        <v>0</v>
      </c>
      <c r="CA66" s="852">
        <f t="shared" si="21"/>
        <v>0</v>
      </c>
      <c r="CB66" s="852">
        <f t="shared" si="21"/>
        <v>0</v>
      </c>
      <c r="CC66" s="852">
        <f t="shared" si="21"/>
        <v>0</v>
      </c>
      <c r="CD66" s="852">
        <f t="shared" si="21"/>
        <v>0</v>
      </c>
      <c r="CE66" s="693">
        <f>IF(CE63="P1",'2 MEDIA ALTURA'!C35,P77)</f>
        <v>0</v>
      </c>
      <c r="CF66" s="693">
        <f t="shared" ref="CF66:CP66" si="22">+Q77</f>
        <v>0</v>
      </c>
      <c r="CG66" s="693">
        <f t="shared" si="22"/>
        <v>0</v>
      </c>
      <c r="CH66" s="693">
        <f t="shared" si="22"/>
        <v>0</v>
      </c>
      <c r="CI66" s="693">
        <f t="shared" si="22"/>
        <v>0</v>
      </c>
      <c r="CJ66" s="693">
        <f t="shared" si="22"/>
        <v>0</v>
      </c>
      <c r="CK66" s="693">
        <f t="shared" si="22"/>
        <v>0</v>
      </c>
      <c r="CL66" s="693">
        <f t="shared" si="22"/>
        <v>0</v>
      </c>
      <c r="CM66" s="693">
        <f t="shared" si="22"/>
        <v>0</v>
      </c>
      <c r="CN66" s="693">
        <f t="shared" si="22"/>
        <v>0</v>
      </c>
      <c r="CO66" s="693">
        <f t="shared" si="22"/>
        <v>0</v>
      </c>
      <c r="CP66" s="693">
        <f t="shared" si="22"/>
        <v>0</v>
      </c>
      <c r="CQ66" s="693">
        <f>+P131</f>
        <v>0</v>
      </c>
      <c r="CR66" s="693">
        <f t="shared" ref="CR66:DB66" si="23">+Q131</f>
        <v>0</v>
      </c>
      <c r="CS66" s="693">
        <f t="shared" si="23"/>
        <v>0</v>
      </c>
      <c r="CT66" s="693">
        <f t="shared" si="23"/>
        <v>0</v>
      </c>
      <c r="CU66" s="693">
        <f t="shared" si="23"/>
        <v>0</v>
      </c>
      <c r="CV66" s="693">
        <f t="shared" si="23"/>
        <v>0</v>
      </c>
      <c r="CW66" s="693">
        <f t="shared" si="23"/>
        <v>0</v>
      </c>
      <c r="CX66" s="693">
        <f t="shared" si="23"/>
        <v>0</v>
      </c>
      <c r="CY66" s="693">
        <f t="shared" si="23"/>
        <v>0</v>
      </c>
      <c r="CZ66" s="693">
        <f t="shared" si="23"/>
        <v>0</v>
      </c>
      <c r="DA66" s="693">
        <f t="shared" si="23"/>
        <v>0</v>
      </c>
      <c r="DB66" s="693">
        <f t="shared" si="23"/>
        <v>0</v>
      </c>
      <c r="DC66" s="777" t="s">
        <v>405</v>
      </c>
    </row>
    <row r="67" spans="1:150" x14ac:dyDescent="0.35">
      <c r="A67" s="856"/>
      <c r="C67" s="838"/>
      <c r="D67" s="838"/>
      <c r="E67" s="838"/>
      <c r="F67" s="838"/>
      <c r="G67" s="838"/>
      <c r="H67" s="838"/>
      <c r="I67" s="838"/>
      <c r="J67" s="838"/>
      <c r="K67" s="838"/>
      <c r="L67" s="838"/>
      <c r="M67" s="838"/>
      <c r="N67" s="838"/>
      <c r="O67" s="838"/>
      <c r="P67" s="838"/>
      <c r="Q67" s="838"/>
      <c r="R67" s="838"/>
      <c r="S67" s="838"/>
      <c r="T67" s="838"/>
      <c r="U67" s="838"/>
      <c r="V67" s="838"/>
      <c r="W67" s="838"/>
      <c r="X67" s="838"/>
      <c r="Y67" s="838"/>
      <c r="Z67" s="838"/>
      <c r="AA67" s="838"/>
      <c r="AB67" s="838"/>
      <c r="AC67" s="855"/>
      <c r="AD67" s="838"/>
      <c r="AE67" s="855"/>
      <c r="AF67" s="838"/>
      <c r="AG67" s="855"/>
      <c r="AH67" s="838"/>
      <c r="AI67" s="855"/>
      <c r="AJ67" s="838"/>
      <c r="AK67" s="855"/>
      <c r="AL67" s="838"/>
      <c r="AM67" s="855"/>
      <c r="AN67" s="838"/>
      <c r="AO67" s="855"/>
      <c r="BC67" s="855"/>
      <c r="BD67" s="855" t="s">
        <v>72</v>
      </c>
      <c r="BF67" s="855"/>
      <c r="BG67" s="855">
        <f>+P10</f>
        <v>0</v>
      </c>
      <c r="BH67" s="855">
        <f t="shared" ref="BH67:BR67" si="24">+Q10</f>
        <v>0</v>
      </c>
      <c r="BI67" s="855">
        <f t="shared" si="24"/>
        <v>0</v>
      </c>
      <c r="BJ67" s="855">
        <f t="shared" si="24"/>
        <v>0</v>
      </c>
      <c r="BK67" s="855">
        <f t="shared" si="24"/>
        <v>0</v>
      </c>
      <c r="BL67" s="855">
        <f t="shared" si="24"/>
        <v>0</v>
      </c>
      <c r="BM67" s="855">
        <f t="shared" si="24"/>
        <v>0</v>
      </c>
      <c r="BN67" s="855">
        <f t="shared" si="24"/>
        <v>0</v>
      </c>
      <c r="BO67" s="855">
        <f t="shared" si="24"/>
        <v>0</v>
      </c>
      <c r="BP67" s="855">
        <f t="shared" si="24"/>
        <v>0</v>
      </c>
      <c r="BQ67" s="855">
        <f t="shared" si="24"/>
        <v>0</v>
      </c>
      <c r="BR67" s="855">
        <f t="shared" si="24"/>
        <v>0</v>
      </c>
      <c r="BS67" s="855">
        <f>+P43</f>
        <v>0</v>
      </c>
      <c r="BT67" s="855">
        <f t="shared" ref="BT67:CD67" si="25">+Q43</f>
        <v>0</v>
      </c>
      <c r="BU67" s="855">
        <f t="shared" si="25"/>
        <v>0</v>
      </c>
      <c r="BV67" s="855">
        <f t="shared" si="25"/>
        <v>0</v>
      </c>
      <c r="BW67" s="855">
        <f t="shared" si="25"/>
        <v>0</v>
      </c>
      <c r="BX67" s="855">
        <f t="shared" si="25"/>
        <v>0</v>
      </c>
      <c r="BY67" s="855">
        <f t="shared" si="25"/>
        <v>0</v>
      </c>
      <c r="BZ67" s="855">
        <f t="shared" si="25"/>
        <v>0</v>
      </c>
      <c r="CA67" s="855">
        <f t="shared" si="25"/>
        <v>0</v>
      </c>
      <c r="CB67" s="855">
        <f t="shared" si="25"/>
        <v>0</v>
      </c>
      <c r="CC67" s="855">
        <f t="shared" si="25"/>
        <v>0</v>
      </c>
      <c r="CD67" s="855">
        <f t="shared" si="25"/>
        <v>0</v>
      </c>
      <c r="CE67" s="855">
        <f>IF(CE63="P1",IF(SUM(P77:P88)&gt;0,'2 MEDIA ALTURA'!C35,),SUM(P78:P88))</f>
        <v>0</v>
      </c>
      <c r="CF67" s="855">
        <f>IF(CF63="P1",IF(SUM(Q77:Q88)&gt;0,'2 MEDIA ALTURA'!D35,),SUM(Q78:Q88))</f>
        <v>0</v>
      </c>
      <c r="CG67" s="855">
        <f>IF(CG63="P1",IF(SUM(R77:R88)&gt;0,'2 MEDIA ALTURA'!E35,),SUM(R78:R88))</f>
        <v>0</v>
      </c>
      <c r="CH67" s="855">
        <f>IF(CH63="P1",IF(SUM(S77:S88)&gt;0,'2 MEDIA ALTURA'!F35,),SUM(S78:S88))</f>
        <v>0</v>
      </c>
      <c r="CI67" s="855">
        <f>IF(CI63="P1",IF(SUM(T77:T88)&gt;0,'2 MEDIA ALTURA'!G35,),SUM(T78:T88))</f>
        <v>0</v>
      </c>
      <c r="CJ67" s="855">
        <f>IF(CJ63="P1",IF(SUM(U77:U88)&gt;0,'2 MEDIA ALTURA'!H35,),SUM(U78:U88))</f>
        <v>0</v>
      </c>
      <c r="CK67" s="855">
        <f>IF(CK63="P1",IF(SUM(V77:V88)&gt;0,'2 MEDIA ALTURA'!I35,),SUM(V78:V88))</f>
        <v>0</v>
      </c>
      <c r="CL67" s="855">
        <f>IF(CL63="P1",IF(SUM(W77:W88)&gt;0,'2 MEDIA ALTURA'!J35,),SUM(W78:W88))</f>
        <v>0</v>
      </c>
      <c r="CM67" s="855">
        <f>IF(CM63="P1",IF(SUM(X77:X88)&gt;0,'2 MEDIA ALTURA'!K35,),SUM(X78:X88))</f>
        <v>0</v>
      </c>
      <c r="CN67" s="855">
        <f>IF(CN63="P1",IF(SUM(Y77:Y88)&gt;0,'2 MEDIA ALTURA'!L35,),SUM(Y78:Y88))</f>
        <v>0</v>
      </c>
      <c r="CO67" s="855">
        <f>IF(CO63="P1",IF(SUM(Z77:Z88)&gt;0,'2 MEDIA ALTURA'!M35,),SUM(Z78:Z88))</f>
        <v>0</v>
      </c>
      <c r="CP67" s="855">
        <f>IF(CP63="P1",IF(SUM(AA77:AA88)&gt;0,'2 MEDIA ALTURA'!N35,),SUM(AA78:AA88))</f>
        <v>0</v>
      </c>
      <c r="CQ67" s="855">
        <f>IF(CQ63="P1",IF(SUM(P130:P141)&gt;0,'2 M-A +'!O33,),SUM(P131:P141))</f>
        <v>0</v>
      </c>
      <c r="CR67" s="855">
        <f>IF(CR63="P1",IF(SUM(Q130:Q141)&gt;0,'2 M-A +'!P33,),SUM(Q131:Q141))</f>
        <v>0</v>
      </c>
      <c r="CS67" s="855">
        <f>IF(CS63="P1",IF(SUM(R130:R141)&gt;0,'2 M-A +'!Q33,),SUM(R131:R141))</f>
        <v>0</v>
      </c>
      <c r="CT67" s="855">
        <f>IF(CT63="P1",IF(SUM(S130:S141)&gt;0,'2 M-A +'!R33,),SUM(S131:S141))</f>
        <v>0</v>
      </c>
      <c r="CU67" s="855">
        <f>IF(CU63="P1",IF(SUM(T130:T141)&gt;0,'2 M-A +'!S33,),SUM(T131:T141))</f>
        <v>0</v>
      </c>
      <c r="CV67" s="855">
        <f>IF(CV63="P1",IF(SUM(U130:U141)&gt;0,'2 M-A +'!T33,),SUM(U131:U141))</f>
        <v>0</v>
      </c>
      <c r="CW67" s="855">
        <f>IF(CW63="P1",IF(SUM(V130:V141)&gt;0,'2 M-A +'!U33,),SUM(V131:V141))</f>
        <v>0</v>
      </c>
      <c r="CX67" s="855">
        <f>IF(CX63="P1",IF(SUM(W130:W141)&gt;0,'2 M-A +'!V33,),SUM(W131:W141))</f>
        <v>0</v>
      </c>
      <c r="CY67" s="855">
        <f>IF(CY63="P1",IF(SUM(X130:X141)&gt;0,'2 M-A +'!W33,),SUM(X131:X141))</f>
        <v>0</v>
      </c>
      <c r="CZ67" s="855">
        <f>IF(CZ63="P1",IF(SUM(Y130:Y141)&gt;0,'2 M-A +'!X33,),SUM(Y131:Y141))</f>
        <v>0</v>
      </c>
      <c r="DA67" s="855">
        <f>IF(DA63="P1",IF(SUM(Z130:Z141)&gt;0,'2 M-A +'!Y33,),SUM(Z131:Z141))</f>
        <v>0</v>
      </c>
      <c r="DB67" s="855">
        <f>IF(DB63="P1",IF(SUM(AA130:AA141)&gt;0,'2 M-A +'!Z33,),SUM(AA131:AA141))</f>
        <v>0</v>
      </c>
      <c r="DC67" s="855" t="s">
        <v>72</v>
      </c>
      <c r="DE67" s="845"/>
      <c r="DG67" s="845"/>
      <c r="DI67" s="845"/>
      <c r="DK67" s="845"/>
      <c r="DM67" s="845"/>
      <c r="DO67" s="845"/>
      <c r="DQ67" s="845"/>
      <c r="DS67" s="845"/>
      <c r="DU67" s="845"/>
      <c r="DV67" s="855"/>
      <c r="DW67" s="845"/>
      <c r="DX67" s="845"/>
      <c r="DY67" s="845"/>
      <c r="DZ67" s="845"/>
      <c r="EA67" s="845"/>
      <c r="EB67" s="845"/>
      <c r="EC67" s="845"/>
      <c r="ED67" s="845"/>
      <c r="EE67" s="845"/>
      <c r="EF67" s="845"/>
      <c r="EG67" s="845"/>
      <c r="EH67" s="845"/>
      <c r="EI67" s="855"/>
    </row>
    <row r="68" spans="1:150" x14ac:dyDescent="0.35">
      <c r="BD68" s="777" t="s">
        <v>1175</v>
      </c>
      <c r="BG68" s="777">
        <f>IF(BG64&lt;5,0,IF(BG64&lt;29,28,IF(BG64&lt;57,56,IF(BG64&lt;71,70,IF(BG64&lt;85,84,IF(BG64&lt;113,112,IF(BG64&lt;151,140)))))))</f>
        <v>0</v>
      </c>
      <c r="BH68" s="777">
        <f t="shared" ref="BH68:DB68" si="26">IF(BH64&lt;5,0,IF(BH64&lt;29,28,IF(BH64&lt;57,56,IF(BH64&lt;71,70,IF(BH64&lt;85,84,IF(BH64&lt;113,112,IF(BH64&lt;151,140)))))))</f>
        <v>0</v>
      </c>
      <c r="BI68" s="777">
        <f t="shared" si="26"/>
        <v>0</v>
      </c>
      <c r="BJ68" s="777">
        <f t="shared" si="26"/>
        <v>0</v>
      </c>
      <c r="BK68" s="777">
        <f t="shared" si="26"/>
        <v>0</v>
      </c>
      <c r="BL68" s="777">
        <f t="shared" si="26"/>
        <v>0</v>
      </c>
      <c r="BM68" s="777">
        <f t="shared" si="26"/>
        <v>0</v>
      </c>
      <c r="BN68" s="777">
        <f t="shared" si="26"/>
        <v>0</v>
      </c>
      <c r="BO68" s="777">
        <f t="shared" si="26"/>
        <v>0</v>
      </c>
      <c r="BP68" s="777">
        <f t="shared" si="26"/>
        <v>0</v>
      </c>
      <c r="BQ68" s="777">
        <f t="shared" si="26"/>
        <v>0</v>
      </c>
      <c r="BR68" s="777">
        <f t="shared" si="26"/>
        <v>0</v>
      </c>
      <c r="BS68" s="777">
        <f t="shared" si="26"/>
        <v>0</v>
      </c>
      <c r="BT68" s="777">
        <f t="shared" si="26"/>
        <v>0</v>
      </c>
      <c r="BU68" s="777">
        <f t="shared" si="26"/>
        <v>0</v>
      </c>
      <c r="BV68" s="777">
        <f t="shared" si="26"/>
        <v>0</v>
      </c>
      <c r="BW68" s="777">
        <f t="shared" si="26"/>
        <v>0</v>
      </c>
      <c r="BX68" s="777">
        <f t="shared" si="26"/>
        <v>0</v>
      </c>
      <c r="BY68" s="777">
        <f t="shared" si="26"/>
        <v>0</v>
      </c>
      <c r="BZ68" s="777">
        <f t="shared" si="26"/>
        <v>0</v>
      </c>
      <c r="CA68" s="777">
        <f t="shared" si="26"/>
        <v>0</v>
      </c>
      <c r="CB68" s="777">
        <f t="shared" si="26"/>
        <v>0</v>
      </c>
      <c r="CC68" s="777">
        <f t="shared" si="26"/>
        <v>0</v>
      </c>
      <c r="CD68" s="777">
        <f t="shared" si="26"/>
        <v>0</v>
      </c>
      <c r="CE68" s="777">
        <f t="shared" si="26"/>
        <v>0</v>
      </c>
      <c r="CF68" s="777">
        <f t="shared" si="26"/>
        <v>0</v>
      </c>
      <c r="CG68" s="777">
        <f t="shared" si="26"/>
        <v>0</v>
      </c>
      <c r="CH68" s="777">
        <f t="shared" si="26"/>
        <v>0</v>
      </c>
      <c r="CI68" s="777">
        <f t="shared" si="26"/>
        <v>0</v>
      </c>
      <c r="CJ68" s="777">
        <f t="shared" si="26"/>
        <v>0</v>
      </c>
      <c r="CK68" s="777">
        <f t="shared" si="26"/>
        <v>0</v>
      </c>
      <c r="CL68" s="777">
        <f t="shared" si="26"/>
        <v>0</v>
      </c>
      <c r="CM68" s="777">
        <f t="shared" si="26"/>
        <v>0</v>
      </c>
      <c r="CN68" s="777">
        <f t="shared" si="26"/>
        <v>0</v>
      </c>
      <c r="CO68" s="777">
        <f t="shared" si="26"/>
        <v>0</v>
      </c>
      <c r="CP68" s="777">
        <f t="shared" si="26"/>
        <v>0</v>
      </c>
      <c r="CQ68" s="777">
        <f t="shared" si="26"/>
        <v>0</v>
      </c>
      <c r="CR68" s="777">
        <f t="shared" si="26"/>
        <v>0</v>
      </c>
      <c r="CS68" s="777">
        <f t="shared" si="26"/>
        <v>0</v>
      </c>
      <c r="CT68" s="777">
        <f t="shared" si="26"/>
        <v>0</v>
      </c>
      <c r="CU68" s="777">
        <f t="shared" si="26"/>
        <v>0</v>
      </c>
      <c r="CV68" s="777">
        <f t="shared" si="26"/>
        <v>0</v>
      </c>
      <c r="CW68" s="777">
        <f t="shared" si="26"/>
        <v>0</v>
      </c>
      <c r="CX68" s="777">
        <f t="shared" si="26"/>
        <v>0</v>
      </c>
      <c r="CY68" s="777">
        <f t="shared" si="26"/>
        <v>0</v>
      </c>
      <c r="CZ68" s="777">
        <f t="shared" si="26"/>
        <v>0</v>
      </c>
      <c r="DA68" s="777">
        <f t="shared" si="26"/>
        <v>0</v>
      </c>
      <c r="DB68" s="777">
        <f t="shared" si="26"/>
        <v>0</v>
      </c>
      <c r="DC68" s="777" t="s">
        <v>1175</v>
      </c>
      <c r="DE68" s="845"/>
      <c r="DG68" s="845"/>
      <c r="DI68" s="845"/>
      <c r="DK68" s="845"/>
      <c r="DM68" s="845"/>
      <c r="DO68" s="845"/>
      <c r="DQ68" s="845"/>
      <c r="DS68" s="845"/>
      <c r="DU68" s="845"/>
      <c r="DV68" s="855"/>
      <c r="DW68" s="845"/>
      <c r="DX68" s="845"/>
      <c r="DY68" s="845"/>
      <c r="DZ68" s="845"/>
      <c r="EA68" s="845"/>
      <c r="EB68" s="845"/>
      <c r="EC68" s="845"/>
      <c r="ED68" s="845"/>
      <c r="EE68" s="845"/>
      <c r="EF68" s="845"/>
      <c r="EG68" s="845"/>
      <c r="EH68" s="845"/>
      <c r="EI68" s="855"/>
    </row>
    <row r="69" spans="1:150" x14ac:dyDescent="0.35">
      <c r="DC69" s="845"/>
      <c r="DE69" s="845"/>
      <c r="DG69" s="845"/>
      <c r="DI69" s="845"/>
      <c r="DK69" s="845"/>
      <c r="DM69" s="845"/>
      <c r="DO69" s="845"/>
      <c r="DQ69" s="845"/>
      <c r="DS69" s="845"/>
      <c r="DU69" s="845"/>
      <c r="DV69" s="855"/>
      <c r="DW69" s="845"/>
      <c r="DX69" s="845"/>
      <c r="DY69" s="845"/>
      <c r="DZ69" s="845"/>
      <c r="EA69" s="845"/>
      <c r="EB69" s="845"/>
      <c r="EC69" s="845"/>
      <c r="ED69" s="845"/>
      <c r="EE69" s="845"/>
      <c r="EF69" s="845"/>
      <c r="EG69" s="845"/>
      <c r="EH69" s="845"/>
      <c r="EI69" s="855"/>
    </row>
    <row r="70" spans="1:150" x14ac:dyDescent="0.35">
      <c r="DK70" s="855"/>
      <c r="DX70" s="855"/>
    </row>
    <row r="71" spans="1:150" x14ac:dyDescent="0.35">
      <c r="C71" s="838"/>
      <c r="D71" s="838"/>
      <c r="E71" s="838"/>
      <c r="F71" s="838"/>
      <c r="G71" s="838"/>
      <c r="H71" s="838"/>
      <c r="I71" s="838"/>
      <c r="J71" s="838"/>
      <c r="K71" s="838"/>
      <c r="L71" s="838"/>
      <c r="M71" s="838"/>
      <c r="N71" s="838"/>
      <c r="O71" s="838"/>
      <c r="P71" s="838"/>
      <c r="Q71" s="838"/>
      <c r="R71" s="838"/>
      <c r="S71" s="838"/>
      <c r="T71" s="838"/>
      <c r="U71" s="838"/>
      <c r="V71" s="838"/>
      <c r="W71" s="838"/>
      <c r="X71" s="838"/>
      <c r="Y71" s="838"/>
      <c r="Z71" s="838"/>
      <c r="AA71" s="838"/>
      <c r="AB71" s="838"/>
      <c r="AC71" s="838"/>
      <c r="AD71" s="838"/>
      <c r="AE71" s="838"/>
      <c r="AF71" s="838"/>
      <c r="AG71" s="838"/>
      <c r="AH71" s="838"/>
      <c r="AI71" s="838"/>
      <c r="AJ71" s="838"/>
      <c r="AK71" s="838"/>
      <c r="AL71" s="838"/>
      <c r="AM71" s="838"/>
      <c r="AN71" s="838"/>
      <c r="AO71" s="838"/>
      <c r="AP71" s="838"/>
      <c r="AQ71" s="838"/>
      <c r="AR71" s="838"/>
      <c r="AS71" s="838"/>
      <c r="AT71" s="838"/>
      <c r="AU71" s="838"/>
      <c r="AV71" s="838"/>
      <c r="AW71" s="838"/>
      <c r="AX71" s="838"/>
      <c r="AY71" s="838"/>
    </row>
    <row r="72" spans="1:150" x14ac:dyDescent="0.35">
      <c r="B72" s="678"/>
      <c r="C72" s="838"/>
      <c r="D72" s="838"/>
      <c r="E72" s="838"/>
      <c r="F72" s="838"/>
      <c r="G72" s="838"/>
      <c r="H72" s="838"/>
      <c r="I72" s="838"/>
      <c r="J72" s="838"/>
      <c r="K72" s="838"/>
      <c r="L72" s="838"/>
      <c r="M72" s="838"/>
      <c r="N72" s="838"/>
      <c r="O72" s="838"/>
      <c r="P72" s="838"/>
      <c r="Q72" s="838"/>
      <c r="R72" s="838"/>
      <c r="S72" s="838"/>
      <c r="T72" s="838"/>
      <c r="U72" s="838"/>
      <c r="V72" s="838"/>
      <c r="W72" s="838"/>
      <c r="X72" s="838"/>
      <c r="Y72" s="838"/>
      <c r="Z72" s="838"/>
      <c r="AA72" s="838"/>
      <c r="AB72" s="838"/>
      <c r="AC72" s="838"/>
      <c r="AD72" s="838"/>
      <c r="AE72" s="838"/>
      <c r="AF72" s="838"/>
      <c r="AG72" s="838"/>
      <c r="AH72" s="838"/>
      <c r="AI72" s="838"/>
      <c r="AJ72" s="838"/>
      <c r="AK72" s="1470"/>
      <c r="AL72" s="1470"/>
      <c r="AM72" s="1470"/>
      <c r="AN72" s="1470"/>
      <c r="AO72" s="838"/>
      <c r="AP72" s="838"/>
      <c r="AQ72" s="838"/>
      <c r="AR72" s="838"/>
      <c r="AS72" s="838"/>
      <c r="AT72" s="838"/>
      <c r="AU72" s="838"/>
      <c r="AV72" s="838"/>
      <c r="AW72" s="838"/>
      <c r="AX72" s="838"/>
      <c r="AY72" s="838"/>
      <c r="AZ72" s="838"/>
      <c r="BA72" s="838"/>
      <c r="BB72" s="838"/>
      <c r="BC72" s="838"/>
      <c r="BD72" s="838"/>
      <c r="BE72" s="838"/>
      <c r="BF72" s="838"/>
      <c r="BG72" s="838"/>
      <c r="BH72" s="859"/>
      <c r="BI72" s="859"/>
      <c r="BJ72" s="859"/>
      <c r="BK72" s="859"/>
      <c r="BL72" s="859"/>
      <c r="BM72" s="859"/>
      <c r="BN72" s="859"/>
      <c r="BO72" s="838"/>
      <c r="BP72" s="838"/>
      <c r="BQ72" s="838"/>
      <c r="BR72" s="838"/>
      <c r="BS72" s="838"/>
      <c r="BT72" s="838"/>
      <c r="BU72" s="838"/>
      <c r="BV72" s="838"/>
      <c r="BW72" s="838"/>
      <c r="CU72" s="838"/>
    </row>
    <row r="73" spans="1:150" x14ac:dyDescent="0.35">
      <c r="B73" s="678"/>
      <c r="C73" s="838"/>
      <c r="D73" s="838"/>
      <c r="E73" s="838"/>
      <c r="F73" s="838"/>
      <c r="G73" s="838"/>
      <c r="H73" s="838"/>
      <c r="I73" s="838"/>
      <c r="J73" s="838"/>
      <c r="K73" s="838"/>
      <c r="L73" s="838"/>
      <c r="M73" s="838"/>
      <c r="N73" s="838"/>
      <c r="O73" s="838"/>
      <c r="P73" s="838" t="s">
        <v>405</v>
      </c>
      <c r="Q73" s="838"/>
      <c r="R73" s="838"/>
      <c r="S73" s="838"/>
      <c r="T73" s="838"/>
      <c r="U73" s="838"/>
      <c r="V73" s="838"/>
      <c r="W73" s="838"/>
      <c r="X73" s="838"/>
      <c r="Y73" s="838"/>
      <c r="Z73" s="838"/>
      <c r="AA73" s="838"/>
      <c r="AB73" s="838"/>
      <c r="AC73" s="855" t="s">
        <v>775</v>
      </c>
      <c r="AD73" s="838"/>
      <c r="AE73" s="855"/>
      <c r="AF73" s="838"/>
      <c r="AG73" s="855"/>
      <c r="AH73" s="838"/>
      <c r="AI73" s="855"/>
      <c r="AJ73" s="838"/>
      <c r="AK73" s="855"/>
      <c r="AL73" s="838"/>
      <c r="AM73" s="855"/>
      <c r="AN73" s="838"/>
      <c r="AO73" s="855"/>
      <c r="AP73" s="838" t="s">
        <v>986</v>
      </c>
      <c r="AQ73" s="855"/>
      <c r="AR73" s="838"/>
      <c r="AS73" s="855"/>
      <c r="AT73" s="838"/>
      <c r="AU73" s="855"/>
      <c r="AV73" s="838"/>
      <c r="AW73" s="855"/>
      <c r="AX73" s="838"/>
      <c r="AY73" s="838"/>
      <c r="AZ73" s="838"/>
      <c r="BA73" s="838"/>
      <c r="BB73" s="838"/>
      <c r="BC73" s="838"/>
      <c r="BD73" s="838"/>
      <c r="BE73" s="838"/>
      <c r="BF73" s="838"/>
      <c r="BG73" s="838"/>
      <c r="BH73" s="838"/>
      <c r="BI73" s="838"/>
      <c r="BJ73" s="838"/>
      <c r="BK73" s="838"/>
      <c r="BL73" s="838"/>
      <c r="BM73" s="838"/>
      <c r="BN73" s="838"/>
      <c r="BO73" s="838"/>
      <c r="BP73" s="838"/>
      <c r="BQ73" s="838"/>
      <c r="BR73" s="838"/>
      <c r="BS73" s="838"/>
      <c r="BT73" s="838"/>
      <c r="BU73" s="838"/>
      <c r="BV73" s="838"/>
      <c r="BW73" s="838"/>
      <c r="BX73" s="678"/>
      <c r="BY73" s="678"/>
      <c r="BZ73" s="678"/>
      <c r="CA73" s="678"/>
      <c r="CB73" s="678"/>
      <c r="CC73" s="678"/>
      <c r="CD73" s="678"/>
      <c r="CE73" s="678"/>
      <c r="CF73" s="678"/>
      <c r="CG73" s="678"/>
      <c r="CH73" s="678"/>
      <c r="CI73" s="678"/>
      <c r="CJ73" s="678"/>
      <c r="CK73" s="678"/>
      <c r="CL73" s="678"/>
      <c r="CM73" s="678"/>
      <c r="CN73" s="678"/>
      <c r="CO73" s="678"/>
      <c r="CP73" s="678"/>
      <c r="CQ73" s="678"/>
      <c r="CR73" s="678"/>
      <c r="CS73" s="678"/>
      <c r="CT73" s="678"/>
      <c r="CU73" s="859"/>
    </row>
    <row r="74" spans="1:150" x14ac:dyDescent="0.35">
      <c r="B74" s="678"/>
      <c r="C74" s="838"/>
      <c r="D74" s="838"/>
      <c r="E74" s="838"/>
      <c r="F74" s="838"/>
      <c r="G74" s="838"/>
      <c r="H74" s="838"/>
      <c r="I74" s="838"/>
      <c r="J74" s="838"/>
      <c r="K74" s="838"/>
      <c r="L74" s="838"/>
      <c r="M74" s="838"/>
      <c r="N74" s="838"/>
      <c r="O74" s="838"/>
      <c r="P74" s="838"/>
      <c r="Q74" s="838"/>
      <c r="R74" s="838"/>
      <c r="S74" s="838"/>
      <c r="T74" s="838"/>
      <c r="U74" s="838"/>
      <c r="V74" s="838"/>
      <c r="W74" s="838"/>
      <c r="X74" s="838"/>
      <c r="Y74" s="838"/>
      <c r="Z74" s="838"/>
      <c r="AA74" s="838"/>
      <c r="AB74" s="838"/>
      <c r="AC74" s="838"/>
      <c r="AD74" s="838"/>
      <c r="AE74" s="838"/>
      <c r="AF74" s="838"/>
      <c r="AG74" s="838"/>
      <c r="AH74" s="838"/>
      <c r="AI74" s="838"/>
      <c r="AJ74" s="838"/>
      <c r="AK74" s="838"/>
      <c r="AL74" s="838"/>
      <c r="AM74" s="838"/>
      <c r="AN74" s="838"/>
      <c r="AO74" s="838"/>
      <c r="AP74" s="838"/>
      <c r="AQ74" s="838"/>
      <c r="AR74" s="838"/>
      <c r="AS74" s="838"/>
      <c r="AT74" s="838"/>
      <c r="AU74" s="838"/>
      <c r="AV74" s="838"/>
      <c r="AW74" s="838"/>
      <c r="AX74" s="838"/>
      <c r="AY74" s="838"/>
      <c r="AZ74" s="838"/>
      <c r="BA74" s="838"/>
      <c r="BB74" s="838"/>
      <c r="BC74" s="838" t="s">
        <v>768</v>
      </c>
      <c r="BD74" s="838"/>
      <c r="BE74" s="838"/>
      <c r="BF74" s="838"/>
      <c r="BG74" s="838"/>
      <c r="BH74" s="838"/>
      <c r="BI74" s="838"/>
      <c r="BJ74" s="838"/>
      <c r="BK74" s="838"/>
      <c r="BL74" s="838"/>
      <c r="BM74" s="838"/>
      <c r="BN74" s="838"/>
      <c r="BO74" s="838"/>
      <c r="BP74" s="838" t="s">
        <v>769</v>
      </c>
      <c r="BQ74" s="838"/>
      <c r="BR74" s="838"/>
      <c r="BS74" s="838"/>
      <c r="BT74" s="838"/>
      <c r="BU74" s="838"/>
      <c r="BV74" s="838"/>
      <c r="BW74" s="838"/>
      <c r="BX74" s="678"/>
      <c r="BY74" s="678"/>
      <c r="BZ74" s="678"/>
      <c r="CA74" s="678"/>
      <c r="CB74" s="678"/>
      <c r="CC74" s="678" t="s">
        <v>770</v>
      </c>
      <c r="CD74" s="678"/>
      <c r="CE74" s="678"/>
      <c r="CF74" s="678"/>
      <c r="CG74" s="678"/>
      <c r="CH74" s="678"/>
      <c r="CI74" s="678"/>
      <c r="CJ74" s="678"/>
      <c r="CK74" s="678"/>
      <c r="CL74" s="678"/>
      <c r="CM74" s="678"/>
      <c r="CN74" s="678"/>
      <c r="CO74" s="678"/>
      <c r="CP74" s="678" t="s">
        <v>771</v>
      </c>
      <c r="CQ74" s="678"/>
      <c r="CR74" s="678"/>
      <c r="CS74" s="678"/>
      <c r="CT74" s="678"/>
      <c r="CU74" s="838"/>
    </row>
    <row r="75" spans="1:150" x14ac:dyDescent="0.35">
      <c r="B75" s="845"/>
      <c r="P75" s="855"/>
      <c r="Q75" s="855"/>
      <c r="R75" s="855"/>
      <c r="S75" s="855"/>
      <c r="T75" s="855"/>
      <c r="U75" s="855"/>
      <c r="V75" s="855"/>
      <c r="W75" s="855"/>
      <c r="X75" s="855"/>
      <c r="Y75" s="855"/>
      <c r="Z75" s="855"/>
      <c r="AA75" s="855"/>
      <c r="AB75" s="838"/>
      <c r="AC75" s="838"/>
      <c r="AD75" s="838"/>
      <c r="AE75" s="838"/>
      <c r="AF75" s="838"/>
      <c r="AG75" s="838"/>
      <c r="AH75" s="838"/>
      <c r="AI75" s="838"/>
      <c r="AJ75" s="838"/>
      <c r="AK75" s="838"/>
      <c r="AL75" s="838"/>
      <c r="AM75" s="838"/>
      <c r="AN75" s="838"/>
      <c r="AO75" s="838"/>
      <c r="AP75" s="838"/>
      <c r="AQ75" s="838"/>
      <c r="AR75" s="838"/>
      <c r="AS75" s="838"/>
      <c r="AT75" s="838"/>
      <c r="AU75" s="838"/>
      <c r="AV75" s="838"/>
      <c r="AW75" s="838"/>
      <c r="AX75" s="838"/>
      <c r="AY75" s="1084"/>
      <c r="AZ75" s="838"/>
      <c r="BA75" s="855"/>
      <c r="BB75" s="838"/>
      <c r="BC75" s="855"/>
      <c r="BD75" s="838"/>
      <c r="BE75" s="855"/>
      <c r="BF75" s="838"/>
      <c r="BG75" s="855"/>
      <c r="BH75" s="838"/>
      <c r="BI75" s="838"/>
      <c r="BJ75" s="838"/>
      <c r="BK75" s="838"/>
      <c r="BL75" s="838"/>
      <c r="BM75" s="855"/>
      <c r="BN75" s="838"/>
      <c r="BO75" s="855">
        <f>SUM(BC90:DA90,BC144:DA144)*2</f>
        <v>0</v>
      </c>
      <c r="BP75" s="838"/>
      <c r="BQ75" s="855"/>
      <c r="BR75" s="838"/>
      <c r="BS75" s="855"/>
      <c r="BT75" s="838"/>
      <c r="BU75" s="855"/>
      <c r="BV75" s="838"/>
      <c r="BW75" s="855"/>
      <c r="BX75" s="678"/>
      <c r="BY75" s="678"/>
      <c r="BZ75" s="678"/>
      <c r="CA75" s="678"/>
      <c r="CB75" s="678"/>
      <c r="CC75" s="678"/>
      <c r="CD75" s="678"/>
      <c r="CE75" s="678"/>
      <c r="CF75" s="678"/>
      <c r="CG75" s="678"/>
      <c r="CH75" s="678"/>
      <c r="CI75" s="678"/>
      <c r="CJ75" s="678"/>
      <c r="CK75" s="678"/>
      <c r="CL75" s="678"/>
      <c r="CM75" s="678"/>
      <c r="CN75" s="678"/>
      <c r="CO75" s="678"/>
      <c r="CP75" s="678"/>
      <c r="CQ75" s="678"/>
      <c r="CR75" s="678"/>
      <c r="CS75" s="678"/>
      <c r="CT75" s="678"/>
      <c r="CU75" s="855"/>
    </row>
    <row r="76" spans="1:150" x14ac:dyDescent="0.35">
      <c r="B76" s="845"/>
      <c r="P76" s="838"/>
      <c r="Q76" s="838"/>
      <c r="R76" s="838"/>
      <c r="S76" s="838"/>
      <c r="T76" s="838"/>
      <c r="U76" s="838"/>
      <c r="V76" s="838"/>
      <c r="W76" s="838"/>
      <c r="X76" s="838"/>
      <c r="Y76" s="838"/>
      <c r="Z76" s="838"/>
      <c r="AA76" s="838"/>
      <c r="AB76" s="855"/>
      <c r="AC76" s="838">
        <f>IF(OR('2 MEDIA ALTURA'!C17="V",'2 MEDIA ALTURA'!C17="VT",'2 MEDIA ALTURA'!C17="VSB",'2 MEDIA ALTURA'!C17="VTT"),1,0)*'2 MEDIA ALTURA'!C$35</f>
        <v>0</v>
      </c>
      <c r="AD76" s="838">
        <f>IF(OR('2 MEDIA ALTURA'!D17="V",'2 MEDIA ALTURA'!D17="VT",'2 MEDIA ALTURA'!D17="VSB",'2 MEDIA ALTURA'!D17="VTT"),1,0)*'2 MEDIA ALTURA'!D$35</f>
        <v>0</v>
      </c>
      <c r="AE76" s="838">
        <f>IF(OR('2 MEDIA ALTURA'!E17="V",'2 MEDIA ALTURA'!E17="VT",'2 MEDIA ALTURA'!E17="VSB",'2 MEDIA ALTURA'!E17="VTT"),1,0)*'2 MEDIA ALTURA'!E$35</f>
        <v>0</v>
      </c>
      <c r="AF76" s="838">
        <f>IF(OR('2 MEDIA ALTURA'!F17="V",'2 MEDIA ALTURA'!F17="VT",'2 MEDIA ALTURA'!F17="VSB",'2 MEDIA ALTURA'!F17="VTT"),1,0)*'2 MEDIA ALTURA'!F$35</f>
        <v>0</v>
      </c>
      <c r="AG76" s="838">
        <f>IF(OR('2 MEDIA ALTURA'!G17="V",'2 MEDIA ALTURA'!G17="VT",'2 MEDIA ALTURA'!G17="VSB",'2 MEDIA ALTURA'!G17="VTT"),1,0)*'2 MEDIA ALTURA'!G$35</f>
        <v>0</v>
      </c>
      <c r="AH76" s="838">
        <f>IF(OR('2 MEDIA ALTURA'!H17="V",'2 MEDIA ALTURA'!H17="VT",'2 MEDIA ALTURA'!H17="VSB",'2 MEDIA ALTURA'!H17="VTT"),1,0)*'2 MEDIA ALTURA'!H$35</f>
        <v>0</v>
      </c>
      <c r="AI76" s="838">
        <f>IF(OR('2 MEDIA ALTURA'!I17="V",'2 MEDIA ALTURA'!I17="VT",'2 MEDIA ALTURA'!I17="VSB",'2 MEDIA ALTURA'!I17="VTT"),1,0)*'2 MEDIA ALTURA'!I$35</f>
        <v>0</v>
      </c>
      <c r="AJ76" s="838">
        <f>IF(OR('2 MEDIA ALTURA'!J17="V",'2 MEDIA ALTURA'!J17="VT",'2 MEDIA ALTURA'!J17="VSB",'2 MEDIA ALTURA'!J17="VTT"),1,0)*'2 MEDIA ALTURA'!J$35</f>
        <v>0</v>
      </c>
      <c r="AK76" s="838">
        <f>IF(OR('2 MEDIA ALTURA'!K17="V",'2 MEDIA ALTURA'!K17="VT",'2 MEDIA ALTURA'!K17="VSB",'2 MEDIA ALTURA'!K17="VTT"),1,0)*'2 MEDIA ALTURA'!K$35</f>
        <v>0</v>
      </c>
      <c r="AL76" s="838">
        <f>IF(OR('2 MEDIA ALTURA'!L17="V",'2 MEDIA ALTURA'!L17="VT",'2 MEDIA ALTURA'!L17="VSB",'2 MEDIA ALTURA'!L17="VTT"),1,0)*'2 MEDIA ALTURA'!L$35</f>
        <v>0</v>
      </c>
      <c r="AM76" s="838">
        <f>IF(OR('2 MEDIA ALTURA'!M17="V",'2 MEDIA ALTURA'!M17="VT",'2 MEDIA ALTURA'!M17="VSB",'2 MEDIA ALTURA'!M17="VTT"),1,0)*'2 MEDIA ALTURA'!M$35</f>
        <v>0</v>
      </c>
      <c r="AN76" s="838">
        <f>IF(OR('2 MEDIA ALTURA'!N17="V",'2 MEDIA ALTURA'!N17="VT",'2 MEDIA ALTURA'!N17="VSB",'2 MEDIA ALTURA'!N17="VTT"),1,0)*'2 MEDIA ALTURA'!N$35</f>
        <v>0</v>
      </c>
      <c r="AO76" s="839">
        <f>SUM(AC76:AN88)</f>
        <v>0</v>
      </c>
      <c r="AP76" s="845"/>
      <c r="AR76" s="845"/>
      <c r="AT76" s="845"/>
      <c r="AV76" s="845"/>
      <c r="AX76" s="845"/>
      <c r="AZ76" s="845"/>
      <c r="BB76" s="844"/>
      <c r="BC76" s="845">
        <f>IF('2 MEDIA ALTURA'!C17='2 MEDIA ALTURA'!$B$40,('2 MEDIA ALTURA'!C16*4)/160,0)*'2 MEDIA ALTURA'!C$35</f>
        <v>0</v>
      </c>
      <c r="BD76" s="845">
        <f>IF('2 MEDIA ALTURA'!D17='2 MEDIA ALTURA'!$B$40,('2 MEDIA ALTURA'!D16*4)/160,0)*'2 MEDIA ALTURA'!D$35</f>
        <v>0</v>
      </c>
      <c r="BE76" s="845">
        <f>IF('2 MEDIA ALTURA'!E17='2 MEDIA ALTURA'!$B$40,('2 MEDIA ALTURA'!E16*4)/160,0)*'2 MEDIA ALTURA'!E$35</f>
        <v>0</v>
      </c>
      <c r="BF76" s="845">
        <f>IF('2 MEDIA ALTURA'!F17='2 MEDIA ALTURA'!$B$40,('2 MEDIA ALTURA'!F16*4)/160,0)*'2 MEDIA ALTURA'!F$35</f>
        <v>0</v>
      </c>
      <c r="BG76" s="845">
        <f>IF('2 MEDIA ALTURA'!G17='2 MEDIA ALTURA'!$B$40,('2 MEDIA ALTURA'!G16*4)/160,0)*'2 MEDIA ALTURA'!G$35</f>
        <v>0</v>
      </c>
      <c r="BH76" s="845">
        <f>IF('2 MEDIA ALTURA'!H17='2 MEDIA ALTURA'!$B$40,('2 MEDIA ALTURA'!H16*4)/160,0)*'2 MEDIA ALTURA'!H$35</f>
        <v>0</v>
      </c>
      <c r="BI76" s="845">
        <f>IF('2 MEDIA ALTURA'!I17='2 MEDIA ALTURA'!$B$40,('2 MEDIA ALTURA'!I16*4)/160,0)*'2 MEDIA ALTURA'!I$35</f>
        <v>0</v>
      </c>
      <c r="BJ76" s="845">
        <f>IF('2 MEDIA ALTURA'!J17='2 MEDIA ALTURA'!$B$40,('2 MEDIA ALTURA'!J16*4)/160,0)*'2 MEDIA ALTURA'!J$35</f>
        <v>0</v>
      </c>
      <c r="BK76" s="845">
        <f>IF('2 MEDIA ALTURA'!K17='2 MEDIA ALTURA'!$B$40,('2 MEDIA ALTURA'!K16*4)/160,0)*'2 MEDIA ALTURA'!K$35</f>
        <v>0</v>
      </c>
      <c r="BL76" s="845">
        <f>IF('2 MEDIA ALTURA'!L17='2 MEDIA ALTURA'!$B$40,('2 MEDIA ALTURA'!L16*4)/160,0)*'2 MEDIA ALTURA'!L$35</f>
        <v>0</v>
      </c>
      <c r="BM76" s="845">
        <f>IF('2 MEDIA ALTURA'!M17='2 MEDIA ALTURA'!$B$40,('2 MEDIA ALTURA'!M16*4)/160,0)*'2 MEDIA ALTURA'!M$35</f>
        <v>0</v>
      </c>
      <c r="BN76" s="845">
        <f>IF('2 MEDIA ALTURA'!N17='2 MEDIA ALTURA'!$B$40,('2 MEDIA ALTURA'!N16*4)/160,0)*'2 MEDIA ALTURA'!N$35</f>
        <v>0</v>
      </c>
      <c r="BO76" s="855"/>
      <c r="BP76" s="845">
        <f>IF('2 MEDIA ALTURA'!C17='2 MEDIA ALTURA'!$B$41,('2 MEDIA ALTURA'!C16*4)/160,0)*'2 MEDIA ALTURA'!C$35</f>
        <v>0</v>
      </c>
      <c r="BQ76" s="845">
        <f>IF('2 MEDIA ALTURA'!D17='2 MEDIA ALTURA'!$B$41,('2 MEDIA ALTURA'!D16*4)/160,0)*'2 MEDIA ALTURA'!D$35</f>
        <v>0</v>
      </c>
      <c r="BR76" s="845">
        <f>IF('2 MEDIA ALTURA'!E17='2 MEDIA ALTURA'!$B$41,('2 MEDIA ALTURA'!E16*4)/160,0)*'2 MEDIA ALTURA'!E$35</f>
        <v>0</v>
      </c>
      <c r="BS76" s="845">
        <f>IF('2 MEDIA ALTURA'!F17='2 MEDIA ALTURA'!$B$41,('2 MEDIA ALTURA'!F16*4)/160,0)*'2 MEDIA ALTURA'!F$35</f>
        <v>0</v>
      </c>
      <c r="BT76" s="845">
        <f>IF('2 MEDIA ALTURA'!G17='2 MEDIA ALTURA'!$B$41,('2 MEDIA ALTURA'!G16*4)/160,0)*'2 MEDIA ALTURA'!G$35</f>
        <v>0</v>
      </c>
      <c r="BU76" s="845">
        <f>IF('2 MEDIA ALTURA'!H17='2 MEDIA ALTURA'!$B$41,('2 MEDIA ALTURA'!H16*4)/160,0)*'2 MEDIA ALTURA'!H$35</f>
        <v>0</v>
      </c>
      <c r="BV76" s="845">
        <f>IF('2 MEDIA ALTURA'!I17='2 MEDIA ALTURA'!$B$41,('2 MEDIA ALTURA'!I16*4)/160,0)*'2 MEDIA ALTURA'!I$35</f>
        <v>0</v>
      </c>
      <c r="BW76" s="845">
        <f>IF('2 MEDIA ALTURA'!J17='2 MEDIA ALTURA'!$B$41,('2 MEDIA ALTURA'!J16*4)/160,0)*'2 MEDIA ALTURA'!J$35</f>
        <v>0</v>
      </c>
      <c r="BX76" s="845">
        <f>IF('2 MEDIA ALTURA'!K17='2 MEDIA ALTURA'!$B$41,('2 MEDIA ALTURA'!K16*4)/160,0)*'2 MEDIA ALTURA'!K$35</f>
        <v>0</v>
      </c>
      <c r="BY76" s="845">
        <f>IF('2 MEDIA ALTURA'!L17='2 MEDIA ALTURA'!$B$41,('2 MEDIA ALTURA'!L16*4)/160,0)*'2 MEDIA ALTURA'!L$35</f>
        <v>0</v>
      </c>
      <c r="BZ76" s="845">
        <f>IF('2 MEDIA ALTURA'!M17='2 MEDIA ALTURA'!$B$41,('2 MEDIA ALTURA'!M16*4)/160,0)*'2 MEDIA ALTURA'!M$35</f>
        <v>0</v>
      </c>
      <c r="CA76" s="845">
        <f>IF('2 MEDIA ALTURA'!N17='2 MEDIA ALTURA'!$B$41,('2 MEDIA ALTURA'!N16*4)/160,0)*'2 MEDIA ALTURA'!N$35</f>
        <v>0</v>
      </c>
      <c r="CB76" s="855"/>
      <c r="CC76" s="845">
        <f>IF('2 MEDIA ALTURA'!C17='2 MEDIA ALTURA'!$B$42,('2 MEDIA ALTURA'!C16*4)/160,0)*'2 MEDIA ALTURA'!C$35</f>
        <v>0</v>
      </c>
      <c r="CD76" s="845">
        <f>IF('2 MEDIA ALTURA'!D17='2 MEDIA ALTURA'!$B$42,('2 MEDIA ALTURA'!D16*4)/160,0)*'2 MEDIA ALTURA'!D$35</f>
        <v>0</v>
      </c>
      <c r="CE76" s="845">
        <f>IF('2 MEDIA ALTURA'!E17='2 MEDIA ALTURA'!$B$42,('2 MEDIA ALTURA'!E16*4)/160,0)*'2 MEDIA ALTURA'!E$35</f>
        <v>0</v>
      </c>
      <c r="CF76" s="845">
        <f>IF('2 MEDIA ALTURA'!F17='2 MEDIA ALTURA'!$B$42,('2 MEDIA ALTURA'!F16*4)/160,0)*'2 MEDIA ALTURA'!F$35</f>
        <v>0</v>
      </c>
      <c r="CG76" s="845">
        <f>IF('2 MEDIA ALTURA'!G17='2 MEDIA ALTURA'!$B$42,('2 MEDIA ALTURA'!G16*4)/160,0)*'2 MEDIA ALTURA'!G$35</f>
        <v>0</v>
      </c>
      <c r="CH76" s="845">
        <f>IF('2 MEDIA ALTURA'!H17='2 MEDIA ALTURA'!$B$42,('2 MEDIA ALTURA'!H16*4)/160,0)*'2 MEDIA ALTURA'!H$35</f>
        <v>0</v>
      </c>
      <c r="CI76" s="845">
        <f>IF('2 MEDIA ALTURA'!I17='2 MEDIA ALTURA'!$B$42,('2 MEDIA ALTURA'!I16*4)/160,0)*'2 MEDIA ALTURA'!I$35</f>
        <v>0</v>
      </c>
      <c r="CJ76" s="845">
        <f>IF('2 MEDIA ALTURA'!J17='2 MEDIA ALTURA'!$B$42,('2 MEDIA ALTURA'!J16*4)/160,0)*'2 MEDIA ALTURA'!J$35</f>
        <v>0</v>
      </c>
      <c r="CK76" s="845">
        <f>IF('2 MEDIA ALTURA'!K17='2 MEDIA ALTURA'!$B$42,('2 MEDIA ALTURA'!K16*4)/160,0)*'2 MEDIA ALTURA'!K$35</f>
        <v>0</v>
      </c>
      <c r="CL76" s="845">
        <f>IF('2 MEDIA ALTURA'!L17='2 MEDIA ALTURA'!$B$42,('2 MEDIA ALTURA'!L16*4)/160,0)*'2 MEDIA ALTURA'!L$35</f>
        <v>0</v>
      </c>
      <c r="CM76" s="845">
        <f>IF('2 MEDIA ALTURA'!M17='2 MEDIA ALTURA'!$B$42,('2 MEDIA ALTURA'!M16*4)/160,0)*'2 MEDIA ALTURA'!M$35</f>
        <v>0</v>
      </c>
      <c r="CN76" s="845">
        <f>IF('2 MEDIA ALTURA'!N17='2 MEDIA ALTURA'!$B$42,('2 MEDIA ALTURA'!N16*4)/160,0)*'2 MEDIA ALTURA'!N$35</f>
        <v>0</v>
      </c>
      <c r="CO76" s="855"/>
      <c r="CP76" s="845">
        <f>IF('2 MEDIA ALTURA'!C17='2 MEDIA ALTURA'!$B$43,('2 MEDIA ALTURA'!C16*4)/160,0)*'2 MEDIA ALTURA'!C$35</f>
        <v>0</v>
      </c>
      <c r="CQ76" s="845">
        <f>IF('2 MEDIA ALTURA'!D17='2 MEDIA ALTURA'!$B$43,('2 MEDIA ALTURA'!D16*4)/160,0)*'2 MEDIA ALTURA'!D$35</f>
        <v>0</v>
      </c>
      <c r="CR76" s="845">
        <f>IF('2 MEDIA ALTURA'!E17='2 MEDIA ALTURA'!$B$43,('2 MEDIA ALTURA'!E16*4)/160,0)*'2 MEDIA ALTURA'!E$35</f>
        <v>0</v>
      </c>
      <c r="CS76" s="845">
        <f>IF('2 MEDIA ALTURA'!F17='2 MEDIA ALTURA'!$B$43,('2 MEDIA ALTURA'!F16*4)/160,0)*'2 MEDIA ALTURA'!F$35</f>
        <v>0</v>
      </c>
      <c r="CT76" s="845">
        <f>IF('2 MEDIA ALTURA'!G17='2 MEDIA ALTURA'!$B$43,('2 MEDIA ALTURA'!G16*4)/160,0)*'2 MEDIA ALTURA'!G$35</f>
        <v>0</v>
      </c>
      <c r="CU76" s="845">
        <f>IF('2 MEDIA ALTURA'!H17='2 MEDIA ALTURA'!$B$43,('2 MEDIA ALTURA'!H16*4)/160,0)*'2 MEDIA ALTURA'!H$35</f>
        <v>0</v>
      </c>
      <c r="CV76" s="845">
        <f>IF('2 MEDIA ALTURA'!I17='2 MEDIA ALTURA'!$B$43,('2 MEDIA ALTURA'!I16*4)/160,0)*'2 MEDIA ALTURA'!I$35</f>
        <v>0</v>
      </c>
      <c r="CW76" s="845">
        <f>IF('2 MEDIA ALTURA'!J17='2 MEDIA ALTURA'!$B$43,('2 MEDIA ALTURA'!J16*4)/160,0)*'2 MEDIA ALTURA'!J$35</f>
        <v>0</v>
      </c>
      <c r="CX76" s="845">
        <f>IF('2 MEDIA ALTURA'!K17='2 MEDIA ALTURA'!$B$43,('2 MEDIA ALTURA'!K16*4)/160,0)*'2 MEDIA ALTURA'!K$35</f>
        <v>0</v>
      </c>
      <c r="CY76" s="845">
        <f>IF('2 MEDIA ALTURA'!L17='2 MEDIA ALTURA'!$B$43,('2 MEDIA ALTURA'!L16*4)/160,0)*'2 MEDIA ALTURA'!L$35</f>
        <v>0</v>
      </c>
      <c r="CZ76" s="845">
        <f>IF('2 MEDIA ALTURA'!M17='2 MEDIA ALTURA'!$B$43,('2 MEDIA ALTURA'!M16*4)/160,0)*'2 MEDIA ALTURA'!M$35</f>
        <v>0</v>
      </c>
      <c r="DA76" s="845">
        <f>IF('2 MEDIA ALTURA'!N17='2 MEDIA ALTURA'!$B$43,('2 MEDIA ALTURA'!N16*4)/160,0)*'2 MEDIA ALTURA'!N$35</f>
        <v>0</v>
      </c>
      <c r="DB76" s="855"/>
    </row>
    <row r="77" spans="1:150" x14ac:dyDescent="0.35">
      <c r="B77" s="860"/>
      <c r="C77" s="855" t="s">
        <v>793</v>
      </c>
      <c r="D77" s="855"/>
      <c r="E77" s="855"/>
      <c r="F77" s="855"/>
      <c r="G77" s="855"/>
      <c r="H77" s="855"/>
      <c r="I77" s="855"/>
      <c r="J77" s="855"/>
      <c r="K77" s="855"/>
      <c r="L77" s="855"/>
      <c r="M77" s="855"/>
      <c r="N77" s="855"/>
      <c r="O77" s="855"/>
      <c r="P77" s="777">
        <f>IF(SUM(AC76:AC88)&gt;0,1,0)*'2 MEDIA ALTURA'!C$35*2</f>
        <v>0</v>
      </c>
      <c r="Q77" s="777">
        <f>IF(SUM(AD76:AD88)&gt;0,1,0)*'2 MEDIA ALTURA'!D$35*2</f>
        <v>0</v>
      </c>
      <c r="R77" s="777">
        <f>IF(SUM(AE76:AE88)&gt;0,1,0)*'2 MEDIA ALTURA'!E$35*2</f>
        <v>0</v>
      </c>
      <c r="S77" s="777">
        <f>IF(SUM(AF76:AF88)&gt;0,1,0)*'2 MEDIA ALTURA'!F$35*2</f>
        <v>0</v>
      </c>
      <c r="T77" s="777">
        <f>IF(SUM(AG76:AG88)&gt;0,1,0)*'2 MEDIA ALTURA'!G$35*2</f>
        <v>0</v>
      </c>
      <c r="U77" s="777">
        <f>IF(SUM(AH76:AH88)&gt;0,1,0)*'2 MEDIA ALTURA'!H$35*2</f>
        <v>0</v>
      </c>
      <c r="V77" s="777">
        <f>IF(SUM(AI76:AI88)&gt;0,1,0)*'2 MEDIA ALTURA'!I$35*2</f>
        <v>0</v>
      </c>
      <c r="W77" s="777">
        <f>IF(SUM(AJ76:AJ88)&gt;0,1,0)*'2 MEDIA ALTURA'!J$35*2</f>
        <v>0</v>
      </c>
      <c r="X77" s="777">
        <f>IF(SUM(AK76:AK88)&gt;0,1,0)*'2 MEDIA ALTURA'!K$35*2</f>
        <v>0</v>
      </c>
      <c r="Y77" s="777">
        <f>IF(SUM(AL76:AL88)&gt;0,1,0)*'2 MEDIA ALTURA'!L$35*2</f>
        <v>0</v>
      </c>
      <c r="Z77" s="777">
        <f>IF(SUM(AM76:AM88)&gt;0,1,0)*'2 MEDIA ALTURA'!M$35*2</f>
        <v>0</v>
      </c>
      <c r="AA77" s="777">
        <f>IF(SUM(AN76:AN88)&gt;0,1,0)*'2 MEDIA ALTURA'!N$35*2</f>
        <v>0</v>
      </c>
      <c r="AB77" s="839">
        <f>SUM(P77:AA77,P131:AA131)</f>
        <v>0</v>
      </c>
      <c r="AC77" s="838"/>
      <c r="AD77" s="838"/>
      <c r="AE77" s="838"/>
      <c r="AF77" s="838"/>
      <c r="AG77" s="838"/>
      <c r="AH77" s="838"/>
      <c r="AI77" s="838"/>
      <c r="AJ77" s="838"/>
      <c r="AK77" s="838"/>
      <c r="AL77" s="838"/>
      <c r="AM77" s="838"/>
      <c r="AN77" s="838"/>
      <c r="AO77" s="838"/>
      <c r="AP77" s="678"/>
      <c r="AQ77" s="859"/>
      <c r="AR77" s="859"/>
      <c r="AS77" s="859"/>
      <c r="AT77" s="859"/>
      <c r="AU77" s="859"/>
      <c r="AV77" s="859"/>
      <c r="AW77" s="859"/>
      <c r="AX77" s="859"/>
      <c r="AY77" s="859"/>
      <c r="AZ77" s="859"/>
      <c r="BA77" s="859"/>
      <c r="BB77" s="838"/>
      <c r="BC77" s="678"/>
      <c r="BD77" s="678"/>
      <c r="BE77" s="678"/>
      <c r="BF77" s="678"/>
      <c r="BG77" s="678"/>
      <c r="BH77" s="678"/>
      <c r="BI77" s="678"/>
      <c r="BJ77" s="678"/>
      <c r="BK77" s="678"/>
      <c r="BL77" s="678"/>
      <c r="BM77" s="678"/>
      <c r="BN77" s="678"/>
      <c r="BO77" s="855"/>
      <c r="BP77" s="678"/>
      <c r="BQ77" s="678"/>
      <c r="BR77" s="678"/>
      <c r="BS77" s="678"/>
      <c r="BT77" s="678"/>
      <c r="BU77" s="678"/>
      <c r="BV77" s="678"/>
      <c r="BW77" s="678"/>
      <c r="BX77" s="678"/>
      <c r="BY77" s="678"/>
      <c r="BZ77" s="678"/>
      <c r="CA77" s="678"/>
      <c r="CB77" s="855"/>
      <c r="CC77" s="678"/>
      <c r="CD77" s="678"/>
      <c r="CE77" s="678"/>
      <c r="CF77" s="678"/>
      <c r="CG77" s="678"/>
      <c r="CH77" s="678"/>
      <c r="CI77" s="678"/>
      <c r="CJ77" s="678"/>
      <c r="CK77" s="678"/>
      <c r="CL77" s="678"/>
      <c r="CM77" s="678"/>
      <c r="CN77" s="678"/>
      <c r="CO77" s="855"/>
      <c r="CP77" s="678"/>
      <c r="CQ77" s="678"/>
      <c r="CR77" s="678"/>
      <c r="CS77" s="678"/>
      <c r="CT77" s="678"/>
      <c r="CU77" s="678"/>
      <c r="CV77" s="678"/>
      <c r="CW77" s="678"/>
      <c r="CX77" s="678"/>
      <c r="CY77" s="678"/>
      <c r="CZ77" s="678"/>
      <c r="DA77" s="678"/>
      <c r="DB77" s="855"/>
    </row>
    <row r="78" spans="1:150" x14ac:dyDescent="0.35">
      <c r="B78" s="678"/>
      <c r="C78" s="838">
        <f>IF('2 MEDIA ALTURA'!C$33=175,1,0)*'2 MEDIA ALTURA'!C$35</f>
        <v>0</v>
      </c>
      <c r="D78" s="838">
        <f>IF('2 MEDIA ALTURA'!D$33=175,1,0)*'2 MEDIA ALTURA'!D$35</f>
        <v>0</v>
      </c>
      <c r="E78" s="838">
        <f>IF('2 MEDIA ALTURA'!E$33=175,1,0)*'2 MEDIA ALTURA'!E$35</f>
        <v>0</v>
      </c>
      <c r="F78" s="838">
        <f>IF('2 MEDIA ALTURA'!F$33=175,1,0)*'2 MEDIA ALTURA'!F$35</f>
        <v>0</v>
      </c>
      <c r="G78" s="838">
        <f>IF('2 MEDIA ALTURA'!G$33=175,1,0)*'2 MEDIA ALTURA'!G$35</f>
        <v>0</v>
      </c>
      <c r="H78" s="838">
        <f>IF('2 MEDIA ALTURA'!H$33=175,1,0)*'2 MEDIA ALTURA'!H$35</f>
        <v>0</v>
      </c>
      <c r="I78" s="838">
        <f>IF('2 MEDIA ALTURA'!I$33=175,1,0)*'2 MEDIA ALTURA'!I$35</f>
        <v>0</v>
      </c>
      <c r="J78" s="838">
        <f>IF('2 MEDIA ALTURA'!J$33=175,1,0)*'2 MEDIA ALTURA'!J$35</f>
        <v>0</v>
      </c>
      <c r="K78" s="838">
        <f>IF('2 MEDIA ALTURA'!K$33=175,1,0)*'2 MEDIA ALTURA'!K$35</f>
        <v>0</v>
      </c>
      <c r="L78" s="838">
        <f>IF('2 MEDIA ALTURA'!L$33=175,1,0)*'2 MEDIA ALTURA'!L$35</f>
        <v>0</v>
      </c>
      <c r="M78" s="838">
        <f>IF('2 MEDIA ALTURA'!M$33=175,1,0)*'2 MEDIA ALTURA'!M$35</f>
        <v>0</v>
      </c>
      <c r="N78" s="838">
        <f>IF('2 MEDIA ALTURA'!N$33=175,1,0)*'2 MEDIA ALTURA'!N$35</f>
        <v>0</v>
      </c>
      <c r="O78" s="844">
        <f>SUM(C78:N78)</f>
        <v>0</v>
      </c>
      <c r="P78" s="838">
        <f>IF(AC78&gt;0,IF(AC76&gt;0,1,0))*'2 MEDIA ALTURA'!C$35</f>
        <v>0</v>
      </c>
      <c r="Q78" s="838">
        <f>IF(AD78&gt;0,IF(AD76&gt;0,1,0))*'2 MEDIA ALTURA'!D$35</f>
        <v>0</v>
      </c>
      <c r="R78" s="838">
        <f>IF(AE78&gt;0,IF(AE76&gt;0,1,0))*'2 MEDIA ALTURA'!E$35</f>
        <v>0</v>
      </c>
      <c r="S78" s="838">
        <f>IF(AF78&gt;0,IF(AF76&gt;0,1,0))*'2 MEDIA ALTURA'!F$35</f>
        <v>0</v>
      </c>
      <c r="T78" s="838">
        <f>IF(AG78&gt;0,IF(AG76&gt;0,1,0))*'2 MEDIA ALTURA'!G$35</f>
        <v>0</v>
      </c>
      <c r="U78" s="838">
        <f>IF(AH78&gt;0,IF(AH76&gt;0,1,0))*'2 MEDIA ALTURA'!H$35</f>
        <v>0</v>
      </c>
      <c r="V78" s="838">
        <f>IF(AI78&gt;0,IF(AI76&gt;0,1,0))*'2 MEDIA ALTURA'!I$35</f>
        <v>0</v>
      </c>
      <c r="W78" s="838">
        <f>IF(AJ78&gt;0,IF(AJ76&gt;0,1,0))*'2 MEDIA ALTURA'!J$35</f>
        <v>0</v>
      </c>
      <c r="X78" s="838">
        <f>IF(AK78&gt;0,IF(AK76&gt;0,1,0))*'2 MEDIA ALTURA'!K$35</f>
        <v>0</v>
      </c>
      <c r="Y78" s="838">
        <f>IF(AL78&gt;0,IF(AL76&gt;0,1,0))*'2 MEDIA ALTURA'!L$35</f>
        <v>0</v>
      </c>
      <c r="Z78" s="838">
        <f>IF(AM78&gt;0,IF(AM76&gt;0,1,0))*'2 MEDIA ALTURA'!M$35</f>
        <v>0</v>
      </c>
      <c r="AA78" s="838">
        <f>IF(AN78&gt;0,IF(AN76&gt;0,1,0))*'2 MEDIA ALTURA'!N$35</f>
        <v>0</v>
      </c>
      <c r="AB78" s="839">
        <f>SUM(P78:AA88,P132:AA142)</f>
        <v>0</v>
      </c>
      <c r="AC78" s="838">
        <f>IF(OR('2 MEDIA ALTURA'!C19="V",'2 MEDIA ALTURA'!C19="VT",'2 MEDIA ALTURA'!C19="VSB",'2 MEDIA ALTURA'!C19="VTT"),1,0)*'2 MEDIA ALTURA'!C$35</f>
        <v>0</v>
      </c>
      <c r="AD78" s="838">
        <f>IF(OR('2 MEDIA ALTURA'!D19="V",'2 MEDIA ALTURA'!D19="VT",'2 MEDIA ALTURA'!D19="VSB",'2 MEDIA ALTURA'!D19="VTT"),1,0)*'2 MEDIA ALTURA'!D$35</f>
        <v>0</v>
      </c>
      <c r="AE78" s="838">
        <f>IF(OR('2 MEDIA ALTURA'!E19="V",'2 MEDIA ALTURA'!E19="VT",'2 MEDIA ALTURA'!E19="VSB",'2 MEDIA ALTURA'!E19="VTT"),1,0)*'2 MEDIA ALTURA'!E$35</f>
        <v>0</v>
      </c>
      <c r="AF78" s="838">
        <f>IF(OR('2 MEDIA ALTURA'!F19="V",'2 MEDIA ALTURA'!F19="VT",'2 MEDIA ALTURA'!F19="VSB",'2 MEDIA ALTURA'!F19="VTT"),1,0)*'2 MEDIA ALTURA'!F$35</f>
        <v>0</v>
      </c>
      <c r="AG78" s="838">
        <f>IF(OR('2 MEDIA ALTURA'!G19="V",'2 MEDIA ALTURA'!G19="VT",'2 MEDIA ALTURA'!G19="VSB",'2 MEDIA ALTURA'!G19="VTT"),1,0)*'2 MEDIA ALTURA'!G$35</f>
        <v>0</v>
      </c>
      <c r="AH78" s="838">
        <f>IF(OR('2 MEDIA ALTURA'!H19="V",'2 MEDIA ALTURA'!H19="VT",'2 MEDIA ALTURA'!H19="VSB",'2 MEDIA ALTURA'!H19="VTT"),1,0)*'2 MEDIA ALTURA'!H$35</f>
        <v>0</v>
      </c>
      <c r="AI78" s="838">
        <f>IF(OR('2 MEDIA ALTURA'!I19="V",'2 MEDIA ALTURA'!I19="VT",'2 MEDIA ALTURA'!I19="VSB",'2 MEDIA ALTURA'!I19="VTT"),1,0)*'2 MEDIA ALTURA'!I$35</f>
        <v>0</v>
      </c>
      <c r="AJ78" s="838">
        <f>IF(OR('2 MEDIA ALTURA'!J19="V",'2 MEDIA ALTURA'!J19="VT",'2 MEDIA ALTURA'!J19="VSB",'2 MEDIA ALTURA'!J19="VTT"),1,0)*'2 MEDIA ALTURA'!J$35</f>
        <v>0</v>
      </c>
      <c r="AK78" s="838">
        <f>IF(OR('2 MEDIA ALTURA'!K19="V",'2 MEDIA ALTURA'!K19="VT",'2 MEDIA ALTURA'!K19="VSB",'2 MEDIA ALTURA'!K19="VTT"),1,0)*'2 MEDIA ALTURA'!K$35</f>
        <v>0</v>
      </c>
      <c r="AL78" s="838">
        <f>IF(OR('2 MEDIA ALTURA'!L19="V",'2 MEDIA ALTURA'!L19="VT",'2 MEDIA ALTURA'!L19="VSB",'2 MEDIA ALTURA'!L19="VTT"),1,0)*'2 MEDIA ALTURA'!L$35</f>
        <v>0</v>
      </c>
      <c r="AM78" s="838">
        <f>IF(OR('2 MEDIA ALTURA'!M19="V",'2 MEDIA ALTURA'!M19="VT",'2 MEDIA ALTURA'!M19="VSB",'2 MEDIA ALTURA'!M19="VTT"),1,0)*'2 MEDIA ALTURA'!M$35</f>
        <v>0</v>
      </c>
      <c r="AN78" s="838">
        <f>IF(OR('2 MEDIA ALTURA'!N19="V",'2 MEDIA ALTURA'!N19="VT",'2 MEDIA ALTURA'!N19="VSB",'2 MEDIA ALTURA'!N19="VTT"),1,0)*'2 MEDIA ALTURA'!N$35</f>
        <v>0</v>
      </c>
      <c r="AO78" s="838"/>
      <c r="AP78" s="845">
        <f>IF(OR(BC78&gt;0,BP78&gt;0,CC78&gt;0,CP78,0),IF(OR(CC76&gt;0,BP76&gt;0,BC76&gt;0,CP76,0),'2 MEDIA ALTURA'!C$35*'2 MEDIA ALTURA'!C$34,0))/100</f>
        <v>0</v>
      </c>
      <c r="AQ78" s="845">
        <f>IF(OR(BD78&gt;0,BQ78&gt;0,CD78&gt;0,CQ78,0),IF(OR(CD76&gt;0,BQ76&gt;0,BD76&gt;0,CQ76,0),'2 MEDIA ALTURA'!D$35*'2 MEDIA ALTURA'!D$34,0))/100</f>
        <v>0</v>
      </c>
      <c r="AR78" s="845">
        <f>IF(OR(BE78&gt;0,BR78&gt;0,CE78&gt;0,CR78,0),IF(OR(CE76&gt;0,BR76&gt;0,BE76&gt;0,CR76,0),'2 MEDIA ALTURA'!E$35*'2 MEDIA ALTURA'!E$34,0))/100</f>
        <v>0</v>
      </c>
      <c r="AS78" s="845">
        <f>IF(OR(BF78&gt;0,BS78&gt;0,CF78&gt;0,CS78,0),IF(OR(CF76&gt;0,BS76&gt;0,BF76&gt;0,CS76,0),'2 MEDIA ALTURA'!F$35*'2 MEDIA ALTURA'!F$34,0))/100</f>
        <v>0</v>
      </c>
      <c r="AT78" s="845">
        <f>IF(OR(BG78&gt;0,BT78&gt;0,CG78&gt;0,CT78,0),IF(OR(CG76&gt;0,BT76&gt;0,BG76&gt;0,CT76,0),'2 MEDIA ALTURA'!G$35*'2 MEDIA ALTURA'!G$34,0))/100</f>
        <v>0</v>
      </c>
      <c r="AU78" s="845">
        <f>IF(OR(BH78&gt;0,BU78&gt;0,CH78&gt;0,CU78,0),IF(OR(CH76&gt;0,BU76&gt;0,BH76&gt;0,CU76,0),'2 MEDIA ALTURA'!H$35*'2 MEDIA ALTURA'!H$34,0))/100</f>
        <v>0</v>
      </c>
      <c r="AV78" s="845">
        <f>IF(OR(BI78&gt;0,BV78&gt;0,CI78&gt;0,CV78,0),IF(OR(CI76&gt;0,BV76&gt;0,BI76&gt;0,CV76,0),'2 MEDIA ALTURA'!I$35*'2 MEDIA ALTURA'!I$34,0))/100</f>
        <v>0</v>
      </c>
      <c r="AW78" s="845">
        <f>IF(OR(BJ78&gt;0,BW78&gt;0,CJ78&gt;0,CW78,0),IF(OR(CJ76&gt;0,BW76&gt;0,BJ76&gt;0,CW76,0),'2 MEDIA ALTURA'!J$35*'2 MEDIA ALTURA'!J$34,0))/100</f>
        <v>0</v>
      </c>
      <c r="AX78" s="845">
        <f>IF(OR(BK78&gt;0,BX78&gt;0,CK78&gt;0,CX78,0),IF(OR(CK76&gt;0,BX76&gt;0,BK76&gt;0,CX76,0),'2 MEDIA ALTURA'!K$35*'2 MEDIA ALTURA'!K$34,0))/100</f>
        <v>0</v>
      </c>
      <c r="AY78" s="845">
        <f>IF(OR(BL78&gt;0,BY78&gt;0,CL78&gt;0,CY78,0),IF(OR(CL76&gt;0,BY76&gt;0,BL76&gt;0,CY76,0),'2 MEDIA ALTURA'!L$35*'2 MEDIA ALTURA'!L$34,0))/100</f>
        <v>0</v>
      </c>
      <c r="AZ78" s="845">
        <f>IF(OR(BM78&gt;0,BZ78&gt;0,CM78&gt;0,CZ78,0),IF(OR(CM76&gt;0,BZ76&gt;0,BM76&gt;0,CZ76,0),'2 MEDIA ALTURA'!M$35*'2 MEDIA ALTURA'!M$34,0))/100</f>
        <v>0</v>
      </c>
      <c r="BA78" s="845">
        <f>IF(OR(BN78&gt;0,CA78&gt;0,CN78&gt;0,DA78,0),IF(OR(CN76&gt;0,CA76&gt;0,BN76&gt;0,DA76,0),'2 MEDIA ALTURA'!N$35*'2 MEDIA ALTURA'!N$34,0))/100</f>
        <v>0</v>
      </c>
      <c r="BB78" s="838"/>
      <c r="BC78" s="845">
        <f>IF('2 MEDIA ALTURA'!C19='2 MEDIA ALTURA'!$B$40,('2 MEDIA ALTURA'!C18*4)/160,0)*'2 MEDIA ALTURA'!C$35</f>
        <v>0</v>
      </c>
      <c r="BD78" s="845">
        <f>IF('2 MEDIA ALTURA'!D19='2 MEDIA ALTURA'!$B$40,('2 MEDIA ALTURA'!D18*4)/160,0)*'2 MEDIA ALTURA'!D$35</f>
        <v>0</v>
      </c>
      <c r="BE78" s="845">
        <f>IF('2 MEDIA ALTURA'!E19='2 MEDIA ALTURA'!$B$40,('2 MEDIA ALTURA'!E18*4)/160,0)*'2 MEDIA ALTURA'!E$35</f>
        <v>0</v>
      </c>
      <c r="BF78" s="845">
        <f>IF('2 MEDIA ALTURA'!F19='2 MEDIA ALTURA'!$B$40,('2 MEDIA ALTURA'!F18*4)/160,0)*'2 MEDIA ALTURA'!F$35</f>
        <v>0</v>
      </c>
      <c r="BG78" s="845">
        <f>IF('2 MEDIA ALTURA'!G19='2 MEDIA ALTURA'!$B$40,('2 MEDIA ALTURA'!G18*4)/160,0)*'2 MEDIA ALTURA'!G$35</f>
        <v>0</v>
      </c>
      <c r="BH78" s="845">
        <f>IF('2 MEDIA ALTURA'!H19='2 MEDIA ALTURA'!$B$40,('2 MEDIA ALTURA'!H18*4)/160,0)*'2 MEDIA ALTURA'!H$35</f>
        <v>0</v>
      </c>
      <c r="BI78" s="845">
        <f>IF('2 MEDIA ALTURA'!I19='2 MEDIA ALTURA'!$B$40,('2 MEDIA ALTURA'!I18*4)/160,0)*'2 MEDIA ALTURA'!I$35</f>
        <v>0</v>
      </c>
      <c r="BJ78" s="845">
        <f>IF('2 MEDIA ALTURA'!J19='2 MEDIA ALTURA'!$B$40,('2 MEDIA ALTURA'!J18*4)/160,0)*'2 MEDIA ALTURA'!J$35</f>
        <v>0</v>
      </c>
      <c r="BK78" s="845">
        <f>IF('2 MEDIA ALTURA'!K19='2 MEDIA ALTURA'!$B$40,('2 MEDIA ALTURA'!K18*4)/160,0)*'2 MEDIA ALTURA'!K$35</f>
        <v>0</v>
      </c>
      <c r="BL78" s="845">
        <f>IF('2 MEDIA ALTURA'!L19='2 MEDIA ALTURA'!$B$40,('2 MEDIA ALTURA'!L18*4)/160,0)*'2 MEDIA ALTURA'!L$35</f>
        <v>0</v>
      </c>
      <c r="BM78" s="845">
        <f>IF('2 MEDIA ALTURA'!M19='2 MEDIA ALTURA'!$B$40,('2 MEDIA ALTURA'!M18*4)/160,0)*'2 MEDIA ALTURA'!M$35</f>
        <v>0</v>
      </c>
      <c r="BN78" s="845">
        <f>IF('2 MEDIA ALTURA'!N19='2 MEDIA ALTURA'!$B$40,('2 MEDIA ALTURA'!N18*4)/160,0)*'2 MEDIA ALTURA'!N$35</f>
        <v>0</v>
      </c>
      <c r="BO78" s="838"/>
      <c r="BP78" s="845">
        <f>IF('2 MEDIA ALTURA'!C19='2 MEDIA ALTURA'!$B$41,('2 MEDIA ALTURA'!C18*4)/160,0)*'2 MEDIA ALTURA'!C$35</f>
        <v>0</v>
      </c>
      <c r="BQ78" s="845">
        <f>IF('2 MEDIA ALTURA'!D19='2 MEDIA ALTURA'!$B$41,('2 MEDIA ALTURA'!D18*4)/160,0)*'2 MEDIA ALTURA'!D$35</f>
        <v>0</v>
      </c>
      <c r="BR78" s="845">
        <f>IF('2 MEDIA ALTURA'!E19='2 MEDIA ALTURA'!$B$41,('2 MEDIA ALTURA'!E18*4)/160,0)*'2 MEDIA ALTURA'!E$35</f>
        <v>0</v>
      </c>
      <c r="BS78" s="845">
        <f>IF('2 MEDIA ALTURA'!F19='2 MEDIA ALTURA'!$B$41,('2 MEDIA ALTURA'!F18*4)/160,0)*'2 MEDIA ALTURA'!F$35</f>
        <v>0</v>
      </c>
      <c r="BT78" s="845">
        <f>IF('2 MEDIA ALTURA'!G19='2 MEDIA ALTURA'!$B$41,('2 MEDIA ALTURA'!G18*4)/160,0)*'2 MEDIA ALTURA'!G$35</f>
        <v>0</v>
      </c>
      <c r="BU78" s="845">
        <f>IF('2 MEDIA ALTURA'!H19='2 MEDIA ALTURA'!$B$41,('2 MEDIA ALTURA'!H18*4)/160,0)*'2 MEDIA ALTURA'!H$35</f>
        <v>0</v>
      </c>
      <c r="BV78" s="845">
        <f>IF('2 MEDIA ALTURA'!I19='2 MEDIA ALTURA'!$B$41,('2 MEDIA ALTURA'!I18*4)/160,0)*'2 MEDIA ALTURA'!I$35</f>
        <v>0</v>
      </c>
      <c r="BW78" s="845">
        <f>IF('2 MEDIA ALTURA'!J19='2 MEDIA ALTURA'!$B$41,('2 MEDIA ALTURA'!J18*4)/160,0)*'2 MEDIA ALTURA'!J$35</f>
        <v>0</v>
      </c>
      <c r="BX78" s="845">
        <f>IF('2 MEDIA ALTURA'!K19='2 MEDIA ALTURA'!$B$41,('2 MEDIA ALTURA'!K18*4)/160,0)*'2 MEDIA ALTURA'!K$35</f>
        <v>0</v>
      </c>
      <c r="BY78" s="845">
        <f>IF('2 MEDIA ALTURA'!L19='2 MEDIA ALTURA'!$B$41,('2 MEDIA ALTURA'!L18*4)/160,0)*'2 MEDIA ALTURA'!L$35</f>
        <v>0</v>
      </c>
      <c r="BZ78" s="845">
        <f>IF('2 MEDIA ALTURA'!M19='2 MEDIA ALTURA'!$B$41,('2 MEDIA ALTURA'!M18*4)/160,0)*'2 MEDIA ALTURA'!M$35</f>
        <v>0</v>
      </c>
      <c r="CA78" s="845">
        <f>IF('2 MEDIA ALTURA'!N19='2 MEDIA ALTURA'!$B$41,('2 MEDIA ALTURA'!N18*4)/160,0)*'2 MEDIA ALTURA'!N$35</f>
        <v>0</v>
      </c>
      <c r="CB78" s="838"/>
      <c r="CC78" s="845">
        <f>IF('2 MEDIA ALTURA'!C19='2 MEDIA ALTURA'!$B$42,('2 MEDIA ALTURA'!C18*4)/160,0)*'2 MEDIA ALTURA'!C$35</f>
        <v>0</v>
      </c>
      <c r="CD78" s="845">
        <f>IF('2 MEDIA ALTURA'!D19='2 MEDIA ALTURA'!$B$42,('2 MEDIA ALTURA'!D18*4)/160,0)*'2 MEDIA ALTURA'!D$35</f>
        <v>0</v>
      </c>
      <c r="CE78" s="845">
        <f>IF('2 MEDIA ALTURA'!E19='2 MEDIA ALTURA'!$B$42,('2 MEDIA ALTURA'!E18*4)/160,0)*'2 MEDIA ALTURA'!E$35</f>
        <v>0</v>
      </c>
      <c r="CF78" s="845">
        <f>IF('2 MEDIA ALTURA'!F19='2 MEDIA ALTURA'!$B$42,('2 MEDIA ALTURA'!F18*4)/160,0)*'2 MEDIA ALTURA'!F$35</f>
        <v>0</v>
      </c>
      <c r="CG78" s="845">
        <f>IF('2 MEDIA ALTURA'!G19='2 MEDIA ALTURA'!$B$42,('2 MEDIA ALTURA'!G18*4)/160,0)*'2 MEDIA ALTURA'!G$35</f>
        <v>0</v>
      </c>
      <c r="CH78" s="845">
        <f>IF('2 MEDIA ALTURA'!H19='2 MEDIA ALTURA'!$B$42,('2 MEDIA ALTURA'!H18*4)/160,0)*'2 MEDIA ALTURA'!H$35</f>
        <v>0</v>
      </c>
      <c r="CI78" s="845">
        <f>IF('2 MEDIA ALTURA'!I19='2 MEDIA ALTURA'!$B$42,('2 MEDIA ALTURA'!I18*4)/160,0)*'2 MEDIA ALTURA'!I$35</f>
        <v>0</v>
      </c>
      <c r="CJ78" s="845">
        <f>IF('2 MEDIA ALTURA'!J19='2 MEDIA ALTURA'!$B$42,('2 MEDIA ALTURA'!J18*4)/160,0)*'2 MEDIA ALTURA'!J$35</f>
        <v>0</v>
      </c>
      <c r="CK78" s="845">
        <f>IF('2 MEDIA ALTURA'!K19='2 MEDIA ALTURA'!$B$42,('2 MEDIA ALTURA'!K18*4)/160,0)*'2 MEDIA ALTURA'!K$35</f>
        <v>0</v>
      </c>
      <c r="CL78" s="845">
        <f>IF('2 MEDIA ALTURA'!L19='2 MEDIA ALTURA'!$B$42,('2 MEDIA ALTURA'!L18*4)/160,0)*'2 MEDIA ALTURA'!L$35</f>
        <v>0</v>
      </c>
      <c r="CM78" s="845">
        <f>IF('2 MEDIA ALTURA'!M19='2 MEDIA ALTURA'!$B$42,('2 MEDIA ALTURA'!M18*4)/160,0)*'2 MEDIA ALTURA'!M$35</f>
        <v>0</v>
      </c>
      <c r="CN78" s="845">
        <f>IF('2 MEDIA ALTURA'!N19='2 MEDIA ALTURA'!$B$42,('2 MEDIA ALTURA'!N18*4)/160,0)*'2 MEDIA ALTURA'!N$35</f>
        <v>0</v>
      </c>
      <c r="CO78" s="838"/>
      <c r="CP78" s="845">
        <f>IF('2 MEDIA ALTURA'!C19='2 MEDIA ALTURA'!$B$43,('2 MEDIA ALTURA'!C18*4)/160,0)*'2 MEDIA ALTURA'!C$35</f>
        <v>0</v>
      </c>
      <c r="CQ78" s="845">
        <f>IF('2 MEDIA ALTURA'!D19='2 MEDIA ALTURA'!$B$43,('2 MEDIA ALTURA'!D18*4)/160,0)*'2 MEDIA ALTURA'!D$35</f>
        <v>0</v>
      </c>
      <c r="CR78" s="845">
        <f>IF('2 MEDIA ALTURA'!E19='2 MEDIA ALTURA'!$B$43,('2 MEDIA ALTURA'!E18*4)/160,0)*'2 MEDIA ALTURA'!E$35</f>
        <v>0</v>
      </c>
      <c r="CS78" s="845">
        <f>IF('2 MEDIA ALTURA'!F19='2 MEDIA ALTURA'!$B$43,('2 MEDIA ALTURA'!F18*4)/160,0)*'2 MEDIA ALTURA'!F$35</f>
        <v>0</v>
      </c>
      <c r="CT78" s="845">
        <f>IF('2 MEDIA ALTURA'!G19='2 MEDIA ALTURA'!$B$43,('2 MEDIA ALTURA'!G18*4)/160,0)*'2 MEDIA ALTURA'!G$35</f>
        <v>0</v>
      </c>
      <c r="CU78" s="845">
        <f>IF('2 MEDIA ALTURA'!H19='2 MEDIA ALTURA'!$B$43,('2 MEDIA ALTURA'!H18*4)/160,0)*'2 MEDIA ALTURA'!H$35</f>
        <v>0</v>
      </c>
      <c r="CV78" s="845">
        <f>IF('2 MEDIA ALTURA'!I19='2 MEDIA ALTURA'!$B$43,('2 MEDIA ALTURA'!I18*4)/160,0)*'2 MEDIA ALTURA'!I$35</f>
        <v>0</v>
      </c>
      <c r="CW78" s="845">
        <f>IF('2 MEDIA ALTURA'!J19='2 MEDIA ALTURA'!$B$43,('2 MEDIA ALTURA'!J18*4)/160,0)*'2 MEDIA ALTURA'!J$35</f>
        <v>0</v>
      </c>
      <c r="CX78" s="845">
        <f>IF('2 MEDIA ALTURA'!K19='2 MEDIA ALTURA'!$B$43,('2 MEDIA ALTURA'!K18*4)/160,0)*'2 MEDIA ALTURA'!K$35</f>
        <v>0</v>
      </c>
      <c r="CY78" s="845">
        <f>IF('2 MEDIA ALTURA'!L19='2 MEDIA ALTURA'!$B$43,('2 MEDIA ALTURA'!L18*4)/160,0)*'2 MEDIA ALTURA'!L$35</f>
        <v>0</v>
      </c>
      <c r="CZ78" s="845">
        <f>IF('2 MEDIA ALTURA'!M19='2 MEDIA ALTURA'!$B$43,('2 MEDIA ALTURA'!M18*4)/160,0)*'2 MEDIA ALTURA'!M$35</f>
        <v>0</v>
      </c>
      <c r="DA78" s="845">
        <f>IF('2 MEDIA ALTURA'!N19='2 MEDIA ALTURA'!$B$43,('2 MEDIA ALTURA'!N18*4)/160,0)*'2 MEDIA ALTURA'!N$35</f>
        <v>0</v>
      </c>
      <c r="DB78" s="838"/>
    </row>
    <row r="79" spans="1:150" x14ac:dyDescent="0.35">
      <c r="B79" s="678"/>
      <c r="C79" s="838">
        <f>IF('2 MEDIA ALTURA'!C$33=175,1,0)*'2 MEDIA ALTURA'!C$35</f>
        <v>0</v>
      </c>
      <c r="D79" s="838">
        <f>IF('2 MEDIA ALTURA'!D$33=175,1,0)*'2 MEDIA ALTURA'!D$35</f>
        <v>0</v>
      </c>
      <c r="E79" s="838">
        <f>IF('2 MEDIA ALTURA'!E$33=175,1,0)*'2 MEDIA ALTURA'!E$35</f>
        <v>0</v>
      </c>
      <c r="F79" s="838">
        <f>IF('2 MEDIA ALTURA'!F$33=175,1,0)*'2 MEDIA ALTURA'!F$35</f>
        <v>0</v>
      </c>
      <c r="G79" s="838">
        <f>IF('2 MEDIA ALTURA'!G$33=175,1,0)*'2 MEDIA ALTURA'!G$35</f>
        <v>0</v>
      </c>
      <c r="H79" s="838">
        <f>IF('2 MEDIA ALTURA'!H$33=175,1,0)*'2 MEDIA ALTURA'!H$35</f>
        <v>0</v>
      </c>
      <c r="I79" s="838">
        <f>IF('2 MEDIA ALTURA'!I$33=175,1,0)*'2 MEDIA ALTURA'!I$35</f>
        <v>0</v>
      </c>
      <c r="J79" s="838">
        <f>IF('2 MEDIA ALTURA'!J$33=175,1,0)*'2 MEDIA ALTURA'!J$35</f>
        <v>0</v>
      </c>
      <c r="K79" s="838">
        <f>IF('2 MEDIA ALTURA'!K$33=175,1,0)*'2 MEDIA ALTURA'!K$35</f>
        <v>0</v>
      </c>
      <c r="L79" s="838">
        <f>IF('2 MEDIA ALTURA'!L$33=175,1,0)*'2 MEDIA ALTURA'!L$35</f>
        <v>0</v>
      </c>
      <c r="M79" s="838">
        <f>IF('2 MEDIA ALTURA'!M$33=175,1,0)*'2 MEDIA ALTURA'!M$35</f>
        <v>0</v>
      </c>
      <c r="N79" s="838">
        <f>IF('2 MEDIA ALTURA'!N$33=175,1,0)*'2 MEDIA ALTURA'!N$35</f>
        <v>0</v>
      </c>
      <c r="O79" s="839">
        <f>SUM(C79:N79)</f>
        <v>0</v>
      </c>
      <c r="AB79" s="838"/>
      <c r="AC79" s="838"/>
      <c r="AD79" s="838"/>
      <c r="AE79" s="838"/>
      <c r="AF79" s="838"/>
      <c r="AG79" s="838"/>
      <c r="AH79" s="838"/>
      <c r="AI79" s="838"/>
      <c r="AJ79" s="838"/>
      <c r="AK79" s="838"/>
      <c r="AL79" s="838"/>
      <c r="AM79" s="838"/>
      <c r="AN79" s="838"/>
      <c r="AO79" s="838"/>
      <c r="AP79" s="855"/>
      <c r="AQ79" s="855"/>
      <c r="AR79" s="855"/>
      <c r="AS79" s="855"/>
      <c r="AT79" s="855"/>
      <c r="AU79" s="855"/>
      <c r="AV79" s="855"/>
      <c r="AW79" s="855"/>
      <c r="AX79" s="855"/>
      <c r="AY79" s="855"/>
      <c r="AZ79" s="855"/>
      <c r="BA79" s="855"/>
      <c r="BB79" s="838"/>
      <c r="BC79" s="855"/>
      <c r="BD79" s="855"/>
      <c r="BE79" s="855"/>
      <c r="BF79" s="855"/>
      <c r="BG79" s="855"/>
      <c r="BH79" s="855"/>
      <c r="BI79" s="855"/>
      <c r="BJ79" s="855"/>
      <c r="BK79" s="855"/>
      <c r="BL79" s="855"/>
      <c r="BM79" s="855"/>
      <c r="BN79" s="855"/>
      <c r="BO79" s="838"/>
      <c r="CB79" s="838"/>
      <c r="CO79" s="838"/>
      <c r="DB79" s="838"/>
    </row>
    <row r="80" spans="1:150" x14ac:dyDescent="0.35">
      <c r="B80" s="678"/>
      <c r="C80" s="838">
        <f>IF('2 MEDIA ALTURA'!C$33=175,1,0)*'2 MEDIA ALTURA'!C$35</f>
        <v>0</v>
      </c>
      <c r="D80" s="838">
        <f>IF('2 MEDIA ALTURA'!D$33=175,1,0)*'2 MEDIA ALTURA'!D$35</f>
        <v>0</v>
      </c>
      <c r="E80" s="838">
        <f>IF('2 MEDIA ALTURA'!E$33=175,1,0)*'2 MEDIA ALTURA'!E$35</f>
        <v>0</v>
      </c>
      <c r="F80" s="838">
        <f>IF('2 MEDIA ALTURA'!F$33=175,1,0)*'2 MEDIA ALTURA'!F$35</f>
        <v>0</v>
      </c>
      <c r="G80" s="838">
        <f>IF('2 MEDIA ALTURA'!G$33=175,1,0)*'2 MEDIA ALTURA'!G$35</f>
        <v>0</v>
      </c>
      <c r="H80" s="838">
        <f>IF('2 MEDIA ALTURA'!H$33=175,1,0)*'2 MEDIA ALTURA'!H$35</f>
        <v>0</v>
      </c>
      <c r="I80" s="838">
        <f>IF('2 MEDIA ALTURA'!I$33=175,1,0)*'2 MEDIA ALTURA'!I$35</f>
        <v>0</v>
      </c>
      <c r="J80" s="838">
        <f>IF('2 MEDIA ALTURA'!J$33=175,1,0)*'2 MEDIA ALTURA'!J$35</f>
        <v>0</v>
      </c>
      <c r="K80" s="838">
        <f>IF('2 MEDIA ALTURA'!K$33=175,1,0)*'2 MEDIA ALTURA'!K$35</f>
        <v>0</v>
      </c>
      <c r="L80" s="838">
        <f>IF('2 MEDIA ALTURA'!L$33=175,1,0)*'2 MEDIA ALTURA'!L$35</f>
        <v>0</v>
      </c>
      <c r="M80" s="838">
        <f>IF('2 MEDIA ALTURA'!M$33=175,1,0)*'2 MEDIA ALTURA'!M$35</f>
        <v>0</v>
      </c>
      <c r="N80" s="838">
        <f>IF('2 MEDIA ALTURA'!N$33=175,1,0)*'2 MEDIA ALTURA'!N$35</f>
        <v>0</v>
      </c>
      <c r="O80" s="839">
        <f>SUM(C80:N80)</f>
        <v>0</v>
      </c>
      <c r="P80" s="838">
        <f>IF(AC80&gt;0,IF(AC78&gt;0,1,0))*'2 MEDIA ALTURA'!C$35</f>
        <v>0</v>
      </c>
      <c r="Q80" s="838">
        <f>IF(AD80&gt;0,IF(AD78&gt;0,1,0))*'2 MEDIA ALTURA'!D$35</f>
        <v>0</v>
      </c>
      <c r="R80" s="838">
        <f>IF(AE80&gt;0,IF(AE78&gt;0,1,0))*'2 MEDIA ALTURA'!E$35</f>
        <v>0</v>
      </c>
      <c r="S80" s="838">
        <f>IF(AF80&gt;0,IF(AF78&gt;0,1,0))*'2 MEDIA ALTURA'!F$35</f>
        <v>0</v>
      </c>
      <c r="T80" s="838">
        <f>IF(AG80&gt;0,IF(AG78&gt;0,1,0))*'2 MEDIA ALTURA'!G$35</f>
        <v>0</v>
      </c>
      <c r="U80" s="838">
        <f>IF(AH80&gt;0,IF(AH78&gt;0,1,0))*'2 MEDIA ALTURA'!H$35</f>
        <v>0</v>
      </c>
      <c r="V80" s="838">
        <f>IF(AI80&gt;0,IF(AI78&gt;0,1,0))*'2 MEDIA ALTURA'!I$35</f>
        <v>0</v>
      </c>
      <c r="W80" s="838">
        <f>IF(AJ80&gt;0,IF(AJ78&gt;0,1,0))*'2 MEDIA ALTURA'!J$35</f>
        <v>0</v>
      </c>
      <c r="X80" s="838">
        <f>IF(AK80&gt;0,IF(AK78&gt;0,1,0))*'2 MEDIA ALTURA'!K$35</f>
        <v>0</v>
      </c>
      <c r="Y80" s="838">
        <f>IF(AL80&gt;0,IF(AL78&gt;0,1,0))*'2 MEDIA ALTURA'!L$35</f>
        <v>0</v>
      </c>
      <c r="Z80" s="838">
        <f>IF(AM80&gt;0,IF(AM78&gt;0,1,0))*'2 MEDIA ALTURA'!M$35</f>
        <v>0</v>
      </c>
      <c r="AA80" s="838">
        <f>IF(AN80&gt;0,IF(AN78&gt;0,1,0))*'2 MEDIA ALTURA'!N$35</f>
        <v>0</v>
      </c>
      <c r="AB80" s="838"/>
      <c r="AC80" s="838">
        <f>IF(OR('2 MEDIA ALTURA'!C21="V",'2 MEDIA ALTURA'!C21="VT",'2 MEDIA ALTURA'!C21="VSB",'2 MEDIA ALTURA'!C21="VTT"),1,0)*'2 MEDIA ALTURA'!C$35</f>
        <v>0</v>
      </c>
      <c r="AD80" s="838">
        <f>IF(OR('2 MEDIA ALTURA'!D21="V",'2 MEDIA ALTURA'!D21="VT",'2 MEDIA ALTURA'!D21="VSB",'2 MEDIA ALTURA'!D21="VTT"),1,0)*'2 MEDIA ALTURA'!D$35</f>
        <v>0</v>
      </c>
      <c r="AE80" s="838">
        <f>IF(OR('2 MEDIA ALTURA'!E21="V",'2 MEDIA ALTURA'!E21="VT",'2 MEDIA ALTURA'!E21="VSB",'2 MEDIA ALTURA'!E21="VTT"),1,0)*'2 MEDIA ALTURA'!E$35</f>
        <v>0</v>
      </c>
      <c r="AF80" s="838">
        <f>IF(OR('2 MEDIA ALTURA'!F21="V",'2 MEDIA ALTURA'!F21="VT",'2 MEDIA ALTURA'!F21="VSB",'2 MEDIA ALTURA'!F21="VTT"),1,0)*'2 MEDIA ALTURA'!F$35</f>
        <v>0</v>
      </c>
      <c r="AG80" s="838">
        <f>IF(OR('2 MEDIA ALTURA'!G21="V",'2 MEDIA ALTURA'!G21="VT",'2 MEDIA ALTURA'!G21="VSB",'2 MEDIA ALTURA'!G21="VTT"),1,0)*'2 MEDIA ALTURA'!G$35</f>
        <v>0</v>
      </c>
      <c r="AH80" s="838">
        <f>IF(OR('2 MEDIA ALTURA'!H21="V",'2 MEDIA ALTURA'!H21="VT",'2 MEDIA ALTURA'!H21="VSB",'2 MEDIA ALTURA'!H21="VTT"),1,0)*'2 MEDIA ALTURA'!H$35</f>
        <v>0</v>
      </c>
      <c r="AI80" s="838">
        <f>IF(OR('2 MEDIA ALTURA'!I21="V",'2 MEDIA ALTURA'!I21="VT",'2 MEDIA ALTURA'!I21="VSB",'2 MEDIA ALTURA'!I21="VTT"),1,0)*'2 MEDIA ALTURA'!I$35</f>
        <v>0</v>
      </c>
      <c r="AJ80" s="838">
        <f>IF(OR('2 MEDIA ALTURA'!J21="V",'2 MEDIA ALTURA'!J21="VT",'2 MEDIA ALTURA'!J21="VSB",'2 MEDIA ALTURA'!J21="VTT"),1,0)*'2 MEDIA ALTURA'!J$35</f>
        <v>0</v>
      </c>
      <c r="AK80" s="838">
        <f>IF(OR('2 MEDIA ALTURA'!K21="V",'2 MEDIA ALTURA'!K21="VT",'2 MEDIA ALTURA'!K21="VSB",'2 MEDIA ALTURA'!K21="VTT"),1,0)*'2 MEDIA ALTURA'!K$35</f>
        <v>0</v>
      </c>
      <c r="AL80" s="838">
        <f>IF(OR('2 MEDIA ALTURA'!L21="V",'2 MEDIA ALTURA'!L21="VT",'2 MEDIA ALTURA'!L21="VSB",'2 MEDIA ALTURA'!L21="VTT"),1,0)*'2 MEDIA ALTURA'!L$35</f>
        <v>0</v>
      </c>
      <c r="AM80" s="838">
        <f>IF(OR('2 MEDIA ALTURA'!M21="V",'2 MEDIA ALTURA'!M21="VT",'2 MEDIA ALTURA'!M21="VSB",'2 MEDIA ALTURA'!M21="VTT"),1,0)*'2 MEDIA ALTURA'!M$35</f>
        <v>0</v>
      </c>
      <c r="AN80" s="838">
        <f>IF(OR('2 MEDIA ALTURA'!N21="V",'2 MEDIA ALTURA'!N21="VT",'2 MEDIA ALTURA'!N21="VSB",'2 MEDIA ALTURA'!N21="VTT"),1,0)*'2 MEDIA ALTURA'!N$35</f>
        <v>0</v>
      </c>
      <c r="AO80" s="838"/>
      <c r="AP80" s="845">
        <f>IF(OR(BC80&gt;0,BP80&gt;0,CC80&gt;0,CP80,0),IF(OR(CC78&gt;0,BP78&gt;0,BC78&gt;0,CP78,0),'2 MEDIA ALTURA'!C$35*'2 MEDIA ALTURA'!C$34,0))/100</f>
        <v>0</v>
      </c>
      <c r="AQ80" s="845">
        <f>IF(OR(BD80&gt;0,BQ80&gt;0,CD80&gt;0,CQ80,0),IF(OR(CD78&gt;0,BQ78&gt;0,BD78&gt;0,CQ78,0),'2 MEDIA ALTURA'!D$35*'2 MEDIA ALTURA'!D$34,0))/100</f>
        <v>0</v>
      </c>
      <c r="AR80" s="845">
        <f>IF(OR(BE80&gt;0,BR80&gt;0,CE80&gt;0,CR80,0),IF(OR(CE78&gt;0,BR78&gt;0,BE78&gt;0,CR78,0),'2 MEDIA ALTURA'!E$35*'2 MEDIA ALTURA'!E$34,0))/100</f>
        <v>0</v>
      </c>
      <c r="AS80" s="845">
        <f>IF(OR(BF80&gt;0,BS80&gt;0,CF80&gt;0,CS80,0),IF(OR(CF78&gt;0,BS78&gt;0,BF78&gt;0,CS78,0),'2 MEDIA ALTURA'!F$35*'2 MEDIA ALTURA'!F$34,0))/100</f>
        <v>0</v>
      </c>
      <c r="AT80" s="845">
        <f>IF(OR(BG80&gt;0,BT80&gt;0,CG80&gt;0,CT80,0),IF(OR(CG78&gt;0,BT78&gt;0,BG78&gt;0,CT78,0),'2 MEDIA ALTURA'!G$35*'2 MEDIA ALTURA'!G$34,0))/100</f>
        <v>0</v>
      </c>
      <c r="AU80" s="845">
        <f>IF(OR(BH80&gt;0,BU80&gt;0,CH80&gt;0,CU80,0),IF(OR(CH78&gt;0,BU78&gt;0,BH78&gt;0,CU78,0),'2 MEDIA ALTURA'!H$35*'2 MEDIA ALTURA'!H$34,0))/100</f>
        <v>0</v>
      </c>
      <c r="AV80" s="845">
        <f>IF(OR(BI80&gt;0,BV80&gt;0,CI80&gt;0,CV80,0),IF(OR(CI78&gt;0,BV78&gt;0,BI78&gt;0,CV78,0),'2 MEDIA ALTURA'!I$35*'2 MEDIA ALTURA'!I$34,0))/100</f>
        <v>0</v>
      </c>
      <c r="AW80" s="845">
        <f>IF(OR(BJ80&gt;0,BW80&gt;0,CJ80&gt;0,CW80,0),IF(OR(CJ78&gt;0,BW78&gt;0,BJ78&gt;0,CW78,0),'2 MEDIA ALTURA'!J$35*'2 MEDIA ALTURA'!J$34,0))/100</f>
        <v>0</v>
      </c>
      <c r="AX80" s="845">
        <f>IF(OR(BK80&gt;0,BX80&gt;0,CK80&gt;0,CX80,0),IF(OR(CK78&gt;0,BX78&gt;0,BK78&gt;0,CX78,0),'2 MEDIA ALTURA'!K$35*'2 MEDIA ALTURA'!K$34,0))/100</f>
        <v>0</v>
      </c>
      <c r="AY80" s="845">
        <f>IF(OR(BL80&gt;0,BY80&gt;0,CL80&gt;0,CY80,0),IF(OR(CL78&gt;0,BY78&gt;0,BL78&gt;0,CY78,0),'2 MEDIA ALTURA'!L$35*'2 MEDIA ALTURA'!L$34,0))/100</f>
        <v>0</v>
      </c>
      <c r="AZ80" s="845">
        <f>IF(OR(BM80&gt;0,BZ80&gt;0,CM80&gt;0,CZ80,0),IF(OR(CM78&gt;0,BZ78&gt;0,BM78&gt;0,CZ78,0),'2 MEDIA ALTURA'!M$35*'2 MEDIA ALTURA'!M$34,0))/100</f>
        <v>0</v>
      </c>
      <c r="BA80" s="845">
        <f>IF(OR(BN80&gt;0,CA80&gt;0,CN80&gt;0,DA80,0),IF(OR(CN78&gt;0,CA78&gt;0,BN78&gt;0,DA78,0),'2 MEDIA ALTURA'!N$35*'2 MEDIA ALTURA'!N$34,0))/100</f>
        <v>0</v>
      </c>
      <c r="BB80" s="838"/>
      <c r="BC80" s="845">
        <f>IF('2 MEDIA ALTURA'!C21='2 MEDIA ALTURA'!$B$40,('2 MEDIA ALTURA'!C20*4)/160,0)*'2 MEDIA ALTURA'!C$35</f>
        <v>0</v>
      </c>
      <c r="BD80" s="845">
        <f>IF('2 MEDIA ALTURA'!D21='2 MEDIA ALTURA'!$B$40,('2 MEDIA ALTURA'!D20*4)/160,0)*'2 MEDIA ALTURA'!D$35</f>
        <v>0</v>
      </c>
      <c r="BE80" s="845">
        <f>IF('2 MEDIA ALTURA'!E21='2 MEDIA ALTURA'!$B$40,('2 MEDIA ALTURA'!E20*4)/160,0)*'2 MEDIA ALTURA'!E$35</f>
        <v>0</v>
      </c>
      <c r="BF80" s="845">
        <f>IF('2 MEDIA ALTURA'!F21='2 MEDIA ALTURA'!$B$40,('2 MEDIA ALTURA'!F20*4)/160,0)*'2 MEDIA ALTURA'!F$35</f>
        <v>0</v>
      </c>
      <c r="BG80" s="845">
        <f>IF('2 MEDIA ALTURA'!G21='2 MEDIA ALTURA'!$B$40,('2 MEDIA ALTURA'!G20*4)/160,0)*'2 MEDIA ALTURA'!G$35</f>
        <v>0</v>
      </c>
      <c r="BH80" s="845">
        <f>IF('2 MEDIA ALTURA'!H21='2 MEDIA ALTURA'!$B$40,('2 MEDIA ALTURA'!H20*4)/160,0)*'2 MEDIA ALTURA'!H$35</f>
        <v>0</v>
      </c>
      <c r="BI80" s="845">
        <f>IF('2 MEDIA ALTURA'!I21='2 MEDIA ALTURA'!$B$40,('2 MEDIA ALTURA'!I20*4)/160,0)*'2 MEDIA ALTURA'!I$35</f>
        <v>0</v>
      </c>
      <c r="BJ80" s="845">
        <f>IF('2 MEDIA ALTURA'!J21='2 MEDIA ALTURA'!$B$40,('2 MEDIA ALTURA'!J20*4)/160,0)*'2 MEDIA ALTURA'!J$35</f>
        <v>0</v>
      </c>
      <c r="BK80" s="845">
        <f>IF('2 MEDIA ALTURA'!K21='2 MEDIA ALTURA'!$B$40,('2 MEDIA ALTURA'!K20*4)/160,0)*'2 MEDIA ALTURA'!K$35</f>
        <v>0</v>
      </c>
      <c r="BL80" s="845">
        <f>IF('2 MEDIA ALTURA'!L21='2 MEDIA ALTURA'!$B$40,('2 MEDIA ALTURA'!L20*4)/160,0)*'2 MEDIA ALTURA'!L$35</f>
        <v>0</v>
      </c>
      <c r="BM80" s="845">
        <f>IF('2 MEDIA ALTURA'!M21='2 MEDIA ALTURA'!$B$40,('2 MEDIA ALTURA'!M20*4)/160,0)*'2 MEDIA ALTURA'!M$35</f>
        <v>0</v>
      </c>
      <c r="BN80" s="845">
        <f>IF('2 MEDIA ALTURA'!N21='2 MEDIA ALTURA'!$B$40,('2 MEDIA ALTURA'!N20*4)/160,0)*'2 MEDIA ALTURA'!N$35</f>
        <v>0</v>
      </c>
      <c r="BO80" s="838"/>
      <c r="BP80" s="845">
        <f>IF('2 MEDIA ALTURA'!C21='2 MEDIA ALTURA'!$B$41,('2 MEDIA ALTURA'!C20*4)/160,0)*'2 MEDIA ALTURA'!C$35</f>
        <v>0</v>
      </c>
      <c r="BQ80" s="845">
        <f>IF('2 MEDIA ALTURA'!D21='2 MEDIA ALTURA'!$B$41,('2 MEDIA ALTURA'!D20*4)/160,0)*'2 MEDIA ALTURA'!D$35</f>
        <v>0</v>
      </c>
      <c r="BR80" s="845">
        <f>IF('2 MEDIA ALTURA'!E21='2 MEDIA ALTURA'!$B$41,('2 MEDIA ALTURA'!E20*4)/160,0)*'2 MEDIA ALTURA'!E$35</f>
        <v>0</v>
      </c>
      <c r="BS80" s="845">
        <f>IF('2 MEDIA ALTURA'!F21='2 MEDIA ALTURA'!$B$41,('2 MEDIA ALTURA'!F20*4)/160,0)*'2 MEDIA ALTURA'!F$35</f>
        <v>0</v>
      </c>
      <c r="BT80" s="845">
        <f>IF('2 MEDIA ALTURA'!G21='2 MEDIA ALTURA'!$B$41,('2 MEDIA ALTURA'!G20*4)/160,0)*'2 MEDIA ALTURA'!G$35</f>
        <v>0</v>
      </c>
      <c r="BU80" s="845">
        <f>IF('2 MEDIA ALTURA'!H21='2 MEDIA ALTURA'!$B$41,('2 MEDIA ALTURA'!H20*4)/160,0)*'2 MEDIA ALTURA'!H$35</f>
        <v>0</v>
      </c>
      <c r="BV80" s="845">
        <f>IF('2 MEDIA ALTURA'!I21='2 MEDIA ALTURA'!$B$41,('2 MEDIA ALTURA'!I20*4)/160,0)*'2 MEDIA ALTURA'!I$35</f>
        <v>0</v>
      </c>
      <c r="BW80" s="845">
        <f>IF('2 MEDIA ALTURA'!J21='2 MEDIA ALTURA'!$B$41,('2 MEDIA ALTURA'!J20*4)/160,0)*'2 MEDIA ALTURA'!J$35</f>
        <v>0</v>
      </c>
      <c r="BX80" s="845">
        <f>IF('2 MEDIA ALTURA'!K21='2 MEDIA ALTURA'!$B$41,('2 MEDIA ALTURA'!K20*4)/160,0)*'2 MEDIA ALTURA'!K$35</f>
        <v>0</v>
      </c>
      <c r="BY80" s="845">
        <f>IF('2 MEDIA ALTURA'!L21='2 MEDIA ALTURA'!$B$41,('2 MEDIA ALTURA'!L20*4)/160,0)*'2 MEDIA ALTURA'!L$35</f>
        <v>0</v>
      </c>
      <c r="BZ80" s="845">
        <f>IF('2 MEDIA ALTURA'!M21='2 MEDIA ALTURA'!$B$41,('2 MEDIA ALTURA'!M20*4)/160,0)*'2 MEDIA ALTURA'!M$35</f>
        <v>0</v>
      </c>
      <c r="CA80" s="845">
        <f>IF('2 MEDIA ALTURA'!N21='2 MEDIA ALTURA'!$B$41,('2 MEDIA ALTURA'!N20*4)/160,0)*'2 MEDIA ALTURA'!N$35</f>
        <v>0</v>
      </c>
      <c r="CB80" s="838"/>
      <c r="CC80" s="845">
        <f>IF('2 MEDIA ALTURA'!C21='2 MEDIA ALTURA'!$B$42,('2 MEDIA ALTURA'!C20*4)/160,0)*'2 MEDIA ALTURA'!C$35</f>
        <v>0</v>
      </c>
      <c r="CD80" s="845">
        <f>IF('2 MEDIA ALTURA'!D21='2 MEDIA ALTURA'!$B$42,('2 MEDIA ALTURA'!D20*4)/160,0)*'2 MEDIA ALTURA'!D$35</f>
        <v>0</v>
      </c>
      <c r="CE80" s="845">
        <f>IF('2 MEDIA ALTURA'!E21='2 MEDIA ALTURA'!$B$42,('2 MEDIA ALTURA'!E20*4)/160,0)*'2 MEDIA ALTURA'!E$35</f>
        <v>0</v>
      </c>
      <c r="CF80" s="845">
        <f>IF('2 MEDIA ALTURA'!F21='2 MEDIA ALTURA'!$B$42,('2 MEDIA ALTURA'!F20*4)/160,0)*'2 MEDIA ALTURA'!F$35</f>
        <v>0</v>
      </c>
      <c r="CG80" s="845">
        <f>IF('2 MEDIA ALTURA'!G21='2 MEDIA ALTURA'!$B$42,('2 MEDIA ALTURA'!G20*4)/160,0)*'2 MEDIA ALTURA'!G$35</f>
        <v>0</v>
      </c>
      <c r="CH80" s="845">
        <f>IF('2 MEDIA ALTURA'!H21='2 MEDIA ALTURA'!$B$42,('2 MEDIA ALTURA'!H20*4)/160,0)*'2 MEDIA ALTURA'!H$35</f>
        <v>0</v>
      </c>
      <c r="CI80" s="845">
        <f>IF('2 MEDIA ALTURA'!I21='2 MEDIA ALTURA'!$B$42,('2 MEDIA ALTURA'!I20*4)/160,0)*'2 MEDIA ALTURA'!I$35</f>
        <v>0</v>
      </c>
      <c r="CJ80" s="845">
        <f>IF('2 MEDIA ALTURA'!J21='2 MEDIA ALTURA'!$B$42,('2 MEDIA ALTURA'!J20*4)/160,0)*'2 MEDIA ALTURA'!J$35</f>
        <v>0</v>
      </c>
      <c r="CK80" s="845">
        <f>IF('2 MEDIA ALTURA'!K21='2 MEDIA ALTURA'!$B$42,('2 MEDIA ALTURA'!K20*4)/160,0)*'2 MEDIA ALTURA'!K$35</f>
        <v>0</v>
      </c>
      <c r="CL80" s="845">
        <f>IF('2 MEDIA ALTURA'!L21='2 MEDIA ALTURA'!$B$42,('2 MEDIA ALTURA'!L20*4)/160,0)*'2 MEDIA ALTURA'!L$35</f>
        <v>0</v>
      </c>
      <c r="CM80" s="845">
        <f>IF('2 MEDIA ALTURA'!M21='2 MEDIA ALTURA'!$B$42,('2 MEDIA ALTURA'!M20*4)/160,0)*'2 MEDIA ALTURA'!M$35</f>
        <v>0</v>
      </c>
      <c r="CN80" s="845">
        <f>IF('2 MEDIA ALTURA'!N21='2 MEDIA ALTURA'!$B$42,('2 MEDIA ALTURA'!N20*4)/160,0)*'2 MEDIA ALTURA'!N$35</f>
        <v>0</v>
      </c>
      <c r="CO80" s="838"/>
      <c r="CP80" s="845">
        <f>IF('2 MEDIA ALTURA'!C21='2 MEDIA ALTURA'!$B$43,('2 MEDIA ALTURA'!C20*4)/160,0)*'2 MEDIA ALTURA'!C$35</f>
        <v>0</v>
      </c>
      <c r="CQ80" s="845">
        <f>IF('2 MEDIA ALTURA'!D21='2 MEDIA ALTURA'!$B$43,('2 MEDIA ALTURA'!D20*4)/160,0)*'2 MEDIA ALTURA'!D$35</f>
        <v>0</v>
      </c>
      <c r="CR80" s="845">
        <f>IF('2 MEDIA ALTURA'!E21='2 MEDIA ALTURA'!$B$43,('2 MEDIA ALTURA'!E20*4)/160,0)*'2 MEDIA ALTURA'!E$35</f>
        <v>0</v>
      </c>
      <c r="CS80" s="845">
        <f>IF('2 MEDIA ALTURA'!F21='2 MEDIA ALTURA'!$B$43,('2 MEDIA ALTURA'!F20*4)/160,0)*'2 MEDIA ALTURA'!F$35</f>
        <v>0</v>
      </c>
      <c r="CT80" s="845">
        <f>IF('2 MEDIA ALTURA'!G21='2 MEDIA ALTURA'!$B$43,('2 MEDIA ALTURA'!G20*4)/160,0)*'2 MEDIA ALTURA'!G$35</f>
        <v>0</v>
      </c>
      <c r="CU80" s="845">
        <f>IF('2 MEDIA ALTURA'!H21='2 MEDIA ALTURA'!$B$43,('2 MEDIA ALTURA'!H20*4)/160,0)*'2 MEDIA ALTURA'!H$35</f>
        <v>0</v>
      </c>
      <c r="CV80" s="845">
        <f>IF('2 MEDIA ALTURA'!I21='2 MEDIA ALTURA'!$B$43,('2 MEDIA ALTURA'!I20*4)/160,0)*'2 MEDIA ALTURA'!I$35</f>
        <v>0</v>
      </c>
      <c r="CW80" s="845">
        <f>IF('2 MEDIA ALTURA'!J21='2 MEDIA ALTURA'!$B$43,('2 MEDIA ALTURA'!J20*4)/160,0)*'2 MEDIA ALTURA'!J$35</f>
        <v>0</v>
      </c>
      <c r="CX80" s="845">
        <f>IF('2 MEDIA ALTURA'!K21='2 MEDIA ALTURA'!$B$43,('2 MEDIA ALTURA'!K20*4)/160,0)*'2 MEDIA ALTURA'!K$35</f>
        <v>0</v>
      </c>
      <c r="CY80" s="845">
        <f>IF('2 MEDIA ALTURA'!L21='2 MEDIA ALTURA'!$B$43,('2 MEDIA ALTURA'!L20*4)/160,0)*'2 MEDIA ALTURA'!L$35</f>
        <v>0</v>
      </c>
      <c r="CZ80" s="845">
        <f>IF('2 MEDIA ALTURA'!M21='2 MEDIA ALTURA'!$B$43,('2 MEDIA ALTURA'!M20*4)/160,0)*'2 MEDIA ALTURA'!M$35</f>
        <v>0</v>
      </c>
      <c r="DA80" s="845">
        <f>IF('2 MEDIA ALTURA'!N21='2 MEDIA ALTURA'!$B$43,('2 MEDIA ALTURA'!N20*4)/160,0)*'2 MEDIA ALTURA'!N$35</f>
        <v>0</v>
      </c>
      <c r="DB80" s="838"/>
    </row>
    <row r="81" spans="1:160" x14ac:dyDescent="0.35">
      <c r="B81" s="678"/>
      <c r="C81" s="838">
        <f>IF('2 MEDIA ALTURA'!C$33=175,1,0)*'2 MEDIA ALTURA'!C$35</f>
        <v>0</v>
      </c>
      <c r="D81" s="838">
        <f>IF('2 MEDIA ALTURA'!D$33=175,1,0)*'2 MEDIA ALTURA'!D$35</f>
        <v>0</v>
      </c>
      <c r="E81" s="838">
        <f>IF('2 MEDIA ALTURA'!E$33=175,1,0)*'2 MEDIA ALTURA'!E$35</f>
        <v>0</v>
      </c>
      <c r="F81" s="838">
        <f>IF('2 MEDIA ALTURA'!F$33=175,1,0)*'2 MEDIA ALTURA'!F$35</f>
        <v>0</v>
      </c>
      <c r="G81" s="838">
        <f>IF('2 MEDIA ALTURA'!G$33=175,1,0)*'2 MEDIA ALTURA'!G$35</f>
        <v>0</v>
      </c>
      <c r="H81" s="838">
        <f>IF('2 MEDIA ALTURA'!H$33=175,1,0)*'2 MEDIA ALTURA'!H$35</f>
        <v>0</v>
      </c>
      <c r="I81" s="838">
        <f>IF('2 MEDIA ALTURA'!I$33=175,1,0)*'2 MEDIA ALTURA'!I$35</f>
        <v>0</v>
      </c>
      <c r="J81" s="838">
        <f>IF('2 MEDIA ALTURA'!J$33=175,1,0)*'2 MEDIA ALTURA'!J$35</f>
        <v>0</v>
      </c>
      <c r="K81" s="838">
        <f>IF('2 MEDIA ALTURA'!K$33=175,1,0)*'2 MEDIA ALTURA'!K$35</f>
        <v>0</v>
      </c>
      <c r="L81" s="838">
        <f>IF('2 MEDIA ALTURA'!L$33=175,1,0)*'2 MEDIA ALTURA'!L$35</f>
        <v>0</v>
      </c>
      <c r="M81" s="838">
        <f>IF('2 MEDIA ALTURA'!M$33=175,1,0)*'2 MEDIA ALTURA'!M$35</f>
        <v>0</v>
      </c>
      <c r="N81" s="838">
        <f>IF('2 MEDIA ALTURA'!N$33=175,1,0)*'2 MEDIA ALTURA'!N$35</f>
        <v>0</v>
      </c>
      <c r="O81" s="839">
        <f>SUM(C81:N81)</f>
        <v>0</v>
      </c>
      <c r="AB81" s="838"/>
      <c r="AC81" s="838"/>
      <c r="AD81" s="838"/>
      <c r="AE81" s="838"/>
      <c r="AF81" s="838"/>
      <c r="AG81" s="838"/>
      <c r="AH81" s="838"/>
      <c r="AI81" s="838"/>
      <c r="AJ81" s="838"/>
      <c r="AK81" s="838"/>
      <c r="AL81" s="838"/>
      <c r="AM81" s="838"/>
      <c r="AN81" s="838"/>
      <c r="AO81" s="838"/>
      <c r="BB81" s="838"/>
      <c r="BO81" s="838"/>
      <c r="CB81" s="838"/>
      <c r="CO81" s="838"/>
      <c r="DB81" s="838"/>
    </row>
    <row r="82" spans="1:160" x14ac:dyDescent="0.35">
      <c r="B82" s="678"/>
      <c r="C82" s="838">
        <f>IF('2 MEDIA ALTURA'!C$33=175,1,0)*'2 MEDIA ALTURA'!C$35</f>
        <v>0</v>
      </c>
      <c r="D82" s="838">
        <f>IF('2 MEDIA ALTURA'!D$33=175,1,0)*'2 MEDIA ALTURA'!D$35</f>
        <v>0</v>
      </c>
      <c r="E82" s="838">
        <f>IF('2 MEDIA ALTURA'!E$33=175,1,0)*'2 MEDIA ALTURA'!E$35</f>
        <v>0</v>
      </c>
      <c r="F82" s="838">
        <f>IF('2 MEDIA ALTURA'!F$33=175,1,0)*'2 MEDIA ALTURA'!F$35</f>
        <v>0</v>
      </c>
      <c r="G82" s="838">
        <f>IF('2 MEDIA ALTURA'!G$33=175,1,0)*'2 MEDIA ALTURA'!G$35</f>
        <v>0</v>
      </c>
      <c r="H82" s="838">
        <f>IF('2 MEDIA ALTURA'!H$33=175,1,0)*'2 MEDIA ALTURA'!H$35</f>
        <v>0</v>
      </c>
      <c r="I82" s="838">
        <f>IF('2 MEDIA ALTURA'!I$33=175,1,0)*'2 MEDIA ALTURA'!I$35</f>
        <v>0</v>
      </c>
      <c r="J82" s="838">
        <f>IF('2 MEDIA ALTURA'!J$33=175,1,0)*'2 MEDIA ALTURA'!J$35</f>
        <v>0</v>
      </c>
      <c r="K82" s="838">
        <f>IF('2 MEDIA ALTURA'!K$33=175,1,0)*'2 MEDIA ALTURA'!K$35</f>
        <v>0</v>
      </c>
      <c r="L82" s="838">
        <f>IF('2 MEDIA ALTURA'!L$33=175,1,0)*'2 MEDIA ALTURA'!L$35</f>
        <v>0</v>
      </c>
      <c r="M82" s="838">
        <f>IF('2 MEDIA ALTURA'!M$33=175,1,0)*'2 MEDIA ALTURA'!M$35</f>
        <v>0</v>
      </c>
      <c r="N82" s="838">
        <f>IF('2 MEDIA ALTURA'!N$33=175,1,0)*'2 MEDIA ALTURA'!N$35</f>
        <v>0</v>
      </c>
      <c r="O82" s="839">
        <f>SUM(C82:N82)</f>
        <v>0</v>
      </c>
      <c r="P82" s="838">
        <f>IF(AC82&gt;0,IF(AC80&gt;0,1,0))*'2 MEDIA ALTURA'!C$35</f>
        <v>0</v>
      </c>
      <c r="Q82" s="838">
        <f>IF(AD82&gt;0,IF(AD80&gt;0,1,0))*'2 MEDIA ALTURA'!D$35</f>
        <v>0</v>
      </c>
      <c r="R82" s="838">
        <f>IF(AE82&gt;0,IF(AE80&gt;0,1,0))*'2 MEDIA ALTURA'!E$35</f>
        <v>0</v>
      </c>
      <c r="S82" s="838">
        <f>IF(AF82&gt;0,IF(AF80&gt;0,1,0))*'2 MEDIA ALTURA'!F$35</f>
        <v>0</v>
      </c>
      <c r="T82" s="838">
        <f>IF(AG82&gt;0,IF(AG80&gt;0,1,0))*'2 MEDIA ALTURA'!G$35</f>
        <v>0</v>
      </c>
      <c r="U82" s="838">
        <f>IF(AH82&gt;0,IF(AH80&gt;0,1,0))*'2 MEDIA ALTURA'!H$35</f>
        <v>0</v>
      </c>
      <c r="V82" s="838">
        <f>IF(AI82&gt;0,IF(AI80&gt;0,1,0))*'2 MEDIA ALTURA'!I$35</f>
        <v>0</v>
      </c>
      <c r="W82" s="838">
        <f>IF(AJ82&gt;0,IF(AJ80&gt;0,1,0))*'2 MEDIA ALTURA'!J$35</f>
        <v>0</v>
      </c>
      <c r="X82" s="838">
        <f>IF(AK82&gt;0,IF(AK80&gt;0,1,0))*'2 MEDIA ALTURA'!K$35</f>
        <v>0</v>
      </c>
      <c r="Y82" s="838">
        <f>IF(AL82&gt;0,IF(AL80&gt;0,1,0))*'2 MEDIA ALTURA'!L$35</f>
        <v>0</v>
      </c>
      <c r="Z82" s="838">
        <f>IF(AM82&gt;0,IF(AM80&gt;0,1,0))*'2 MEDIA ALTURA'!M$35</f>
        <v>0</v>
      </c>
      <c r="AA82" s="838">
        <f>IF(AN82&gt;0,IF(AN80&gt;0,1,0))*'2 MEDIA ALTURA'!N$35</f>
        <v>0</v>
      </c>
      <c r="AB82" s="838"/>
      <c r="AC82" s="838">
        <f>IF(OR('2 MEDIA ALTURA'!C23="V",'2 MEDIA ALTURA'!C23="VT",'2 MEDIA ALTURA'!C23="VSB",'2 MEDIA ALTURA'!C23="VTT"),1,0)*'2 MEDIA ALTURA'!C$35</f>
        <v>0</v>
      </c>
      <c r="AD82" s="838">
        <f>IF(OR('2 MEDIA ALTURA'!D23="V",'2 MEDIA ALTURA'!D23="VT",'2 MEDIA ALTURA'!D23="VSB",'2 MEDIA ALTURA'!D23="VTT"),1,0)*'2 MEDIA ALTURA'!D$35</f>
        <v>0</v>
      </c>
      <c r="AE82" s="838">
        <f>IF(OR('2 MEDIA ALTURA'!E23="V",'2 MEDIA ALTURA'!E23="VT",'2 MEDIA ALTURA'!E23="VSB",'2 MEDIA ALTURA'!E23="VTT"),1,0)*'2 MEDIA ALTURA'!E$35</f>
        <v>0</v>
      </c>
      <c r="AF82" s="838">
        <f>IF(OR('2 MEDIA ALTURA'!F23="V",'2 MEDIA ALTURA'!F23="VT",'2 MEDIA ALTURA'!F23="VSB",'2 MEDIA ALTURA'!F23="VTT"),1,0)*'2 MEDIA ALTURA'!F$35</f>
        <v>0</v>
      </c>
      <c r="AG82" s="838">
        <f>IF(OR('2 MEDIA ALTURA'!G23="V",'2 MEDIA ALTURA'!G23="VT",'2 MEDIA ALTURA'!G23="VSB",'2 MEDIA ALTURA'!G23="VTT"),1,0)*'2 MEDIA ALTURA'!G$35</f>
        <v>0</v>
      </c>
      <c r="AH82" s="838">
        <f>IF(OR('2 MEDIA ALTURA'!H23="V",'2 MEDIA ALTURA'!H23="VT",'2 MEDIA ALTURA'!H23="VSB",'2 MEDIA ALTURA'!H23="VTT"),1,0)*'2 MEDIA ALTURA'!H$35</f>
        <v>0</v>
      </c>
      <c r="AI82" s="838">
        <f>IF(OR('2 MEDIA ALTURA'!I23="V",'2 MEDIA ALTURA'!I23="VT",'2 MEDIA ALTURA'!I23="VSB",'2 MEDIA ALTURA'!I23="VTT"),1,0)*'2 MEDIA ALTURA'!I$35</f>
        <v>0</v>
      </c>
      <c r="AJ82" s="838">
        <f>IF(OR('2 MEDIA ALTURA'!J23="V",'2 MEDIA ALTURA'!J23="VT",'2 MEDIA ALTURA'!J23="VSB",'2 MEDIA ALTURA'!J23="VTT"),1,0)*'2 MEDIA ALTURA'!J$35</f>
        <v>0</v>
      </c>
      <c r="AK82" s="838">
        <f>IF(OR('2 MEDIA ALTURA'!K23="V",'2 MEDIA ALTURA'!K23="VT",'2 MEDIA ALTURA'!K23="VSB",'2 MEDIA ALTURA'!K23="VTT"),1,0)*'2 MEDIA ALTURA'!K$35</f>
        <v>0</v>
      </c>
      <c r="AL82" s="838">
        <f>IF(OR('2 MEDIA ALTURA'!L23="V",'2 MEDIA ALTURA'!L23="VT",'2 MEDIA ALTURA'!L23="VSB",'2 MEDIA ALTURA'!L23="VTT"),1,0)*'2 MEDIA ALTURA'!L$35</f>
        <v>0</v>
      </c>
      <c r="AM82" s="838">
        <f>IF(OR('2 MEDIA ALTURA'!M23="V",'2 MEDIA ALTURA'!M23="VT",'2 MEDIA ALTURA'!M23="VSB",'2 MEDIA ALTURA'!M23="VTT"),1,0)*'2 MEDIA ALTURA'!M$35</f>
        <v>0</v>
      </c>
      <c r="AN82" s="838">
        <f>IF(OR('2 MEDIA ALTURA'!N23="V",'2 MEDIA ALTURA'!N23="VT",'2 MEDIA ALTURA'!N23="VSB",'2 MEDIA ALTURA'!N23="VTT"),1,0)*'2 MEDIA ALTURA'!N$35</f>
        <v>0</v>
      </c>
      <c r="AO82" s="838"/>
      <c r="AP82" s="845">
        <f>IF(OR(BC82&gt;0,BP82&gt;0,CC82&gt;0,CP82,0),IF(OR(CC80&gt;0,BP80&gt;0,BC80&gt;0,CP80,0),'2 MEDIA ALTURA'!C$35*'2 MEDIA ALTURA'!C$34,0))/100</f>
        <v>0</v>
      </c>
      <c r="AQ82" s="845">
        <f>IF(OR(BD82&gt;0,BQ82&gt;0,CD82&gt;0,CQ82,0),IF(OR(CD80&gt;0,BQ80&gt;0,BD80&gt;0,CQ80,0),'2 MEDIA ALTURA'!D$35*'2 MEDIA ALTURA'!D$34,0))/100</f>
        <v>0</v>
      </c>
      <c r="AR82" s="845">
        <f>IF(OR(BE82&gt;0,BR82&gt;0,CE82&gt;0,CR82,0),IF(OR(CE80&gt;0,BR80&gt;0,BE80&gt;0,CR80,0),'2 MEDIA ALTURA'!E$35*'2 MEDIA ALTURA'!E$34,0))/100</f>
        <v>0</v>
      </c>
      <c r="AS82" s="845">
        <f>IF(OR(BF82&gt;0,BS82&gt;0,CF82&gt;0,CS82,0),IF(OR(CF80&gt;0,BS80&gt;0,BF80&gt;0,CS80,0),'2 MEDIA ALTURA'!F$35*'2 MEDIA ALTURA'!F$34,0))/100</f>
        <v>0</v>
      </c>
      <c r="AT82" s="845">
        <f>IF(OR(BG82&gt;0,BT82&gt;0,CG82&gt;0,CT82,0),IF(OR(CG80&gt;0,BT80&gt;0,BG80&gt;0,CT80,0),'2 MEDIA ALTURA'!G$35*'2 MEDIA ALTURA'!G$34,0))/100</f>
        <v>0</v>
      </c>
      <c r="AU82" s="845">
        <f>IF(OR(BH82&gt;0,BU82&gt;0,CH82&gt;0,CU82,0),IF(OR(CH80&gt;0,BU80&gt;0,BH80&gt;0,CU80,0),'2 MEDIA ALTURA'!H$35*'2 MEDIA ALTURA'!H$34,0))/100</f>
        <v>0</v>
      </c>
      <c r="AV82" s="845">
        <f>IF(OR(BI82&gt;0,BV82&gt;0,CI82&gt;0,CV82,0),IF(OR(CI80&gt;0,BV80&gt;0,BI80&gt;0,CV80,0),'2 MEDIA ALTURA'!I$35*'2 MEDIA ALTURA'!I$34,0))/100</f>
        <v>0</v>
      </c>
      <c r="AW82" s="845">
        <f>IF(OR(BJ82&gt;0,BW82&gt;0,CJ82&gt;0,CW82,0),IF(OR(CJ80&gt;0,BW80&gt;0,BJ80&gt;0,CW80,0),'2 MEDIA ALTURA'!J$35*'2 MEDIA ALTURA'!J$34,0))/100</f>
        <v>0</v>
      </c>
      <c r="AX82" s="845">
        <f>IF(OR(BK82&gt;0,BX82&gt;0,CK82&gt;0,CX82,0),IF(OR(CK80&gt;0,BX80&gt;0,BK80&gt;0,CX80,0),'2 MEDIA ALTURA'!K$35*'2 MEDIA ALTURA'!K$34,0))/100</f>
        <v>0</v>
      </c>
      <c r="AY82" s="845">
        <f>IF(OR(BL82&gt;0,BY82&gt;0,CL82&gt;0,CY82,0),IF(OR(CL80&gt;0,BY80&gt;0,BL80&gt;0,CY80,0),'2 MEDIA ALTURA'!L$35*'2 MEDIA ALTURA'!L$34,0))/100</f>
        <v>0</v>
      </c>
      <c r="AZ82" s="845">
        <f>IF(OR(BM82&gt;0,BZ82&gt;0,CM82&gt;0,CZ82,0),IF(OR(CM80&gt;0,BZ80&gt;0,BM80&gt;0,CZ80,0),'2 MEDIA ALTURA'!M$35*'2 MEDIA ALTURA'!M$34,0))/100</f>
        <v>0</v>
      </c>
      <c r="BA82" s="845">
        <f>IF(OR(BN82&gt;0,CA82&gt;0,CN82&gt;0,DA82,0),IF(OR(CN80&gt;0,CA80&gt;0,BN80&gt;0,DA80,0),'2 MEDIA ALTURA'!N$35*'2 MEDIA ALTURA'!N$34,0))/100</f>
        <v>0</v>
      </c>
      <c r="BB82" s="838"/>
      <c r="BC82" s="845">
        <f>IF('2 MEDIA ALTURA'!C23='2 MEDIA ALTURA'!$B$40,('2 MEDIA ALTURA'!C22*4)/160,0)*'2 MEDIA ALTURA'!C$35</f>
        <v>0</v>
      </c>
      <c r="BD82" s="845">
        <f>IF('2 MEDIA ALTURA'!D23='2 MEDIA ALTURA'!$B$40,('2 MEDIA ALTURA'!D22*4)/160,0)*'2 MEDIA ALTURA'!D$35</f>
        <v>0</v>
      </c>
      <c r="BE82" s="845">
        <f>IF('2 MEDIA ALTURA'!E23='2 MEDIA ALTURA'!$B$40,('2 MEDIA ALTURA'!E22*4)/160,0)*'2 MEDIA ALTURA'!E$35</f>
        <v>0</v>
      </c>
      <c r="BF82" s="845">
        <f>IF('2 MEDIA ALTURA'!F23='2 MEDIA ALTURA'!$B$40,('2 MEDIA ALTURA'!F22*4)/160,0)*'2 MEDIA ALTURA'!F$35</f>
        <v>0</v>
      </c>
      <c r="BG82" s="845">
        <f>IF('2 MEDIA ALTURA'!G23='2 MEDIA ALTURA'!$B$40,('2 MEDIA ALTURA'!G22*4)/160,0)*'2 MEDIA ALTURA'!G$35</f>
        <v>0</v>
      </c>
      <c r="BH82" s="845">
        <f>IF('2 MEDIA ALTURA'!H23='2 MEDIA ALTURA'!$B$40,('2 MEDIA ALTURA'!H22*4)/160,0)*'2 MEDIA ALTURA'!H$35</f>
        <v>0</v>
      </c>
      <c r="BI82" s="845">
        <f>IF('2 MEDIA ALTURA'!I23='2 MEDIA ALTURA'!$B$40,('2 MEDIA ALTURA'!I22*4)/160,0)*'2 MEDIA ALTURA'!I$35</f>
        <v>0</v>
      </c>
      <c r="BJ82" s="845">
        <f>IF('2 MEDIA ALTURA'!J23='2 MEDIA ALTURA'!$B$40,('2 MEDIA ALTURA'!J22*4)/160,0)*'2 MEDIA ALTURA'!J$35</f>
        <v>0</v>
      </c>
      <c r="BK82" s="845">
        <f>IF('2 MEDIA ALTURA'!K23='2 MEDIA ALTURA'!$B$40,('2 MEDIA ALTURA'!K22*4)/160,0)*'2 MEDIA ALTURA'!K$35</f>
        <v>0</v>
      </c>
      <c r="BL82" s="845">
        <f>IF('2 MEDIA ALTURA'!L23='2 MEDIA ALTURA'!$B$40,('2 MEDIA ALTURA'!L22*4)/160,0)*'2 MEDIA ALTURA'!L$35</f>
        <v>0</v>
      </c>
      <c r="BM82" s="845">
        <f>IF('2 MEDIA ALTURA'!M23='2 MEDIA ALTURA'!$B$40,('2 MEDIA ALTURA'!M22*4)/160,0)*'2 MEDIA ALTURA'!M$35</f>
        <v>0</v>
      </c>
      <c r="BN82" s="845">
        <f>IF('2 MEDIA ALTURA'!N23='2 MEDIA ALTURA'!$B$40,('2 MEDIA ALTURA'!N22*4)/160,0)*'2 MEDIA ALTURA'!N$35</f>
        <v>0</v>
      </c>
      <c r="BO82" s="838"/>
      <c r="BP82" s="845">
        <f>IF('2 MEDIA ALTURA'!C23='2 MEDIA ALTURA'!$B$41,('2 MEDIA ALTURA'!C22*4)/160,0)*'2 MEDIA ALTURA'!C$35</f>
        <v>0</v>
      </c>
      <c r="BQ82" s="845">
        <f>IF('2 MEDIA ALTURA'!D23='2 MEDIA ALTURA'!$B$41,('2 MEDIA ALTURA'!D22*4)/160,0)*'2 MEDIA ALTURA'!D$35</f>
        <v>0</v>
      </c>
      <c r="BR82" s="845">
        <f>IF('2 MEDIA ALTURA'!E23='2 MEDIA ALTURA'!$B$41,('2 MEDIA ALTURA'!E22*4)/160,0)*'2 MEDIA ALTURA'!E$35</f>
        <v>0</v>
      </c>
      <c r="BS82" s="845">
        <f>IF('2 MEDIA ALTURA'!F23='2 MEDIA ALTURA'!$B$41,('2 MEDIA ALTURA'!F22*4)/160,0)*'2 MEDIA ALTURA'!F$35</f>
        <v>0</v>
      </c>
      <c r="BT82" s="845">
        <f>IF('2 MEDIA ALTURA'!G23='2 MEDIA ALTURA'!$B$41,('2 MEDIA ALTURA'!G22*4)/160,0)*'2 MEDIA ALTURA'!G$35</f>
        <v>0</v>
      </c>
      <c r="BU82" s="845">
        <f>IF('2 MEDIA ALTURA'!H23='2 MEDIA ALTURA'!$B$41,('2 MEDIA ALTURA'!H22*4)/160,0)*'2 MEDIA ALTURA'!H$35</f>
        <v>0</v>
      </c>
      <c r="BV82" s="845">
        <f>IF('2 MEDIA ALTURA'!I23='2 MEDIA ALTURA'!$B$41,('2 MEDIA ALTURA'!I22*4)/160,0)*'2 MEDIA ALTURA'!I$35</f>
        <v>0</v>
      </c>
      <c r="BW82" s="845">
        <f>IF('2 MEDIA ALTURA'!J23='2 MEDIA ALTURA'!$B$41,('2 MEDIA ALTURA'!J22*4)/160,0)*'2 MEDIA ALTURA'!J$35</f>
        <v>0</v>
      </c>
      <c r="BX82" s="845">
        <f>IF('2 MEDIA ALTURA'!K23='2 MEDIA ALTURA'!$B$41,('2 MEDIA ALTURA'!K22*4)/160,0)*'2 MEDIA ALTURA'!K$35</f>
        <v>0</v>
      </c>
      <c r="BY82" s="845">
        <f>IF('2 MEDIA ALTURA'!L23='2 MEDIA ALTURA'!$B$41,('2 MEDIA ALTURA'!L22*4)/160,0)*'2 MEDIA ALTURA'!L$35</f>
        <v>0</v>
      </c>
      <c r="BZ82" s="845">
        <f>IF('2 MEDIA ALTURA'!M23='2 MEDIA ALTURA'!$B$41,('2 MEDIA ALTURA'!M22*4)/160,0)*'2 MEDIA ALTURA'!M$35</f>
        <v>0</v>
      </c>
      <c r="CA82" s="845">
        <f>IF('2 MEDIA ALTURA'!N23='2 MEDIA ALTURA'!$B$41,('2 MEDIA ALTURA'!N22*4)/160,0)*'2 MEDIA ALTURA'!N$35</f>
        <v>0</v>
      </c>
      <c r="CB82" s="838"/>
      <c r="CC82" s="845">
        <f>IF('2 MEDIA ALTURA'!C23='2 MEDIA ALTURA'!$B$42,('2 MEDIA ALTURA'!C22*4)/160,0)*'2 MEDIA ALTURA'!C$35</f>
        <v>0</v>
      </c>
      <c r="CD82" s="845">
        <f>IF('2 MEDIA ALTURA'!D23='2 MEDIA ALTURA'!$B$42,('2 MEDIA ALTURA'!D22*4)/160,0)*'2 MEDIA ALTURA'!D$35</f>
        <v>0</v>
      </c>
      <c r="CE82" s="845">
        <f>IF('2 MEDIA ALTURA'!E23='2 MEDIA ALTURA'!$B$42,('2 MEDIA ALTURA'!E22*4)/160,0)*'2 MEDIA ALTURA'!E$35</f>
        <v>0</v>
      </c>
      <c r="CF82" s="845">
        <f>IF('2 MEDIA ALTURA'!F23='2 MEDIA ALTURA'!$B$42,('2 MEDIA ALTURA'!F22*4)/160,0)*'2 MEDIA ALTURA'!F$35</f>
        <v>0</v>
      </c>
      <c r="CG82" s="845">
        <f>IF('2 MEDIA ALTURA'!G23='2 MEDIA ALTURA'!$B$42,('2 MEDIA ALTURA'!G22*4)/160,0)*'2 MEDIA ALTURA'!G$35</f>
        <v>0</v>
      </c>
      <c r="CH82" s="845">
        <f>IF('2 MEDIA ALTURA'!H23='2 MEDIA ALTURA'!$B$42,('2 MEDIA ALTURA'!H22*4)/160,0)*'2 MEDIA ALTURA'!H$35</f>
        <v>0</v>
      </c>
      <c r="CI82" s="845">
        <f>IF('2 MEDIA ALTURA'!I23='2 MEDIA ALTURA'!$B$42,('2 MEDIA ALTURA'!I22*4)/160,0)*'2 MEDIA ALTURA'!I$35</f>
        <v>0</v>
      </c>
      <c r="CJ82" s="845">
        <f>IF('2 MEDIA ALTURA'!J23='2 MEDIA ALTURA'!$B$42,('2 MEDIA ALTURA'!J22*4)/160,0)*'2 MEDIA ALTURA'!J$35</f>
        <v>0</v>
      </c>
      <c r="CK82" s="845">
        <f>IF('2 MEDIA ALTURA'!K23='2 MEDIA ALTURA'!$B$42,('2 MEDIA ALTURA'!K22*4)/160,0)*'2 MEDIA ALTURA'!K$35</f>
        <v>0</v>
      </c>
      <c r="CL82" s="845">
        <f>IF('2 MEDIA ALTURA'!L23='2 MEDIA ALTURA'!$B$42,('2 MEDIA ALTURA'!L22*4)/160,0)*'2 MEDIA ALTURA'!L$35</f>
        <v>0</v>
      </c>
      <c r="CM82" s="845">
        <f>IF('2 MEDIA ALTURA'!M23='2 MEDIA ALTURA'!$B$42,('2 MEDIA ALTURA'!M22*4)/160,0)*'2 MEDIA ALTURA'!M$35</f>
        <v>0</v>
      </c>
      <c r="CN82" s="845">
        <f>IF('2 MEDIA ALTURA'!N23='2 MEDIA ALTURA'!$B$42,('2 MEDIA ALTURA'!N22*4)/160,0)*'2 MEDIA ALTURA'!N$35</f>
        <v>0</v>
      </c>
      <c r="CO82" s="838"/>
      <c r="CP82" s="845">
        <f>IF('2 MEDIA ALTURA'!C23='2 MEDIA ALTURA'!$B$43,('2 MEDIA ALTURA'!C22*4)/160,0)*'2 MEDIA ALTURA'!C$35</f>
        <v>0</v>
      </c>
      <c r="CQ82" s="845">
        <f>IF('2 MEDIA ALTURA'!D23='2 MEDIA ALTURA'!$B$43,('2 MEDIA ALTURA'!D22*4)/160,0)*'2 MEDIA ALTURA'!D$35</f>
        <v>0</v>
      </c>
      <c r="CR82" s="845">
        <f>IF('2 MEDIA ALTURA'!E23='2 MEDIA ALTURA'!$B$43,('2 MEDIA ALTURA'!E22*4)/160,0)*'2 MEDIA ALTURA'!E$35</f>
        <v>0</v>
      </c>
      <c r="CS82" s="845">
        <f>IF('2 MEDIA ALTURA'!F23='2 MEDIA ALTURA'!$B$43,('2 MEDIA ALTURA'!F22*4)/160,0)*'2 MEDIA ALTURA'!F$35</f>
        <v>0</v>
      </c>
      <c r="CT82" s="845">
        <f>IF('2 MEDIA ALTURA'!G23='2 MEDIA ALTURA'!$B$43,('2 MEDIA ALTURA'!G22*4)/160,0)*'2 MEDIA ALTURA'!G$35</f>
        <v>0</v>
      </c>
      <c r="CU82" s="845">
        <f>IF('2 MEDIA ALTURA'!H23='2 MEDIA ALTURA'!$B$43,('2 MEDIA ALTURA'!H22*4)/160,0)*'2 MEDIA ALTURA'!H$35</f>
        <v>0</v>
      </c>
      <c r="CV82" s="845">
        <f>IF('2 MEDIA ALTURA'!I23='2 MEDIA ALTURA'!$B$43,('2 MEDIA ALTURA'!I22*4)/160,0)*'2 MEDIA ALTURA'!I$35</f>
        <v>0</v>
      </c>
      <c r="CW82" s="845">
        <f>IF('2 MEDIA ALTURA'!J23='2 MEDIA ALTURA'!$B$43,('2 MEDIA ALTURA'!J22*4)/160,0)*'2 MEDIA ALTURA'!J$35</f>
        <v>0</v>
      </c>
      <c r="CX82" s="845">
        <f>IF('2 MEDIA ALTURA'!K23='2 MEDIA ALTURA'!$B$43,('2 MEDIA ALTURA'!K22*4)/160,0)*'2 MEDIA ALTURA'!K$35</f>
        <v>0</v>
      </c>
      <c r="CY82" s="845">
        <f>IF('2 MEDIA ALTURA'!L23='2 MEDIA ALTURA'!$B$43,('2 MEDIA ALTURA'!L22*4)/160,0)*'2 MEDIA ALTURA'!L$35</f>
        <v>0</v>
      </c>
      <c r="CZ82" s="845">
        <f>IF('2 MEDIA ALTURA'!M23='2 MEDIA ALTURA'!$B$43,('2 MEDIA ALTURA'!M22*4)/160,0)*'2 MEDIA ALTURA'!M$35</f>
        <v>0</v>
      </c>
      <c r="DA82" s="845">
        <f>IF('2 MEDIA ALTURA'!N23='2 MEDIA ALTURA'!$B$43,('2 MEDIA ALTURA'!N22*4)/160,0)*'2 MEDIA ALTURA'!N$35</f>
        <v>0</v>
      </c>
      <c r="DB82" s="838"/>
    </row>
    <row r="83" spans="1:160" x14ac:dyDescent="0.35">
      <c r="B83" s="678"/>
      <c r="C83" s="838"/>
      <c r="D83" s="838"/>
      <c r="E83" s="838"/>
      <c r="F83" s="838"/>
      <c r="G83" s="838"/>
      <c r="H83" s="838"/>
      <c r="I83" s="838"/>
      <c r="J83" s="838"/>
      <c r="K83" s="838"/>
      <c r="L83" s="838"/>
      <c r="M83" s="838"/>
      <c r="N83" s="838"/>
      <c r="O83" s="838"/>
      <c r="AB83" s="838"/>
      <c r="AC83" s="838"/>
      <c r="AD83" s="838"/>
      <c r="AE83" s="838"/>
      <c r="AF83" s="838"/>
      <c r="AG83" s="838"/>
      <c r="AH83" s="838"/>
      <c r="AI83" s="838"/>
      <c r="AJ83" s="838"/>
      <c r="AK83" s="838"/>
      <c r="AL83" s="838"/>
      <c r="AM83" s="838"/>
      <c r="AN83" s="838"/>
      <c r="AO83" s="838"/>
      <c r="BB83" s="838"/>
      <c r="BO83" s="838"/>
      <c r="CB83" s="838"/>
      <c r="CO83" s="838"/>
      <c r="DB83" s="838"/>
    </row>
    <row r="84" spans="1:160" x14ac:dyDescent="0.35">
      <c r="B84" s="678"/>
      <c r="C84" s="838"/>
      <c r="D84" s="838"/>
      <c r="E84" s="838"/>
      <c r="F84" s="838"/>
      <c r="G84" s="838"/>
      <c r="H84" s="838"/>
      <c r="I84" s="838"/>
      <c r="J84" s="838"/>
      <c r="K84" s="838"/>
      <c r="L84" s="838"/>
      <c r="M84" s="838"/>
      <c r="N84" s="838"/>
      <c r="O84" s="838"/>
      <c r="P84" s="838">
        <f>IF(AC84&gt;0,IF(AC82&gt;0,1,0))*'2 MEDIA ALTURA'!C$35</f>
        <v>0</v>
      </c>
      <c r="Q84" s="838">
        <f>IF(AD84&gt;0,IF(AD82&gt;0,1,0))*'2 MEDIA ALTURA'!D$35</f>
        <v>0</v>
      </c>
      <c r="R84" s="838">
        <f>IF(AE84&gt;0,IF(AE82&gt;0,1,0))*'2 MEDIA ALTURA'!E$35</f>
        <v>0</v>
      </c>
      <c r="S84" s="838">
        <f>IF(AF84&gt;0,IF(AF82&gt;0,1,0))*'2 MEDIA ALTURA'!F$35</f>
        <v>0</v>
      </c>
      <c r="T84" s="838">
        <f>IF(AG84&gt;0,IF(AG82&gt;0,1,0))*'2 MEDIA ALTURA'!G$35</f>
        <v>0</v>
      </c>
      <c r="U84" s="838">
        <f>IF(AH84&gt;0,IF(AH82&gt;0,1,0))*'2 MEDIA ALTURA'!H$35</f>
        <v>0</v>
      </c>
      <c r="V84" s="838">
        <f>IF(AI84&gt;0,IF(AI82&gt;0,1,0))*'2 MEDIA ALTURA'!I$35</f>
        <v>0</v>
      </c>
      <c r="W84" s="838">
        <f>IF(AJ84&gt;0,IF(AJ82&gt;0,1,0))*'2 MEDIA ALTURA'!J$35</f>
        <v>0</v>
      </c>
      <c r="X84" s="838">
        <f>IF(AK84&gt;0,IF(AK82&gt;0,1,0))*'2 MEDIA ALTURA'!K$35</f>
        <v>0</v>
      </c>
      <c r="Y84" s="838">
        <f>IF(AL84&gt;0,IF(AL82&gt;0,1,0))*'2 MEDIA ALTURA'!L$35</f>
        <v>0</v>
      </c>
      <c r="Z84" s="838">
        <f>IF(AM84&gt;0,IF(AM82&gt;0,1,0))*'2 MEDIA ALTURA'!M$35</f>
        <v>0</v>
      </c>
      <c r="AA84" s="838">
        <f>IF(AN84&gt;0,IF(AN82&gt;0,1,0))*'2 MEDIA ALTURA'!N$35</f>
        <v>0</v>
      </c>
      <c r="AB84" s="838"/>
      <c r="AC84" s="838">
        <f>IF(OR('2 MEDIA ALTURA'!C25="V",'2 MEDIA ALTURA'!C25="VT",'2 MEDIA ALTURA'!C25="VSB",'2 MEDIA ALTURA'!C25="VTT"),1,0)*'2 MEDIA ALTURA'!C$35</f>
        <v>0</v>
      </c>
      <c r="AD84" s="838">
        <f>IF(OR('2 MEDIA ALTURA'!D25="V",'2 MEDIA ALTURA'!D25="VT",'2 MEDIA ALTURA'!D25="VSB",'2 MEDIA ALTURA'!D25="VTT"),1,0)*'2 MEDIA ALTURA'!D$35</f>
        <v>0</v>
      </c>
      <c r="AE84" s="838">
        <f>IF(OR('2 MEDIA ALTURA'!E25="V",'2 MEDIA ALTURA'!E25="VT",'2 MEDIA ALTURA'!E25="VSB",'2 MEDIA ALTURA'!E25="VTT"),1,0)*'2 MEDIA ALTURA'!E$35</f>
        <v>0</v>
      </c>
      <c r="AF84" s="838">
        <f>IF(OR('2 MEDIA ALTURA'!F25="V",'2 MEDIA ALTURA'!F25="VT",'2 MEDIA ALTURA'!F25="VSB",'2 MEDIA ALTURA'!F25="VTT"),1,0)*'2 MEDIA ALTURA'!F$35</f>
        <v>0</v>
      </c>
      <c r="AG84" s="838">
        <f>IF(OR('2 MEDIA ALTURA'!G25="V",'2 MEDIA ALTURA'!G25="VT",'2 MEDIA ALTURA'!G25="VSB",'2 MEDIA ALTURA'!G25="VTT"),1,0)*'2 MEDIA ALTURA'!G$35</f>
        <v>0</v>
      </c>
      <c r="AH84" s="838">
        <f>IF(OR('2 MEDIA ALTURA'!H25="V",'2 MEDIA ALTURA'!H25="VT",'2 MEDIA ALTURA'!H25="VSB",'2 MEDIA ALTURA'!H25="VTT"),1,0)*'2 MEDIA ALTURA'!H$35</f>
        <v>0</v>
      </c>
      <c r="AI84" s="838">
        <f>IF(OR('2 MEDIA ALTURA'!I25="V",'2 MEDIA ALTURA'!I25="VT",'2 MEDIA ALTURA'!I25="VSB",'2 MEDIA ALTURA'!I25="VTT"),1,0)*'2 MEDIA ALTURA'!I$35</f>
        <v>0</v>
      </c>
      <c r="AJ84" s="838">
        <f>IF(OR('2 MEDIA ALTURA'!J25="V",'2 MEDIA ALTURA'!J25="VT",'2 MEDIA ALTURA'!J25="VSB",'2 MEDIA ALTURA'!J25="VTT"),1,0)*'2 MEDIA ALTURA'!J$35</f>
        <v>0</v>
      </c>
      <c r="AK84" s="838">
        <f>IF(OR('2 MEDIA ALTURA'!K25="V",'2 MEDIA ALTURA'!K25="VT",'2 MEDIA ALTURA'!K25="VSB",'2 MEDIA ALTURA'!K25="VTT"),1,0)*'2 MEDIA ALTURA'!K$35</f>
        <v>0</v>
      </c>
      <c r="AL84" s="838">
        <f>IF(OR('2 MEDIA ALTURA'!L25="V",'2 MEDIA ALTURA'!L25="VT",'2 MEDIA ALTURA'!L25="VSB",'2 MEDIA ALTURA'!L25="VTT"),1,0)*'2 MEDIA ALTURA'!L$35</f>
        <v>0</v>
      </c>
      <c r="AM84" s="838">
        <f>IF(OR('2 MEDIA ALTURA'!M25="V",'2 MEDIA ALTURA'!M25="VT",'2 MEDIA ALTURA'!M25="VSB",'2 MEDIA ALTURA'!M25="VTT"),1,0)*'2 MEDIA ALTURA'!M$35</f>
        <v>0</v>
      </c>
      <c r="AN84" s="838">
        <f>IF(OR('2 MEDIA ALTURA'!N25="V",'2 MEDIA ALTURA'!N25="VT",'2 MEDIA ALTURA'!N25="VSB",'2 MEDIA ALTURA'!N25="VTT"),1,0)*'2 MEDIA ALTURA'!N$35</f>
        <v>0</v>
      </c>
      <c r="AO84" s="838"/>
      <c r="AP84" s="845">
        <f>IF(OR(BC84&gt;0,BP84&gt;0,CC84&gt;0,CP84,0),IF(OR(CC82&gt;0,BP82&gt;0,BC82&gt;0,CP82,0),'2 MEDIA ALTURA'!C$35*'2 MEDIA ALTURA'!C$34,0))/100</f>
        <v>0</v>
      </c>
      <c r="AQ84" s="845">
        <f>IF(OR(BD84&gt;0,BQ84&gt;0,CD84&gt;0,CQ84,0),IF(OR(CD82&gt;0,BQ82&gt;0,BD82&gt;0,CQ82,0),'2 MEDIA ALTURA'!D$35*'2 MEDIA ALTURA'!D$34,0))/100</f>
        <v>0</v>
      </c>
      <c r="AR84" s="845">
        <f>IF(OR(BE84&gt;0,BR84&gt;0,CE84&gt;0,CR84,0),IF(OR(CE82&gt;0,BR82&gt;0,BE82&gt;0,CR82,0),'2 MEDIA ALTURA'!E$35*'2 MEDIA ALTURA'!E$34,0))/100</f>
        <v>0</v>
      </c>
      <c r="AS84" s="845">
        <f>IF(OR(BF84&gt;0,BS84&gt;0,CF84&gt;0,CS84,0),IF(OR(CF82&gt;0,BS82&gt;0,BF82&gt;0,CS82,0),'2 MEDIA ALTURA'!F$35*'2 MEDIA ALTURA'!F$34,0))/100</f>
        <v>0</v>
      </c>
      <c r="AT84" s="845">
        <f>IF(OR(BG84&gt;0,BT84&gt;0,CG84&gt;0,CT84,0),IF(OR(CG82&gt;0,BT82&gt;0,BG82&gt;0,CT82,0),'2 MEDIA ALTURA'!G$35*'2 MEDIA ALTURA'!G$34,0))/100</f>
        <v>0</v>
      </c>
      <c r="AU84" s="845">
        <f>IF(OR(BH84&gt;0,BU84&gt;0,CH84&gt;0,CU84,0),IF(OR(CH82&gt;0,BU82&gt;0,BH82&gt;0,CU82,0),'2 MEDIA ALTURA'!H$35*'2 MEDIA ALTURA'!H$34,0))/100</f>
        <v>0</v>
      </c>
      <c r="AV84" s="845">
        <f>IF(OR(BI84&gt;0,BV84&gt;0,CI84&gt;0,CV84,0),IF(OR(CI82&gt;0,BV82&gt;0,BI82&gt;0,CV82,0),'2 MEDIA ALTURA'!I$35*'2 MEDIA ALTURA'!I$34,0))/100</f>
        <v>0</v>
      </c>
      <c r="AW84" s="845">
        <f>IF(OR(BJ84&gt;0,BW84&gt;0,CJ84&gt;0,CW84,0),IF(OR(CJ82&gt;0,BW82&gt;0,BJ82&gt;0,CW82,0),'2 MEDIA ALTURA'!J$35*'2 MEDIA ALTURA'!J$34,0))/100</f>
        <v>0</v>
      </c>
      <c r="AX84" s="845">
        <f>IF(OR(BK84&gt;0,BX84&gt;0,CK84&gt;0,CX84,0),IF(OR(CK82&gt;0,BX82&gt;0,BK82&gt;0,CX82,0),'2 MEDIA ALTURA'!K$35*'2 MEDIA ALTURA'!K$34,0))/100</f>
        <v>0</v>
      </c>
      <c r="AY84" s="845">
        <f>IF(OR(BL84&gt;0,BY84&gt;0,CL84&gt;0,CY84,0),IF(OR(CL82&gt;0,BY82&gt;0,BL82&gt;0,CY82,0),'2 MEDIA ALTURA'!L$35*'2 MEDIA ALTURA'!L$34,0))/100</f>
        <v>0</v>
      </c>
      <c r="AZ84" s="845">
        <f>IF(OR(BM84&gt;0,BZ84&gt;0,CM84&gt;0,CZ84,0),IF(OR(CM82&gt;0,BZ82&gt;0,BM82&gt;0,CZ82,0),'2 MEDIA ALTURA'!M$35*'2 MEDIA ALTURA'!M$34,0))/100</f>
        <v>0</v>
      </c>
      <c r="BA84" s="845">
        <f>IF(OR(BN84&gt;0,CA84&gt;0,CN84&gt;0,DA84,0),IF(OR(CN82&gt;0,CA82&gt;0,BN82&gt;0,DA82,0),'2 MEDIA ALTURA'!N$35*'2 MEDIA ALTURA'!N$34,0))/100</f>
        <v>0</v>
      </c>
      <c r="BB84" s="838"/>
      <c r="BC84" s="845">
        <f>IF('2 MEDIA ALTURA'!C25='2 MEDIA ALTURA'!$B$40,('2 MEDIA ALTURA'!C24*4)/160,0)*'2 MEDIA ALTURA'!C$35</f>
        <v>0</v>
      </c>
      <c r="BD84" s="845">
        <f>IF('2 MEDIA ALTURA'!D25='2 MEDIA ALTURA'!$B$40,('2 MEDIA ALTURA'!D24*4)/160,0)*'2 MEDIA ALTURA'!D$35</f>
        <v>0</v>
      </c>
      <c r="BE84" s="845">
        <f>IF('2 MEDIA ALTURA'!E25='2 MEDIA ALTURA'!$B$40,('2 MEDIA ALTURA'!E24*4)/160,0)*'2 MEDIA ALTURA'!E$35</f>
        <v>0</v>
      </c>
      <c r="BF84" s="845">
        <f>IF('2 MEDIA ALTURA'!F25='2 MEDIA ALTURA'!$B$40,('2 MEDIA ALTURA'!F24*4)/160,0)*'2 MEDIA ALTURA'!F$35</f>
        <v>0</v>
      </c>
      <c r="BG84" s="845">
        <f>IF('2 MEDIA ALTURA'!G25='2 MEDIA ALTURA'!$B$40,('2 MEDIA ALTURA'!G24*4)/160,0)*'2 MEDIA ALTURA'!G$35</f>
        <v>0</v>
      </c>
      <c r="BH84" s="845">
        <f>IF('2 MEDIA ALTURA'!H25='2 MEDIA ALTURA'!$B$40,('2 MEDIA ALTURA'!H24*4)/160,0)*'2 MEDIA ALTURA'!H$35</f>
        <v>0</v>
      </c>
      <c r="BI84" s="845">
        <f>IF('2 MEDIA ALTURA'!I25='2 MEDIA ALTURA'!$B$40,('2 MEDIA ALTURA'!I24*4)/160,0)*'2 MEDIA ALTURA'!I$35</f>
        <v>0</v>
      </c>
      <c r="BJ84" s="845">
        <f>IF('2 MEDIA ALTURA'!J25='2 MEDIA ALTURA'!$B$40,('2 MEDIA ALTURA'!J24*4)/160,0)*'2 MEDIA ALTURA'!J$35</f>
        <v>0</v>
      </c>
      <c r="BK84" s="845">
        <f>IF('2 MEDIA ALTURA'!K25='2 MEDIA ALTURA'!$B$40,('2 MEDIA ALTURA'!K24*4)/160,0)*'2 MEDIA ALTURA'!K$35</f>
        <v>0</v>
      </c>
      <c r="BL84" s="845">
        <f>IF('2 MEDIA ALTURA'!L25='2 MEDIA ALTURA'!$B$40,('2 MEDIA ALTURA'!L24*4)/160,0)*'2 MEDIA ALTURA'!L$35</f>
        <v>0</v>
      </c>
      <c r="BM84" s="845">
        <f>IF('2 MEDIA ALTURA'!M25='2 MEDIA ALTURA'!$B$40,('2 MEDIA ALTURA'!M24*4)/160,0)*'2 MEDIA ALTURA'!M$35</f>
        <v>0</v>
      </c>
      <c r="BN84" s="845">
        <f>IF('2 MEDIA ALTURA'!N25='2 MEDIA ALTURA'!$B$40,('2 MEDIA ALTURA'!N24*4)/160,0)*'2 MEDIA ALTURA'!N$35</f>
        <v>0</v>
      </c>
      <c r="BO84" s="838"/>
      <c r="BP84" s="845">
        <f>IF('2 MEDIA ALTURA'!C25='2 MEDIA ALTURA'!$B$41,('2 MEDIA ALTURA'!C24*4)/160,0)*'2 MEDIA ALTURA'!C$35</f>
        <v>0</v>
      </c>
      <c r="BQ84" s="845">
        <f>IF('2 MEDIA ALTURA'!D25='2 MEDIA ALTURA'!$B$41,('2 MEDIA ALTURA'!D24*4)/160,0)*'2 MEDIA ALTURA'!D$35</f>
        <v>0</v>
      </c>
      <c r="BR84" s="845">
        <f>IF('2 MEDIA ALTURA'!E25='2 MEDIA ALTURA'!$B$41,('2 MEDIA ALTURA'!E24*4)/160,0)*'2 MEDIA ALTURA'!E$35</f>
        <v>0</v>
      </c>
      <c r="BS84" s="845">
        <f>IF('2 MEDIA ALTURA'!F25='2 MEDIA ALTURA'!$B$41,('2 MEDIA ALTURA'!F24*4)/160,0)*'2 MEDIA ALTURA'!F$35</f>
        <v>0</v>
      </c>
      <c r="BT84" s="845">
        <f>IF('2 MEDIA ALTURA'!G25='2 MEDIA ALTURA'!$B$41,('2 MEDIA ALTURA'!G24*4)/160,0)*'2 MEDIA ALTURA'!G$35</f>
        <v>0</v>
      </c>
      <c r="BU84" s="845">
        <f>IF('2 MEDIA ALTURA'!H25='2 MEDIA ALTURA'!$B$41,('2 MEDIA ALTURA'!H24*4)/160,0)*'2 MEDIA ALTURA'!H$35</f>
        <v>0</v>
      </c>
      <c r="BV84" s="845">
        <f>IF('2 MEDIA ALTURA'!I25='2 MEDIA ALTURA'!$B$41,('2 MEDIA ALTURA'!I24*4)/160,0)*'2 MEDIA ALTURA'!I$35</f>
        <v>0</v>
      </c>
      <c r="BW84" s="845">
        <f>IF('2 MEDIA ALTURA'!J25='2 MEDIA ALTURA'!$B$41,('2 MEDIA ALTURA'!J24*4)/160,0)*'2 MEDIA ALTURA'!J$35</f>
        <v>0</v>
      </c>
      <c r="BX84" s="845">
        <f>IF('2 MEDIA ALTURA'!K25='2 MEDIA ALTURA'!$B$41,('2 MEDIA ALTURA'!K24*4)/160,0)*'2 MEDIA ALTURA'!K$35</f>
        <v>0</v>
      </c>
      <c r="BY84" s="845">
        <f>IF('2 MEDIA ALTURA'!L25='2 MEDIA ALTURA'!$B$41,('2 MEDIA ALTURA'!L24*4)/160,0)*'2 MEDIA ALTURA'!L$35</f>
        <v>0</v>
      </c>
      <c r="BZ84" s="845">
        <f>IF('2 MEDIA ALTURA'!M25='2 MEDIA ALTURA'!$B$41,('2 MEDIA ALTURA'!M24*4)/160,0)*'2 MEDIA ALTURA'!M$35</f>
        <v>0</v>
      </c>
      <c r="CA84" s="845">
        <f>IF('2 MEDIA ALTURA'!N25='2 MEDIA ALTURA'!$B$41,('2 MEDIA ALTURA'!N24*4)/160,0)*'2 MEDIA ALTURA'!N$35</f>
        <v>0</v>
      </c>
      <c r="CB84" s="838"/>
      <c r="CC84" s="845">
        <f>IF('2 MEDIA ALTURA'!C25='2 MEDIA ALTURA'!$B$42,('2 MEDIA ALTURA'!C24*4)/160,0)*'2 MEDIA ALTURA'!C$35</f>
        <v>0</v>
      </c>
      <c r="CD84" s="845">
        <f>IF('2 MEDIA ALTURA'!D25='2 MEDIA ALTURA'!$B$42,('2 MEDIA ALTURA'!D24*4)/160,0)*'2 MEDIA ALTURA'!D$35</f>
        <v>0</v>
      </c>
      <c r="CE84" s="845">
        <f>IF('2 MEDIA ALTURA'!E25='2 MEDIA ALTURA'!$B$42,('2 MEDIA ALTURA'!E24*4)/160,0)*'2 MEDIA ALTURA'!E$35</f>
        <v>0</v>
      </c>
      <c r="CF84" s="845">
        <f>IF('2 MEDIA ALTURA'!F25='2 MEDIA ALTURA'!$B$42,('2 MEDIA ALTURA'!F24*4)/160,0)*'2 MEDIA ALTURA'!F$35</f>
        <v>0</v>
      </c>
      <c r="CG84" s="845">
        <f>IF('2 MEDIA ALTURA'!G25='2 MEDIA ALTURA'!$B$42,('2 MEDIA ALTURA'!G24*4)/160,0)*'2 MEDIA ALTURA'!G$35</f>
        <v>0</v>
      </c>
      <c r="CH84" s="845">
        <f>IF('2 MEDIA ALTURA'!H25='2 MEDIA ALTURA'!$B$42,('2 MEDIA ALTURA'!H24*4)/160,0)*'2 MEDIA ALTURA'!H$35</f>
        <v>0</v>
      </c>
      <c r="CI84" s="845">
        <f>IF('2 MEDIA ALTURA'!I25='2 MEDIA ALTURA'!$B$42,('2 MEDIA ALTURA'!I24*4)/160,0)*'2 MEDIA ALTURA'!I$35</f>
        <v>0</v>
      </c>
      <c r="CJ84" s="845">
        <f>IF('2 MEDIA ALTURA'!J25='2 MEDIA ALTURA'!$B$42,('2 MEDIA ALTURA'!J24*4)/160,0)*'2 MEDIA ALTURA'!J$35</f>
        <v>0</v>
      </c>
      <c r="CK84" s="845">
        <f>IF('2 MEDIA ALTURA'!K25='2 MEDIA ALTURA'!$B$42,('2 MEDIA ALTURA'!K24*4)/160,0)*'2 MEDIA ALTURA'!K$35</f>
        <v>0</v>
      </c>
      <c r="CL84" s="845">
        <f>IF('2 MEDIA ALTURA'!L25='2 MEDIA ALTURA'!$B$42,('2 MEDIA ALTURA'!L24*4)/160,0)*'2 MEDIA ALTURA'!L$35</f>
        <v>0</v>
      </c>
      <c r="CM84" s="845">
        <f>IF('2 MEDIA ALTURA'!M25='2 MEDIA ALTURA'!$B$42,('2 MEDIA ALTURA'!M24*4)/160,0)*'2 MEDIA ALTURA'!M$35</f>
        <v>0</v>
      </c>
      <c r="CN84" s="845">
        <f>IF('2 MEDIA ALTURA'!N25='2 MEDIA ALTURA'!$B$42,('2 MEDIA ALTURA'!N24*4)/160,0)*'2 MEDIA ALTURA'!N$35</f>
        <v>0</v>
      </c>
      <c r="CO84" s="838"/>
      <c r="CP84" s="845">
        <f>IF('2 MEDIA ALTURA'!C25='2 MEDIA ALTURA'!$B$43,('2 MEDIA ALTURA'!C24*4)/160,0)*'2 MEDIA ALTURA'!C$35</f>
        <v>0</v>
      </c>
      <c r="CQ84" s="845">
        <f>IF('2 MEDIA ALTURA'!D25='2 MEDIA ALTURA'!$B$43,('2 MEDIA ALTURA'!D24*4)/160,0)*'2 MEDIA ALTURA'!D$35</f>
        <v>0</v>
      </c>
      <c r="CR84" s="845">
        <f>IF('2 MEDIA ALTURA'!E25='2 MEDIA ALTURA'!$B$43,('2 MEDIA ALTURA'!E24*4)/160,0)*'2 MEDIA ALTURA'!E$35</f>
        <v>0</v>
      </c>
      <c r="CS84" s="845">
        <f>IF('2 MEDIA ALTURA'!F25='2 MEDIA ALTURA'!$B$43,('2 MEDIA ALTURA'!F24*4)/160,0)*'2 MEDIA ALTURA'!F$35</f>
        <v>0</v>
      </c>
      <c r="CT84" s="845">
        <f>IF('2 MEDIA ALTURA'!G25='2 MEDIA ALTURA'!$B$43,('2 MEDIA ALTURA'!G24*4)/160,0)*'2 MEDIA ALTURA'!G$35</f>
        <v>0</v>
      </c>
      <c r="CU84" s="845">
        <f>IF('2 MEDIA ALTURA'!H25='2 MEDIA ALTURA'!$B$43,('2 MEDIA ALTURA'!H24*4)/160,0)*'2 MEDIA ALTURA'!H$35</f>
        <v>0</v>
      </c>
      <c r="CV84" s="845">
        <f>IF('2 MEDIA ALTURA'!I25='2 MEDIA ALTURA'!$B$43,('2 MEDIA ALTURA'!I24*4)/160,0)*'2 MEDIA ALTURA'!I$35</f>
        <v>0</v>
      </c>
      <c r="CW84" s="845">
        <f>IF('2 MEDIA ALTURA'!J25='2 MEDIA ALTURA'!$B$43,('2 MEDIA ALTURA'!J24*4)/160,0)*'2 MEDIA ALTURA'!J$35</f>
        <v>0</v>
      </c>
      <c r="CX84" s="845">
        <f>IF('2 MEDIA ALTURA'!K25='2 MEDIA ALTURA'!$B$43,('2 MEDIA ALTURA'!K24*4)/160,0)*'2 MEDIA ALTURA'!K$35</f>
        <v>0</v>
      </c>
      <c r="CY84" s="845">
        <f>IF('2 MEDIA ALTURA'!L25='2 MEDIA ALTURA'!$B$43,('2 MEDIA ALTURA'!L24*4)/160,0)*'2 MEDIA ALTURA'!L$35</f>
        <v>0</v>
      </c>
      <c r="CZ84" s="845">
        <f>IF('2 MEDIA ALTURA'!M25='2 MEDIA ALTURA'!$B$43,('2 MEDIA ALTURA'!M24*4)/160,0)*'2 MEDIA ALTURA'!M$35</f>
        <v>0</v>
      </c>
      <c r="DA84" s="845">
        <f>IF('2 MEDIA ALTURA'!N25='2 MEDIA ALTURA'!$B$43,('2 MEDIA ALTURA'!N24*4)/160,0)*'2 MEDIA ALTURA'!N$35</f>
        <v>0</v>
      </c>
      <c r="DB84" s="838"/>
    </row>
    <row r="85" spans="1:160" x14ac:dyDescent="0.35">
      <c r="A85" s="678"/>
      <c r="C85" s="838"/>
      <c r="D85" s="838"/>
      <c r="E85" s="838"/>
      <c r="F85" s="838"/>
      <c r="G85" s="838"/>
      <c r="H85" s="838"/>
      <c r="I85" s="838"/>
      <c r="J85" s="838"/>
      <c r="K85" s="838"/>
      <c r="L85" s="838"/>
      <c r="M85" s="838"/>
      <c r="N85" s="838"/>
      <c r="O85" s="838"/>
      <c r="AB85" s="838"/>
      <c r="AC85" s="838"/>
      <c r="AD85" s="838"/>
      <c r="AE85" s="838"/>
      <c r="AF85" s="838"/>
      <c r="AG85" s="838"/>
      <c r="AH85" s="838"/>
      <c r="AI85" s="838"/>
      <c r="AJ85" s="838"/>
      <c r="AK85" s="838"/>
      <c r="AL85" s="838"/>
      <c r="AM85" s="838"/>
      <c r="AN85" s="838"/>
      <c r="AO85" s="838"/>
      <c r="BB85" s="838"/>
      <c r="BO85" s="838"/>
      <c r="CB85" s="838"/>
      <c r="CO85" s="838"/>
      <c r="DB85" s="838"/>
    </row>
    <row r="86" spans="1:160" x14ac:dyDescent="0.35">
      <c r="A86" s="678"/>
      <c r="C86" s="838"/>
      <c r="D86" s="838"/>
      <c r="E86" s="838"/>
      <c r="F86" s="838"/>
      <c r="G86" s="838"/>
      <c r="H86" s="838"/>
      <c r="I86" s="838"/>
      <c r="J86" s="838"/>
      <c r="K86" s="838"/>
      <c r="L86" s="838"/>
      <c r="M86" s="838"/>
      <c r="N86" s="838"/>
      <c r="O86" s="838"/>
      <c r="P86" s="838">
        <f>IF(AC86&gt;0,IF(AC84&gt;0,1,0))*'2 MEDIA ALTURA'!C$35</f>
        <v>0</v>
      </c>
      <c r="Q86" s="838">
        <f>IF(AD86&gt;0,IF(AD84&gt;0,1,0))*'2 MEDIA ALTURA'!D$35</f>
        <v>0</v>
      </c>
      <c r="R86" s="838">
        <f>IF(AE86&gt;0,IF(AE84&gt;0,1,0))*'2 MEDIA ALTURA'!E$35</f>
        <v>0</v>
      </c>
      <c r="S86" s="838">
        <f>IF(AF86&gt;0,IF(AF84&gt;0,1,0))*'2 MEDIA ALTURA'!F$35</f>
        <v>0</v>
      </c>
      <c r="T86" s="838">
        <f>IF(AG86&gt;0,IF(AG84&gt;0,1,0))*'2 MEDIA ALTURA'!G$35</f>
        <v>0</v>
      </c>
      <c r="U86" s="838">
        <f>IF(AH86&gt;0,IF(AH84&gt;0,1,0))*'2 MEDIA ALTURA'!H$35</f>
        <v>0</v>
      </c>
      <c r="V86" s="838">
        <f>IF(AI86&gt;0,IF(AI84&gt;0,1,0))*'2 MEDIA ALTURA'!I$35</f>
        <v>0</v>
      </c>
      <c r="W86" s="838">
        <f>IF(AJ86&gt;0,IF(AJ84&gt;0,1,0))*'2 MEDIA ALTURA'!J$35</f>
        <v>0</v>
      </c>
      <c r="X86" s="838">
        <f>IF(AK86&gt;0,IF(AK84&gt;0,1,0))*'2 MEDIA ALTURA'!K$35</f>
        <v>0</v>
      </c>
      <c r="Y86" s="838">
        <f>IF(AL86&gt;0,IF(AL84&gt;0,1,0))*'2 MEDIA ALTURA'!L$35</f>
        <v>0</v>
      </c>
      <c r="Z86" s="838">
        <f>IF(AM86&gt;0,IF(AM84&gt;0,1,0))*'2 MEDIA ALTURA'!M$35</f>
        <v>0</v>
      </c>
      <c r="AA86" s="838">
        <f>IF(AN86&gt;0,IF(AN84&gt;0,1,0))*'2 MEDIA ALTURA'!N$35</f>
        <v>0</v>
      </c>
      <c r="AB86" s="838"/>
      <c r="AC86" s="838">
        <f>IF(OR('2 MEDIA ALTURA'!C27="V",'2 MEDIA ALTURA'!C27="VT",'2 MEDIA ALTURA'!C27="VSB",'2 MEDIA ALTURA'!C27="VTT"),1,0)*'2 MEDIA ALTURA'!C$35</f>
        <v>0</v>
      </c>
      <c r="AD86" s="838">
        <f>IF(OR('2 MEDIA ALTURA'!D27="V",'2 MEDIA ALTURA'!D27="VT",'2 MEDIA ALTURA'!D27="VSB",'2 MEDIA ALTURA'!D27="VTT"),1,0)*'2 MEDIA ALTURA'!D$35</f>
        <v>0</v>
      </c>
      <c r="AE86" s="838">
        <f>IF(OR('2 MEDIA ALTURA'!E27="V",'2 MEDIA ALTURA'!E27="VT",'2 MEDIA ALTURA'!E27="VSB",'2 MEDIA ALTURA'!E27="VTT"),1,0)*'2 MEDIA ALTURA'!E$35</f>
        <v>0</v>
      </c>
      <c r="AF86" s="838">
        <f>IF(OR('2 MEDIA ALTURA'!F27="V",'2 MEDIA ALTURA'!F27="VT",'2 MEDIA ALTURA'!F27="VSB",'2 MEDIA ALTURA'!F27="VTT"),1,0)*'2 MEDIA ALTURA'!F$35</f>
        <v>0</v>
      </c>
      <c r="AG86" s="838">
        <f>IF(OR('2 MEDIA ALTURA'!G27="V",'2 MEDIA ALTURA'!G27="VT",'2 MEDIA ALTURA'!G27="VSB",'2 MEDIA ALTURA'!G27="VTT"),1,0)*'2 MEDIA ALTURA'!G$35</f>
        <v>0</v>
      </c>
      <c r="AH86" s="838">
        <f>IF(OR('2 MEDIA ALTURA'!H27="V",'2 MEDIA ALTURA'!H27="VT",'2 MEDIA ALTURA'!H27="VSB",'2 MEDIA ALTURA'!H27="VTT"),1,0)*'2 MEDIA ALTURA'!H$35</f>
        <v>0</v>
      </c>
      <c r="AI86" s="838">
        <f>IF(OR('2 MEDIA ALTURA'!I27="V",'2 MEDIA ALTURA'!I27="VT",'2 MEDIA ALTURA'!I27="VSB",'2 MEDIA ALTURA'!I27="VTT"),1,0)*'2 MEDIA ALTURA'!I$35</f>
        <v>0</v>
      </c>
      <c r="AJ86" s="838">
        <f>IF(OR('2 MEDIA ALTURA'!J27="V",'2 MEDIA ALTURA'!J27="VT",'2 MEDIA ALTURA'!J27="VSB",'2 MEDIA ALTURA'!J27="VTT"),1,0)*'2 MEDIA ALTURA'!J$35</f>
        <v>0</v>
      </c>
      <c r="AK86" s="838">
        <f>IF(OR('2 MEDIA ALTURA'!K27="V",'2 MEDIA ALTURA'!K27="VT",'2 MEDIA ALTURA'!K27="VSB",'2 MEDIA ALTURA'!K27="VTT"),1,0)*'2 MEDIA ALTURA'!K$35</f>
        <v>0</v>
      </c>
      <c r="AL86" s="838">
        <f>IF(OR('2 MEDIA ALTURA'!L27="V",'2 MEDIA ALTURA'!L27="VT",'2 MEDIA ALTURA'!L27="VSB",'2 MEDIA ALTURA'!L27="VTT"),1,0)*'2 MEDIA ALTURA'!L$35</f>
        <v>0</v>
      </c>
      <c r="AM86" s="838">
        <f>IF(OR('2 MEDIA ALTURA'!M27="V",'2 MEDIA ALTURA'!M27="VT",'2 MEDIA ALTURA'!M27="VSB",'2 MEDIA ALTURA'!M27="VTT"),1,0)*'2 MEDIA ALTURA'!M$35</f>
        <v>0</v>
      </c>
      <c r="AN86" s="838">
        <f>IF(OR('2 MEDIA ALTURA'!N27="V",'2 MEDIA ALTURA'!N27="VT",'2 MEDIA ALTURA'!N27="VSB",'2 MEDIA ALTURA'!N27="VTT"),1,0)*'2 MEDIA ALTURA'!N$35</f>
        <v>0</v>
      </c>
      <c r="AO86" s="838"/>
      <c r="AP86" s="845">
        <f>IF(OR(BC86&gt;0,BP86&gt;0,CC86&gt;0,CP86,0),IF(OR(CC84&gt;0,BP84&gt;0,BC84&gt;0,CP84,0),'2 MEDIA ALTURA'!C$35*'2 MEDIA ALTURA'!C$34,0))/100</f>
        <v>0</v>
      </c>
      <c r="AQ86" s="845">
        <f>IF(OR(BD86&gt;0,BQ86&gt;0,CD86&gt;0,CQ86,0),IF(OR(CD84&gt;0,BQ84&gt;0,BD84&gt;0,CQ84,0),'2 MEDIA ALTURA'!D$35*'2 MEDIA ALTURA'!D$34,0))/100</f>
        <v>0</v>
      </c>
      <c r="AR86" s="845">
        <f>IF(OR(BE86&gt;0,BR86&gt;0,CE86&gt;0,CR86,0),IF(OR(CE84&gt;0,BR84&gt;0,BE84&gt;0,CR84,0),'2 MEDIA ALTURA'!E$35*'2 MEDIA ALTURA'!E$34,0))/100</f>
        <v>0</v>
      </c>
      <c r="AS86" s="845">
        <f>IF(OR(BF86&gt;0,BS86&gt;0,CF86&gt;0,CS86,0),IF(OR(CF84&gt;0,BS84&gt;0,BF84&gt;0,CS84,0),'2 MEDIA ALTURA'!F$35*'2 MEDIA ALTURA'!F$34,0))/100</f>
        <v>0</v>
      </c>
      <c r="AT86" s="845">
        <f>IF(OR(BG86&gt;0,BT86&gt;0,CG86&gt;0,CT86,0),IF(OR(CG84&gt;0,BT84&gt;0,BG84&gt;0,CT84,0),'2 MEDIA ALTURA'!G$35*'2 MEDIA ALTURA'!G$34,0))/100</f>
        <v>0</v>
      </c>
      <c r="AU86" s="845">
        <f>IF(OR(BH86&gt;0,BU86&gt;0,CH86&gt;0,CU86,0),IF(OR(CH84&gt;0,BU84&gt;0,BH84&gt;0,CU84,0),'2 MEDIA ALTURA'!H$35*'2 MEDIA ALTURA'!H$34,0))/100</f>
        <v>0</v>
      </c>
      <c r="AV86" s="845">
        <f>IF(OR(BI86&gt;0,BV86&gt;0,CI86&gt;0,CV86,0),IF(OR(CI84&gt;0,BV84&gt;0,BI84&gt;0,CV84,0),'2 MEDIA ALTURA'!I$35*'2 MEDIA ALTURA'!I$34,0))/100</f>
        <v>0</v>
      </c>
      <c r="AW86" s="845">
        <f>IF(OR(BJ86&gt;0,BW86&gt;0,CJ86&gt;0,CW86,0),IF(OR(CJ84&gt;0,BW84&gt;0,BJ84&gt;0,CW84,0),'2 MEDIA ALTURA'!J$35*'2 MEDIA ALTURA'!J$34,0))/100</f>
        <v>0</v>
      </c>
      <c r="AX86" s="845">
        <f>IF(OR(BK86&gt;0,BX86&gt;0,CK86&gt;0,CX86,0),IF(OR(CK84&gt;0,BX84&gt;0,BK84&gt;0,CX84,0),'2 MEDIA ALTURA'!K$35*'2 MEDIA ALTURA'!K$34,0))/100</f>
        <v>0</v>
      </c>
      <c r="AY86" s="845">
        <f>IF(OR(BL86&gt;0,BY86&gt;0,CL86&gt;0,CY86,0),IF(OR(CL84&gt;0,BY84&gt;0,BL84&gt;0,CY84,0),'2 MEDIA ALTURA'!L$35*'2 MEDIA ALTURA'!L$34,0))/100</f>
        <v>0</v>
      </c>
      <c r="AZ86" s="845">
        <f>IF(OR(BM86&gt;0,BZ86&gt;0,CM86&gt;0,CZ86,0),IF(OR(CM84&gt;0,BZ84&gt;0,BM84&gt;0,CZ84,0),'2 MEDIA ALTURA'!M$35*'2 MEDIA ALTURA'!M$34,0))/100</f>
        <v>0</v>
      </c>
      <c r="BA86" s="845">
        <f>IF(OR(BN86&gt;0,CA86&gt;0,CN86&gt;0,DA86,0),IF(OR(CN84&gt;0,CA84&gt;0,BN84&gt;0,DA84,0),'2 MEDIA ALTURA'!N$35*'2 MEDIA ALTURA'!N$34,0))/100</f>
        <v>0</v>
      </c>
      <c r="BB86" s="838"/>
      <c r="BC86" s="845">
        <f>IF('2 MEDIA ALTURA'!C27='2 MEDIA ALTURA'!$B$40,('2 MEDIA ALTURA'!C26*4)/160,0)*'2 MEDIA ALTURA'!C$35</f>
        <v>0</v>
      </c>
      <c r="BD86" s="845">
        <f>IF('2 MEDIA ALTURA'!D27='2 MEDIA ALTURA'!$B$40,('2 MEDIA ALTURA'!D26*4)/160,0)*'2 MEDIA ALTURA'!D$35</f>
        <v>0</v>
      </c>
      <c r="BE86" s="845">
        <f>IF('2 MEDIA ALTURA'!E27='2 MEDIA ALTURA'!$B$40,('2 MEDIA ALTURA'!E26*4)/160,0)*'2 MEDIA ALTURA'!E$35</f>
        <v>0</v>
      </c>
      <c r="BF86" s="845">
        <f>IF('2 MEDIA ALTURA'!F27='2 MEDIA ALTURA'!$B$40,('2 MEDIA ALTURA'!F26*4)/160,0)*'2 MEDIA ALTURA'!F$35</f>
        <v>0</v>
      </c>
      <c r="BG86" s="845">
        <f>IF('2 MEDIA ALTURA'!G27='2 MEDIA ALTURA'!$B$40,('2 MEDIA ALTURA'!G26*4)/160,0)*'2 MEDIA ALTURA'!G$35</f>
        <v>0</v>
      </c>
      <c r="BH86" s="845">
        <f>IF('2 MEDIA ALTURA'!H27='2 MEDIA ALTURA'!$B$40,('2 MEDIA ALTURA'!H26*4)/160,0)*'2 MEDIA ALTURA'!H$35</f>
        <v>0</v>
      </c>
      <c r="BI86" s="845">
        <f>IF('2 MEDIA ALTURA'!I27='2 MEDIA ALTURA'!$B$40,('2 MEDIA ALTURA'!I26*4)/160,0)*'2 MEDIA ALTURA'!I$35</f>
        <v>0</v>
      </c>
      <c r="BJ86" s="845">
        <f>IF('2 MEDIA ALTURA'!J27='2 MEDIA ALTURA'!$B$40,('2 MEDIA ALTURA'!J26*4)/160,0)*'2 MEDIA ALTURA'!J$35</f>
        <v>0</v>
      </c>
      <c r="BK86" s="845">
        <f>IF('2 MEDIA ALTURA'!K27='2 MEDIA ALTURA'!$B$40,('2 MEDIA ALTURA'!K26*4)/160,0)*'2 MEDIA ALTURA'!K$35</f>
        <v>0</v>
      </c>
      <c r="BL86" s="845">
        <f>IF('2 MEDIA ALTURA'!L27='2 MEDIA ALTURA'!$B$40,('2 MEDIA ALTURA'!L26*4)/160,0)*'2 MEDIA ALTURA'!L$35</f>
        <v>0</v>
      </c>
      <c r="BM86" s="845">
        <f>IF('2 MEDIA ALTURA'!M27='2 MEDIA ALTURA'!$B$40,('2 MEDIA ALTURA'!M26*4)/160,0)*'2 MEDIA ALTURA'!M$35</f>
        <v>0</v>
      </c>
      <c r="BN86" s="845">
        <f>IF('2 MEDIA ALTURA'!N27='2 MEDIA ALTURA'!$B$40,('2 MEDIA ALTURA'!N26*4)/160,0)*'2 MEDIA ALTURA'!N$35</f>
        <v>0</v>
      </c>
      <c r="BO86" s="838"/>
      <c r="BP86" s="845">
        <f>IF('2 MEDIA ALTURA'!C27='2 MEDIA ALTURA'!$B$41,('2 MEDIA ALTURA'!C26*4)/160,0)*'2 MEDIA ALTURA'!C$35</f>
        <v>0</v>
      </c>
      <c r="BQ86" s="845">
        <f>IF('2 MEDIA ALTURA'!D27='2 MEDIA ALTURA'!$B$41,('2 MEDIA ALTURA'!D26*4)/160,0)*'2 MEDIA ALTURA'!D$35</f>
        <v>0</v>
      </c>
      <c r="BR86" s="845">
        <f>IF('2 MEDIA ALTURA'!E27='2 MEDIA ALTURA'!$B$41,('2 MEDIA ALTURA'!E26*4)/160,0)*'2 MEDIA ALTURA'!E$35</f>
        <v>0</v>
      </c>
      <c r="BS86" s="845">
        <f>IF('2 MEDIA ALTURA'!F27='2 MEDIA ALTURA'!$B$41,('2 MEDIA ALTURA'!F26*4)/160,0)*'2 MEDIA ALTURA'!F$35</f>
        <v>0</v>
      </c>
      <c r="BT86" s="845">
        <f>IF('2 MEDIA ALTURA'!G27='2 MEDIA ALTURA'!$B$41,('2 MEDIA ALTURA'!G26*4)/160,0)*'2 MEDIA ALTURA'!G$35</f>
        <v>0</v>
      </c>
      <c r="BU86" s="845">
        <f>IF('2 MEDIA ALTURA'!H27='2 MEDIA ALTURA'!$B$41,('2 MEDIA ALTURA'!H26*4)/160,0)*'2 MEDIA ALTURA'!H$35</f>
        <v>0</v>
      </c>
      <c r="BV86" s="845">
        <f>IF('2 MEDIA ALTURA'!I27='2 MEDIA ALTURA'!$B$41,('2 MEDIA ALTURA'!I26*4)/160,0)*'2 MEDIA ALTURA'!I$35</f>
        <v>0</v>
      </c>
      <c r="BW86" s="845">
        <f>IF('2 MEDIA ALTURA'!J27='2 MEDIA ALTURA'!$B$41,('2 MEDIA ALTURA'!J26*4)/160,0)*'2 MEDIA ALTURA'!J$35</f>
        <v>0</v>
      </c>
      <c r="BX86" s="845">
        <f>IF('2 MEDIA ALTURA'!K27='2 MEDIA ALTURA'!$B$41,('2 MEDIA ALTURA'!K26*4)/160,0)*'2 MEDIA ALTURA'!K$35</f>
        <v>0</v>
      </c>
      <c r="BY86" s="845">
        <f>IF('2 MEDIA ALTURA'!L27='2 MEDIA ALTURA'!$B$41,('2 MEDIA ALTURA'!L26*4)/160,0)*'2 MEDIA ALTURA'!L$35</f>
        <v>0</v>
      </c>
      <c r="BZ86" s="845">
        <f>IF('2 MEDIA ALTURA'!M27='2 MEDIA ALTURA'!$B$41,('2 MEDIA ALTURA'!M26*4)/160,0)*'2 MEDIA ALTURA'!M$35</f>
        <v>0</v>
      </c>
      <c r="CA86" s="845">
        <f>IF('2 MEDIA ALTURA'!N27='2 MEDIA ALTURA'!$B$41,('2 MEDIA ALTURA'!N26*4)/160,0)*'2 MEDIA ALTURA'!N$35</f>
        <v>0</v>
      </c>
      <c r="CB86" s="838"/>
      <c r="CC86" s="845">
        <f>IF('2 MEDIA ALTURA'!C27='2 MEDIA ALTURA'!$B$42,('2 MEDIA ALTURA'!C26*4)/160,0)*'2 MEDIA ALTURA'!C$35</f>
        <v>0</v>
      </c>
      <c r="CD86" s="845">
        <f>IF('2 MEDIA ALTURA'!D27='2 MEDIA ALTURA'!$B$42,('2 MEDIA ALTURA'!D26*4)/160,0)*'2 MEDIA ALTURA'!D$35</f>
        <v>0</v>
      </c>
      <c r="CE86" s="845">
        <f>IF('2 MEDIA ALTURA'!E27='2 MEDIA ALTURA'!$B$42,('2 MEDIA ALTURA'!E26*4)/160,0)*'2 MEDIA ALTURA'!E$35</f>
        <v>0</v>
      </c>
      <c r="CF86" s="845">
        <f>IF('2 MEDIA ALTURA'!F27='2 MEDIA ALTURA'!$B$42,('2 MEDIA ALTURA'!F26*4)/160,0)*'2 MEDIA ALTURA'!F$35</f>
        <v>0</v>
      </c>
      <c r="CG86" s="845">
        <f>IF('2 MEDIA ALTURA'!G27='2 MEDIA ALTURA'!$B$42,('2 MEDIA ALTURA'!G26*4)/160,0)*'2 MEDIA ALTURA'!G$35</f>
        <v>0</v>
      </c>
      <c r="CH86" s="845">
        <f>IF('2 MEDIA ALTURA'!H27='2 MEDIA ALTURA'!$B$42,('2 MEDIA ALTURA'!H26*4)/160,0)*'2 MEDIA ALTURA'!H$35</f>
        <v>0</v>
      </c>
      <c r="CI86" s="845">
        <f>IF('2 MEDIA ALTURA'!I27='2 MEDIA ALTURA'!$B$42,('2 MEDIA ALTURA'!I26*4)/160,0)*'2 MEDIA ALTURA'!I$35</f>
        <v>0</v>
      </c>
      <c r="CJ86" s="845">
        <f>IF('2 MEDIA ALTURA'!J27='2 MEDIA ALTURA'!$B$42,('2 MEDIA ALTURA'!J26*4)/160,0)*'2 MEDIA ALTURA'!J$35</f>
        <v>0</v>
      </c>
      <c r="CK86" s="845">
        <f>IF('2 MEDIA ALTURA'!K27='2 MEDIA ALTURA'!$B$42,('2 MEDIA ALTURA'!K26*4)/160,0)*'2 MEDIA ALTURA'!K$35</f>
        <v>0</v>
      </c>
      <c r="CL86" s="845">
        <f>IF('2 MEDIA ALTURA'!L27='2 MEDIA ALTURA'!$B$42,('2 MEDIA ALTURA'!L26*4)/160,0)*'2 MEDIA ALTURA'!L$35</f>
        <v>0</v>
      </c>
      <c r="CM86" s="845">
        <f>IF('2 MEDIA ALTURA'!M27='2 MEDIA ALTURA'!$B$42,('2 MEDIA ALTURA'!M26*4)/160,0)*'2 MEDIA ALTURA'!M$35</f>
        <v>0</v>
      </c>
      <c r="CN86" s="845">
        <f>IF('2 MEDIA ALTURA'!N27='2 MEDIA ALTURA'!$B$42,('2 MEDIA ALTURA'!N26*4)/160,0)*'2 MEDIA ALTURA'!N$35</f>
        <v>0</v>
      </c>
      <c r="CO86" s="838"/>
      <c r="CP86" s="845">
        <f>IF('2 MEDIA ALTURA'!C27='2 MEDIA ALTURA'!$B$43,('2 MEDIA ALTURA'!C26*4)/160,0)*'2 MEDIA ALTURA'!C$35</f>
        <v>0</v>
      </c>
      <c r="CQ86" s="845">
        <f>IF('2 MEDIA ALTURA'!D27='2 MEDIA ALTURA'!$B$43,('2 MEDIA ALTURA'!D26*4)/160,0)*'2 MEDIA ALTURA'!D$35</f>
        <v>0</v>
      </c>
      <c r="CR86" s="845">
        <f>IF('2 MEDIA ALTURA'!E27='2 MEDIA ALTURA'!$B$43,('2 MEDIA ALTURA'!E26*4)/160,0)*'2 MEDIA ALTURA'!E$35</f>
        <v>0</v>
      </c>
      <c r="CS86" s="845">
        <f>IF('2 MEDIA ALTURA'!F27='2 MEDIA ALTURA'!$B$43,('2 MEDIA ALTURA'!F26*4)/160,0)*'2 MEDIA ALTURA'!F$35</f>
        <v>0</v>
      </c>
      <c r="CT86" s="845">
        <f>IF('2 MEDIA ALTURA'!G27='2 MEDIA ALTURA'!$B$43,('2 MEDIA ALTURA'!G26*4)/160,0)*'2 MEDIA ALTURA'!G$35</f>
        <v>0</v>
      </c>
      <c r="CU86" s="845">
        <f>IF('2 MEDIA ALTURA'!H27='2 MEDIA ALTURA'!$B$43,('2 MEDIA ALTURA'!H26*4)/160,0)*'2 MEDIA ALTURA'!H$35</f>
        <v>0</v>
      </c>
      <c r="CV86" s="845">
        <f>IF('2 MEDIA ALTURA'!I27='2 MEDIA ALTURA'!$B$43,('2 MEDIA ALTURA'!I26*4)/160,0)*'2 MEDIA ALTURA'!I$35</f>
        <v>0</v>
      </c>
      <c r="CW86" s="845">
        <f>IF('2 MEDIA ALTURA'!J27='2 MEDIA ALTURA'!$B$43,('2 MEDIA ALTURA'!J26*4)/160,0)*'2 MEDIA ALTURA'!J$35</f>
        <v>0</v>
      </c>
      <c r="CX86" s="845">
        <f>IF('2 MEDIA ALTURA'!K27='2 MEDIA ALTURA'!$B$43,('2 MEDIA ALTURA'!K26*4)/160,0)*'2 MEDIA ALTURA'!K$35</f>
        <v>0</v>
      </c>
      <c r="CY86" s="845">
        <f>IF('2 MEDIA ALTURA'!L27='2 MEDIA ALTURA'!$B$43,('2 MEDIA ALTURA'!L26*4)/160,0)*'2 MEDIA ALTURA'!L$35</f>
        <v>0</v>
      </c>
      <c r="CZ86" s="845">
        <f>IF('2 MEDIA ALTURA'!M27='2 MEDIA ALTURA'!$B$43,('2 MEDIA ALTURA'!M26*4)/160,0)*'2 MEDIA ALTURA'!M$35</f>
        <v>0</v>
      </c>
      <c r="DA86" s="845">
        <f>IF('2 MEDIA ALTURA'!N27='2 MEDIA ALTURA'!$B$43,('2 MEDIA ALTURA'!N26*4)/160,0)*'2 MEDIA ALTURA'!N$35</f>
        <v>0</v>
      </c>
      <c r="DB86" s="838"/>
    </row>
    <row r="87" spans="1:160" x14ac:dyDescent="0.35">
      <c r="A87" s="678"/>
      <c r="C87" s="838"/>
      <c r="D87" s="838"/>
      <c r="E87" s="838"/>
      <c r="F87" s="838"/>
      <c r="G87" s="838"/>
      <c r="H87" s="838"/>
      <c r="I87" s="838"/>
      <c r="J87" s="838"/>
      <c r="K87" s="838"/>
      <c r="L87" s="838"/>
      <c r="M87" s="838"/>
      <c r="N87" s="838"/>
      <c r="O87" s="838"/>
      <c r="AB87" s="838"/>
      <c r="AC87" s="838"/>
      <c r="AD87" s="838"/>
      <c r="AE87" s="838"/>
      <c r="AF87" s="838"/>
      <c r="AG87" s="838"/>
      <c r="AH87" s="838"/>
      <c r="AI87" s="838"/>
      <c r="AJ87" s="838"/>
      <c r="AK87" s="838"/>
      <c r="AL87" s="838"/>
      <c r="AM87" s="838"/>
      <c r="AN87" s="838"/>
      <c r="AO87" s="838"/>
      <c r="BB87" s="838"/>
      <c r="BO87" s="838"/>
      <c r="CB87" s="838"/>
      <c r="CO87" s="838"/>
      <c r="DB87" s="838"/>
    </row>
    <row r="88" spans="1:160" x14ac:dyDescent="0.35">
      <c r="A88" s="678"/>
      <c r="C88" s="838"/>
      <c r="D88" s="838"/>
      <c r="E88" s="838"/>
      <c r="F88" s="838"/>
      <c r="G88" s="838"/>
      <c r="H88" s="838"/>
      <c r="I88" s="838"/>
      <c r="J88" s="838"/>
      <c r="K88" s="838"/>
      <c r="L88" s="838"/>
      <c r="M88" s="838"/>
      <c r="N88" s="838"/>
      <c r="O88" s="838"/>
      <c r="P88" s="838">
        <f>IF(AC88&gt;0,IF(AC86&gt;0,1,0))*'2 MEDIA ALTURA'!C$35</f>
        <v>0</v>
      </c>
      <c r="Q88" s="838">
        <f>IF(AD88&gt;0,IF(AD86&gt;0,1,0))*'2 MEDIA ALTURA'!D$35</f>
        <v>0</v>
      </c>
      <c r="R88" s="838">
        <f>IF(AE88&gt;0,IF(AE86&gt;0,1,0))*'2 MEDIA ALTURA'!E$35</f>
        <v>0</v>
      </c>
      <c r="S88" s="838">
        <f>IF(AF88&gt;0,IF(AF86&gt;0,1,0))*'2 MEDIA ALTURA'!F$35</f>
        <v>0</v>
      </c>
      <c r="T88" s="838">
        <f>IF(AG88&gt;0,IF(AG86&gt;0,1,0))*'2 MEDIA ALTURA'!G$35</f>
        <v>0</v>
      </c>
      <c r="U88" s="838">
        <f>IF(AH88&gt;0,IF(AH86&gt;0,1,0))*'2 MEDIA ALTURA'!H$35</f>
        <v>0</v>
      </c>
      <c r="V88" s="838">
        <f>IF(AI88&gt;0,IF(AI86&gt;0,1,0))*'2 MEDIA ALTURA'!I$35</f>
        <v>0</v>
      </c>
      <c r="W88" s="838">
        <f>IF(AJ88&gt;0,IF(AJ86&gt;0,1,0))*'2 MEDIA ALTURA'!J$35</f>
        <v>0</v>
      </c>
      <c r="X88" s="838">
        <f>IF(AK88&gt;0,IF(AK86&gt;0,1,0))*'2 MEDIA ALTURA'!K$35</f>
        <v>0</v>
      </c>
      <c r="Y88" s="838">
        <f>IF(AL88&gt;0,IF(AL86&gt;0,1,0))*'2 MEDIA ALTURA'!L$35</f>
        <v>0</v>
      </c>
      <c r="Z88" s="838">
        <f>IF(AM88&gt;0,IF(AM86&gt;0,1,0))*'2 MEDIA ALTURA'!M$35</f>
        <v>0</v>
      </c>
      <c r="AA88" s="838">
        <f>IF(AN88&gt;0,IF(AN86&gt;0,1,0))*'2 MEDIA ALTURA'!N$35</f>
        <v>0</v>
      </c>
      <c r="AB88" s="838"/>
      <c r="AC88" s="838">
        <f>IF(OR('2 MEDIA ALTURA'!C29="V",'2 MEDIA ALTURA'!C29="VT",'2 MEDIA ALTURA'!C29="VSB",'2 MEDIA ALTURA'!C29="VTT"),1,0)*'2 MEDIA ALTURA'!C$35</f>
        <v>0</v>
      </c>
      <c r="AD88" s="838">
        <f>IF(OR('2 MEDIA ALTURA'!D29="V",'2 MEDIA ALTURA'!D29="VT",'2 MEDIA ALTURA'!D29="VSB",'2 MEDIA ALTURA'!D29="VTT"),1,0)*'2 MEDIA ALTURA'!D$35</f>
        <v>0</v>
      </c>
      <c r="AE88" s="838">
        <f>IF(OR('2 MEDIA ALTURA'!E29="V",'2 MEDIA ALTURA'!E29="VT",'2 MEDIA ALTURA'!E29="VSB",'2 MEDIA ALTURA'!E29="VTT"),1,0)*'2 MEDIA ALTURA'!E$35</f>
        <v>0</v>
      </c>
      <c r="AF88" s="838">
        <f>IF(OR('2 MEDIA ALTURA'!F29="V",'2 MEDIA ALTURA'!F29="VT",'2 MEDIA ALTURA'!F29="VSB",'2 MEDIA ALTURA'!F29="VTT"),1,0)*'2 MEDIA ALTURA'!F$35</f>
        <v>0</v>
      </c>
      <c r="AG88" s="838">
        <f>IF(OR('2 MEDIA ALTURA'!G29="V",'2 MEDIA ALTURA'!G29="VT",'2 MEDIA ALTURA'!G29="VSB",'2 MEDIA ALTURA'!G29="VTT"),1,0)*'2 MEDIA ALTURA'!G$35</f>
        <v>0</v>
      </c>
      <c r="AH88" s="838">
        <f>IF(OR('2 MEDIA ALTURA'!H29="V",'2 MEDIA ALTURA'!H29="VT",'2 MEDIA ALTURA'!H29="VSB",'2 MEDIA ALTURA'!H29="VTT"),1,0)*'2 MEDIA ALTURA'!H$35</f>
        <v>0</v>
      </c>
      <c r="AI88" s="838">
        <f>IF(OR('2 MEDIA ALTURA'!I29="V",'2 MEDIA ALTURA'!I29="VT",'2 MEDIA ALTURA'!I29="VSB",'2 MEDIA ALTURA'!I29="VTT"),1,0)*'2 MEDIA ALTURA'!I$35</f>
        <v>0</v>
      </c>
      <c r="AJ88" s="838">
        <f>IF(OR('2 MEDIA ALTURA'!J29="V",'2 MEDIA ALTURA'!J29="VT",'2 MEDIA ALTURA'!J29="VSB",'2 MEDIA ALTURA'!J29="VTT"),1,0)*'2 MEDIA ALTURA'!J$35</f>
        <v>0</v>
      </c>
      <c r="AK88" s="838">
        <f>IF(OR('2 MEDIA ALTURA'!K29="V",'2 MEDIA ALTURA'!K29="VT",'2 MEDIA ALTURA'!K29="VSB",'2 MEDIA ALTURA'!K29="VTT"),1,0)*'2 MEDIA ALTURA'!K$35</f>
        <v>0</v>
      </c>
      <c r="AL88" s="838">
        <f>IF(OR('2 MEDIA ALTURA'!L29="V",'2 MEDIA ALTURA'!L29="VT",'2 MEDIA ALTURA'!L29="VSB",'2 MEDIA ALTURA'!L29="VTT"),1,0)*'2 MEDIA ALTURA'!L$35</f>
        <v>0</v>
      </c>
      <c r="AM88" s="838">
        <f>IF(OR('2 MEDIA ALTURA'!M29="V",'2 MEDIA ALTURA'!M29="VT",'2 MEDIA ALTURA'!M29="VSB",'2 MEDIA ALTURA'!M29="VTT"),1,0)*'2 MEDIA ALTURA'!M$35</f>
        <v>0</v>
      </c>
      <c r="AN88" s="838">
        <f>IF(OR('2 MEDIA ALTURA'!N29="V",'2 MEDIA ALTURA'!N29="VT",'2 MEDIA ALTURA'!N29="VSB",'2 MEDIA ALTURA'!N29="VTT"),1,0)*'2 MEDIA ALTURA'!N$35</f>
        <v>0</v>
      </c>
      <c r="AO88" s="838"/>
      <c r="AP88" s="845">
        <f>IF(OR(BC88&gt;0,BP88&gt;0,CC88&gt;0,CP88,0),IF(OR(CC86&gt;0,BP86&gt;0,BC86&gt;0,CP86,0),'2 MEDIA ALTURA'!C$35*'2 MEDIA ALTURA'!C$34,0))/100</f>
        <v>0</v>
      </c>
      <c r="AQ88" s="845">
        <f>IF(OR(BD88&gt;0,BQ88&gt;0,CD88&gt;0,CQ88,0),IF(OR(CD86&gt;0,BQ86&gt;0,BD86&gt;0,CQ86,0),'2 MEDIA ALTURA'!D$35*'2 MEDIA ALTURA'!D$34,0))/100</f>
        <v>0</v>
      </c>
      <c r="AR88" s="845">
        <f>IF(OR(BE88&gt;0,BR88&gt;0,CE88&gt;0,CR88,0),IF(OR(CE86&gt;0,BR86&gt;0,BE86&gt;0,CR86,0),'2 MEDIA ALTURA'!E$35*'2 MEDIA ALTURA'!E$34,0))/100</f>
        <v>0</v>
      </c>
      <c r="AS88" s="845">
        <f>IF(OR(BF88&gt;0,BS88&gt;0,CF88&gt;0,CS88,0),IF(OR(CF86&gt;0,BS86&gt;0,BF86&gt;0,CS86,0),'2 MEDIA ALTURA'!F$35*'2 MEDIA ALTURA'!F$34,0))/100</f>
        <v>0</v>
      </c>
      <c r="AT88" s="845">
        <f>IF(OR(BG88&gt;0,BT88&gt;0,CG88&gt;0,CT88,0),IF(OR(CG86&gt;0,BT86&gt;0,BG86&gt;0,CT86,0),'2 MEDIA ALTURA'!G$35*'2 MEDIA ALTURA'!G$34,0))/100</f>
        <v>0</v>
      </c>
      <c r="AU88" s="845">
        <f>IF(OR(BH88&gt;0,BU88&gt;0,CH88&gt;0,CU88,0),IF(OR(CH86&gt;0,BU86&gt;0,BH86&gt;0,CU86,0),'2 MEDIA ALTURA'!H$35*'2 MEDIA ALTURA'!H$34,0))/100</f>
        <v>0</v>
      </c>
      <c r="AV88" s="845">
        <f>IF(OR(BI88&gt;0,BV88&gt;0,CI88&gt;0,CV88,0),IF(OR(CI86&gt;0,BV86&gt;0,BI86&gt;0,CV86,0),'2 MEDIA ALTURA'!I$35*'2 MEDIA ALTURA'!I$34,0))/100</f>
        <v>0</v>
      </c>
      <c r="AW88" s="845">
        <f>IF(OR(BJ88&gt;0,BW88&gt;0,CJ88&gt;0,CW88,0),IF(OR(CJ86&gt;0,BW86&gt;0,BJ86&gt;0,CW86,0),'2 MEDIA ALTURA'!J$35*'2 MEDIA ALTURA'!J$34,0))/100</f>
        <v>0</v>
      </c>
      <c r="AX88" s="845">
        <f>IF(OR(BK88&gt;0,BX88&gt;0,CK88&gt;0,CX88,0),IF(OR(CK86&gt;0,BX86&gt;0,BK86&gt;0,CX86,0),'2 MEDIA ALTURA'!K$35*'2 MEDIA ALTURA'!K$34,0))/100</f>
        <v>0</v>
      </c>
      <c r="AY88" s="845">
        <f>IF(OR(BL88&gt;0,BY88&gt;0,CL88&gt;0,CY88,0),IF(OR(CL86&gt;0,BY86&gt;0,BL86&gt;0,CY86,0),'2 MEDIA ALTURA'!L$35*'2 MEDIA ALTURA'!L$34,0))/100</f>
        <v>0</v>
      </c>
      <c r="AZ88" s="845">
        <f>IF(OR(BM88&gt;0,BZ88&gt;0,CM88&gt;0,CZ88,0),IF(OR(CM86&gt;0,BZ86&gt;0,BM86&gt;0,CZ86,0),'2 MEDIA ALTURA'!M$35*'2 MEDIA ALTURA'!M$34,0))/100</f>
        <v>0</v>
      </c>
      <c r="BA88" s="845">
        <f>IF(OR(BN88&gt;0,CA88&gt;0,CN88&gt;0,DA88,0),IF(OR(CN86&gt;0,CA86&gt;0,BN86&gt;0,DA86,0),'2 MEDIA ALTURA'!N$35*'2 MEDIA ALTURA'!N$34,0))/100</f>
        <v>0</v>
      </c>
      <c r="BB88" s="838"/>
      <c r="BC88" s="845">
        <f>IF('2 MEDIA ALTURA'!C29='2 MEDIA ALTURA'!$B$40,('2 MEDIA ALTURA'!C28*4)/160,0)*'2 MEDIA ALTURA'!C$35</f>
        <v>0</v>
      </c>
      <c r="BD88" s="845">
        <f>IF('2 MEDIA ALTURA'!D29='2 MEDIA ALTURA'!$B$40,('2 MEDIA ALTURA'!D28*4)/160,0)*'2 MEDIA ALTURA'!D$35</f>
        <v>0</v>
      </c>
      <c r="BE88" s="845">
        <f>IF('2 MEDIA ALTURA'!E29='2 MEDIA ALTURA'!$B$40,('2 MEDIA ALTURA'!E28*4)/160,0)*'2 MEDIA ALTURA'!E$35</f>
        <v>0</v>
      </c>
      <c r="BF88" s="845">
        <f>IF('2 MEDIA ALTURA'!F29='2 MEDIA ALTURA'!$B$40,('2 MEDIA ALTURA'!F28*4)/160,0)*'2 MEDIA ALTURA'!F$35</f>
        <v>0</v>
      </c>
      <c r="BG88" s="845">
        <f>IF('2 MEDIA ALTURA'!G29='2 MEDIA ALTURA'!$B$40,('2 MEDIA ALTURA'!G28*4)/160,0)*'2 MEDIA ALTURA'!G$35</f>
        <v>0</v>
      </c>
      <c r="BH88" s="845">
        <f>IF('2 MEDIA ALTURA'!H29='2 MEDIA ALTURA'!$B$40,('2 MEDIA ALTURA'!H28*4)/160,0)*'2 MEDIA ALTURA'!H$35</f>
        <v>0</v>
      </c>
      <c r="BI88" s="845">
        <f>IF('2 MEDIA ALTURA'!I29='2 MEDIA ALTURA'!$B$40,('2 MEDIA ALTURA'!I28*4)/160,0)*'2 MEDIA ALTURA'!I$35</f>
        <v>0</v>
      </c>
      <c r="BJ88" s="845">
        <f>IF('2 MEDIA ALTURA'!J29='2 MEDIA ALTURA'!$B$40,('2 MEDIA ALTURA'!J28*4)/160,0)*'2 MEDIA ALTURA'!J$35</f>
        <v>0</v>
      </c>
      <c r="BK88" s="845">
        <f>IF('2 MEDIA ALTURA'!K29='2 MEDIA ALTURA'!$B$40,('2 MEDIA ALTURA'!K28*4)/160,0)*'2 MEDIA ALTURA'!K$35</f>
        <v>0</v>
      </c>
      <c r="BL88" s="845">
        <f>IF('2 MEDIA ALTURA'!L29='2 MEDIA ALTURA'!$B$40,('2 MEDIA ALTURA'!L28*4)/160,0)*'2 MEDIA ALTURA'!L$35</f>
        <v>0</v>
      </c>
      <c r="BM88" s="845">
        <f>IF('2 MEDIA ALTURA'!M29='2 MEDIA ALTURA'!$B$40,('2 MEDIA ALTURA'!M28*4)/160,0)*'2 MEDIA ALTURA'!M$35</f>
        <v>0</v>
      </c>
      <c r="BN88" s="845">
        <f>IF('2 MEDIA ALTURA'!N29='2 MEDIA ALTURA'!$B$40,('2 MEDIA ALTURA'!N28*4)/160,0)*'2 MEDIA ALTURA'!N$35</f>
        <v>0</v>
      </c>
      <c r="BO88" s="838"/>
      <c r="BP88" s="845">
        <f>IF('2 MEDIA ALTURA'!C29='2 MEDIA ALTURA'!$B$41,('2 MEDIA ALTURA'!C28*4)/160,0)*'2 MEDIA ALTURA'!C$35</f>
        <v>0</v>
      </c>
      <c r="BQ88" s="845">
        <f>IF('2 MEDIA ALTURA'!D29='2 MEDIA ALTURA'!$B$41,('2 MEDIA ALTURA'!D28*4)/160,0)*'2 MEDIA ALTURA'!D$35</f>
        <v>0</v>
      </c>
      <c r="BR88" s="845">
        <f>IF('2 MEDIA ALTURA'!E29='2 MEDIA ALTURA'!$B$41,('2 MEDIA ALTURA'!E28*4)/160,0)*'2 MEDIA ALTURA'!E$35</f>
        <v>0</v>
      </c>
      <c r="BS88" s="845">
        <f>IF('2 MEDIA ALTURA'!F29='2 MEDIA ALTURA'!$B$41,('2 MEDIA ALTURA'!F28*4)/160,0)*'2 MEDIA ALTURA'!F$35</f>
        <v>0</v>
      </c>
      <c r="BT88" s="845">
        <f>IF('2 MEDIA ALTURA'!G29='2 MEDIA ALTURA'!$B$41,('2 MEDIA ALTURA'!G28*4)/160,0)*'2 MEDIA ALTURA'!G$35</f>
        <v>0</v>
      </c>
      <c r="BU88" s="845">
        <f>IF('2 MEDIA ALTURA'!H29='2 MEDIA ALTURA'!$B$41,('2 MEDIA ALTURA'!H28*4)/160,0)*'2 MEDIA ALTURA'!H$35</f>
        <v>0</v>
      </c>
      <c r="BV88" s="845">
        <f>IF('2 MEDIA ALTURA'!I29='2 MEDIA ALTURA'!$B$41,('2 MEDIA ALTURA'!I28*4)/160,0)*'2 MEDIA ALTURA'!I$35</f>
        <v>0</v>
      </c>
      <c r="BW88" s="845">
        <f>IF('2 MEDIA ALTURA'!J29='2 MEDIA ALTURA'!$B$41,('2 MEDIA ALTURA'!J28*4)/160,0)*'2 MEDIA ALTURA'!J$35</f>
        <v>0</v>
      </c>
      <c r="BX88" s="845">
        <f>IF('2 MEDIA ALTURA'!K29='2 MEDIA ALTURA'!$B$41,('2 MEDIA ALTURA'!K28*4)/160,0)*'2 MEDIA ALTURA'!K$35</f>
        <v>0</v>
      </c>
      <c r="BY88" s="845">
        <f>IF('2 MEDIA ALTURA'!L29='2 MEDIA ALTURA'!$B$41,('2 MEDIA ALTURA'!L28*4)/160,0)*'2 MEDIA ALTURA'!L$35</f>
        <v>0</v>
      </c>
      <c r="BZ88" s="845">
        <f>IF('2 MEDIA ALTURA'!M29='2 MEDIA ALTURA'!$B$41,('2 MEDIA ALTURA'!M28*4)/160,0)*'2 MEDIA ALTURA'!M$35</f>
        <v>0</v>
      </c>
      <c r="CA88" s="845">
        <f>IF('2 MEDIA ALTURA'!N29='2 MEDIA ALTURA'!$B$41,('2 MEDIA ALTURA'!N28*4)/160,0)*'2 MEDIA ALTURA'!N$35</f>
        <v>0</v>
      </c>
      <c r="CB88" s="838"/>
      <c r="CC88" s="845">
        <f>IF('2 MEDIA ALTURA'!C29='2 MEDIA ALTURA'!$B$42,('2 MEDIA ALTURA'!C28*4)/160,0)*'2 MEDIA ALTURA'!C$35</f>
        <v>0</v>
      </c>
      <c r="CD88" s="845">
        <f>IF('2 MEDIA ALTURA'!D29='2 MEDIA ALTURA'!$B$42,('2 MEDIA ALTURA'!D28*4)/160,0)*'2 MEDIA ALTURA'!D$35</f>
        <v>0</v>
      </c>
      <c r="CE88" s="845">
        <f>IF('2 MEDIA ALTURA'!E29='2 MEDIA ALTURA'!$B$42,('2 MEDIA ALTURA'!E28*4)/160,0)*'2 MEDIA ALTURA'!E$35</f>
        <v>0</v>
      </c>
      <c r="CF88" s="845">
        <f>IF('2 MEDIA ALTURA'!F29='2 MEDIA ALTURA'!$B$42,('2 MEDIA ALTURA'!F28*4)/160,0)*'2 MEDIA ALTURA'!F$35</f>
        <v>0</v>
      </c>
      <c r="CG88" s="845">
        <f>IF('2 MEDIA ALTURA'!G29='2 MEDIA ALTURA'!$B$42,('2 MEDIA ALTURA'!G28*4)/160,0)*'2 MEDIA ALTURA'!G$35</f>
        <v>0</v>
      </c>
      <c r="CH88" s="845">
        <f>IF('2 MEDIA ALTURA'!H29='2 MEDIA ALTURA'!$B$42,('2 MEDIA ALTURA'!H28*4)/160,0)*'2 MEDIA ALTURA'!H$35</f>
        <v>0</v>
      </c>
      <c r="CI88" s="845">
        <f>IF('2 MEDIA ALTURA'!I29='2 MEDIA ALTURA'!$B$42,('2 MEDIA ALTURA'!I28*4)/160,0)*'2 MEDIA ALTURA'!I$35</f>
        <v>0</v>
      </c>
      <c r="CJ88" s="845">
        <f>IF('2 MEDIA ALTURA'!J29='2 MEDIA ALTURA'!$B$42,('2 MEDIA ALTURA'!J28*4)/160,0)*'2 MEDIA ALTURA'!J$35</f>
        <v>0</v>
      </c>
      <c r="CK88" s="845">
        <f>IF('2 MEDIA ALTURA'!K29='2 MEDIA ALTURA'!$B$42,('2 MEDIA ALTURA'!K28*4)/160,0)*'2 MEDIA ALTURA'!K$35</f>
        <v>0</v>
      </c>
      <c r="CL88" s="845">
        <f>IF('2 MEDIA ALTURA'!L29='2 MEDIA ALTURA'!$B$42,('2 MEDIA ALTURA'!L28*4)/160,0)*'2 MEDIA ALTURA'!L$35</f>
        <v>0</v>
      </c>
      <c r="CM88" s="845">
        <f>IF('2 MEDIA ALTURA'!M29='2 MEDIA ALTURA'!$B$42,('2 MEDIA ALTURA'!M28*4)/160,0)*'2 MEDIA ALTURA'!M$35</f>
        <v>0</v>
      </c>
      <c r="CN88" s="845">
        <f>IF('2 MEDIA ALTURA'!N29='2 MEDIA ALTURA'!$B$42,('2 MEDIA ALTURA'!N28*4)/160,0)*'2 MEDIA ALTURA'!N$35</f>
        <v>0</v>
      </c>
      <c r="CO88" s="838"/>
      <c r="CP88" s="845">
        <f>IF('2 MEDIA ALTURA'!C29='2 MEDIA ALTURA'!$B$43,('2 MEDIA ALTURA'!C28*4)/160,0)*'2 MEDIA ALTURA'!C$35</f>
        <v>0</v>
      </c>
      <c r="CQ88" s="845">
        <f>IF('2 MEDIA ALTURA'!D29='2 MEDIA ALTURA'!$B$43,('2 MEDIA ALTURA'!D28*4)/160,0)*'2 MEDIA ALTURA'!D$35</f>
        <v>0</v>
      </c>
      <c r="CR88" s="845">
        <f>IF('2 MEDIA ALTURA'!E29='2 MEDIA ALTURA'!$B$43,('2 MEDIA ALTURA'!E28*4)/160,0)*'2 MEDIA ALTURA'!E$35</f>
        <v>0</v>
      </c>
      <c r="CS88" s="845">
        <f>IF('2 MEDIA ALTURA'!F29='2 MEDIA ALTURA'!$B$43,('2 MEDIA ALTURA'!F28*4)/160,0)*'2 MEDIA ALTURA'!F$35</f>
        <v>0</v>
      </c>
      <c r="CT88" s="845">
        <f>IF('2 MEDIA ALTURA'!G29='2 MEDIA ALTURA'!$B$43,('2 MEDIA ALTURA'!G28*4)/160,0)*'2 MEDIA ALTURA'!G$35</f>
        <v>0</v>
      </c>
      <c r="CU88" s="845">
        <f>IF('2 MEDIA ALTURA'!H29='2 MEDIA ALTURA'!$B$43,('2 MEDIA ALTURA'!H28*4)/160,0)*'2 MEDIA ALTURA'!H$35</f>
        <v>0</v>
      </c>
      <c r="CV88" s="845">
        <f>IF('2 MEDIA ALTURA'!I29='2 MEDIA ALTURA'!$B$43,('2 MEDIA ALTURA'!I28*4)/160,0)*'2 MEDIA ALTURA'!I$35</f>
        <v>0</v>
      </c>
      <c r="CW88" s="845">
        <f>IF('2 MEDIA ALTURA'!J29='2 MEDIA ALTURA'!$B$43,('2 MEDIA ALTURA'!J28*4)/160,0)*'2 MEDIA ALTURA'!J$35</f>
        <v>0</v>
      </c>
      <c r="CX88" s="845">
        <f>IF('2 MEDIA ALTURA'!K29='2 MEDIA ALTURA'!$B$43,('2 MEDIA ALTURA'!K28*4)/160,0)*'2 MEDIA ALTURA'!K$35</f>
        <v>0</v>
      </c>
      <c r="CY88" s="845">
        <f>IF('2 MEDIA ALTURA'!L29='2 MEDIA ALTURA'!$B$43,('2 MEDIA ALTURA'!L28*4)/160,0)*'2 MEDIA ALTURA'!L$35</f>
        <v>0</v>
      </c>
      <c r="CZ88" s="845">
        <f>IF('2 MEDIA ALTURA'!M29='2 MEDIA ALTURA'!$B$43,('2 MEDIA ALTURA'!M28*4)/160,0)*'2 MEDIA ALTURA'!M$35</f>
        <v>0</v>
      </c>
      <c r="DA88" s="845">
        <f>IF('2 MEDIA ALTURA'!N29='2 MEDIA ALTURA'!$B$43,('2 MEDIA ALTURA'!N28*4)/160,0)*'2 MEDIA ALTURA'!N$35</f>
        <v>0</v>
      </c>
      <c r="DB88" s="838"/>
    </row>
    <row r="89" spans="1:160" x14ac:dyDescent="0.35">
      <c r="A89" s="678"/>
      <c r="C89" s="838"/>
      <c r="D89" s="838"/>
      <c r="E89" s="838"/>
      <c r="F89" s="838"/>
      <c r="G89" s="838"/>
      <c r="H89" s="838"/>
      <c r="I89" s="838"/>
      <c r="J89" s="838"/>
      <c r="K89" s="838"/>
      <c r="L89" s="838"/>
      <c r="M89" s="838"/>
      <c r="N89" s="838"/>
      <c r="O89" s="838"/>
      <c r="P89" s="838"/>
      <c r="Q89" s="838"/>
      <c r="R89" s="838"/>
      <c r="S89" s="838"/>
      <c r="T89" s="838"/>
      <c r="U89" s="838"/>
      <c r="V89" s="838"/>
      <c r="W89" s="838"/>
      <c r="X89" s="838"/>
      <c r="Y89" s="838"/>
      <c r="Z89" s="838"/>
      <c r="AA89" s="838"/>
      <c r="AB89" s="838"/>
      <c r="AC89" s="838"/>
      <c r="AD89" s="838"/>
      <c r="AE89" s="838"/>
      <c r="AF89" s="838"/>
      <c r="AG89" s="838"/>
      <c r="AH89" s="838"/>
      <c r="AI89" s="838"/>
      <c r="AJ89" s="838"/>
      <c r="AK89" s="838"/>
      <c r="AL89" s="859"/>
      <c r="AM89" s="838"/>
      <c r="AN89" s="859"/>
      <c r="AO89" s="838"/>
      <c r="AP89" s="839">
        <f>SUM(AP78:AP88)</f>
        <v>0</v>
      </c>
      <c r="AQ89" s="839">
        <f t="shared" ref="AQ89:BA89" si="27">SUM(AQ78:AQ88)</f>
        <v>0</v>
      </c>
      <c r="AR89" s="839">
        <f t="shared" si="27"/>
        <v>0</v>
      </c>
      <c r="AS89" s="839">
        <f t="shared" si="27"/>
        <v>0</v>
      </c>
      <c r="AT89" s="839">
        <f t="shared" si="27"/>
        <v>0</v>
      </c>
      <c r="AU89" s="839">
        <f t="shared" si="27"/>
        <v>0</v>
      </c>
      <c r="AV89" s="839">
        <f t="shared" si="27"/>
        <v>0</v>
      </c>
      <c r="AW89" s="839">
        <f t="shared" si="27"/>
        <v>0</v>
      </c>
      <c r="AX89" s="839">
        <f t="shared" si="27"/>
        <v>0</v>
      </c>
      <c r="AY89" s="839">
        <f t="shared" si="27"/>
        <v>0</v>
      </c>
      <c r="AZ89" s="839">
        <f t="shared" si="27"/>
        <v>0</v>
      </c>
      <c r="BA89" s="839">
        <f t="shared" si="27"/>
        <v>0</v>
      </c>
      <c r="BB89" s="855"/>
      <c r="BC89" s="844">
        <f>SUM(BC76:BC88)</f>
        <v>0</v>
      </c>
      <c r="BD89" s="844">
        <f t="shared" ref="BD89:BN89" si="28">SUM(BD76:BD88)</f>
        <v>0</v>
      </c>
      <c r="BE89" s="844">
        <f t="shared" si="28"/>
        <v>0</v>
      </c>
      <c r="BF89" s="844">
        <f t="shared" si="28"/>
        <v>0</v>
      </c>
      <c r="BG89" s="844">
        <f t="shared" si="28"/>
        <v>0</v>
      </c>
      <c r="BH89" s="844">
        <f t="shared" si="28"/>
        <v>0</v>
      </c>
      <c r="BI89" s="844">
        <f t="shared" si="28"/>
        <v>0</v>
      </c>
      <c r="BJ89" s="844">
        <f t="shared" si="28"/>
        <v>0</v>
      </c>
      <c r="BK89" s="844">
        <f t="shared" si="28"/>
        <v>0</v>
      </c>
      <c r="BL89" s="844">
        <f t="shared" si="28"/>
        <v>0</v>
      </c>
      <c r="BM89" s="844">
        <f t="shared" si="28"/>
        <v>0</v>
      </c>
      <c r="BN89" s="844">
        <f t="shared" si="28"/>
        <v>0</v>
      </c>
      <c r="BO89" s="855"/>
      <c r="BP89" s="844">
        <f t="shared" ref="BP89:CA89" si="29">SUM(BP76:BP88)</f>
        <v>0</v>
      </c>
      <c r="BQ89" s="844">
        <f t="shared" si="29"/>
        <v>0</v>
      </c>
      <c r="BR89" s="844">
        <f t="shared" si="29"/>
        <v>0</v>
      </c>
      <c r="BS89" s="844">
        <f t="shared" si="29"/>
        <v>0</v>
      </c>
      <c r="BT89" s="844">
        <f t="shared" si="29"/>
        <v>0</v>
      </c>
      <c r="BU89" s="844">
        <f t="shared" si="29"/>
        <v>0</v>
      </c>
      <c r="BV89" s="844">
        <f t="shared" si="29"/>
        <v>0</v>
      </c>
      <c r="BW89" s="844">
        <f t="shared" si="29"/>
        <v>0</v>
      </c>
      <c r="BX89" s="844">
        <f t="shared" si="29"/>
        <v>0</v>
      </c>
      <c r="BY89" s="844">
        <f t="shared" si="29"/>
        <v>0</v>
      </c>
      <c r="BZ89" s="844">
        <f t="shared" si="29"/>
        <v>0</v>
      </c>
      <c r="CA89" s="844">
        <f t="shared" si="29"/>
        <v>0</v>
      </c>
      <c r="CB89" s="855"/>
      <c r="CC89" s="844">
        <f t="shared" ref="CC89:CN89" si="30">SUM(CC76:CC88)</f>
        <v>0</v>
      </c>
      <c r="CD89" s="844">
        <f t="shared" si="30"/>
        <v>0</v>
      </c>
      <c r="CE89" s="844">
        <f t="shared" si="30"/>
        <v>0</v>
      </c>
      <c r="CF89" s="844">
        <f t="shared" si="30"/>
        <v>0</v>
      </c>
      <c r="CG89" s="844">
        <f t="shared" si="30"/>
        <v>0</v>
      </c>
      <c r="CH89" s="844">
        <f t="shared" si="30"/>
        <v>0</v>
      </c>
      <c r="CI89" s="844">
        <f t="shared" si="30"/>
        <v>0</v>
      </c>
      <c r="CJ89" s="844">
        <f t="shared" si="30"/>
        <v>0</v>
      </c>
      <c r="CK89" s="844">
        <f t="shared" si="30"/>
        <v>0</v>
      </c>
      <c r="CL89" s="844">
        <f t="shared" si="30"/>
        <v>0</v>
      </c>
      <c r="CM89" s="844">
        <f t="shared" si="30"/>
        <v>0</v>
      </c>
      <c r="CN89" s="844">
        <f t="shared" si="30"/>
        <v>0</v>
      </c>
      <c r="CO89" s="855"/>
      <c r="CP89" s="844">
        <f t="shared" ref="CP89:DA89" si="31">SUM(CP76:CP88)</f>
        <v>0</v>
      </c>
      <c r="CQ89" s="844">
        <f t="shared" si="31"/>
        <v>0</v>
      </c>
      <c r="CR89" s="844">
        <f t="shared" si="31"/>
        <v>0</v>
      </c>
      <c r="CS89" s="844">
        <f t="shared" si="31"/>
        <v>0</v>
      </c>
      <c r="CT89" s="844">
        <f t="shared" si="31"/>
        <v>0</v>
      </c>
      <c r="CU89" s="844">
        <f t="shared" si="31"/>
        <v>0</v>
      </c>
      <c r="CV89" s="844">
        <f t="shared" si="31"/>
        <v>0</v>
      </c>
      <c r="CW89" s="844">
        <f t="shared" si="31"/>
        <v>0</v>
      </c>
      <c r="CX89" s="844">
        <f t="shared" si="31"/>
        <v>0</v>
      </c>
      <c r="CY89" s="844">
        <f t="shared" si="31"/>
        <v>0</v>
      </c>
      <c r="CZ89" s="844">
        <f t="shared" si="31"/>
        <v>0</v>
      </c>
      <c r="DA89" s="844">
        <f t="shared" si="31"/>
        <v>0</v>
      </c>
      <c r="DB89" s="855"/>
    </row>
    <row r="90" spans="1:160" x14ac:dyDescent="0.35">
      <c r="A90" s="856"/>
      <c r="C90" s="838"/>
      <c r="D90" s="838"/>
      <c r="E90" s="838"/>
      <c r="F90" s="838"/>
      <c r="G90" s="838"/>
      <c r="H90" s="838"/>
      <c r="I90" s="838"/>
      <c r="J90" s="838"/>
      <c r="K90" s="838"/>
      <c r="L90" s="838"/>
      <c r="M90" s="838"/>
      <c r="N90" s="838"/>
      <c r="O90" s="838"/>
      <c r="P90" s="838"/>
      <c r="Q90" s="838"/>
      <c r="R90" s="838"/>
      <c r="S90" s="838"/>
      <c r="T90" s="838"/>
      <c r="U90" s="838"/>
      <c r="V90" s="838"/>
      <c r="W90" s="838"/>
      <c r="X90" s="838"/>
      <c r="Y90" s="838"/>
      <c r="Z90" s="838"/>
      <c r="AA90" s="838"/>
      <c r="AB90" s="838"/>
      <c r="AC90" s="838"/>
      <c r="AD90" s="838"/>
      <c r="AE90" s="838"/>
      <c r="AF90" s="838"/>
      <c r="AG90" s="838"/>
      <c r="AH90" s="838"/>
      <c r="AI90" s="838"/>
      <c r="AJ90" s="838"/>
      <c r="AK90" s="838"/>
      <c r="AL90" s="838"/>
      <c r="AM90" s="838"/>
      <c r="AN90" s="838"/>
      <c r="AO90" s="838"/>
      <c r="BB90" s="838"/>
      <c r="BC90" s="777">
        <f>IF(OR('2 MEDIA ALTURA'!C31="PT MODULAR",'2 MEDIA ALTURA'!C31="TABLERO COMPLETO",'2 MEDIA ALTURA'!C33&gt;200,),0,SUM(BC76:BC88)*0.4)</f>
        <v>0</v>
      </c>
      <c r="BD90" s="777">
        <f>IF(OR('2 MEDIA ALTURA'!D31="PT MODULAR",'2 MEDIA ALTURA'!D31="TABLERO COMPLETO",'2 MEDIA ALTURA'!D33&gt;200,),0,SUM(BD76:BD88)*0.4)</f>
        <v>0</v>
      </c>
      <c r="BE90" s="777">
        <f>IF(OR('2 MEDIA ALTURA'!E31="PT MODULAR",'2 MEDIA ALTURA'!E31="TABLERO COMPLETO",'2 MEDIA ALTURA'!E33&gt;200,),0,SUM(BE76:BE88)*0.4)</f>
        <v>0</v>
      </c>
      <c r="BF90" s="777">
        <f>IF(OR('2 MEDIA ALTURA'!F31="PT MODULAR",'2 MEDIA ALTURA'!F31="TABLERO COMPLETO",'2 MEDIA ALTURA'!F33&gt;200,),0,SUM(BF76:BF88)*0.4)</f>
        <v>0</v>
      </c>
      <c r="BG90" s="777">
        <f>IF(OR('2 MEDIA ALTURA'!G31="PT MODULAR",'2 MEDIA ALTURA'!G31="TABLERO COMPLETO",'2 MEDIA ALTURA'!G33&gt;200,),0,SUM(BG76:BG88)*0.4)</f>
        <v>0</v>
      </c>
      <c r="BH90" s="777">
        <f>IF(OR('2 MEDIA ALTURA'!H31="PT MODULAR",'2 MEDIA ALTURA'!H31="TABLERO COMPLETO",'2 MEDIA ALTURA'!H33&gt;200,),0,SUM(BH76:BH88)*0.4)</f>
        <v>0</v>
      </c>
      <c r="BI90" s="777">
        <f>IF(OR('2 MEDIA ALTURA'!I31="PT MODULAR",'2 MEDIA ALTURA'!I31="TABLERO COMPLETO",'2 MEDIA ALTURA'!I33&gt;200,),0,SUM(BI76:BI88)*0.4)</f>
        <v>0</v>
      </c>
      <c r="BJ90" s="777">
        <f>IF(OR('2 MEDIA ALTURA'!J31="PT MODULAR",'2 MEDIA ALTURA'!J31="TABLERO COMPLETO",'2 MEDIA ALTURA'!J33&gt;200,),0,SUM(BJ76:BJ88)*0.4)</f>
        <v>0</v>
      </c>
      <c r="BK90" s="777">
        <f>IF(OR('2 MEDIA ALTURA'!K31="PT MODULAR",'2 MEDIA ALTURA'!K31="TABLERO COMPLETO",'2 MEDIA ALTURA'!K33&gt;200,),0,SUM(BK76:BK88)*0.4)</f>
        <v>0</v>
      </c>
      <c r="BL90" s="777">
        <f>IF(OR('2 MEDIA ALTURA'!L31="PT MODULAR",'2 MEDIA ALTURA'!L31="TABLERO COMPLETO",'2 MEDIA ALTURA'!L33&gt;200,),0,SUM(BL76:BL88)*0.4)</f>
        <v>0</v>
      </c>
      <c r="BM90" s="777">
        <f>IF(OR('2 MEDIA ALTURA'!M31="PT MODULAR",'2 MEDIA ALTURA'!M31="TABLERO COMPLETO",'2 MEDIA ALTURA'!M33&gt;200,),0,SUM(BM76:BM88)*0.4)</f>
        <v>0</v>
      </c>
      <c r="BN90" s="777">
        <f>IF(OR('2 MEDIA ALTURA'!N31="PT MODULAR",'2 MEDIA ALTURA'!N31="TABLERO COMPLETO",'2 MEDIA ALTURA'!N33&gt;200,),0,SUM(BN76:BN88)*0.4)</f>
        <v>0</v>
      </c>
      <c r="BP90" s="777">
        <f>IF(OR('2 MEDIA ALTURA'!C31="PT MODULAR",'2 MEDIA ALTURA'!C31="TABLERO COMPLETO",'2 MEDIA ALTURA'!C33&gt;200,),0,SUM(BP76:BP88)*0.4)</f>
        <v>0</v>
      </c>
      <c r="BQ90" s="777">
        <f>IF(OR('2 MEDIA ALTURA'!D31="PT MODULAR",'2 MEDIA ALTURA'!D31="TABLERO COMPLETO",'2 MEDIA ALTURA'!D33&gt;200,),0,SUM(BQ76:BQ88)*0.4)</f>
        <v>0</v>
      </c>
      <c r="BR90" s="777">
        <f>IF(OR('2 MEDIA ALTURA'!E31="PT MODULAR",'2 MEDIA ALTURA'!E31="TABLERO COMPLETO",'2 MEDIA ALTURA'!E33&gt;200,),0,SUM(BR76:BR88)*0.4)</f>
        <v>0</v>
      </c>
      <c r="BS90" s="777">
        <f>IF(OR('2 MEDIA ALTURA'!F31="PT MODULAR",'2 MEDIA ALTURA'!F31="TABLERO COMPLETO",'2 MEDIA ALTURA'!F33&gt;200,),0,SUM(BS76:BS88)*0.4)</f>
        <v>0</v>
      </c>
      <c r="BT90" s="777">
        <f>IF(OR('2 MEDIA ALTURA'!G31="PT MODULAR",'2 MEDIA ALTURA'!G31="TABLERO COMPLETO",'2 MEDIA ALTURA'!G33&gt;200,),0,SUM(BT76:BT88)*0.4)</f>
        <v>0</v>
      </c>
      <c r="BU90" s="777">
        <f>IF(OR('2 MEDIA ALTURA'!H31="PT MODULAR",'2 MEDIA ALTURA'!H31="TABLERO COMPLETO",'2 MEDIA ALTURA'!H33&gt;200,),0,SUM(BU76:BU88)*0.4)</f>
        <v>0</v>
      </c>
      <c r="BV90" s="777">
        <f>IF(OR('2 MEDIA ALTURA'!I31="PT MODULAR",'2 MEDIA ALTURA'!I31="TABLERO COMPLETO",'2 MEDIA ALTURA'!I33&gt;200,),0,SUM(BV76:BV88)*0.4)</f>
        <v>0</v>
      </c>
      <c r="BW90" s="777">
        <f>IF(OR('2 MEDIA ALTURA'!J31="PT MODULAR",'2 MEDIA ALTURA'!J31="TABLERO COMPLETO",'2 MEDIA ALTURA'!J33&gt;200,),0,SUM(BW76:BW88)*0.4)</f>
        <v>0</v>
      </c>
      <c r="BX90" s="777">
        <f>IF(OR('2 MEDIA ALTURA'!K31="PT MODULAR",'2 MEDIA ALTURA'!K31="TABLERO COMPLETO",'2 MEDIA ALTURA'!K33&gt;200,),0,SUM(BX76:BX88)*0.4)</f>
        <v>0</v>
      </c>
      <c r="BY90" s="777">
        <f>IF(OR('2 MEDIA ALTURA'!L31="PT MODULAR",'2 MEDIA ALTURA'!L31="TABLERO COMPLETO",'2 MEDIA ALTURA'!L33&gt;200,),0,SUM(BY76:BY88)*0.4)</f>
        <v>0</v>
      </c>
      <c r="BZ90" s="777">
        <f>IF(OR('2 MEDIA ALTURA'!M31="PT MODULAR",'2 MEDIA ALTURA'!M31="TABLERO COMPLETO",'2 MEDIA ALTURA'!M33&gt;200,),0,SUM(BZ76:BZ88)*0.4)</f>
        <v>0</v>
      </c>
      <c r="CA90" s="777">
        <f>IF(OR('2 MEDIA ALTURA'!N31="PT MODULAR",'2 MEDIA ALTURA'!N31="TABLERO COMPLETO",'2 MEDIA ALTURA'!N33&gt;200,),0,SUM(CA76:CA88)*0.4)</f>
        <v>0</v>
      </c>
      <c r="CC90" s="777">
        <f>IF(OR('2 MEDIA ALTURA'!C31="PT MODULAR",'2 MEDIA ALTURA'!C31="TABLERO COMPLETO",'2 MEDIA ALTURA'!C33&gt;200,),0,SUM(CC76:CC88)*0.4)</f>
        <v>0</v>
      </c>
      <c r="CD90" s="777">
        <f>IF(OR('2 MEDIA ALTURA'!D31="PT MODULAR",'2 MEDIA ALTURA'!D31="TABLERO COMPLETO",'2 MEDIA ALTURA'!D33&gt;200,),0,SUM(CD76:CD88)*0.4)</f>
        <v>0</v>
      </c>
      <c r="CE90" s="777">
        <f>IF(OR('2 MEDIA ALTURA'!E31="PT MODULAR",'2 MEDIA ALTURA'!E31="TABLERO COMPLETO",'2 MEDIA ALTURA'!E33&gt;200,),0,SUM(CE76:CE88)*0.4)</f>
        <v>0</v>
      </c>
      <c r="CF90" s="777">
        <f>IF(OR('2 MEDIA ALTURA'!F31="PT MODULAR",'2 MEDIA ALTURA'!F31="TABLERO COMPLETO",'2 MEDIA ALTURA'!F33&gt;200,),0,SUM(CF76:CF88)*0.4)</f>
        <v>0</v>
      </c>
      <c r="CG90" s="777">
        <f>IF(OR('2 MEDIA ALTURA'!G31="PT MODULAR",'2 MEDIA ALTURA'!G31="TABLERO COMPLETO",'2 MEDIA ALTURA'!G33&gt;200,),0,SUM(CG76:CG88)*0.4)</f>
        <v>0</v>
      </c>
      <c r="CH90" s="777">
        <f>IF(OR('2 MEDIA ALTURA'!H31="PT MODULAR",'2 MEDIA ALTURA'!H31="TABLERO COMPLETO",'2 MEDIA ALTURA'!H33&gt;200,),0,SUM(CH76:CH88)*0.4)</f>
        <v>0</v>
      </c>
      <c r="CI90" s="777">
        <f>IF(OR('2 MEDIA ALTURA'!I31="PT MODULAR",'2 MEDIA ALTURA'!I31="TABLERO COMPLETO",'2 MEDIA ALTURA'!I33&gt;200,),0,SUM(CI76:CI88)*0.4)</f>
        <v>0</v>
      </c>
      <c r="CJ90" s="777">
        <f>IF(OR('2 MEDIA ALTURA'!J31="PT MODULAR",'2 MEDIA ALTURA'!J31="TABLERO COMPLETO",'2 MEDIA ALTURA'!J33&gt;200,),0,SUM(CJ76:CJ88)*0.4)</f>
        <v>0</v>
      </c>
      <c r="CK90" s="777">
        <f>IF(OR('2 MEDIA ALTURA'!K31="PT MODULAR",'2 MEDIA ALTURA'!K31="TABLERO COMPLETO",'2 MEDIA ALTURA'!K33&gt;200,),0,SUM(CK76:CK88)*0.4)</f>
        <v>0</v>
      </c>
      <c r="CL90" s="777">
        <f>IF(OR('2 MEDIA ALTURA'!L31="PT MODULAR",'2 MEDIA ALTURA'!L31="TABLERO COMPLETO",'2 MEDIA ALTURA'!L33&gt;200,),0,SUM(CL76:CL88)*0.4)</f>
        <v>0</v>
      </c>
      <c r="CM90" s="777">
        <f>IF(OR('2 MEDIA ALTURA'!M31="PT MODULAR",'2 MEDIA ALTURA'!M31="TABLERO COMPLETO",'2 MEDIA ALTURA'!M33&gt;200,),0,SUM(CM76:CM88)*0.4)</f>
        <v>0</v>
      </c>
      <c r="CN90" s="777">
        <f>IF(OR('2 MEDIA ALTURA'!N31="PT MODULAR",'2 MEDIA ALTURA'!N31="TABLERO COMPLETO",'2 MEDIA ALTURA'!N33&gt;200,),0,SUM(CN76:CN88)*0.4)</f>
        <v>0</v>
      </c>
      <c r="CP90" s="777">
        <f>IF(OR('2 MEDIA ALTURA'!C31="PT MODULAR",'2 MEDIA ALTURA'!C31="TABLERO COMPLETO",'2 MEDIA ALTURA'!C33&gt;200,),0,SUM(CP76:CP88)*0.4)</f>
        <v>0</v>
      </c>
      <c r="CQ90" s="777">
        <f>IF(OR('2 MEDIA ALTURA'!D31="PT MODULAR",'2 MEDIA ALTURA'!D31="TABLERO COMPLETO",'2 MEDIA ALTURA'!D33&gt;200,),0,SUM(CQ76:CQ88)*0.4)</f>
        <v>0</v>
      </c>
      <c r="CR90" s="777">
        <f>IF(OR('2 MEDIA ALTURA'!E31="PT MODULAR",'2 MEDIA ALTURA'!E31="TABLERO COMPLETO",'2 MEDIA ALTURA'!E33&gt;200,),0,SUM(CR76:CR88)*0.4)</f>
        <v>0</v>
      </c>
      <c r="CS90" s="777">
        <f>IF(OR('2 MEDIA ALTURA'!F31="PT MODULAR",'2 MEDIA ALTURA'!F31="TABLERO COMPLETO",'2 MEDIA ALTURA'!F33&gt;200,),0,SUM(CS76:CS88)*0.4)</f>
        <v>0</v>
      </c>
      <c r="CT90" s="777">
        <f>IF(OR('2 MEDIA ALTURA'!G31="PT MODULAR",'2 MEDIA ALTURA'!G31="TABLERO COMPLETO",'2 MEDIA ALTURA'!G33&gt;200,),0,SUM(CT76:CT88)*0.4)</f>
        <v>0</v>
      </c>
      <c r="CU90" s="777">
        <f>IF(OR('2 MEDIA ALTURA'!H31="PT MODULAR",'2 MEDIA ALTURA'!H31="TABLERO COMPLETO",'2 MEDIA ALTURA'!H33&gt;200,),0,SUM(CU76:CU88)*0.4)</f>
        <v>0</v>
      </c>
      <c r="CV90" s="777">
        <f>IF(OR('2 MEDIA ALTURA'!I31="PT MODULAR",'2 MEDIA ALTURA'!I31="TABLERO COMPLETO",'2 MEDIA ALTURA'!I33&gt;200,),0,SUM(CV76:CV88)*0.4)</f>
        <v>0</v>
      </c>
      <c r="CW90" s="777">
        <f>IF(OR('2 MEDIA ALTURA'!J31="PT MODULAR",'2 MEDIA ALTURA'!J31="TABLERO COMPLETO",'2 MEDIA ALTURA'!J33&gt;200,),0,SUM(CW76:CW88)*0.4)</f>
        <v>0</v>
      </c>
      <c r="CX90" s="777">
        <f>IF(OR('2 MEDIA ALTURA'!K31="PT MODULAR",'2 MEDIA ALTURA'!K31="TABLERO COMPLETO",'2 MEDIA ALTURA'!K33&gt;200,),0,SUM(CX76:CX88)*0.4)</f>
        <v>0</v>
      </c>
      <c r="CY90" s="777">
        <f>IF(OR('2 MEDIA ALTURA'!L31="PT MODULAR",'2 MEDIA ALTURA'!L31="TABLERO COMPLETO",'2 MEDIA ALTURA'!L33&gt;200,),0,SUM(CY76:CY88)*0.4)</f>
        <v>0</v>
      </c>
      <c r="CZ90" s="777">
        <f>IF(OR('2 MEDIA ALTURA'!M31="PT MODULAR",'2 MEDIA ALTURA'!M31="TABLERO COMPLETO",'2 MEDIA ALTURA'!M33&gt;200,),0,SUM(CZ76:CZ88)*0.4)</f>
        <v>0</v>
      </c>
      <c r="DA90" s="777">
        <f>IF(OR('2 MEDIA ALTURA'!N31="PT MODULAR",'2 MEDIA ALTURA'!N31="TABLERO COMPLETO",'2 MEDIA ALTURA'!N33&gt;200,),0,SUM(DA76:DA88)*0.4)</f>
        <v>0</v>
      </c>
    </row>
    <row r="91" spans="1:160" x14ac:dyDescent="0.35">
      <c r="A91" s="856"/>
      <c r="C91" s="838"/>
      <c r="D91" s="838"/>
      <c r="E91" s="838"/>
      <c r="F91" s="838"/>
      <c r="G91" s="838"/>
      <c r="H91" s="838"/>
      <c r="I91" s="838"/>
      <c r="J91" s="838"/>
      <c r="K91" s="838"/>
      <c r="L91" s="838"/>
      <c r="M91" s="838"/>
      <c r="N91" s="838"/>
      <c r="O91" s="838"/>
      <c r="P91" s="838"/>
      <c r="Q91" s="838"/>
      <c r="R91" s="838"/>
      <c r="S91" s="838"/>
      <c r="T91" s="838"/>
      <c r="U91" s="838"/>
      <c r="V91" s="838"/>
      <c r="W91" s="838"/>
      <c r="X91" s="838"/>
      <c r="Y91" s="838"/>
      <c r="Z91" s="838"/>
      <c r="AA91" s="838"/>
      <c r="AB91" s="838"/>
      <c r="AC91" s="838"/>
      <c r="AD91" s="838"/>
      <c r="AE91" s="838"/>
      <c r="AF91" s="838"/>
      <c r="AG91" s="838"/>
      <c r="AH91" s="838"/>
      <c r="AI91" s="838"/>
      <c r="AJ91" s="838"/>
      <c r="AK91" s="838"/>
      <c r="AL91" s="838"/>
      <c r="AM91" s="838"/>
      <c r="AN91" s="838"/>
      <c r="AO91" s="838"/>
      <c r="BB91" s="838"/>
      <c r="BC91" s="777">
        <f>IF(BC90&gt;0,0,IF(SUM(BC76:BC88)=0,0,IF(SUM(BC76:BC88)*40/'2 MEDIA ALTURA'!C35&lt;80,4,IF(SUM(BC76:BC88)*40/'2 MEDIA ALTURA'!C35&lt;160,6,IF(SUM(BC76:BC88)*40/'2 MEDIA ALTURA'!C35&lt;250,8,0))))*'2 MEDIA ALTURA'!C35)</f>
        <v>0</v>
      </c>
      <c r="BD91" s="777">
        <f>IF(BD90&gt;0,0,IF(SUM(BD76:BD88)=0,0,IF(SUM(BD76:BD88)*40/'2 MEDIA ALTURA'!D35&lt;80,4,IF(SUM(BD76:BD88)*40/'2 MEDIA ALTURA'!D35&lt;160,6,IF(SUM(BD76:BD88)*40/'2 MEDIA ALTURA'!D35&lt;250,8,0))))*'2 MEDIA ALTURA'!D35)</f>
        <v>0</v>
      </c>
      <c r="BE91" s="777">
        <f>IF(BE90&gt;0,0,IF(SUM(BE76:BE88)=0,0,IF(SUM(BE76:BE88)*40/'2 MEDIA ALTURA'!E35&lt;80,4,IF(SUM(BE76:BE88)*40/'2 MEDIA ALTURA'!E35&lt;160,6,IF(SUM(BE76:BE88)*40/'2 MEDIA ALTURA'!E35&lt;250,8,0))))*'2 MEDIA ALTURA'!E35)</f>
        <v>0</v>
      </c>
      <c r="BF91" s="777">
        <f>IF(BF90&gt;0,0,IF(SUM(BF76:BF88)=0,0,IF(SUM(BF76:BF88)*40/'2 MEDIA ALTURA'!F35&lt;80,4,IF(SUM(BF76:BF88)*40/'2 MEDIA ALTURA'!F35&lt;160,6,IF(SUM(BF76:BF88)*40/'2 MEDIA ALTURA'!F35&lt;250,8,0))))*'2 MEDIA ALTURA'!F35)</f>
        <v>0</v>
      </c>
      <c r="BG91" s="777">
        <f>IF(BG90&gt;0,0,IF(SUM(BG76:BG88)=0,0,IF(SUM(BG76:BG88)*40/'2 MEDIA ALTURA'!G35&lt;80,4,IF(SUM(BG76:BG88)*40/'2 MEDIA ALTURA'!G35&lt;160,6,IF(SUM(BG76:BG88)*40/'2 MEDIA ALTURA'!G35&lt;250,8,0))))*'2 MEDIA ALTURA'!G35)</f>
        <v>0</v>
      </c>
      <c r="BH91" s="777">
        <f>IF(BH90&gt;0,0,IF(SUM(BH76:BH88)=0,0,IF(SUM(BH76:BH88)*40/'2 MEDIA ALTURA'!H35&lt;80,4,IF(SUM(BH76:BH88)*40/'2 MEDIA ALTURA'!H35&lt;160,6,IF(SUM(BH76:BH88)*40/'2 MEDIA ALTURA'!H35&lt;250,8,0))))*'2 MEDIA ALTURA'!H35)</f>
        <v>0</v>
      </c>
      <c r="BI91" s="777">
        <f>IF(BI90&gt;0,0,IF(SUM(BI76:BI88)=0,0,IF(SUM(BI76:BI88)*40/'2 MEDIA ALTURA'!I35&lt;80,4,IF(SUM(BI76:BI88)*40/'2 MEDIA ALTURA'!I35&lt;160,6,IF(SUM(BI76:BI88)*40/'2 MEDIA ALTURA'!I35&lt;250,8,0))))*'2 MEDIA ALTURA'!I35)</f>
        <v>0</v>
      </c>
      <c r="BJ91" s="777">
        <f>IF(BJ90&gt;0,0,IF(SUM(BJ76:BJ88)=0,0,IF(SUM(BJ76:BJ88)*40/'2 MEDIA ALTURA'!J35&lt;80,4,IF(SUM(BJ76:BJ88)*40/'2 MEDIA ALTURA'!J35&lt;160,6,IF(SUM(BJ76:BJ88)*40/'2 MEDIA ALTURA'!J35&lt;250,8,0))))*'2 MEDIA ALTURA'!J35)</f>
        <v>0</v>
      </c>
      <c r="BK91" s="777">
        <f>IF(BK90&gt;0,0,IF(SUM(BK76:BK88)=0,0,IF(SUM(BK76:BK88)*40/'2 MEDIA ALTURA'!K35&lt;80,4,IF(SUM(BK76:BK88)*40/'2 MEDIA ALTURA'!K35&lt;160,6,IF(SUM(BK76:BK88)*40/'2 MEDIA ALTURA'!K35&lt;250,8,0))))*'2 MEDIA ALTURA'!K35)</f>
        <v>0</v>
      </c>
      <c r="BL91" s="777">
        <f>IF(BL90&gt;0,0,IF(SUM(BL76:BL88)=0,0,IF(SUM(BL76:BL88)*40/'2 MEDIA ALTURA'!L35&lt;80,4,IF(SUM(BL76:BL88)*40/'2 MEDIA ALTURA'!L35&lt;160,6,IF(SUM(BL76:BL88)*40/'2 MEDIA ALTURA'!L35&lt;250,8,0))))*'2 MEDIA ALTURA'!L35)</f>
        <v>0</v>
      </c>
      <c r="BM91" s="777">
        <f>IF(BM90&gt;0,0,IF(SUM(BM76:BM88)=0,0,IF(SUM(BM76:BM88)*40/'2 MEDIA ALTURA'!M35&lt;80,4,IF(SUM(BM76:BM88)*40/'2 MEDIA ALTURA'!M35&lt;160,6,IF(SUM(BM76:BM88)*40/'2 MEDIA ALTURA'!M35&lt;250,8,0))))*'2 MEDIA ALTURA'!M35)</f>
        <v>0</v>
      </c>
      <c r="BN91" s="777">
        <f>IF(BN90&gt;0,0,IF(SUM(BN76:BN88)=0,0,IF(SUM(BN76:BN88)*40/'2 MEDIA ALTURA'!N35&lt;80,4,IF(SUM(BN76:BN88)*40/'2 MEDIA ALTURA'!N35&lt;160,6,IF(SUM(BN76:BN88)*40/'2 MEDIA ALTURA'!N35&lt;250,8,0))))*'2 MEDIA ALTURA'!N35)</f>
        <v>0</v>
      </c>
      <c r="BP91" s="777">
        <f>IF(BP90&gt;0,0,IF(SUM(BP76:BP88)=0,0,IF(SUM(BP76:BP88)*40/'2 MEDIA ALTURA'!C35&lt;80,4,IF(SUM(BP76:BP88)*40/'2 MEDIA ALTURA'!C35&lt;160,6,IF(SUM(BP76:BP88)*40/'2 MEDIA ALTURA'!C35&lt;250,8,0))))*'2 MEDIA ALTURA'!C35)</f>
        <v>0</v>
      </c>
      <c r="BQ91" s="777">
        <f>IF(BQ90&gt;0,0,IF(SUM(BQ76:BQ88)=0,0,IF(SUM(BQ76:BQ88)*40/'2 MEDIA ALTURA'!D35&lt;80,4,IF(SUM(BQ76:BQ88)*40/'2 MEDIA ALTURA'!D35&lt;160,6,IF(SUM(BQ76:BQ88)*40/'2 MEDIA ALTURA'!D35&lt;250,8,0))))*'2 MEDIA ALTURA'!D35)</f>
        <v>0</v>
      </c>
      <c r="BR91" s="777">
        <f>IF(BR90&gt;0,0,IF(SUM(BR76:BR88)=0,0,IF(SUM(BR76:BR88)*40/'2 MEDIA ALTURA'!E35&lt;80,4,IF(SUM(BR76:BR88)*40/'2 MEDIA ALTURA'!E35&lt;160,6,IF(SUM(BR76:BR88)*40/'2 MEDIA ALTURA'!E35&lt;250,8,0))))*'2 MEDIA ALTURA'!E35)</f>
        <v>0</v>
      </c>
      <c r="BS91" s="777">
        <f>IF(BS90&gt;0,0,IF(SUM(BS76:BS88)=0,0,IF(SUM(BS76:BS88)*40/'2 MEDIA ALTURA'!F35&lt;80,4,IF(SUM(BS76:BS88)*40/'2 MEDIA ALTURA'!F35&lt;160,6,IF(SUM(BS76:BS88)*40/'2 MEDIA ALTURA'!F35&lt;250,8,0))))*'2 MEDIA ALTURA'!F35)</f>
        <v>0</v>
      </c>
      <c r="BT91" s="777">
        <f>IF(BT90&gt;0,0,IF(SUM(BT76:BT88)=0,0,IF(SUM(BT76:BT88)*40/'2 MEDIA ALTURA'!G35&lt;80,4,IF(SUM(BT76:BT88)*40/'2 MEDIA ALTURA'!G35&lt;160,6,IF(SUM(BT76:BT88)*40/'2 MEDIA ALTURA'!G35&lt;250,8,0))))*'2 MEDIA ALTURA'!G35)</f>
        <v>0</v>
      </c>
      <c r="BU91" s="777">
        <f>IF(BU90&gt;0,0,IF(SUM(BU76:BU88)=0,0,IF(SUM(BU76:BU88)*40/'2 MEDIA ALTURA'!H35&lt;80,4,IF(SUM(BU76:BU88)*40/'2 MEDIA ALTURA'!H35&lt;160,6,IF(SUM(BU76:BU88)*40/'2 MEDIA ALTURA'!H35&lt;250,8,0))))*'2 MEDIA ALTURA'!H35)</f>
        <v>0</v>
      </c>
      <c r="BV91" s="777">
        <f>IF(BV90&gt;0,0,IF(SUM(BV76:BV88)=0,0,IF(SUM(BV76:BV88)*40/'2 MEDIA ALTURA'!I35&lt;80,4,IF(SUM(BV76:BV88)*40/'2 MEDIA ALTURA'!I35&lt;160,6,IF(SUM(BV76:BV88)*40/'2 MEDIA ALTURA'!I35&lt;250,8,0))))*'2 MEDIA ALTURA'!I35)</f>
        <v>0</v>
      </c>
      <c r="BW91" s="777">
        <f>IF(BW90&gt;0,0,IF(SUM(BW76:BW88)=0,0,IF(SUM(BW76:BW88)*40/'2 MEDIA ALTURA'!J35&lt;80,4,IF(SUM(BW76:BW88)*40/'2 MEDIA ALTURA'!J35&lt;160,6,IF(SUM(BW76:BW88)*40/'2 MEDIA ALTURA'!J35&lt;250,8,0))))*'2 MEDIA ALTURA'!J35)</f>
        <v>0</v>
      </c>
      <c r="BX91" s="777">
        <f>IF(BX90&gt;0,0,IF(SUM(BX76:BX88)=0,0,IF(SUM(BX76:BX88)*40/'2 MEDIA ALTURA'!K35&lt;80,4,IF(SUM(BX76:BX88)*40/'2 MEDIA ALTURA'!K35&lt;160,6,IF(SUM(BX76:BX88)*40/'2 MEDIA ALTURA'!K35&lt;250,8,0))))*'2 MEDIA ALTURA'!K35)</f>
        <v>0</v>
      </c>
      <c r="BY91" s="777">
        <f>IF(BY90&gt;0,0,IF(SUM(BY76:BY88)=0,0,IF(SUM(BY76:BY88)*40/'2 MEDIA ALTURA'!L35&lt;80,4,IF(SUM(BY76:BY88)*40/'2 MEDIA ALTURA'!L35&lt;160,6,IF(SUM(BY76:BY88)*40/'2 MEDIA ALTURA'!L35&lt;250,8,0))))*'2 MEDIA ALTURA'!L35)</f>
        <v>0</v>
      </c>
      <c r="BZ91" s="777">
        <f>IF(BZ90&gt;0,0,IF(SUM(BZ76:BZ88)=0,0,IF(SUM(BZ76:BZ88)*40/'2 MEDIA ALTURA'!M35&lt;80,4,IF(SUM(BZ76:BZ88)*40/'2 MEDIA ALTURA'!M35&lt;160,6,IF(SUM(BZ76:BZ88)*40/'2 MEDIA ALTURA'!M35&lt;250,8,0))))*'2 MEDIA ALTURA'!M35)</f>
        <v>0</v>
      </c>
      <c r="CA91" s="777">
        <f>IF(CA90&gt;0,0,IF(SUM(CA76:CA88)=0,0,IF(SUM(CA76:CA88)*40/'2 MEDIA ALTURA'!N35&lt;80,4,IF(SUM(CA76:CA88)*40/'2 MEDIA ALTURA'!N35&lt;160,6,IF(SUM(CA76:CA88)*40/'2 MEDIA ALTURA'!N35&lt;250,8,0))))*'2 MEDIA ALTURA'!N35)</f>
        <v>0</v>
      </c>
      <c r="CC91" s="777">
        <f>IF(CC90&gt;0,0,IF(SUM(CC76:CC88)=0,0,IF(SUM(CC76:CC88)*40/'2 MEDIA ALTURA'!C35&lt;80,4,IF(SUM(CC76:CC88)*40/'2 MEDIA ALTURA'!C35&lt;160,6,IF(SUM(CC76:CC88)*40/'2 MEDIA ALTURA'!C35&lt;250,8,0))))*'2 MEDIA ALTURA'!C35)</f>
        <v>0</v>
      </c>
      <c r="CD91" s="777">
        <f>IF(CD90&gt;0,0,IF(SUM(CD76:CD88)=0,0,IF(SUM(CD76:CD88)*40/'2 MEDIA ALTURA'!D35&lt;80,4,IF(SUM(CD76:CD88)*40/'2 MEDIA ALTURA'!D35&lt;160,6,IF(SUM(CD76:CD88)*40/'2 MEDIA ALTURA'!D35&lt;250,8,0))))*'2 MEDIA ALTURA'!D35)</f>
        <v>0</v>
      </c>
      <c r="CE91" s="777">
        <f>IF(CE90&gt;0,0,IF(SUM(CE76:CE88)=0,0,IF(SUM(CE76:CE88)*40/'2 MEDIA ALTURA'!E35&lt;80,4,IF(SUM(CE76:CE88)*40/'2 MEDIA ALTURA'!E35&lt;160,6,IF(SUM(CE76:CE88)*40/'2 MEDIA ALTURA'!E35&lt;250,8,0))))*'2 MEDIA ALTURA'!E35)</f>
        <v>0</v>
      </c>
      <c r="CF91" s="777">
        <f>IF(CF90&gt;0,0,IF(SUM(CF76:CF88)=0,0,IF(SUM(CF76:CF88)*40/'2 MEDIA ALTURA'!F35&lt;80,4,IF(SUM(CF76:CF88)*40/'2 MEDIA ALTURA'!F35&lt;160,6,IF(SUM(CF76:CF88)*40/'2 MEDIA ALTURA'!F35&lt;250,8,0))))*'2 MEDIA ALTURA'!F35)</f>
        <v>0</v>
      </c>
      <c r="CG91" s="777">
        <f>IF(CG90&gt;0,0,IF(SUM(CG76:CG88)=0,0,IF(SUM(CG76:CG88)*40/'2 MEDIA ALTURA'!G35&lt;80,4,IF(SUM(CG76:CG88)*40/'2 MEDIA ALTURA'!G35&lt;160,6,IF(SUM(CG76:CG88)*40/'2 MEDIA ALTURA'!G35&lt;250,8,0))))*'2 MEDIA ALTURA'!G35)</f>
        <v>0</v>
      </c>
      <c r="CH91" s="777">
        <f>IF(CH90&gt;0,0,IF(SUM(CH76:CH88)=0,0,IF(SUM(CH76:CH88)*40/'2 MEDIA ALTURA'!H35&lt;80,4,IF(SUM(CH76:CH88)*40/'2 MEDIA ALTURA'!H35&lt;160,6,IF(SUM(CH76:CH88)*40/'2 MEDIA ALTURA'!H35&lt;250,8,0))))*'2 MEDIA ALTURA'!H35)</f>
        <v>0</v>
      </c>
      <c r="CI91" s="777">
        <f>IF(CI90&gt;0,0,IF(SUM(CI76:CI88)=0,0,IF(SUM(CI76:CI88)*40/'2 MEDIA ALTURA'!I35&lt;80,4,IF(SUM(CI76:CI88)*40/'2 MEDIA ALTURA'!I35&lt;160,6,IF(SUM(CI76:CI88)*40/'2 MEDIA ALTURA'!I35&lt;250,8,0))))*'2 MEDIA ALTURA'!I35)</f>
        <v>0</v>
      </c>
      <c r="CJ91" s="777">
        <f>IF(CJ90&gt;0,0,IF(SUM(CJ76:CJ88)=0,0,IF(SUM(CJ76:CJ88)*40/'2 MEDIA ALTURA'!J35&lt;80,4,IF(SUM(CJ76:CJ88)*40/'2 MEDIA ALTURA'!J35&lt;160,6,IF(SUM(CJ76:CJ88)*40/'2 MEDIA ALTURA'!J35&lt;250,8,0))))*'2 MEDIA ALTURA'!J35)</f>
        <v>0</v>
      </c>
      <c r="CK91" s="777">
        <f>IF(CK90&gt;0,0,IF(SUM(CK76:CK88)=0,0,IF(SUM(CK76:CK88)*40/'2 MEDIA ALTURA'!K35&lt;80,4,IF(SUM(CK76:CK88)*40/'2 MEDIA ALTURA'!K35&lt;160,6,IF(SUM(CK76:CK88)*40/'2 MEDIA ALTURA'!K35&lt;250,8,0))))*'2 MEDIA ALTURA'!K35)</f>
        <v>0</v>
      </c>
      <c r="CL91" s="777">
        <f>IF(CL90&gt;0,0,IF(SUM(CL76:CL88)=0,0,IF(SUM(CL76:CL88)*40/'2 MEDIA ALTURA'!L35&lt;80,4,IF(SUM(CL76:CL88)*40/'2 MEDIA ALTURA'!L35&lt;160,6,IF(SUM(CL76:CL88)*40/'2 MEDIA ALTURA'!L35&lt;250,8,0))))*'2 MEDIA ALTURA'!L35)</f>
        <v>0</v>
      </c>
      <c r="CM91" s="777">
        <f>IF(CM90&gt;0,0,IF(SUM(CM76:CM88)=0,0,IF(SUM(CM76:CM88)*40/'2 MEDIA ALTURA'!M35&lt;80,4,IF(SUM(CM76:CM88)*40/'2 MEDIA ALTURA'!M35&lt;160,6,IF(SUM(CM76:CM88)*40/'2 MEDIA ALTURA'!M35&lt;250,8,0))))*'2 MEDIA ALTURA'!M35)</f>
        <v>0</v>
      </c>
      <c r="CN91" s="777">
        <f>IF(CN90&gt;0,0,IF(SUM(CN76:CN88)=0,0,IF(SUM(CN76:CN88)*40/'2 MEDIA ALTURA'!N35&lt;80,4,IF(SUM(CN76:CN88)*40/'2 MEDIA ALTURA'!N35&lt;160,6,IF(SUM(CN76:CN88)*40/'2 MEDIA ALTURA'!N35&lt;250,8,0))))*'2 MEDIA ALTURA'!N35)</f>
        <v>0</v>
      </c>
      <c r="CP91" s="777">
        <f>IF(CP90&gt;0,0,IF(SUM(CP76:CP88)=0,0,IF(SUM(CP76:CP88)*40/'2 MEDIA ALTURA'!C35&lt;80,4,IF(SUM(CP76:CP88)*40/'2 MEDIA ALTURA'!C35&lt;160,6,IF(SUM(CP76:CP88)*40/'2 MEDIA ALTURA'!C35&lt;250,8,0))))*'2 MEDIA ALTURA'!C35)</f>
        <v>0</v>
      </c>
      <c r="CQ91" s="777">
        <f>IF(CQ90&gt;0,0,IF(SUM(CQ76:CQ88)=0,0,IF(SUM(CQ76:CQ88)*40/'2 MEDIA ALTURA'!D35&lt;80,4,IF(SUM(CQ76:CQ88)*40/'2 MEDIA ALTURA'!D35&lt;160,6,IF(SUM(CQ76:CQ88)*40/'2 MEDIA ALTURA'!D35&lt;250,8,0))))*'2 MEDIA ALTURA'!D35)</f>
        <v>0</v>
      </c>
      <c r="CR91" s="777">
        <f>IF(CR90&gt;0,0,IF(SUM(CR76:CR88)=0,0,IF(SUM(CR76:CR88)*40/'2 MEDIA ALTURA'!E35&lt;80,4,IF(SUM(CR76:CR88)*40/'2 MEDIA ALTURA'!E35&lt;160,6,IF(SUM(CR76:CR88)*40/'2 MEDIA ALTURA'!E35&lt;250,8,0))))*'2 MEDIA ALTURA'!E35)</f>
        <v>0</v>
      </c>
      <c r="CS91" s="777">
        <f>IF(CS90&gt;0,0,IF(SUM(CS76:CS88)=0,0,IF(SUM(CS76:CS88)*40/'2 MEDIA ALTURA'!F35&lt;80,4,IF(SUM(CS76:CS88)*40/'2 MEDIA ALTURA'!F35&lt;160,6,IF(SUM(CS76:CS88)*40/'2 MEDIA ALTURA'!F35&lt;250,8,0))))*'2 MEDIA ALTURA'!F35)</f>
        <v>0</v>
      </c>
      <c r="CT91" s="777">
        <f>IF(CT90&gt;0,0,IF(SUM(CT76:CT88)=0,0,IF(SUM(CT76:CT88)*40/'2 MEDIA ALTURA'!G35&lt;80,4,IF(SUM(CT76:CT88)*40/'2 MEDIA ALTURA'!G35&lt;160,6,IF(SUM(CT76:CT88)*40/'2 MEDIA ALTURA'!G35&lt;250,8,0))))*'2 MEDIA ALTURA'!G35)</f>
        <v>0</v>
      </c>
      <c r="CU91" s="777">
        <f>IF(CU90&gt;0,0,IF(SUM(CU76:CU88)=0,0,IF(SUM(CU76:CU88)*40/'2 MEDIA ALTURA'!H35&lt;80,4,IF(SUM(CU76:CU88)*40/'2 MEDIA ALTURA'!H35&lt;160,6,IF(SUM(CU76:CU88)*40/'2 MEDIA ALTURA'!H35&lt;250,8,0))))*'2 MEDIA ALTURA'!H35)</f>
        <v>0</v>
      </c>
      <c r="CV91" s="777">
        <f>IF(CV90&gt;0,0,IF(SUM(CV76:CV88)=0,0,IF(SUM(CV76:CV88)*40/'2 MEDIA ALTURA'!I35&lt;80,4,IF(SUM(CV76:CV88)*40/'2 MEDIA ALTURA'!I35&lt;160,6,IF(SUM(CV76:CV88)*40/'2 MEDIA ALTURA'!I35&lt;250,8,0))))*'2 MEDIA ALTURA'!I35)</f>
        <v>0</v>
      </c>
      <c r="CW91" s="777">
        <f>IF(CW90&gt;0,0,IF(SUM(CW76:CW88)=0,0,IF(SUM(CW76:CW88)*40/'2 MEDIA ALTURA'!J35&lt;80,4,IF(SUM(CW76:CW88)*40/'2 MEDIA ALTURA'!J35&lt;160,6,IF(SUM(CW76:CW88)*40/'2 MEDIA ALTURA'!J35&lt;250,8,0))))*'2 MEDIA ALTURA'!J35)</f>
        <v>0</v>
      </c>
      <c r="CX91" s="777">
        <f>IF(CX90&gt;0,0,IF(SUM(CX76:CX88)=0,0,IF(SUM(CX76:CX88)*40/'2 MEDIA ALTURA'!K35&lt;80,4,IF(SUM(CX76:CX88)*40/'2 MEDIA ALTURA'!K35&lt;160,6,IF(SUM(CX76:CX88)*40/'2 MEDIA ALTURA'!K35&lt;250,8,0))))*'2 MEDIA ALTURA'!K35)</f>
        <v>0</v>
      </c>
      <c r="CY91" s="777">
        <f>IF(CY90&gt;0,0,IF(SUM(CY76:CY88)=0,0,IF(SUM(CY76:CY88)*40/'2 MEDIA ALTURA'!L35&lt;80,4,IF(SUM(CY76:CY88)*40/'2 MEDIA ALTURA'!L35&lt;160,6,IF(SUM(CY76:CY88)*40/'2 MEDIA ALTURA'!L35&lt;250,8,0))))*'2 MEDIA ALTURA'!L35)</f>
        <v>0</v>
      </c>
      <c r="CZ91" s="777">
        <f>IF(CZ90&gt;0,0,IF(SUM(CZ76:CZ88)=0,0,IF(SUM(CZ76:CZ88)*40/'2 MEDIA ALTURA'!M35&lt;80,4,IF(SUM(CZ76:CZ88)*40/'2 MEDIA ALTURA'!M35&lt;160,6,IF(SUM(CZ76:CZ88)*40/'2 MEDIA ALTURA'!M35&lt;250,8,0))))*'2 MEDIA ALTURA'!M35)</f>
        <v>0</v>
      </c>
      <c r="DA91" s="777">
        <f>IF(DA90&gt;0,0,IF(SUM(DA76:DA88)=0,0,IF(SUM(DA76:DA88)*40/'2 MEDIA ALTURA'!N35&lt;80,4,IF(SUM(DA76:DA88)*40/'2 MEDIA ALTURA'!N35&lt;160,6,IF(SUM(DA76:DA88)*40/'2 MEDIA ALTURA'!N35&lt;250,8,0))))*'2 MEDIA ALTURA'!N35)</f>
        <v>0</v>
      </c>
    </row>
    <row r="92" spans="1:160" ht="26.25" x14ac:dyDescent="0.35">
      <c r="A92" s="840"/>
      <c r="C92" s="838"/>
      <c r="D92" s="838"/>
      <c r="E92" s="838"/>
      <c r="F92" s="838"/>
      <c r="G92" s="838"/>
      <c r="H92" s="838"/>
      <c r="I92" s="838"/>
      <c r="J92" s="838"/>
      <c r="K92" s="838"/>
      <c r="L92" s="838"/>
      <c r="M92" s="838"/>
      <c r="N92" s="838"/>
      <c r="O92" s="838"/>
      <c r="P92" s="838"/>
      <c r="Q92" s="838"/>
      <c r="R92" s="838"/>
      <c r="S92" s="838"/>
      <c r="T92" s="838"/>
      <c r="U92" s="838"/>
      <c r="V92" s="838"/>
      <c r="W92" s="838"/>
      <c r="X92" s="838"/>
      <c r="Y92" s="838"/>
      <c r="Z92" s="838"/>
      <c r="AA92" s="838"/>
      <c r="AB92" s="838"/>
      <c r="AC92" s="838"/>
      <c r="AD92" s="838"/>
      <c r="AE92" s="838"/>
      <c r="AF92" s="838"/>
      <c r="AG92" s="838"/>
      <c r="AH92" s="838"/>
      <c r="AI92" s="838"/>
      <c r="AJ92" s="838"/>
      <c r="AK92" s="838"/>
      <c r="AL92" s="838"/>
      <c r="AM92" s="838"/>
      <c r="AN92" s="838"/>
      <c r="AO92" s="838"/>
      <c r="BB92" s="838"/>
      <c r="BC92" s="777">
        <f>IF(BC90&gt;0,0,(SUM(BC76:BC88)*0.8))-BC91*0.12</f>
        <v>0</v>
      </c>
      <c r="BD92" s="777">
        <f t="shared" ref="BD92:BN92" si="32">IF(BD90&gt;0,0,(SUM(BD76:BD88)*0.8))-BD91*0.12</f>
        <v>0</v>
      </c>
      <c r="BE92" s="777">
        <f t="shared" si="32"/>
        <v>0</v>
      </c>
      <c r="BF92" s="777">
        <f t="shared" si="32"/>
        <v>0</v>
      </c>
      <c r="BG92" s="777">
        <f t="shared" si="32"/>
        <v>0</v>
      </c>
      <c r="BH92" s="777">
        <f t="shared" si="32"/>
        <v>0</v>
      </c>
      <c r="BI92" s="777">
        <f t="shared" si="32"/>
        <v>0</v>
      </c>
      <c r="BJ92" s="777">
        <f t="shared" si="32"/>
        <v>0</v>
      </c>
      <c r="BK92" s="777">
        <f t="shared" si="32"/>
        <v>0</v>
      </c>
      <c r="BL92" s="777">
        <f t="shared" si="32"/>
        <v>0</v>
      </c>
      <c r="BM92" s="777">
        <f t="shared" si="32"/>
        <v>0</v>
      </c>
      <c r="BN92" s="777">
        <f t="shared" si="32"/>
        <v>0</v>
      </c>
      <c r="BP92" s="777">
        <f t="shared" ref="BP92:CA92" si="33">IF(BP90&gt;0,0,(SUM(BP76:BP88)*0.8))-BP91*0.12</f>
        <v>0</v>
      </c>
      <c r="BQ92" s="777">
        <f t="shared" si="33"/>
        <v>0</v>
      </c>
      <c r="BR92" s="777">
        <f t="shared" si="33"/>
        <v>0</v>
      </c>
      <c r="BS92" s="777">
        <f t="shared" si="33"/>
        <v>0</v>
      </c>
      <c r="BT92" s="777">
        <f t="shared" si="33"/>
        <v>0</v>
      </c>
      <c r="BU92" s="777">
        <f t="shared" si="33"/>
        <v>0</v>
      </c>
      <c r="BV92" s="777">
        <f t="shared" si="33"/>
        <v>0</v>
      </c>
      <c r="BW92" s="777">
        <f t="shared" si="33"/>
        <v>0</v>
      </c>
      <c r="BX92" s="777">
        <f t="shared" si="33"/>
        <v>0</v>
      </c>
      <c r="BY92" s="777">
        <f t="shared" si="33"/>
        <v>0</v>
      </c>
      <c r="BZ92" s="777">
        <f t="shared" si="33"/>
        <v>0</v>
      </c>
      <c r="CA92" s="777">
        <f t="shared" si="33"/>
        <v>0</v>
      </c>
      <c r="CC92" s="777">
        <f t="shared" ref="CC92:CN92" si="34">IF(CC90&gt;0,0,(SUM(CC76:CC88)*0.8))-CC91*0.12</f>
        <v>0</v>
      </c>
      <c r="CD92" s="777">
        <f t="shared" si="34"/>
        <v>0</v>
      </c>
      <c r="CE92" s="777">
        <f t="shared" si="34"/>
        <v>0</v>
      </c>
      <c r="CF92" s="777">
        <f t="shared" si="34"/>
        <v>0</v>
      </c>
      <c r="CG92" s="777">
        <f t="shared" si="34"/>
        <v>0</v>
      </c>
      <c r="CH92" s="777">
        <f t="shared" si="34"/>
        <v>0</v>
      </c>
      <c r="CI92" s="777">
        <f t="shared" si="34"/>
        <v>0</v>
      </c>
      <c r="CJ92" s="777">
        <f t="shared" si="34"/>
        <v>0</v>
      </c>
      <c r="CK92" s="777">
        <f t="shared" si="34"/>
        <v>0</v>
      </c>
      <c r="CL92" s="777">
        <f t="shared" si="34"/>
        <v>0</v>
      </c>
      <c r="CM92" s="777">
        <f t="shared" si="34"/>
        <v>0</v>
      </c>
      <c r="CN92" s="777">
        <f t="shared" si="34"/>
        <v>0</v>
      </c>
      <c r="CP92" s="777">
        <f t="shared" ref="CP92:DA92" si="35">IF(CP90&gt;0,0,(SUM(CP76:CP88)*0.8))-CP91*0.12</f>
        <v>0</v>
      </c>
      <c r="CQ92" s="777">
        <f t="shared" si="35"/>
        <v>0</v>
      </c>
      <c r="CR92" s="777">
        <f t="shared" si="35"/>
        <v>0</v>
      </c>
      <c r="CS92" s="777">
        <f t="shared" si="35"/>
        <v>0</v>
      </c>
      <c r="CT92" s="777">
        <f t="shared" si="35"/>
        <v>0</v>
      </c>
      <c r="CU92" s="777">
        <f t="shared" si="35"/>
        <v>0</v>
      </c>
      <c r="CV92" s="777">
        <f t="shared" si="35"/>
        <v>0</v>
      </c>
      <c r="CW92" s="777">
        <f t="shared" si="35"/>
        <v>0</v>
      </c>
      <c r="CX92" s="777">
        <f t="shared" si="35"/>
        <v>0</v>
      </c>
      <c r="CY92" s="777">
        <f t="shared" si="35"/>
        <v>0</v>
      </c>
      <c r="CZ92" s="777">
        <f t="shared" si="35"/>
        <v>0</v>
      </c>
      <c r="DA92" s="777">
        <f t="shared" si="35"/>
        <v>0</v>
      </c>
    </row>
    <row r="93" spans="1:160" ht="26.25" x14ac:dyDescent="0.35">
      <c r="A93" s="840"/>
      <c r="C93" s="838"/>
      <c r="D93" s="838"/>
      <c r="E93" s="838"/>
      <c r="F93" s="838"/>
      <c r="G93" s="838"/>
      <c r="H93" s="838"/>
      <c r="I93" s="838"/>
      <c r="J93" s="838"/>
      <c r="K93" s="838"/>
      <c r="L93" s="838"/>
      <c r="M93" s="838"/>
      <c r="N93" s="838"/>
      <c r="O93" s="838"/>
      <c r="P93" s="838"/>
      <c r="Q93" s="838"/>
      <c r="R93" s="838"/>
      <c r="S93" s="838"/>
      <c r="T93" s="838"/>
      <c r="U93" s="838"/>
      <c r="V93" s="838"/>
      <c r="W93" s="838"/>
      <c r="X93" s="838"/>
      <c r="Y93" s="838"/>
      <c r="Z93" s="838"/>
      <c r="AA93" s="838"/>
      <c r="AB93" s="838"/>
      <c r="AC93" s="838"/>
      <c r="AD93" s="838"/>
      <c r="AE93" s="838"/>
      <c r="AF93" s="838"/>
      <c r="AG93" s="838"/>
      <c r="AH93" s="838"/>
      <c r="AI93" s="838"/>
      <c r="AJ93" s="838"/>
      <c r="AK93" s="838"/>
      <c r="AL93" s="838"/>
      <c r="AM93" s="838"/>
      <c r="AN93" s="838"/>
      <c r="AO93" s="838"/>
      <c r="BB93" s="838"/>
      <c r="DK93" s="838"/>
      <c r="DL93" s="838"/>
    </row>
    <row r="94" spans="1:160" ht="26.25" x14ac:dyDescent="0.35">
      <c r="A94" s="840"/>
      <c r="C94" s="838"/>
      <c r="D94" s="838"/>
      <c r="E94" s="838"/>
      <c r="F94" s="838"/>
      <c r="G94" s="838"/>
      <c r="H94" s="838"/>
      <c r="I94" s="838"/>
      <c r="J94" s="838"/>
      <c r="K94" s="838"/>
      <c r="L94" s="838"/>
      <c r="M94" s="838"/>
      <c r="N94" s="838"/>
      <c r="O94" s="838"/>
      <c r="P94" s="838"/>
      <c r="Q94" s="838"/>
      <c r="R94" s="838"/>
      <c r="S94" s="838"/>
      <c r="T94" s="838"/>
      <c r="U94" s="838"/>
      <c r="V94" s="838"/>
      <c r="W94" s="838"/>
      <c r="X94" s="838"/>
      <c r="Y94" s="838"/>
      <c r="Z94" s="838"/>
      <c r="AA94" s="838"/>
      <c r="AB94" s="838"/>
      <c r="AC94" s="838"/>
      <c r="AD94" s="838"/>
      <c r="AE94" s="838"/>
      <c r="AF94" s="838"/>
      <c r="AG94" s="838"/>
      <c r="AH94" s="838"/>
      <c r="AI94" s="838"/>
      <c r="AJ94" s="838"/>
      <c r="AK94" s="838"/>
      <c r="AL94" s="838"/>
      <c r="AM94" s="838"/>
      <c r="AN94" s="838"/>
      <c r="AO94" s="838"/>
      <c r="AP94" s="838"/>
      <c r="AQ94" s="838"/>
      <c r="AR94" s="838"/>
      <c r="AS94" s="838"/>
      <c r="AT94" s="838"/>
      <c r="AU94" s="838"/>
      <c r="AV94" s="838"/>
      <c r="AW94" s="838"/>
      <c r="AX94" s="838"/>
      <c r="AY94" s="838"/>
      <c r="AZ94" s="838"/>
      <c r="BA94" s="838"/>
      <c r="BB94" s="838"/>
      <c r="BC94" s="838"/>
      <c r="BD94" s="838"/>
      <c r="BE94" s="838"/>
      <c r="BF94" s="838"/>
      <c r="BG94" s="838"/>
      <c r="BH94" s="838"/>
      <c r="BI94" s="838"/>
      <c r="BJ94" s="838"/>
      <c r="BK94" s="838"/>
      <c r="BL94" s="838"/>
      <c r="BM94" s="838"/>
      <c r="BN94" s="838"/>
      <c r="BO94" s="838"/>
      <c r="BP94" s="838"/>
      <c r="BQ94" s="838"/>
      <c r="BR94" s="838"/>
      <c r="BS94" s="838"/>
      <c r="BT94" s="838"/>
      <c r="BU94" s="838"/>
      <c r="BV94" s="838"/>
      <c r="BW94" s="838"/>
      <c r="BX94" s="838"/>
      <c r="BY94" s="838"/>
      <c r="BZ94" s="838"/>
      <c r="CA94" s="838"/>
      <c r="CB94" s="838"/>
      <c r="CC94" s="838"/>
      <c r="CD94" s="838"/>
      <c r="CE94" s="838"/>
      <c r="CF94" s="838"/>
      <c r="CG94" s="838"/>
      <c r="CH94" s="838"/>
      <c r="CI94" s="838"/>
      <c r="CJ94" s="838"/>
      <c r="CK94" s="838"/>
      <c r="CX94" s="838"/>
      <c r="DV94" s="838"/>
      <c r="ER94" s="838"/>
      <c r="ES94" s="838"/>
    </row>
    <row r="95" spans="1:160" x14ac:dyDescent="0.35">
      <c r="A95" s="838"/>
      <c r="Y95" s="838"/>
      <c r="Z95" s="838"/>
      <c r="AA95" s="838"/>
      <c r="AB95" s="838"/>
      <c r="AC95" s="838"/>
      <c r="AD95" s="838"/>
      <c r="AE95" s="838"/>
      <c r="AF95" s="838"/>
      <c r="AG95" s="838"/>
      <c r="AH95" s="838"/>
      <c r="AI95" s="838"/>
      <c r="AJ95" s="838"/>
      <c r="AK95" s="838"/>
      <c r="AL95" s="838"/>
      <c r="AM95" s="838"/>
      <c r="AN95" s="838"/>
      <c r="AO95" s="838"/>
      <c r="AP95" s="838"/>
      <c r="AQ95" s="838"/>
      <c r="AR95" s="838"/>
      <c r="AS95" s="838"/>
      <c r="AT95" s="838"/>
      <c r="AU95" s="838"/>
      <c r="AV95" s="838"/>
      <c r="AW95" s="838"/>
      <c r="AX95" s="838"/>
      <c r="AY95" s="838"/>
      <c r="AZ95" s="838"/>
      <c r="BA95" s="838"/>
      <c r="BB95" s="838"/>
      <c r="BC95" s="838"/>
      <c r="BD95" s="838"/>
      <c r="BE95" s="838"/>
      <c r="BF95" s="838"/>
      <c r="BG95" s="838"/>
      <c r="BH95" s="838"/>
      <c r="BI95" s="838"/>
      <c r="BJ95" s="838"/>
      <c r="BK95" s="838"/>
      <c r="BL95" s="838"/>
      <c r="BM95" s="838"/>
      <c r="BN95" s="838"/>
      <c r="BO95" s="838"/>
      <c r="BP95" s="838"/>
      <c r="BQ95" s="838"/>
      <c r="BR95" s="838"/>
      <c r="BS95" s="838"/>
      <c r="BT95" s="838"/>
      <c r="BU95" s="838"/>
      <c r="BV95" s="838"/>
      <c r="BW95" s="838"/>
      <c r="BX95" s="838"/>
      <c r="BY95" s="838"/>
      <c r="BZ95" s="838"/>
      <c r="CA95" s="838"/>
      <c r="CB95" s="838"/>
      <c r="CC95" s="838"/>
      <c r="CD95" s="838"/>
      <c r="CE95" s="838"/>
      <c r="CF95" s="838"/>
      <c r="CG95" s="838"/>
      <c r="CH95" s="838"/>
      <c r="CI95" s="838"/>
      <c r="CJ95" s="838"/>
      <c r="CK95" s="838"/>
      <c r="CL95" s="838"/>
      <c r="CM95" s="838"/>
      <c r="CN95" s="838"/>
      <c r="CO95" s="838"/>
      <c r="CP95" s="838"/>
      <c r="CQ95" s="838"/>
      <c r="CR95" s="838"/>
      <c r="CS95" s="838"/>
      <c r="CT95" s="838"/>
      <c r="CU95" s="838"/>
      <c r="CV95" s="838"/>
      <c r="CW95" s="838"/>
      <c r="CX95" s="838"/>
      <c r="CY95" s="838"/>
      <c r="CZ95" s="838"/>
      <c r="DA95" s="838"/>
      <c r="DB95" s="838"/>
      <c r="DC95" s="838"/>
      <c r="DD95" s="838"/>
      <c r="DE95" s="838"/>
      <c r="DF95" s="838"/>
      <c r="FC95" s="838"/>
      <c r="FD95" s="838"/>
    </row>
    <row r="96" spans="1:160" x14ac:dyDescent="0.35">
      <c r="A96" s="838"/>
      <c r="B96" s="702" t="s">
        <v>1001</v>
      </c>
      <c r="C96" s="701"/>
      <c r="D96" s="701"/>
      <c r="E96" s="701"/>
      <c r="F96" s="701"/>
      <c r="G96" s="701"/>
      <c r="H96" s="701"/>
      <c r="I96" s="701"/>
      <c r="J96" s="701"/>
      <c r="K96" s="701"/>
      <c r="L96" s="701"/>
      <c r="M96" s="701"/>
      <c r="N96" s="702"/>
      <c r="O96" s="702" t="s">
        <v>1003</v>
      </c>
      <c r="P96" s="702"/>
      <c r="Q96" s="702"/>
      <c r="R96" s="702"/>
      <c r="S96" s="702"/>
      <c r="T96" s="702"/>
      <c r="U96" s="702"/>
      <c r="V96" s="702"/>
      <c r="W96" s="702"/>
      <c r="X96" s="702"/>
      <c r="Y96" s="702"/>
      <c r="Z96" s="702"/>
      <c r="AA96" s="702"/>
      <c r="AB96" s="702" t="s">
        <v>1004</v>
      </c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 t="s">
        <v>1006</v>
      </c>
      <c r="AP96" s="702"/>
      <c r="AQ96" s="702"/>
      <c r="AR96" s="702"/>
      <c r="AS96" s="702"/>
      <c r="AT96" s="702"/>
      <c r="AU96" s="702"/>
      <c r="AV96" s="702"/>
      <c r="AW96" s="702"/>
      <c r="AX96" s="702"/>
      <c r="AY96" s="702"/>
      <c r="AZ96" s="702"/>
      <c r="BA96" s="702"/>
      <c r="BB96" s="702" t="s">
        <v>1008</v>
      </c>
      <c r="BC96" s="702"/>
      <c r="BD96" s="702"/>
      <c r="BE96" s="702"/>
      <c r="BF96" s="702"/>
      <c r="BG96" s="702"/>
      <c r="BH96" s="702"/>
      <c r="BI96" s="702"/>
      <c r="BJ96" s="702"/>
      <c r="BK96" s="702"/>
      <c r="BL96" s="702"/>
      <c r="BM96" s="702"/>
      <c r="BN96" s="702"/>
      <c r="BO96" s="702" t="s">
        <v>1010</v>
      </c>
      <c r="BP96" s="702"/>
      <c r="BQ96" s="702"/>
      <c r="BR96" s="702"/>
      <c r="BS96" s="702"/>
      <c r="BT96" s="702"/>
      <c r="BU96" s="702"/>
      <c r="BV96" s="702"/>
      <c r="BW96" s="702"/>
      <c r="BX96" s="702"/>
      <c r="BY96" s="702"/>
      <c r="BZ96" s="702"/>
      <c r="CA96" s="702"/>
      <c r="CB96" s="702" t="s">
        <v>1013</v>
      </c>
      <c r="CC96" s="702"/>
      <c r="CD96" s="702"/>
      <c r="CE96" s="702"/>
      <c r="CF96" s="702"/>
      <c r="CG96" s="702"/>
      <c r="CH96" s="702"/>
      <c r="CI96" s="702"/>
      <c r="CJ96" s="702"/>
      <c r="CK96" s="702"/>
      <c r="CL96" s="702"/>
      <c r="CM96" s="702"/>
      <c r="CN96" s="702"/>
      <c r="CO96" s="702" t="s">
        <v>1015</v>
      </c>
      <c r="CP96" s="702"/>
      <c r="CQ96" s="702"/>
      <c r="CR96" s="702"/>
      <c r="CU96" s="702"/>
      <c r="CV96" s="702"/>
      <c r="CW96" s="702"/>
      <c r="CX96" s="702"/>
      <c r="CY96" s="702"/>
      <c r="CZ96" s="702"/>
      <c r="DA96" s="702"/>
      <c r="DB96" s="702" t="s">
        <v>1017</v>
      </c>
      <c r="DC96" s="702"/>
      <c r="DD96" s="702"/>
      <c r="DE96" s="702"/>
      <c r="DF96" s="702"/>
      <c r="DG96" s="702"/>
      <c r="DH96" s="702"/>
      <c r="DI96" s="702"/>
      <c r="DJ96" s="702"/>
      <c r="DK96" s="702"/>
      <c r="DL96" s="702"/>
      <c r="DM96" s="702"/>
      <c r="DN96" s="702"/>
      <c r="DO96" s="702" t="s">
        <v>1019</v>
      </c>
      <c r="DP96" s="702"/>
      <c r="DQ96" s="702"/>
      <c r="DR96" s="702"/>
      <c r="DS96" s="702"/>
      <c r="DT96" s="702"/>
      <c r="DU96" s="702"/>
      <c r="DV96" s="702"/>
      <c r="DW96" s="702"/>
      <c r="DX96" s="702"/>
      <c r="DY96" s="702"/>
      <c r="DZ96" s="702"/>
      <c r="EA96" s="702"/>
      <c r="EB96" s="702" t="s">
        <v>1021</v>
      </c>
      <c r="EC96" s="702"/>
      <c r="ED96" s="702"/>
      <c r="EE96" s="702"/>
      <c r="EF96" s="702"/>
      <c r="EG96" s="702"/>
      <c r="EH96" s="702"/>
      <c r="EI96" s="702"/>
      <c r="EJ96" s="702"/>
      <c r="EK96" s="702"/>
      <c r="EL96" s="702"/>
      <c r="EM96" s="702"/>
      <c r="EN96" s="702"/>
      <c r="EO96" s="702" t="s">
        <v>1023</v>
      </c>
      <c r="EP96" s="702"/>
      <c r="EQ96" s="702"/>
      <c r="ER96" s="702"/>
      <c r="ES96" s="702"/>
      <c r="ET96" s="702"/>
      <c r="EU96" s="702"/>
      <c r="EV96" s="702"/>
      <c r="EW96" s="702"/>
      <c r="EX96" s="702"/>
      <c r="EY96" s="702"/>
      <c r="EZ96" s="702"/>
      <c r="FA96" s="702"/>
      <c r="FC96" s="838"/>
      <c r="FD96" s="838"/>
    </row>
    <row r="97" spans="1:207" x14ac:dyDescent="0.35">
      <c r="A97" s="838"/>
      <c r="B97" s="701">
        <f>IF('2 MEDIA ALTURA'!C21='2 MEDIA ALTURA'!$B$47,IF('2 MEDIA ALTURA'!C$34=28,IF('2 MEDIA ALTURA'!C20=40,1,0)))*'2 MEDIA ALTURA'!C$35</f>
        <v>0</v>
      </c>
      <c r="C97" s="701">
        <f>IF('2 MEDIA ALTURA'!D21='2 MEDIA ALTURA'!$B$47,IF('2 MEDIA ALTURA'!D$34=28,IF('2 MEDIA ALTURA'!D20=40,1,0)))*'2 MEDIA ALTURA'!D$35</f>
        <v>0</v>
      </c>
      <c r="D97" s="701">
        <f>IF('2 MEDIA ALTURA'!E21='2 MEDIA ALTURA'!$B$47,IF('2 MEDIA ALTURA'!E$34=28,IF('2 MEDIA ALTURA'!E20=40,1,0)))*'2 MEDIA ALTURA'!E$35</f>
        <v>0</v>
      </c>
      <c r="E97" s="701">
        <f>IF('2 MEDIA ALTURA'!F21='2 MEDIA ALTURA'!$B$47,IF('2 MEDIA ALTURA'!F$34=28,IF('2 MEDIA ALTURA'!F20=40,1,0)))*'2 MEDIA ALTURA'!F$35</f>
        <v>0</v>
      </c>
      <c r="F97" s="701">
        <f>IF('2 MEDIA ALTURA'!G21='2 MEDIA ALTURA'!$B$47,IF('2 MEDIA ALTURA'!G$34=28,IF('2 MEDIA ALTURA'!G20=40,1,0)))*'2 MEDIA ALTURA'!G$35</f>
        <v>0</v>
      </c>
      <c r="G97" s="701">
        <f>IF('2 MEDIA ALTURA'!H21='2 MEDIA ALTURA'!$B$47,IF('2 MEDIA ALTURA'!H$34=28,IF('2 MEDIA ALTURA'!H20=40,1,0)))*'2 MEDIA ALTURA'!H$35</f>
        <v>0</v>
      </c>
      <c r="H97" s="701">
        <f>IF('2 MEDIA ALTURA'!I21='2 MEDIA ALTURA'!$B$47,IF('2 MEDIA ALTURA'!I$34=28,IF('2 MEDIA ALTURA'!I20=40,1,0)))*'2 MEDIA ALTURA'!I$35</f>
        <v>0</v>
      </c>
      <c r="I97" s="701">
        <f>IF('2 MEDIA ALTURA'!J21='2 MEDIA ALTURA'!$B$47,IF('2 MEDIA ALTURA'!J$34=28,IF('2 MEDIA ALTURA'!J20=40,1,0)))*'2 MEDIA ALTURA'!J$35</f>
        <v>0</v>
      </c>
      <c r="J97" s="701">
        <f>IF('2 MEDIA ALTURA'!K21='2 MEDIA ALTURA'!$B$47,IF('2 MEDIA ALTURA'!K$34=28,IF('2 MEDIA ALTURA'!K20=40,1,0)))*'2 MEDIA ALTURA'!K$35</f>
        <v>0</v>
      </c>
      <c r="K97" s="701">
        <f>IF('2 MEDIA ALTURA'!L21='2 MEDIA ALTURA'!$B$47,IF('2 MEDIA ALTURA'!L$34=28,IF('2 MEDIA ALTURA'!L20=40,1,0)))*'2 MEDIA ALTURA'!L$35</f>
        <v>0</v>
      </c>
      <c r="L97" s="701">
        <f>IF('2 MEDIA ALTURA'!M21='2 MEDIA ALTURA'!$B$47,IF('2 MEDIA ALTURA'!M$34=28,IF('2 MEDIA ALTURA'!M20=40,1,0)))*'2 MEDIA ALTURA'!M$35</f>
        <v>0</v>
      </c>
      <c r="M97" s="701">
        <f>IF('2 MEDIA ALTURA'!N21='2 MEDIA ALTURA'!$B$47,IF('2 MEDIA ALTURA'!N$34=28,IF('2 MEDIA ALTURA'!N20=40,1,0)))*'2 MEDIA ALTURA'!N$35</f>
        <v>0</v>
      </c>
      <c r="N97" s="706">
        <f>SUM(B97:M105)</f>
        <v>0</v>
      </c>
      <c r="O97" s="701">
        <f>IF('2 MEDIA ALTURA'!C21='2 MEDIA ALTURA'!$B$47,IF('2 MEDIA ALTURA'!C$34=30,IF('2 MEDIA ALTURA'!C20=40,1,0)))*'2 MEDIA ALTURA'!C$35</f>
        <v>0</v>
      </c>
      <c r="P97" s="701">
        <f>IF('2 MEDIA ALTURA'!D21='2 MEDIA ALTURA'!$B$47,IF('2 MEDIA ALTURA'!D$34=30,IF('2 MEDIA ALTURA'!D20=40,1,0)))*'2 MEDIA ALTURA'!D$35</f>
        <v>0</v>
      </c>
      <c r="Q97" s="701">
        <f>IF('2 MEDIA ALTURA'!E21='2 MEDIA ALTURA'!$B$47,IF('2 MEDIA ALTURA'!E$34=30,IF('2 MEDIA ALTURA'!E20=40,1,0)))*'2 MEDIA ALTURA'!E$35</f>
        <v>0</v>
      </c>
      <c r="R97" s="701">
        <f>IF('2 MEDIA ALTURA'!F21='2 MEDIA ALTURA'!$B$47,IF('2 MEDIA ALTURA'!F$34=30,IF('2 MEDIA ALTURA'!F20=40,1,0)))*'2 MEDIA ALTURA'!F$35</f>
        <v>0</v>
      </c>
      <c r="S97" s="701">
        <f>IF('2 MEDIA ALTURA'!G21='2 MEDIA ALTURA'!$B$47,IF('2 MEDIA ALTURA'!G$34=30,IF('2 MEDIA ALTURA'!G20=40,1,0)))*'2 MEDIA ALTURA'!G$35</f>
        <v>0</v>
      </c>
      <c r="T97" s="701">
        <f>IF('2 MEDIA ALTURA'!H21='2 MEDIA ALTURA'!$B$47,IF('2 MEDIA ALTURA'!H$34=30,IF('2 MEDIA ALTURA'!H20=40,1,0)))*'2 MEDIA ALTURA'!H$35</f>
        <v>0</v>
      </c>
      <c r="U97" s="701">
        <f>IF('2 MEDIA ALTURA'!I21='2 MEDIA ALTURA'!$B$47,IF('2 MEDIA ALTURA'!I$34=30,IF('2 MEDIA ALTURA'!I20=40,1,0)))*'2 MEDIA ALTURA'!I$35</f>
        <v>0</v>
      </c>
      <c r="V97" s="701">
        <f>IF('2 MEDIA ALTURA'!J21='2 MEDIA ALTURA'!$B$47,IF('2 MEDIA ALTURA'!J$34=30,IF('2 MEDIA ALTURA'!J20=40,1,0)))*'2 MEDIA ALTURA'!J$35</f>
        <v>0</v>
      </c>
      <c r="W97" s="701">
        <f>IF('2 MEDIA ALTURA'!K21='2 MEDIA ALTURA'!$B$47,IF('2 MEDIA ALTURA'!K$34=30,IF('2 MEDIA ALTURA'!K20=40,1,0)))*'2 MEDIA ALTURA'!K$35</f>
        <v>0</v>
      </c>
      <c r="X97" s="701">
        <f>IF('2 MEDIA ALTURA'!L21='2 MEDIA ALTURA'!$B$47,IF('2 MEDIA ALTURA'!L$34=30,IF('2 MEDIA ALTURA'!L20=40,1,0)))*'2 MEDIA ALTURA'!L$35</f>
        <v>0</v>
      </c>
      <c r="Y97" s="701">
        <f>IF('2 MEDIA ALTURA'!M21='2 MEDIA ALTURA'!$B$47,IF('2 MEDIA ALTURA'!M$34=30,IF('2 MEDIA ALTURA'!M20=40,1,0)))*'2 MEDIA ALTURA'!M$35</f>
        <v>0</v>
      </c>
      <c r="Z97" s="701">
        <f>IF('2 MEDIA ALTURA'!N21='2 MEDIA ALTURA'!$B$47,IF('2 MEDIA ALTURA'!N$34=30,IF('2 MEDIA ALTURA'!N20=40,1,0)))*'2 MEDIA ALTURA'!N$35</f>
        <v>0</v>
      </c>
      <c r="AA97" s="706">
        <f>SUM(O95:Z101)</f>
        <v>0</v>
      </c>
      <c r="AB97" s="701">
        <f>IF('2 MEDIA ALTURA'!C21='2 MEDIA ALTURA'!$B$47,IF('2 MEDIA ALTURA'!C$34=56,IF('2 MEDIA ALTURA'!C20=40,1,0)))*'2 MEDIA ALTURA'!C$35</f>
        <v>0</v>
      </c>
      <c r="AC97" s="701">
        <f>IF('2 MEDIA ALTURA'!D21='2 MEDIA ALTURA'!$B$47,IF('2 MEDIA ALTURA'!D$34=56,IF('2 MEDIA ALTURA'!D20=40,1,0)))*'2 MEDIA ALTURA'!D$35</f>
        <v>0</v>
      </c>
      <c r="AD97" s="701">
        <f>IF('2 MEDIA ALTURA'!E21='2 MEDIA ALTURA'!$B$47,IF('2 MEDIA ALTURA'!E$34=56,IF('2 MEDIA ALTURA'!E20=40,1,0)))*'2 MEDIA ALTURA'!E$35</f>
        <v>0</v>
      </c>
      <c r="AE97" s="701">
        <f>IF('2 MEDIA ALTURA'!F21='2 MEDIA ALTURA'!$B$47,IF('2 MEDIA ALTURA'!F$34=56,IF('2 MEDIA ALTURA'!F20=40,1,0)))*'2 MEDIA ALTURA'!F$35</f>
        <v>0</v>
      </c>
      <c r="AF97" s="701">
        <f>IF('2 MEDIA ALTURA'!G21='2 MEDIA ALTURA'!$B$47,IF('2 MEDIA ALTURA'!G$34=56,IF('2 MEDIA ALTURA'!G20=40,1,0)))*'2 MEDIA ALTURA'!G$35</f>
        <v>0</v>
      </c>
      <c r="AG97" s="701">
        <f>IF('2 MEDIA ALTURA'!H21='2 MEDIA ALTURA'!$B$47,IF('2 MEDIA ALTURA'!H$34=56,IF('2 MEDIA ALTURA'!H20=40,1,0)))*'2 MEDIA ALTURA'!H$35</f>
        <v>0</v>
      </c>
      <c r="AH97" s="701">
        <f>IF('2 MEDIA ALTURA'!I21='2 MEDIA ALTURA'!$B$47,IF('2 MEDIA ALTURA'!I$34=56,IF('2 MEDIA ALTURA'!I20=40,1,0)))*'2 MEDIA ALTURA'!I$35</f>
        <v>0</v>
      </c>
      <c r="AI97" s="701">
        <f>IF('2 MEDIA ALTURA'!J21='2 MEDIA ALTURA'!$B$47,IF('2 MEDIA ALTURA'!J$34=56,IF('2 MEDIA ALTURA'!J20=40,1,0)))*'2 MEDIA ALTURA'!J$35</f>
        <v>0</v>
      </c>
      <c r="AJ97" s="701">
        <f>IF('2 MEDIA ALTURA'!K21='2 MEDIA ALTURA'!$B$47,IF('2 MEDIA ALTURA'!K$34=56,IF('2 MEDIA ALTURA'!K20=40,1,0)))*'2 MEDIA ALTURA'!K$35</f>
        <v>0</v>
      </c>
      <c r="AK97" s="701">
        <f>IF('2 MEDIA ALTURA'!L21='2 MEDIA ALTURA'!$B$47,IF('2 MEDIA ALTURA'!L$34=56,IF('2 MEDIA ALTURA'!L20=40,1,0)))*'2 MEDIA ALTURA'!L$35</f>
        <v>0</v>
      </c>
      <c r="AL97" s="701">
        <f>IF('2 MEDIA ALTURA'!M21='2 MEDIA ALTURA'!$B$47,IF('2 MEDIA ALTURA'!M$34=56,IF('2 MEDIA ALTURA'!M20=40,1,0)))*'2 MEDIA ALTURA'!M$35</f>
        <v>0</v>
      </c>
      <c r="AM97" s="701">
        <f>IF('2 MEDIA ALTURA'!N21='2 MEDIA ALTURA'!$B$47,IF('2 MEDIA ALTURA'!N$34=56,IF('2 MEDIA ALTURA'!N20=40,1,0)))*'2 MEDIA ALTURA'!N$35</f>
        <v>0</v>
      </c>
      <c r="AN97" s="706">
        <f>SUM(AB97:AM105)</f>
        <v>0</v>
      </c>
      <c r="AO97" s="701">
        <f>IF('2 MEDIA ALTURA'!C21='2 MEDIA ALTURA'!$B$47,IF('2 MEDIA ALTURA'!C$34=60,IF('2 MEDIA ALTURA'!C20=40,1,0)))*'2 MEDIA ALTURA'!C$35</f>
        <v>0</v>
      </c>
      <c r="AP97" s="701">
        <f>IF('2 MEDIA ALTURA'!D21='2 MEDIA ALTURA'!$B$47,IF('2 MEDIA ALTURA'!D$34=60,IF('2 MEDIA ALTURA'!D20=40,1,0)))*'2 MEDIA ALTURA'!D$35</f>
        <v>0</v>
      </c>
      <c r="AQ97" s="701">
        <f>IF('2 MEDIA ALTURA'!E21='2 MEDIA ALTURA'!$B$47,IF('2 MEDIA ALTURA'!E$34=60,IF('2 MEDIA ALTURA'!E20=40,1,0)))*'2 MEDIA ALTURA'!E$35</f>
        <v>0</v>
      </c>
      <c r="AR97" s="701">
        <f>IF('2 MEDIA ALTURA'!F21='2 MEDIA ALTURA'!$B$47,IF('2 MEDIA ALTURA'!F$34=60,IF('2 MEDIA ALTURA'!F20=40,1,0)))*'2 MEDIA ALTURA'!F$35</f>
        <v>0</v>
      </c>
      <c r="AS97" s="701">
        <f>IF('2 MEDIA ALTURA'!G21='2 MEDIA ALTURA'!$B$47,IF('2 MEDIA ALTURA'!G$34=60,IF('2 MEDIA ALTURA'!G20=40,1,0)))*'2 MEDIA ALTURA'!G$35</f>
        <v>0</v>
      </c>
      <c r="AT97" s="701">
        <f>IF('2 MEDIA ALTURA'!H21='2 MEDIA ALTURA'!$B$47,IF('2 MEDIA ALTURA'!H$34=60,IF('2 MEDIA ALTURA'!H20=40,1,0)))*'2 MEDIA ALTURA'!H$35</f>
        <v>0</v>
      </c>
      <c r="AU97" s="701">
        <f>IF('2 MEDIA ALTURA'!I21='2 MEDIA ALTURA'!$B$47,IF('2 MEDIA ALTURA'!I$34=60,IF('2 MEDIA ALTURA'!I20=40,1,0)))*'2 MEDIA ALTURA'!I$35</f>
        <v>0</v>
      </c>
      <c r="AV97" s="701">
        <f>IF('2 MEDIA ALTURA'!J21='2 MEDIA ALTURA'!$B$47,IF('2 MEDIA ALTURA'!J$34=60,IF('2 MEDIA ALTURA'!J20=40,1,0)))*'2 MEDIA ALTURA'!J$35</f>
        <v>0</v>
      </c>
      <c r="AW97" s="701">
        <f>IF('2 MEDIA ALTURA'!K21='2 MEDIA ALTURA'!$B$47,IF('2 MEDIA ALTURA'!K$34=60,IF('2 MEDIA ALTURA'!K20=40,1,0)))*'2 MEDIA ALTURA'!K$35</f>
        <v>0</v>
      </c>
      <c r="AX97" s="701">
        <f>IF('2 MEDIA ALTURA'!L21='2 MEDIA ALTURA'!$B$47,IF('2 MEDIA ALTURA'!L$34=60,IF('2 MEDIA ALTURA'!L20=40,1,0)))*'2 MEDIA ALTURA'!L$35</f>
        <v>0</v>
      </c>
      <c r="AY97" s="701">
        <f>IF('2 MEDIA ALTURA'!M21='2 MEDIA ALTURA'!$B$47,IF('2 MEDIA ALTURA'!M$34=60,IF('2 MEDIA ALTURA'!M20=40,1,0)))*'2 MEDIA ALTURA'!M$35</f>
        <v>0</v>
      </c>
      <c r="AZ97" s="701">
        <f>IF('2 MEDIA ALTURA'!N21='2 MEDIA ALTURA'!$B$47,IF('2 MEDIA ALTURA'!N$34=60,IF('2 MEDIA ALTURA'!N20=40,1,0)))*'2 MEDIA ALTURA'!N$35</f>
        <v>0</v>
      </c>
      <c r="BA97" s="706">
        <f>SUM(AO97:AZ105)</f>
        <v>0</v>
      </c>
      <c r="BB97" s="701">
        <f>IF('2 MEDIA ALTURA'!C21='2 MEDIA ALTURA'!$B$47,IF('2 MEDIA ALTURA'!C$34=70,IF('2 MEDIA ALTURA'!C20=40,1,0)))*'2 MEDIA ALTURA'!C$35</f>
        <v>0</v>
      </c>
      <c r="BC97" s="701">
        <f>IF('2 MEDIA ALTURA'!D21='2 MEDIA ALTURA'!$B$47,IF('2 MEDIA ALTURA'!D$34=70,IF('2 MEDIA ALTURA'!D20=40,1,0)))*'2 MEDIA ALTURA'!D$35</f>
        <v>0</v>
      </c>
      <c r="BD97" s="701">
        <f>IF('2 MEDIA ALTURA'!E21='2 MEDIA ALTURA'!$B$47,IF('2 MEDIA ALTURA'!E$34=70,IF('2 MEDIA ALTURA'!E20=40,1,0)))*'2 MEDIA ALTURA'!E$35</f>
        <v>0</v>
      </c>
      <c r="BE97" s="701">
        <f>IF('2 MEDIA ALTURA'!F21='2 MEDIA ALTURA'!$B$47,IF('2 MEDIA ALTURA'!F$34=70,IF('2 MEDIA ALTURA'!F20=40,1,0)))*'2 MEDIA ALTURA'!F$35</f>
        <v>0</v>
      </c>
      <c r="BF97" s="701">
        <f>IF('2 MEDIA ALTURA'!G21='2 MEDIA ALTURA'!$B$47,IF('2 MEDIA ALTURA'!G$34=70,IF('2 MEDIA ALTURA'!G20=40,1,0)))*'2 MEDIA ALTURA'!G$35</f>
        <v>0</v>
      </c>
      <c r="BG97" s="701">
        <f>IF('2 MEDIA ALTURA'!H21='2 MEDIA ALTURA'!$B$47,IF('2 MEDIA ALTURA'!H$34=70,IF('2 MEDIA ALTURA'!H20=40,1,0)))*'2 MEDIA ALTURA'!H$35</f>
        <v>0</v>
      </c>
      <c r="BH97" s="701">
        <f>IF('2 MEDIA ALTURA'!I21='2 MEDIA ALTURA'!$B$47,IF('2 MEDIA ALTURA'!I$34=70,IF('2 MEDIA ALTURA'!I20=40,1,0)))*'2 MEDIA ALTURA'!I$35</f>
        <v>0</v>
      </c>
      <c r="BI97" s="701">
        <f>IF('2 MEDIA ALTURA'!J21='2 MEDIA ALTURA'!$B$47,IF('2 MEDIA ALTURA'!J$34=70,IF('2 MEDIA ALTURA'!J20=40,1,0)))*'2 MEDIA ALTURA'!J$35</f>
        <v>0</v>
      </c>
      <c r="BJ97" s="701">
        <f>IF('2 MEDIA ALTURA'!K21='2 MEDIA ALTURA'!$B$47,IF('2 MEDIA ALTURA'!K$34=70,IF('2 MEDIA ALTURA'!K20=40,1,0)))*'2 MEDIA ALTURA'!K$35</f>
        <v>0</v>
      </c>
      <c r="BK97" s="701">
        <f>IF('2 MEDIA ALTURA'!L21='2 MEDIA ALTURA'!$B$47,IF('2 MEDIA ALTURA'!L$34=70,IF('2 MEDIA ALTURA'!L20=40,1,0)))*'2 MEDIA ALTURA'!L$35</f>
        <v>0</v>
      </c>
      <c r="BL97" s="701">
        <f>IF('2 MEDIA ALTURA'!M21='2 MEDIA ALTURA'!$B$47,IF('2 MEDIA ALTURA'!M$34=70,IF('2 MEDIA ALTURA'!M20=40,1,0)))*'2 MEDIA ALTURA'!M$35</f>
        <v>0</v>
      </c>
      <c r="BM97" s="701">
        <f>IF('2 MEDIA ALTURA'!N21='2 MEDIA ALTURA'!$B$47,IF('2 MEDIA ALTURA'!N$34=70,IF('2 MEDIA ALTURA'!N20=40,1,0)))*'2 MEDIA ALTURA'!N$35</f>
        <v>0</v>
      </c>
      <c r="BN97" s="706">
        <f>SUM(BB97:BM105)</f>
        <v>0</v>
      </c>
      <c r="BO97" s="701">
        <f>IF('2 MEDIA ALTURA'!C21='2 MEDIA ALTURA'!$B$47,IF('2 MEDIA ALTURA'!C$34=75,IF('2 MEDIA ALTURA'!C20=40,1,0)))*'2 MEDIA ALTURA'!C$35</f>
        <v>0</v>
      </c>
      <c r="BP97" s="701">
        <f>IF('2 MEDIA ALTURA'!D21='2 MEDIA ALTURA'!$B$47,IF('2 MEDIA ALTURA'!D$34=75,IF('2 MEDIA ALTURA'!D20=40,1,0)))*'2 MEDIA ALTURA'!D$35</f>
        <v>0</v>
      </c>
      <c r="BQ97" s="701">
        <f>IF('2 MEDIA ALTURA'!E21='2 MEDIA ALTURA'!$B$47,IF('2 MEDIA ALTURA'!E$34=75,IF('2 MEDIA ALTURA'!E20=40,1,0)))*'2 MEDIA ALTURA'!E$35</f>
        <v>0</v>
      </c>
      <c r="BR97" s="701">
        <f>IF('2 MEDIA ALTURA'!F21='2 MEDIA ALTURA'!$B$47,IF('2 MEDIA ALTURA'!F$34=75,IF('2 MEDIA ALTURA'!F20=40,1,0)))*'2 MEDIA ALTURA'!F$35</f>
        <v>0</v>
      </c>
      <c r="BS97" s="701">
        <f>IF('2 MEDIA ALTURA'!G21='2 MEDIA ALTURA'!$B$47,IF('2 MEDIA ALTURA'!G$34=75,IF('2 MEDIA ALTURA'!G20=40,1,0)))*'2 MEDIA ALTURA'!G$35</f>
        <v>0</v>
      </c>
      <c r="BT97" s="701">
        <f>IF('2 MEDIA ALTURA'!H21='2 MEDIA ALTURA'!$B$47,IF('2 MEDIA ALTURA'!H$34=75,IF('2 MEDIA ALTURA'!H20=40,1,0)))*'2 MEDIA ALTURA'!H$35</f>
        <v>0</v>
      </c>
      <c r="BU97" s="701">
        <f>IF('2 MEDIA ALTURA'!I21='2 MEDIA ALTURA'!$B$47,IF('2 MEDIA ALTURA'!I$34=75,IF('2 MEDIA ALTURA'!I20=40,1,0)))*'2 MEDIA ALTURA'!I$35</f>
        <v>0</v>
      </c>
      <c r="BV97" s="701">
        <f>IF('2 MEDIA ALTURA'!J21='2 MEDIA ALTURA'!$B$47,IF('2 MEDIA ALTURA'!J$34=75,IF('2 MEDIA ALTURA'!J20=40,1,0)))*'2 MEDIA ALTURA'!J$35</f>
        <v>0</v>
      </c>
      <c r="BW97" s="701">
        <f>IF('2 MEDIA ALTURA'!K21='2 MEDIA ALTURA'!$B$47,IF('2 MEDIA ALTURA'!K$34=75,IF('2 MEDIA ALTURA'!K20=40,1,0)))*'2 MEDIA ALTURA'!K$35</f>
        <v>0</v>
      </c>
      <c r="BX97" s="701">
        <f>IF('2 MEDIA ALTURA'!L21='2 MEDIA ALTURA'!$B$47,IF('2 MEDIA ALTURA'!L$34=75,IF('2 MEDIA ALTURA'!L20=40,1,0)))*'2 MEDIA ALTURA'!L$35</f>
        <v>0</v>
      </c>
      <c r="BY97" s="701">
        <f>IF('2 MEDIA ALTURA'!M21='2 MEDIA ALTURA'!$B$47,IF('2 MEDIA ALTURA'!M$34=75,IF('2 MEDIA ALTURA'!M20=40,1,0)))*'2 MEDIA ALTURA'!M$35</f>
        <v>0</v>
      </c>
      <c r="BZ97" s="701">
        <f>IF('2 MEDIA ALTURA'!N21='2 MEDIA ALTURA'!$B$47,IF('2 MEDIA ALTURA'!N$34=75,IF('2 MEDIA ALTURA'!N20=40,1,0)))*'2 MEDIA ALTURA'!N$35</f>
        <v>0</v>
      </c>
      <c r="CA97" s="706">
        <f>SUM(BO97:BZ105)</f>
        <v>0</v>
      </c>
      <c r="CB97" s="701">
        <f>IF('2 MEDIA ALTURA'!C21='2 MEDIA ALTURA'!$B$47,IF('2 MEDIA ALTURA'!C$34=84,IF('2 MEDIA ALTURA'!C20=40,1,0)))*'2 MEDIA ALTURA'!C$35</f>
        <v>0</v>
      </c>
      <c r="CC97" s="701">
        <f>IF('2 MEDIA ALTURA'!D21='2 MEDIA ALTURA'!$B$47,IF('2 MEDIA ALTURA'!D$34=84,IF('2 MEDIA ALTURA'!D20=40,1,0)))*'2 MEDIA ALTURA'!D$35</f>
        <v>0</v>
      </c>
      <c r="CD97" s="701">
        <f>IF('2 MEDIA ALTURA'!E21='2 MEDIA ALTURA'!$B$47,IF('2 MEDIA ALTURA'!E$34=84,IF('2 MEDIA ALTURA'!E20=40,1,0)))*'2 MEDIA ALTURA'!E$35</f>
        <v>0</v>
      </c>
      <c r="CE97" s="701">
        <f>IF('2 MEDIA ALTURA'!F21='2 MEDIA ALTURA'!$B$47,IF('2 MEDIA ALTURA'!F$34=84,IF('2 MEDIA ALTURA'!F20=40,1,0)))*'2 MEDIA ALTURA'!F$35</f>
        <v>0</v>
      </c>
      <c r="CF97" s="701">
        <f>IF('2 MEDIA ALTURA'!G21='2 MEDIA ALTURA'!$B$47,IF('2 MEDIA ALTURA'!G$34=84,IF('2 MEDIA ALTURA'!G20=40,1,0)))*'2 MEDIA ALTURA'!G$35</f>
        <v>0</v>
      </c>
      <c r="CG97" s="701">
        <f>IF('2 MEDIA ALTURA'!H21='2 MEDIA ALTURA'!$B$47,IF('2 MEDIA ALTURA'!H$34=84,IF('2 MEDIA ALTURA'!H20=40,1,0)))*'2 MEDIA ALTURA'!H$35</f>
        <v>0</v>
      </c>
      <c r="CH97" s="701">
        <f>IF('2 MEDIA ALTURA'!I21='2 MEDIA ALTURA'!$B$47,IF('2 MEDIA ALTURA'!I$34=84,IF('2 MEDIA ALTURA'!I20=40,1,0)))*'2 MEDIA ALTURA'!I$35</f>
        <v>0</v>
      </c>
      <c r="CI97" s="701">
        <f>IF('2 MEDIA ALTURA'!J21='2 MEDIA ALTURA'!$B$47,IF('2 MEDIA ALTURA'!J$34=84,IF('2 MEDIA ALTURA'!J20=40,1,0)))*'2 MEDIA ALTURA'!J$35</f>
        <v>0</v>
      </c>
      <c r="CJ97" s="701">
        <f>IF('2 MEDIA ALTURA'!K21='2 MEDIA ALTURA'!$B$47,IF('2 MEDIA ALTURA'!K$34=84,IF('2 MEDIA ALTURA'!K20=40,1,0)))*'2 MEDIA ALTURA'!K$35</f>
        <v>0</v>
      </c>
      <c r="CK97" s="701">
        <f>IF('2 MEDIA ALTURA'!L21='2 MEDIA ALTURA'!$B$47,IF('2 MEDIA ALTURA'!L$34=84,IF('2 MEDIA ALTURA'!L20=40,1,0)))*'2 MEDIA ALTURA'!L$35</f>
        <v>0</v>
      </c>
      <c r="CL97" s="701">
        <f>IF('2 MEDIA ALTURA'!M21='2 MEDIA ALTURA'!$B$47,IF('2 MEDIA ALTURA'!M$34=84,IF('2 MEDIA ALTURA'!M20=40,1,0)))*'2 MEDIA ALTURA'!M$35</f>
        <v>0</v>
      </c>
      <c r="CM97" s="701">
        <f>IF('2 MEDIA ALTURA'!N21='2 MEDIA ALTURA'!$B$47,IF('2 MEDIA ALTURA'!N$34=84,IF('2 MEDIA ALTURA'!N20=40,1,0)))*'2 MEDIA ALTURA'!N$35</f>
        <v>0</v>
      </c>
      <c r="CN97" s="706">
        <f>SUM(CB97:CM105)</f>
        <v>0</v>
      </c>
      <c r="CO97" s="701">
        <f>IF('2 MEDIA ALTURA'!C21='2 MEDIA ALTURA'!$B$47,IF('2 MEDIA ALTURA'!C$34=90,IF('2 MEDIA ALTURA'!C20=40,1,0)))*'2 MEDIA ALTURA'!C$35</f>
        <v>0</v>
      </c>
      <c r="CP97" s="701">
        <f>IF('2 MEDIA ALTURA'!D21='2 MEDIA ALTURA'!$B$47,IF('2 MEDIA ALTURA'!D$34=90,IF('2 MEDIA ALTURA'!D20=40,1,0)))*'2 MEDIA ALTURA'!D$35</f>
        <v>0</v>
      </c>
      <c r="CQ97" s="701">
        <f>IF('2 MEDIA ALTURA'!E21='2 MEDIA ALTURA'!$B$47,IF('2 MEDIA ALTURA'!E$34=90,IF('2 MEDIA ALTURA'!E20=40,1,0)))*'2 MEDIA ALTURA'!E$35</f>
        <v>0</v>
      </c>
      <c r="CR97" s="701">
        <f>IF('2 MEDIA ALTURA'!F21='2 MEDIA ALTURA'!$B$47,IF('2 MEDIA ALTURA'!F$34=90,IF('2 MEDIA ALTURA'!F20=40,1,0)))*'2 MEDIA ALTURA'!F$35</f>
        <v>0</v>
      </c>
      <c r="CS97" s="701">
        <f>IF('2 MEDIA ALTURA'!G21='2 MEDIA ALTURA'!$B$47,IF('2 MEDIA ALTURA'!G$34=90,IF('2 MEDIA ALTURA'!G20=40,1,0)))*'2 MEDIA ALTURA'!G$35</f>
        <v>0</v>
      </c>
      <c r="CT97" s="701">
        <f>IF('2 MEDIA ALTURA'!H21='2 MEDIA ALTURA'!$B$47,IF('2 MEDIA ALTURA'!H$34=90,IF('2 MEDIA ALTURA'!H20=40,1,0)))*'2 MEDIA ALTURA'!H$35</f>
        <v>0</v>
      </c>
      <c r="CU97" s="701">
        <f>IF('2 MEDIA ALTURA'!I21='2 MEDIA ALTURA'!$B$47,IF('2 MEDIA ALTURA'!I$34=90,IF('2 MEDIA ALTURA'!I20=40,1,0)))*'2 MEDIA ALTURA'!I$35</f>
        <v>0</v>
      </c>
      <c r="CV97" s="701">
        <f>IF('2 MEDIA ALTURA'!J21='2 MEDIA ALTURA'!$B$47,IF('2 MEDIA ALTURA'!J$34=90,IF('2 MEDIA ALTURA'!J20=40,1,0)))*'2 MEDIA ALTURA'!J$35</f>
        <v>0</v>
      </c>
      <c r="CW97" s="701">
        <f>IF('2 MEDIA ALTURA'!K21='2 MEDIA ALTURA'!$B$47,IF('2 MEDIA ALTURA'!K$34=90,IF('2 MEDIA ALTURA'!K20=40,1,0)))*'2 MEDIA ALTURA'!K$35</f>
        <v>0</v>
      </c>
      <c r="CX97" s="701">
        <f>IF('2 MEDIA ALTURA'!L21='2 MEDIA ALTURA'!$B$47,IF('2 MEDIA ALTURA'!L$34=90,IF('2 MEDIA ALTURA'!L20=40,1,0)))*'2 MEDIA ALTURA'!L$35</f>
        <v>0</v>
      </c>
      <c r="CY97" s="701">
        <f>IF('2 MEDIA ALTURA'!M21='2 MEDIA ALTURA'!$B$47,IF('2 MEDIA ALTURA'!M$34=90,IF('2 MEDIA ALTURA'!M20=40,1,0)))*'2 MEDIA ALTURA'!M$35</f>
        <v>0</v>
      </c>
      <c r="CZ97" s="701">
        <f>IF('2 MEDIA ALTURA'!N21='2 MEDIA ALTURA'!$B$47,IF('2 MEDIA ALTURA'!N$34=90,IF('2 MEDIA ALTURA'!N20=40,1,0)))*'2 MEDIA ALTURA'!N$35</f>
        <v>0</v>
      </c>
      <c r="DA97" s="706">
        <f>SUM(FK170:FV178)</f>
        <v>0</v>
      </c>
      <c r="DB97" s="701">
        <f>IF('2 MEDIA ALTURA'!C21='2 MEDIA ALTURA'!$B$47,IF('2 MEDIA ALTURA'!C$34=112,IF('2 MEDIA ALTURA'!C20=40,1,0)))*'2 MEDIA ALTURA'!C$35</f>
        <v>0</v>
      </c>
      <c r="DC97" s="701">
        <f>IF('2 MEDIA ALTURA'!D21='2 MEDIA ALTURA'!$B$47,IF('2 MEDIA ALTURA'!D$34=112,IF('2 MEDIA ALTURA'!D20=40,1,0)))*'2 MEDIA ALTURA'!D$35</f>
        <v>0</v>
      </c>
      <c r="DD97" s="701">
        <f>IF('2 MEDIA ALTURA'!E21='2 MEDIA ALTURA'!$B$47,IF('2 MEDIA ALTURA'!E$34=112,IF('2 MEDIA ALTURA'!E20=40,1,0)))*'2 MEDIA ALTURA'!E$35</f>
        <v>0</v>
      </c>
      <c r="DE97" s="701">
        <f>IF('2 MEDIA ALTURA'!F21='2 MEDIA ALTURA'!$B$47,IF('2 MEDIA ALTURA'!F$34=112,IF('2 MEDIA ALTURA'!F20=40,1,0)))*'2 MEDIA ALTURA'!F$35</f>
        <v>0</v>
      </c>
      <c r="DF97" s="701">
        <f>IF('2 MEDIA ALTURA'!G21='2 MEDIA ALTURA'!$B$47,IF('2 MEDIA ALTURA'!G$34=112,IF('2 MEDIA ALTURA'!G20=40,1,0)))*'2 MEDIA ALTURA'!G$35</f>
        <v>0</v>
      </c>
      <c r="DG97" s="701">
        <f>IF('2 MEDIA ALTURA'!H21='2 MEDIA ALTURA'!$B$47,IF('2 MEDIA ALTURA'!H$34=112,IF('2 MEDIA ALTURA'!H20=40,1,0)))*'2 MEDIA ALTURA'!H$35</f>
        <v>0</v>
      </c>
      <c r="DH97" s="701">
        <f>IF('2 MEDIA ALTURA'!I21='2 MEDIA ALTURA'!$B$47,IF('2 MEDIA ALTURA'!I$34=112,IF('2 MEDIA ALTURA'!I20=40,1,0)))*'2 MEDIA ALTURA'!I$35</f>
        <v>0</v>
      </c>
      <c r="DI97" s="701">
        <f>IF('2 MEDIA ALTURA'!J21='2 MEDIA ALTURA'!$B$47,IF('2 MEDIA ALTURA'!J$34=112,IF('2 MEDIA ALTURA'!J20=40,1,0)))*'2 MEDIA ALTURA'!J$35</f>
        <v>0</v>
      </c>
      <c r="DJ97" s="701">
        <f>IF('2 MEDIA ALTURA'!K21='2 MEDIA ALTURA'!$B$47,IF('2 MEDIA ALTURA'!K$34=112,IF('2 MEDIA ALTURA'!K20=40,1,0)))*'2 MEDIA ALTURA'!K$35</f>
        <v>0</v>
      </c>
      <c r="DK97" s="701">
        <f>IF('2 MEDIA ALTURA'!L21='2 MEDIA ALTURA'!$B$47,IF('2 MEDIA ALTURA'!L$34=112,IF('2 MEDIA ALTURA'!L20=40,1,0)))*'2 MEDIA ALTURA'!L$35</f>
        <v>0</v>
      </c>
      <c r="DL97" s="701">
        <f>IF('2 MEDIA ALTURA'!M21='2 MEDIA ALTURA'!$B$47,IF('2 MEDIA ALTURA'!M$34=112,IF('2 MEDIA ALTURA'!M20=40,1,0)))*'2 MEDIA ALTURA'!M$35</f>
        <v>0</v>
      </c>
      <c r="DM97" s="701">
        <f>IF('2 MEDIA ALTURA'!N21='2 MEDIA ALTURA'!$B$47,IF('2 MEDIA ALTURA'!N$34=112,IF('2 MEDIA ALTURA'!N20=40,1,0)))*'2 MEDIA ALTURA'!N$35</f>
        <v>0</v>
      </c>
      <c r="DN97" s="706">
        <f>SUM(DH97:DM105)</f>
        <v>0</v>
      </c>
      <c r="DO97" s="701">
        <f>IF('2 MEDIA ALTURA'!C21='2 MEDIA ALTURA'!$B$47,IF('2 MEDIA ALTURA'!C$34=120,IF('2 MEDIA ALTURA'!C20=40,1,0)))*'2 MEDIA ALTURA'!C$35</f>
        <v>0</v>
      </c>
      <c r="DP97" s="701">
        <f>IF('2 MEDIA ALTURA'!D21='2 MEDIA ALTURA'!$B$47,IF('2 MEDIA ALTURA'!D$34=120,IF('2 MEDIA ALTURA'!D20=40,1,0)))*'2 MEDIA ALTURA'!D$35</f>
        <v>0</v>
      </c>
      <c r="DQ97" s="701">
        <f>IF('2 MEDIA ALTURA'!E21='2 MEDIA ALTURA'!$B$47,IF('2 MEDIA ALTURA'!E$34=120,IF('2 MEDIA ALTURA'!E20=40,1,0)))*'2 MEDIA ALTURA'!E$35</f>
        <v>0</v>
      </c>
      <c r="DR97" s="701">
        <f>IF('2 MEDIA ALTURA'!F21='2 MEDIA ALTURA'!$B$47,IF('2 MEDIA ALTURA'!F$34=120,IF('2 MEDIA ALTURA'!F20=40,1,0)))*'2 MEDIA ALTURA'!F$35</f>
        <v>0</v>
      </c>
      <c r="DS97" s="701">
        <f>IF('2 MEDIA ALTURA'!G21='2 MEDIA ALTURA'!$B$47,IF('2 MEDIA ALTURA'!G$34=120,IF('2 MEDIA ALTURA'!G20=40,1,0)))*'2 MEDIA ALTURA'!G$35</f>
        <v>0</v>
      </c>
      <c r="DT97" s="701">
        <f>IF('2 MEDIA ALTURA'!H21='2 MEDIA ALTURA'!$B$47,IF('2 MEDIA ALTURA'!H$34=120,IF('2 MEDIA ALTURA'!H20=40,1,0)))*'2 MEDIA ALTURA'!H$35</f>
        <v>0</v>
      </c>
      <c r="DU97" s="701">
        <f>IF('2 MEDIA ALTURA'!I21='2 MEDIA ALTURA'!$B$47,IF('2 MEDIA ALTURA'!I$34=120,IF('2 MEDIA ALTURA'!I20=40,1,0)))*'2 MEDIA ALTURA'!I$35</f>
        <v>0</v>
      </c>
      <c r="DV97" s="701">
        <f>IF('2 MEDIA ALTURA'!J21='2 MEDIA ALTURA'!$B$47,IF('2 MEDIA ALTURA'!J$34=120,IF('2 MEDIA ALTURA'!J20=40,1,0)))*'2 MEDIA ALTURA'!J$35</f>
        <v>0</v>
      </c>
      <c r="DW97" s="701">
        <f>IF('2 MEDIA ALTURA'!K21='2 MEDIA ALTURA'!$B$47,IF('2 MEDIA ALTURA'!K$34=120,IF('2 MEDIA ALTURA'!K20=40,1,0)))*'2 MEDIA ALTURA'!K$35</f>
        <v>0</v>
      </c>
      <c r="DX97" s="701">
        <f>IF('2 MEDIA ALTURA'!L21='2 MEDIA ALTURA'!$B$47,IF('2 MEDIA ALTURA'!L$34=120,IF('2 MEDIA ALTURA'!L20=40,1,0)))*'2 MEDIA ALTURA'!L$35</f>
        <v>0</v>
      </c>
      <c r="DY97" s="701">
        <f>IF('2 MEDIA ALTURA'!M21='2 MEDIA ALTURA'!$B$47,IF('2 MEDIA ALTURA'!M$34=120,IF('2 MEDIA ALTURA'!M20=40,1,0)))*'2 MEDIA ALTURA'!M$35</f>
        <v>0</v>
      </c>
      <c r="DZ97" s="701">
        <f>IF('2 MEDIA ALTURA'!N21='2 MEDIA ALTURA'!$B$47,IF('2 MEDIA ALTURA'!N$34=120,IF('2 MEDIA ALTURA'!N20=40,1,0)))*'2 MEDIA ALTURA'!N$35</f>
        <v>0</v>
      </c>
      <c r="EA97" s="706">
        <f>SUM(DU97:DZ105)</f>
        <v>0</v>
      </c>
      <c r="EB97" s="701">
        <f>IF('2 MEDIA ALTURA'!C21='2 MEDIA ALTURA'!$B$47,IF('2 MEDIA ALTURA'!C$34=140,IF('2 MEDIA ALTURA'!C20=40,1,0)))*'2 MEDIA ALTURA'!C$35</f>
        <v>0</v>
      </c>
      <c r="EC97" s="701">
        <f>IF('2 MEDIA ALTURA'!D21='2 MEDIA ALTURA'!$B$47,IF('2 MEDIA ALTURA'!D$34=140,IF('2 MEDIA ALTURA'!D20=40,1,0)))*'2 MEDIA ALTURA'!D$35</f>
        <v>0</v>
      </c>
      <c r="ED97" s="701">
        <f>IF('2 MEDIA ALTURA'!E21='2 MEDIA ALTURA'!$B$47,IF('2 MEDIA ALTURA'!E$34=140,IF('2 MEDIA ALTURA'!E20=40,1,0)))*'2 MEDIA ALTURA'!E$35</f>
        <v>0</v>
      </c>
      <c r="EE97" s="701">
        <f>IF('2 MEDIA ALTURA'!F21='2 MEDIA ALTURA'!$B$47,IF('2 MEDIA ALTURA'!F$34=140,IF('2 MEDIA ALTURA'!F20=40,1,0)))*'2 MEDIA ALTURA'!F$35</f>
        <v>0</v>
      </c>
      <c r="EF97" s="701">
        <f>IF('2 MEDIA ALTURA'!G21='2 MEDIA ALTURA'!$B$47,IF('2 MEDIA ALTURA'!G$34=140,IF('2 MEDIA ALTURA'!G20=40,1,0)))*'2 MEDIA ALTURA'!G$35</f>
        <v>0</v>
      </c>
      <c r="EG97" s="701">
        <f>IF('2 MEDIA ALTURA'!H21='2 MEDIA ALTURA'!$B$47,IF('2 MEDIA ALTURA'!H$34=140,IF('2 MEDIA ALTURA'!H20=40,1,0)))*'2 MEDIA ALTURA'!H$35</f>
        <v>0</v>
      </c>
      <c r="EH97" s="701">
        <f>IF('2 MEDIA ALTURA'!I21='2 MEDIA ALTURA'!$B$47,IF('2 MEDIA ALTURA'!I$34=140,IF('2 MEDIA ALTURA'!I20=40,1,0)))*'2 MEDIA ALTURA'!I$35</f>
        <v>0</v>
      </c>
      <c r="EI97" s="701">
        <f>IF('2 MEDIA ALTURA'!J21='2 MEDIA ALTURA'!$B$47,IF('2 MEDIA ALTURA'!J$34=140,IF('2 MEDIA ALTURA'!J20=40,1,0)))*'2 MEDIA ALTURA'!J$35</f>
        <v>0</v>
      </c>
      <c r="EJ97" s="701">
        <f>IF('2 MEDIA ALTURA'!K21='2 MEDIA ALTURA'!$B$47,IF('2 MEDIA ALTURA'!K$34=140,IF('2 MEDIA ALTURA'!K20=40,1,0)))*'2 MEDIA ALTURA'!K$35</f>
        <v>0</v>
      </c>
      <c r="EK97" s="701">
        <f>IF('2 MEDIA ALTURA'!L21='2 MEDIA ALTURA'!$B$47,IF('2 MEDIA ALTURA'!L$34=140,IF('2 MEDIA ALTURA'!L20=40,1,0)))*'2 MEDIA ALTURA'!L$35</f>
        <v>0</v>
      </c>
      <c r="EL97" s="701">
        <f>IF('2 MEDIA ALTURA'!M21='2 MEDIA ALTURA'!$B$47,IF('2 MEDIA ALTURA'!M$34=140,IF('2 MEDIA ALTURA'!M20=40,1,0)))*'2 MEDIA ALTURA'!M$35</f>
        <v>0</v>
      </c>
      <c r="EM97" s="701">
        <f>IF('2 MEDIA ALTURA'!N21='2 MEDIA ALTURA'!$B$47,IF('2 MEDIA ALTURA'!N$34=140,IF('2 MEDIA ALTURA'!N20=40,1,0)))*'2 MEDIA ALTURA'!N$35</f>
        <v>0</v>
      </c>
      <c r="EN97" s="706">
        <f>SUM(EH97:EM105)</f>
        <v>0</v>
      </c>
      <c r="EO97" s="701">
        <f>IF('2 MEDIA ALTURA'!C21='2 MEDIA ALTURA'!$B$47,IF('2 MEDIA ALTURA'!C$34=150,IF('2 MEDIA ALTURA'!C20=40,1,0)))*'2 MEDIA ALTURA'!C$35</f>
        <v>0</v>
      </c>
      <c r="EP97" s="701">
        <f>IF('2 MEDIA ALTURA'!D21='2 MEDIA ALTURA'!$B$47,IF('2 MEDIA ALTURA'!D$34=150,IF('2 MEDIA ALTURA'!D20=40,1,0)))*'2 MEDIA ALTURA'!D$35</f>
        <v>0</v>
      </c>
      <c r="EQ97" s="701">
        <f>IF('2 MEDIA ALTURA'!E21='2 MEDIA ALTURA'!$B$47,IF('2 MEDIA ALTURA'!E$34=150,IF('2 MEDIA ALTURA'!E20=40,1,0)))*'2 MEDIA ALTURA'!E$35</f>
        <v>0</v>
      </c>
      <c r="ER97" s="701">
        <f>IF('2 MEDIA ALTURA'!F21='2 MEDIA ALTURA'!$B$47,IF('2 MEDIA ALTURA'!F$34=150,IF('2 MEDIA ALTURA'!F20=40,1,0)))*'2 MEDIA ALTURA'!F$35</f>
        <v>0</v>
      </c>
      <c r="ES97" s="701">
        <f>IF('2 MEDIA ALTURA'!G21='2 MEDIA ALTURA'!$B$47,IF('2 MEDIA ALTURA'!G$34=150,IF('2 MEDIA ALTURA'!G20=40,1,0)))*'2 MEDIA ALTURA'!G$35</f>
        <v>0</v>
      </c>
      <c r="ET97" s="701">
        <f>IF('2 MEDIA ALTURA'!H21='2 MEDIA ALTURA'!$B$47,IF('2 MEDIA ALTURA'!H$34=150,IF('2 MEDIA ALTURA'!H20=40,1,0)))*'2 MEDIA ALTURA'!H$35</f>
        <v>0</v>
      </c>
      <c r="EU97" s="701">
        <f>IF('2 MEDIA ALTURA'!I21='2 MEDIA ALTURA'!$B$47,IF('2 MEDIA ALTURA'!I$34=150,IF('2 MEDIA ALTURA'!I20=40,1,0)))*'2 MEDIA ALTURA'!I$35</f>
        <v>0</v>
      </c>
      <c r="EV97" s="701">
        <f>IF('2 MEDIA ALTURA'!J21='2 MEDIA ALTURA'!$B$47,IF('2 MEDIA ALTURA'!J$34=150,IF('2 MEDIA ALTURA'!J20=40,1,0)))*'2 MEDIA ALTURA'!J$35</f>
        <v>0</v>
      </c>
      <c r="EW97" s="701">
        <f>IF('2 MEDIA ALTURA'!K21='2 MEDIA ALTURA'!$B$47,IF('2 MEDIA ALTURA'!K$34=150,IF('2 MEDIA ALTURA'!K20=40,1,0)))*'2 MEDIA ALTURA'!K$35</f>
        <v>0</v>
      </c>
      <c r="EX97" s="701">
        <f>IF('2 MEDIA ALTURA'!L21='2 MEDIA ALTURA'!$B$47,IF('2 MEDIA ALTURA'!L$34=150,IF('2 MEDIA ALTURA'!L20=40,1,0)))*'2 MEDIA ALTURA'!L$35</f>
        <v>0</v>
      </c>
      <c r="EY97" s="701">
        <f>IF('2 MEDIA ALTURA'!M21='2 MEDIA ALTURA'!$B$47,IF('2 MEDIA ALTURA'!M$34=150,IF('2 MEDIA ALTURA'!M20=40,1,0)))*'2 MEDIA ALTURA'!M$35</f>
        <v>0</v>
      </c>
      <c r="EZ97" s="701">
        <f>IF('2 MEDIA ALTURA'!N21='2 MEDIA ALTURA'!$B$47,IF('2 MEDIA ALTURA'!N$34=150,IF('2 MEDIA ALTURA'!N20=40,1,0)))*'2 MEDIA ALTURA'!N$35</f>
        <v>0</v>
      </c>
      <c r="FA97" s="706">
        <f>SUM(EU97:EZ105)</f>
        <v>0</v>
      </c>
    </row>
    <row r="98" spans="1:207" x14ac:dyDescent="0.35">
      <c r="A98" s="838"/>
      <c r="B98" s="701"/>
      <c r="C98" s="701"/>
      <c r="D98" s="701"/>
      <c r="E98" s="701"/>
      <c r="F98" s="701"/>
      <c r="G98" s="701"/>
      <c r="H98" s="701"/>
      <c r="I98" s="701"/>
      <c r="J98" s="701"/>
      <c r="K98" s="701"/>
      <c r="L98" s="701"/>
      <c r="M98" s="701"/>
      <c r="N98" s="706"/>
      <c r="O98" s="702"/>
      <c r="P98" s="702"/>
      <c r="Q98" s="702"/>
      <c r="R98" s="702"/>
      <c r="S98" s="702"/>
      <c r="T98" s="702"/>
      <c r="U98" s="702"/>
      <c r="V98" s="702"/>
      <c r="W98" s="702"/>
      <c r="X98" s="702"/>
      <c r="Y98" s="702"/>
      <c r="Z98" s="702"/>
      <c r="AA98" s="706"/>
      <c r="AB98" s="702"/>
      <c r="AC98" s="702"/>
      <c r="AD98" s="702"/>
      <c r="AE98" s="702"/>
      <c r="AF98" s="702"/>
      <c r="AG98" s="702"/>
      <c r="AH98" s="702"/>
      <c r="AI98" s="702"/>
      <c r="AJ98" s="702"/>
      <c r="AK98" s="702"/>
      <c r="AL98" s="702"/>
      <c r="AM98" s="702"/>
      <c r="AN98" s="706"/>
      <c r="AO98" s="702"/>
      <c r="AP98" s="702"/>
      <c r="AQ98" s="702"/>
      <c r="AR98" s="702"/>
      <c r="AS98" s="702"/>
      <c r="AT98" s="702"/>
      <c r="AU98" s="702"/>
      <c r="AV98" s="702"/>
      <c r="AW98" s="702"/>
      <c r="AX98" s="702"/>
      <c r="AY98" s="702"/>
      <c r="AZ98" s="702"/>
      <c r="BA98" s="706"/>
      <c r="BB98" s="702"/>
      <c r="BC98" s="702"/>
      <c r="BD98" s="702"/>
      <c r="BE98" s="702"/>
      <c r="BF98" s="702"/>
      <c r="BG98" s="702"/>
      <c r="BH98" s="702"/>
      <c r="BI98" s="702"/>
      <c r="BJ98" s="702"/>
      <c r="BK98" s="702"/>
      <c r="BL98" s="702"/>
      <c r="BM98" s="702"/>
      <c r="BN98" s="706"/>
      <c r="BO98" s="702"/>
      <c r="BP98" s="702"/>
      <c r="BQ98" s="702"/>
      <c r="BR98" s="702"/>
      <c r="BS98" s="702"/>
      <c r="BT98" s="702"/>
      <c r="BU98" s="702"/>
      <c r="BV98" s="702"/>
      <c r="BW98" s="702"/>
      <c r="BX98" s="702"/>
      <c r="BY98" s="702"/>
      <c r="BZ98" s="702"/>
      <c r="CA98" s="706"/>
      <c r="CB98" s="702"/>
      <c r="CC98" s="702"/>
      <c r="CD98" s="702"/>
      <c r="CE98" s="702"/>
      <c r="CF98" s="702"/>
      <c r="CG98" s="702"/>
      <c r="CH98" s="702"/>
      <c r="CI98" s="702"/>
      <c r="CJ98" s="702"/>
      <c r="CK98" s="702"/>
      <c r="CL98" s="702"/>
      <c r="CM98" s="702"/>
      <c r="CN98" s="706"/>
      <c r="CO98" s="702"/>
      <c r="CP98" s="702"/>
      <c r="CQ98" s="702"/>
      <c r="CR98" s="702"/>
      <c r="CS98" s="702"/>
      <c r="CT98" s="702"/>
      <c r="CU98" s="702"/>
      <c r="CV98" s="702"/>
      <c r="CW98" s="702"/>
      <c r="CX98" s="702"/>
      <c r="CY98" s="702"/>
      <c r="CZ98" s="702"/>
      <c r="DA98" s="706"/>
      <c r="DB98" s="702"/>
      <c r="DC98" s="702"/>
      <c r="DD98" s="702"/>
      <c r="DE98" s="702"/>
      <c r="DF98" s="702"/>
      <c r="DG98" s="702"/>
      <c r="DH98" s="702"/>
      <c r="DI98" s="702"/>
      <c r="DJ98" s="702"/>
      <c r="DK98" s="702"/>
      <c r="DL98" s="702"/>
      <c r="DM98" s="702"/>
      <c r="DN98" s="706"/>
      <c r="DO98" s="702"/>
      <c r="DP98" s="702"/>
      <c r="DQ98" s="702"/>
      <c r="DR98" s="702"/>
      <c r="DS98" s="702"/>
      <c r="DT98" s="702"/>
      <c r="DU98" s="702"/>
      <c r="DV98" s="702"/>
      <c r="DW98" s="702"/>
      <c r="DX98" s="702"/>
      <c r="DY98" s="702"/>
      <c r="DZ98" s="702"/>
      <c r="EA98" s="706"/>
      <c r="EB98" s="702"/>
      <c r="EC98" s="702"/>
      <c r="ED98" s="702"/>
      <c r="EE98" s="702"/>
      <c r="EF98" s="702"/>
      <c r="EG98" s="702"/>
      <c r="EH98" s="702"/>
      <c r="EI98" s="702"/>
      <c r="EJ98" s="702"/>
      <c r="EK98" s="702"/>
      <c r="EL98" s="702"/>
      <c r="EM98" s="702"/>
      <c r="EN98" s="706"/>
      <c r="EO98" s="702"/>
      <c r="EP98" s="702"/>
      <c r="EQ98" s="702"/>
      <c r="ER98" s="702"/>
      <c r="ES98" s="702"/>
      <c r="ET98" s="702"/>
      <c r="EU98" s="702"/>
      <c r="EV98" s="702"/>
      <c r="EW98" s="702"/>
      <c r="EX98" s="702"/>
      <c r="EY98" s="702"/>
      <c r="EZ98" s="702"/>
      <c r="FA98" s="706"/>
    </row>
    <row r="99" spans="1:207" x14ac:dyDescent="0.35">
      <c r="A99" s="838"/>
      <c r="B99" s="701">
        <f>IF('2 MEDIA ALTURA'!C23='2 MEDIA ALTURA'!$B$47,IF('2 MEDIA ALTURA'!C$34=28,IF('2 MEDIA ALTURA'!C22=40,1,0)))*'2 MEDIA ALTURA'!C$35</f>
        <v>0</v>
      </c>
      <c r="C99" s="701">
        <f>IF('2 MEDIA ALTURA'!D23='2 MEDIA ALTURA'!$B$47,IF('2 MEDIA ALTURA'!D$34=28,IF('2 MEDIA ALTURA'!D22=40,1,0)))*'2 MEDIA ALTURA'!D$35</f>
        <v>0</v>
      </c>
      <c r="D99" s="701">
        <f>IF('2 MEDIA ALTURA'!E23='2 MEDIA ALTURA'!$B$47,IF('2 MEDIA ALTURA'!E$34=28,IF('2 MEDIA ALTURA'!E22=40,1,0)))*'2 MEDIA ALTURA'!E$35</f>
        <v>0</v>
      </c>
      <c r="E99" s="701">
        <f>IF('2 MEDIA ALTURA'!F23='2 MEDIA ALTURA'!$B$47,IF('2 MEDIA ALTURA'!F$34=28,IF('2 MEDIA ALTURA'!F22=40,1,0)))*'2 MEDIA ALTURA'!F$35</f>
        <v>0</v>
      </c>
      <c r="F99" s="701">
        <f>IF('2 MEDIA ALTURA'!G23='2 MEDIA ALTURA'!$B$47,IF('2 MEDIA ALTURA'!G$34=28,IF('2 MEDIA ALTURA'!G22=40,1,0)))*'2 MEDIA ALTURA'!G$35</f>
        <v>0</v>
      </c>
      <c r="G99" s="701">
        <f>IF('2 MEDIA ALTURA'!H23='2 MEDIA ALTURA'!$B$47,IF('2 MEDIA ALTURA'!H$34=28,IF('2 MEDIA ALTURA'!H22=40,1,0)))*'2 MEDIA ALTURA'!H$35</f>
        <v>0</v>
      </c>
      <c r="H99" s="701">
        <f>IF('2 MEDIA ALTURA'!I23='2 MEDIA ALTURA'!$B$47,IF('2 MEDIA ALTURA'!I$34=28,IF('2 MEDIA ALTURA'!I22=40,1,0)))*'2 MEDIA ALTURA'!I$35</f>
        <v>0</v>
      </c>
      <c r="I99" s="701">
        <f>IF('2 MEDIA ALTURA'!J23='2 MEDIA ALTURA'!$B$47,IF('2 MEDIA ALTURA'!J$34=28,IF('2 MEDIA ALTURA'!J22=40,1,0)))*'2 MEDIA ALTURA'!J$35</f>
        <v>0</v>
      </c>
      <c r="J99" s="701">
        <f>IF('2 MEDIA ALTURA'!K23='2 MEDIA ALTURA'!$B$47,IF('2 MEDIA ALTURA'!K$34=28,IF('2 MEDIA ALTURA'!K22=40,1,0)))*'2 MEDIA ALTURA'!K$35</f>
        <v>0</v>
      </c>
      <c r="K99" s="701">
        <f>IF('2 MEDIA ALTURA'!L23='2 MEDIA ALTURA'!$B$47,IF('2 MEDIA ALTURA'!L$34=28,IF('2 MEDIA ALTURA'!L22=40,1,0)))*'2 MEDIA ALTURA'!L$35</f>
        <v>0</v>
      </c>
      <c r="L99" s="701">
        <f>IF('2 MEDIA ALTURA'!M23='2 MEDIA ALTURA'!$B$47,IF('2 MEDIA ALTURA'!M$34=28,IF('2 MEDIA ALTURA'!M22=40,1,0)))*'2 MEDIA ALTURA'!M$35</f>
        <v>0</v>
      </c>
      <c r="M99" s="701">
        <f>IF('2 MEDIA ALTURA'!N23='2 MEDIA ALTURA'!$B$47,IF('2 MEDIA ALTURA'!N$34=28,IF('2 MEDIA ALTURA'!N22=40,1,0)))*'2 MEDIA ALTURA'!N$35</f>
        <v>0</v>
      </c>
      <c r="N99" s="706"/>
      <c r="O99" s="701">
        <f>IF('2 MEDIA ALTURA'!C23='2 MEDIA ALTURA'!$B$47,IF('2 MEDIA ALTURA'!C$34=30,IF('2 MEDIA ALTURA'!C22=40,1,0)))*'2 MEDIA ALTURA'!C$35</f>
        <v>0</v>
      </c>
      <c r="P99" s="701">
        <f>IF('2 MEDIA ALTURA'!D23='2 MEDIA ALTURA'!$B$47,IF('2 MEDIA ALTURA'!D$34=30,IF('2 MEDIA ALTURA'!D22=40,1,0)))*'2 MEDIA ALTURA'!D$35</f>
        <v>0</v>
      </c>
      <c r="Q99" s="701">
        <f>IF('2 MEDIA ALTURA'!E23='2 MEDIA ALTURA'!$B$47,IF('2 MEDIA ALTURA'!E$34=30,IF('2 MEDIA ALTURA'!E22=40,1,0)))*'2 MEDIA ALTURA'!E$35</f>
        <v>0</v>
      </c>
      <c r="R99" s="701">
        <f>IF('2 MEDIA ALTURA'!F23='2 MEDIA ALTURA'!$B$47,IF('2 MEDIA ALTURA'!F$34=30,IF('2 MEDIA ALTURA'!F22=40,1,0)))*'2 MEDIA ALTURA'!F$35</f>
        <v>0</v>
      </c>
      <c r="S99" s="701">
        <f>IF('2 MEDIA ALTURA'!G23='2 MEDIA ALTURA'!$B$47,IF('2 MEDIA ALTURA'!G$34=30,IF('2 MEDIA ALTURA'!G22=40,1,0)))*'2 MEDIA ALTURA'!G$35</f>
        <v>0</v>
      </c>
      <c r="T99" s="701">
        <f>IF('2 MEDIA ALTURA'!H23='2 MEDIA ALTURA'!$B$47,IF('2 MEDIA ALTURA'!H$34=30,IF('2 MEDIA ALTURA'!H22=40,1,0)))*'2 MEDIA ALTURA'!H$35</f>
        <v>0</v>
      </c>
      <c r="U99" s="701">
        <f>IF('2 MEDIA ALTURA'!I23='2 MEDIA ALTURA'!$B$47,IF('2 MEDIA ALTURA'!I$34=30,IF('2 MEDIA ALTURA'!I22=40,1,0)))*'2 MEDIA ALTURA'!I$35</f>
        <v>0</v>
      </c>
      <c r="V99" s="701">
        <f>IF('2 MEDIA ALTURA'!J23='2 MEDIA ALTURA'!$B$47,IF('2 MEDIA ALTURA'!J$34=30,IF('2 MEDIA ALTURA'!J22=40,1,0)))*'2 MEDIA ALTURA'!J$35</f>
        <v>0</v>
      </c>
      <c r="W99" s="701">
        <f>IF('2 MEDIA ALTURA'!K23='2 MEDIA ALTURA'!$B$47,IF('2 MEDIA ALTURA'!K$34=30,IF('2 MEDIA ALTURA'!K22=40,1,0)))*'2 MEDIA ALTURA'!K$35</f>
        <v>0</v>
      </c>
      <c r="X99" s="701">
        <f>IF('2 MEDIA ALTURA'!L23='2 MEDIA ALTURA'!$B$47,IF('2 MEDIA ALTURA'!L$34=30,IF('2 MEDIA ALTURA'!L22=40,1,0)))*'2 MEDIA ALTURA'!L$35</f>
        <v>0</v>
      </c>
      <c r="Y99" s="701">
        <f>IF('2 MEDIA ALTURA'!M23='2 MEDIA ALTURA'!$B$47,IF('2 MEDIA ALTURA'!M$34=30,IF('2 MEDIA ALTURA'!M22=40,1,0)))*'2 MEDIA ALTURA'!M$35</f>
        <v>0</v>
      </c>
      <c r="Z99" s="701">
        <f>IF('2 MEDIA ALTURA'!N23='2 MEDIA ALTURA'!$B$47,IF('2 MEDIA ALTURA'!N$34=30,IF('2 MEDIA ALTURA'!N22=40,1,0)))*'2 MEDIA ALTURA'!N$35</f>
        <v>0</v>
      </c>
      <c r="AA99" s="706"/>
      <c r="AB99" s="701">
        <f>IF('2 MEDIA ALTURA'!C23='2 MEDIA ALTURA'!$B$47,IF('2 MEDIA ALTURA'!C$34=56,IF('2 MEDIA ALTURA'!C22=40,1,0)))*'2 MEDIA ALTURA'!C$35</f>
        <v>0</v>
      </c>
      <c r="AC99" s="701">
        <f>IF('2 MEDIA ALTURA'!D23='2 MEDIA ALTURA'!$B$47,IF('2 MEDIA ALTURA'!D$34=56,IF('2 MEDIA ALTURA'!D22=40,1,0)))*'2 MEDIA ALTURA'!D$35</f>
        <v>0</v>
      </c>
      <c r="AD99" s="701">
        <f>IF('2 MEDIA ALTURA'!E23='2 MEDIA ALTURA'!$B$47,IF('2 MEDIA ALTURA'!E$34=56,IF('2 MEDIA ALTURA'!E22=40,1,0)))*'2 MEDIA ALTURA'!E$35</f>
        <v>0</v>
      </c>
      <c r="AE99" s="701">
        <f>IF('2 MEDIA ALTURA'!F23='2 MEDIA ALTURA'!$B$47,IF('2 MEDIA ALTURA'!F$34=56,IF('2 MEDIA ALTURA'!F22=40,1,0)))*'2 MEDIA ALTURA'!F$35</f>
        <v>0</v>
      </c>
      <c r="AF99" s="701">
        <f>IF('2 MEDIA ALTURA'!G23='2 MEDIA ALTURA'!$B$47,IF('2 MEDIA ALTURA'!G$34=56,IF('2 MEDIA ALTURA'!G22=40,1,0)))*'2 MEDIA ALTURA'!G$35</f>
        <v>0</v>
      </c>
      <c r="AG99" s="701">
        <f>IF('2 MEDIA ALTURA'!H23='2 MEDIA ALTURA'!$B$47,IF('2 MEDIA ALTURA'!H$34=56,IF('2 MEDIA ALTURA'!H22=40,1,0)))*'2 MEDIA ALTURA'!H$35</f>
        <v>0</v>
      </c>
      <c r="AH99" s="701">
        <f>IF('2 MEDIA ALTURA'!I23='2 MEDIA ALTURA'!$B$47,IF('2 MEDIA ALTURA'!I$34=56,IF('2 MEDIA ALTURA'!I22=40,1,0)))*'2 MEDIA ALTURA'!I$35</f>
        <v>0</v>
      </c>
      <c r="AI99" s="701">
        <f>IF('2 MEDIA ALTURA'!J23='2 MEDIA ALTURA'!$B$47,IF('2 MEDIA ALTURA'!J$34=56,IF('2 MEDIA ALTURA'!J22=40,1,0)))*'2 MEDIA ALTURA'!J$35</f>
        <v>0</v>
      </c>
      <c r="AJ99" s="701">
        <f>IF('2 MEDIA ALTURA'!K23='2 MEDIA ALTURA'!$B$47,IF('2 MEDIA ALTURA'!K$34=56,IF('2 MEDIA ALTURA'!K22=40,1,0)))*'2 MEDIA ALTURA'!K$35</f>
        <v>0</v>
      </c>
      <c r="AK99" s="701">
        <f>IF('2 MEDIA ALTURA'!L23='2 MEDIA ALTURA'!$B$47,IF('2 MEDIA ALTURA'!L$34=56,IF('2 MEDIA ALTURA'!L22=40,1,0)))*'2 MEDIA ALTURA'!L$35</f>
        <v>0</v>
      </c>
      <c r="AL99" s="701">
        <f>IF('2 MEDIA ALTURA'!M23='2 MEDIA ALTURA'!$B$47,IF('2 MEDIA ALTURA'!M$34=56,IF('2 MEDIA ALTURA'!M22=40,1,0)))*'2 MEDIA ALTURA'!M$35</f>
        <v>0</v>
      </c>
      <c r="AM99" s="701">
        <f>IF('2 MEDIA ALTURA'!N23='2 MEDIA ALTURA'!$B$47,IF('2 MEDIA ALTURA'!N$34=56,IF('2 MEDIA ALTURA'!N22=40,1,0)))*'2 MEDIA ALTURA'!N$35</f>
        <v>0</v>
      </c>
      <c r="AN99" s="706"/>
      <c r="AO99" s="701">
        <f>IF('2 MEDIA ALTURA'!C23='2 MEDIA ALTURA'!$B$47,IF('2 MEDIA ALTURA'!C$34=60,IF('2 MEDIA ALTURA'!C22=40,1,0)))*'2 MEDIA ALTURA'!C$35</f>
        <v>0</v>
      </c>
      <c r="AP99" s="701">
        <f>IF('2 MEDIA ALTURA'!D23='2 MEDIA ALTURA'!$B$47,IF('2 MEDIA ALTURA'!D$34=60,IF('2 MEDIA ALTURA'!D22=40,1,0)))*'2 MEDIA ALTURA'!D$35</f>
        <v>0</v>
      </c>
      <c r="AQ99" s="701">
        <f>IF('2 MEDIA ALTURA'!E23='2 MEDIA ALTURA'!$B$47,IF('2 MEDIA ALTURA'!E$34=60,IF('2 MEDIA ALTURA'!E22=40,1,0)))*'2 MEDIA ALTURA'!E$35</f>
        <v>0</v>
      </c>
      <c r="AR99" s="701">
        <f>IF('2 MEDIA ALTURA'!F23='2 MEDIA ALTURA'!$B$47,IF('2 MEDIA ALTURA'!F$34=60,IF('2 MEDIA ALTURA'!F22=40,1,0)))*'2 MEDIA ALTURA'!F$35</f>
        <v>0</v>
      </c>
      <c r="AS99" s="701">
        <f>IF('2 MEDIA ALTURA'!G23='2 MEDIA ALTURA'!$B$47,IF('2 MEDIA ALTURA'!G$34=60,IF('2 MEDIA ALTURA'!G22=40,1,0)))*'2 MEDIA ALTURA'!G$35</f>
        <v>0</v>
      </c>
      <c r="AT99" s="701">
        <f>IF('2 MEDIA ALTURA'!H23='2 MEDIA ALTURA'!$B$47,IF('2 MEDIA ALTURA'!H$34=60,IF('2 MEDIA ALTURA'!H22=40,1,0)))*'2 MEDIA ALTURA'!H$35</f>
        <v>0</v>
      </c>
      <c r="AU99" s="701">
        <f>IF('2 MEDIA ALTURA'!I23='2 MEDIA ALTURA'!$B$47,IF('2 MEDIA ALTURA'!I$34=60,IF('2 MEDIA ALTURA'!I22=40,1,0)))*'2 MEDIA ALTURA'!I$35</f>
        <v>0</v>
      </c>
      <c r="AV99" s="701">
        <f>IF('2 MEDIA ALTURA'!J23='2 MEDIA ALTURA'!$B$47,IF('2 MEDIA ALTURA'!J$34=60,IF('2 MEDIA ALTURA'!J22=40,1,0)))*'2 MEDIA ALTURA'!J$35</f>
        <v>0</v>
      </c>
      <c r="AW99" s="701">
        <f>IF('2 MEDIA ALTURA'!K23='2 MEDIA ALTURA'!$B$47,IF('2 MEDIA ALTURA'!K$34=60,IF('2 MEDIA ALTURA'!K22=40,1,0)))*'2 MEDIA ALTURA'!K$35</f>
        <v>0</v>
      </c>
      <c r="AX99" s="701">
        <f>IF('2 MEDIA ALTURA'!L23='2 MEDIA ALTURA'!$B$47,IF('2 MEDIA ALTURA'!L$34=60,IF('2 MEDIA ALTURA'!L22=40,1,0)))*'2 MEDIA ALTURA'!L$35</f>
        <v>0</v>
      </c>
      <c r="AY99" s="701">
        <f>IF('2 MEDIA ALTURA'!M23='2 MEDIA ALTURA'!$B$47,IF('2 MEDIA ALTURA'!M$34=60,IF('2 MEDIA ALTURA'!M22=40,1,0)))*'2 MEDIA ALTURA'!M$35</f>
        <v>0</v>
      </c>
      <c r="AZ99" s="701">
        <f>IF('2 MEDIA ALTURA'!N23='2 MEDIA ALTURA'!$B$47,IF('2 MEDIA ALTURA'!N$34=60,IF('2 MEDIA ALTURA'!N22=40,1,0)))*'2 MEDIA ALTURA'!N$35</f>
        <v>0</v>
      </c>
      <c r="BA99" s="706"/>
      <c r="BB99" s="701">
        <f>IF('2 MEDIA ALTURA'!C23='2 MEDIA ALTURA'!$B$47,IF('2 MEDIA ALTURA'!C$34=70,IF('2 MEDIA ALTURA'!C22=40,1,0)))*'2 MEDIA ALTURA'!C$35</f>
        <v>0</v>
      </c>
      <c r="BC99" s="701">
        <f>IF('2 MEDIA ALTURA'!D23='2 MEDIA ALTURA'!$B$47,IF('2 MEDIA ALTURA'!D$34=70,IF('2 MEDIA ALTURA'!D22=40,1,0)))*'2 MEDIA ALTURA'!D$35</f>
        <v>0</v>
      </c>
      <c r="BD99" s="701">
        <f>IF('2 MEDIA ALTURA'!E23='2 MEDIA ALTURA'!$B$47,IF('2 MEDIA ALTURA'!E$34=70,IF('2 MEDIA ALTURA'!E22=40,1,0)))*'2 MEDIA ALTURA'!E$35</f>
        <v>0</v>
      </c>
      <c r="BE99" s="701">
        <f>IF('2 MEDIA ALTURA'!F23='2 MEDIA ALTURA'!$B$47,IF('2 MEDIA ALTURA'!F$34=70,IF('2 MEDIA ALTURA'!F22=40,1,0)))*'2 MEDIA ALTURA'!F$35</f>
        <v>0</v>
      </c>
      <c r="BF99" s="701">
        <f>IF('2 MEDIA ALTURA'!G23='2 MEDIA ALTURA'!$B$47,IF('2 MEDIA ALTURA'!G$34=70,IF('2 MEDIA ALTURA'!G22=40,1,0)))*'2 MEDIA ALTURA'!G$35</f>
        <v>0</v>
      </c>
      <c r="BG99" s="701">
        <f>IF('2 MEDIA ALTURA'!H23='2 MEDIA ALTURA'!$B$47,IF('2 MEDIA ALTURA'!H$34=70,IF('2 MEDIA ALTURA'!H22=40,1,0)))*'2 MEDIA ALTURA'!H$35</f>
        <v>0</v>
      </c>
      <c r="BH99" s="701">
        <f>IF('2 MEDIA ALTURA'!I23='2 MEDIA ALTURA'!$B$47,IF('2 MEDIA ALTURA'!I$34=70,IF('2 MEDIA ALTURA'!I22=40,1,0)))*'2 MEDIA ALTURA'!I$35</f>
        <v>0</v>
      </c>
      <c r="BI99" s="701">
        <f>IF('2 MEDIA ALTURA'!J23='2 MEDIA ALTURA'!$B$47,IF('2 MEDIA ALTURA'!J$34=70,IF('2 MEDIA ALTURA'!J22=40,1,0)))*'2 MEDIA ALTURA'!J$35</f>
        <v>0</v>
      </c>
      <c r="BJ99" s="701">
        <f>IF('2 MEDIA ALTURA'!K23='2 MEDIA ALTURA'!$B$47,IF('2 MEDIA ALTURA'!K$34=70,IF('2 MEDIA ALTURA'!K22=40,1,0)))*'2 MEDIA ALTURA'!K$35</f>
        <v>0</v>
      </c>
      <c r="BK99" s="701">
        <f>IF('2 MEDIA ALTURA'!L23='2 MEDIA ALTURA'!$B$47,IF('2 MEDIA ALTURA'!L$34=70,IF('2 MEDIA ALTURA'!L22=40,1,0)))*'2 MEDIA ALTURA'!L$35</f>
        <v>0</v>
      </c>
      <c r="BL99" s="701">
        <f>IF('2 MEDIA ALTURA'!M23='2 MEDIA ALTURA'!$B$47,IF('2 MEDIA ALTURA'!M$34=70,IF('2 MEDIA ALTURA'!M22=40,1,0)))*'2 MEDIA ALTURA'!M$35</f>
        <v>0</v>
      </c>
      <c r="BM99" s="701">
        <f>IF('2 MEDIA ALTURA'!N23='2 MEDIA ALTURA'!$B$47,IF('2 MEDIA ALTURA'!N$34=70,IF('2 MEDIA ALTURA'!N22=40,1,0)))*'2 MEDIA ALTURA'!N$35</f>
        <v>0</v>
      </c>
      <c r="BN99" s="706"/>
      <c r="BO99" s="701">
        <f>IF('2 MEDIA ALTURA'!C23='2 MEDIA ALTURA'!$B$47,IF('2 MEDIA ALTURA'!C$34=75,IF('2 MEDIA ALTURA'!C22=40,1,0)))*'2 MEDIA ALTURA'!C$35</f>
        <v>0</v>
      </c>
      <c r="BP99" s="701">
        <f>IF('2 MEDIA ALTURA'!D23='2 MEDIA ALTURA'!$B$47,IF('2 MEDIA ALTURA'!D$34=75,IF('2 MEDIA ALTURA'!D22=40,1,0)))*'2 MEDIA ALTURA'!D$35</f>
        <v>0</v>
      </c>
      <c r="BQ99" s="701">
        <f>IF('2 MEDIA ALTURA'!E23='2 MEDIA ALTURA'!$B$47,IF('2 MEDIA ALTURA'!E$34=75,IF('2 MEDIA ALTURA'!E22=40,1,0)))*'2 MEDIA ALTURA'!E$35</f>
        <v>0</v>
      </c>
      <c r="BR99" s="701">
        <f>IF('2 MEDIA ALTURA'!F23='2 MEDIA ALTURA'!$B$47,IF('2 MEDIA ALTURA'!F$34=75,IF('2 MEDIA ALTURA'!F22=40,1,0)))*'2 MEDIA ALTURA'!F$35</f>
        <v>0</v>
      </c>
      <c r="BS99" s="701">
        <f>IF('2 MEDIA ALTURA'!G23='2 MEDIA ALTURA'!$B$47,IF('2 MEDIA ALTURA'!G$34=75,IF('2 MEDIA ALTURA'!G22=40,1,0)))*'2 MEDIA ALTURA'!G$35</f>
        <v>0</v>
      </c>
      <c r="BT99" s="701">
        <f>IF('2 MEDIA ALTURA'!H23='2 MEDIA ALTURA'!$B$47,IF('2 MEDIA ALTURA'!H$34=75,IF('2 MEDIA ALTURA'!H22=40,1,0)))*'2 MEDIA ALTURA'!H$35</f>
        <v>0</v>
      </c>
      <c r="BU99" s="701">
        <f>IF('2 MEDIA ALTURA'!I23='2 MEDIA ALTURA'!$B$47,IF('2 MEDIA ALTURA'!I$34=75,IF('2 MEDIA ALTURA'!I22=40,1,0)))*'2 MEDIA ALTURA'!I$35</f>
        <v>0</v>
      </c>
      <c r="BV99" s="701">
        <f>IF('2 MEDIA ALTURA'!J23='2 MEDIA ALTURA'!$B$47,IF('2 MEDIA ALTURA'!J$34=75,IF('2 MEDIA ALTURA'!J22=40,1,0)))*'2 MEDIA ALTURA'!J$35</f>
        <v>0</v>
      </c>
      <c r="BW99" s="701">
        <f>IF('2 MEDIA ALTURA'!K23='2 MEDIA ALTURA'!$B$47,IF('2 MEDIA ALTURA'!K$34=75,IF('2 MEDIA ALTURA'!K22=40,1,0)))*'2 MEDIA ALTURA'!K$35</f>
        <v>0</v>
      </c>
      <c r="BX99" s="701">
        <f>IF('2 MEDIA ALTURA'!L23='2 MEDIA ALTURA'!$B$47,IF('2 MEDIA ALTURA'!L$34=75,IF('2 MEDIA ALTURA'!L22=40,1,0)))*'2 MEDIA ALTURA'!L$35</f>
        <v>0</v>
      </c>
      <c r="BY99" s="701">
        <f>IF('2 MEDIA ALTURA'!M23='2 MEDIA ALTURA'!$B$47,IF('2 MEDIA ALTURA'!M$34=75,IF('2 MEDIA ALTURA'!M22=40,1,0)))*'2 MEDIA ALTURA'!M$35</f>
        <v>0</v>
      </c>
      <c r="BZ99" s="701">
        <f>IF('2 MEDIA ALTURA'!N23='2 MEDIA ALTURA'!$B$47,IF('2 MEDIA ALTURA'!N$34=75,IF('2 MEDIA ALTURA'!N22=40,1,0)))*'2 MEDIA ALTURA'!N$35</f>
        <v>0</v>
      </c>
      <c r="CA99" s="706"/>
      <c r="CB99" s="701">
        <f>IF('2 MEDIA ALTURA'!C23='2 MEDIA ALTURA'!$B$47,IF('2 MEDIA ALTURA'!C$34=84,IF('2 MEDIA ALTURA'!C22=40,1,0)))*'2 MEDIA ALTURA'!C$35</f>
        <v>0</v>
      </c>
      <c r="CC99" s="701">
        <f>IF('2 MEDIA ALTURA'!D23='2 MEDIA ALTURA'!$B$47,IF('2 MEDIA ALTURA'!D$34=84,IF('2 MEDIA ALTURA'!D22=40,1,0)))*'2 MEDIA ALTURA'!D$35</f>
        <v>0</v>
      </c>
      <c r="CD99" s="701">
        <f>IF('2 MEDIA ALTURA'!E23='2 MEDIA ALTURA'!$B$47,IF('2 MEDIA ALTURA'!E$34=84,IF('2 MEDIA ALTURA'!E22=40,1,0)))*'2 MEDIA ALTURA'!E$35</f>
        <v>0</v>
      </c>
      <c r="CE99" s="701">
        <f>IF('2 MEDIA ALTURA'!F23='2 MEDIA ALTURA'!$B$47,IF('2 MEDIA ALTURA'!F$34=84,IF('2 MEDIA ALTURA'!F22=40,1,0)))*'2 MEDIA ALTURA'!F$35</f>
        <v>0</v>
      </c>
      <c r="CF99" s="701">
        <f>IF('2 MEDIA ALTURA'!G23='2 MEDIA ALTURA'!$B$47,IF('2 MEDIA ALTURA'!G$34=84,IF('2 MEDIA ALTURA'!G22=40,1,0)))*'2 MEDIA ALTURA'!G$35</f>
        <v>0</v>
      </c>
      <c r="CG99" s="701">
        <f>IF('2 MEDIA ALTURA'!H23='2 MEDIA ALTURA'!$B$47,IF('2 MEDIA ALTURA'!H$34=84,IF('2 MEDIA ALTURA'!H22=40,1,0)))*'2 MEDIA ALTURA'!H$35</f>
        <v>0</v>
      </c>
      <c r="CH99" s="701">
        <f>IF('2 MEDIA ALTURA'!I23='2 MEDIA ALTURA'!$B$47,IF('2 MEDIA ALTURA'!I$34=84,IF('2 MEDIA ALTURA'!I22=40,1,0)))*'2 MEDIA ALTURA'!I$35</f>
        <v>0</v>
      </c>
      <c r="CI99" s="701">
        <f>IF('2 MEDIA ALTURA'!J23='2 MEDIA ALTURA'!$B$47,IF('2 MEDIA ALTURA'!J$34=84,IF('2 MEDIA ALTURA'!J22=40,1,0)))*'2 MEDIA ALTURA'!J$35</f>
        <v>0</v>
      </c>
      <c r="CJ99" s="701">
        <f>IF('2 MEDIA ALTURA'!K23='2 MEDIA ALTURA'!$B$47,IF('2 MEDIA ALTURA'!K$34=84,IF('2 MEDIA ALTURA'!K22=40,1,0)))*'2 MEDIA ALTURA'!K$35</f>
        <v>0</v>
      </c>
      <c r="CK99" s="701">
        <f>IF('2 MEDIA ALTURA'!L23='2 MEDIA ALTURA'!$B$47,IF('2 MEDIA ALTURA'!L$34=84,IF('2 MEDIA ALTURA'!L22=40,1,0)))*'2 MEDIA ALTURA'!L$35</f>
        <v>0</v>
      </c>
      <c r="CL99" s="701">
        <f>IF('2 MEDIA ALTURA'!M23='2 MEDIA ALTURA'!$B$47,IF('2 MEDIA ALTURA'!M$34=84,IF('2 MEDIA ALTURA'!M22=40,1,0)))*'2 MEDIA ALTURA'!M$35</f>
        <v>0</v>
      </c>
      <c r="CM99" s="701">
        <f>IF('2 MEDIA ALTURA'!N23='2 MEDIA ALTURA'!$B$47,IF('2 MEDIA ALTURA'!N$34=84,IF('2 MEDIA ALTURA'!N22=40,1,0)))*'2 MEDIA ALTURA'!N$35</f>
        <v>0</v>
      </c>
      <c r="CN99" s="706"/>
      <c r="CO99" s="701">
        <f>IF('2 MEDIA ALTURA'!C23='2 MEDIA ALTURA'!$B$47,IF('2 MEDIA ALTURA'!C$34=90,IF('2 MEDIA ALTURA'!C22=40,1,0)))*'2 MEDIA ALTURA'!C$35</f>
        <v>0</v>
      </c>
      <c r="CP99" s="701">
        <f>IF('2 MEDIA ALTURA'!D23='2 MEDIA ALTURA'!$B$47,IF('2 MEDIA ALTURA'!D$34=90,IF('2 MEDIA ALTURA'!D22=40,1,0)))*'2 MEDIA ALTURA'!D$35</f>
        <v>0</v>
      </c>
      <c r="CQ99" s="701">
        <f>IF('2 MEDIA ALTURA'!E23='2 MEDIA ALTURA'!$B$47,IF('2 MEDIA ALTURA'!E$34=90,IF('2 MEDIA ALTURA'!E22=40,1,0)))*'2 MEDIA ALTURA'!E$35</f>
        <v>0</v>
      </c>
      <c r="CR99" s="701">
        <f>IF('2 MEDIA ALTURA'!F23='2 MEDIA ALTURA'!$B$47,IF('2 MEDIA ALTURA'!F$34=90,IF('2 MEDIA ALTURA'!F22=40,1,0)))*'2 MEDIA ALTURA'!F$35</f>
        <v>0</v>
      </c>
      <c r="CS99" s="701">
        <f>IF('2 MEDIA ALTURA'!G23='2 MEDIA ALTURA'!$B$47,IF('2 MEDIA ALTURA'!G$34=90,IF('2 MEDIA ALTURA'!G22=40,1,0)))*'2 MEDIA ALTURA'!G$35</f>
        <v>0</v>
      </c>
      <c r="CT99" s="701">
        <f>IF('2 MEDIA ALTURA'!H23='2 MEDIA ALTURA'!$B$47,IF('2 MEDIA ALTURA'!H$34=90,IF('2 MEDIA ALTURA'!H22=40,1,0)))*'2 MEDIA ALTURA'!H$35</f>
        <v>0</v>
      </c>
      <c r="CU99" s="701">
        <f>IF('2 MEDIA ALTURA'!I23='2 MEDIA ALTURA'!$B$47,IF('2 MEDIA ALTURA'!I$34=90,IF('2 MEDIA ALTURA'!I22=40,1,0)))*'2 MEDIA ALTURA'!I$35</f>
        <v>0</v>
      </c>
      <c r="CV99" s="701">
        <f>IF('2 MEDIA ALTURA'!J23='2 MEDIA ALTURA'!$B$47,IF('2 MEDIA ALTURA'!J$34=90,IF('2 MEDIA ALTURA'!J22=40,1,0)))*'2 MEDIA ALTURA'!J$35</f>
        <v>0</v>
      </c>
      <c r="CW99" s="701">
        <f>IF('2 MEDIA ALTURA'!K23='2 MEDIA ALTURA'!$B$47,IF('2 MEDIA ALTURA'!K$34=90,IF('2 MEDIA ALTURA'!K22=40,1,0)))*'2 MEDIA ALTURA'!K$35</f>
        <v>0</v>
      </c>
      <c r="CX99" s="701">
        <f>IF('2 MEDIA ALTURA'!L23='2 MEDIA ALTURA'!$B$47,IF('2 MEDIA ALTURA'!L$34=90,IF('2 MEDIA ALTURA'!L22=40,1,0)))*'2 MEDIA ALTURA'!L$35</f>
        <v>0</v>
      </c>
      <c r="CY99" s="701">
        <f>IF('2 MEDIA ALTURA'!M23='2 MEDIA ALTURA'!$B$47,IF('2 MEDIA ALTURA'!M$34=90,IF('2 MEDIA ALTURA'!M22=40,1,0)))*'2 MEDIA ALTURA'!M$35</f>
        <v>0</v>
      </c>
      <c r="CZ99" s="701">
        <f>IF('2 MEDIA ALTURA'!N23='2 MEDIA ALTURA'!$B$47,IF('2 MEDIA ALTURA'!N$34=90,IF('2 MEDIA ALTURA'!N22=40,1,0)))*'2 MEDIA ALTURA'!N$35</f>
        <v>0</v>
      </c>
      <c r="DA99" s="706"/>
      <c r="DB99" s="701">
        <f>IF('2 MEDIA ALTURA'!C23='2 MEDIA ALTURA'!$B$47,IF('2 MEDIA ALTURA'!C$34=112,IF('2 MEDIA ALTURA'!C22=40,1,0)))*'2 MEDIA ALTURA'!C$35</f>
        <v>0</v>
      </c>
      <c r="DC99" s="701">
        <f>IF('2 MEDIA ALTURA'!D23='2 MEDIA ALTURA'!$B$47,IF('2 MEDIA ALTURA'!D$34=112,IF('2 MEDIA ALTURA'!D22=40,1,0)))*'2 MEDIA ALTURA'!D$35</f>
        <v>0</v>
      </c>
      <c r="DD99" s="701">
        <f>IF('2 MEDIA ALTURA'!E23='2 MEDIA ALTURA'!$B$47,IF('2 MEDIA ALTURA'!E$34=112,IF('2 MEDIA ALTURA'!E22=40,1,0)))*'2 MEDIA ALTURA'!E$35</f>
        <v>0</v>
      </c>
      <c r="DE99" s="701">
        <f>IF('2 MEDIA ALTURA'!F23='2 MEDIA ALTURA'!$B$47,IF('2 MEDIA ALTURA'!F$34=112,IF('2 MEDIA ALTURA'!F22=40,1,0)))*'2 MEDIA ALTURA'!F$35</f>
        <v>0</v>
      </c>
      <c r="DF99" s="701">
        <f>IF('2 MEDIA ALTURA'!G23='2 MEDIA ALTURA'!$B$47,IF('2 MEDIA ALTURA'!G$34=112,IF('2 MEDIA ALTURA'!G22=40,1,0)))*'2 MEDIA ALTURA'!G$35</f>
        <v>0</v>
      </c>
      <c r="DG99" s="701">
        <f>IF('2 MEDIA ALTURA'!H23='2 MEDIA ALTURA'!$B$47,IF('2 MEDIA ALTURA'!H$34=112,IF('2 MEDIA ALTURA'!H22=40,1,0)))*'2 MEDIA ALTURA'!H$35</f>
        <v>0</v>
      </c>
      <c r="DH99" s="701">
        <f>IF('2 MEDIA ALTURA'!I23='2 MEDIA ALTURA'!$B$47,IF('2 MEDIA ALTURA'!I$34=112,IF('2 MEDIA ALTURA'!I22=40,1,0)))*'2 MEDIA ALTURA'!I$35</f>
        <v>0</v>
      </c>
      <c r="DI99" s="701">
        <f>IF('2 MEDIA ALTURA'!J23='2 MEDIA ALTURA'!$B$47,IF('2 MEDIA ALTURA'!J$34=112,IF('2 MEDIA ALTURA'!J22=40,1,0)))*'2 MEDIA ALTURA'!J$35</f>
        <v>0</v>
      </c>
      <c r="DJ99" s="701">
        <f>IF('2 MEDIA ALTURA'!K23='2 MEDIA ALTURA'!$B$47,IF('2 MEDIA ALTURA'!K$34=112,IF('2 MEDIA ALTURA'!K22=40,1,0)))*'2 MEDIA ALTURA'!K$35</f>
        <v>0</v>
      </c>
      <c r="DK99" s="701">
        <f>IF('2 MEDIA ALTURA'!L23='2 MEDIA ALTURA'!$B$47,IF('2 MEDIA ALTURA'!L$34=112,IF('2 MEDIA ALTURA'!L22=40,1,0)))*'2 MEDIA ALTURA'!L$35</f>
        <v>0</v>
      </c>
      <c r="DL99" s="701">
        <f>IF('2 MEDIA ALTURA'!M23='2 MEDIA ALTURA'!$B$47,IF('2 MEDIA ALTURA'!M$34=112,IF('2 MEDIA ALTURA'!M22=40,1,0)))*'2 MEDIA ALTURA'!M$35</f>
        <v>0</v>
      </c>
      <c r="DM99" s="701">
        <f>IF('2 MEDIA ALTURA'!N23='2 MEDIA ALTURA'!$B$47,IF('2 MEDIA ALTURA'!N$34=112,IF('2 MEDIA ALTURA'!N22=40,1,0)))*'2 MEDIA ALTURA'!N$35</f>
        <v>0</v>
      </c>
      <c r="DN99" s="706"/>
      <c r="DO99" s="701">
        <f>IF('2 MEDIA ALTURA'!C23='2 MEDIA ALTURA'!$B$47,IF('2 MEDIA ALTURA'!C$34=120,IF('2 MEDIA ALTURA'!C22=40,1,0)))*'2 MEDIA ALTURA'!C$35</f>
        <v>0</v>
      </c>
      <c r="DP99" s="701">
        <f>IF('2 MEDIA ALTURA'!D23='2 MEDIA ALTURA'!$B$47,IF('2 MEDIA ALTURA'!D$34=120,IF('2 MEDIA ALTURA'!D22=40,1,0)))*'2 MEDIA ALTURA'!D$35</f>
        <v>0</v>
      </c>
      <c r="DQ99" s="701">
        <f>IF('2 MEDIA ALTURA'!E23='2 MEDIA ALTURA'!$B$47,IF('2 MEDIA ALTURA'!E$34=120,IF('2 MEDIA ALTURA'!E22=40,1,0)))*'2 MEDIA ALTURA'!E$35</f>
        <v>0</v>
      </c>
      <c r="DR99" s="701">
        <f>IF('2 MEDIA ALTURA'!F23='2 MEDIA ALTURA'!$B$47,IF('2 MEDIA ALTURA'!F$34=120,IF('2 MEDIA ALTURA'!F22=40,1,0)))*'2 MEDIA ALTURA'!F$35</f>
        <v>0</v>
      </c>
      <c r="DS99" s="701">
        <f>IF('2 MEDIA ALTURA'!G23='2 MEDIA ALTURA'!$B$47,IF('2 MEDIA ALTURA'!G$34=120,IF('2 MEDIA ALTURA'!G22=40,1,0)))*'2 MEDIA ALTURA'!G$35</f>
        <v>0</v>
      </c>
      <c r="DT99" s="701">
        <f>IF('2 MEDIA ALTURA'!H23='2 MEDIA ALTURA'!$B$47,IF('2 MEDIA ALTURA'!H$34=120,IF('2 MEDIA ALTURA'!H22=40,1,0)))*'2 MEDIA ALTURA'!H$35</f>
        <v>0</v>
      </c>
      <c r="DU99" s="701">
        <f>IF('2 MEDIA ALTURA'!I23='2 MEDIA ALTURA'!$B$47,IF('2 MEDIA ALTURA'!I$34=120,IF('2 MEDIA ALTURA'!I22=40,1,0)))*'2 MEDIA ALTURA'!I$35</f>
        <v>0</v>
      </c>
      <c r="DV99" s="701">
        <f>IF('2 MEDIA ALTURA'!J23='2 MEDIA ALTURA'!$B$47,IF('2 MEDIA ALTURA'!J$34=120,IF('2 MEDIA ALTURA'!J22=40,1,0)))*'2 MEDIA ALTURA'!J$35</f>
        <v>0</v>
      </c>
      <c r="DW99" s="701">
        <f>IF('2 MEDIA ALTURA'!K23='2 MEDIA ALTURA'!$B$47,IF('2 MEDIA ALTURA'!K$34=120,IF('2 MEDIA ALTURA'!K22=40,1,0)))*'2 MEDIA ALTURA'!K$35</f>
        <v>0</v>
      </c>
      <c r="DX99" s="701">
        <f>IF('2 MEDIA ALTURA'!L23='2 MEDIA ALTURA'!$B$47,IF('2 MEDIA ALTURA'!L$34=120,IF('2 MEDIA ALTURA'!L22=40,1,0)))*'2 MEDIA ALTURA'!L$35</f>
        <v>0</v>
      </c>
      <c r="DY99" s="701">
        <f>IF('2 MEDIA ALTURA'!M23='2 MEDIA ALTURA'!$B$47,IF('2 MEDIA ALTURA'!M$34=120,IF('2 MEDIA ALTURA'!M22=40,1,0)))*'2 MEDIA ALTURA'!M$35</f>
        <v>0</v>
      </c>
      <c r="DZ99" s="701">
        <f>IF('2 MEDIA ALTURA'!N23='2 MEDIA ALTURA'!$B$47,IF('2 MEDIA ALTURA'!N$34=120,IF('2 MEDIA ALTURA'!N22=40,1,0)))*'2 MEDIA ALTURA'!N$35</f>
        <v>0</v>
      </c>
      <c r="EA99" s="706"/>
      <c r="EB99" s="701">
        <f>IF('2 MEDIA ALTURA'!C23='2 MEDIA ALTURA'!$B$47,IF('2 MEDIA ALTURA'!C$34=140,IF('2 MEDIA ALTURA'!C22=40,1,0)))*'2 MEDIA ALTURA'!C$35</f>
        <v>0</v>
      </c>
      <c r="EC99" s="701">
        <f>IF('2 MEDIA ALTURA'!D23='2 MEDIA ALTURA'!$B$47,IF('2 MEDIA ALTURA'!D$34=140,IF('2 MEDIA ALTURA'!D22=40,1,0)))*'2 MEDIA ALTURA'!D$35</f>
        <v>0</v>
      </c>
      <c r="ED99" s="701">
        <f>IF('2 MEDIA ALTURA'!E23='2 MEDIA ALTURA'!$B$47,IF('2 MEDIA ALTURA'!E$34=140,IF('2 MEDIA ALTURA'!E22=40,1,0)))*'2 MEDIA ALTURA'!E$35</f>
        <v>0</v>
      </c>
      <c r="EE99" s="701">
        <f>IF('2 MEDIA ALTURA'!F23='2 MEDIA ALTURA'!$B$47,IF('2 MEDIA ALTURA'!F$34=140,IF('2 MEDIA ALTURA'!F22=40,1,0)))*'2 MEDIA ALTURA'!F$35</f>
        <v>0</v>
      </c>
      <c r="EF99" s="701">
        <f>IF('2 MEDIA ALTURA'!G23='2 MEDIA ALTURA'!$B$47,IF('2 MEDIA ALTURA'!G$34=140,IF('2 MEDIA ALTURA'!G22=40,1,0)))*'2 MEDIA ALTURA'!G$35</f>
        <v>0</v>
      </c>
      <c r="EG99" s="701">
        <f>IF('2 MEDIA ALTURA'!H23='2 MEDIA ALTURA'!$B$47,IF('2 MEDIA ALTURA'!H$34=140,IF('2 MEDIA ALTURA'!H22=40,1,0)))*'2 MEDIA ALTURA'!H$35</f>
        <v>0</v>
      </c>
      <c r="EH99" s="701">
        <f>IF('2 MEDIA ALTURA'!I23='2 MEDIA ALTURA'!$B$47,IF('2 MEDIA ALTURA'!I$34=140,IF('2 MEDIA ALTURA'!I22=40,1,0)))*'2 MEDIA ALTURA'!I$35</f>
        <v>0</v>
      </c>
      <c r="EI99" s="701">
        <f>IF('2 MEDIA ALTURA'!J23='2 MEDIA ALTURA'!$B$47,IF('2 MEDIA ALTURA'!J$34=140,IF('2 MEDIA ALTURA'!J22=40,1,0)))*'2 MEDIA ALTURA'!J$35</f>
        <v>0</v>
      </c>
      <c r="EJ99" s="701">
        <f>IF('2 MEDIA ALTURA'!K23='2 MEDIA ALTURA'!$B$47,IF('2 MEDIA ALTURA'!K$34=140,IF('2 MEDIA ALTURA'!K22=40,1,0)))*'2 MEDIA ALTURA'!K$35</f>
        <v>0</v>
      </c>
      <c r="EK99" s="701">
        <f>IF('2 MEDIA ALTURA'!L23='2 MEDIA ALTURA'!$B$47,IF('2 MEDIA ALTURA'!L$34=140,IF('2 MEDIA ALTURA'!L22=40,1,0)))*'2 MEDIA ALTURA'!L$35</f>
        <v>0</v>
      </c>
      <c r="EL99" s="701">
        <f>IF('2 MEDIA ALTURA'!M23='2 MEDIA ALTURA'!$B$47,IF('2 MEDIA ALTURA'!M$34=140,IF('2 MEDIA ALTURA'!M22=40,1,0)))*'2 MEDIA ALTURA'!M$35</f>
        <v>0</v>
      </c>
      <c r="EM99" s="701">
        <f>IF('2 MEDIA ALTURA'!N23='2 MEDIA ALTURA'!$B$47,IF('2 MEDIA ALTURA'!N$34=140,IF('2 MEDIA ALTURA'!N22=40,1,0)))*'2 MEDIA ALTURA'!N$35</f>
        <v>0</v>
      </c>
      <c r="EN99" s="706"/>
      <c r="EO99" s="701">
        <f>IF('2 MEDIA ALTURA'!C23='2 MEDIA ALTURA'!$B$47,IF('2 MEDIA ALTURA'!C$34=150,IF('2 MEDIA ALTURA'!C22=40,1,0)))*'2 MEDIA ALTURA'!C$35</f>
        <v>0</v>
      </c>
      <c r="EP99" s="701">
        <f>IF('2 MEDIA ALTURA'!D23='2 MEDIA ALTURA'!$B$47,IF('2 MEDIA ALTURA'!D$34=150,IF('2 MEDIA ALTURA'!D22=40,1,0)))*'2 MEDIA ALTURA'!D$35</f>
        <v>0</v>
      </c>
      <c r="EQ99" s="701">
        <f>IF('2 MEDIA ALTURA'!E23='2 MEDIA ALTURA'!$B$47,IF('2 MEDIA ALTURA'!E$34=150,IF('2 MEDIA ALTURA'!E22=40,1,0)))*'2 MEDIA ALTURA'!E$35</f>
        <v>0</v>
      </c>
      <c r="ER99" s="701">
        <f>IF('2 MEDIA ALTURA'!F23='2 MEDIA ALTURA'!$B$47,IF('2 MEDIA ALTURA'!F$34=150,IF('2 MEDIA ALTURA'!F22=40,1,0)))*'2 MEDIA ALTURA'!F$35</f>
        <v>0</v>
      </c>
      <c r="ES99" s="701">
        <f>IF('2 MEDIA ALTURA'!G23='2 MEDIA ALTURA'!$B$47,IF('2 MEDIA ALTURA'!G$34=150,IF('2 MEDIA ALTURA'!G22=40,1,0)))*'2 MEDIA ALTURA'!G$35</f>
        <v>0</v>
      </c>
      <c r="ET99" s="701">
        <f>IF('2 MEDIA ALTURA'!H23='2 MEDIA ALTURA'!$B$47,IF('2 MEDIA ALTURA'!H$34=150,IF('2 MEDIA ALTURA'!H22=40,1,0)))*'2 MEDIA ALTURA'!H$35</f>
        <v>0</v>
      </c>
      <c r="EU99" s="701">
        <f>IF('2 MEDIA ALTURA'!I23='2 MEDIA ALTURA'!$B$47,IF('2 MEDIA ALTURA'!I$34=150,IF('2 MEDIA ALTURA'!I22=40,1,0)))*'2 MEDIA ALTURA'!I$35</f>
        <v>0</v>
      </c>
      <c r="EV99" s="701">
        <f>IF('2 MEDIA ALTURA'!J23='2 MEDIA ALTURA'!$B$47,IF('2 MEDIA ALTURA'!J$34=150,IF('2 MEDIA ALTURA'!J22=40,1,0)))*'2 MEDIA ALTURA'!J$35</f>
        <v>0</v>
      </c>
      <c r="EW99" s="701">
        <f>IF('2 MEDIA ALTURA'!K23='2 MEDIA ALTURA'!$B$47,IF('2 MEDIA ALTURA'!K$34=150,IF('2 MEDIA ALTURA'!K22=40,1,0)))*'2 MEDIA ALTURA'!K$35</f>
        <v>0</v>
      </c>
      <c r="EX99" s="701">
        <f>IF('2 MEDIA ALTURA'!L23='2 MEDIA ALTURA'!$B$47,IF('2 MEDIA ALTURA'!L$34=150,IF('2 MEDIA ALTURA'!L22=40,1,0)))*'2 MEDIA ALTURA'!L$35</f>
        <v>0</v>
      </c>
      <c r="EY99" s="701">
        <f>IF('2 MEDIA ALTURA'!M23='2 MEDIA ALTURA'!$B$47,IF('2 MEDIA ALTURA'!M$34=150,IF('2 MEDIA ALTURA'!M22=40,1,0)))*'2 MEDIA ALTURA'!M$35</f>
        <v>0</v>
      </c>
      <c r="EZ99" s="701">
        <f>IF('2 MEDIA ALTURA'!N23='2 MEDIA ALTURA'!$B$47,IF('2 MEDIA ALTURA'!N$34=150,IF('2 MEDIA ALTURA'!N22=40,1,0)))*'2 MEDIA ALTURA'!N$35</f>
        <v>0</v>
      </c>
      <c r="FA99" s="706"/>
    </row>
    <row r="100" spans="1:207" x14ac:dyDescent="0.35">
      <c r="A100" s="838"/>
      <c r="B100" s="701"/>
      <c r="C100" s="701"/>
      <c r="D100" s="701"/>
      <c r="E100" s="701"/>
      <c r="F100" s="701"/>
      <c r="G100" s="701"/>
      <c r="H100" s="701"/>
      <c r="I100" s="701"/>
      <c r="J100" s="701"/>
      <c r="K100" s="701"/>
      <c r="L100" s="701"/>
      <c r="M100" s="701"/>
      <c r="N100" s="706"/>
      <c r="O100" s="702"/>
      <c r="P100" s="702"/>
      <c r="Q100" s="702"/>
      <c r="R100" s="702"/>
      <c r="S100" s="702"/>
      <c r="T100" s="702"/>
      <c r="U100" s="702"/>
      <c r="V100" s="702"/>
      <c r="W100" s="702"/>
      <c r="X100" s="702"/>
      <c r="Y100" s="702"/>
      <c r="Z100" s="702"/>
      <c r="AA100" s="706"/>
      <c r="AB100" s="702"/>
      <c r="AC100" s="702"/>
      <c r="AD100" s="702"/>
      <c r="AE100" s="702"/>
      <c r="AF100" s="702"/>
      <c r="AG100" s="702"/>
      <c r="AH100" s="702"/>
      <c r="AI100" s="702"/>
      <c r="AJ100" s="702"/>
      <c r="AK100" s="702"/>
      <c r="AL100" s="702"/>
      <c r="AM100" s="702"/>
      <c r="AN100" s="706"/>
      <c r="AO100" s="702"/>
      <c r="AP100" s="702"/>
      <c r="AQ100" s="702"/>
      <c r="AR100" s="702"/>
      <c r="AS100" s="702"/>
      <c r="AT100" s="702"/>
      <c r="AU100" s="702"/>
      <c r="AV100" s="702"/>
      <c r="AW100" s="702"/>
      <c r="AX100" s="702"/>
      <c r="AY100" s="702"/>
      <c r="AZ100" s="702"/>
      <c r="BA100" s="706"/>
      <c r="BB100" s="702"/>
      <c r="BC100" s="702"/>
      <c r="BD100" s="702"/>
      <c r="BE100" s="702"/>
      <c r="BF100" s="702"/>
      <c r="BG100" s="702"/>
      <c r="BH100" s="702"/>
      <c r="BI100" s="702"/>
      <c r="BJ100" s="702"/>
      <c r="BK100" s="702"/>
      <c r="BL100" s="702"/>
      <c r="BM100" s="702"/>
      <c r="BN100" s="706"/>
      <c r="BO100" s="702"/>
      <c r="BP100" s="702"/>
      <c r="BQ100" s="702"/>
      <c r="BR100" s="702"/>
      <c r="BS100" s="702"/>
      <c r="BT100" s="702"/>
      <c r="BU100" s="702"/>
      <c r="BV100" s="702"/>
      <c r="BW100" s="702"/>
      <c r="BX100" s="702"/>
      <c r="BY100" s="702"/>
      <c r="BZ100" s="702"/>
      <c r="CA100" s="706"/>
      <c r="CB100" s="702"/>
      <c r="CC100" s="702"/>
      <c r="CD100" s="702"/>
      <c r="CE100" s="702"/>
      <c r="CF100" s="702"/>
      <c r="CG100" s="702"/>
      <c r="CH100" s="702"/>
      <c r="CI100" s="702"/>
      <c r="CJ100" s="702"/>
      <c r="CK100" s="702"/>
      <c r="CL100" s="702"/>
      <c r="CM100" s="702"/>
      <c r="CN100" s="706"/>
      <c r="CO100" s="702"/>
      <c r="CP100" s="702"/>
      <c r="CQ100" s="702"/>
      <c r="CR100" s="702"/>
      <c r="CS100" s="702"/>
      <c r="CT100" s="702"/>
      <c r="CU100" s="702"/>
      <c r="CV100" s="702"/>
      <c r="CW100" s="702"/>
      <c r="CX100" s="702"/>
      <c r="CY100" s="702"/>
      <c r="CZ100" s="702"/>
      <c r="DA100" s="706"/>
      <c r="DB100" s="702"/>
      <c r="DC100" s="702"/>
      <c r="DD100" s="702"/>
      <c r="DE100" s="702"/>
      <c r="DF100" s="702"/>
      <c r="DG100" s="702"/>
      <c r="DH100" s="702"/>
      <c r="DI100" s="702"/>
      <c r="DJ100" s="702"/>
      <c r="DK100" s="702"/>
      <c r="DL100" s="702"/>
      <c r="DM100" s="702"/>
      <c r="DN100" s="706"/>
      <c r="DO100" s="702"/>
      <c r="DP100" s="702"/>
      <c r="DQ100" s="702"/>
      <c r="DR100" s="702"/>
      <c r="DS100" s="702"/>
      <c r="DT100" s="702"/>
      <c r="DU100" s="702"/>
      <c r="DV100" s="702"/>
      <c r="DW100" s="702"/>
      <c r="DX100" s="702"/>
      <c r="DY100" s="702"/>
      <c r="DZ100" s="702"/>
      <c r="EA100" s="706"/>
      <c r="EB100" s="702"/>
      <c r="EC100" s="702"/>
      <c r="ED100" s="702"/>
      <c r="EE100" s="702"/>
      <c r="EF100" s="702"/>
      <c r="EG100" s="702"/>
      <c r="EH100" s="702"/>
      <c r="EI100" s="702"/>
      <c r="EJ100" s="702"/>
      <c r="EK100" s="702"/>
      <c r="EL100" s="702"/>
      <c r="EM100" s="702"/>
      <c r="EN100" s="706"/>
      <c r="EO100" s="702"/>
      <c r="EP100" s="702"/>
      <c r="EQ100" s="702"/>
      <c r="ER100" s="702"/>
      <c r="ES100" s="702"/>
      <c r="ET100" s="702"/>
      <c r="EU100" s="702"/>
      <c r="EV100" s="702"/>
      <c r="EW100" s="702"/>
      <c r="EX100" s="702"/>
      <c r="EY100" s="702"/>
      <c r="EZ100" s="702"/>
      <c r="FA100" s="706"/>
    </row>
    <row r="101" spans="1:207" x14ac:dyDescent="0.35">
      <c r="A101" s="838"/>
      <c r="B101" s="701">
        <f>IF('2 MEDIA ALTURA'!C25='2 MEDIA ALTURA'!$B$47,IF('2 MEDIA ALTURA'!C$34=28,IF('2 MEDIA ALTURA'!C24=40,1,0)))*'2 MEDIA ALTURA'!C$35</f>
        <v>0</v>
      </c>
      <c r="C101" s="701">
        <f>IF('2 MEDIA ALTURA'!D25='2 MEDIA ALTURA'!$B$47,IF('2 MEDIA ALTURA'!D$34=28,IF('2 MEDIA ALTURA'!D24=40,1,0)))*'2 MEDIA ALTURA'!D$35</f>
        <v>0</v>
      </c>
      <c r="D101" s="701">
        <f>IF('2 MEDIA ALTURA'!E25='2 MEDIA ALTURA'!$B$47,IF('2 MEDIA ALTURA'!E$34=28,IF('2 MEDIA ALTURA'!E24=40,1,0)))*'2 MEDIA ALTURA'!E$35</f>
        <v>0</v>
      </c>
      <c r="E101" s="701">
        <f>IF('2 MEDIA ALTURA'!F25='2 MEDIA ALTURA'!$B$47,IF('2 MEDIA ALTURA'!F$34=28,IF('2 MEDIA ALTURA'!F24=40,1,0)))*'2 MEDIA ALTURA'!F$35</f>
        <v>0</v>
      </c>
      <c r="F101" s="701">
        <f>IF('2 MEDIA ALTURA'!G25='2 MEDIA ALTURA'!$B$47,IF('2 MEDIA ALTURA'!G$34=28,IF('2 MEDIA ALTURA'!G24=40,1,0)))*'2 MEDIA ALTURA'!G$35</f>
        <v>0</v>
      </c>
      <c r="G101" s="701">
        <f>IF('2 MEDIA ALTURA'!H25='2 MEDIA ALTURA'!$B$47,IF('2 MEDIA ALTURA'!H$34=28,IF('2 MEDIA ALTURA'!H24=40,1,0)))*'2 MEDIA ALTURA'!H$35</f>
        <v>0</v>
      </c>
      <c r="H101" s="701">
        <f>IF('2 MEDIA ALTURA'!I25='2 MEDIA ALTURA'!$B$47,IF('2 MEDIA ALTURA'!I$34=28,IF('2 MEDIA ALTURA'!I24=40,1,0)))*'2 MEDIA ALTURA'!I$35</f>
        <v>0</v>
      </c>
      <c r="I101" s="701">
        <f>IF('2 MEDIA ALTURA'!J25='2 MEDIA ALTURA'!$B$47,IF('2 MEDIA ALTURA'!J$34=28,IF('2 MEDIA ALTURA'!J24=40,1,0)))*'2 MEDIA ALTURA'!J$35</f>
        <v>0</v>
      </c>
      <c r="J101" s="701">
        <f>IF('2 MEDIA ALTURA'!K25='2 MEDIA ALTURA'!$B$47,IF('2 MEDIA ALTURA'!K$34=28,IF('2 MEDIA ALTURA'!K24=40,1,0)))*'2 MEDIA ALTURA'!K$35</f>
        <v>0</v>
      </c>
      <c r="K101" s="701">
        <f>IF('2 MEDIA ALTURA'!L25='2 MEDIA ALTURA'!$B$47,IF('2 MEDIA ALTURA'!L$34=28,IF('2 MEDIA ALTURA'!L24=40,1,0)))*'2 MEDIA ALTURA'!L$35</f>
        <v>0</v>
      </c>
      <c r="L101" s="701">
        <f>IF('2 MEDIA ALTURA'!M25='2 MEDIA ALTURA'!$B$47,IF('2 MEDIA ALTURA'!M$34=28,IF('2 MEDIA ALTURA'!M24=40,1,0)))*'2 MEDIA ALTURA'!M$35</f>
        <v>0</v>
      </c>
      <c r="M101" s="701">
        <f>IF('2 MEDIA ALTURA'!N25='2 MEDIA ALTURA'!$B$47,IF('2 MEDIA ALTURA'!N$34=28,IF('2 MEDIA ALTURA'!N24=40,1,0)))*'2 MEDIA ALTURA'!N$35</f>
        <v>0</v>
      </c>
      <c r="N101" s="706"/>
      <c r="O101" s="701">
        <f>IF('2 MEDIA ALTURA'!C25='2 MEDIA ALTURA'!$B$47,IF('2 MEDIA ALTURA'!C$34=30,IF('2 MEDIA ALTURA'!C24=40,1,0)))*'2 MEDIA ALTURA'!C$35</f>
        <v>0</v>
      </c>
      <c r="P101" s="701">
        <f>IF('2 MEDIA ALTURA'!D25='2 MEDIA ALTURA'!$B$47,IF('2 MEDIA ALTURA'!D$34=30,IF('2 MEDIA ALTURA'!D24=40,1,0)))*'2 MEDIA ALTURA'!D$35</f>
        <v>0</v>
      </c>
      <c r="Q101" s="701">
        <f>IF('2 MEDIA ALTURA'!E25='2 MEDIA ALTURA'!$B$47,IF('2 MEDIA ALTURA'!E$34=30,IF('2 MEDIA ALTURA'!E24=40,1,0)))*'2 MEDIA ALTURA'!E$35</f>
        <v>0</v>
      </c>
      <c r="R101" s="701">
        <f>IF('2 MEDIA ALTURA'!F25='2 MEDIA ALTURA'!$B$47,IF('2 MEDIA ALTURA'!F$34=30,IF('2 MEDIA ALTURA'!F24=40,1,0)))*'2 MEDIA ALTURA'!F$35</f>
        <v>0</v>
      </c>
      <c r="S101" s="701">
        <f>IF('2 MEDIA ALTURA'!G25='2 MEDIA ALTURA'!$B$47,IF('2 MEDIA ALTURA'!G$34=30,IF('2 MEDIA ALTURA'!G24=40,1,0)))*'2 MEDIA ALTURA'!G$35</f>
        <v>0</v>
      </c>
      <c r="T101" s="701">
        <f>IF('2 MEDIA ALTURA'!H25='2 MEDIA ALTURA'!$B$47,IF('2 MEDIA ALTURA'!H$34=30,IF('2 MEDIA ALTURA'!H24=40,1,0)))*'2 MEDIA ALTURA'!H$35</f>
        <v>0</v>
      </c>
      <c r="U101" s="701">
        <f>IF('2 MEDIA ALTURA'!I25='2 MEDIA ALTURA'!$B$47,IF('2 MEDIA ALTURA'!I$34=30,IF('2 MEDIA ALTURA'!I24=40,1,0)))*'2 MEDIA ALTURA'!I$35</f>
        <v>0</v>
      </c>
      <c r="V101" s="701">
        <f>IF('2 MEDIA ALTURA'!J25='2 MEDIA ALTURA'!$B$47,IF('2 MEDIA ALTURA'!J$34=30,IF('2 MEDIA ALTURA'!J24=40,1,0)))*'2 MEDIA ALTURA'!J$35</f>
        <v>0</v>
      </c>
      <c r="W101" s="701">
        <f>IF('2 MEDIA ALTURA'!K25='2 MEDIA ALTURA'!$B$47,IF('2 MEDIA ALTURA'!K$34=30,IF('2 MEDIA ALTURA'!K24=40,1,0)))*'2 MEDIA ALTURA'!K$35</f>
        <v>0</v>
      </c>
      <c r="X101" s="701">
        <f>IF('2 MEDIA ALTURA'!L25='2 MEDIA ALTURA'!$B$47,IF('2 MEDIA ALTURA'!L$34=30,IF('2 MEDIA ALTURA'!L24=40,1,0)))*'2 MEDIA ALTURA'!L$35</f>
        <v>0</v>
      </c>
      <c r="Y101" s="701">
        <f>IF('2 MEDIA ALTURA'!M25='2 MEDIA ALTURA'!$B$47,IF('2 MEDIA ALTURA'!M$34=30,IF('2 MEDIA ALTURA'!M24=40,1,0)))*'2 MEDIA ALTURA'!M$35</f>
        <v>0</v>
      </c>
      <c r="Z101" s="701">
        <f>IF('2 MEDIA ALTURA'!N25='2 MEDIA ALTURA'!$B$47,IF('2 MEDIA ALTURA'!N$34=30,IF('2 MEDIA ALTURA'!N24=40,1,0)))*'2 MEDIA ALTURA'!N$35</f>
        <v>0</v>
      </c>
      <c r="AA101" s="706"/>
      <c r="AB101" s="701">
        <f>IF('2 MEDIA ALTURA'!C25='2 MEDIA ALTURA'!$B$47,IF('2 MEDIA ALTURA'!C$34=56,IF('2 MEDIA ALTURA'!C24=40,1,0)))*'2 MEDIA ALTURA'!C$35</f>
        <v>0</v>
      </c>
      <c r="AC101" s="701">
        <f>IF('2 MEDIA ALTURA'!D25='2 MEDIA ALTURA'!$B$47,IF('2 MEDIA ALTURA'!D$34=56,IF('2 MEDIA ALTURA'!D24=40,1,0)))*'2 MEDIA ALTURA'!D$35</f>
        <v>0</v>
      </c>
      <c r="AD101" s="701">
        <f>IF('2 MEDIA ALTURA'!E25='2 MEDIA ALTURA'!$B$47,IF('2 MEDIA ALTURA'!E$34=56,IF('2 MEDIA ALTURA'!E24=40,1,0)))*'2 MEDIA ALTURA'!E$35</f>
        <v>0</v>
      </c>
      <c r="AE101" s="701">
        <f>IF('2 MEDIA ALTURA'!F25='2 MEDIA ALTURA'!$B$47,IF('2 MEDIA ALTURA'!F$34=56,IF('2 MEDIA ALTURA'!F24=40,1,0)))*'2 MEDIA ALTURA'!F$35</f>
        <v>0</v>
      </c>
      <c r="AF101" s="701">
        <f>IF('2 MEDIA ALTURA'!G25='2 MEDIA ALTURA'!$B$47,IF('2 MEDIA ALTURA'!G$34=56,IF('2 MEDIA ALTURA'!G24=40,1,0)))*'2 MEDIA ALTURA'!G$35</f>
        <v>0</v>
      </c>
      <c r="AG101" s="701">
        <f>IF('2 MEDIA ALTURA'!H25='2 MEDIA ALTURA'!$B$47,IF('2 MEDIA ALTURA'!H$34=56,IF('2 MEDIA ALTURA'!H24=40,1,0)))*'2 MEDIA ALTURA'!H$35</f>
        <v>0</v>
      </c>
      <c r="AH101" s="701">
        <f>IF('2 MEDIA ALTURA'!I25='2 MEDIA ALTURA'!$B$47,IF('2 MEDIA ALTURA'!I$34=56,IF('2 MEDIA ALTURA'!I24=40,1,0)))*'2 MEDIA ALTURA'!I$35</f>
        <v>0</v>
      </c>
      <c r="AI101" s="701">
        <f>IF('2 MEDIA ALTURA'!J25='2 MEDIA ALTURA'!$B$47,IF('2 MEDIA ALTURA'!J$34=56,IF('2 MEDIA ALTURA'!J24=40,1,0)))*'2 MEDIA ALTURA'!J$35</f>
        <v>0</v>
      </c>
      <c r="AJ101" s="701">
        <f>IF('2 MEDIA ALTURA'!K25='2 MEDIA ALTURA'!$B$47,IF('2 MEDIA ALTURA'!K$34=56,IF('2 MEDIA ALTURA'!K24=40,1,0)))*'2 MEDIA ALTURA'!K$35</f>
        <v>0</v>
      </c>
      <c r="AK101" s="701">
        <f>IF('2 MEDIA ALTURA'!L25='2 MEDIA ALTURA'!$B$47,IF('2 MEDIA ALTURA'!L$34=56,IF('2 MEDIA ALTURA'!L24=40,1,0)))*'2 MEDIA ALTURA'!L$35</f>
        <v>0</v>
      </c>
      <c r="AL101" s="701">
        <f>IF('2 MEDIA ALTURA'!M25='2 MEDIA ALTURA'!$B$47,IF('2 MEDIA ALTURA'!M$34=56,IF('2 MEDIA ALTURA'!M24=40,1,0)))*'2 MEDIA ALTURA'!M$35</f>
        <v>0</v>
      </c>
      <c r="AM101" s="701">
        <f>IF('2 MEDIA ALTURA'!N25='2 MEDIA ALTURA'!$B$47,IF('2 MEDIA ALTURA'!N$34=56,IF('2 MEDIA ALTURA'!N24=40,1,0)))*'2 MEDIA ALTURA'!N$35</f>
        <v>0</v>
      </c>
      <c r="AN101" s="706"/>
      <c r="AO101" s="701">
        <f>IF('2 MEDIA ALTURA'!C25='2 MEDIA ALTURA'!$B$47,IF('2 MEDIA ALTURA'!C$34=60,IF('2 MEDIA ALTURA'!C24=40,1,0)))*'2 MEDIA ALTURA'!C$35</f>
        <v>0</v>
      </c>
      <c r="AP101" s="701">
        <f>IF('2 MEDIA ALTURA'!D25='2 MEDIA ALTURA'!$B$47,IF('2 MEDIA ALTURA'!D$34=60,IF('2 MEDIA ALTURA'!D24=40,1,0)))*'2 MEDIA ALTURA'!D$35</f>
        <v>0</v>
      </c>
      <c r="AQ101" s="701">
        <f>IF('2 MEDIA ALTURA'!E25='2 MEDIA ALTURA'!$B$47,IF('2 MEDIA ALTURA'!E$34=60,IF('2 MEDIA ALTURA'!E24=40,1,0)))*'2 MEDIA ALTURA'!E$35</f>
        <v>0</v>
      </c>
      <c r="AR101" s="701">
        <f>IF('2 MEDIA ALTURA'!F25='2 MEDIA ALTURA'!$B$47,IF('2 MEDIA ALTURA'!F$34=60,IF('2 MEDIA ALTURA'!F24=40,1,0)))*'2 MEDIA ALTURA'!F$35</f>
        <v>0</v>
      </c>
      <c r="AS101" s="701">
        <f>IF('2 MEDIA ALTURA'!G25='2 MEDIA ALTURA'!$B$47,IF('2 MEDIA ALTURA'!G$34=60,IF('2 MEDIA ALTURA'!G24=40,1,0)))*'2 MEDIA ALTURA'!G$35</f>
        <v>0</v>
      </c>
      <c r="AT101" s="701">
        <f>IF('2 MEDIA ALTURA'!H25='2 MEDIA ALTURA'!$B$47,IF('2 MEDIA ALTURA'!H$34=60,IF('2 MEDIA ALTURA'!H24=40,1,0)))*'2 MEDIA ALTURA'!H$35</f>
        <v>0</v>
      </c>
      <c r="AU101" s="701">
        <f>IF('2 MEDIA ALTURA'!I25='2 MEDIA ALTURA'!$B$47,IF('2 MEDIA ALTURA'!I$34=60,IF('2 MEDIA ALTURA'!I24=40,1,0)))*'2 MEDIA ALTURA'!I$35</f>
        <v>0</v>
      </c>
      <c r="AV101" s="701">
        <f>IF('2 MEDIA ALTURA'!J25='2 MEDIA ALTURA'!$B$47,IF('2 MEDIA ALTURA'!J$34=60,IF('2 MEDIA ALTURA'!J24=40,1,0)))*'2 MEDIA ALTURA'!J$35</f>
        <v>0</v>
      </c>
      <c r="AW101" s="701">
        <f>IF('2 MEDIA ALTURA'!K25='2 MEDIA ALTURA'!$B$47,IF('2 MEDIA ALTURA'!K$34=60,IF('2 MEDIA ALTURA'!K24=40,1,0)))*'2 MEDIA ALTURA'!K$35</f>
        <v>0</v>
      </c>
      <c r="AX101" s="701">
        <f>IF('2 MEDIA ALTURA'!L25='2 MEDIA ALTURA'!$B$47,IF('2 MEDIA ALTURA'!L$34=60,IF('2 MEDIA ALTURA'!L24=40,1,0)))*'2 MEDIA ALTURA'!L$35</f>
        <v>0</v>
      </c>
      <c r="AY101" s="701">
        <f>IF('2 MEDIA ALTURA'!M25='2 MEDIA ALTURA'!$B$47,IF('2 MEDIA ALTURA'!M$34=60,IF('2 MEDIA ALTURA'!M24=40,1,0)))*'2 MEDIA ALTURA'!M$35</f>
        <v>0</v>
      </c>
      <c r="AZ101" s="701">
        <f>IF('2 MEDIA ALTURA'!N25='2 MEDIA ALTURA'!$B$47,IF('2 MEDIA ALTURA'!N$34=60,IF('2 MEDIA ALTURA'!N24=40,1,0)))*'2 MEDIA ALTURA'!N$35</f>
        <v>0</v>
      </c>
      <c r="BA101" s="706"/>
      <c r="BB101" s="701">
        <f>IF('2 MEDIA ALTURA'!C25='2 MEDIA ALTURA'!$B$47,IF('2 MEDIA ALTURA'!C$34=70,IF('2 MEDIA ALTURA'!C24=40,1,0)))*'2 MEDIA ALTURA'!C$35</f>
        <v>0</v>
      </c>
      <c r="BC101" s="701">
        <f>IF('2 MEDIA ALTURA'!D25='2 MEDIA ALTURA'!$B$47,IF('2 MEDIA ALTURA'!D$34=70,IF('2 MEDIA ALTURA'!D24=40,1,0)))*'2 MEDIA ALTURA'!D$35</f>
        <v>0</v>
      </c>
      <c r="BD101" s="701">
        <f>IF('2 MEDIA ALTURA'!E25='2 MEDIA ALTURA'!$B$47,IF('2 MEDIA ALTURA'!E$34=70,IF('2 MEDIA ALTURA'!E24=40,1,0)))*'2 MEDIA ALTURA'!E$35</f>
        <v>0</v>
      </c>
      <c r="BE101" s="701">
        <f>IF('2 MEDIA ALTURA'!F25='2 MEDIA ALTURA'!$B$47,IF('2 MEDIA ALTURA'!F$34=70,IF('2 MEDIA ALTURA'!F24=40,1,0)))*'2 MEDIA ALTURA'!F$35</f>
        <v>0</v>
      </c>
      <c r="BF101" s="701">
        <f>IF('2 MEDIA ALTURA'!G25='2 MEDIA ALTURA'!$B$47,IF('2 MEDIA ALTURA'!G$34=70,IF('2 MEDIA ALTURA'!G24=40,1,0)))*'2 MEDIA ALTURA'!G$35</f>
        <v>0</v>
      </c>
      <c r="BG101" s="701">
        <f>IF('2 MEDIA ALTURA'!H25='2 MEDIA ALTURA'!$B$47,IF('2 MEDIA ALTURA'!H$34=70,IF('2 MEDIA ALTURA'!H24=40,1,0)))*'2 MEDIA ALTURA'!H$35</f>
        <v>0</v>
      </c>
      <c r="BH101" s="701">
        <f>IF('2 MEDIA ALTURA'!I25='2 MEDIA ALTURA'!$B$47,IF('2 MEDIA ALTURA'!I$34=70,IF('2 MEDIA ALTURA'!I24=40,1,0)))*'2 MEDIA ALTURA'!I$35</f>
        <v>0</v>
      </c>
      <c r="BI101" s="701">
        <f>IF('2 MEDIA ALTURA'!J25='2 MEDIA ALTURA'!$B$47,IF('2 MEDIA ALTURA'!J$34=70,IF('2 MEDIA ALTURA'!J24=40,1,0)))*'2 MEDIA ALTURA'!J$35</f>
        <v>0</v>
      </c>
      <c r="BJ101" s="701">
        <f>IF('2 MEDIA ALTURA'!K25='2 MEDIA ALTURA'!$B$47,IF('2 MEDIA ALTURA'!K$34=70,IF('2 MEDIA ALTURA'!K24=40,1,0)))*'2 MEDIA ALTURA'!K$35</f>
        <v>0</v>
      </c>
      <c r="BK101" s="701">
        <f>IF('2 MEDIA ALTURA'!L25='2 MEDIA ALTURA'!$B$47,IF('2 MEDIA ALTURA'!L$34=70,IF('2 MEDIA ALTURA'!L24=40,1,0)))*'2 MEDIA ALTURA'!L$35</f>
        <v>0</v>
      </c>
      <c r="BL101" s="701">
        <f>IF('2 MEDIA ALTURA'!M25='2 MEDIA ALTURA'!$B$47,IF('2 MEDIA ALTURA'!M$34=70,IF('2 MEDIA ALTURA'!M24=40,1,0)))*'2 MEDIA ALTURA'!M$35</f>
        <v>0</v>
      </c>
      <c r="BM101" s="701">
        <f>IF('2 MEDIA ALTURA'!N25='2 MEDIA ALTURA'!$B$47,IF('2 MEDIA ALTURA'!N$34=70,IF('2 MEDIA ALTURA'!N24=40,1,0)))*'2 MEDIA ALTURA'!N$35</f>
        <v>0</v>
      </c>
      <c r="BN101" s="706"/>
      <c r="BO101" s="701">
        <f>IF('2 MEDIA ALTURA'!C25='2 MEDIA ALTURA'!$B$47,IF('2 MEDIA ALTURA'!C$34=75,IF('2 MEDIA ALTURA'!C24=40,1,0)))*'2 MEDIA ALTURA'!C$35</f>
        <v>0</v>
      </c>
      <c r="BP101" s="701">
        <f>IF('2 MEDIA ALTURA'!D25='2 MEDIA ALTURA'!$B$47,IF('2 MEDIA ALTURA'!D$34=75,IF('2 MEDIA ALTURA'!D24=40,1,0)))*'2 MEDIA ALTURA'!D$35</f>
        <v>0</v>
      </c>
      <c r="BQ101" s="701">
        <f>IF('2 MEDIA ALTURA'!E25='2 MEDIA ALTURA'!$B$47,IF('2 MEDIA ALTURA'!E$34=75,IF('2 MEDIA ALTURA'!E24=40,1,0)))*'2 MEDIA ALTURA'!E$35</f>
        <v>0</v>
      </c>
      <c r="BR101" s="701">
        <f>IF('2 MEDIA ALTURA'!F25='2 MEDIA ALTURA'!$B$47,IF('2 MEDIA ALTURA'!F$34=75,IF('2 MEDIA ALTURA'!F24=40,1,0)))*'2 MEDIA ALTURA'!F$35</f>
        <v>0</v>
      </c>
      <c r="BS101" s="701">
        <f>IF('2 MEDIA ALTURA'!G25='2 MEDIA ALTURA'!$B$47,IF('2 MEDIA ALTURA'!G$34=75,IF('2 MEDIA ALTURA'!G24=40,1,0)))*'2 MEDIA ALTURA'!G$35</f>
        <v>0</v>
      </c>
      <c r="BT101" s="701">
        <f>IF('2 MEDIA ALTURA'!H25='2 MEDIA ALTURA'!$B$47,IF('2 MEDIA ALTURA'!H$34=75,IF('2 MEDIA ALTURA'!H24=40,1,0)))*'2 MEDIA ALTURA'!H$35</f>
        <v>0</v>
      </c>
      <c r="BU101" s="701">
        <f>IF('2 MEDIA ALTURA'!I25='2 MEDIA ALTURA'!$B$47,IF('2 MEDIA ALTURA'!I$34=75,IF('2 MEDIA ALTURA'!I24=40,1,0)))*'2 MEDIA ALTURA'!I$35</f>
        <v>0</v>
      </c>
      <c r="BV101" s="701">
        <f>IF('2 MEDIA ALTURA'!J25='2 MEDIA ALTURA'!$B$47,IF('2 MEDIA ALTURA'!J$34=75,IF('2 MEDIA ALTURA'!J24=40,1,0)))*'2 MEDIA ALTURA'!J$35</f>
        <v>0</v>
      </c>
      <c r="BW101" s="701">
        <f>IF('2 MEDIA ALTURA'!K25='2 MEDIA ALTURA'!$B$47,IF('2 MEDIA ALTURA'!K$34=75,IF('2 MEDIA ALTURA'!K24=40,1,0)))*'2 MEDIA ALTURA'!K$35</f>
        <v>0</v>
      </c>
      <c r="BX101" s="701">
        <f>IF('2 MEDIA ALTURA'!L25='2 MEDIA ALTURA'!$B$47,IF('2 MEDIA ALTURA'!L$34=75,IF('2 MEDIA ALTURA'!L24=40,1,0)))*'2 MEDIA ALTURA'!L$35</f>
        <v>0</v>
      </c>
      <c r="BY101" s="701">
        <f>IF('2 MEDIA ALTURA'!M25='2 MEDIA ALTURA'!$B$47,IF('2 MEDIA ALTURA'!M$34=75,IF('2 MEDIA ALTURA'!M24=40,1,0)))*'2 MEDIA ALTURA'!M$35</f>
        <v>0</v>
      </c>
      <c r="BZ101" s="701">
        <f>IF('2 MEDIA ALTURA'!N25='2 MEDIA ALTURA'!$B$47,IF('2 MEDIA ALTURA'!N$34=75,IF('2 MEDIA ALTURA'!N24=40,1,0)))*'2 MEDIA ALTURA'!N$35</f>
        <v>0</v>
      </c>
      <c r="CA101" s="706"/>
      <c r="CB101" s="701">
        <f>IF('2 MEDIA ALTURA'!C25='2 MEDIA ALTURA'!$B$47,IF('2 MEDIA ALTURA'!C$34=84,IF('2 MEDIA ALTURA'!C24=40,1,0)))*'2 MEDIA ALTURA'!C$35</f>
        <v>0</v>
      </c>
      <c r="CC101" s="701">
        <f>IF('2 MEDIA ALTURA'!D25='2 MEDIA ALTURA'!$B$47,IF('2 MEDIA ALTURA'!D$34=84,IF('2 MEDIA ALTURA'!D24=40,1,0)))*'2 MEDIA ALTURA'!D$35</f>
        <v>0</v>
      </c>
      <c r="CD101" s="701">
        <f>IF('2 MEDIA ALTURA'!E25='2 MEDIA ALTURA'!$B$47,IF('2 MEDIA ALTURA'!E$34=84,IF('2 MEDIA ALTURA'!E24=40,1,0)))*'2 MEDIA ALTURA'!E$35</f>
        <v>0</v>
      </c>
      <c r="CE101" s="701">
        <f>IF('2 MEDIA ALTURA'!F25='2 MEDIA ALTURA'!$B$47,IF('2 MEDIA ALTURA'!F$34=84,IF('2 MEDIA ALTURA'!F24=40,1,0)))*'2 MEDIA ALTURA'!F$35</f>
        <v>0</v>
      </c>
      <c r="CF101" s="701">
        <f>IF('2 MEDIA ALTURA'!G25='2 MEDIA ALTURA'!$B$47,IF('2 MEDIA ALTURA'!G$34=84,IF('2 MEDIA ALTURA'!G24=40,1,0)))*'2 MEDIA ALTURA'!G$35</f>
        <v>0</v>
      </c>
      <c r="CG101" s="701">
        <f>IF('2 MEDIA ALTURA'!H25='2 MEDIA ALTURA'!$B$47,IF('2 MEDIA ALTURA'!H$34=84,IF('2 MEDIA ALTURA'!H24=40,1,0)))*'2 MEDIA ALTURA'!H$35</f>
        <v>0</v>
      </c>
      <c r="CH101" s="701">
        <f>IF('2 MEDIA ALTURA'!I25='2 MEDIA ALTURA'!$B$47,IF('2 MEDIA ALTURA'!I$34=84,IF('2 MEDIA ALTURA'!I24=40,1,0)))*'2 MEDIA ALTURA'!I$35</f>
        <v>0</v>
      </c>
      <c r="CI101" s="701">
        <f>IF('2 MEDIA ALTURA'!J25='2 MEDIA ALTURA'!$B$47,IF('2 MEDIA ALTURA'!J$34=84,IF('2 MEDIA ALTURA'!J24=40,1,0)))*'2 MEDIA ALTURA'!J$35</f>
        <v>0</v>
      </c>
      <c r="CJ101" s="701">
        <f>IF('2 MEDIA ALTURA'!K25='2 MEDIA ALTURA'!$B$47,IF('2 MEDIA ALTURA'!K$34=84,IF('2 MEDIA ALTURA'!K24=40,1,0)))*'2 MEDIA ALTURA'!K$35</f>
        <v>0</v>
      </c>
      <c r="CK101" s="701">
        <f>IF('2 MEDIA ALTURA'!L25='2 MEDIA ALTURA'!$B$47,IF('2 MEDIA ALTURA'!L$34=84,IF('2 MEDIA ALTURA'!L24=40,1,0)))*'2 MEDIA ALTURA'!L$35</f>
        <v>0</v>
      </c>
      <c r="CL101" s="701">
        <f>IF('2 MEDIA ALTURA'!M25='2 MEDIA ALTURA'!$B$47,IF('2 MEDIA ALTURA'!M$34=84,IF('2 MEDIA ALTURA'!M24=40,1,0)))*'2 MEDIA ALTURA'!M$35</f>
        <v>0</v>
      </c>
      <c r="CM101" s="701">
        <f>IF('2 MEDIA ALTURA'!N25='2 MEDIA ALTURA'!$B$47,IF('2 MEDIA ALTURA'!N$34=84,IF('2 MEDIA ALTURA'!N24=40,1,0)))*'2 MEDIA ALTURA'!N$35</f>
        <v>0</v>
      </c>
      <c r="CN101" s="706"/>
      <c r="CO101" s="701">
        <f>IF('2 MEDIA ALTURA'!C25='2 MEDIA ALTURA'!$B$47,IF('2 MEDIA ALTURA'!C$34=90,IF('2 MEDIA ALTURA'!C24=40,1,0)))*'2 MEDIA ALTURA'!C$35</f>
        <v>0</v>
      </c>
      <c r="CP101" s="701">
        <f>IF('2 MEDIA ALTURA'!D25='2 MEDIA ALTURA'!$B$47,IF('2 MEDIA ALTURA'!D$34=90,IF('2 MEDIA ALTURA'!D24=40,1,0)))*'2 MEDIA ALTURA'!D$35</f>
        <v>0</v>
      </c>
      <c r="CQ101" s="701">
        <f>IF('2 MEDIA ALTURA'!E25='2 MEDIA ALTURA'!$B$47,IF('2 MEDIA ALTURA'!E$34=90,IF('2 MEDIA ALTURA'!E24=40,1,0)))*'2 MEDIA ALTURA'!E$35</f>
        <v>0</v>
      </c>
      <c r="CR101" s="701">
        <f>IF('2 MEDIA ALTURA'!F25='2 MEDIA ALTURA'!$B$47,IF('2 MEDIA ALTURA'!F$34=90,IF('2 MEDIA ALTURA'!F24=40,1,0)))*'2 MEDIA ALTURA'!F$35</f>
        <v>0</v>
      </c>
      <c r="CS101" s="701">
        <f>IF('2 MEDIA ALTURA'!G25='2 MEDIA ALTURA'!$B$47,IF('2 MEDIA ALTURA'!G$34=90,IF('2 MEDIA ALTURA'!G24=40,1,0)))*'2 MEDIA ALTURA'!G$35</f>
        <v>0</v>
      </c>
      <c r="CT101" s="701">
        <f>IF('2 MEDIA ALTURA'!H25='2 MEDIA ALTURA'!$B$47,IF('2 MEDIA ALTURA'!H$34=90,IF('2 MEDIA ALTURA'!H24=40,1,0)))*'2 MEDIA ALTURA'!H$35</f>
        <v>0</v>
      </c>
      <c r="CU101" s="701">
        <f>IF('2 MEDIA ALTURA'!I25='2 MEDIA ALTURA'!$B$47,IF('2 MEDIA ALTURA'!I$34=90,IF('2 MEDIA ALTURA'!I24=40,1,0)))*'2 MEDIA ALTURA'!I$35</f>
        <v>0</v>
      </c>
      <c r="CV101" s="701">
        <f>IF('2 MEDIA ALTURA'!J25='2 MEDIA ALTURA'!$B$47,IF('2 MEDIA ALTURA'!J$34=90,IF('2 MEDIA ALTURA'!J24=40,1,0)))*'2 MEDIA ALTURA'!J$35</f>
        <v>0</v>
      </c>
      <c r="CW101" s="701">
        <f>IF('2 MEDIA ALTURA'!K25='2 MEDIA ALTURA'!$B$47,IF('2 MEDIA ALTURA'!K$34=90,IF('2 MEDIA ALTURA'!K24=40,1,0)))*'2 MEDIA ALTURA'!K$35</f>
        <v>0</v>
      </c>
      <c r="CX101" s="701">
        <f>IF('2 MEDIA ALTURA'!L25='2 MEDIA ALTURA'!$B$47,IF('2 MEDIA ALTURA'!L$34=90,IF('2 MEDIA ALTURA'!L24=40,1,0)))*'2 MEDIA ALTURA'!L$35</f>
        <v>0</v>
      </c>
      <c r="CY101" s="701">
        <f>IF('2 MEDIA ALTURA'!M25='2 MEDIA ALTURA'!$B$47,IF('2 MEDIA ALTURA'!M$34=90,IF('2 MEDIA ALTURA'!M24=40,1,0)))*'2 MEDIA ALTURA'!M$35</f>
        <v>0</v>
      </c>
      <c r="CZ101" s="701">
        <f>IF('2 MEDIA ALTURA'!N25='2 MEDIA ALTURA'!$B$47,IF('2 MEDIA ALTURA'!N$34=90,IF('2 MEDIA ALTURA'!N24=40,1,0)))*'2 MEDIA ALTURA'!N$35</f>
        <v>0</v>
      </c>
      <c r="DA101" s="706"/>
      <c r="DB101" s="701">
        <f>IF('2 MEDIA ALTURA'!C25='2 MEDIA ALTURA'!$B$47,IF('2 MEDIA ALTURA'!C$34=112,IF('2 MEDIA ALTURA'!C24=40,1,0)))*'2 MEDIA ALTURA'!C$35</f>
        <v>0</v>
      </c>
      <c r="DC101" s="701">
        <f>IF('2 MEDIA ALTURA'!D25='2 MEDIA ALTURA'!$B$47,IF('2 MEDIA ALTURA'!D$34=112,IF('2 MEDIA ALTURA'!D24=40,1,0)))*'2 MEDIA ALTURA'!D$35</f>
        <v>0</v>
      </c>
      <c r="DD101" s="701">
        <f>IF('2 MEDIA ALTURA'!E25='2 MEDIA ALTURA'!$B$47,IF('2 MEDIA ALTURA'!E$34=112,IF('2 MEDIA ALTURA'!E24=40,1,0)))*'2 MEDIA ALTURA'!E$35</f>
        <v>0</v>
      </c>
      <c r="DE101" s="701">
        <f>IF('2 MEDIA ALTURA'!F25='2 MEDIA ALTURA'!$B$47,IF('2 MEDIA ALTURA'!F$34=112,IF('2 MEDIA ALTURA'!F24=40,1,0)))*'2 MEDIA ALTURA'!F$35</f>
        <v>0</v>
      </c>
      <c r="DF101" s="701">
        <f>IF('2 MEDIA ALTURA'!G25='2 MEDIA ALTURA'!$B$47,IF('2 MEDIA ALTURA'!G$34=112,IF('2 MEDIA ALTURA'!G24=40,1,0)))*'2 MEDIA ALTURA'!G$35</f>
        <v>0</v>
      </c>
      <c r="DG101" s="701">
        <f>IF('2 MEDIA ALTURA'!H25='2 MEDIA ALTURA'!$B$47,IF('2 MEDIA ALTURA'!H$34=112,IF('2 MEDIA ALTURA'!H24=40,1,0)))*'2 MEDIA ALTURA'!H$35</f>
        <v>0</v>
      </c>
      <c r="DH101" s="701">
        <f>IF('2 MEDIA ALTURA'!I25='2 MEDIA ALTURA'!$B$47,IF('2 MEDIA ALTURA'!I$34=112,IF('2 MEDIA ALTURA'!I24=40,1,0)))*'2 MEDIA ALTURA'!I$35</f>
        <v>0</v>
      </c>
      <c r="DI101" s="701">
        <f>IF('2 MEDIA ALTURA'!J25='2 MEDIA ALTURA'!$B$47,IF('2 MEDIA ALTURA'!J$34=112,IF('2 MEDIA ALTURA'!J24=40,1,0)))*'2 MEDIA ALTURA'!J$35</f>
        <v>0</v>
      </c>
      <c r="DJ101" s="701">
        <f>IF('2 MEDIA ALTURA'!K25='2 MEDIA ALTURA'!$B$47,IF('2 MEDIA ALTURA'!K$34=112,IF('2 MEDIA ALTURA'!K24=40,1,0)))*'2 MEDIA ALTURA'!K$35</f>
        <v>0</v>
      </c>
      <c r="DK101" s="701">
        <f>IF('2 MEDIA ALTURA'!L25='2 MEDIA ALTURA'!$B$47,IF('2 MEDIA ALTURA'!L$34=112,IF('2 MEDIA ALTURA'!L24=40,1,0)))*'2 MEDIA ALTURA'!L$35</f>
        <v>0</v>
      </c>
      <c r="DL101" s="701">
        <f>IF('2 MEDIA ALTURA'!M25='2 MEDIA ALTURA'!$B$47,IF('2 MEDIA ALTURA'!M$34=112,IF('2 MEDIA ALTURA'!M24=40,1,0)))*'2 MEDIA ALTURA'!M$35</f>
        <v>0</v>
      </c>
      <c r="DM101" s="701">
        <f>IF('2 MEDIA ALTURA'!N25='2 MEDIA ALTURA'!$B$47,IF('2 MEDIA ALTURA'!N$34=112,IF('2 MEDIA ALTURA'!N24=40,1,0)))*'2 MEDIA ALTURA'!N$35</f>
        <v>0</v>
      </c>
      <c r="DN101" s="706"/>
      <c r="DO101" s="701">
        <f>IF('2 MEDIA ALTURA'!C25='2 MEDIA ALTURA'!$B$47,IF('2 MEDIA ALTURA'!C$34=120,IF('2 MEDIA ALTURA'!C24=40,1,0)))*'2 MEDIA ALTURA'!C$35</f>
        <v>0</v>
      </c>
      <c r="DP101" s="701">
        <f>IF('2 MEDIA ALTURA'!D25='2 MEDIA ALTURA'!$B$47,IF('2 MEDIA ALTURA'!D$34=120,IF('2 MEDIA ALTURA'!D24=40,1,0)))*'2 MEDIA ALTURA'!D$35</f>
        <v>0</v>
      </c>
      <c r="DQ101" s="701">
        <f>IF('2 MEDIA ALTURA'!E25='2 MEDIA ALTURA'!$B$47,IF('2 MEDIA ALTURA'!E$34=120,IF('2 MEDIA ALTURA'!E24=40,1,0)))*'2 MEDIA ALTURA'!E$35</f>
        <v>0</v>
      </c>
      <c r="DR101" s="701">
        <f>IF('2 MEDIA ALTURA'!F25='2 MEDIA ALTURA'!$B$47,IF('2 MEDIA ALTURA'!F$34=120,IF('2 MEDIA ALTURA'!F24=40,1,0)))*'2 MEDIA ALTURA'!F$35</f>
        <v>0</v>
      </c>
      <c r="DS101" s="701">
        <f>IF('2 MEDIA ALTURA'!G25='2 MEDIA ALTURA'!$B$47,IF('2 MEDIA ALTURA'!G$34=120,IF('2 MEDIA ALTURA'!G24=40,1,0)))*'2 MEDIA ALTURA'!G$35</f>
        <v>0</v>
      </c>
      <c r="DT101" s="701">
        <f>IF('2 MEDIA ALTURA'!H25='2 MEDIA ALTURA'!$B$47,IF('2 MEDIA ALTURA'!H$34=120,IF('2 MEDIA ALTURA'!H24=40,1,0)))*'2 MEDIA ALTURA'!H$35</f>
        <v>0</v>
      </c>
      <c r="DU101" s="701">
        <f>IF('2 MEDIA ALTURA'!I25='2 MEDIA ALTURA'!$B$47,IF('2 MEDIA ALTURA'!I$34=120,IF('2 MEDIA ALTURA'!I24=40,1,0)))*'2 MEDIA ALTURA'!I$35</f>
        <v>0</v>
      </c>
      <c r="DV101" s="701">
        <f>IF('2 MEDIA ALTURA'!J25='2 MEDIA ALTURA'!$B$47,IF('2 MEDIA ALTURA'!J$34=120,IF('2 MEDIA ALTURA'!J24=40,1,0)))*'2 MEDIA ALTURA'!J$35</f>
        <v>0</v>
      </c>
      <c r="DW101" s="701">
        <f>IF('2 MEDIA ALTURA'!K25='2 MEDIA ALTURA'!$B$47,IF('2 MEDIA ALTURA'!K$34=120,IF('2 MEDIA ALTURA'!K24=40,1,0)))*'2 MEDIA ALTURA'!K$35</f>
        <v>0</v>
      </c>
      <c r="DX101" s="701">
        <f>IF('2 MEDIA ALTURA'!L25='2 MEDIA ALTURA'!$B$47,IF('2 MEDIA ALTURA'!L$34=120,IF('2 MEDIA ALTURA'!L24=40,1,0)))*'2 MEDIA ALTURA'!L$35</f>
        <v>0</v>
      </c>
      <c r="DY101" s="701">
        <f>IF('2 MEDIA ALTURA'!M25='2 MEDIA ALTURA'!$B$47,IF('2 MEDIA ALTURA'!M$34=120,IF('2 MEDIA ALTURA'!M24=40,1,0)))*'2 MEDIA ALTURA'!M$35</f>
        <v>0</v>
      </c>
      <c r="DZ101" s="701">
        <f>IF('2 MEDIA ALTURA'!N25='2 MEDIA ALTURA'!$B$47,IF('2 MEDIA ALTURA'!N$34=120,IF('2 MEDIA ALTURA'!N24=40,1,0)))*'2 MEDIA ALTURA'!N$35</f>
        <v>0</v>
      </c>
      <c r="EA101" s="706"/>
      <c r="EB101" s="701">
        <f>IF('2 MEDIA ALTURA'!C25='2 MEDIA ALTURA'!$B$47,IF('2 MEDIA ALTURA'!C$34=140,IF('2 MEDIA ALTURA'!C24=40,1,0)))*'2 MEDIA ALTURA'!C$35</f>
        <v>0</v>
      </c>
      <c r="EC101" s="701">
        <f>IF('2 MEDIA ALTURA'!D25='2 MEDIA ALTURA'!$B$47,IF('2 MEDIA ALTURA'!D$34=140,IF('2 MEDIA ALTURA'!D24=40,1,0)))*'2 MEDIA ALTURA'!D$35</f>
        <v>0</v>
      </c>
      <c r="ED101" s="701">
        <f>IF('2 MEDIA ALTURA'!E25='2 MEDIA ALTURA'!$B$47,IF('2 MEDIA ALTURA'!E$34=140,IF('2 MEDIA ALTURA'!E24=40,1,0)))*'2 MEDIA ALTURA'!E$35</f>
        <v>0</v>
      </c>
      <c r="EE101" s="701">
        <f>IF('2 MEDIA ALTURA'!F25='2 MEDIA ALTURA'!$B$47,IF('2 MEDIA ALTURA'!F$34=140,IF('2 MEDIA ALTURA'!F24=40,1,0)))*'2 MEDIA ALTURA'!F$35</f>
        <v>0</v>
      </c>
      <c r="EF101" s="701">
        <f>IF('2 MEDIA ALTURA'!G25='2 MEDIA ALTURA'!$B$47,IF('2 MEDIA ALTURA'!G$34=140,IF('2 MEDIA ALTURA'!G24=40,1,0)))*'2 MEDIA ALTURA'!G$35</f>
        <v>0</v>
      </c>
      <c r="EG101" s="701">
        <f>IF('2 MEDIA ALTURA'!H25='2 MEDIA ALTURA'!$B$47,IF('2 MEDIA ALTURA'!H$34=140,IF('2 MEDIA ALTURA'!H24=40,1,0)))*'2 MEDIA ALTURA'!H$35</f>
        <v>0</v>
      </c>
      <c r="EH101" s="701">
        <f>IF('2 MEDIA ALTURA'!I25='2 MEDIA ALTURA'!$B$47,IF('2 MEDIA ALTURA'!I$34=140,IF('2 MEDIA ALTURA'!I24=40,1,0)))*'2 MEDIA ALTURA'!I$35</f>
        <v>0</v>
      </c>
      <c r="EI101" s="701">
        <f>IF('2 MEDIA ALTURA'!J25='2 MEDIA ALTURA'!$B$47,IF('2 MEDIA ALTURA'!J$34=140,IF('2 MEDIA ALTURA'!J24=40,1,0)))*'2 MEDIA ALTURA'!J$35</f>
        <v>0</v>
      </c>
      <c r="EJ101" s="701">
        <f>IF('2 MEDIA ALTURA'!K25='2 MEDIA ALTURA'!$B$47,IF('2 MEDIA ALTURA'!K$34=140,IF('2 MEDIA ALTURA'!K24=40,1,0)))*'2 MEDIA ALTURA'!K$35</f>
        <v>0</v>
      </c>
      <c r="EK101" s="701">
        <f>IF('2 MEDIA ALTURA'!L25='2 MEDIA ALTURA'!$B$47,IF('2 MEDIA ALTURA'!L$34=140,IF('2 MEDIA ALTURA'!L24=40,1,0)))*'2 MEDIA ALTURA'!L$35</f>
        <v>0</v>
      </c>
      <c r="EL101" s="701">
        <f>IF('2 MEDIA ALTURA'!M25='2 MEDIA ALTURA'!$B$47,IF('2 MEDIA ALTURA'!M$34=140,IF('2 MEDIA ALTURA'!M24=40,1,0)))*'2 MEDIA ALTURA'!M$35</f>
        <v>0</v>
      </c>
      <c r="EM101" s="701">
        <f>IF('2 MEDIA ALTURA'!N25='2 MEDIA ALTURA'!$B$47,IF('2 MEDIA ALTURA'!N$34=140,IF('2 MEDIA ALTURA'!N24=40,1,0)))*'2 MEDIA ALTURA'!N$35</f>
        <v>0</v>
      </c>
      <c r="EN101" s="706"/>
      <c r="EO101" s="701">
        <f>IF('2 MEDIA ALTURA'!C25='2 MEDIA ALTURA'!$B$47,IF('2 MEDIA ALTURA'!C$34=150,IF('2 MEDIA ALTURA'!C24=40,1,0)))*'2 MEDIA ALTURA'!C$35</f>
        <v>0</v>
      </c>
      <c r="EP101" s="701">
        <f>IF('2 MEDIA ALTURA'!D25='2 MEDIA ALTURA'!$B$47,IF('2 MEDIA ALTURA'!D$34=150,IF('2 MEDIA ALTURA'!D24=40,1,0)))*'2 MEDIA ALTURA'!D$35</f>
        <v>0</v>
      </c>
      <c r="EQ101" s="701">
        <f>IF('2 MEDIA ALTURA'!E25='2 MEDIA ALTURA'!$B$47,IF('2 MEDIA ALTURA'!E$34=150,IF('2 MEDIA ALTURA'!E24=40,1,0)))*'2 MEDIA ALTURA'!E$35</f>
        <v>0</v>
      </c>
      <c r="ER101" s="701">
        <f>IF('2 MEDIA ALTURA'!F25='2 MEDIA ALTURA'!$B$47,IF('2 MEDIA ALTURA'!F$34=150,IF('2 MEDIA ALTURA'!F24=40,1,0)))*'2 MEDIA ALTURA'!F$35</f>
        <v>0</v>
      </c>
      <c r="ES101" s="701">
        <f>IF('2 MEDIA ALTURA'!G25='2 MEDIA ALTURA'!$B$47,IF('2 MEDIA ALTURA'!G$34=150,IF('2 MEDIA ALTURA'!G24=40,1,0)))*'2 MEDIA ALTURA'!G$35</f>
        <v>0</v>
      </c>
      <c r="ET101" s="701">
        <f>IF('2 MEDIA ALTURA'!H25='2 MEDIA ALTURA'!$B$47,IF('2 MEDIA ALTURA'!H$34=150,IF('2 MEDIA ALTURA'!H24=40,1,0)))*'2 MEDIA ALTURA'!H$35</f>
        <v>0</v>
      </c>
      <c r="EU101" s="701">
        <f>IF('2 MEDIA ALTURA'!I25='2 MEDIA ALTURA'!$B$47,IF('2 MEDIA ALTURA'!I$34=150,IF('2 MEDIA ALTURA'!I24=40,1,0)))*'2 MEDIA ALTURA'!I$35</f>
        <v>0</v>
      </c>
      <c r="EV101" s="701">
        <f>IF('2 MEDIA ALTURA'!J25='2 MEDIA ALTURA'!$B$47,IF('2 MEDIA ALTURA'!J$34=150,IF('2 MEDIA ALTURA'!J24=40,1,0)))*'2 MEDIA ALTURA'!J$35</f>
        <v>0</v>
      </c>
      <c r="EW101" s="701">
        <f>IF('2 MEDIA ALTURA'!K25='2 MEDIA ALTURA'!$B$47,IF('2 MEDIA ALTURA'!K$34=150,IF('2 MEDIA ALTURA'!K24=40,1,0)))*'2 MEDIA ALTURA'!K$35</f>
        <v>0</v>
      </c>
      <c r="EX101" s="701">
        <f>IF('2 MEDIA ALTURA'!L25='2 MEDIA ALTURA'!$B$47,IF('2 MEDIA ALTURA'!L$34=150,IF('2 MEDIA ALTURA'!L24=40,1,0)))*'2 MEDIA ALTURA'!L$35</f>
        <v>0</v>
      </c>
      <c r="EY101" s="701">
        <f>IF('2 MEDIA ALTURA'!M25='2 MEDIA ALTURA'!$B$47,IF('2 MEDIA ALTURA'!M$34=150,IF('2 MEDIA ALTURA'!M24=40,1,0)))*'2 MEDIA ALTURA'!M$35</f>
        <v>0</v>
      </c>
      <c r="EZ101" s="701">
        <f>IF('2 MEDIA ALTURA'!N25='2 MEDIA ALTURA'!$B$47,IF('2 MEDIA ALTURA'!N$34=150,IF('2 MEDIA ALTURA'!N24=40,1,0)))*'2 MEDIA ALTURA'!N$35</f>
        <v>0</v>
      </c>
      <c r="FA101" s="706"/>
    </row>
    <row r="102" spans="1:207" x14ac:dyDescent="0.35">
      <c r="A102" s="838"/>
      <c r="B102" s="701"/>
      <c r="C102" s="701"/>
      <c r="D102" s="701"/>
      <c r="E102" s="701"/>
      <c r="F102" s="701"/>
      <c r="G102" s="701"/>
      <c r="H102" s="701"/>
      <c r="I102" s="701"/>
      <c r="J102" s="701"/>
      <c r="K102" s="701"/>
      <c r="L102" s="701"/>
      <c r="M102" s="701"/>
      <c r="N102" s="706"/>
      <c r="O102" s="702"/>
      <c r="P102" s="702"/>
      <c r="Q102" s="702"/>
      <c r="R102" s="702"/>
      <c r="S102" s="702"/>
      <c r="T102" s="702"/>
      <c r="U102" s="702"/>
      <c r="V102" s="702"/>
      <c r="W102" s="702"/>
      <c r="X102" s="702"/>
      <c r="Y102" s="702"/>
      <c r="Z102" s="702"/>
      <c r="AA102" s="706"/>
      <c r="AB102" s="702"/>
      <c r="AC102" s="702"/>
      <c r="AD102" s="702"/>
      <c r="AE102" s="702"/>
      <c r="AF102" s="702"/>
      <c r="AG102" s="702"/>
      <c r="AH102" s="702"/>
      <c r="AI102" s="702"/>
      <c r="AJ102" s="702"/>
      <c r="AK102" s="702"/>
      <c r="AL102" s="702"/>
      <c r="AM102" s="702"/>
      <c r="AN102" s="706"/>
      <c r="AO102" s="702"/>
      <c r="AP102" s="702"/>
      <c r="AQ102" s="702"/>
      <c r="AR102" s="702"/>
      <c r="AS102" s="702"/>
      <c r="AT102" s="702"/>
      <c r="AU102" s="702"/>
      <c r="AV102" s="702"/>
      <c r="AW102" s="702"/>
      <c r="AX102" s="702"/>
      <c r="AY102" s="702"/>
      <c r="AZ102" s="702"/>
      <c r="BA102" s="706"/>
      <c r="BB102" s="702"/>
      <c r="BC102" s="702"/>
      <c r="BD102" s="702"/>
      <c r="BE102" s="702"/>
      <c r="BF102" s="702"/>
      <c r="BG102" s="702"/>
      <c r="BH102" s="702"/>
      <c r="BI102" s="702"/>
      <c r="BJ102" s="702"/>
      <c r="BK102" s="702"/>
      <c r="BL102" s="702"/>
      <c r="BM102" s="702"/>
      <c r="BN102" s="706"/>
      <c r="BO102" s="702"/>
      <c r="BP102" s="702"/>
      <c r="BQ102" s="702"/>
      <c r="BR102" s="702"/>
      <c r="BS102" s="702"/>
      <c r="BT102" s="702"/>
      <c r="BU102" s="702"/>
      <c r="BV102" s="702"/>
      <c r="BW102" s="702"/>
      <c r="BX102" s="702"/>
      <c r="BY102" s="702"/>
      <c r="BZ102" s="702"/>
      <c r="CA102" s="706"/>
      <c r="CB102" s="702"/>
      <c r="CC102" s="702"/>
      <c r="CD102" s="702"/>
      <c r="CE102" s="702"/>
      <c r="CF102" s="702"/>
      <c r="CG102" s="702"/>
      <c r="CH102" s="702"/>
      <c r="CI102" s="702"/>
      <c r="CJ102" s="702"/>
      <c r="CK102" s="702"/>
      <c r="CL102" s="702"/>
      <c r="CM102" s="702"/>
      <c r="CN102" s="706"/>
      <c r="CO102" s="702"/>
      <c r="CP102" s="702"/>
      <c r="CQ102" s="702"/>
      <c r="CR102" s="702"/>
      <c r="CS102" s="702"/>
      <c r="CT102" s="702"/>
      <c r="CU102" s="702"/>
      <c r="CV102" s="702"/>
      <c r="CW102" s="702"/>
      <c r="CX102" s="702"/>
      <c r="CY102" s="702"/>
      <c r="CZ102" s="702"/>
      <c r="DA102" s="706"/>
      <c r="DB102" s="702"/>
      <c r="DC102" s="702"/>
      <c r="DD102" s="702"/>
      <c r="DE102" s="702"/>
      <c r="DF102" s="702"/>
      <c r="DG102" s="702"/>
      <c r="DH102" s="702"/>
      <c r="DI102" s="702"/>
      <c r="DJ102" s="702"/>
      <c r="DK102" s="702"/>
      <c r="DL102" s="702"/>
      <c r="DM102" s="702"/>
      <c r="DN102" s="706"/>
      <c r="DO102" s="702"/>
      <c r="DP102" s="702"/>
      <c r="DQ102" s="702"/>
      <c r="DR102" s="702"/>
      <c r="DS102" s="702"/>
      <c r="DT102" s="702"/>
      <c r="DU102" s="702"/>
      <c r="DV102" s="702"/>
      <c r="DW102" s="702"/>
      <c r="DX102" s="702"/>
      <c r="DY102" s="702"/>
      <c r="DZ102" s="702"/>
      <c r="EA102" s="706"/>
      <c r="EB102" s="702"/>
      <c r="EC102" s="702"/>
      <c r="ED102" s="702"/>
      <c r="EE102" s="702"/>
      <c r="EF102" s="702"/>
      <c r="EG102" s="702"/>
      <c r="EH102" s="702"/>
      <c r="EI102" s="702"/>
      <c r="EJ102" s="702"/>
      <c r="EK102" s="702"/>
      <c r="EL102" s="702"/>
      <c r="EM102" s="702"/>
      <c r="EN102" s="706"/>
      <c r="EO102" s="702"/>
      <c r="EP102" s="702"/>
      <c r="EQ102" s="702"/>
      <c r="ER102" s="702"/>
      <c r="ES102" s="702"/>
      <c r="ET102" s="702"/>
      <c r="EU102" s="702"/>
      <c r="EV102" s="702"/>
      <c r="EW102" s="702"/>
      <c r="EX102" s="702"/>
      <c r="EY102" s="702"/>
      <c r="EZ102" s="702"/>
      <c r="FA102" s="706"/>
      <c r="FN102" s="855"/>
      <c r="FO102" s="855"/>
      <c r="GP102" s="845"/>
      <c r="GQ102" s="845"/>
      <c r="GR102" s="845"/>
      <c r="GS102" s="845"/>
      <c r="GT102" s="845"/>
      <c r="GU102" s="845"/>
      <c r="GV102" s="845"/>
      <c r="GW102" s="845"/>
      <c r="GX102" s="845"/>
      <c r="GY102" s="845"/>
    </row>
    <row r="103" spans="1:207" x14ac:dyDescent="0.35">
      <c r="A103" s="838"/>
      <c r="B103" s="701">
        <f>IF('2 MEDIA ALTURA'!C27='2 MEDIA ALTURA'!$B$47,IF('2 MEDIA ALTURA'!C$34=28,IF('2 MEDIA ALTURA'!C26=40,1,0)))*'2 MEDIA ALTURA'!C$35</f>
        <v>0</v>
      </c>
      <c r="C103" s="701">
        <f>IF('2 MEDIA ALTURA'!D27='2 MEDIA ALTURA'!$B$47,IF('2 MEDIA ALTURA'!D$34=28,IF('2 MEDIA ALTURA'!D26=40,1,0)))*'2 MEDIA ALTURA'!D$35</f>
        <v>0</v>
      </c>
      <c r="D103" s="701">
        <f>IF('2 MEDIA ALTURA'!E27='2 MEDIA ALTURA'!$B$47,IF('2 MEDIA ALTURA'!E$34=28,IF('2 MEDIA ALTURA'!E26=40,1,0)))*'2 MEDIA ALTURA'!E$35</f>
        <v>0</v>
      </c>
      <c r="E103" s="701">
        <f>IF('2 MEDIA ALTURA'!F27='2 MEDIA ALTURA'!$B$47,IF('2 MEDIA ALTURA'!F$34=28,IF('2 MEDIA ALTURA'!F26=40,1,0)))*'2 MEDIA ALTURA'!F$35</f>
        <v>0</v>
      </c>
      <c r="F103" s="701">
        <f>IF('2 MEDIA ALTURA'!G27='2 MEDIA ALTURA'!$B$47,IF('2 MEDIA ALTURA'!G$34=28,IF('2 MEDIA ALTURA'!G26=40,1,0)))*'2 MEDIA ALTURA'!G$35</f>
        <v>0</v>
      </c>
      <c r="G103" s="701">
        <f>IF('2 MEDIA ALTURA'!H27='2 MEDIA ALTURA'!$B$47,IF('2 MEDIA ALTURA'!H$34=28,IF('2 MEDIA ALTURA'!H26=40,1,0)))*'2 MEDIA ALTURA'!H$35</f>
        <v>0</v>
      </c>
      <c r="H103" s="701">
        <f>IF('2 MEDIA ALTURA'!I27='2 MEDIA ALTURA'!$B$47,IF('2 MEDIA ALTURA'!I$34=28,IF('2 MEDIA ALTURA'!I26=40,1,0)))*'2 MEDIA ALTURA'!I$35</f>
        <v>0</v>
      </c>
      <c r="I103" s="701">
        <f>IF('2 MEDIA ALTURA'!J27='2 MEDIA ALTURA'!$B$47,IF('2 MEDIA ALTURA'!J$34=28,IF('2 MEDIA ALTURA'!J26=40,1,0)))*'2 MEDIA ALTURA'!J$35</f>
        <v>0</v>
      </c>
      <c r="J103" s="701">
        <f>IF('2 MEDIA ALTURA'!K27='2 MEDIA ALTURA'!$B$47,IF('2 MEDIA ALTURA'!K$34=28,IF('2 MEDIA ALTURA'!K26=40,1,0)))*'2 MEDIA ALTURA'!K$35</f>
        <v>0</v>
      </c>
      <c r="K103" s="701">
        <f>IF('2 MEDIA ALTURA'!L27='2 MEDIA ALTURA'!$B$47,IF('2 MEDIA ALTURA'!L$34=28,IF('2 MEDIA ALTURA'!L26=40,1,0)))*'2 MEDIA ALTURA'!L$35</f>
        <v>0</v>
      </c>
      <c r="L103" s="701">
        <f>IF('2 MEDIA ALTURA'!M27='2 MEDIA ALTURA'!$B$47,IF('2 MEDIA ALTURA'!M$34=28,IF('2 MEDIA ALTURA'!M26=40,1,0)))*'2 MEDIA ALTURA'!M$35</f>
        <v>0</v>
      </c>
      <c r="M103" s="701">
        <f>IF('2 MEDIA ALTURA'!N27='2 MEDIA ALTURA'!$B$47,IF('2 MEDIA ALTURA'!N$34=28,IF('2 MEDIA ALTURA'!N26=40,1,0)))*'2 MEDIA ALTURA'!N$35</f>
        <v>0</v>
      </c>
      <c r="N103" s="706"/>
      <c r="O103" s="701">
        <f>IF('2 MEDIA ALTURA'!C27='2 MEDIA ALTURA'!$B$47,IF('2 MEDIA ALTURA'!C$34=30,IF('2 MEDIA ALTURA'!C26=40,1,0)))*'2 MEDIA ALTURA'!C$35</f>
        <v>0</v>
      </c>
      <c r="P103" s="701">
        <f>IF('2 MEDIA ALTURA'!D27='2 MEDIA ALTURA'!$B$47,IF('2 MEDIA ALTURA'!D$34=30,IF('2 MEDIA ALTURA'!D26=40,1,0)))*'2 MEDIA ALTURA'!D$35</f>
        <v>0</v>
      </c>
      <c r="Q103" s="701">
        <f>IF('2 MEDIA ALTURA'!E27='2 MEDIA ALTURA'!$B$47,IF('2 MEDIA ALTURA'!E$34=30,IF('2 MEDIA ALTURA'!E26=40,1,0)))*'2 MEDIA ALTURA'!E$35</f>
        <v>0</v>
      </c>
      <c r="R103" s="701">
        <f>IF('2 MEDIA ALTURA'!F27='2 MEDIA ALTURA'!$B$47,IF('2 MEDIA ALTURA'!F$34=30,IF('2 MEDIA ALTURA'!F26=40,1,0)))*'2 MEDIA ALTURA'!F$35</f>
        <v>0</v>
      </c>
      <c r="S103" s="701">
        <f>IF('2 MEDIA ALTURA'!G27='2 MEDIA ALTURA'!$B$47,IF('2 MEDIA ALTURA'!G$34=30,IF('2 MEDIA ALTURA'!G26=40,1,0)))*'2 MEDIA ALTURA'!G$35</f>
        <v>0</v>
      </c>
      <c r="T103" s="701">
        <f>IF('2 MEDIA ALTURA'!H27='2 MEDIA ALTURA'!$B$47,IF('2 MEDIA ALTURA'!H$34=30,IF('2 MEDIA ALTURA'!H26=40,1,0)))*'2 MEDIA ALTURA'!H$35</f>
        <v>0</v>
      </c>
      <c r="U103" s="701">
        <f>IF('2 MEDIA ALTURA'!I27='2 MEDIA ALTURA'!$B$47,IF('2 MEDIA ALTURA'!I$34=30,IF('2 MEDIA ALTURA'!I26=40,1,0)))*'2 MEDIA ALTURA'!I$35</f>
        <v>0</v>
      </c>
      <c r="V103" s="701">
        <f>IF('2 MEDIA ALTURA'!J27='2 MEDIA ALTURA'!$B$47,IF('2 MEDIA ALTURA'!J$34=30,IF('2 MEDIA ALTURA'!J26=40,1,0)))*'2 MEDIA ALTURA'!J$35</f>
        <v>0</v>
      </c>
      <c r="W103" s="701">
        <f>IF('2 MEDIA ALTURA'!K27='2 MEDIA ALTURA'!$B$47,IF('2 MEDIA ALTURA'!K$34=30,IF('2 MEDIA ALTURA'!K26=40,1,0)))*'2 MEDIA ALTURA'!K$35</f>
        <v>0</v>
      </c>
      <c r="X103" s="701">
        <f>IF('2 MEDIA ALTURA'!L27='2 MEDIA ALTURA'!$B$47,IF('2 MEDIA ALTURA'!L$34=30,IF('2 MEDIA ALTURA'!L26=40,1,0)))*'2 MEDIA ALTURA'!L$35</f>
        <v>0</v>
      </c>
      <c r="Y103" s="701">
        <f>IF('2 MEDIA ALTURA'!M27='2 MEDIA ALTURA'!$B$47,IF('2 MEDIA ALTURA'!M$34=30,IF('2 MEDIA ALTURA'!M26=40,1,0)))*'2 MEDIA ALTURA'!M$35</f>
        <v>0</v>
      </c>
      <c r="Z103" s="701">
        <f>IF('2 MEDIA ALTURA'!N27='2 MEDIA ALTURA'!$B$47,IF('2 MEDIA ALTURA'!N$34=30,IF('2 MEDIA ALTURA'!N26=40,1,0)))*'2 MEDIA ALTURA'!N$35</f>
        <v>0</v>
      </c>
      <c r="AA103" s="706"/>
      <c r="AB103" s="701">
        <f>IF('2 MEDIA ALTURA'!C27='2 MEDIA ALTURA'!$B$47,IF('2 MEDIA ALTURA'!C$34=56,IF('2 MEDIA ALTURA'!C26=40,1,0)))*'2 MEDIA ALTURA'!C$35</f>
        <v>0</v>
      </c>
      <c r="AC103" s="701">
        <f>IF('2 MEDIA ALTURA'!D27='2 MEDIA ALTURA'!$B$47,IF('2 MEDIA ALTURA'!D$34=56,IF('2 MEDIA ALTURA'!D26=40,1,0)))*'2 MEDIA ALTURA'!D$35</f>
        <v>0</v>
      </c>
      <c r="AD103" s="701">
        <f>IF('2 MEDIA ALTURA'!E27='2 MEDIA ALTURA'!$B$47,IF('2 MEDIA ALTURA'!E$34=56,IF('2 MEDIA ALTURA'!E26=40,1,0)))*'2 MEDIA ALTURA'!E$35</f>
        <v>0</v>
      </c>
      <c r="AE103" s="701">
        <f>IF('2 MEDIA ALTURA'!F27='2 MEDIA ALTURA'!$B$47,IF('2 MEDIA ALTURA'!F$34=56,IF('2 MEDIA ALTURA'!F26=40,1,0)))*'2 MEDIA ALTURA'!F$35</f>
        <v>0</v>
      </c>
      <c r="AF103" s="701">
        <f>IF('2 MEDIA ALTURA'!G27='2 MEDIA ALTURA'!$B$47,IF('2 MEDIA ALTURA'!G$34=56,IF('2 MEDIA ALTURA'!G26=40,1,0)))*'2 MEDIA ALTURA'!G$35</f>
        <v>0</v>
      </c>
      <c r="AG103" s="701">
        <f>IF('2 MEDIA ALTURA'!H27='2 MEDIA ALTURA'!$B$47,IF('2 MEDIA ALTURA'!H$34=56,IF('2 MEDIA ALTURA'!H26=40,1,0)))*'2 MEDIA ALTURA'!H$35</f>
        <v>0</v>
      </c>
      <c r="AH103" s="701">
        <f>IF('2 MEDIA ALTURA'!I27='2 MEDIA ALTURA'!$B$47,IF('2 MEDIA ALTURA'!I$34=56,IF('2 MEDIA ALTURA'!I26=40,1,0)))*'2 MEDIA ALTURA'!I$35</f>
        <v>0</v>
      </c>
      <c r="AI103" s="701">
        <f>IF('2 MEDIA ALTURA'!J27='2 MEDIA ALTURA'!$B$47,IF('2 MEDIA ALTURA'!J$34=56,IF('2 MEDIA ALTURA'!J26=40,1,0)))*'2 MEDIA ALTURA'!J$35</f>
        <v>0</v>
      </c>
      <c r="AJ103" s="701">
        <f>IF('2 MEDIA ALTURA'!K27='2 MEDIA ALTURA'!$B$47,IF('2 MEDIA ALTURA'!K$34=56,IF('2 MEDIA ALTURA'!K26=40,1,0)))*'2 MEDIA ALTURA'!K$35</f>
        <v>0</v>
      </c>
      <c r="AK103" s="701">
        <f>IF('2 MEDIA ALTURA'!L27='2 MEDIA ALTURA'!$B$47,IF('2 MEDIA ALTURA'!L$34=56,IF('2 MEDIA ALTURA'!L26=40,1,0)))*'2 MEDIA ALTURA'!L$35</f>
        <v>0</v>
      </c>
      <c r="AL103" s="701">
        <f>IF('2 MEDIA ALTURA'!M27='2 MEDIA ALTURA'!$B$47,IF('2 MEDIA ALTURA'!M$34=56,IF('2 MEDIA ALTURA'!M26=40,1,0)))*'2 MEDIA ALTURA'!M$35</f>
        <v>0</v>
      </c>
      <c r="AM103" s="701">
        <f>IF('2 MEDIA ALTURA'!N27='2 MEDIA ALTURA'!$B$47,IF('2 MEDIA ALTURA'!N$34=56,IF('2 MEDIA ALTURA'!N26=40,1,0)))*'2 MEDIA ALTURA'!N$35</f>
        <v>0</v>
      </c>
      <c r="AN103" s="706"/>
      <c r="AO103" s="701">
        <f>IF('2 MEDIA ALTURA'!C27='2 MEDIA ALTURA'!$B$47,IF('2 MEDIA ALTURA'!C$34=60,IF('2 MEDIA ALTURA'!C26=40,1,0)))*'2 MEDIA ALTURA'!C$35</f>
        <v>0</v>
      </c>
      <c r="AP103" s="701">
        <f>IF('2 MEDIA ALTURA'!D27='2 MEDIA ALTURA'!$B$47,IF('2 MEDIA ALTURA'!D$34=60,IF('2 MEDIA ALTURA'!D26=40,1,0)))*'2 MEDIA ALTURA'!D$35</f>
        <v>0</v>
      </c>
      <c r="AQ103" s="701">
        <f>IF('2 MEDIA ALTURA'!E27='2 MEDIA ALTURA'!$B$47,IF('2 MEDIA ALTURA'!E$34=60,IF('2 MEDIA ALTURA'!E26=40,1,0)))*'2 MEDIA ALTURA'!E$35</f>
        <v>0</v>
      </c>
      <c r="AR103" s="701">
        <f>IF('2 MEDIA ALTURA'!F27='2 MEDIA ALTURA'!$B$47,IF('2 MEDIA ALTURA'!F$34=60,IF('2 MEDIA ALTURA'!F26=40,1,0)))*'2 MEDIA ALTURA'!F$35</f>
        <v>0</v>
      </c>
      <c r="AS103" s="701">
        <f>IF('2 MEDIA ALTURA'!G27='2 MEDIA ALTURA'!$B$47,IF('2 MEDIA ALTURA'!G$34=60,IF('2 MEDIA ALTURA'!G26=40,1,0)))*'2 MEDIA ALTURA'!G$35</f>
        <v>0</v>
      </c>
      <c r="AT103" s="701">
        <f>IF('2 MEDIA ALTURA'!H27='2 MEDIA ALTURA'!$B$47,IF('2 MEDIA ALTURA'!H$34=60,IF('2 MEDIA ALTURA'!H26=40,1,0)))*'2 MEDIA ALTURA'!H$35</f>
        <v>0</v>
      </c>
      <c r="AU103" s="701">
        <f>IF('2 MEDIA ALTURA'!I27='2 MEDIA ALTURA'!$B$47,IF('2 MEDIA ALTURA'!I$34=60,IF('2 MEDIA ALTURA'!I26=40,1,0)))*'2 MEDIA ALTURA'!I$35</f>
        <v>0</v>
      </c>
      <c r="AV103" s="701">
        <f>IF('2 MEDIA ALTURA'!J27='2 MEDIA ALTURA'!$B$47,IF('2 MEDIA ALTURA'!J$34=60,IF('2 MEDIA ALTURA'!J26=40,1,0)))*'2 MEDIA ALTURA'!J$35</f>
        <v>0</v>
      </c>
      <c r="AW103" s="701">
        <f>IF('2 MEDIA ALTURA'!K27='2 MEDIA ALTURA'!$B$47,IF('2 MEDIA ALTURA'!K$34=60,IF('2 MEDIA ALTURA'!K26=40,1,0)))*'2 MEDIA ALTURA'!K$35</f>
        <v>0</v>
      </c>
      <c r="AX103" s="701">
        <f>IF('2 MEDIA ALTURA'!L27='2 MEDIA ALTURA'!$B$47,IF('2 MEDIA ALTURA'!L$34=60,IF('2 MEDIA ALTURA'!L26=40,1,0)))*'2 MEDIA ALTURA'!L$35</f>
        <v>0</v>
      </c>
      <c r="AY103" s="701">
        <f>IF('2 MEDIA ALTURA'!M27='2 MEDIA ALTURA'!$B$47,IF('2 MEDIA ALTURA'!M$34=60,IF('2 MEDIA ALTURA'!M26=40,1,0)))*'2 MEDIA ALTURA'!M$35</f>
        <v>0</v>
      </c>
      <c r="AZ103" s="701">
        <f>IF('2 MEDIA ALTURA'!N27='2 MEDIA ALTURA'!$B$47,IF('2 MEDIA ALTURA'!N$34=60,IF('2 MEDIA ALTURA'!N26=40,1,0)))*'2 MEDIA ALTURA'!N$35</f>
        <v>0</v>
      </c>
      <c r="BA103" s="706"/>
      <c r="BB103" s="701">
        <f>IF('2 MEDIA ALTURA'!C27='2 MEDIA ALTURA'!$B$47,IF('2 MEDIA ALTURA'!C$34=70,IF('2 MEDIA ALTURA'!C26=40,1,0)))*'2 MEDIA ALTURA'!C$35</f>
        <v>0</v>
      </c>
      <c r="BC103" s="701">
        <f>IF('2 MEDIA ALTURA'!D27='2 MEDIA ALTURA'!$B$47,IF('2 MEDIA ALTURA'!D$34=70,IF('2 MEDIA ALTURA'!D26=40,1,0)))*'2 MEDIA ALTURA'!D$35</f>
        <v>0</v>
      </c>
      <c r="BD103" s="701">
        <f>IF('2 MEDIA ALTURA'!E27='2 MEDIA ALTURA'!$B$47,IF('2 MEDIA ALTURA'!E$34=70,IF('2 MEDIA ALTURA'!E26=40,1,0)))*'2 MEDIA ALTURA'!E$35</f>
        <v>0</v>
      </c>
      <c r="BE103" s="701">
        <f>IF('2 MEDIA ALTURA'!F27='2 MEDIA ALTURA'!$B$47,IF('2 MEDIA ALTURA'!F$34=70,IF('2 MEDIA ALTURA'!F26=40,1,0)))*'2 MEDIA ALTURA'!F$35</f>
        <v>0</v>
      </c>
      <c r="BF103" s="701">
        <f>IF('2 MEDIA ALTURA'!G27='2 MEDIA ALTURA'!$B$47,IF('2 MEDIA ALTURA'!G$34=70,IF('2 MEDIA ALTURA'!G26=40,1,0)))*'2 MEDIA ALTURA'!G$35</f>
        <v>0</v>
      </c>
      <c r="BG103" s="701">
        <f>IF('2 MEDIA ALTURA'!H27='2 MEDIA ALTURA'!$B$47,IF('2 MEDIA ALTURA'!H$34=70,IF('2 MEDIA ALTURA'!H26=40,1,0)))*'2 MEDIA ALTURA'!H$35</f>
        <v>0</v>
      </c>
      <c r="BH103" s="701">
        <f>IF('2 MEDIA ALTURA'!I27='2 MEDIA ALTURA'!$B$47,IF('2 MEDIA ALTURA'!I$34=70,IF('2 MEDIA ALTURA'!I26=40,1,0)))*'2 MEDIA ALTURA'!I$35</f>
        <v>0</v>
      </c>
      <c r="BI103" s="701">
        <f>IF('2 MEDIA ALTURA'!J27='2 MEDIA ALTURA'!$B$47,IF('2 MEDIA ALTURA'!J$34=70,IF('2 MEDIA ALTURA'!J26=40,1,0)))*'2 MEDIA ALTURA'!J$35</f>
        <v>0</v>
      </c>
      <c r="BJ103" s="701">
        <f>IF('2 MEDIA ALTURA'!K27='2 MEDIA ALTURA'!$B$47,IF('2 MEDIA ALTURA'!K$34=70,IF('2 MEDIA ALTURA'!K26=40,1,0)))*'2 MEDIA ALTURA'!K$35</f>
        <v>0</v>
      </c>
      <c r="BK103" s="701">
        <f>IF('2 MEDIA ALTURA'!L27='2 MEDIA ALTURA'!$B$47,IF('2 MEDIA ALTURA'!L$34=70,IF('2 MEDIA ALTURA'!L26=40,1,0)))*'2 MEDIA ALTURA'!L$35</f>
        <v>0</v>
      </c>
      <c r="BL103" s="701">
        <f>IF('2 MEDIA ALTURA'!M27='2 MEDIA ALTURA'!$B$47,IF('2 MEDIA ALTURA'!M$34=70,IF('2 MEDIA ALTURA'!M26=40,1,0)))*'2 MEDIA ALTURA'!M$35</f>
        <v>0</v>
      </c>
      <c r="BM103" s="701">
        <f>IF('2 MEDIA ALTURA'!N27='2 MEDIA ALTURA'!$B$47,IF('2 MEDIA ALTURA'!N$34=70,IF('2 MEDIA ALTURA'!N26=40,1,0)))*'2 MEDIA ALTURA'!N$35</f>
        <v>0</v>
      </c>
      <c r="BN103" s="706"/>
      <c r="BO103" s="701">
        <f>IF('2 MEDIA ALTURA'!C27='2 MEDIA ALTURA'!$B$47,IF('2 MEDIA ALTURA'!C$34=75,IF('2 MEDIA ALTURA'!C26=40,1,0)))*'2 MEDIA ALTURA'!C$35</f>
        <v>0</v>
      </c>
      <c r="BP103" s="701">
        <f>IF('2 MEDIA ALTURA'!D27='2 MEDIA ALTURA'!$B$47,IF('2 MEDIA ALTURA'!D$34=75,IF('2 MEDIA ALTURA'!D26=40,1,0)))*'2 MEDIA ALTURA'!D$35</f>
        <v>0</v>
      </c>
      <c r="BQ103" s="701">
        <f>IF('2 MEDIA ALTURA'!E27='2 MEDIA ALTURA'!$B$47,IF('2 MEDIA ALTURA'!E$34=75,IF('2 MEDIA ALTURA'!E26=40,1,0)))*'2 MEDIA ALTURA'!E$35</f>
        <v>0</v>
      </c>
      <c r="BR103" s="701">
        <f>IF('2 MEDIA ALTURA'!F27='2 MEDIA ALTURA'!$B$47,IF('2 MEDIA ALTURA'!F$34=75,IF('2 MEDIA ALTURA'!F26=40,1,0)))*'2 MEDIA ALTURA'!F$35</f>
        <v>0</v>
      </c>
      <c r="BS103" s="701">
        <f>IF('2 MEDIA ALTURA'!G27='2 MEDIA ALTURA'!$B$47,IF('2 MEDIA ALTURA'!G$34=75,IF('2 MEDIA ALTURA'!G26=40,1,0)))*'2 MEDIA ALTURA'!G$35</f>
        <v>0</v>
      </c>
      <c r="BT103" s="701">
        <f>IF('2 MEDIA ALTURA'!H27='2 MEDIA ALTURA'!$B$47,IF('2 MEDIA ALTURA'!H$34=75,IF('2 MEDIA ALTURA'!H26=40,1,0)))*'2 MEDIA ALTURA'!H$35</f>
        <v>0</v>
      </c>
      <c r="BU103" s="701">
        <f>IF('2 MEDIA ALTURA'!I27='2 MEDIA ALTURA'!$B$47,IF('2 MEDIA ALTURA'!I$34=75,IF('2 MEDIA ALTURA'!I26=40,1,0)))*'2 MEDIA ALTURA'!I$35</f>
        <v>0</v>
      </c>
      <c r="BV103" s="701">
        <f>IF('2 MEDIA ALTURA'!J27='2 MEDIA ALTURA'!$B$47,IF('2 MEDIA ALTURA'!J$34=75,IF('2 MEDIA ALTURA'!J26=40,1,0)))*'2 MEDIA ALTURA'!J$35</f>
        <v>0</v>
      </c>
      <c r="BW103" s="701">
        <f>IF('2 MEDIA ALTURA'!K27='2 MEDIA ALTURA'!$B$47,IF('2 MEDIA ALTURA'!K$34=75,IF('2 MEDIA ALTURA'!K26=40,1,0)))*'2 MEDIA ALTURA'!K$35</f>
        <v>0</v>
      </c>
      <c r="BX103" s="701">
        <f>IF('2 MEDIA ALTURA'!L27='2 MEDIA ALTURA'!$B$47,IF('2 MEDIA ALTURA'!L$34=75,IF('2 MEDIA ALTURA'!L26=40,1,0)))*'2 MEDIA ALTURA'!L$35</f>
        <v>0</v>
      </c>
      <c r="BY103" s="701">
        <f>IF('2 MEDIA ALTURA'!M27='2 MEDIA ALTURA'!$B$47,IF('2 MEDIA ALTURA'!M$34=75,IF('2 MEDIA ALTURA'!M26=40,1,0)))*'2 MEDIA ALTURA'!M$35</f>
        <v>0</v>
      </c>
      <c r="BZ103" s="701">
        <f>IF('2 MEDIA ALTURA'!N27='2 MEDIA ALTURA'!$B$47,IF('2 MEDIA ALTURA'!N$34=75,IF('2 MEDIA ALTURA'!N26=40,1,0)))*'2 MEDIA ALTURA'!N$35</f>
        <v>0</v>
      </c>
      <c r="CA103" s="706"/>
      <c r="CB103" s="701">
        <f>IF('2 MEDIA ALTURA'!C27='2 MEDIA ALTURA'!$B$47,IF('2 MEDIA ALTURA'!C$34=84,IF('2 MEDIA ALTURA'!C26=40,1,0)))*'2 MEDIA ALTURA'!C$35</f>
        <v>0</v>
      </c>
      <c r="CC103" s="701">
        <f>IF('2 MEDIA ALTURA'!D27='2 MEDIA ALTURA'!$B$47,IF('2 MEDIA ALTURA'!D$34=84,IF('2 MEDIA ALTURA'!D26=40,1,0)))*'2 MEDIA ALTURA'!D$35</f>
        <v>0</v>
      </c>
      <c r="CD103" s="701">
        <f>IF('2 MEDIA ALTURA'!E27='2 MEDIA ALTURA'!$B$47,IF('2 MEDIA ALTURA'!E$34=84,IF('2 MEDIA ALTURA'!E26=40,1,0)))*'2 MEDIA ALTURA'!E$35</f>
        <v>0</v>
      </c>
      <c r="CE103" s="701">
        <f>IF('2 MEDIA ALTURA'!F27='2 MEDIA ALTURA'!$B$47,IF('2 MEDIA ALTURA'!F$34=84,IF('2 MEDIA ALTURA'!F26=40,1,0)))*'2 MEDIA ALTURA'!F$35</f>
        <v>0</v>
      </c>
      <c r="CF103" s="701">
        <f>IF('2 MEDIA ALTURA'!G27='2 MEDIA ALTURA'!$B$47,IF('2 MEDIA ALTURA'!G$34=84,IF('2 MEDIA ALTURA'!G26=40,1,0)))*'2 MEDIA ALTURA'!G$35</f>
        <v>0</v>
      </c>
      <c r="CG103" s="701">
        <f>IF('2 MEDIA ALTURA'!H27='2 MEDIA ALTURA'!$B$47,IF('2 MEDIA ALTURA'!H$34=84,IF('2 MEDIA ALTURA'!H26=40,1,0)))*'2 MEDIA ALTURA'!H$35</f>
        <v>0</v>
      </c>
      <c r="CH103" s="701">
        <f>IF('2 MEDIA ALTURA'!I27='2 MEDIA ALTURA'!$B$47,IF('2 MEDIA ALTURA'!I$34=84,IF('2 MEDIA ALTURA'!I26=40,1,0)))*'2 MEDIA ALTURA'!I$35</f>
        <v>0</v>
      </c>
      <c r="CI103" s="701">
        <f>IF('2 MEDIA ALTURA'!J27='2 MEDIA ALTURA'!$B$47,IF('2 MEDIA ALTURA'!J$34=84,IF('2 MEDIA ALTURA'!J26=40,1,0)))*'2 MEDIA ALTURA'!J$35</f>
        <v>0</v>
      </c>
      <c r="CJ103" s="701">
        <f>IF('2 MEDIA ALTURA'!K27='2 MEDIA ALTURA'!$B$47,IF('2 MEDIA ALTURA'!K$34=84,IF('2 MEDIA ALTURA'!K26=40,1,0)))*'2 MEDIA ALTURA'!K$35</f>
        <v>0</v>
      </c>
      <c r="CK103" s="701">
        <f>IF('2 MEDIA ALTURA'!L27='2 MEDIA ALTURA'!$B$47,IF('2 MEDIA ALTURA'!L$34=84,IF('2 MEDIA ALTURA'!L26=40,1,0)))*'2 MEDIA ALTURA'!L$35</f>
        <v>0</v>
      </c>
      <c r="CL103" s="701">
        <f>IF('2 MEDIA ALTURA'!M27='2 MEDIA ALTURA'!$B$47,IF('2 MEDIA ALTURA'!M$34=84,IF('2 MEDIA ALTURA'!M26=40,1,0)))*'2 MEDIA ALTURA'!M$35</f>
        <v>0</v>
      </c>
      <c r="CM103" s="701">
        <f>IF('2 MEDIA ALTURA'!N27='2 MEDIA ALTURA'!$B$47,IF('2 MEDIA ALTURA'!N$34=84,IF('2 MEDIA ALTURA'!N26=40,1,0)))*'2 MEDIA ALTURA'!N$35</f>
        <v>0</v>
      </c>
      <c r="CN103" s="706"/>
      <c r="CO103" s="701">
        <f>IF('2 MEDIA ALTURA'!C27='2 MEDIA ALTURA'!$B$47,IF('2 MEDIA ALTURA'!C$34=90,IF('2 MEDIA ALTURA'!C26=40,1,0)))*'2 MEDIA ALTURA'!C$35</f>
        <v>0</v>
      </c>
      <c r="CP103" s="701">
        <f>IF('2 MEDIA ALTURA'!D27='2 MEDIA ALTURA'!$B$47,IF('2 MEDIA ALTURA'!D$34=90,IF('2 MEDIA ALTURA'!D26=40,1,0)))*'2 MEDIA ALTURA'!D$35</f>
        <v>0</v>
      </c>
      <c r="CQ103" s="701">
        <f>IF('2 MEDIA ALTURA'!E27='2 MEDIA ALTURA'!$B$47,IF('2 MEDIA ALTURA'!E$34=90,IF('2 MEDIA ALTURA'!E26=40,1,0)))*'2 MEDIA ALTURA'!E$35</f>
        <v>0</v>
      </c>
      <c r="CR103" s="701">
        <f>IF('2 MEDIA ALTURA'!F27='2 MEDIA ALTURA'!$B$47,IF('2 MEDIA ALTURA'!F$34=90,IF('2 MEDIA ALTURA'!F26=40,1,0)))*'2 MEDIA ALTURA'!F$35</f>
        <v>0</v>
      </c>
      <c r="CS103" s="701">
        <f>IF('2 MEDIA ALTURA'!G27='2 MEDIA ALTURA'!$B$47,IF('2 MEDIA ALTURA'!G$34=90,IF('2 MEDIA ALTURA'!G26=40,1,0)))*'2 MEDIA ALTURA'!G$35</f>
        <v>0</v>
      </c>
      <c r="CT103" s="701">
        <f>IF('2 MEDIA ALTURA'!H27='2 MEDIA ALTURA'!$B$47,IF('2 MEDIA ALTURA'!H$34=90,IF('2 MEDIA ALTURA'!H26=40,1,0)))*'2 MEDIA ALTURA'!H$35</f>
        <v>0</v>
      </c>
      <c r="CU103" s="701">
        <f>IF('2 MEDIA ALTURA'!I27='2 MEDIA ALTURA'!$B$47,IF('2 MEDIA ALTURA'!I$34=90,IF('2 MEDIA ALTURA'!I26=40,1,0)))*'2 MEDIA ALTURA'!I$35</f>
        <v>0</v>
      </c>
      <c r="CV103" s="701">
        <f>IF('2 MEDIA ALTURA'!J27='2 MEDIA ALTURA'!$B$47,IF('2 MEDIA ALTURA'!J$34=90,IF('2 MEDIA ALTURA'!J26=40,1,0)))*'2 MEDIA ALTURA'!J$35</f>
        <v>0</v>
      </c>
      <c r="CW103" s="701">
        <f>IF('2 MEDIA ALTURA'!K27='2 MEDIA ALTURA'!$B$47,IF('2 MEDIA ALTURA'!K$34=90,IF('2 MEDIA ALTURA'!K26=40,1,0)))*'2 MEDIA ALTURA'!K$35</f>
        <v>0</v>
      </c>
      <c r="CX103" s="701">
        <f>IF('2 MEDIA ALTURA'!L27='2 MEDIA ALTURA'!$B$47,IF('2 MEDIA ALTURA'!L$34=90,IF('2 MEDIA ALTURA'!L26=40,1,0)))*'2 MEDIA ALTURA'!L$35</f>
        <v>0</v>
      </c>
      <c r="CY103" s="701">
        <f>IF('2 MEDIA ALTURA'!M27='2 MEDIA ALTURA'!$B$47,IF('2 MEDIA ALTURA'!M$34=90,IF('2 MEDIA ALTURA'!M26=40,1,0)))*'2 MEDIA ALTURA'!M$35</f>
        <v>0</v>
      </c>
      <c r="CZ103" s="701">
        <f>IF('2 MEDIA ALTURA'!N27='2 MEDIA ALTURA'!$B$47,IF('2 MEDIA ALTURA'!N$34=90,IF('2 MEDIA ALTURA'!N26=40,1,0)))*'2 MEDIA ALTURA'!N$35</f>
        <v>0</v>
      </c>
      <c r="DA103" s="706"/>
      <c r="DB103" s="701">
        <f>IF('2 MEDIA ALTURA'!C27='2 MEDIA ALTURA'!$B$47,IF('2 MEDIA ALTURA'!C$34=112,IF('2 MEDIA ALTURA'!C26=40,1,0)))*'2 MEDIA ALTURA'!C$35</f>
        <v>0</v>
      </c>
      <c r="DC103" s="701">
        <f>IF('2 MEDIA ALTURA'!D27='2 MEDIA ALTURA'!$B$47,IF('2 MEDIA ALTURA'!D$34=112,IF('2 MEDIA ALTURA'!D26=40,1,0)))*'2 MEDIA ALTURA'!D$35</f>
        <v>0</v>
      </c>
      <c r="DD103" s="701">
        <f>IF('2 MEDIA ALTURA'!E27='2 MEDIA ALTURA'!$B$47,IF('2 MEDIA ALTURA'!E$34=112,IF('2 MEDIA ALTURA'!E26=40,1,0)))*'2 MEDIA ALTURA'!E$35</f>
        <v>0</v>
      </c>
      <c r="DE103" s="701">
        <f>IF('2 MEDIA ALTURA'!F27='2 MEDIA ALTURA'!$B$47,IF('2 MEDIA ALTURA'!F$34=112,IF('2 MEDIA ALTURA'!F26=40,1,0)))*'2 MEDIA ALTURA'!F$35</f>
        <v>0</v>
      </c>
      <c r="DF103" s="701">
        <f>IF('2 MEDIA ALTURA'!G27='2 MEDIA ALTURA'!$B$47,IF('2 MEDIA ALTURA'!G$34=112,IF('2 MEDIA ALTURA'!G26=40,1,0)))*'2 MEDIA ALTURA'!G$35</f>
        <v>0</v>
      </c>
      <c r="DG103" s="701">
        <f>IF('2 MEDIA ALTURA'!H27='2 MEDIA ALTURA'!$B$47,IF('2 MEDIA ALTURA'!H$34=112,IF('2 MEDIA ALTURA'!H26=40,1,0)))*'2 MEDIA ALTURA'!H$35</f>
        <v>0</v>
      </c>
      <c r="DH103" s="701">
        <f>IF('2 MEDIA ALTURA'!I27='2 MEDIA ALTURA'!$B$47,IF('2 MEDIA ALTURA'!I$34=112,IF('2 MEDIA ALTURA'!I26=40,1,0)))*'2 MEDIA ALTURA'!I$35</f>
        <v>0</v>
      </c>
      <c r="DI103" s="701">
        <f>IF('2 MEDIA ALTURA'!J27='2 MEDIA ALTURA'!$B$47,IF('2 MEDIA ALTURA'!J$34=112,IF('2 MEDIA ALTURA'!J26=40,1,0)))*'2 MEDIA ALTURA'!J$35</f>
        <v>0</v>
      </c>
      <c r="DJ103" s="701">
        <f>IF('2 MEDIA ALTURA'!K27='2 MEDIA ALTURA'!$B$47,IF('2 MEDIA ALTURA'!K$34=112,IF('2 MEDIA ALTURA'!K26=40,1,0)))*'2 MEDIA ALTURA'!K$35</f>
        <v>0</v>
      </c>
      <c r="DK103" s="701">
        <f>IF('2 MEDIA ALTURA'!L27='2 MEDIA ALTURA'!$B$47,IF('2 MEDIA ALTURA'!L$34=112,IF('2 MEDIA ALTURA'!L26=40,1,0)))*'2 MEDIA ALTURA'!L$35</f>
        <v>0</v>
      </c>
      <c r="DL103" s="701">
        <f>IF('2 MEDIA ALTURA'!M27='2 MEDIA ALTURA'!$B$47,IF('2 MEDIA ALTURA'!M$34=112,IF('2 MEDIA ALTURA'!M26=40,1,0)))*'2 MEDIA ALTURA'!M$35</f>
        <v>0</v>
      </c>
      <c r="DM103" s="701">
        <f>IF('2 MEDIA ALTURA'!N27='2 MEDIA ALTURA'!$B$47,IF('2 MEDIA ALTURA'!N$34=112,IF('2 MEDIA ALTURA'!N26=40,1,0)))*'2 MEDIA ALTURA'!N$35</f>
        <v>0</v>
      </c>
      <c r="DN103" s="706"/>
      <c r="DO103" s="701">
        <f>IF('2 MEDIA ALTURA'!C27='2 MEDIA ALTURA'!$B$47,IF('2 MEDIA ALTURA'!C$34=120,IF('2 MEDIA ALTURA'!C26=40,1,0)))*'2 MEDIA ALTURA'!C$35</f>
        <v>0</v>
      </c>
      <c r="DP103" s="701">
        <f>IF('2 MEDIA ALTURA'!D27='2 MEDIA ALTURA'!$B$47,IF('2 MEDIA ALTURA'!D$34=120,IF('2 MEDIA ALTURA'!D26=40,1,0)))*'2 MEDIA ALTURA'!D$35</f>
        <v>0</v>
      </c>
      <c r="DQ103" s="701">
        <f>IF('2 MEDIA ALTURA'!E27='2 MEDIA ALTURA'!$B$47,IF('2 MEDIA ALTURA'!E$34=120,IF('2 MEDIA ALTURA'!E26=40,1,0)))*'2 MEDIA ALTURA'!E$35</f>
        <v>0</v>
      </c>
      <c r="DR103" s="701">
        <f>IF('2 MEDIA ALTURA'!F27='2 MEDIA ALTURA'!$B$47,IF('2 MEDIA ALTURA'!F$34=120,IF('2 MEDIA ALTURA'!F26=40,1,0)))*'2 MEDIA ALTURA'!F$35</f>
        <v>0</v>
      </c>
      <c r="DS103" s="701">
        <f>IF('2 MEDIA ALTURA'!G27='2 MEDIA ALTURA'!$B$47,IF('2 MEDIA ALTURA'!G$34=120,IF('2 MEDIA ALTURA'!G26=40,1,0)))*'2 MEDIA ALTURA'!G$35</f>
        <v>0</v>
      </c>
      <c r="DT103" s="701">
        <f>IF('2 MEDIA ALTURA'!H27='2 MEDIA ALTURA'!$B$47,IF('2 MEDIA ALTURA'!H$34=120,IF('2 MEDIA ALTURA'!H26=40,1,0)))*'2 MEDIA ALTURA'!H$35</f>
        <v>0</v>
      </c>
      <c r="DU103" s="701">
        <f>IF('2 MEDIA ALTURA'!I27='2 MEDIA ALTURA'!$B$47,IF('2 MEDIA ALTURA'!I$34=120,IF('2 MEDIA ALTURA'!I26=40,1,0)))*'2 MEDIA ALTURA'!I$35</f>
        <v>0</v>
      </c>
      <c r="DV103" s="701">
        <f>IF('2 MEDIA ALTURA'!J27='2 MEDIA ALTURA'!$B$47,IF('2 MEDIA ALTURA'!J$34=120,IF('2 MEDIA ALTURA'!J26=40,1,0)))*'2 MEDIA ALTURA'!J$35</f>
        <v>0</v>
      </c>
      <c r="DW103" s="701">
        <f>IF('2 MEDIA ALTURA'!K27='2 MEDIA ALTURA'!$B$47,IF('2 MEDIA ALTURA'!K$34=120,IF('2 MEDIA ALTURA'!K26=40,1,0)))*'2 MEDIA ALTURA'!K$35</f>
        <v>0</v>
      </c>
      <c r="DX103" s="701">
        <f>IF('2 MEDIA ALTURA'!L27='2 MEDIA ALTURA'!$B$47,IF('2 MEDIA ALTURA'!L$34=120,IF('2 MEDIA ALTURA'!L26=40,1,0)))*'2 MEDIA ALTURA'!L$35</f>
        <v>0</v>
      </c>
      <c r="DY103" s="701">
        <f>IF('2 MEDIA ALTURA'!M27='2 MEDIA ALTURA'!$B$47,IF('2 MEDIA ALTURA'!M$34=120,IF('2 MEDIA ALTURA'!M26=40,1,0)))*'2 MEDIA ALTURA'!M$35</f>
        <v>0</v>
      </c>
      <c r="DZ103" s="701">
        <f>IF('2 MEDIA ALTURA'!N27='2 MEDIA ALTURA'!$B$47,IF('2 MEDIA ALTURA'!N$34=120,IF('2 MEDIA ALTURA'!N26=40,1,0)))*'2 MEDIA ALTURA'!N$35</f>
        <v>0</v>
      </c>
      <c r="EA103" s="706"/>
      <c r="EB103" s="701">
        <f>IF('2 MEDIA ALTURA'!C27='2 MEDIA ALTURA'!$B$47,IF('2 MEDIA ALTURA'!C$34=140,IF('2 MEDIA ALTURA'!C26=40,1,0)))*'2 MEDIA ALTURA'!C$35</f>
        <v>0</v>
      </c>
      <c r="EC103" s="701">
        <f>IF('2 MEDIA ALTURA'!D27='2 MEDIA ALTURA'!$B$47,IF('2 MEDIA ALTURA'!D$34=140,IF('2 MEDIA ALTURA'!D26=40,1,0)))*'2 MEDIA ALTURA'!D$35</f>
        <v>0</v>
      </c>
      <c r="ED103" s="701">
        <f>IF('2 MEDIA ALTURA'!E27='2 MEDIA ALTURA'!$B$47,IF('2 MEDIA ALTURA'!E$34=140,IF('2 MEDIA ALTURA'!E26=40,1,0)))*'2 MEDIA ALTURA'!E$35</f>
        <v>0</v>
      </c>
      <c r="EE103" s="701">
        <f>IF('2 MEDIA ALTURA'!F27='2 MEDIA ALTURA'!$B$47,IF('2 MEDIA ALTURA'!F$34=140,IF('2 MEDIA ALTURA'!F26=40,1,0)))*'2 MEDIA ALTURA'!F$35</f>
        <v>0</v>
      </c>
      <c r="EF103" s="701">
        <f>IF('2 MEDIA ALTURA'!G27='2 MEDIA ALTURA'!$B$47,IF('2 MEDIA ALTURA'!G$34=140,IF('2 MEDIA ALTURA'!G26=40,1,0)))*'2 MEDIA ALTURA'!G$35</f>
        <v>0</v>
      </c>
      <c r="EG103" s="701">
        <f>IF('2 MEDIA ALTURA'!H27='2 MEDIA ALTURA'!$B$47,IF('2 MEDIA ALTURA'!H$34=140,IF('2 MEDIA ALTURA'!H26=40,1,0)))*'2 MEDIA ALTURA'!H$35</f>
        <v>0</v>
      </c>
      <c r="EH103" s="701">
        <f>IF('2 MEDIA ALTURA'!I27='2 MEDIA ALTURA'!$B$47,IF('2 MEDIA ALTURA'!I$34=140,IF('2 MEDIA ALTURA'!I26=40,1,0)))*'2 MEDIA ALTURA'!I$35</f>
        <v>0</v>
      </c>
      <c r="EI103" s="701">
        <f>IF('2 MEDIA ALTURA'!J27='2 MEDIA ALTURA'!$B$47,IF('2 MEDIA ALTURA'!J$34=140,IF('2 MEDIA ALTURA'!J26=40,1,0)))*'2 MEDIA ALTURA'!J$35</f>
        <v>0</v>
      </c>
      <c r="EJ103" s="701">
        <f>IF('2 MEDIA ALTURA'!K27='2 MEDIA ALTURA'!$B$47,IF('2 MEDIA ALTURA'!K$34=140,IF('2 MEDIA ALTURA'!K26=40,1,0)))*'2 MEDIA ALTURA'!K$35</f>
        <v>0</v>
      </c>
      <c r="EK103" s="701">
        <f>IF('2 MEDIA ALTURA'!L27='2 MEDIA ALTURA'!$B$47,IF('2 MEDIA ALTURA'!L$34=140,IF('2 MEDIA ALTURA'!L26=40,1,0)))*'2 MEDIA ALTURA'!L$35</f>
        <v>0</v>
      </c>
      <c r="EL103" s="701">
        <f>IF('2 MEDIA ALTURA'!M27='2 MEDIA ALTURA'!$B$47,IF('2 MEDIA ALTURA'!M$34=140,IF('2 MEDIA ALTURA'!M26=40,1,0)))*'2 MEDIA ALTURA'!M$35</f>
        <v>0</v>
      </c>
      <c r="EM103" s="701">
        <f>IF('2 MEDIA ALTURA'!N27='2 MEDIA ALTURA'!$B$47,IF('2 MEDIA ALTURA'!N$34=140,IF('2 MEDIA ALTURA'!N26=40,1,0)))*'2 MEDIA ALTURA'!N$35</f>
        <v>0</v>
      </c>
      <c r="EN103" s="706"/>
      <c r="EO103" s="701">
        <f>IF('2 MEDIA ALTURA'!C27='2 MEDIA ALTURA'!$B$47,IF('2 MEDIA ALTURA'!C$34=150,IF('2 MEDIA ALTURA'!C26=40,1,0)))*'2 MEDIA ALTURA'!C$35</f>
        <v>0</v>
      </c>
      <c r="EP103" s="701">
        <f>IF('2 MEDIA ALTURA'!D27='2 MEDIA ALTURA'!$B$47,IF('2 MEDIA ALTURA'!D$34=150,IF('2 MEDIA ALTURA'!D26=40,1,0)))*'2 MEDIA ALTURA'!D$35</f>
        <v>0</v>
      </c>
      <c r="EQ103" s="701">
        <f>IF('2 MEDIA ALTURA'!E27='2 MEDIA ALTURA'!$B$47,IF('2 MEDIA ALTURA'!E$34=150,IF('2 MEDIA ALTURA'!E26=40,1,0)))*'2 MEDIA ALTURA'!E$35</f>
        <v>0</v>
      </c>
      <c r="ER103" s="701">
        <f>IF('2 MEDIA ALTURA'!F27='2 MEDIA ALTURA'!$B$47,IF('2 MEDIA ALTURA'!F$34=150,IF('2 MEDIA ALTURA'!F26=40,1,0)))*'2 MEDIA ALTURA'!F$35</f>
        <v>0</v>
      </c>
      <c r="ES103" s="701">
        <f>IF('2 MEDIA ALTURA'!G27='2 MEDIA ALTURA'!$B$47,IF('2 MEDIA ALTURA'!G$34=150,IF('2 MEDIA ALTURA'!G26=40,1,0)))*'2 MEDIA ALTURA'!G$35</f>
        <v>0</v>
      </c>
      <c r="ET103" s="701">
        <f>IF('2 MEDIA ALTURA'!H27='2 MEDIA ALTURA'!$B$47,IF('2 MEDIA ALTURA'!H$34=150,IF('2 MEDIA ALTURA'!H26=40,1,0)))*'2 MEDIA ALTURA'!H$35</f>
        <v>0</v>
      </c>
      <c r="EU103" s="701">
        <f>IF('2 MEDIA ALTURA'!I27='2 MEDIA ALTURA'!$B$47,IF('2 MEDIA ALTURA'!I$34=150,IF('2 MEDIA ALTURA'!I26=40,1,0)))*'2 MEDIA ALTURA'!I$35</f>
        <v>0</v>
      </c>
      <c r="EV103" s="701">
        <f>IF('2 MEDIA ALTURA'!J27='2 MEDIA ALTURA'!$B$47,IF('2 MEDIA ALTURA'!J$34=150,IF('2 MEDIA ALTURA'!J26=40,1,0)))*'2 MEDIA ALTURA'!J$35</f>
        <v>0</v>
      </c>
      <c r="EW103" s="701">
        <f>IF('2 MEDIA ALTURA'!K27='2 MEDIA ALTURA'!$B$47,IF('2 MEDIA ALTURA'!K$34=150,IF('2 MEDIA ALTURA'!K26=40,1,0)))*'2 MEDIA ALTURA'!K$35</f>
        <v>0</v>
      </c>
      <c r="EX103" s="701">
        <f>IF('2 MEDIA ALTURA'!L27='2 MEDIA ALTURA'!$B$47,IF('2 MEDIA ALTURA'!L$34=150,IF('2 MEDIA ALTURA'!L26=40,1,0)))*'2 MEDIA ALTURA'!L$35</f>
        <v>0</v>
      </c>
      <c r="EY103" s="701">
        <f>IF('2 MEDIA ALTURA'!M27='2 MEDIA ALTURA'!$B$47,IF('2 MEDIA ALTURA'!M$34=150,IF('2 MEDIA ALTURA'!M26=40,1,0)))*'2 MEDIA ALTURA'!M$35</f>
        <v>0</v>
      </c>
      <c r="EZ103" s="701">
        <f>IF('2 MEDIA ALTURA'!N27='2 MEDIA ALTURA'!$B$47,IF('2 MEDIA ALTURA'!N$34=150,IF('2 MEDIA ALTURA'!N26=40,1,0)))*'2 MEDIA ALTURA'!N$35</f>
        <v>0</v>
      </c>
      <c r="FA103" s="706"/>
    </row>
    <row r="104" spans="1:207" x14ac:dyDescent="0.35">
      <c r="A104" s="838"/>
      <c r="B104" s="701"/>
      <c r="C104" s="701"/>
      <c r="D104" s="701"/>
      <c r="E104" s="701"/>
      <c r="F104" s="701"/>
      <c r="G104" s="701"/>
      <c r="H104" s="701"/>
      <c r="I104" s="701"/>
      <c r="J104" s="701"/>
      <c r="K104" s="701"/>
      <c r="L104" s="701"/>
      <c r="M104" s="701"/>
      <c r="N104" s="706"/>
      <c r="O104" s="702"/>
      <c r="P104" s="702"/>
      <c r="Q104" s="702"/>
      <c r="R104" s="702"/>
      <c r="S104" s="702"/>
      <c r="T104" s="702"/>
      <c r="U104" s="702"/>
      <c r="V104" s="702"/>
      <c r="W104" s="702"/>
      <c r="X104" s="702"/>
      <c r="Y104" s="702"/>
      <c r="Z104" s="702"/>
      <c r="AA104" s="706"/>
      <c r="AB104" s="702"/>
      <c r="AC104" s="702"/>
      <c r="AD104" s="702"/>
      <c r="AE104" s="702"/>
      <c r="AF104" s="702"/>
      <c r="AG104" s="702"/>
      <c r="AH104" s="702"/>
      <c r="AI104" s="702"/>
      <c r="AJ104" s="702"/>
      <c r="AK104" s="702"/>
      <c r="AL104" s="702"/>
      <c r="AM104" s="702"/>
      <c r="AN104" s="706"/>
      <c r="AO104" s="702"/>
      <c r="AP104" s="702"/>
      <c r="AQ104" s="702"/>
      <c r="AR104" s="702"/>
      <c r="AS104" s="702"/>
      <c r="AT104" s="702"/>
      <c r="AU104" s="702"/>
      <c r="AV104" s="702"/>
      <c r="AW104" s="702"/>
      <c r="AX104" s="702"/>
      <c r="AY104" s="702"/>
      <c r="AZ104" s="702"/>
      <c r="BA104" s="706"/>
      <c r="BB104" s="702"/>
      <c r="BC104" s="702"/>
      <c r="BD104" s="702"/>
      <c r="BE104" s="702"/>
      <c r="BF104" s="702"/>
      <c r="BG104" s="702"/>
      <c r="BH104" s="702"/>
      <c r="BI104" s="702"/>
      <c r="BJ104" s="702"/>
      <c r="BK104" s="702"/>
      <c r="BL104" s="702"/>
      <c r="BM104" s="702"/>
      <c r="BN104" s="706"/>
      <c r="BO104" s="702"/>
      <c r="BP104" s="702"/>
      <c r="BQ104" s="702"/>
      <c r="BR104" s="702"/>
      <c r="BS104" s="702"/>
      <c r="BT104" s="702"/>
      <c r="BU104" s="702"/>
      <c r="BV104" s="702"/>
      <c r="BW104" s="702"/>
      <c r="BX104" s="702"/>
      <c r="BY104" s="702"/>
      <c r="BZ104" s="702"/>
      <c r="CA104" s="706"/>
      <c r="CB104" s="702"/>
      <c r="CC104" s="702"/>
      <c r="CD104" s="702"/>
      <c r="CE104" s="702"/>
      <c r="CF104" s="702"/>
      <c r="CG104" s="702"/>
      <c r="CH104" s="702"/>
      <c r="CI104" s="702"/>
      <c r="CJ104" s="702"/>
      <c r="CK104" s="702"/>
      <c r="CL104" s="702"/>
      <c r="CM104" s="702"/>
      <c r="CN104" s="706"/>
      <c r="CO104" s="702"/>
      <c r="CP104" s="702"/>
      <c r="CQ104" s="702"/>
      <c r="CR104" s="702"/>
      <c r="CS104" s="702"/>
      <c r="CT104" s="702"/>
      <c r="CU104" s="702"/>
      <c r="CV104" s="702"/>
      <c r="CW104" s="702"/>
      <c r="CX104" s="702"/>
      <c r="CY104" s="702"/>
      <c r="CZ104" s="702"/>
      <c r="DA104" s="706"/>
      <c r="DB104" s="702"/>
      <c r="DC104" s="702"/>
      <c r="DD104" s="702"/>
      <c r="DE104" s="702"/>
      <c r="DF104" s="702"/>
      <c r="DG104" s="702"/>
      <c r="DH104" s="702"/>
      <c r="DI104" s="702"/>
      <c r="DJ104" s="702"/>
      <c r="DK104" s="702"/>
      <c r="DL104" s="702"/>
      <c r="DM104" s="702"/>
      <c r="DN104" s="706"/>
      <c r="DO104" s="702"/>
      <c r="DP104" s="702"/>
      <c r="DQ104" s="702"/>
      <c r="DR104" s="702"/>
      <c r="DS104" s="702"/>
      <c r="DT104" s="702"/>
      <c r="DU104" s="702"/>
      <c r="DV104" s="702"/>
      <c r="DW104" s="702"/>
      <c r="DX104" s="702"/>
      <c r="DY104" s="702"/>
      <c r="DZ104" s="702"/>
      <c r="EA104" s="706"/>
      <c r="EB104" s="702"/>
      <c r="EC104" s="702"/>
      <c r="ED104" s="702"/>
      <c r="EE104" s="702"/>
      <c r="EF104" s="702"/>
      <c r="EG104" s="702"/>
      <c r="EH104" s="702"/>
      <c r="EI104" s="702"/>
      <c r="EJ104" s="702"/>
      <c r="EK104" s="702"/>
      <c r="EL104" s="702"/>
      <c r="EM104" s="702"/>
      <c r="EN104" s="706"/>
      <c r="EO104" s="702"/>
      <c r="EP104" s="702"/>
      <c r="EQ104" s="702"/>
      <c r="ER104" s="702"/>
      <c r="ES104" s="702"/>
      <c r="ET104" s="702"/>
      <c r="EU104" s="702"/>
      <c r="EV104" s="702"/>
      <c r="EW104" s="702"/>
      <c r="EX104" s="702"/>
      <c r="EY104" s="702"/>
      <c r="EZ104" s="702"/>
      <c r="FA104" s="706"/>
    </row>
    <row r="105" spans="1:207" x14ac:dyDescent="0.35">
      <c r="A105" s="838"/>
      <c r="B105" s="701">
        <f>IF('2 MEDIA ALTURA'!C29='2 MEDIA ALTURA'!$B$47,IF('2 MEDIA ALTURA'!C$34=28,IF('2 MEDIA ALTURA'!C28=40,1,0)))*'2 MEDIA ALTURA'!C$35</f>
        <v>0</v>
      </c>
      <c r="C105" s="701">
        <f>IF('2 MEDIA ALTURA'!D29='2 MEDIA ALTURA'!$B$47,IF('2 MEDIA ALTURA'!D$34=28,IF('2 MEDIA ALTURA'!D28=40,1,0)))*'2 MEDIA ALTURA'!D$35</f>
        <v>0</v>
      </c>
      <c r="D105" s="701">
        <f>IF('2 MEDIA ALTURA'!E29='2 MEDIA ALTURA'!$B$47,IF('2 MEDIA ALTURA'!E$34=28,IF('2 MEDIA ALTURA'!E28=40,1,0)))*'2 MEDIA ALTURA'!E$35</f>
        <v>0</v>
      </c>
      <c r="E105" s="701">
        <f>IF('2 MEDIA ALTURA'!F29='2 MEDIA ALTURA'!$B$47,IF('2 MEDIA ALTURA'!F$34=28,IF('2 MEDIA ALTURA'!F28=40,1,0)))*'2 MEDIA ALTURA'!F$35</f>
        <v>0</v>
      </c>
      <c r="F105" s="701">
        <f>IF('2 MEDIA ALTURA'!G29='2 MEDIA ALTURA'!$B$47,IF('2 MEDIA ALTURA'!G$34=28,IF('2 MEDIA ALTURA'!G28=40,1,0)))*'2 MEDIA ALTURA'!G$35</f>
        <v>0</v>
      </c>
      <c r="G105" s="701">
        <f>IF('2 MEDIA ALTURA'!H29='2 MEDIA ALTURA'!$B$47,IF('2 MEDIA ALTURA'!H$34=28,IF('2 MEDIA ALTURA'!H28=40,1,0)))*'2 MEDIA ALTURA'!H$35</f>
        <v>0</v>
      </c>
      <c r="H105" s="701">
        <f>IF('2 MEDIA ALTURA'!I29='2 MEDIA ALTURA'!$B$47,IF('2 MEDIA ALTURA'!I$34=28,IF('2 MEDIA ALTURA'!I28=40,1,0)))*'2 MEDIA ALTURA'!I$35</f>
        <v>0</v>
      </c>
      <c r="I105" s="701">
        <f>IF('2 MEDIA ALTURA'!J29='2 MEDIA ALTURA'!$B$47,IF('2 MEDIA ALTURA'!J$34=28,IF('2 MEDIA ALTURA'!J28=40,1,0)))*'2 MEDIA ALTURA'!J$35</f>
        <v>0</v>
      </c>
      <c r="J105" s="701">
        <f>IF('2 MEDIA ALTURA'!K29='2 MEDIA ALTURA'!$B$47,IF('2 MEDIA ALTURA'!K$34=28,IF('2 MEDIA ALTURA'!K28=40,1,0)))*'2 MEDIA ALTURA'!K$35</f>
        <v>0</v>
      </c>
      <c r="K105" s="701">
        <f>IF('2 MEDIA ALTURA'!L29='2 MEDIA ALTURA'!$B$47,IF('2 MEDIA ALTURA'!L$34=28,IF('2 MEDIA ALTURA'!L28=40,1,0)))*'2 MEDIA ALTURA'!L$35</f>
        <v>0</v>
      </c>
      <c r="L105" s="701">
        <f>IF('2 MEDIA ALTURA'!M29='2 MEDIA ALTURA'!$B$47,IF('2 MEDIA ALTURA'!M$34=28,IF('2 MEDIA ALTURA'!M28=40,1,0)))*'2 MEDIA ALTURA'!M$35</f>
        <v>0</v>
      </c>
      <c r="M105" s="701">
        <f>IF('2 MEDIA ALTURA'!N29='2 MEDIA ALTURA'!$B$47,IF('2 MEDIA ALTURA'!N$34=28,IF('2 MEDIA ALTURA'!N28=40,1,0)))*'2 MEDIA ALTURA'!N$35</f>
        <v>0</v>
      </c>
      <c r="N105" s="706"/>
      <c r="O105" s="701">
        <f>IF('2 MEDIA ALTURA'!C29='2 MEDIA ALTURA'!$B$47,IF('2 MEDIA ALTURA'!C$34=30,IF('2 MEDIA ALTURA'!C28=40,1,0)))*'2 MEDIA ALTURA'!C$35</f>
        <v>0</v>
      </c>
      <c r="P105" s="701">
        <f>IF('2 MEDIA ALTURA'!D29='2 MEDIA ALTURA'!$B$47,IF('2 MEDIA ALTURA'!D$34=30,IF('2 MEDIA ALTURA'!D28=40,1,0)))*'2 MEDIA ALTURA'!D$35</f>
        <v>0</v>
      </c>
      <c r="Q105" s="701">
        <f>IF('2 MEDIA ALTURA'!E29='2 MEDIA ALTURA'!$B$47,IF('2 MEDIA ALTURA'!E$34=30,IF('2 MEDIA ALTURA'!E28=40,1,0)))*'2 MEDIA ALTURA'!E$35</f>
        <v>0</v>
      </c>
      <c r="R105" s="701">
        <f>IF('2 MEDIA ALTURA'!F29='2 MEDIA ALTURA'!$B$47,IF('2 MEDIA ALTURA'!F$34=30,IF('2 MEDIA ALTURA'!F28=40,1,0)))*'2 MEDIA ALTURA'!F$35</f>
        <v>0</v>
      </c>
      <c r="S105" s="701">
        <f>IF('2 MEDIA ALTURA'!G29='2 MEDIA ALTURA'!$B$47,IF('2 MEDIA ALTURA'!G$34=30,IF('2 MEDIA ALTURA'!G28=40,1,0)))*'2 MEDIA ALTURA'!G$35</f>
        <v>0</v>
      </c>
      <c r="T105" s="701">
        <f>IF('2 MEDIA ALTURA'!H29='2 MEDIA ALTURA'!$B$47,IF('2 MEDIA ALTURA'!H$34=30,IF('2 MEDIA ALTURA'!H28=40,1,0)))*'2 MEDIA ALTURA'!H$35</f>
        <v>0</v>
      </c>
      <c r="U105" s="701">
        <f>IF('2 MEDIA ALTURA'!I29='2 MEDIA ALTURA'!$B$47,IF('2 MEDIA ALTURA'!I$34=30,IF('2 MEDIA ALTURA'!I28=40,1,0)))*'2 MEDIA ALTURA'!I$35</f>
        <v>0</v>
      </c>
      <c r="V105" s="701">
        <f>IF('2 MEDIA ALTURA'!J29='2 MEDIA ALTURA'!$B$47,IF('2 MEDIA ALTURA'!J$34=30,IF('2 MEDIA ALTURA'!J28=40,1,0)))*'2 MEDIA ALTURA'!J$35</f>
        <v>0</v>
      </c>
      <c r="W105" s="701">
        <f>IF('2 MEDIA ALTURA'!K29='2 MEDIA ALTURA'!$B$47,IF('2 MEDIA ALTURA'!K$34=30,IF('2 MEDIA ALTURA'!K28=40,1,0)))*'2 MEDIA ALTURA'!K$35</f>
        <v>0</v>
      </c>
      <c r="X105" s="701">
        <f>IF('2 MEDIA ALTURA'!L29='2 MEDIA ALTURA'!$B$47,IF('2 MEDIA ALTURA'!L$34=30,IF('2 MEDIA ALTURA'!L28=40,1,0)))*'2 MEDIA ALTURA'!L$35</f>
        <v>0</v>
      </c>
      <c r="Y105" s="701">
        <f>IF('2 MEDIA ALTURA'!M29='2 MEDIA ALTURA'!$B$47,IF('2 MEDIA ALTURA'!M$34=30,IF('2 MEDIA ALTURA'!M28=40,1,0)))*'2 MEDIA ALTURA'!M$35</f>
        <v>0</v>
      </c>
      <c r="Z105" s="701">
        <f>IF('2 MEDIA ALTURA'!N29='2 MEDIA ALTURA'!$B$47,IF('2 MEDIA ALTURA'!N$34=30,IF('2 MEDIA ALTURA'!N28=40,1,0)))*'2 MEDIA ALTURA'!N$35</f>
        <v>0</v>
      </c>
      <c r="AA105" s="706"/>
      <c r="AB105" s="701">
        <f>IF('2 MEDIA ALTURA'!C29='2 MEDIA ALTURA'!$B$47,IF('2 MEDIA ALTURA'!C$34=56,IF('2 MEDIA ALTURA'!C28=40,1,0)))*'2 MEDIA ALTURA'!C$35</f>
        <v>0</v>
      </c>
      <c r="AC105" s="701">
        <f>IF('2 MEDIA ALTURA'!D29='2 MEDIA ALTURA'!$B$47,IF('2 MEDIA ALTURA'!D$34=56,IF('2 MEDIA ALTURA'!D28=40,1,0)))*'2 MEDIA ALTURA'!D$35</f>
        <v>0</v>
      </c>
      <c r="AD105" s="701">
        <f>IF('2 MEDIA ALTURA'!E29='2 MEDIA ALTURA'!$B$47,IF('2 MEDIA ALTURA'!E$34=56,IF('2 MEDIA ALTURA'!E28=40,1,0)))*'2 MEDIA ALTURA'!E$35</f>
        <v>0</v>
      </c>
      <c r="AE105" s="701">
        <f>IF('2 MEDIA ALTURA'!F29='2 MEDIA ALTURA'!$B$47,IF('2 MEDIA ALTURA'!F$34=56,IF('2 MEDIA ALTURA'!F28=40,1,0)))*'2 MEDIA ALTURA'!F$35</f>
        <v>0</v>
      </c>
      <c r="AF105" s="701">
        <f>IF('2 MEDIA ALTURA'!G29='2 MEDIA ALTURA'!$B$47,IF('2 MEDIA ALTURA'!G$34=56,IF('2 MEDIA ALTURA'!G28=40,1,0)))*'2 MEDIA ALTURA'!G$35</f>
        <v>0</v>
      </c>
      <c r="AG105" s="701">
        <f>IF('2 MEDIA ALTURA'!H29='2 MEDIA ALTURA'!$B$47,IF('2 MEDIA ALTURA'!H$34=56,IF('2 MEDIA ALTURA'!H28=40,1,0)))*'2 MEDIA ALTURA'!H$35</f>
        <v>0</v>
      </c>
      <c r="AH105" s="701">
        <f>IF('2 MEDIA ALTURA'!I29='2 MEDIA ALTURA'!$B$47,IF('2 MEDIA ALTURA'!I$34=56,IF('2 MEDIA ALTURA'!I28=40,1,0)))*'2 MEDIA ALTURA'!I$35</f>
        <v>0</v>
      </c>
      <c r="AI105" s="701">
        <f>IF('2 MEDIA ALTURA'!J29='2 MEDIA ALTURA'!$B$47,IF('2 MEDIA ALTURA'!J$34=56,IF('2 MEDIA ALTURA'!J28=40,1,0)))*'2 MEDIA ALTURA'!J$35</f>
        <v>0</v>
      </c>
      <c r="AJ105" s="701">
        <f>IF('2 MEDIA ALTURA'!K29='2 MEDIA ALTURA'!$B$47,IF('2 MEDIA ALTURA'!K$34=56,IF('2 MEDIA ALTURA'!K28=40,1,0)))*'2 MEDIA ALTURA'!K$35</f>
        <v>0</v>
      </c>
      <c r="AK105" s="701">
        <f>IF('2 MEDIA ALTURA'!L29='2 MEDIA ALTURA'!$B$47,IF('2 MEDIA ALTURA'!L$34=56,IF('2 MEDIA ALTURA'!L28=40,1,0)))*'2 MEDIA ALTURA'!L$35</f>
        <v>0</v>
      </c>
      <c r="AL105" s="701">
        <f>IF('2 MEDIA ALTURA'!M29='2 MEDIA ALTURA'!$B$47,IF('2 MEDIA ALTURA'!M$34=56,IF('2 MEDIA ALTURA'!M28=40,1,0)))*'2 MEDIA ALTURA'!M$35</f>
        <v>0</v>
      </c>
      <c r="AM105" s="701">
        <f>IF('2 MEDIA ALTURA'!N29='2 MEDIA ALTURA'!$B$47,IF('2 MEDIA ALTURA'!N$34=56,IF('2 MEDIA ALTURA'!N28=40,1,0)))*'2 MEDIA ALTURA'!N$35</f>
        <v>0</v>
      </c>
      <c r="AN105" s="706"/>
      <c r="AO105" s="701">
        <f>IF('2 MEDIA ALTURA'!C29='2 MEDIA ALTURA'!$B$47,IF('2 MEDIA ALTURA'!C$34=60,IF('2 MEDIA ALTURA'!C28=40,1,0)))*'2 MEDIA ALTURA'!C$35</f>
        <v>0</v>
      </c>
      <c r="AP105" s="701">
        <f>IF('2 MEDIA ALTURA'!D29='2 MEDIA ALTURA'!$B$47,IF('2 MEDIA ALTURA'!D$34=60,IF('2 MEDIA ALTURA'!D28=40,1,0)))*'2 MEDIA ALTURA'!D$35</f>
        <v>0</v>
      </c>
      <c r="AQ105" s="701">
        <f>IF('2 MEDIA ALTURA'!E29='2 MEDIA ALTURA'!$B$47,IF('2 MEDIA ALTURA'!E$34=60,IF('2 MEDIA ALTURA'!E28=40,1,0)))*'2 MEDIA ALTURA'!E$35</f>
        <v>0</v>
      </c>
      <c r="AR105" s="701">
        <f>IF('2 MEDIA ALTURA'!F29='2 MEDIA ALTURA'!$B$47,IF('2 MEDIA ALTURA'!F$34=60,IF('2 MEDIA ALTURA'!F28=40,1,0)))*'2 MEDIA ALTURA'!F$35</f>
        <v>0</v>
      </c>
      <c r="AS105" s="701">
        <f>IF('2 MEDIA ALTURA'!G29='2 MEDIA ALTURA'!$B$47,IF('2 MEDIA ALTURA'!G$34=60,IF('2 MEDIA ALTURA'!G28=40,1,0)))*'2 MEDIA ALTURA'!G$35</f>
        <v>0</v>
      </c>
      <c r="AT105" s="701">
        <f>IF('2 MEDIA ALTURA'!H29='2 MEDIA ALTURA'!$B$47,IF('2 MEDIA ALTURA'!H$34=60,IF('2 MEDIA ALTURA'!H28=40,1,0)))*'2 MEDIA ALTURA'!H$35</f>
        <v>0</v>
      </c>
      <c r="AU105" s="701">
        <f>IF('2 MEDIA ALTURA'!I29='2 MEDIA ALTURA'!$B$47,IF('2 MEDIA ALTURA'!I$34=60,IF('2 MEDIA ALTURA'!I28=40,1,0)))*'2 MEDIA ALTURA'!I$35</f>
        <v>0</v>
      </c>
      <c r="AV105" s="701">
        <f>IF('2 MEDIA ALTURA'!J29='2 MEDIA ALTURA'!$B$47,IF('2 MEDIA ALTURA'!J$34=60,IF('2 MEDIA ALTURA'!J28=40,1,0)))*'2 MEDIA ALTURA'!J$35</f>
        <v>0</v>
      </c>
      <c r="AW105" s="701">
        <f>IF('2 MEDIA ALTURA'!K29='2 MEDIA ALTURA'!$B$47,IF('2 MEDIA ALTURA'!K$34=60,IF('2 MEDIA ALTURA'!K28=40,1,0)))*'2 MEDIA ALTURA'!K$35</f>
        <v>0</v>
      </c>
      <c r="AX105" s="701">
        <f>IF('2 MEDIA ALTURA'!L29='2 MEDIA ALTURA'!$B$47,IF('2 MEDIA ALTURA'!L$34=60,IF('2 MEDIA ALTURA'!L28=40,1,0)))*'2 MEDIA ALTURA'!L$35</f>
        <v>0</v>
      </c>
      <c r="AY105" s="701">
        <f>IF('2 MEDIA ALTURA'!M29='2 MEDIA ALTURA'!$B$47,IF('2 MEDIA ALTURA'!M$34=60,IF('2 MEDIA ALTURA'!M28=40,1,0)))*'2 MEDIA ALTURA'!M$35</f>
        <v>0</v>
      </c>
      <c r="AZ105" s="701">
        <f>IF('2 MEDIA ALTURA'!N29='2 MEDIA ALTURA'!$B$47,IF('2 MEDIA ALTURA'!N$34=60,IF('2 MEDIA ALTURA'!N28=40,1,0)))*'2 MEDIA ALTURA'!N$35</f>
        <v>0</v>
      </c>
      <c r="BA105" s="706"/>
      <c r="BB105" s="701">
        <f>IF('2 MEDIA ALTURA'!C29='2 MEDIA ALTURA'!$B$47,IF('2 MEDIA ALTURA'!C$34=70,IF('2 MEDIA ALTURA'!C28=40,1,0)))*'2 MEDIA ALTURA'!C$35</f>
        <v>0</v>
      </c>
      <c r="BC105" s="701">
        <f>IF('2 MEDIA ALTURA'!D29='2 MEDIA ALTURA'!$B$47,IF('2 MEDIA ALTURA'!D$34=70,IF('2 MEDIA ALTURA'!D28=40,1,0)))*'2 MEDIA ALTURA'!D$35</f>
        <v>0</v>
      </c>
      <c r="BD105" s="701">
        <f>IF('2 MEDIA ALTURA'!E29='2 MEDIA ALTURA'!$B$47,IF('2 MEDIA ALTURA'!E$34=70,IF('2 MEDIA ALTURA'!E28=40,1,0)))*'2 MEDIA ALTURA'!E$35</f>
        <v>0</v>
      </c>
      <c r="BE105" s="701">
        <f>IF('2 MEDIA ALTURA'!F29='2 MEDIA ALTURA'!$B$47,IF('2 MEDIA ALTURA'!F$34=70,IF('2 MEDIA ALTURA'!F28=40,1,0)))*'2 MEDIA ALTURA'!F$35</f>
        <v>0</v>
      </c>
      <c r="BF105" s="701">
        <f>IF('2 MEDIA ALTURA'!G29='2 MEDIA ALTURA'!$B$47,IF('2 MEDIA ALTURA'!G$34=70,IF('2 MEDIA ALTURA'!G28=40,1,0)))*'2 MEDIA ALTURA'!G$35</f>
        <v>0</v>
      </c>
      <c r="BG105" s="701">
        <f>IF('2 MEDIA ALTURA'!H29='2 MEDIA ALTURA'!$B$47,IF('2 MEDIA ALTURA'!H$34=70,IF('2 MEDIA ALTURA'!H28=40,1,0)))*'2 MEDIA ALTURA'!H$35</f>
        <v>0</v>
      </c>
      <c r="BH105" s="701">
        <f>IF('2 MEDIA ALTURA'!I29='2 MEDIA ALTURA'!$B$47,IF('2 MEDIA ALTURA'!I$34=70,IF('2 MEDIA ALTURA'!I28=40,1,0)))*'2 MEDIA ALTURA'!I$35</f>
        <v>0</v>
      </c>
      <c r="BI105" s="701">
        <f>IF('2 MEDIA ALTURA'!J29='2 MEDIA ALTURA'!$B$47,IF('2 MEDIA ALTURA'!J$34=70,IF('2 MEDIA ALTURA'!J28=40,1,0)))*'2 MEDIA ALTURA'!J$35</f>
        <v>0</v>
      </c>
      <c r="BJ105" s="701">
        <f>IF('2 MEDIA ALTURA'!K29='2 MEDIA ALTURA'!$B$47,IF('2 MEDIA ALTURA'!K$34=70,IF('2 MEDIA ALTURA'!K28=40,1,0)))*'2 MEDIA ALTURA'!K$35</f>
        <v>0</v>
      </c>
      <c r="BK105" s="701">
        <f>IF('2 MEDIA ALTURA'!L29='2 MEDIA ALTURA'!$B$47,IF('2 MEDIA ALTURA'!L$34=70,IF('2 MEDIA ALTURA'!L28=40,1,0)))*'2 MEDIA ALTURA'!L$35</f>
        <v>0</v>
      </c>
      <c r="BL105" s="701">
        <f>IF('2 MEDIA ALTURA'!M29='2 MEDIA ALTURA'!$B$47,IF('2 MEDIA ALTURA'!M$34=70,IF('2 MEDIA ALTURA'!M28=40,1,0)))*'2 MEDIA ALTURA'!M$35</f>
        <v>0</v>
      </c>
      <c r="BM105" s="701">
        <f>IF('2 MEDIA ALTURA'!N29='2 MEDIA ALTURA'!$B$47,IF('2 MEDIA ALTURA'!N$34=70,IF('2 MEDIA ALTURA'!N28=40,1,0)))*'2 MEDIA ALTURA'!N$35</f>
        <v>0</v>
      </c>
      <c r="BN105" s="706"/>
      <c r="BO105" s="701">
        <f>IF('2 MEDIA ALTURA'!C29='2 MEDIA ALTURA'!$B$47,IF('2 MEDIA ALTURA'!C$34=75,IF('2 MEDIA ALTURA'!C28=40,1,0)))*'2 MEDIA ALTURA'!C$35</f>
        <v>0</v>
      </c>
      <c r="BP105" s="701">
        <f>IF('2 MEDIA ALTURA'!D29='2 MEDIA ALTURA'!$B$47,IF('2 MEDIA ALTURA'!D$34=75,IF('2 MEDIA ALTURA'!D28=40,1,0)))*'2 MEDIA ALTURA'!D$35</f>
        <v>0</v>
      </c>
      <c r="BQ105" s="701">
        <f>IF('2 MEDIA ALTURA'!E29='2 MEDIA ALTURA'!$B$47,IF('2 MEDIA ALTURA'!E$34=75,IF('2 MEDIA ALTURA'!E28=40,1,0)))*'2 MEDIA ALTURA'!E$35</f>
        <v>0</v>
      </c>
      <c r="BR105" s="701">
        <f>IF('2 MEDIA ALTURA'!F29='2 MEDIA ALTURA'!$B$47,IF('2 MEDIA ALTURA'!F$34=75,IF('2 MEDIA ALTURA'!F28=40,1,0)))*'2 MEDIA ALTURA'!F$35</f>
        <v>0</v>
      </c>
      <c r="BS105" s="701">
        <f>IF('2 MEDIA ALTURA'!G29='2 MEDIA ALTURA'!$B$47,IF('2 MEDIA ALTURA'!G$34=75,IF('2 MEDIA ALTURA'!G28=40,1,0)))*'2 MEDIA ALTURA'!G$35</f>
        <v>0</v>
      </c>
      <c r="BT105" s="701">
        <f>IF('2 MEDIA ALTURA'!H29='2 MEDIA ALTURA'!$B$47,IF('2 MEDIA ALTURA'!H$34=75,IF('2 MEDIA ALTURA'!H28=40,1,0)))*'2 MEDIA ALTURA'!H$35</f>
        <v>0</v>
      </c>
      <c r="BU105" s="701">
        <f>IF('2 MEDIA ALTURA'!I29='2 MEDIA ALTURA'!$B$47,IF('2 MEDIA ALTURA'!I$34=75,IF('2 MEDIA ALTURA'!I28=40,1,0)))*'2 MEDIA ALTURA'!I$35</f>
        <v>0</v>
      </c>
      <c r="BV105" s="701">
        <f>IF('2 MEDIA ALTURA'!J29='2 MEDIA ALTURA'!$B$47,IF('2 MEDIA ALTURA'!J$34=75,IF('2 MEDIA ALTURA'!J28=40,1,0)))*'2 MEDIA ALTURA'!J$35</f>
        <v>0</v>
      </c>
      <c r="BW105" s="701">
        <f>IF('2 MEDIA ALTURA'!K29='2 MEDIA ALTURA'!$B$47,IF('2 MEDIA ALTURA'!K$34=75,IF('2 MEDIA ALTURA'!K28=40,1,0)))*'2 MEDIA ALTURA'!K$35</f>
        <v>0</v>
      </c>
      <c r="BX105" s="701">
        <f>IF('2 MEDIA ALTURA'!L29='2 MEDIA ALTURA'!$B$47,IF('2 MEDIA ALTURA'!L$34=75,IF('2 MEDIA ALTURA'!L28=40,1,0)))*'2 MEDIA ALTURA'!L$35</f>
        <v>0</v>
      </c>
      <c r="BY105" s="701">
        <f>IF('2 MEDIA ALTURA'!M29='2 MEDIA ALTURA'!$B$47,IF('2 MEDIA ALTURA'!M$34=75,IF('2 MEDIA ALTURA'!M28=40,1,0)))*'2 MEDIA ALTURA'!M$35</f>
        <v>0</v>
      </c>
      <c r="BZ105" s="701">
        <f>IF('2 MEDIA ALTURA'!N29='2 MEDIA ALTURA'!$B$47,IF('2 MEDIA ALTURA'!N$34=75,IF('2 MEDIA ALTURA'!N28=40,1,0)))*'2 MEDIA ALTURA'!N$35</f>
        <v>0</v>
      </c>
      <c r="CA105" s="706"/>
      <c r="CB105" s="701">
        <f>IF('2 MEDIA ALTURA'!C29='2 MEDIA ALTURA'!$B$47,IF('2 MEDIA ALTURA'!C$34=84,IF('2 MEDIA ALTURA'!C28=40,1,0)))*'2 MEDIA ALTURA'!C$35</f>
        <v>0</v>
      </c>
      <c r="CC105" s="701">
        <f>IF('2 MEDIA ALTURA'!D29='2 MEDIA ALTURA'!$B$47,IF('2 MEDIA ALTURA'!D$34=84,IF('2 MEDIA ALTURA'!D28=40,1,0)))*'2 MEDIA ALTURA'!D$35</f>
        <v>0</v>
      </c>
      <c r="CD105" s="701">
        <f>IF('2 MEDIA ALTURA'!E29='2 MEDIA ALTURA'!$B$47,IF('2 MEDIA ALTURA'!E$34=84,IF('2 MEDIA ALTURA'!E28=40,1,0)))*'2 MEDIA ALTURA'!E$35</f>
        <v>0</v>
      </c>
      <c r="CE105" s="701">
        <f>IF('2 MEDIA ALTURA'!F29='2 MEDIA ALTURA'!$B$47,IF('2 MEDIA ALTURA'!F$34=84,IF('2 MEDIA ALTURA'!F28=40,1,0)))*'2 MEDIA ALTURA'!F$35</f>
        <v>0</v>
      </c>
      <c r="CF105" s="701">
        <f>IF('2 MEDIA ALTURA'!G29='2 MEDIA ALTURA'!$B$47,IF('2 MEDIA ALTURA'!G$34=84,IF('2 MEDIA ALTURA'!G28=40,1,0)))*'2 MEDIA ALTURA'!G$35</f>
        <v>0</v>
      </c>
      <c r="CG105" s="701">
        <f>IF('2 MEDIA ALTURA'!H29='2 MEDIA ALTURA'!$B$47,IF('2 MEDIA ALTURA'!H$34=84,IF('2 MEDIA ALTURA'!H28=40,1,0)))*'2 MEDIA ALTURA'!H$35</f>
        <v>0</v>
      </c>
      <c r="CH105" s="701">
        <f>IF('2 MEDIA ALTURA'!I29='2 MEDIA ALTURA'!$B$47,IF('2 MEDIA ALTURA'!I$34=84,IF('2 MEDIA ALTURA'!I28=40,1,0)))*'2 MEDIA ALTURA'!I$35</f>
        <v>0</v>
      </c>
      <c r="CI105" s="701">
        <f>IF('2 MEDIA ALTURA'!J29='2 MEDIA ALTURA'!$B$47,IF('2 MEDIA ALTURA'!J$34=84,IF('2 MEDIA ALTURA'!J28=40,1,0)))*'2 MEDIA ALTURA'!J$35</f>
        <v>0</v>
      </c>
      <c r="CJ105" s="701">
        <f>IF('2 MEDIA ALTURA'!K29='2 MEDIA ALTURA'!$B$47,IF('2 MEDIA ALTURA'!K$34=84,IF('2 MEDIA ALTURA'!K28=40,1,0)))*'2 MEDIA ALTURA'!K$35</f>
        <v>0</v>
      </c>
      <c r="CK105" s="701">
        <f>IF('2 MEDIA ALTURA'!L29='2 MEDIA ALTURA'!$B$47,IF('2 MEDIA ALTURA'!L$34=84,IF('2 MEDIA ALTURA'!L28=40,1,0)))*'2 MEDIA ALTURA'!L$35</f>
        <v>0</v>
      </c>
      <c r="CL105" s="701">
        <f>IF('2 MEDIA ALTURA'!M29='2 MEDIA ALTURA'!$B$47,IF('2 MEDIA ALTURA'!M$34=84,IF('2 MEDIA ALTURA'!M28=40,1,0)))*'2 MEDIA ALTURA'!M$35</f>
        <v>0</v>
      </c>
      <c r="CM105" s="701">
        <f>IF('2 MEDIA ALTURA'!N29='2 MEDIA ALTURA'!$B$47,IF('2 MEDIA ALTURA'!N$34=84,IF('2 MEDIA ALTURA'!N28=40,1,0)))*'2 MEDIA ALTURA'!N$35</f>
        <v>0</v>
      </c>
      <c r="CN105" s="706"/>
      <c r="CO105" s="701">
        <f>IF('2 MEDIA ALTURA'!C29='2 MEDIA ALTURA'!$B$47,IF('2 MEDIA ALTURA'!C$34=90,IF('2 MEDIA ALTURA'!C28=40,1,0)))*'2 MEDIA ALTURA'!C$35</f>
        <v>0</v>
      </c>
      <c r="CP105" s="701">
        <f>IF('2 MEDIA ALTURA'!D29='2 MEDIA ALTURA'!$B$47,IF('2 MEDIA ALTURA'!D$34=90,IF('2 MEDIA ALTURA'!D28=40,1,0)))*'2 MEDIA ALTURA'!D$35</f>
        <v>0</v>
      </c>
      <c r="CQ105" s="701">
        <f>IF('2 MEDIA ALTURA'!E29='2 MEDIA ALTURA'!$B$47,IF('2 MEDIA ALTURA'!E$34=90,IF('2 MEDIA ALTURA'!E28=40,1,0)))*'2 MEDIA ALTURA'!E$35</f>
        <v>0</v>
      </c>
      <c r="CR105" s="701">
        <f>IF('2 MEDIA ALTURA'!F29='2 MEDIA ALTURA'!$B$47,IF('2 MEDIA ALTURA'!F$34=90,IF('2 MEDIA ALTURA'!F28=40,1,0)))*'2 MEDIA ALTURA'!F$35</f>
        <v>0</v>
      </c>
      <c r="CS105" s="701">
        <f>IF('2 MEDIA ALTURA'!G29='2 MEDIA ALTURA'!$B$47,IF('2 MEDIA ALTURA'!G$34=90,IF('2 MEDIA ALTURA'!G28=40,1,0)))*'2 MEDIA ALTURA'!G$35</f>
        <v>0</v>
      </c>
      <c r="CT105" s="701">
        <f>IF('2 MEDIA ALTURA'!H29='2 MEDIA ALTURA'!$B$47,IF('2 MEDIA ALTURA'!H$34=90,IF('2 MEDIA ALTURA'!H28=40,1,0)))*'2 MEDIA ALTURA'!H$35</f>
        <v>0</v>
      </c>
      <c r="CU105" s="701">
        <f>IF('2 MEDIA ALTURA'!I29='2 MEDIA ALTURA'!$B$47,IF('2 MEDIA ALTURA'!I$34=90,IF('2 MEDIA ALTURA'!I28=40,1,0)))*'2 MEDIA ALTURA'!I$35</f>
        <v>0</v>
      </c>
      <c r="CV105" s="701">
        <f>IF('2 MEDIA ALTURA'!J29='2 MEDIA ALTURA'!$B$47,IF('2 MEDIA ALTURA'!J$34=90,IF('2 MEDIA ALTURA'!J28=40,1,0)))*'2 MEDIA ALTURA'!J$35</f>
        <v>0</v>
      </c>
      <c r="CW105" s="701">
        <f>IF('2 MEDIA ALTURA'!K29='2 MEDIA ALTURA'!$B$47,IF('2 MEDIA ALTURA'!K$34=90,IF('2 MEDIA ALTURA'!K28=40,1,0)))*'2 MEDIA ALTURA'!K$35</f>
        <v>0</v>
      </c>
      <c r="CX105" s="701">
        <f>IF('2 MEDIA ALTURA'!L29='2 MEDIA ALTURA'!$B$47,IF('2 MEDIA ALTURA'!L$34=90,IF('2 MEDIA ALTURA'!L28=40,1,0)))*'2 MEDIA ALTURA'!L$35</f>
        <v>0</v>
      </c>
      <c r="CY105" s="701">
        <f>IF('2 MEDIA ALTURA'!M29='2 MEDIA ALTURA'!$B$47,IF('2 MEDIA ALTURA'!M$34=90,IF('2 MEDIA ALTURA'!M28=40,1,0)))*'2 MEDIA ALTURA'!M$35</f>
        <v>0</v>
      </c>
      <c r="CZ105" s="701">
        <f>IF('2 MEDIA ALTURA'!N29='2 MEDIA ALTURA'!$B$47,IF('2 MEDIA ALTURA'!N$34=90,IF('2 MEDIA ALTURA'!N28=40,1,0)))*'2 MEDIA ALTURA'!N$35</f>
        <v>0</v>
      </c>
      <c r="DA105" s="706"/>
      <c r="DB105" s="701">
        <f>IF('2 MEDIA ALTURA'!C29='2 MEDIA ALTURA'!$B$47,IF('2 MEDIA ALTURA'!C$34=112,IF('2 MEDIA ALTURA'!C28=40,1,0)))*'2 MEDIA ALTURA'!C$35</f>
        <v>0</v>
      </c>
      <c r="DC105" s="701">
        <f>IF('2 MEDIA ALTURA'!D29='2 MEDIA ALTURA'!$B$47,IF('2 MEDIA ALTURA'!D$34=112,IF('2 MEDIA ALTURA'!D28=40,1,0)))*'2 MEDIA ALTURA'!D$35</f>
        <v>0</v>
      </c>
      <c r="DD105" s="701">
        <f>IF('2 MEDIA ALTURA'!E29='2 MEDIA ALTURA'!$B$47,IF('2 MEDIA ALTURA'!E$34=112,IF('2 MEDIA ALTURA'!E28=40,1,0)))*'2 MEDIA ALTURA'!E$35</f>
        <v>0</v>
      </c>
      <c r="DE105" s="701">
        <f>IF('2 MEDIA ALTURA'!F29='2 MEDIA ALTURA'!$B$47,IF('2 MEDIA ALTURA'!F$34=112,IF('2 MEDIA ALTURA'!F28=40,1,0)))*'2 MEDIA ALTURA'!F$35</f>
        <v>0</v>
      </c>
      <c r="DF105" s="701">
        <f>IF('2 MEDIA ALTURA'!G29='2 MEDIA ALTURA'!$B$47,IF('2 MEDIA ALTURA'!G$34=112,IF('2 MEDIA ALTURA'!G28=40,1,0)))*'2 MEDIA ALTURA'!G$35</f>
        <v>0</v>
      </c>
      <c r="DG105" s="701">
        <f>IF('2 MEDIA ALTURA'!H29='2 MEDIA ALTURA'!$B$47,IF('2 MEDIA ALTURA'!H$34=112,IF('2 MEDIA ALTURA'!H28=40,1,0)))*'2 MEDIA ALTURA'!H$35</f>
        <v>0</v>
      </c>
      <c r="DH105" s="701">
        <f>IF('2 MEDIA ALTURA'!I29='2 MEDIA ALTURA'!$B$47,IF('2 MEDIA ALTURA'!I$34=112,IF('2 MEDIA ALTURA'!I28=40,1,0)))*'2 MEDIA ALTURA'!I$35</f>
        <v>0</v>
      </c>
      <c r="DI105" s="701">
        <f>IF('2 MEDIA ALTURA'!J29='2 MEDIA ALTURA'!$B$47,IF('2 MEDIA ALTURA'!J$34=112,IF('2 MEDIA ALTURA'!J28=40,1,0)))*'2 MEDIA ALTURA'!J$35</f>
        <v>0</v>
      </c>
      <c r="DJ105" s="701">
        <f>IF('2 MEDIA ALTURA'!K29='2 MEDIA ALTURA'!$B$47,IF('2 MEDIA ALTURA'!K$34=112,IF('2 MEDIA ALTURA'!K28=40,1,0)))*'2 MEDIA ALTURA'!K$35</f>
        <v>0</v>
      </c>
      <c r="DK105" s="701">
        <f>IF('2 MEDIA ALTURA'!L29='2 MEDIA ALTURA'!$B$47,IF('2 MEDIA ALTURA'!L$34=112,IF('2 MEDIA ALTURA'!L28=40,1,0)))*'2 MEDIA ALTURA'!L$35</f>
        <v>0</v>
      </c>
      <c r="DL105" s="701">
        <f>IF('2 MEDIA ALTURA'!M29='2 MEDIA ALTURA'!$B$47,IF('2 MEDIA ALTURA'!M$34=112,IF('2 MEDIA ALTURA'!M28=40,1,0)))*'2 MEDIA ALTURA'!M$35</f>
        <v>0</v>
      </c>
      <c r="DM105" s="701">
        <f>IF('2 MEDIA ALTURA'!N29='2 MEDIA ALTURA'!$B$47,IF('2 MEDIA ALTURA'!N$34=112,IF('2 MEDIA ALTURA'!N28=40,1,0)))*'2 MEDIA ALTURA'!N$35</f>
        <v>0</v>
      </c>
      <c r="DN105" s="706"/>
      <c r="DO105" s="701">
        <f>IF('2 MEDIA ALTURA'!C29='2 MEDIA ALTURA'!$B$47,IF('2 MEDIA ALTURA'!C$34=120,IF('2 MEDIA ALTURA'!C28=40,1,0)))*'2 MEDIA ALTURA'!C$35</f>
        <v>0</v>
      </c>
      <c r="DP105" s="701">
        <f>IF('2 MEDIA ALTURA'!D29='2 MEDIA ALTURA'!$B$47,IF('2 MEDIA ALTURA'!D$34=120,IF('2 MEDIA ALTURA'!D28=40,1,0)))*'2 MEDIA ALTURA'!D$35</f>
        <v>0</v>
      </c>
      <c r="DQ105" s="701">
        <f>IF('2 MEDIA ALTURA'!E29='2 MEDIA ALTURA'!$B$47,IF('2 MEDIA ALTURA'!E$34=120,IF('2 MEDIA ALTURA'!E28=40,1,0)))*'2 MEDIA ALTURA'!E$35</f>
        <v>0</v>
      </c>
      <c r="DR105" s="701">
        <f>IF('2 MEDIA ALTURA'!F29='2 MEDIA ALTURA'!$B$47,IF('2 MEDIA ALTURA'!F$34=120,IF('2 MEDIA ALTURA'!F28=40,1,0)))*'2 MEDIA ALTURA'!F$35</f>
        <v>0</v>
      </c>
      <c r="DS105" s="701">
        <f>IF('2 MEDIA ALTURA'!G29='2 MEDIA ALTURA'!$B$47,IF('2 MEDIA ALTURA'!G$34=120,IF('2 MEDIA ALTURA'!G28=40,1,0)))*'2 MEDIA ALTURA'!G$35</f>
        <v>0</v>
      </c>
      <c r="DT105" s="701">
        <f>IF('2 MEDIA ALTURA'!H29='2 MEDIA ALTURA'!$B$47,IF('2 MEDIA ALTURA'!H$34=120,IF('2 MEDIA ALTURA'!H28=40,1,0)))*'2 MEDIA ALTURA'!H$35</f>
        <v>0</v>
      </c>
      <c r="DU105" s="701">
        <f>IF('2 MEDIA ALTURA'!I29='2 MEDIA ALTURA'!$B$47,IF('2 MEDIA ALTURA'!I$34=120,IF('2 MEDIA ALTURA'!I28=40,1,0)))*'2 MEDIA ALTURA'!I$35</f>
        <v>0</v>
      </c>
      <c r="DV105" s="701">
        <f>IF('2 MEDIA ALTURA'!J29='2 MEDIA ALTURA'!$B$47,IF('2 MEDIA ALTURA'!J$34=120,IF('2 MEDIA ALTURA'!J28=40,1,0)))*'2 MEDIA ALTURA'!J$35</f>
        <v>0</v>
      </c>
      <c r="DW105" s="701">
        <f>IF('2 MEDIA ALTURA'!K29='2 MEDIA ALTURA'!$B$47,IF('2 MEDIA ALTURA'!K$34=120,IF('2 MEDIA ALTURA'!K28=40,1,0)))*'2 MEDIA ALTURA'!K$35</f>
        <v>0</v>
      </c>
      <c r="DX105" s="701">
        <f>IF('2 MEDIA ALTURA'!L29='2 MEDIA ALTURA'!$B$47,IF('2 MEDIA ALTURA'!L$34=120,IF('2 MEDIA ALTURA'!L28=40,1,0)))*'2 MEDIA ALTURA'!L$35</f>
        <v>0</v>
      </c>
      <c r="DY105" s="701">
        <f>IF('2 MEDIA ALTURA'!M29='2 MEDIA ALTURA'!$B$47,IF('2 MEDIA ALTURA'!M$34=120,IF('2 MEDIA ALTURA'!M28=40,1,0)))*'2 MEDIA ALTURA'!M$35</f>
        <v>0</v>
      </c>
      <c r="DZ105" s="701">
        <f>IF('2 MEDIA ALTURA'!N29='2 MEDIA ALTURA'!$B$47,IF('2 MEDIA ALTURA'!N$34=120,IF('2 MEDIA ALTURA'!N28=40,1,0)))*'2 MEDIA ALTURA'!N$35</f>
        <v>0</v>
      </c>
      <c r="EA105" s="706"/>
      <c r="EB105" s="701">
        <f>IF('2 MEDIA ALTURA'!C29='2 MEDIA ALTURA'!$B$47,IF('2 MEDIA ALTURA'!C$34=140,IF('2 MEDIA ALTURA'!C28=40,1,0)))*'2 MEDIA ALTURA'!C$35</f>
        <v>0</v>
      </c>
      <c r="EC105" s="701">
        <f>IF('2 MEDIA ALTURA'!D29='2 MEDIA ALTURA'!$B$47,IF('2 MEDIA ALTURA'!D$34=140,IF('2 MEDIA ALTURA'!D28=40,1,0)))*'2 MEDIA ALTURA'!D$35</f>
        <v>0</v>
      </c>
      <c r="ED105" s="701">
        <f>IF('2 MEDIA ALTURA'!E29='2 MEDIA ALTURA'!$B$47,IF('2 MEDIA ALTURA'!E$34=140,IF('2 MEDIA ALTURA'!E28=40,1,0)))*'2 MEDIA ALTURA'!E$35</f>
        <v>0</v>
      </c>
      <c r="EE105" s="701">
        <f>IF('2 MEDIA ALTURA'!F29='2 MEDIA ALTURA'!$B$47,IF('2 MEDIA ALTURA'!F$34=140,IF('2 MEDIA ALTURA'!F28=40,1,0)))*'2 MEDIA ALTURA'!F$35</f>
        <v>0</v>
      </c>
      <c r="EF105" s="701">
        <f>IF('2 MEDIA ALTURA'!G29='2 MEDIA ALTURA'!$B$47,IF('2 MEDIA ALTURA'!G$34=140,IF('2 MEDIA ALTURA'!G28=40,1,0)))*'2 MEDIA ALTURA'!G$35</f>
        <v>0</v>
      </c>
      <c r="EG105" s="701">
        <f>IF('2 MEDIA ALTURA'!H29='2 MEDIA ALTURA'!$B$47,IF('2 MEDIA ALTURA'!H$34=140,IF('2 MEDIA ALTURA'!H28=40,1,0)))*'2 MEDIA ALTURA'!H$35</f>
        <v>0</v>
      </c>
      <c r="EH105" s="701">
        <f>IF('2 MEDIA ALTURA'!I29='2 MEDIA ALTURA'!$B$47,IF('2 MEDIA ALTURA'!I$34=140,IF('2 MEDIA ALTURA'!I28=40,1,0)))*'2 MEDIA ALTURA'!I$35</f>
        <v>0</v>
      </c>
      <c r="EI105" s="701">
        <f>IF('2 MEDIA ALTURA'!J29='2 MEDIA ALTURA'!$B$47,IF('2 MEDIA ALTURA'!J$34=140,IF('2 MEDIA ALTURA'!J28=40,1,0)))*'2 MEDIA ALTURA'!J$35</f>
        <v>0</v>
      </c>
      <c r="EJ105" s="701">
        <f>IF('2 MEDIA ALTURA'!K29='2 MEDIA ALTURA'!$B$47,IF('2 MEDIA ALTURA'!K$34=140,IF('2 MEDIA ALTURA'!K28=40,1,0)))*'2 MEDIA ALTURA'!K$35</f>
        <v>0</v>
      </c>
      <c r="EK105" s="701">
        <f>IF('2 MEDIA ALTURA'!L29='2 MEDIA ALTURA'!$B$47,IF('2 MEDIA ALTURA'!L$34=140,IF('2 MEDIA ALTURA'!L28=40,1,0)))*'2 MEDIA ALTURA'!L$35</f>
        <v>0</v>
      </c>
      <c r="EL105" s="701">
        <f>IF('2 MEDIA ALTURA'!M29='2 MEDIA ALTURA'!$B$47,IF('2 MEDIA ALTURA'!M$34=140,IF('2 MEDIA ALTURA'!M28=40,1,0)))*'2 MEDIA ALTURA'!M$35</f>
        <v>0</v>
      </c>
      <c r="EM105" s="701">
        <f>IF('2 MEDIA ALTURA'!N29='2 MEDIA ALTURA'!$B$47,IF('2 MEDIA ALTURA'!N$34=140,IF('2 MEDIA ALTURA'!N28=40,1,0)))*'2 MEDIA ALTURA'!N$35</f>
        <v>0</v>
      </c>
      <c r="EN105" s="706"/>
      <c r="EO105" s="701">
        <f>IF('2 MEDIA ALTURA'!C29='2 MEDIA ALTURA'!$B$47,IF('2 MEDIA ALTURA'!C$34=150,IF('2 MEDIA ALTURA'!C28=40,1,0)))*'2 MEDIA ALTURA'!C$35</f>
        <v>0</v>
      </c>
      <c r="EP105" s="701">
        <f>IF('2 MEDIA ALTURA'!D29='2 MEDIA ALTURA'!$B$47,IF('2 MEDIA ALTURA'!D$34=150,IF('2 MEDIA ALTURA'!D28=40,1,0)))*'2 MEDIA ALTURA'!D$35</f>
        <v>0</v>
      </c>
      <c r="EQ105" s="701">
        <f>IF('2 MEDIA ALTURA'!E29='2 MEDIA ALTURA'!$B$47,IF('2 MEDIA ALTURA'!E$34=150,IF('2 MEDIA ALTURA'!E28=40,1,0)))*'2 MEDIA ALTURA'!E$35</f>
        <v>0</v>
      </c>
      <c r="ER105" s="701">
        <f>IF('2 MEDIA ALTURA'!F29='2 MEDIA ALTURA'!$B$47,IF('2 MEDIA ALTURA'!F$34=150,IF('2 MEDIA ALTURA'!F28=40,1,0)))*'2 MEDIA ALTURA'!F$35</f>
        <v>0</v>
      </c>
      <c r="ES105" s="701">
        <f>IF('2 MEDIA ALTURA'!G29='2 MEDIA ALTURA'!$B$47,IF('2 MEDIA ALTURA'!G$34=150,IF('2 MEDIA ALTURA'!G28=40,1,0)))*'2 MEDIA ALTURA'!G$35</f>
        <v>0</v>
      </c>
      <c r="ET105" s="701">
        <f>IF('2 MEDIA ALTURA'!H29='2 MEDIA ALTURA'!$B$47,IF('2 MEDIA ALTURA'!H$34=150,IF('2 MEDIA ALTURA'!H28=40,1,0)))*'2 MEDIA ALTURA'!H$35</f>
        <v>0</v>
      </c>
      <c r="EU105" s="701">
        <f>IF('2 MEDIA ALTURA'!I29='2 MEDIA ALTURA'!$B$47,IF('2 MEDIA ALTURA'!I$34=150,IF('2 MEDIA ALTURA'!I28=40,1,0)))*'2 MEDIA ALTURA'!I$35</f>
        <v>0</v>
      </c>
      <c r="EV105" s="701">
        <f>IF('2 MEDIA ALTURA'!J29='2 MEDIA ALTURA'!$B$47,IF('2 MEDIA ALTURA'!J$34=150,IF('2 MEDIA ALTURA'!J28=40,1,0)))*'2 MEDIA ALTURA'!J$35</f>
        <v>0</v>
      </c>
      <c r="EW105" s="701">
        <f>IF('2 MEDIA ALTURA'!K29='2 MEDIA ALTURA'!$B$47,IF('2 MEDIA ALTURA'!K$34=150,IF('2 MEDIA ALTURA'!K28=40,1,0)))*'2 MEDIA ALTURA'!K$35</f>
        <v>0</v>
      </c>
      <c r="EX105" s="701">
        <f>IF('2 MEDIA ALTURA'!L29='2 MEDIA ALTURA'!$B$47,IF('2 MEDIA ALTURA'!L$34=150,IF('2 MEDIA ALTURA'!L28=40,1,0)))*'2 MEDIA ALTURA'!L$35</f>
        <v>0</v>
      </c>
      <c r="EY105" s="701">
        <f>IF('2 MEDIA ALTURA'!M29='2 MEDIA ALTURA'!$B$47,IF('2 MEDIA ALTURA'!M$34=150,IF('2 MEDIA ALTURA'!M28=40,1,0)))*'2 MEDIA ALTURA'!M$35</f>
        <v>0</v>
      </c>
      <c r="EZ105" s="701">
        <f>IF('2 MEDIA ALTURA'!N29='2 MEDIA ALTURA'!$B$47,IF('2 MEDIA ALTURA'!N$34=150,IF('2 MEDIA ALTURA'!N28=40,1,0)))*'2 MEDIA ALTURA'!N$35</f>
        <v>0</v>
      </c>
      <c r="FA105" s="706"/>
    </row>
    <row r="106" spans="1:207" x14ac:dyDescent="0.35">
      <c r="A106" s="838"/>
      <c r="B106" s="701"/>
      <c r="C106" s="701"/>
      <c r="D106" s="701"/>
      <c r="E106" s="701"/>
      <c r="F106" s="701"/>
      <c r="G106" s="701"/>
      <c r="H106" s="701"/>
      <c r="I106" s="701"/>
      <c r="J106" s="701"/>
      <c r="K106" s="701"/>
      <c r="L106" s="701"/>
      <c r="M106" s="701"/>
      <c r="N106" s="861"/>
      <c r="O106" s="705"/>
      <c r="P106" s="705"/>
      <c r="Q106" s="705"/>
      <c r="R106" s="705"/>
      <c r="S106" s="705"/>
      <c r="T106" s="705"/>
      <c r="U106" s="705"/>
      <c r="V106" s="705"/>
      <c r="W106" s="705"/>
      <c r="X106" s="705"/>
      <c r="Y106" s="705"/>
      <c r="Z106" s="705"/>
      <c r="AA106" s="861"/>
      <c r="AB106" s="705"/>
      <c r="AC106" s="705"/>
      <c r="AD106" s="705"/>
      <c r="AE106" s="705"/>
      <c r="AF106" s="705"/>
      <c r="AG106" s="705"/>
      <c r="AH106" s="705"/>
      <c r="AI106" s="705"/>
      <c r="AJ106" s="705"/>
      <c r="AK106" s="705"/>
      <c r="AL106" s="705"/>
      <c r="AM106" s="705"/>
      <c r="AN106" s="861"/>
      <c r="AO106" s="705"/>
      <c r="AP106" s="705"/>
      <c r="AQ106" s="705"/>
      <c r="AR106" s="705"/>
      <c r="AS106" s="705"/>
      <c r="AT106" s="705"/>
      <c r="AU106" s="705"/>
      <c r="AV106" s="705"/>
      <c r="AW106" s="705"/>
      <c r="AX106" s="705"/>
      <c r="AY106" s="705"/>
      <c r="AZ106" s="705"/>
      <c r="BA106" s="861"/>
      <c r="BB106" s="705"/>
      <c r="BC106" s="705"/>
      <c r="BD106" s="705"/>
      <c r="BE106" s="705"/>
      <c r="BF106" s="705"/>
      <c r="BG106" s="705"/>
      <c r="BH106" s="705"/>
      <c r="BI106" s="705"/>
      <c r="BJ106" s="705"/>
      <c r="BK106" s="705"/>
      <c r="BL106" s="705"/>
      <c r="BM106" s="705"/>
      <c r="BN106" s="861"/>
      <c r="BO106" s="705"/>
      <c r="BP106" s="705"/>
      <c r="BQ106" s="705"/>
      <c r="BR106" s="705"/>
      <c r="BS106" s="705"/>
      <c r="BT106" s="705"/>
      <c r="BU106" s="705"/>
      <c r="BV106" s="705"/>
      <c r="BW106" s="705"/>
      <c r="BX106" s="705"/>
      <c r="BY106" s="705"/>
      <c r="BZ106" s="705"/>
      <c r="CA106" s="861"/>
      <c r="CB106" s="705"/>
      <c r="CC106" s="705"/>
      <c r="CD106" s="705"/>
      <c r="CE106" s="705"/>
      <c r="CF106" s="705"/>
      <c r="CG106" s="705"/>
      <c r="CH106" s="705"/>
      <c r="CI106" s="705"/>
      <c r="CJ106" s="705"/>
      <c r="CK106" s="705"/>
      <c r="CL106" s="705"/>
      <c r="CM106" s="705"/>
      <c r="CN106" s="861"/>
      <c r="CO106" s="705"/>
      <c r="CP106" s="705"/>
      <c r="CQ106" s="705"/>
      <c r="CR106" s="705"/>
      <c r="CS106" s="705"/>
      <c r="CT106" s="705"/>
      <c r="CU106" s="705"/>
      <c r="CV106" s="705"/>
      <c r="CW106" s="705"/>
      <c r="CX106" s="705"/>
      <c r="CY106" s="705"/>
      <c r="CZ106" s="705"/>
      <c r="DA106" s="861"/>
      <c r="DB106" s="705"/>
      <c r="DC106" s="705"/>
      <c r="DD106" s="705"/>
      <c r="DE106" s="705"/>
      <c r="DF106" s="705"/>
      <c r="DG106" s="705"/>
      <c r="DH106" s="705"/>
      <c r="DI106" s="705"/>
      <c r="DJ106" s="705"/>
      <c r="DK106" s="705"/>
      <c r="DL106" s="705"/>
      <c r="DM106" s="705"/>
      <c r="DN106" s="861"/>
      <c r="DO106" s="705"/>
      <c r="DP106" s="705"/>
      <c r="DQ106" s="705"/>
      <c r="DR106" s="705"/>
      <c r="DS106" s="705"/>
      <c r="DT106" s="705"/>
      <c r="DU106" s="705"/>
      <c r="DV106" s="705"/>
      <c r="DW106" s="705"/>
      <c r="DX106" s="705"/>
      <c r="DY106" s="705"/>
      <c r="DZ106" s="705"/>
      <c r="EA106" s="861"/>
      <c r="EB106" s="705"/>
      <c r="EC106" s="705"/>
      <c r="ED106" s="705"/>
      <c r="EE106" s="705"/>
      <c r="EF106" s="705"/>
      <c r="EG106" s="705"/>
      <c r="EH106" s="705"/>
      <c r="EI106" s="705"/>
      <c r="EJ106" s="705"/>
      <c r="EK106" s="705"/>
      <c r="EL106" s="705"/>
      <c r="EM106" s="705"/>
      <c r="EN106" s="861"/>
      <c r="EO106" s="705"/>
      <c r="EP106" s="705"/>
      <c r="EQ106" s="705"/>
      <c r="ER106" s="705"/>
      <c r="ES106" s="705"/>
      <c r="ET106" s="705"/>
      <c r="EU106" s="705"/>
      <c r="EV106" s="705"/>
      <c r="EW106" s="705"/>
      <c r="EX106" s="705"/>
      <c r="EY106" s="705"/>
      <c r="EZ106" s="705"/>
      <c r="FA106" s="861"/>
    </row>
    <row r="107" spans="1:207" x14ac:dyDescent="0.35">
      <c r="A107" s="838"/>
      <c r="B107" s="701" t="s">
        <v>1002</v>
      </c>
      <c r="C107" s="701"/>
      <c r="D107" s="701"/>
      <c r="E107" s="701"/>
      <c r="F107" s="701"/>
      <c r="G107" s="701"/>
      <c r="H107" s="701"/>
      <c r="I107" s="701"/>
      <c r="J107" s="701"/>
      <c r="K107" s="701"/>
      <c r="L107" s="701"/>
      <c r="M107" s="701"/>
      <c r="N107" s="706"/>
      <c r="O107" s="702" t="s">
        <v>1012</v>
      </c>
      <c r="P107" s="702"/>
      <c r="Q107" s="702"/>
      <c r="R107" s="702"/>
      <c r="S107" s="702"/>
      <c r="T107" s="702"/>
      <c r="U107" s="702"/>
      <c r="V107" s="702"/>
      <c r="W107" s="702"/>
      <c r="X107" s="702"/>
      <c r="Y107" s="702"/>
      <c r="Z107" s="702"/>
      <c r="AA107" s="706"/>
      <c r="AB107" s="702" t="s">
        <v>1005</v>
      </c>
      <c r="AC107" s="702"/>
      <c r="AD107" s="702"/>
      <c r="AE107" s="702"/>
      <c r="AF107" s="702"/>
      <c r="AG107" s="702"/>
      <c r="AH107" s="702"/>
      <c r="AI107" s="702"/>
      <c r="AJ107" s="702"/>
      <c r="AK107" s="702"/>
      <c r="AL107" s="702"/>
      <c r="AM107" s="702"/>
      <c r="AN107" s="706"/>
      <c r="AO107" s="702" t="s">
        <v>1007</v>
      </c>
      <c r="AP107" s="702"/>
      <c r="AQ107" s="702"/>
      <c r="AR107" s="702"/>
      <c r="AS107" s="702"/>
      <c r="AT107" s="702"/>
      <c r="AU107" s="702"/>
      <c r="AV107" s="702"/>
      <c r="AW107" s="702"/>
      <c r="AX107" s="702"/>
      <c r="AY107" s="702"/>
      <c r="AZ107" s="702"/>
      <c r="BA107" s="706"/>
      <c r="BB107" s="702" t="s">
        <v>1009</v>
      </c>
      <c r="BC107" s="702"/>
      <c r="BD107" s="702"/>
      <c r="BE107" s="702"/>
      <c r="BF107" s="702"/>
      <c r="BG107" s="702"/>
      <c r="BH107" s="702"/>
      <c r="BI107" s="702"/>
      <c r="BJ107" s="702"/>
      <c r="BK107" s="702"/>
      <c r="BL107" s="702"/>
      <c r="BM107" s="702"/>
      <c r="BN107" s="706"/>
      <c r="BO107" s="702" t="s">
        <v>1011</v>
      </c>
      <c r="BP107" s="702"/>
      <c r="BQ107" s="702"/>
      <c r="BR107" s="702"/>
      <c r="BS107" s="702"/>
      <c r="BT107" s="702"/>
      <c r="BU107" s="702"/>
      <c r="BV107" s="702"/>
      <c r="BW107" s="702"/>
      <c r="BX107" s="702"/>
      <c r="BY107" s="702"/>
      <c r="BZ107" s="702"/>
      <c r="CA107" s="706"/>
      <c r="CB107" s="702" t="s">
        <v>1014</v>
      </c>
      <c r="CC107" s="702"/>
      <c r="CD107" s="702"/>
      <c r="CE107" s="702"/>
      <c r="CF107" s="702"/>
      <c r="CG107" s="702"/>
      <c r="CH107" s="702"/>
      <c r="CI107" s="702"/>
      <c r="CJ107" s="702"/>
      <c r="CK107" s="702"/>
      <c r="CL107" s="702"/>
      <c r="CM107" s="702"/>
      <c r="CN107" s="706"/>
      <c r="CO107" s="702" t="s">
        <v>1016</v>
      </c>
      <c r="CP107" s="702"/>
      <c r="CQ107" s="702"/>
      <c r="CR107" s="702"/>
      <c r="CS107" s="702"/>
      <c r="CT107" s="702"/>
      <c r="CU107" s="702"/>
      <c r="CV107" s="702"/>
      <c r="CW107" s="702"/>
      <c r="CX107" s="702"/>
      <c r="CY107" s="702"/>
      <c r="CZ107" s="702"/>
      <c r="DA107" s="706"/>
      <c r="DB107" s="702" t="s">
        <v>1018</v>
      </c>
      <c r="DC107" s="702"/>
      <c r="DD107" s="702"/>
      <c r="DE107" s="702"/>
      <c r="DF107" s="702"/>
      <c r="DG107" s="702"/>
      <c r="DH107" s="702"/>
      <c r="DI107" s="702"/>
      <c r="DJ107" s="702"/>
      <c r="DK107" s="702"/>
      <c r="DL107" s="702"/>
      <c r="DM107" s="702"/>
      <c r="DN107" s="706"/>
      <c r="DO107" s="702" t="s">
        <v>1020</v>
      </c>
      <c r="DP107" s="702"/>
      <c r="DQ107" s="702"/>
      <c r="DR107" s="702"/>
      <c r="DS107" s="702"/>
      <c r="DT107" s="702"/>
      <c r="DU107" s="702"/>
      <c r="DV107" s="702"/>
      <c r="DW107" s="702"/>
      <c r="DX107" s="702"/>
      <c r="DY107" s="702"/>
      <c r="DZ107" s="702"/>
      <c r="EA107" s="706"/>
      <c r="EB107" s="702" t="s">
        <v>1022</v>
      </c>
      <c r="EC107" s="702"/>
      <c r="ED107" s="702"/>
      <c r="EE107" s="702"/>
      <c r="EF107" s="702"/>
      <c r="EG107" s="702"/>
      <c r="EH107" s="702"/>
      <c r="EI107" s="702"/>
      <c r="EJ107" s="702"/>
      <c r="EK107" s="702"/>
      <c r="EL107" s="702"/>
      <c r="EM107" s="702"/>
      <c r="EN107" s="706"/>
      <c r="EO107" s="702" t="s">
        <v>1024</v>
      </c>
      <c r="EP107" s="702"/>
      <c r="EQ107" s="702"/>
      <c r="ER107" s="702"/>
      <c r="ES107" s="702"/>
      <c r="ET107" s="702"/>
      <c r="EU107" s="702"/>
      <c r="EV107" s="702"/>
      <c r="EW107" s="702"/>
      <c r="EX107" s="702"/>
      <c r="EY107" s="702"/>
      <c r="EZ107" s="702"/>
      <c r="FA107" s="706"/>
    </row>
    <row r="108" spans="1:207" x14ac:dyDescent="0.35">
      <c r="A108" s="838"/>
      <c r="B108" s="701">
        <f>IF('2 MEDIA ALTURA'!C21='2 MEDIA ALTURA'!$B$47,IF('2 MEDIA ALTURA'!C$34=28,IF('2 MEDIA ALTURA'!C20=20,1,0)))*'2 MEDIA ALTURA'!C$35</f>
        <v>0</v>
      </c>
      <c r="C108" s="701">
        <f>IF('2 MEDIA ALTURA'!D21='2 MEDIA ALTURA'!$B$47,IF('2 MEDIA ALTURA'!D$34=28,IF('2 MEDIA ALTURA'!D20=20,1,0)))*'2 MEDIA ALTURA'!D$35</f>
        <v>0</v>
      </c>
      <c r="D108" s="701">
        <f>IF('2 MEDIA ALTURA'!E21='2 MEDIA ALTURA'!$B$47,IF('2 MEDIA ALTURA'!E$34=28,IF('2 MEDIA ALTURA'!E20=20,1,0)))*'2 MEDIA ALTURA'!E$35</f>
        <v>0</v>
      </c>
      <c r="E108" s="701">
        <f>IF('2 MEDIA ALTURA'!F21='2 MEDIA ALTURA'!$B$47,IF('2 MEDIA ALTURA'!F$34=28,IF('2 MEDIA ALTURA'!F20=20,1,0)))*'2 MEDIA ALTURA'!F$35</f>
        <v>0</v>
      </c>
      <c r="F108" s="701">
        <f>IF('2 MEDIA ALTURA'!G21='2 MEDIA ALTURA'!$B$47,IF('2 MEDIA ALTURA'!G$34=28,IF('2 MEDIA ALTURA'!G20=20,1,0)))*'2 MEDIA ALTURA'!G$35</f>
        <v>0</v>
      </c>
      <c r="G108" s="701">
        <f>IF('2 MEDIA ALTURA'!H21='2 MEDIA ALTURA'!$B$47,IF('2 MEDIA ALTURA'!H$34=28,IF('2 MEDIA ALTURA'!H20=20,1,0)))*'2 MEDIA ALTURA'!H$35</f>
        <v>0</v>
      </c>
      <c r="H108" s="701">
        <f>IF('2 MEDIA ALTURA'!I21='2 MEDIA ALTURA'!$B$47,IF('2 MEDIA ALTURA'!I$34=28,IF('2 MEDIA ALTURA'!I20=20,1,0)))*'2 MEDIA ALTURA'!I$35</f>
        <v>0</v>
      </c>
      <c r="I108" s="701">
        <f>IF('2 MEDIA ALTURA'!J21='2 MEDIA ALTURA'!$B$47,IF('2 MEDIA ALTURA'!J$34=28,IF('2 MEDIA ALTURA'!J20=20,1,0)))*'2 MEDIA ALTURA'!J$35</f>
        <v>0</v>
      </c>
      <c r="J108" s="701">
        <f>IF('2 MEDIA ALTURA'!K21='2 MEDIA ALTURA'!$B$47,IF('2 MEDIA ALTURA'!K$34=28,IF('2 MEDIA ALTURA'!K20=20,1,0)))*'2 MEDIA ALTURA'!K$35</f>
        <v>0</v>
      </c>
      <c r="K108" s="701">
        <f>IF('2 MEDIA ALTURA'!L21='2 MEDIA ALTURA'!$B$47,IF('2 MEDIA ALTURA'!L$34=28,IF('2 MEDIA ALTURA'!L20=20,1,0)))*'2 MEDIA ALTURA'!L$35</f>
        <v>0</v>
      </c>
      <c r="L108" s="701">
        <f>IF('2 MEDIA ALTURA'!M21='2 MEDIA ALTURA'!$B$47,IF('2 MEDIA ALTURA'!M$34=28,IF('2 MEDIA ALTURA'!M20=20,1,0)))*'2 MEDIA ALTURA'!M$35</f>
        <v>0</v>
      </c>
      <c r="M108" s="701">
        <f>IF('2 MEDIA ALTURA'!N21='2 MEDIA ALTURA'!$B$47,IF('2 MEDIA ALTURA'!N$34=28,IF('2 MEDIA ALTURA'!N20=20,1,0)))*'2 MEDIA ALTURA'!N$35</f>
        <v>0</v>
      </c>
      <c r="N108" s="706">
        <f>SUM(B108:M116)</f>
        <v>0</v>
      </c>
      <c r="O108" s="701">
        <f>IF('2 MEDIA ALTURA'!C21='2 MEDIA ALTURA'!$B$47,IF('2 MEDIA ALTURA'!C$34=30,IF('2 MEDIA ALTURA'!C20=20,1,0)))*'2 MEDIA ALTURA'!C$35</f>
        <v>0</v>
      </c>
      <c r="P108" s="701">
        <f>IF('2 MEDIA ALTURA'!D21='2 MEDIA ALTURA'!$B$47,IF('2 MEDIA ALTURA'!D$34=30,IF('2 MEDIA ALTURA'!D20=20,1,0)))*'2 MEDIA ALTURA'!D$35</f>
        <v>0</v>
      </c>
      <c r="Q108" s="701">
        <f>IF('2 MEDIA ALTURA'!E21='2 MEDIA ALTURA'!$B$47,IF('2 MEDIA ALTURA'!E$34=30,IF('2 MEDIA ALTURA'!E20=20,1,0)))*'2 MEDIA ALTURA'!E$35</f>
        <v>0</v>
      </c>
      <c r="R108" s="701">
        <f>IF('2 MEDIA ALTURA'!F21='2 MEDIA ALTURA'!$B$47,IF('2 MEDIA ALTURA'!F$34=30,IF('2 MEDIA ALTURA'!F20=20,1,0)))*'2 MEDIA ALTURA'!F$35</f>
        <v>0</v>
      </c>
      <c r="S108" s="701">
        <f>IF('2 MEDIA ALTURA'!G21='2 MEDIA ALTURA'!$B$47,IF('2 MEDIA ALTURA'!G$34=30,IF('2 MEDIA ALTURA'!G20=20,1,0)))*'2 MEDIA ALTURA'!G$35</f>
        <v>0</v>
      </c>
      <c r="T108" s="701">
        <f>IF('2 MEDIA ALTURA'!H21='2 MEDIA ALTURA'!$B$47,IF('2 MEDIA ALTURA'!H$34=30,IF('2 MEDIA ALTURA'!H20=20,1,0)))*'2 MEDIA ALTURA'!H$35</f>
        <v>0</v>
      </c>
      <c r="U108" s="701">
        <f>IF('2 MEDIA ALTURA'!I21='2 MEDIA ALTURA'!$B$47,IF('2 MEDIA ALTURA'!I$34=30,IF('2 MEDIA ALTURA'!I20=20,1,0)))*'2 MEDIA ALTURA'!I$35</f>
        <v>0</v>
      </c>
      <c r="V108" s="701">
        <f>IF('2 MEDIA ALTURA'!J21='2 MEDIA ALTURA'!$B$47,IF('2 MEDIA ALTURA'!J$34=30,IF('2 MEDIA ALTURA'!J20=20,1,0)))*'2 MEDIA ALTURA'!J$35</f>
        <v>0</v>
      </c>
      <c r="W108" s="701">
        <f>IF('2 MEDIA ALTURA'!K21='2 MEDIA ALTURA'!$B$47,IF('2 MEDIA ALTURA'!K$34=30,IF('2 MEDIA ALTURA'!K20=20,1,0)))*'2 MEDIA ALTURA'!K$35</f>
        <v>0</v>
      </c>
      <c r="X108" s="701">
        <f>IF('2 MEDIA ALTURA'!L21='2 MEDIA ALTURA'!$B$47,IF('2 MEDIA ALTURA'!L$34=30,IF('2 MEDIA ALTURA'!L20=20,1,0)))*'2 MEDIA ALTURA'!L$35</f>
        <v>0</v>
      </c>
      <c r="Y108" s="701">
        <f>IF('2 MEDIA ALTURA'!M21='2 MEDIA ALTURA'!$B$47,IF('2 MEDIA ALTURA'!M$34=30,IF('2 MEDIA ALTURA'!M20=20,1,0)))*'2 MEDIA ALTURA'!M$35</f>
        <v>0</v>
      </c>
      <c r="Z108" s="701">
        <f>IF('2 MEDIA ALTURA'!N21='2 MEDIA ALTURA'!$B$47,IF('2 MEDIA ALTURA'!N$34=30,IF('2 MEDIA ALTURA'!N20=20,1,0)))*'2 MEDIA ALTURA'!N$35</f>
        <v>0</v>
      </c>
      <c r="AA108" s="706">
        <f>SUM(O104:Z112)</f>
        <v>0</v>
      </c>
      <c r="AB108" s="701">
        <f>IF('2 MEDIA ALTURA'!C21='2 MEDIA ALTURA'!$B$47,IF('2 MEDIA ALTURA'!C$34=56,IF('2 MEDIA ALTURA'!C20=20,1,0)))*'2 MEDIA ALTURA'!C$35</f>
        <v>0</v>
      </c>
      <c r="AC108" s="701">
        <f>IF('2 MEDIA ALTURA'!D21='2 MEDIA ALTURA'!$B$47,IF('2 MEDIA ALTURA'!D$34=56,IF('2 MEDIA ALTURA'!D20=20,1,0)))*'2 MEDIA ALTURA'!D$35</f>
        <v>0</v>
      </c>
      <c r="AD108" s="701">
        <f>IF('2 MEDIA ALTURA'!E21='2 MEDIA ALTURA'!$B$47,IF('2 MEDIA ALTURA'!E$34=56,IF('2 MEDIA ALTURA'!E20=20,1,0)))*'2 MEDIA ALTURA'!E$35</f>
        <v>0</v>
      </c>
      <c r="AE108" s="701">
        <f>IF('2 MEDIA ALTURA'!F21='2 MEDIA ALTURA'!$B$47,IF('2 MEDIA ALTURA'!F$34=56,IF('2 MEDIA ALTURA'!F20=20,1,0)))*'2 MEDIA ALTURA'!F$35</f>
        <v>0</v>
      </c>
      <c r="AF108" s="701">
        <f>IF('2 MEDIA ALTURA'!G21='2 MEDIA ALTURA'!$B$47,IF('2 MEDIA ALTURA'!G$34=56,IF('2 MEDIA ALTURA'!G20=20,1,0)))*'2 MEDIA ALTURA'!G$35</f>
        <v>0</v>
      </c>
      <c r="AG108" s="701">
        <f>IF('2 MEDIA ALTURA'!H21='2 MEDIA ALTURA'!$B$47,IF('2 MEDIA ALTURA'!H$34=56,IF('2 MEDIA ALTURA'!H20=20,1,0)))*'2 MEDIA ALTURA'!H$35</f>
        <v>0</v>
      </c>
      <c r="AH108" s="701">
        <f>IF('2 MEDIA ALTURA'!I21='2 MEDIA ALTURA'!$B$47,IF('2 MEDIA ALTURA'!I$34=56,IF('2 MEDIA ALTURA'!I20=20,1,0)))*'2 MEDIA ALTURA'!I$35</f>
        <v>0</v>
      </c>
      <c r="AI108" s="701">
        <f>IF('2 MEDIA ALTURA'!J21='2 MEDIA ALTURA'!$B$47,IF('2 MEDIA ALTURA'!J$34=56,IF('2 MEDIA ALTURA'!J20=20,1,0)))*'2 MEDIA ALTURA'!J$35</f>
        <v>0</v>
      </c>
      <c r="AJ108" s="701">
        <f>IF('2 MEDIA ALTURA'!K21='2 MEDIA ALTURA'!$B$47,IF('2 MEDIA ALTURA'!K$34=56,IF('2 MEDIA ALTURA'!K20=20,1,0)))*'2 MEDIA ALTURA'!K$35</f>
        <v>0</v>
      </c>
      <c r="AK108" s="701">
        <f>IF('2 MEDIA ALTURA'!L21='2 MEDIA ALTURA'!$B$47,IF('2 MEDIA ALTURA'!L$34=56,IF('2 MEDIA ALTURA'!L20=20,1,0)))*'2 MEDIA ALTURA'!L$35</f>
        <v>0</v>
      </c>
      <c r="AL108" s="701">
        <f>IF('2 MEDIA ALTURA'!M21='2 MEDIA ALTURA'!$B$47,IF('2 MEDIA ALTURA'!M$34=56,IF('2 MEDIA ALTURA'!M20=20,1,0)))*'2 MEDIA ALTURA'!M$35</f>
        <v>0</v>
      </c>
      <c r="AM108" s="701">
        <f>IF('2 MEDIA ALTURA'!N21='2 MEDIA ALTURA'!$B$47,IF('2 MEDIA ALTURA'!N$34=56,IF('2 MEDIA ALTURA'!N20=20,1,0)))*'2 MEDIA ALTURA'!N$35</f>
        <v>0</v>
      </c>
      <c r="AN108" s="706">
        <f>SUM(AB108:AM116)</f>
        <v>0</v>
      </c>
      <c r="AO108" s="701">
        <f>IF('2 MEDIA ALTURA'!C21='2 MEDIA ALTURA'!$B$47,IF('2 MEDIA ALTURA'!C$34=60,IF('2 MEDIA ALTURA'!C20=20,1,0)))*'2 MEDIA ALTURA'!C$35</f>
        <v>0</v>
      </c>
      <c r="AP108" s="701">
        <f>IF('2 MEDIA ALTURA'!D21='2 MEDIA ALTURA'!$B$47,IF('2 MEDIA ALTURA'!D$34=60,IF('2 MEDIA ALTURA'!D20=20,1,0)))*'2 MEDIA ALTURA'!D$35</f>
        <v>0</v>
      </c>
      <c r="AQ108" s="701">
        <f>IF('2 MEDIA ALTURA'!E21='2 MEDIA ALTURA'!$B$47,IF('2 MEDIA ALTURA'!E$34=60,IF('2 MEDIA ALTURA'!E20=20,1,0)))*'2 MEDIA ALTURA'!E$35</f>
        <v>0</v>
      </c>
      <c r="AR108" s="701">
        <f>IF('2 MEDIA ALTURA'!F21='2 MEDIA ALTURA'!$B$47,IF('2 MEDIA ALTURA'!F$34=60,IF('2 MEDIA ALTURA'!F20=20,1,0)))*'2 MEDIA ALTURA'!F$35</f>
        <v>0</v>
      </c>
      <c r="AS108" s="701">
        <f>IF('2 MEDIA ALTURA'!G21='2 MEDIA ALTURA'!$B$47,IF('2 MEDIA ALTURA'!G$34=60,IF('2 MEDIA ALTURA'!G20=20,1,0)))*'2 MEDIA ALTURA'!G$35</f>
        <v>0</v>
      </c>
      <c r="AT108" s="701">
        <f>IF('2 MEDIA ALTURA'!H21='2 MEDIA ALTURA'!$B$47,IF('2 MEDIA ALTURA'!H$34=60,IF('2 MEDIA ALTURA'!H20=20,1,0)))*'2 MEDIA ALTURA'!H$35</f>
        <v>0</v>
      </c>
      <c r="AU108" s="701">
        <f>IF('2 MEDIA ALTURA'!I21='2 MEDIA ALTURA'!$B$47,IF('2 MEDIA ALTURA'!I$34=60,IF('2 MEDIA ALTURA'!I20=20,1,0)))*'2 MEDIA ALTURA'!I$35</f>
        <v>0</v>
      </c>
      <c r="AV108" s="701">
        <f>IF('2 MEDIA ALTURA'!J21='2 MEDIA ALTURA'!$B$47,IF('2 MEDIA ALTURA'!J$34=60,IF('2 MEDIA ALTURA'!J20=20,1,0)))*'2 MEDIA ALTURA'!J$35</f>
        <v>0</v>
      </c>
      <c r="AW108" s="701">
        <f>IF('2 MEDIA ALTURA'!K21='2 MEDIA ALTURA'!$B$47,IF('2 MEDIA ALTURA'!K$34=60,IF('2 MEDIA ALTURA'!K20=20,1,0)))*'2 MEDIA ALTURA'!K$35</f>
        <v>0</v>
      </c>
      <c r="AX108" s="701">
        <f>IF('2 MEDIA ALTURA'!L21='2 MEDIA ALTURA'!$B$47,IF('2 MEDIA ALTURA'!L$34=60,IF('2 MEDIA ALTURA'!L20=20,1,0)))*'2 MEDIA ALTURA'!L$35</f>
        <v>0</v>
      </c>
      <c r="AY108" s="701">
        <f>IF('2 MEDIA ALTURA'!M21='2 MEDIA ALTURA'!$B$47,IF('2 MEDIA ALTURA'!M$34=60,IF('2 MEDIA ALTURA'!M20=20,1,0)))*'2 MEDIA ALTURA'!M$35</f>
        <v>0</v>
      </c>
      <c r="AZ108" s="701">
        <f>IF('2 MEDIA ALTURA'!N21='2 MEDIA ALTURA'!$B$47,IF('2 MEDIA ALTURA'!N$34=60,IF('2 MEDIA ALTURA'!N20=20,1,0)))*'2 MEDIA ALTURA'!N$35</f>
        <v>0</v>
      </c>
      <c r="BA108" s="706">
        <f>SUM(AO108:AZ116)</f>
        <v>0</v>
      </c>
      <c r="BB108" s="701">
        <f>IF('2 MEDIA ALTURA'!C21='2 MEDIA ALTURA'!$B$47,IF('2 MEDIA ALTURA'!C$34=70,IF('2 MEDIA ALTURA'!C20=20,1,0)))*'2 MEDIA ALTURA'!C$35</f>
        <v>0</v>
      </c>
      <c r="BC108" s="701">
        <f>IF('2 MEDIA ALTURA'!D21='2 MEDIA ALTURA'!$B$47,IF('2 MEDIA ALTURA'!D$34=70,IF('2 MEDIA ALTURA'!D20=20,1,0)))*'2 MEDIA ALTURA'!D$35</f>
        <v>0</v>
      </c>
      <c r="BD108" s="701">
        <f>IF('2 MEDIA ALTURA'!E21='2 MEDIA ALTURA'!$B$47,IF('2 MEDIA ALTURA'!E$34=70,IF('2 MEDIA ALTURA'!E20=20,1,0)))*'2 MEDIA ALTURA'!E$35</f>
        <v>0</v>
      </c>
      <c r="BE108" s="701">
        <f>IF('2 MEDIA ALTURA'!F21='2 MEDIA ALTURA'!$B$47,IF('2 MEDIA ALTURA'!F$34=70,IF('2 MEDIA ALTURA'!F20=20,1,0)))*'2 MEDIA ALTURA'!F$35</f>
        <v>0</v>
      </c>
      <c r="BF108" s="701">
        <f>IF('2 MEDIA ALTURA'!G21='2 MEDIA ALTURA'!$B$47,IF('2 MEDIA ALTURA'!G$34=70,IF('2 MEDIA ALTURA'!G20=20,1,0)))*'2 MEDIA ALTURA'!G$35</f>
        <v>0</v>
      </c>
      <c r="BG108" s="701">
        <f>IF('2 MEDIA ALTURA'!H21='2 MEDIA ALTURA'!$B$47,IF('2 MEDIA ALTURA'!H$34=70,IF('2 MEDIA ALTURA'!H20=20,1,0)))*'2 MEDIA ALTURA'!H$35</f>
        <v>0</v>
      </c>
      <c r="BH108" s="701">
        <f>IF('2 MEDIA ALTURA'!I21='2 MEDIA ALTURA'!$B$47,IF('2 MEDIA ALTURA'!I$34=70,IF('2 MEDIA ALTURA'!I20=20,1,0)))*'2 MEDIA ALTURA'!I$35</f>
        <v>0</v>
      </c>
      <c r="BI108" s="701">
        <f>IF('2 MEDIA ALTURA'!J21='2 MEDIA ALTURA'!$B$47,IF('2 MEDIA ALTURA'!J$34=70,IF('2 MEDIA ALTURA'!J20=20,1,0)))*'2 MEDIA ALTURA'!J$35</f>
        <v>0</v>
      </c>
      <c r="BJ108" s="701">
        <f>IF('2 MEDIA ALTURA'!K21='2 MEDIA ALTURA'!$B$47,IF('2 MEDIA ALTURA'!K$34=70,IF('2 MEDIA ALTURA'!K20=20,1,0)))*'2 MEDIA ALTURA'!K$35</f>
        <v>0</v>
      </c>
      <c r="BK108" s="701">
        <f>IF('2 MEDIA ALTURA'!L21='2 MEDIA ALTURA'!$B$47,IF('2 MEDIA ALTURA'!L$34=70,IF('2 MEDIA ALTURA'!L20=20,1,0)))*'2 MEDIA ALTURA'!L$35</f>
        <v>0</v>
      </c>
      <c r="BL108" s="701">
        <f>IF('2 MEDIA ALTURA'!M21='2 MEDIA ALTURA'!$B$47,IF('2 MEDIA ALTURA'!M$34=70,IF('2 MEDIA ALTURA'!M20=20,1,0)))*'2 MEDIA ALTURA'!M$35</f>
        <v>0</v>
      </c>
      <c r="BM108" s="701">
        <f>IF('2 MEDIA ALTURA'!N21='2 MEDIA ALTURA'!$B$47,IF('2 MEDIA ALTURA'!N$34=70,IF('2 MEDIA ALTURA'!N20=20,1,0)))*'2 MEDIA ALTURA'!N$35</f>
        <v>0</v>
      </c>
      <c r="BN108" s="706">
        <f>SUM(BB108:BM116)</f>
        <v>0</v>
      </c>
      <c r="BO108" s="701">
        <f>IF('2 MEDIA ALTURA'!C21='2 MEDIA ALTURA'!$B$47,IF('2 MEDIA ALTURA'!C$34=75,IF('2 MEDIA ALTURA'!C20=20,1,0)))*'2 MEDIA ALTURA'!C$35</f>
        <v>0</v>
      </c>
      <c r="BP108" s="701">
        <f>IF('2 MEDIA ALTURA'!D21='2 MEDIA ALTURA'!$B$47,IF('2 MEDIA ALTURA'!D$34=75,IF('2 MEDIA ALTURA'!D20=20,1,0)))*'2 MEDIA ALTURA'!D$35</f>
        <v>0</v>
      </c>
      <c r="BQ108" s="701">
        <f>IF('2 MEDIA ALTURA'!E21='2 MEDIA ALTURA'!$B$47,IF('2 MEDIA ALTURA'!E$34=75,IF('2 MEDIA ALTURA'!E20=20,1,0)))*'2 MEDIA ALTURA'!E$35</f>
        <v>0</v>
      </c>
      <c r="BR108" s="701">
        <f>IF('2 MEDIA ALTURA'!F21='2 MEDIA ALTURA'!$B$47,IF('2 MEDIA ALTURA'!F$34=75,IF('2 MEDIA ALTURA'!F20=20,1,0)))*'2 MEDIA ALTURA'!F$35</f>
        <v>0</v>
      </c>
      <c r="BS108" s="701">
        <f>IF('2 MEDIA ALTURA'!G21='2 MEDIA ALTURA'!$B$47,IF('2 MEDIA ALTURA'!G$34=75,IF('2 MEDIA ALTURA'!G20=20,1,0)))*'2 MEDIA ALTURA'!G$35</f>
        <v>0</v>
      </c>
      <c r="BT108" s="701">
        <f>IF('2 MEDIA ALTURA'!H21='2 MEDIA ALTURA'!$B$47,IF('2 MEDIA ALTURA'!H$34=75,IF('2 MEDIA ALTURA'!H20=20,1,0)))*'2 MEDIA ALTURA'!H$35</f>
        <v>0</v>
      </c>
      <c r="BU108" s="701">
        <f>IF('2 MEDIA ALTURA'!I21='2 MEDIA ALTURA'!$B$47,IF('2 MEDIA ALTURA'!I$34=75,IF('2 MEDIA ALTURA'!I20=20,1,0)))*'2 MEDIA ALTURA'!I$35</f>
        <v>0</v>
      </c>
      <c r="BV108" s="701">
        <f>IF('2 MEDIA ALTURA'!J21='2 MEDIA ALTURA'!$B$47,IF('2 MEDIA ALTURA'!J$34=75,IF('2 MEDIA ALTURA'!J20=20,1,0)))*'2 MEDIA ALTURA'!J$35</f>
        <v>0</v>
      </c>
      <c r="BW108" s="701">
        <f>IF('2 MEDIA ALTURA'!K21='2 MEDIA ALTURA'!$B$47,IF('2 MEDIA ALTURA'!K$34=75,IF('2 MEDIA ALTURA'!K20=20,1,0)))*'2 MEDIA ALTURA'!K$35</f>
        <v>0</v>
      </c>
      <c r="BX108" s="701">
        <f>IF('2 MEDIA ALTURA'!L21='2 MEDIA ALTURA'!$B$47,IF('2 MEDIA ALTURA'!L$34=75,IF('2 MEDIA ALTURA'!L20=20,1,0)))*'2 MEDIA ALTURA'!L$35</f>
        <v>0</v>
      </c>
      <c r="BY108" s="701">
        <f>IF('2 MEDIA ALTURA'!M21='2 MEDIA ALTURA'!$B$47,IF('2 MEDIA ALTURA'!M$34=75,IF('2 MEDIA ALTURA'!M20=20,1,0)))*'2 MEDIA ALTURA'!M$35</f>
        <v>0</v>
      </c>
      <c r="BZ108" s="701">
        <f>IF('2 MEDIA ALTURA'!N21='2 MEDIA ALTURA'!$B$47,IF('2 MEDIA ALTURA'!N$34=75,IF('2 MEDIA ALTURA'!N20=20,1,0)))*'2 MEDIA ALTURA'!N$35</f>
        <v>0</v>
      </c>
      <c r="CA108" s="706">
        <f>SUM(BO108:BZ116)</f>
        <v>0</v>
      </c>
      <c r="CB108" s="701">
        <f>IF('2 MEDIA ALTURA'!C21='2 MEDIA ALTURA'!$B$47,IF('2 MEDIA ALTURA'!C$34=84,IF('2 MEDIA ALTURA'!C20=20,1,0)))*'2 MEDIA ALTURA'!C$35</f>
        <v>0</v>
      </c>
      <c r="CC108" s="701">
        <f>IF('2 MEDIA ALTURA'!D21='2 MEDIA ALTURA'!$B$47,IF('2 MEDIA ALTURA'!D$34=84,IF('2 MEDIA ALTURA'!D20=20,1,0)))*'2 MEDIA ALTURA'!D$35</f>
        <v>0</v>
      </c>
      <c r="CD108" s="701">
        <f>IF('2 MEDIA ALTURA'!E21='2 MEDIA ALTURA'!$B$47,IF('2 MEDIA ALTURA'!E$34=84,IF('2 MEDIA ALTURA'!E20=20,1,0)))*'2 MEDIA ALTURA'!E$35</f>
        <v>0</v>
      </c>
      <c r="CE108" s="701">
        <f>IF('2 MEDIA ALTURA'!F21='2 MEDIA ALTURA'!$B$47,IF('2 MEDIA ALTURA'!F$34=84,IF('2 MEDIA ALTURA'!F20=20,1,0)))*'2 MEDIA ALTURA'!F$35</f>
        <v>0</v>
      </c>
      <c r="CF108" s="701">
        <f>IF('2 MEDIA ALTURA'!G21='2 MEDIA ALTURA'!$B$47,IF('2 MEDIA ALTURA'!G$34=84,IF('2 MEDIA ALTURA'!G20=20,1,0)))*'2 MEDIA ALTURA'!G$35</f>
        <v>0</v>
      </c>
      <c r="CG108" s="701">
        <f>IF('2 MEDIA ALTURA'!H21='2 MEDIA ALTURA'!$B$47,IF('2 MEDIA ALTURA'!H$34=84,IF('2 MEDIA ALTURA'!H20=20,1,0)))*'2 MEDIA ALTURA'!H$35</f>
        <v>0</v>
      </c>
      <c r="CH108" s="701">
        <f>IF('2 MEDIA ALTURA'!I21='2 MEDIA ALTURA'!$B$47,IF('2 MEDIA ALTURA'!I$34=84,IF('2 MEDIA ALTURA'!I20=20,1,0)))*'2 MEDIA ALTURA'!I$35</f>
        <v>0</v>
      </c>
      <c r="CI108" s="701">
        <f>IF('2 MEDIA ALTURA'!J21='2 MEDIA ALTURA'!$B$47,IF('2 MEDIA ALTURA'!J$34=84,IF('2 MEDIA ALTURA'!J20=20,1,0)))*'2 MEDIA ALTURA'!J$35</f>
        <v>0</v>
      </c>
      <c r="CJ108" s="701">
        <f>IF('2 MEDIA ALTURA'!K21='2 MEDIA ALTURA'!$B$47,IF('2 MEDIA ALTURA'!K$34=84,IF('2 MEDIA ALTURA'!K20=20,1,0)))*'2 MEDIA ALTURA'!K$35</f>
        <v>0</v>
      </c>
      <c r="CK108" s="701">
        <f>IF('2 MEDIA ALTURA'!L21='2 MEDIA ALTURA'!$B$47,IF('2 MEDIA ALTURA'!L$34=84,IF('2 MEDIA ALTURA'!L20=20,1,0)))*'2 MEDIA ALTURA'!L$35</f>
        <v>0</v>
      </c>
      <c r="CL108" s="701">
        <f>IF('2 MEDIA ALTURA'!M21='2 MEDIA ALTURA'!$B$47,IF('2 MEDIA ALTURA'!M$34=84,IF('2 MEDIA ALTURA'!M20=20,1,0)))*'2 MEDIA ALTURA'!M$35</f>
        <v>0</v>
      </c>
      <c r="CM108" s="701">
        <f>IF('2 MEDIA ALTURA'!N21='2 MEDIA ALTURA'!$B$47,IF('2 MEDIA ALTURA'!N$34=84,IF('2 MEDIA ALTURA'!N20=20,1,0)))*'2 MEDIA ALTURA'!N$35</f>
        <v>0</v>
      </c>
      <c r="CN108" s="706">
        <f>SUM(CB108:CM116)</f>
        <v>0</v>
      </c>
      <c r="CO108" s="701">
        <f>IF('2 MEDIA ALTURA'!C21='2 MEDIA ALTURA'!$B$47,IF('2 MEDIA ALTURA'!C$45=90,IF('2 MEDIA ALTURA'!C20=20,1,0)))*'2 MEDIA ALTURA'!C$35</f>
        <v>0</v>
      </c>
      <c r="CP108" s="701">
        <f>IF('2 MEDIA ALTURA'!D21='2 MEDIA ALTURA'!$B$47,IF('2 MEDIA ALTURA'!D$45=90,IF('2 MEDIA ALTURA'!D20=20,1,0)))*'2 MEDIA ALTURA'!D$35</f>
        <v>0</v>
      </c>
      <c r="CQ108" s="701">
        <f>IF('2 MEDIA ALTURA'!E21='2 MEDIA ALTURA'!$B$47,IF('2 MEDIA ALTURA'!E$45=90,IF('2 MEDIA ALTURA'!E20=20,1,0)))*'2 MEDIA ALTURA'!E$35</f>
        <v>0</v>
      </c>
      <c r="CR108" s="701">
        <f>IF('2 MEDIA ALTURA'!F21='2 MEDIA ALTURA'!$B$47,IF('2 MEDIA ALTURA'!F$45=90,IF('2 MEDIA ALTURA'!F20=20,1,0)))*'2 MEDIA ALTURA'!F$35</f>
        <v>0</v>
      </c>
      <c r="CS108" s="701">
        <f>IF('2 MEDIA ALTURA'!G21='2 MEDIA ALTURA'!$B$47,IF('2 MEDIA ALTURA'!G$45=90,IF('2 MEDIA ALTURA'!G20=20,1,0)))*'2 MEDIA ALTURA'!G$35</f>
        <v>0</v>
      </c>
      <c r="CT108" s="701">
        <f>IF('2 MEDIA ALTURA'!H21='2 MEDIA ALTURA'!$B$47,IF('2 MEDIA ALTURA'!H$45=90,IF('2 MEDIA ALTURA'!H20=20,1,0)))*'2 MEDIA ALTURA'!H$35</f>
        <v>0</v>
      </c>
      <c r="CU108" s="701">
        <f>IF('2 MEDIA ALTURA'!I21='2 MEDIA ALTURA'!$B$47,IF('2 MEDIA ALTURA'!I$45=90,IF('2 MEDIA ALTURA'!I20=20,1,0)))*'2 MEDIA ALTURA'!I$35</f>
        <v>0</v>
      </c>
      <c r="CV108" s="701">
        <f>IF('2 MEDIA ALTURA'!J21='2 MEDIA ALTURA'!$B$47,IF('2 MEDIA ALTURA'!J$45=90,IF('2 MEDIA ALTURA'!J20=20,1,0)))*'2 MEDIA ALTURA'!J$35</f>
        <v>0</v>
      </c>
      <c r="CW108" s="701">
        <f>IF('2 MEDIA ALTURA'!K21='2 MEDIA ALTURA'!$B$47,IF('2 MEDIA ALTURA'!K$45=90,IF('2 MEDIA ALTURA'!K20=20,1,0)))*'2 MEDIA ALTURA'!K$35</f>
        <v>0</v>
      </c>
      <c r="CX108" s="701">
        <f>IF('2 MEDIA ALTURA'!L21='2 MEDIA ALTURA'!$B$47,IF('2 MEDIA ALTURA'!L$45=90,IF('2 MEDIA ALTURA'!L20=20,1,0)))*'2 MEDIA ALTURA'!L$35</f>
        <v>0</v>
      </c>
      <c r="CY108" s="701">
        <f>IF('2 MEDIA ALTURA'!M21='2 MEDIA ALTURA'!$B$47,IF('2 MEDIA ALTURA'!M$45=90,IF('2 MEDIA ALTURA'!M20=20,1,0)))*'2 MEDIA ALTURA'!M$35</f>
        <v>0</v>
      </c>
      <c r="CZ108" s="701">
        <f>IF('2 MEDIA ALTURA'!N21='2 MEDIA ALTURA'!$B$47,IF('2 MEDIA ALTURA'!N$45=90,IF('2 MEDIA ALTURA'!N20=20,1,0)))*'2 MEDIA ALTURA'!N$35</f>
        <v>0</v>
      </c>
      <c r="DA108" s="706">
        <f>SUM(FK181:FV189)</f>
        <v>0</v>
      </c>
      <c r="DB108" s="701">
        <f>IF('2 MEDIA ALTURA'!C21='2 MEDIA ALTURA'!$B$47,IF('2 MEDIA ALTURA'!C$34=112,IF('2 MEDIA ALTURA'!C20=20,1,0)))*'2 MEDIA ALTURA'!C$35</f>
        <v>0</v>
      </c>
      <c r="DC108" s="701">
        <f>IF('2 MEDIA ALTURA'!D21='2 MEDIA ALTURA'!$B$47,IF('2 MEDIA ALTURA'!D$34=112,IF('2 MEDIA ALTURA'!D20=20,1,0)))*'2 MEDIA ALTURA'!D$35</f>
        <v>0</v>
      </c>
      <c r="DD108" s="701">
        <f>IF('2 MEDIA ALTURA'!E21='2 MEDIA ALTURA'!$B$47,IF('2 MEDIA ALTURA'!E$34=112,IF('2 MEDIA ALTURA'!E20=20,1,0)))*'2 MEDIA ALTURA'!E$35</f>
        <v>0</v>
      </c>
      <c r="DE108" s="701">
        <f>IF('2 MEDIA ALTURA'!F21='2 MEDIA ALTURA'!$B$47,IF('2 MEDIA ALTURA'!F$34=112,IF('2 MEDIA ALTURA'!F20=20,1,0)))*'2 MEDIA ALTURA'!F$35</f>
        <v>0</v>
      </c>
      <c r="DF108" s="701">
        <f>IF('2 MEDIA ALTURA'!G21='2 MEDIA ALTURA'!$B$47,IF('2 MEDIA ALTURA'!G$34=112,IF('2 MEDIA ALTURA'!G20=20,1,0)))*'2 MEDIA ALTURA'!G$35</f>
        <v>0</v>
      </c>
      <c r="DG108" s="701">
        <f>IF('2 MEDIA ALTURA'!H21='2 MEDIA ALTURA'!$B$47,IF('2 MEDIA ALTURA'!H$34=112,IF('2 MEDIA ALTURA'!H20=20,1,0)))*'2 MEDIA ALTURA'!H$35</f>
        <v>0</v>
      </c>
      <c r="DH108" s="701">
        <f>IF('2 MEDIA ALTURA'!I21='2 MEDIA ALTURA'!$B$47,IF('2 MEDIA ALTURA'!I$34=112,IF('2 MEDIA ALTURA'!I20=20,1,0)))*'2 MEDIA ALTURA'!I$35</f>
        <v>0</v>
      </c>
      <c r="DI108" s="701">
        <f>IF('2 MEDIA ALTURA'!J21='2 MEDIA ALTURA'!$B$47,IF('2 MEDIA ALTURA'!J$34=112,IF('2 MEDIA ALTURA'!J20=20,1,0)))*'2 MEDIA ALTURA'!J$35</f>
        <v>0</v>
      </c>
      <c r="DJ108" s="701">
        <f>IF('2 MEDIA ALTURA'!K21='2 MEDIA ALTURA'!$B$47,IF('2 MEDIA ALTURA'!K$34=112,IF('2 MEDIA ALTURA'!K20=20,1,0)))*'2 MEDIA ALTURA'!K$35</f>
        <v>0</v>
      </c>
      <c r="DK108" s="701">
        <f>IF('2 MEDIA ALTURA'!L21='2 MEDIA ALTURA'!$B$47,IF('2 MEDIA ALTURA'!L$34=112,IF('2 MEDIA ALTURA'!L20=20,1,0)))*'2 MEDIA ALTURA'!L$35</f>
        <v>0</v>
      </c>
      <c r="DL108" s="701">
        <f>IF('2 MEDIA ALTURA'!M21='2 MEDIA ALTURA'!$B$47,IF('2 MEDIA ALTURA'!M$34=112,IF('2 MEDIA ALTURA'!M20=20,1,0)))*'2 MEDIA ALTURA'!M$35</f>
        <v>0</v>
      </c>
      <c r="DM108" s="701">
        <f>IF('2 MEDIA ALTURA'!N21='2 MEDIA ALTURA'!$B$47,IF('2 MEDIA ALTURA'!N$34=112,IF('2 MEDIA ALTURA'!N20=20,1,0)))*'2 MEDIA ALTURA'!N$35</f>
        <v>0</v>
      </c>
      <c r="DN108" s="706">
        <f>SUM(DH108:DM116)</f>
        <v>0</v>
      </c>
      <c r="DO108" s="701">
        <f>IF('2 MEDIA ALTURA'!C21='2 MEDIA ALTURA'!$B$47,IF('2 MEDIA ALTURA'!C$34=120,IF('2 MEDIA ALTURA'!C20=20,1,0)))*'2 MEDIA ALTURA'!C$35</f>
        <v>0</v>
      </c>
      <c r="DP108" s="701">
        <f>IF('2 MEDIA ALTURA'!D21='2 MEDIA ALTURA'!$B$47,IF('2 MEDIA ALTURA'!D$34=120,IF('2 MEDIA ALTURA'!D20=20,1,0)))*'2 MEDIA ALTURA'!D$35</f>
        <v>0</v>
      </c>
      <c r="DQ108" s="701">
        <f>IF('2 MEDIA ALTURA'!E21='2 MEDIA ALTURA'!$B$47,IF('2 MEDIA ALTURA'!E$34=120,IF('2 MEDIA ALTURA'!E20=20,1,0)))*'2 MEDIA ALTURA'!E$35</f>
        <v>0</v>
      </c>
      <c r="DR108" s="701">
        <f>IF('2 MEDIA ALTURA'!F21='2 MEDIA ALTURA'!$B$47,IF('2 MEDIA ALTURA'!F$34=120,IF('2 MEDIA ALTURA'!F20=20,1,0)))*'2 MEDIA ALTURA'!F$35</f>
        <v>0</v>
      </c>
      <c r="DS108" s="701">
        <f>IF('2 MEDIA ALTURA'!G21='2 MEDIA ALTURA'!$B$47,IF('2 MEDIA ALTURA'!G$34=120,IF('2 MEDIA ALTURA'!G20=20,1,0)))*'2 MEDIA ALTURA'!G$35</f>
        <v>0</v>
      </c>
      <c r="DT108" s="701">
        <f>IF('2 MEDIA ALTURA'!H21='2 MEDIA ALTURA'!$B$47,IF('2 MEDIA ALTURA'!H$34=120,IF('2 MEDIA ALTURA'!H20=20,1,0)))*'2 MEDIA ALTURA'!H$35</f>
        <v>0</v>
      </c>
      <c r="DU108" s="701">
        <f>IF('2 MEDIA ALTURA'!I21='2 MEDIA ALTURA'!$B$47,IF('2 MEDIA ALTURA'!I$34=120,IF('2 MEDIA ALTURA'!I20=20,1,0)))*'2 MEDIA ALTURA'!I$35</f>
        <v>0</v>
      </c>
      <c r="DV108" s="701">
        <f>IF('2 MEDIA ALTURA'!J21='2 MEDIA ALTURA'!$B$47,IF('2 MEDIA ALTURA'!J$34=120,IF('2 MEDIA ALTURA'!J20=20,1,0)))*'2 MEDIA ALTURA'!J$35</f>
        <v>0</v>
      </c>
      <c r="DW108" s="701">
        <f>IF('2 MEDIA ALTURA'!K21='2 MEDIA ALTURA'!$B$47,IF('2 MEDIA ALTURA'!K$34=120,IF('2 MEDIA ALTURA'!K20=20,1,0)))*'2 MEDIA ALTURA'!K$35</f>
        <v>0</v>
      </c>
      <c r="DX108" s="701">
        <f>IF('2 MEDIA ALTURA'!L21='2 MEDIA ALTURA'!$B$47,IF('2 MEDIA ALTURA'!L$34=120,IF('2 MEDIA ALTURA'!L20=20,1,0)))*'2 MEDIA ALTURA'!L$35</f>
        <v>0</v>
      </c>
      <c r="DY108" s="701">
        <f>IF('2 MEDIA ALTURA'!M21='2 MEDIA ALTURA'!$B$47,IF('2 MEDIA ALTURA'!M$34=120,IF('2 MEDIA ALTURA'!M20=20,1,0)))*'2 MEDIA ALTURA'!M$35</f>
        <v>0</v>
      </c>
      <c r="DZ108" s="701">
        <f>IF('2 MEDIA ALTURA'!N21='2 MEDIA ALTURA'!$B$47,IF('2 MEDIA ALTURA'!N$34=120,IF('2 MEDIA ALTURA'!N20=20,1,0)))*'2 MEDIA ALTURA'!N$35</f>
        <v>0</v>
      </c>
      <c r="EA108" s="706">
        <f>SUM(DU108:DZ116)</f>
        <v>0</v>
      </c>
      <c r="EB108" s="701">
        <f>IF('2 MEDIA ALTURA'!C21='2 MEDIA ALTURA'!$B$47,IF('2 MEDIA ALTURA'!C$34=140,IF('2 MEDIA ALTURA'!C20=20,1,0)))*'2 MEDIA ALTURA'!C$35</f>
        <v>0</v>
      </c>
      <c r="EC108" s="701">
        <f>IF('2 MEDIA ALTURA'!D21='2 MEDIA ALTURA'!$B$47,IF('2 MEDIA ALTURA'!D$34=140,IF('2 MEDIA ALTURA'!D20=20,1,0)))*'2 MEDIA ALTURA'!D$35</f>
        <v>0</v>
      </c>
      <c r="ED108" s="701">
        <f>IF('2 MEDIA ALTURA'!E21='2 MEDIA ALTURA'!$B$47,IF('2 MEDIA ALTURA'!E$34=140,IF('2 MEDIA ALTURA'!E20=20,1,0)))*'2 MEDIA ALTURA'!E$35</f>
        <v>0</v>
      </c>
      <c r="EE108" s="701">
        <f>IF('2 MEDIA ALTURA'!F21='2 MEDIA ALTURA'!$B$47,IF('2 MEDIA ALTURA'!F$34=140,IF('2 MEDIA ALTURA'!F20=20,1,0)))*'2 MEDIA ALTURA'!F$35</f>
        <v>0</v>
      </c>
      <c r="EF108" s="701">
        <f>IF('2 MEDIA ALTURA'!G21='2 MEDIA ALTURA'!$B$47,IF('2 MEDIA ALTURA'!G$34=140,IF('2 MEDIA ALTURA'!G20=20,1,0)))*'2 MEDIA ALTURA'!G$35</f>
        <v>0</v>
      </c>
      <c r="EG108" s="701">
        <f>IF('2 MEDIA ALTURA'!H21='2 MEDIA ALTURA'!$B$47,IF('2 MEDIA ALTURA'!H$34=140,IF('2 MEDIA ALTURA'!H20=20,1,0)))*'2 MEDIA ALTURA'!H$35</f>
        <v>0</v>
      </c>
      <c r="EH108" s="701">
        <f>IF('2 MEDIA ALTURA'!I21='2 MEDIA ALTURA'!$B$47,IF('2 MEDIA ALTURA'!I$34=140,IF('2 MEDIA ALTURA'!I20=20,1,0)))*'2 MEDIA ALTURA'!I$35</f>
        <v>0</v>
      </c>
      <c r="EI108" s="701">
        <f>IF('2 MEDIA ALTURA'!J21='2 MEDIA ALTURA'!$B$47,IF('2 MEDIA ALTURA'!J$34=140,IF('2 MEDIA ALTURA'!J20=20,1,0)))*'2 MEDIA ALTURA'!J$35</f>
        <v>0</v>
      </c>
      <c r="EJ108" s="701">
        <f>IF('2 MEDIA ALTURA'!K21='2 MEDIA ALTURA'!$B$47,IF('2 MEDIA ALTURA'!K$34=140,IF('2 MEDIA ALTURA'!K20=20,1,0)))*'2 MEDIA ALTURA'!K$35</f>
        <v>0</v>
      </c>
      <c r="EK108" s="701">
        <f>IF('2 MEDIA ALTURA'!L21='2 MEDIA ALTURA'!$B$47,IF('2 MEDIA ALTURA'!L$34=140,IF('2 MEDIA ALTURA'!L20=20,1,0)))*'2 MEDIA ALTURA'!L$35</f>
        <v>0</v>
      </c>
      <c r="EL108" s="701">
        <f>IF('2 MEDIA ALTURA'!M21='2 MEDIA ALTURA'!$B$47,IF('2 MEDIA ALTURA'!M$34=140,IF('2 MEDIA ALTURA'!M20=20,1,0)))*'2 MEDIA ALTURA'!M$35</f>
        <v>0</v>
      </c>
      <c r="EM108" s="701">
        <f>IF('2 MEDIA ALTURA'!N21='2 MEDIA ALTURA'!$B$47,IF('2 MEDIA ALTURA'!N$34=140,IF('2 MEDIA ALTURA'!N20=20,1,0)))*'2 MEDIA ALTURA'!N$35</f>
        <v>0</v>
      </c>
      <c r="EN108" s="706">
        <f>SUM(EH108:EM116)</f>
        <v>0</v>
      </c>
      <c r="EO108" s="701">
        <f>IF('2 MEDIA ALTURA'!C21='2 MEDIA ALTURA'!$B$47,IF('2 MEDIA ALTURA'!C$34=150,IF('2 MEDIA ALTURA'!C20=40,1,0)))*'2 MEDIA ALTURA'!C$35</f>
        <v>0</v>
      </c>
      <c r="EP108" s="701">
        <f>IF('2 MEDIA ALTURA'!D21='2 MEDIA ALTURA'!$B$47,IF('2 MEDIA ALTURA'!D$34=150,IF('2 MEDIA ALTURA'!D20=40,1,0)))*'2 MEDIA ALTURA'!D$35</f>
        <v>0</v>
      </c>
      <c r="EQ108" s="701">
        <f>IF('2 MEDIA ALTURA'!E21='2 MEDIA ALTURA'!$B$47,IF('2 MEDIA ALTURA'!E$34=150,IF('2 MEDIA ALTURA'!E20=40,1,0)))*'2 MEDIA ALTURA'!E$35</f>
        <v>0</v>
      </c>
      <c r="ER108" s="701">
        <f>IF('2 MEDIA ALTURA'!F21='2 MEDIA ALTURA'!$B$47,IF('2 MEDIA ALTURA'!F$34=150,IF('2 MEDIA ALTURA'!F20=40,1,0)))*'2 MEDIA ALTURA'!F$35</f>
        <v>0</v>
      </c>
      <c r="ES108" s="701">
        <f>IF('2 MEDIA ALTURA'!G21='2 MEDIA ALTURA'!$B$47,IF('2 MEDIA ALTURA'!G$34=150,IF('2 MEDIA ALTURA'!G20=40,1,0)))*'2 MEDIA ALTURA'!G$35</f>
        <v>0</v>
      </c>
      <c r="ET108" s="701">
        <f>IF('2 MEDIA ALTURA'!H21='2 MEDIA ALTURA'!$B$47,IF('2 MEDIA ALTURA'!H$34=150,IF('2 MEDIA ALTURA'!H20=40,1,0)))*'2 MEDIA ALTURA'!H$35</f>
        <v>0</v>
      </c>
      <c r="EU108" s="701">
        <f>IF('2 MEDIA ALTURA'!I21='2 MEDIA ALTURA'!$B$47,IF('2 MEDIA ALTURA'!I$34=150,IF('2 MEDIA ALTURA'!I20=40,1,0)))*'2 MEDIA ALTURA'!I$35</f>
        <v>0</v>
      </c>
      <c r="EV108" s="701">
        <f>IF('2 MEDIA ALTURA'!J21='2 MEDIA ALTURA'!$B$47,IF('2 MEDIA ALTURA'!J$34=150,IF('2 MEDIA ALTURA'!J20=40,1,0)))*'2 MEDIA ALTURA'!J$35</f>
        <v>0</v>
      </c>
      <c r="EW108" s="701">
        <f>IF('2 MEDIA ALTURA'!K21='2 MEDIA ALTURA'!$B$47,IF('2 MEDIA ALTURA'!K$34=150,IF('2 MEDIA ALTURA'!K20=40,1,0)))*'2 MEDIA ALTURA'!K$35</f>
        <v>0</v>
      </c>
      <c r="EX108" s="701">
        <f>IF('2 MEDIA ALTURA'!L21='2 MEDIA ALTURA'!$B$47,IF('2 MEDIA ALTURA'!L$34=150,IF('2 MEDIA ALTURA'!L20=40,1,0)))*'2 MEDIA ALTURA'!L$35</f>
        <v>0</v>
      </c>
      <c r="EY108" s="701">
        <f>IF('2 MEDIA ALTURA'!M21='2 MEDIA ALTURA'!$B$47,IF('2 MEDIA ALTURA'!M$34=150,IF('2 MEDIA ALTURA'!M20=40,1,0)))*'2 MEDIA ALTURA'!M$35</f>
        <v>0</v>
      </c>
      <c r="EZ108" s="701">
        <f>IF('2 MEDIA ALTURA'!N21='2 MEDIA ALTURA'!$B$47,IF('2 MEDIA ALTURA'!N$34=150,IF('2 MEDIA ALTURA'!N20=40,1,0)))*'2 MEDIA ALTURA'!N$35</f>
        <v>0</v>
      </c>
      <c r="FA108" s="706">
        <f>SUM(EU108:EZ116)</f>
        <v>0</v>
      </c>
    </row>
    <row r="109" spans="1:207" x14ac:dyDescent="0.35">
      <c r="A109" s="838"/>
      <c r="B109" s="701"/>
      <c r="C109" s="701"/>
      <c r="D109" s="701"/>
      <c r="E109" s="701"/>
      <c r="F109" s="701"/>
      <c r="G109" s="701"/>
      <c r="H109" s="701"/>
      <c r="I109" s="701"/>
      <c r="J109" s="701"/>
      <c r="K109" s="701"/>
      <c r="L109" s="701"/>
      <c r="M109" s="701"/>
      <c r="N109" s="706"/>
      <c r="O109" s="702"/>
      <c r="P109" s="702"/>
      <c r="Q109" s="702"/>
      <c r="R109" s="702"/>
      <c r="S109" s="702"/>
      <c r="T109" s="702"/>
      <c r="U109" s="702"/>
      <c r="V109" s="702"/>
      <c r="W109" s="702"/>
      <c r="X109" s="702"/>
      <c r="Y109" s="702"/>
      <c r="Z109" s="702"/>
      <c r="AA109" s="706"/>
      <c r="AB109" s="702"/>
      <c r="AC109" s="702"/>
      <c r="AD109" s="702"/>
      <c r="AE109" s="702"/>
      <c r="AF109" s="702"/>
      <c r="AG109" s="702"/>
      <c r="AH109" s="702"/>
      <c r="AI109" s="702"/>
      <c r="AJ109" s="702"/>
      <c r="AK109" s="702"/>
      <c r="AL109" s="702"/>
      <c r="AM109" s="702"/>
      <c r="AN109" s="706"/>
      <c r="AO109" s="702"/>
      <c r="AP109" s="702"/>
      <c r="AQ109" s="702"/>
      <c r="AR109" s="702"/>
      <c r="AS109" s="702"/>
      <c r="AT109" s="702"/>
      <c r="AU109" s="702"/>
      <c r="AV109" s="702"/>
      <c r="AW109" s="702"/>
      <c r="AX109" s="702"/>
      <c r="AY109" s="702"/>
      <c r="AZ109" s="702"/>
      <c r="BA109" s="706"/>
      <c r="BB109" s="702"/>
      <c r="BC109" s="702"/>
      <c r="BD109" s="702"/>
      <c r="BE109" s="702"/>
      <c r="BF109" s="702"/>
      <c r="BG109" s="702"/>
      <c r="BH109" s="702"/>
      <c r="BI109" s="702"/>
      <c r="BJ109" s="702"/>
      <c r="BK109" s="702"/>
      <c r="BL109" s="702"/>
      <c r="BM109" s="702"/>
      <c r="BN109" s="706"/>
      <c r="BO109" s="702"/>
      <c r="BP109" s="702"/>
      <c r="BQ109" s="702"/>
      <c r="BR109" s="702"/>
      <c r="BS109" s="702"/>
      <c r="BT109" s="702"/>
      <c r="BU109" s="702"/>
      <c r="BV109" s="702"/>
      <c r="BW109" s="702"/>
      <c r="BX109" s="702"/>
      <c r="BY109" s="702"/>
      <c r="BZ109" s="702"/>
      <c r="CA109" s="706"/>
      <c r="CB109" s="702"/>
      <c r="CC109" s="702"/>
      <c r="CD109" s="702"/>
      <c r="CE109" s="702"/>
      <c r="CF109" s="702"/>
      <c r="CG109" s="702"/>
      <c r="CH109" s="702"/>
      <c r="CI109" s="702"/>
      <c r="CJ109" s="702"/>
      <c r="CK109" s="702"/>
      <c r="CL109" s="702"/>
      <c r="CM109" s="702"/>
      <c r="CN109" s="706"/>
      <c r="CO109" s="702"/>
      <c r="CP109" s="702"/>
      <c r="CQ109" s="702"/>
      <c r="CR109" s="702"/>
      <c r="CS109" s="702"/>
      <c r="CT109" s="702"/>
      <c r="CU109" s="702"/>
      <c r="CV109" s="702"/>
      <c r="CW109" s="702"/>
      <c r="CX109" s="702"/>
      <c r="CY109" s="702"/>
      <c r="CZ109" s="702"/>
      <c r="DA109" s="706"/>
      <c r="DB109" s="702"/>
      <c r="DC109" s="702"/>
      <c r="DD109" s="702"/>
      <c r="DE109" s="702"/>
      <c r="DF109" s="702"/>
      <c r="DG109" s="702"/>
      <c r="DH109" s="702"/>
      <c r="DI109" s="702"/>
      <c r="DJ109" s="702"/>
      <c r="DK109" s="702"/>
      <c r="DL109" s="702"/>
      <c r="DM109" s="702"/>
      <c r="DN109" s="706"/>
      <c r="DO109" s="702"/>
      <c r="DP109" s="702"/>
      <c r="DQ109" s="702"/>
      <c r="DR109" s="702"/>
      <c r="DS109" s="702"/>
      <c r="DT109" s="702"/>
      <c r="DU109" s="702"/>
      <c r="DV109" s="702"/>
      <c r="DW109" s="702"/>
      <c r="DX109" s="702"/>
      <c r="DY109" s="702"/>
      <c r="DZ109" s="702"/>
      <c r="EA109" s="706"/>
      <c r="EB109" s="702"/>
      <c r="EC109" s="702"/>
      <c r="ED109" s="702"/>
      <c r="EE109" s="702"/>
      <c r="EF109" s="702"/>
      <c r="EG109" s="702"/>
      <c r="EH109" s="702"/>
      <c r="EI109" s="702"/>
      <c r="EJ109" s="702"/>
      <c r="EK109" s="702"/>
      <c r="EL109" s="702"/>
      <c r="EM109" s="702"/>
      <c r="EN109" s="706"/>
      <c r="EO109" s="702"/>
      <c r="EP109" s="702"/>
      <c r="EQ109" s="702"/>
      <c r="ER109" s="702"/>
      <c r="ES109" s="702"/>
      <c r="ET109" s="702"/>
      <c r="EU109" s="702"/>
      <c r="EV109" s="702"/>
      <c r="EW109" s="702"/>
      <c r="EX109" s="702"/>
      <c r="EY109" s="702"/>
      <c r="EZ109" s="702"/>
      <c r="FA109" s="706"/>
    </row>
    <row r="110" spans="1:207" x14ac:dyDescent="0.35">
      <c r="A110" s="678"/>
      <c r="B110" s="701">
        <f>IF('2 MEDIA ALTURA'!C23='2 MEDIA ALTURA'!$B$47,IF('2 MEDIA ALTURA'!C$34=28,IF('2 MEDIA ALTURA'!C22=20,1,0)))*'2 MEDIA ALTURA'!C$35</f>
        <v>0</v>
      </c>
      <c r="C110" s="701">
        <f>IF('2 MEDIA ALTURA'!D23='2 MEDIA ALTURA'!$B$47,IF('2 MEDIA ALTURA'!D$34=28,IF('2 MEDIA ALTURA'!D22=20,1,0)))*'2 MEDIA ALTURA'!D$35</f>
        <v>0</v>
      </c>
      <c r="D110" s="701">
        <f>IF('2 MEDIA ALTURA'!E23='2 MEDIA ALTURA'!$B$47,IF('2 MEDIA ALTURA'!E$34=28,IF('2 MEDIA ALTURA'!E22=20,1,0)))*'2 MEDIA ALTURA'!E$35</f>
        <v>0</v>
      </c>
      <c r="E110" s="701">
        <f>IF('2 MEDIA ALTURA'!F23='2 MEDIA ALTURA'!$B$47,IF('2 MEDIA ALTURA'!F$34=28,IF('2 MEDIA ALTURA'!F22=20,1,0)))*'2 MEDIA ALTURA'!F$35</f>
        <v>0</v>
      </c>
      <c r="F110" s="701">
        <f>IF('2 MEDIA ALTURA'!G23='2 MEDIA ALTURA'!$B$47,IF('2 MEDIA ALTURA'!G$34=28,IF('2 MEDIA ALTURA'!G22=20,1,0)))*'2 MEDIA ALTURA'!G$35</f>
        <v>0</v>
      </c>
      <c r="G110" s="701">
        <f>IF('2 MEDIA ALTURA'!H23='2 MEDIA ALTURA'!$B$47,IF('2 MEDIA ALTURA'!H$34=28,IF('2 MEDIA ALTURA'!H22=20,1,0)))*'2 MEDIA ALTURA'!H$35</f>
        <v>0</v>
      </c>
      <c r="H110" s="701">
        <f>IF('2 MEDIA ALTURA'!I23='2 MEDIA ALTURA'!$B$47,IF('2 MEDIA ALTURA'!I$34=28,IF('2 MEDIA ALTURA'!I22=20,1,0)))*'2 MEDIA ALTURA'!I$35</f>
        <v>0</v>
      </c>
      <c r="I110" s="701">
        <f>IF('2 MEDIA ALTURA'!J23='2 MEDIA ALTURA'!$B$47,IF('2 MEDIA ALTURA'!J$34=28,IF('2 MEDIA ALTURA'!J22=20,1,0)))*'2 MEDIA ALTURA'!J$35</f>
        <v>0</v>
      </c>
      <c r="J110" s="701">
        <f>IF('2 MEDIA ALTURA'!K23='2 MEDIA ALTURA'!$B$47,IF('2 MEDIA ALTURA'!K$34=28,IF('2 MEDIA ALTURA'!K22=20,1,0)))*'2 MEDIA ALTURA'!K$35</f>
        <v>0</v>
      </c>
      <c r="K110" s="701">
        <f>IF('2 MEDIA ALTURA'!L23='2 MEDIA ALTURA'!$B$47,IF('2 MEDIA ALTURA'!L$34=28,IF('2 MEDIA ALTURA'!L22=20,1,0)))*'2 MEDIA ALTURA'!L$35</f>
        <v>0</v>
      </c>
      <c r="L110" s="701">
        <f>IF('2 MEDIA ALTURA'!M23='2 MEDIA ALTURA'!$B$47,IF('2 MEDIA ALTURA'!M$34=28,IF('2 MEDIA ALTURA'!M22=20,1,0)))*'2 MEDIA ALTURA'!M$35</f>
        <v>0</v>
      </c>
      <c r="M110" s="701">
        <f>IF('2 MEDIA ALTURA'!N23='2 MEDIA ALTURA'!$B$47,IF('2 MEDIA ALTURA'!N$34=28,IF('2 MEDIA ALTURA'!N22=20,1,0)))*'2 MEDIA ALTURA'!N$35</f>
        <v>0</v>
      </c>
      <c r="N110" s="706"/>
      <c r="O110" s="701">
        <f>IF('2 MEDIA ALTURA'!C23='2 MEDIA ALTURA'!$B$47,IF('2 MEDIA ALTURA'!C$34=30,IF('2 MEDIA ALTURA'!C22=20,1,0)))*'2 MEDIA ALTURA'!C$35</f>
        <v>0</v>
      </c>
      <c r="P110" s="701">
        <f>IF('2 MEDIA ALTURA'!D23='2 MEDIA ALTURA'!$B$47,IF('2 MEDIA ALTURA'!D$34=30,IF('2 MEDIA ALTURA'!D22=20,1,0)))*'2 MEDIA ALTURA'!D$35</f>
        <v>0</v>
      </c>
      <c r="Q110" s="701">
        <f>IF('2 MEDIA ALTURA'!E23='2 MEDIA ALTURA'!$B$47,IF('2 MEDIA ALTURA'!E$34=30,IF('2 MEDIA ALTURA'!E22=20,1,0)))*'2 MEDIA ALTURA'!E$35</f>
        <v>0</v>
      </c>
      <c r="R110" s="701">
        <f>IF('2 MEDIA ALTURA'!F23='2 MEDIA ALTURA'!$B$47,IF('2 MEDIA ALTURA'!F$34=30,IF('2 MEDIA ALTURA'!F22=20,1,0)))*'2 MEDIA ALTURA'!F$35</f>
        <v>0</v>
      </c>
      <c r="S110" s="701">
        <f>IF('2 MEDIA ALTURA'!G23='2 MEDIA ALTURA'!$B$47,IF('2 MEDIA ALTURA'!G$34=30,IF('2 MEDIA ALTURA'!G22=20,1,0)))*'2 MEDIA ALTURA'!G$35</f>
        <v>0</v>
      </c>
      <c r="T110" s="701">
        <f>IF('2 MEDIA ALTURA'!H23='2 MEDIA ALTURA'!$B$47,IF('2 MEDIA ALTURA'!H$34=30,IF('2 MEDIA ALTURA'!H22=20,1,0)))*'2 MEDIA ALTURA'!H$35</f>
        <v>0</v>
      </c>
      <c r="U110" s="701">
        <f>IF('2 MEDIA ALTURA'!I23='2 MEDIA ALTURA'!$B$47,IF('2 MEDIA ALTURA'!I$34=30,IF('2 MEDIA ALTURA'!I22=20,1,0)))*'2 MEDIA ALTURA'!I$35</f>
        <v>0</v>
      </c>
      <c r="V110" s="701">
        <f>IF('2 MEDIA ALTURA'!J23='2 MEDIA ALTURA'!$B$47,IF('2 MEDIA ALTURA'!J$34=30,IF('2 MEDIA ALTURA'!J22=20,1,0)))*'2 MEDIA ALTURA'!J$35</f>
        <v>0</v>
      </c>
      <c r="W110" s="701">
        <f>IF('2 MEDIA ALTURA'!K23='2 MEDIA ALTURA'!$B$47,IF('2 MEDIA ALTURA'!K$34=30,IF('2 MEDIA ALTURA'!K22=20,1,0)))*'2 MEDIA ALTURA'!K$35</f>
        <v>0</v>
      </c>
      <c r="X110" s="701">
        <f>IF('2 MEDIA ALTURA'!L23='2 MEDIA ALTURA'!$B$47,IF('2 MEDIA ALTURA'!L$34=30,IF('2 MEDIA ALTURA'!L22=20,1,0)))*'2 MEDIA ALTURA'!L$35</f>
        <v>0</v>
      </c>
      <c r="Y110" s="701">
        <f>IF('2 MEDIA ALTURA'!M23='2 MEDIA ALTURA'!$B$47,IF('2 MEDIA ALTURA'!M$34=30,IF('2 MEDIA ALTURA'!M22=20,1,0)))*'2 MEDIA ALTURA'!M$35</f>
        <v>0</v>
      </c>
      <c r="Z110" s="701">
        <f>IF('2 MEDIA ALTURA'!N23='2 MEDIA ALTURA'!$B$47,IF('2 MEDIA ALTURA'!N$34=30,IF('2 MEDIA ALTURA'!N22=20,1,0)))*'2 MEDIA ALTURA'!N$35</f>
        <v>0</v>
      </c>
      <c r="AA110" s="706"/>
      <c r="AB110" s="701">
        <f>IF('2 MEDIA ALTURA'!C23='2 MEDIA ALTURA'!$B$47,IF('2 MEDIA ALTURA'!C$34=56,IF('2 MEDIA ALTURA'!C22=20,1,0)))*'2 MEDIA ALTURA'!C$35</f>
        <v>0</v>
      </c>
      <c r="AC110" s="701">
        <f>IF('2 MEDIA ALTURA'!D23='2 MEDIA ALTURA'!$B$47,IF('2 MEDIA ALTURA'!D$34=56,IF('2 MEDIA ALTURA'!D22=20,1,0)))*'2 MEDIA ALTURA'!D$35</f>
        <v>0</v>
      </c>
      <c r="AD110" s="701">
        <f>IF('2 MEDIA ALTURA'!E23='2 MEDIA ALTURA'!$B$47,IF('2 MEDIA ALTURA'!E$34=56,IF('2 MEDIA ALTURA'!E22=20,1,0)))*'2 MEDIA ALTURA'!E$35</f>
        <v>0</v>
      </c>
      <c r="AE110" s="701">
        <f>IF('2 MEDIA ALTURA'!F23='2 MEDIA ALTURA'!$B$47,IF('2 MEDIA ALTURA'!F$34=56,IF('2 MEDIA ALTURA'!F22=20,1,0)))*'2 MEDIA ALTURA'!F$35</f>
        <v>0</v>
      </c>
      <c r="AF110" s="701">
        <f>IF('2 MEDIA ALTURA'!G23='2 MEDIA ALTURA'!$B$47,IF('2 MEDIA ALTURA'!G$34=56,IF('2 MEDIA ALTURA'!G22=20,1,0)))*'2 MEDIA ALTURA'!G$35</f>
        <v>0</v>
      </c>
      <c r="AG110" s="701">
        <f>IF('2 MEDIA ALTURA'!H23='2 MEDIA ALTURA'!$B$47,IF('2 MEDIA ALTURA'!H$34=56,IF('2 MEDIA ALTURA'!H22=20,1,0)))*'2 MEDIA ALTURA'!H$35</f>
        <v>0</v>
      </c>
      <c r="AH110" s="701">
        <f>IF('2 MEDIA ALTURA'!I23='2 MEDIA ALTURA'!$B$47,IF('2 MEDIA ALTURA'!I$34=56,IF('2 MEDIA ALTURA'!I22=20,1,0)))*'2 MEDIA ALTURA'!I$35</f>
        <v>0</v>
      </c>
      <c r="AI110" s="701">
        <f>IF('2 MEDIA ALTURA'!J23='2 MEDIA ALTURA'!$B$47,IF('2 MEDIA ALTURA'!J$34=56,IF('2 MEDIA ALTURA'!J22=20,1,0)))*'2 MEDIA ALTURA'!J$35</f>
        <v>0</v>
      </c>
      <c r="AJ110" s="701">
        <f>IF('2 MEDIA ALTURA'!K23='2 MEDIA ALTURA'!$B$47,IF('2 MEDIA ALTURA'!K$34=56,IF('2 MEDIA ALTURA'!K22=20,1,0)))*'2 MEDIA ALTURA'!K$35</f>
        <v>0</v>
      </c>
      <c r="AK110" s="701">
        <f>IF('2 MEDIA ALTURA'!L23='2 MEDIA ALTURA'!$B$47,IF('2 MEDIA ALTURA'!L$34=56,IF('2 MEDIA ALTURA'!L22=20,1,0)))*'2 MEDIA ALTURA'!L$35</f>
        <v>0</v>
      </c>
      <c r="AL110" s="701">
        <f>IF('2 MEDIA ALTURA'!M23='2 MEDIA ALTURA'!$B$47,IF('2 MEDIA ALTURA'!M$34=56,IF('2 MEDIA ALTURA'!M22=20,1,0)))*'2 MEDIA ALTURA'!M$35</f>
        <v>0</v>
      </c>
      <c r="AM110" s="701">
        <f>IF('2 MEDIA ALTURA'!N23='2 MEDIA ALTURA'!$B$47,IF('2 MEDIA ALTURA'!N$34=56,IF('2 MEDIA ALTURA'!N22=20,1,0)))*'2 MEDIA ALTURA'!N$35</f>
        <v>0</v>
      </c>
      <c r="AN110" s="706"/>
      <c r="AO110" s="701">
        <f>IF('2 MEDIA ALTURA'!C23='2 MEDIA ALTURA'!$B$47,IF('2 MEDIA ALTURA'!C$34=60,IF('2 MEDIA ALTURA'!C22=20,1,0)))*'2 MEDIA ALTURA'!C$35</f>
        <v>0</v>
      </c>
      <c r="AP110" s="701">
        <f>IF('2 MEDIA ALTURA'!D23='2 MEDIA ALTURA'!$B$47,IF('2 MEDIA ALTURA'!D$34=60,IF('2 MEDIA ALTURA'!D22=20,1,0)))*'2 MEDIA ALTURA'!D$35</f>
        <v>0</v>
      </c>
      <c r="AQ110" s="701">
        <f>IF('2 MEDIA ALTURA'!E23='2 MEDIA ALTURA'!$B$47,IF('2 MEDIA ALTURA'!E$34=60,IF('2 MEDIA ALTURA'!E22=20,1,0)))*'2 MEDIA ALTURA'!E$35</f>
        <v>0</v>
      </c>
      <c r="AR110" s="701">
        <f>IF('2 MEDIA ALTURA'!F23='2 MEDIA ALTURA'!$B$47,IF('2 MEDIA ALTURA'!F$34=60,IF('2 MEDIA ALTURA'!F22=20,1,0)))*'2 MEDIA ALTURA'!F$35</f>
        <v>0</v>
      </c>
      <c r="AS110" s="701">
        <f>IF('2 MEDIA ALTURA'!G23='2 MEDIA ALTURA'!$B$47,IF('2 MEDIA ALTURA'!G$34=60,IF('2 MEDIA ALTURA'!G22=20,1,0)))*'2 MEDIA ALTURA'!G$35</f>
        <v>0</v>
      </c>
      <c r="AT110" s="701">
        <f>IF('2 MEDIA ALTURA'!H23='2 MEDIA ALTURA'!$B$47,IF('2 MEDIA ALTURA'!H$34=60,IF('2 MEDIA ALTURA'!H22=20,1,0)))*'2 MEDIA ALTURA'!H$35</f>
        <v>0</v>
      </c>
      <c r="AU110" s="701">
        <f>IF('2 MEDIA ALTURA'!I23='2 MEDIA ALTURA'!$B$47,IF('2 MEDIA ALTURA'!I$34=60,IF('2 MEDIA ALTURA'!I22=20,1,0)))*'2 MEDIA ALTURA'!I$35</f>
        <v>0</v>
      </c>
      <c r="AV110" s="701">
        <f>IF('2 MEDIA ALTURA'!J23='2 MEDIA ALTURA'!$B$47,IF('2 MEDIA ALTURA'!J$34=60,IF('2 MEDIA ALTURA'!J22=20,1,0)))*'2 MEDIA ALTURA'!J$35</f>
        <v>0</v>
      </c>
      <c r="AW110" s="701">
        <f>IF('2 MEDIA ALTURA'!K23='2 MEDIA ALTURA'!$B$47,IF('2 MEDIA ALTURA'!K$34=60,IF('2 MEDIA ALTURA'!K22=20,1,0)))*'2 MEDIA ALTURA'!K$35</f>
        <v>0</v>
      </c>
      <c r="AX110" s="701">
        <f>IF('2 MEDIA ALTURA'!L23='2 MEDIA ALTURA'!$B$47,IF('2 MEDIA ALTURA'!L$34=60,IF('2 MEDIA ALTURA'!L22=20,1,0)))*'2 MEDIA ALTURA'!L$35</f>
        <v>0</v>
      </c>
      <c r="AY110" s="701">
        <f>IF('2 MEDIA ALTURA'!M23='2 MEDIA ALTURA'!$B$47,IF('2 MEDIA ALTURA'!M$34=60,IF('2 MEDIA ALTURA'!M22=20,1,0)))*'2 MEDIA ALTURA'!M$35</f>
        <v>0</v>
      </c>
      <c r="AZ110" s="701">
        <f>IF('2 MEDIA ALTURA'!N23='2 MEDIA ALTURA'!$B$47,IF('2 MEDIA ALTURA'!N$34=60,IF('2 MEDIA ALTURA'!N22=20,1,0)))*'2 MEDIA ALTURA'!N$35</f>
        <v>0</v>
      </c>
      <c r="BA110" s="706"/>
      <c r="BB110" s="701">
        <f>IF('2 MEDIA ALTURA'!C23='2 MEDIA ALTURA'!$B$47,IF('2 MEDIA ALTURA'!C$34=70,IF('2 MEDIA ALTURA'!C22=20,1,0)))*'2 MEDIA ALTURA'!C$35</f>
        <v>0</v>
      </c>
      <c r="BC110" s="701">
        <f>IF('2 MEDIA ALTURA'!D23='2 MEDIA ALTURA'!$B$47,IF('2 MEDIA ALTURA'!D$34=70,IF('2 MEDIA ALTURA'!D22=20,1,0)))*'2 MEDIA ALTURA'!D$35</f>
        <v>0</v>
      </c>
      <c r="BD110" s="701">
        <f>IF('2 MEDIA ALTURA'!E23='2 MEDIA ALTURA'!$B$47,IF('2 MEDIA ALTURA'!E$34=70,IF('2 MEDIA ALTURA'!E22=20,1,0)))*'2 MEDIA ALTURA'!E$35</f>
        <v>0</v>
      </c>
      <c r="BE110" s="701">
        <f>IF('2 MEDIA ALTURA'!F23='2 MEDIA ALTURA'!$B$47,IF('2 MEDIA ALTURA'!F$34=70,IF('2 MEDIA ALTURA'!F22=20,1,0)))*'2 MEDIA ALTURA'!F$35</f>
        <v>0</v>
      </c>
      <c r="BF110" s="701">
        <f>IF('2 MEDIA ALTURA'!G23='2 MEDIA ALTURA'!$B$47,IF('2 MEDIA ALTURA'!G$34=70,IF('2 MEDIA ALTURA'!G22=20,1,0)))*'2 MEDIA ALTURA'!G$35</f>
        <v>0</v>
      </c>
      <c r="BG110" s="701">
        <f>IF('2 MEDIA ALTURA'!H23='2 MEDIA ALTURA'!$B$47,IF('2 MEDIA ALTURA'!H$34=70,IF('2 MEDIA ALTURA'!H22=20,1,0)))*'2 MEDIA ALTURA'!H$35</f>
        <v>0</v>
      </c>
      <c r="BH110" s="701">
        <f>IF('2 MEDIA ALTURA'!I23='2 MEDIA ALTURA'!$B$47,IF('2 MEDIA ALTURA'!I$34=70,IF('2 MEDIA ALTURA'!I22=20,1,0)))*'2 MEDIA ALTURA'!I$35</f>
        <v>0</v>
      </c>
      <c r="BI110" s="701">
        <f>IF('2 MEDIA ALTURA'!J23='2 MEDIA ALTURA'!$B$47,IF('2 MEDIA ALTURA'!J$34=70,IF('2 MEDIA ALTURA'!J22=20,1,0)))*'2 MEDIA ALTURA'!J$35</f>
        <v>0</v>
      </c>
      <c r="BJ110" s="701">
        <f>IF('2 MEDIA ALTURA'!K23='2 MEDIA ALTURA'!$B$47,IF('2 MEDIA ALTURA'!K$34=70,IF('2 MEDIA ALTURA'!K22=20,1,0)))*'2 MEDIA ALTURA'!K$35</f>
        <v>0</v>
      </c>
      <c r="BK110" s="701">
        <f>IF('2 MEDIA ALTURA'!L23='2 MEDIA ALTURA'!$B$47,IF('2 MEDIA ALTURA'!L$34=70,IF('2 MEDIA ALTURA'!L22=20,1,0)))*'2 MEDIA ALTURA'!L$35</f>
        <v>0</v>
      </c>
      <c r="BL110" s="701">
        <f>IF('2 MEDIA ALTURA'!M23='2 MEDIA ALTURA'!$B$47,IF('2 MEDIA ALTURA'!M$34=70,IF('2 MEDIA ALTURA'!M22=20,1,0)))*'2 MEDIA ALTURA'!M$35</f>
        <v>0</v>
      </c>
      <c r="BM110" s="701">
        <f>IF('2 MEDIA ALTURA'!N23='2 MEDIA ALTURA'!$B$47,IF('2 MEDIA ALTURA'!N$34=70,IF('2 MEDIA ALTURA'!N22=20,1,0)))*'2 MEDIA ALTURA'!N$35</f>
        <v>0</v>
      </c>
      <c r="BN110" s="706"/>
      <c r="BO110" s="701">
        <f>IF('2 MEDIA ALTURA'!C23='2 MEDIA ALTURA'!$B$47,IF('2 MEDIA ALTURA'!C$34=75,IF('2 MEDIA ALTURA'!C22=20,1,0)))*'2 MEDIA ALTURA'!C$35</f>
        <v>0</v>
      </c>
      <c r="BP110" s="701">
        <f>IF('2 MEDIA ALTURA'!D23='2 MEDIA ALTURA'!$B$47,IF('2 MEDIA ALTURA'!D$34=75,IF('2 MEDIA ALTURA'!D22=20,1,0)))*'2 MEDIA ALTURA'!D$35</f>
        <v>0</v>
      </c>
      <c r="BQ110" s="701">
        <f>IF('2 MEDIA ALTURA'!E23='2 MEDIA ALTURA'!$B$47,IF('2 MEDIA ALTURA'!E$34=75,IF('2 MEDIA ALTURA'!E22=20,1,0)))*'2 MEDIA ALTURA'!E$35</f>
        <v>0</v>
      </c>
      <c r="BR110" s="701">
        <f>IF('2 MEDIA ALTURA'!F23='2 MEDIA ALTURA'!$B$47,IF('2 MEDIA ALTURA'!F$34=75,IF('2 MEDIA ALTURA'!F22=20,1,0)))*'2 MEDIA ALTURA'!F$35</f>
        <v>0</v>
      </c>
      <c r="BS110" s="701">
        <f>IF('2 MEDIA ALTURA'!G23='2 MEDIA ALTURA'!$B$47,IF('2 MEDIA ALTURA'!G$34=75,IF('2 MEDIA ALTURA'!G22=20,1,0)))*'2 MEDIA ALTURA'!G$35</f>
        <v>0</v>
      </c>
      <c r="BT110" s="701">
        <f>IF('2 MEDIA ALTURA'!H23='2 MEDIA ALTURA'!$B$47,IF('2 MEDIA ALTURA'!H$34=75,IF('2 MEDIA ALTURA'!H22=20,1,0)))*'2 MEDIA ALTURA'!H$35</f>
        <v>0</v>
      </c>
      <c r="BU110" s="701">
        <f>IF('2 MEDIA ALTURA'!I23='2 MEDIA ALTURA'!$B$47,IF('2 MEDIA ALTURA'!I$34=75,IF('2 MEDIA ALTURA'!I22=20,1,0)))*'2 MEDIA ALTURA'!I$35</f>
        <v>0</v>
      </c>
      <c r="BV110" s="701">
        <f>IF('2 MEDIA ALTURA'!J23='2 MEDIA ALTURA'!$B$47,IF('2 MEDIA ALTURA'!J$34=75,IF('2 MEDIA ALTURA'!J22=20,1,0)))*'2 MEDIA ALTURA'!J$35</f>
        <v>0</v>
      </c>
      <c r="BW110" s="701">
        <f>IF('2 MEDIA ALTURA'!K23='2 MEDIA ALTURA'!$B$47,IF('2 MEDIA ALTURA'!K$34=75,IF('2 MEDIA ALTURA'!K22=20,1,0)))*'2 MEDIA ALTURA'!K$35</f>
        <v>0</v>
      </c>
      <c r="BX110" s="701">
        <f>IF('2 MEDIA ALTURA'!L23='2 MEDIA ALTURA'!$B$47,IF('2 MEDIA ALTURA'!L$34=75,IF('2 MEDIA ALTURA'!L22=20,1,0)))*'2 MEDIA ALTURA'!L$35</f>
        <v>0</v>
      </c>
      <c r="BY110" s="701">
        <f>IF('2 MEDIA ALTURA'!M23='2 MEDIA ALTURA'!$B$47,IF('2 MEDIA ALTURA'!M$34=75,IF('2 MEDIA ALTURA'!M22=20,1,0)))*'2 MEDIA ALTURA'!M$35</f>
        <v>0</v>
      </c>
      <c r="BZ110" s="701">
        <f>IF('2 MEDIA ALTURA'!N23='2 MEDIA ALTURA'!$B$47,IF('2 MEDIA ALTURA'!N$34=75,IF('2 MEDIA ALTURA'!N22=20,1,0)))*'2 MEDIA ALTURA'!N$35</f>
        <v>0</v>
      </c>
      <c r="CA110" s="706"/>
      <c r="CB110" s="701">
        <f>IF('2 MEDIA ALTURA'!C23='2 MEDIA ALTURA'!$B$47,IF('2 MEDIA ALTURA'!C$34=84,IF('2 MEDIA ALTURA'!C22=20,1,0)))*'2 MEDIA ALTURA'!C$35</f>
        <v>0</v>
      </c>
      <c r="CC110" s="701">
        <f>IF('2 MEDIA ALTURA'!D23='2 MEDIA ALTURA'!$B$47,IF('2 MEDIA ALTURA'!D$34=84,IF('2 MEDIA ALTURA'!D22=20,1,0)))*'2 MEDIA ALTURA'!D$35</f>
        <v>0</v>
      </c>
      <c r="CD110" s="701">
        <f>IF('2 MEDIA ALTURA'!E23='2 MEDIA ALTURA'!$B$47,IF('2 MEDIA ALTURA'!E$34=84,IF('2 MEDIA ALTURA'!E22=20,1,0)))*'2 MEDIA ALTURA'!E$35</f>
        <v>0</v>
      </c>
      <c r="CE110" s="701">
        <f>IF('2 MEDIA ALTURA'!F23='2 MEDIA ALTURA'!$B$47,IF('2 MEDIA ALTURA'!F$34=84,IF('2 MEDIA ALTURA'!F22=20,1,0)))*'2 MEDIA ALTURA'!F$35</f>
        <v>0</v>
      </c>
      <c r="CF110" s="701">
        <f>IF('2 MEDIA ALTURA'!G23='2 MEDIA ALTURA'!$B$47,IF('2 MEDIA ALTURA'!G$34=84,IF('2 MEDIA ALTURA'!G22=20,1,0)))*'2 MEDIA ALTURA'!G$35</f>
        <v>0</v>
      </c>
      <c r="CG110" s="701">
        <f>IF('2 MEDIA ALTURA'!H23='2 MEDIA ALTURA'!$B$47,IF('2 MEDIA ALTURA'!H$34=84,IF('2 MEDIA ALTURA'!H22=20,1,0)))*'2 MEDIA ALTURA'!H$35</f>
        <v>0</v>
      </c>
      <c r="CH110" s="701">
        <f>IF('2 MEDIA ALTURA'!I23='2 MEDIA ALTURA'!$B$47,IF('2 MEDIA ALTURA'!I$34=84,IF('2 MEDIA ALTURA'!I22=20,1,0)))*'2 MEDIA ALTURA'!I$35</f>
        <v>0</v>
      </c>
      <c r="CI110" s="701">
        <f>IF('2 MEDIA ALTURA'!J23='2 MEDIA ALTURA'!$B$47,IF('2 MEDIA ALTURA'!J$34=84,IF('2 MEDIA ALTURA'!J22=20,1,0)))*'2 MEDIA ALTURA'!J$35</f>
        <v>0</v>
      </c>
      <c r="CJ110" s="701">
        <f>IF('2 MEDIA ALTURA'!K23='2 MEDIA ALTURA'!$B$47,IF('2 MEDIA ALTURA'!K$34=84,IF('2 MEDIA ALTURA'!K22=20,1,0)))*'2 MEDIA ALTURA'!K$35</f>
        <v>0</v>
      </c>
      <c r="CK110" s="701">
        <f>IF('2 MEDIA ALTURA'!L23='2 MEDIA ALTURA'!$B$47,IF('2 MEDIA ALTURA'!L$34=84,IF('2 MEDIA ALTURA'!L22=20,1,0)))*'2 MEDIA ALTURA'!L$35</f>
        <v>0</v>
      </c>
      <c r="CL110" s="701">
        <f>IF('2 MEDIA ALTURA'!M23='2 MEDIA ALTURA'!$B$47,IF('2 MEDIA ALTURA'!M$34=84,IF('2 MEDIA ALTURA'!M22=20,1,0)))*'2 MEDIA ALTURA'!M$35</f>
        <v>0</v>
      </c>
      <c r="CM110" s="701">
        <f>IF('2 MEDIA ALTURA'!N23='2 MEDIA ALTURA'!$B$47,IF('2 MEDIA ALTURA'!N$34=84,IF('2 MEDIA ALTURA'!N22=20,1,0)))*'2 MEDIA ALTURA'!N$35</f>
        <v>0</v>
      </c>
      <c r="CN110" s="706"/>
      <c r="CO110" s="701">
        <f>IF('2 MEDIA ALTURA'!C23='2 MEDIA ALTURA'!$B$47,IF('2 MEDIA ALTURA'!C$45=90,IF('2 MEDIA ALTURA'!C22=20,1,0)))*'2 MEDIA ALTURA'!C$35</f>
        <v>0</v>
      </c>
      <c r="CP110" s="701">
        <f>IF('2 MEDIA ALTURA'!D23='2 MEDIA ALTURA'!$B$47,IF('2 MEDIA ALTURA'!D$45=90,IF('2 MEDIA ALTURA'!D22=20,1,0)))*'2 MEDIA ALTURA'!D$35</f>
        <v>0</v>
      </c>
      <c r="CQ110" s="701">
        <f>IF('2 MEDIA ALTURA'!E23='2 MEDIA ALTURA'!$B$47,IF('2 MEDIA ALTURA'!E$45=90,IF('2 MEDIA ALTURA'!E22=20,1,0)))*'2 MEDIA ALTURA'!E$35</f>
        <v>0</v>
      </c>
      <c r="CR110" s="701">
        <f>IF('2 MEDIA ALTURA'!F23='2 MEDIA ALTURA'!$B$47,IF('2 MEDIA ALTURA'!F$45=90,IF('2 MEDIA ALTURA'!F22=20,1,0)))*'2 MEDIA ALTURA'!F$35</f>
        <v>0</v>
      </c>
      <c r="CS110" s="701">
        <f>IF('2 MEDIA ALTURA'!G23='2 MEDIA ALTURA'!$B$47,IF('2 MEDIA ALTURA'!G$45=90,IF('2 MEDIA ALTURA'!G22=20,1,0)))*'2 MEDIA ALTURA'!G$35</f>
        <v>0</v>
      </c>
      <c r="CT110" s="701">
        <f>IF('2 MEDIA ALTURA'!H23='2 MEDIA ALTURA'!$B$47,IF('2 MEDIA ALTURA'!H$45=90,IF('2 MEDIA ALTURA'!H22=20,1,0)))*'2 MEDIA ALTURA'!H$35</f>
        <v>0</v>
      </c>
      <c r="CU110" s="701">
        <f>IF('2 MEDIA ALTURA'!I23='2 MEDIA ALTURA'!$B$47,IF('2 MEDIA ALTURA'!I$45=90,IF('2 MEDIA ALTURA'!I22=20,1,0)))*'2 MEDIA ALTURA'!I$35</f>
        <v>0</v>
      </c>
      <c r="CV110" s="701">
        <f>IF('2 MEDIA ALTURA'!J23='2 MEDIA ALTURA'!$B$47,IF('2 MEDIA ALTURA'!J$45=90,IF('2 MEDIA ALTURA'!J22=20,1,0)))*'2 MEDIA ALTURA'!J$35</f>
        <v>0</v>
      </c>
      <c r="CW110" s="701">
        <f>IF('2 MEDIA ALTURA'!K23='2 MEDIA ALTURA'!$B$47,IF('2 MEDIA ALTURA'!K$45=90,IF('2 MEDIA ALTURA'!K22=20,1,0)))*'2 MEDIA ALTURA'!K$35</f>
        <v>0</v>
      </c>
      <c r="CX110" s="701">
        <f>IF('2 MEDIA ALTURA'!L23='2 MEDIA ALTURA'!$B$47,IF('2 MEDIA ALTURA'!L$45=90,IF('2 MEDIA ALTURA'!L22=20,1,0)))*'2 MEDIA ALTURA'!L$35</f>
        <v>0</v>
      </c>
      <c r="CY110" s="701">
        <f>IF('2 MEDIA ALTURA'!M23='2 MEDIA ALTURA'!$B$47,IF('2 MEDIA ALTURA'!M$45=90,IF('2 MEDIA ALTURA'!M22=20,1,0)))*'2 MEDIA ALTURA'!M$35</f>
        <v>0</v>
      </c>
      <c r="CZ110" s="701">
        <f>IF('2 MEDIA ALTURA'!N23='2 MEDIA ALTURA'!$B$47,IF('2 MEDIA ALTURA'!N$45=90,IF('2 MEDIA ALTURA'!N22=20,1,0)))*'2 MEDIA ALTURA'!N$35</f>
        <v>0</v>
      </c>
      <c r="DA110" s="706"/>
      <c r="DB110" s="701">
        <f>IF('2 MEDIA ALTURA'!C23='2 MEDIA ALTURA'!$B$47,IF('2 MEDIA ALTURA'!C$34=112,IF('2 MEDIA ALTURA'!C22=20,1,0)))*'2 MEDIA ALTURA'!C$35</f>
        <v>0</v>
      </c>
      <c r="DC110" s="701">
        <f>IF('2 MEDIA ALTURA'!D23='2 MEDIA ALTURA'!$B$47,IF('2 MEDIA ALTURA'!D$34=112,IF('2 MEDIA ALTURA'!D22=20,1,0)))*'2 MEDIA ALTURA'!D$35</f>
        <v>0</v>
      </c>
      <c r="DD110" s="701">
        <f>IF('2 MEDIA ALTURA'!E23='2 MEDIA ALTURA'!$B$47,IF('2 MEDIA ALTURA'!E$34=112,IF('2 MEDIA ALTURA'!E22=20,1,0)))*'2 MEDIA ALTURA'!E$35</f>
        <v>0</v>
      </c>
      <c r="DE110" s="701">
        <f>IF('2 MEDIA ALTURA'!F23='2 MEDIA ALTURA'!$B$47,IF('2 MEDIA ALTURA'!F$34=112,IF('2 MEDIA ALTURA'!F22=20,1,0)))*'2 MEDIA ALTURA'!F$35</f>
        <v>0</v>
      </c>
      <c r="DF110" s="701">
        <f>IF('2 MEDIA ALTURA'!G23='2 MEDIA ALTURA'!$B$47,IF('2 MEDIA ALTURA'!G$34=112,IF('2 MEDIA ALTURA'!G22=20,1,0)))*'2 MEDIA ALTURA'!G$35</f>
        <v>0</v>
      </c>
      <c r="DG110" s="701">
        <f>IF('2 MEDIA ALTURA'!H23='2 MEDIA ALTURA'!$B$47,IF('2 MEDIA ALTURA'!H$34=112,IF('2 MEDIA ALTURA'!H22=20,1,0)))*'2 MEDIA ALTURA'!H$35</f>
        <v>0</v>
      </c>
      <c r="DH110" s="701">
        <f>IF('2 MEDIA ALTURA'!I23='2 MEDIA ALTURA'!$B$47,IF('2 MEDIA ALTURA'!I$34=112,IF('2 MEDIA ALTURA'!I22=20,1,0)))*'2 MEDIA ALTURA'!I$35</f>
        <v>0</v>
      </c>
      <c r="DI110" s="701">
        <f>IF('2 MEDIA ALTURA'!J23='2 MEDIA ALTURA'!$B$47,IF('2 MEDIA ALTURA'!J$34=112,IF('2 MEDIA ALTURA'!J22=20,1,0)))*'2 MEDIA ALTURA'!J$35</f>
        <v>0</v>
      </c>
      <c r="DJ110" s="701">
        <f>IF('2 MEDIA ALTURA'!K23='2 MEDIA ALTURA'!$B$47,IF('2 MEDIA ALTURA'!K$34=112,IF('2 MEDIA ALTURA'!K22=20,1,0)))*'2 MEDIA ALTURA'!K$35</f>
        <v>0</v>
      </c>
      <c r="DK110" s="701">
        <f>IF('2 MEDIA ALTURA'!L23='2 MEDIA ALTURA'!$B$47,IF('2 MEDIA ALTURA'!L$34=112,IF('2 MEDIA ALTURA'!L22=20,1,0)))*'2 MEDIA ALTURA'!L$35</f>
        <v>0</v>
      </c>
      <c r="DL110" s="701">
        <f>IF('2 MEDIA ALTURA'!M23='2 MEDIA ALTURA'!$B$47,IF('2 MEDIA ALTURA'!M$34=112,IF('2 MEDIA ALTURA'!M22=20,1,0)))*'2 MEDIA ALTURA'!M$35</f>
        <v>0</v>
      </c>
      <c r="DM110" s="701">
        <f>IF('2 MEDIA ALTURA'!N23='2 MEDIA ALTURA'!$B$47,IF('2 MEDIA ALTURA'!N$34=112,IF('2 MEDIA ALTURA'!N22=20,1,0)))*'2 MEDIA ALTURA'!N$35</f>
        <v>0</v>
      </c>
      <c r="DN110" s="706"/>
      <c r="DO110" s="701">
        <f>IF('2 MEDIA ALTURA'!C23='2 MEDIA ALTURA'!$B$47,IF('2 MEDIA ALTURA'!C$34=120,IF('2 MEDIA ALTURA'!C22=20,1,0)))*'2 MEDIA ALTURA'!C$35</f>
        <v>0</v>
      </c>
      <c r="DP110" s="701">
        <f>IF('2 MEDIA ALTURA'!D23='2 MEDIA ALTURA'!$B$47,IF('2 MEDIA ALTURA'!D$34=120,IF('2 MEDIA ALTURA'!D22=20,1,0)))*'2 MEDIA ALTURA'!D$35</f>
        <v>0</v>
      </c>
      <c r="DQ110" s="701">
        <f>IF('2 MEDIA ALTURA'!E23='2 MEDIA ALTURA'!$B$47,IF('2 MEDIA ALTURA'!E$34=120,IF('2 MEDIA ALTURA'!E22=20,1,0)))*'2 MEDIA ALTURA'!E$35</f>
        <v>0</v>
      </c>
      <c r="DR110" s="701">
        <f>IF('2 MEDIA ALTURA'!F23='2 MEDIA ALTURA'!$B$47,IF('2 MEDIA ALTURA'!F$34=120,IF('2 MEDIA ALTURA'!F22=20,1,0)))*'2 MEDIA ALTURA'!F$35</f>
        <v>0</v>
      </c>
      <c r="DS110" s="701">
        <f>IF('2 MEDIA ALTURA'!G23='2 MEDIA ALTURA'!$B$47,IF('2 MEDIA ALTURA'!G$34=120,IF('2 MEDIA ALTURA'!G22=20,1,0)))*'2 MEDIA ALTURA'!G$35</f>
        <v>0</v>
      </c>
      <c r="DT110" s="701">
        <f>IF('2 MEDIA ALTURA'!H23='2 MEDIA ALTURA'!$B$47,IF('2 MEDIA ALTURA'!H$34=120,IF('2 MEDIA ALTURA'!H22=20,1,0)))*'2 MEDIA ALTURA'!H$35</f>
        <v>0</v>
      </c>
      <c r="DU110" s="701">
        <f>IF('2 MEDIA ALTURA'!I23='2 MEDIA ALTURA'!$B$47,IF('2 MEDIA ALTURA'!I$34=120,IF('2 MEDIA ALTURA'!I22=20,1,0)))*'2 MEDIA ALTURA'!I$35</f>
        <v>0</v>
      </c>
      <c r="DV110" s="701">
        <f>IF('2 MEDIA ALTURA'!J23='2 MEDIA ALTURA'!$B$47,IF('2 MEDIA ALTURA'!J$34=120,IF('2 MEDIA ALTURA'!J22=20,1,0)))*'2 MEDIA ALTURA'!J$35</f>
        <v>0</v>
      </c>
      <c r="DW110" s="701">
        <f>IF('2 MEDIA ALTURA'!K23='2 MEDIA ALTURA'!$B$47,IF('2 MEDIA ALTURA'!K$34=120,IF('2 MEDIA ALTURA'!K22=20,1,0)))*'2 MEDIA ALTURA'!K$35</f>
        <v>0</v>
      </c>
      <c r="DX110" s="701">
        <f>IF('2 MEDIA ALTURA'!L23='2 MEDIA ALTURA'!$B$47,IF('2 MEDIA ALTURA'!L$34=120,IF('2 MEDIA ALTURA'!L22=20,1,0)))*'2 MEDIA ALTURA'!L$35</f>
        <v>0</v>
      </c>
      <c r="DY110" s="701">
        <f>IF('2 MEDIA ALTURA'!M23='2 MEDIA ALTURA'!$B$47,IF('2 MEDIA ALTURA'!M$34=120,IF('2 MEDIA ALTURA'!M22=20,1,0)))*'2 MEDIA ALTURA'!M$35</f>
        <v>0</v>
      </c>
      <c r="DZ110" s="701">
        <f>IF('2 MEDIA ALTURA'!N23='2 MEDIA ALTURA'!$B$47,IF('2 MEDIA ALTURA'!N$34=120,IF('2 MEDIA ALTURA'!N22=20,1,0)))*'2 MEDIA ALTURA'!N$35</f>
        <v>0</v>
      </c>
      <c r="EA110" s="706"/>
      <c r="EB110" s="701">
        <f>IF('2 MEDIA ALTURA'!C23='2 MEDIA ALTURA'!$B$47,IF('2 MEDIA ALTURA'!C$34=140,IF('2 MEDIA ALTURA'!C22=20,1,0)))*'2 MEDIA ALTURA'!C$35</f>
        <v>0</v>
      </c>
      <c r="EC110" s="701">
        <f>IF('2 MEDIA ALTURA'!D23='2 MEDIA ALTURA'!$B$47,IF('2 MEDIA ALTURA'!D$34=140,IF('2 MEDIA ALTURA'!D22=20,1,0)))*'2 MEDIA ALTURA'!D$35</f>
        <v>0</v>
      </c>
      <c r="ED110" s="701">
        <f>IF('2 MEDIA ALTURA'!E23='2 MEDIA ALTURA'!$B$47,IF('2 MEDIA ALTURA'!E$34=140,IF('2 MEDIA ALTURA'!E22=20,1,0)))*'2 MEDIA ALTURA'!E$35</f>
        <v>0</v>
      </c>
      <c r="EE110" s="701">
        <f>IF('2 MEDIA ALTURA'!F23='2 MEDIA ALTURA'!$B$47,IF('2 MEDIA ALTURA'!F$34=140,IF('2 MEDIA ALTURA'!F22=20,1,0)))*'2 MEDIA ALTURA'!F$35</f>
        <v>0</v>
      </c>
      <c r="EF110" s="701">
        <f>IF('2 MEDIA ALTURA'!G23='2 MEDIA ALTURA'!$B$47,IF('2 MEDIA ALTURA'!G$34=140,IF('2 MEDIA ALTURA'!G22=20,1,0)))*'2 MEDIA ALTURA'!G$35</f>
        <v>0</v>
      </c>
      <c r="EG110" s="701">
        <f>IF('2 MEDIA ALTURA'!H23='2 MEDIA ALTURA'!$B$47,IF('2 MEDIA ALTURA'!H$34=140,IF('2 MEDIA ALTURA'!H22=20,1,0)))*'2 MEDIA ALTURA'!H$35</f>
        <v>0</v>
      </c>
      <c r="EH110" s="701">
        <f>IF('2 MEDIA ALTURA'!I23='2 MEDIA ALTURA'!$B$47,IF('2 MEDIA ALTURA'!I$34=140,IF('2 MEDIA ALTURA'!I22=20,1,0)))*'2 MEDIA ALTURA'!I$35</f>
        <v>0</v>
      </c>
      <c r="EI110" s="701">
        <f>IF('2 MEDIA ALTURA'!J23='2 MEDIA ALTURA'!$B$47,IF('2 MEDIA ALTURA'!J$34=140,IF('2 MEDIA ALTURA'!J22=20,1,0)))*'2 MEDIA ALTURA'!J$35</f>
        <v>0</v>
      </c>
      <c r="EJ110" s="701">
        <f>IF('2 MEDIA ALTURA'!K23='2 MEDIA ALTURA'!$B$47,IF('2 MEDIA ALTURA'!K$34=140,IF('2 MEDIA ALTURA'!K22=20,1,0)))*'2 MEDIA ALTURA'!K$35</f>
        <v>0</v>
      </c>
      <c r="EK110" s="701">
        <f>IF('2 MEDIA ALTURA'!L23='2 MEDIA ALTURA'!$B$47,IF('2 MEDIA ALTURA'!L$34=140,IF('2 MEDIA ALTURA'!L22=20,1,0)))*'2 MEDIA ALTURA'!L$35</f>
        <v>0</v>
      </c>
      <c r="EL110" s="701">
        <f>IF('2 MEDIA ALTURA'!M23='2 MEDIA ALTURA'!$B$47,IF('2 MEDIA ALTURA'!M$34=140,IF('2 MEDIA ALTURA'!M22=20,1,0)))*'2 MEDIA ALTURA'!M$35</f>
        <v>0</v>
      </c>
      <c r="EM110" s="701">
        <f>IF('2 MEDIA ALTURA'!N23='2 MEDIA ALTURA'!$B$47,IF('2 MEDIA ALTURA'!N$34=140,IF('2 MEDIA ALTURA'!N22=20,1,0)))*'2 MEDIA ALTURA'!N$35</f>
        <v>0</v>
      </c>
      <c r="EN110" s="706"/>
      <c r="EO110" s="701">
        <f>IF('2 MEDIA ALTURA'!C23='2 MEDIA ALTURA'!$B$47,IF('2 MEDIA ALTURA'!C$34=150,IF('2 MEDIA ALTURA'!C22=40,1,0)))*'2 MEDIA ALTURA'!C$35</f>
        <v>0</v>
      </c>
      <c r="EP110" s="701">
        <f>IF('2 MEDIA ALTURA'!D23='2 MEDIA ALTURA'!$B$47,IF('2 MEDIA ALTURA'!D$34=150,IF('2 MEDIA ALTURA'!D22=40,1,0)))*'2 MEDIA ALTURA'!D$35</f>
        <v>0</v>
      </c>
      <c r="EQ110" s="701">
        <f>IF('2 MEDIA ALTURA'!E23='2 MEDIA ALTURA'!$B$47,IF('2 MEDIA ALTURA'!E$34=150,IF('2 MEDIA ALTURA'!E22=40,1,0)))*'2 MEDIA ALTURA'!E$35</f>
        <v>0</v>
      </c>
      <c r="ER110" s="701">
        <f>IF('2 MEDIA ALTURA'!F23='2 MEDIA ALTURA'!$B$47,IF('2 MEDIA ALTURA'!F$34=150,IF('2 MEDIA ALTURA'!F22=40,1,0)))*'2 MEDIA ALTURA'!F$35</f>
        <v>0</v>
      </c>
      <c r="ES110" s="701">
        <f>IF('2 MEDIA ALTURA'!G23='2 MEDIA ALTURA'!$B$47,IF('2 MEDIA ALTURA'!G$34=150,IF('2 MEDIA ALTURA'!G22=40,1,0)))*'2 MEDIA ALTURA'!G$35</f>
        <v>0</v>
      </c>
      <c r="ET110" s="701">
        <f>IF('2 MEDIA ALTURA'!H23='2 MEDIA ALTURA'!$B$47,IF('2 MEDIA ALTURA'!H$34=150,IF('2 MEDIA ALTURA'!H22=40,1,0)))*'2 MEDIA ALTURA'!H$35</f>
        <v>0</v>
      </c>
      <c r="EU110" s="701">
        <f>IF('2 MEDIA ALTURA'!I23='2 MEDIA ALTURA'!$B$47,IF('2 MEDIA ALTURA'!I$34=150,IF('2 MEDIA ALTURA'!I22=40,1,0)))*'2 MEDIA ALTURA'!I$35</f>
        <v>0</v>
      </c>
      <c r="EV110" s="701">
        <f>IF('2 MEDIA ALTURA'!J23='2 MEDIA ALTURA'!$B$47,IF('2 MEDIA ALTURA'!J$34=150,IF('2 MEDIA ALTURA'!J22=40,1,0)))*'2 MEDIA ALTURA'!J$35</f>
        <v>0</v>
      </c>
      <c r="EW110" s="701">
        <f>IF('2 MEDIA ALTURA'!K23='2 MEDIA ALTURA'!$B$47,IF('2 MEDIA ALTURA'!K$34=150,IF('2 MEDIA ALTURA'!K22=40,1,0)))*'2 MEDIA ALTURA'!K$35</f>
        <v>0</v>
      </c>
      <c r="EX110" s="701">
        <f>IF('2 MEDIA ALTURA'!L23='2 MEDIA ALTURA'!$B$47,IF('2 MEDIA ALTURA'!L$34=150,IF('2 MEDIA ALTURA'!L22=40,1,0)))*'2 MEDIA ALTURA'!L$35</f>
        <v>0</v>
      </c>
      <c r="EY110" s="701">
        <f>IF('2 MEDIA ALTURA'!M23='2 MEDIA ALTURA'!$B$47,IF('2 MEDIA ALTURA'!M$34=150,IF('2 MEDIA ALTURA'!M22=40,1,0)))*'2 MEDIA ALTURA'!M$35</f>
        <v>0</v>
      </c>
      <c r="EZ110" s="701">
        <f>IF('2 MEDIA ALTURA'!N23='2 MEDIA ALTURA'!$B$47,IF('2 MEDIA ALTURA'!N$34=150,IF('2 MEDIA ALTURA'!N22=40,1,0)))*'2 MEDIA ALTURA'!N$35</f>
        <v>0</v>
      </c>
      <c r="FA110" s="706"/>
    </row>
    <row r="111" spans="1:207" x14ac:dyDescent="0.35">
      <c r="B111" s="702"/>
      <c r="C111" s="702"/>
      <c r="D111" s="702"/>
      <c r="E111" s="702"/>
      <c r="F111" s="702"/>
      <c r="G111" s="702"/>
      <c r="H111" s="702"/>
      <c r="I111" s="702"/>
      <c r="J111" s="702"/>
      <c r="K111" s="702"/>
      <c r="L111" s="702"/>
      <c r="M111" s="702"/>
      <c r="N111" s="706"/>
      <c r="O111" s="702"/>
      <c r="P111" s="702"/>
      <c r="Q111" s="702"/>
      <c r="R111" s="702"/>
      <c r="S111" s="702"/>
      <c r="T111" s="702"/>
      <c r="U111" s="702"/>
      <c r="V111" s="702"/>
      <c r="W111" s="702"/>
      <c r="X111" s="702"/>
      <c r="Y111" s="702"/>
      <c r="Z111" s="702"/>
      <c r="AA111" s="706"/>
      <c r="AB111" s="702"/>
      <c r="AC111" s="702"/>
      <c r="AD111" s="702"/>
      <c r="AE111" s="702"/>
      <c r="AF111" s="702"/>
      <c r="AG111" s="702"/>
      <c r="AH111" s="702"/>
      <c r="AI111" s="702"/>
      <c r="AJ111" s="702"/>
      <c r="AK111" s="702"/>
      <c r="AL111" s="702"/>
      <c r="AM111" s="702"/>
      <c r="AN111" s="706"/>
      <c r="AO111" s="702"/>
      <c r="AP111" s="702"/>
      <c r="AQ111" s="702"/>
      <c r="AR111" s="702"/>
      <c r="AS111" s="702"/>
      <c r="AT111" s="702"/>
      <c r="AU111" s="702"/>
      <c r="AV111" s="702"/>
      <c r="AW111" s="702"/>
      <c r="AX111" s="702"/>
      <c r="AY111" s="702"/>
      <c r="AZ111" s="702"/>
      <c r="BA111" s="706"/>
      <c r="BB111" s="702"/>
      <c r="BC111" s="702"/>
      <c r="BD111" s="702"/>
      <c r="BE111" s="702"/>
      <c r="BF111" s="702"/>
      <c r="BG111" s="702"/>
      <c r="BH111" s="702"/>
      <c r="BI111" s="702"/>
      <c r="BJ111" s="702"/>
      <c r="BK111" s="702"/>
      <c r="BL111" s="702"/>
      <c r="BM111" s="702"/>
      <c r="BN111" s="706"/>
      <c r="BO111" s="702"/>
      <c r="BP111" s="702"/>
      <c r="BQ111" s="702"/>
      <c r="BR111" s="702"/>
      <c r="BS111" s="702"/>
      <c r="BT111" s="702"/>
      <c r="BU111" s="702"/>
      <c r="BV111" s="702"/>
      <c r="BW111" s="702"/>
      <c r="BX111" s="702"/>
      <c r="BY111" s="702"/>
      <c r="BZ111" s="702"/>
      <c r="CA111" s="706"/>
      <c r="CB111" s="702"/>
      <c r="CC111" s="702"/>
      <c r="CD111" s="702"/>
      <c r="CE111" s="702"/>
      <c r="CF111" s="702"/>
      <c r="CG111" s="702"/>
      <c r="CH111" s="702"/>
      <c r="CI111" s="702"/>
      <c r="CJ111" s="702"/>
      <c r="CK111" s="702"/>
      <c r="CL111" s="702"/>
      <c r="CM111" s="702"/>
      <c r="CN111" s="706"/>
      <c r="CO111" s="702"/>
      <c r="CP111" s="702"/>
      <c r="CQ111" s="702"/>
      <c r="CR111" s="702"/>
      <c r="CS111" s="702"/>
      <c r="CT111" s="702"/>
      <c r="CU111" s="702"/>
      <c r="CV111" s="702"/>
      <c r="CW111" s="702"/>
      <c r="CX111" s="702"/>
      <c r="CY111" s="702"/>
      <c r="CZ111" s="702"/>
      <c r="DA111" s="706"/>
      <c r="DB111" s="702"/>
      <c r="DC111" s="702"/>
      <c r="DD111" s="702"/>
      <c r="DE111" s="702"/>
      <c r="DF111" s="702"/>
      <c r="DG111" s="702"/>
      <c r="DH111" s="702"/>
      <c r="DI111" s="702"/>
      <c r="DJ111" s="702"/>
      <c r="DK111" s="702"/>
      <c r="DL111" s="702"/>
      <c r="DM111" s="702"/>
      <c r="DN111" s="706"/>
      <c r="DO111" s="702"/>
      <c r="DP111" s="702"/>
      <c r="DQ111" s="702"/>
      <c r="DR111" s="702"/>
      <c r="DS111" s="702"/>
      <c r="DT111" s="702"/>
      <c r="DU111" s="702"/>
      <c r="DV111" s="702"/>
      <c r="DW111" s="702"/>
      <c r="DX111" s="702"/>
      <c r="DY111" s="702"/>
      <c r="DZ111" s="702"/>
      <c r="EA111" s="706"/>
      <c r="EB111" s="702"/>
      <c r="EC111" s="702"/>
      <c r="ED111" s="702"/>
      <c r="EE111" s="702"/>
      <c r="EF111" s="702"/>
      <c r="EG111" s="702"/>
      <c r="EH111" s="702"/>
      <c r="EI111" s="702"/>
      <c r="EJ111" s="702"/>
      <c r="EK111" s="702"/>
      <c r="EL111" s="702"/>
      <c r="EM111" s="702"/>
      <c r="EN111" s="706"/>
      <c r="EO111" s="702"/>
      <c r="EP111" s="702"/>
      <c r="EQ111" s="702"/>
      <c r="ER111" s="702"/>
      <c r="ES111" s="702"/>
      <c r="ET111" s="702"/>
      <c r="EU111" s="702"/>
      <c r="EV111" s="702"/>
      <c r="EW111" s="702"/>
      <c r="EX111" s="702"/>
      <c r="EY111" s="702"/>
      <c r="EZ111" s="702"/>
      <c r="FA111" s="706"/>
    </row>
    <row r="112" spans="1:207" x14ac:dyDescent="0.35">
      <c r="B112" s="701">
        <f>IF('2 MEDIA ALTURA'!C25='2 MEDIA ALTURA'!$B$47,IF('2 MEDIA ALTURA'!C$34=28,IF('2 MEDIA ALTURA'!C24=20,1,0)))*'2 MEDIA ALTURA'!C$35</f>
        <v>0</v>
      </c>
      <c r="C112" s="701">
        <f>IF('2 MEDIA ALTURA'!D25='2 MEDIA ALTURA'!$B$47,IF('2 MEDIA ALTURA'!D$34=28,IF('2 MEDIA ALTURA'!D24=20,1,0)))*'2 MEDIA ALTURA'!D$35</f>
        <v>0</v>
      </c>
      <c r="D112" s="701">
        <f>IF('2 MEDIA ALTURA'!E25='2 MEDIA ALTURA'!$B$47,IF('2 MEDIA ALTURA'!E$34=28,IF('2 MEDIA ALTURA'!E24=20,1,0)))*'2 MEDIA ALTURA'!E$35</f>
        <v>0</v>
      </c>
      <c r="E112" s="701">
        <f>IF('2 MEDIA ALTURA'!F25='2 MEDIA ALTURA'!$B$47,IF('2 MEDIA ALTURA'!F$34=28,IF('2 MEDIA ALTURA'!F24=20,1,0)))*'2 MEDIA ALTURA'!F$35</f>
        <v>0</v>
      </c>
      <c r="F112" s="701">
        <f>IF('2 MEDIA ALTURA'!G25='2 MEDIA ALTURA'!$B$47,IF('2 MEDIA ALTURA'!G$34=28,IF('2 MEDIA ALTURA'!G24=20,1,0)))*'2 MEDIA ALTURA'!G$35</f>
        <v>0</v>
      </c>
      <c r="G112" s="701">
        <f>IF('2 MEDIA ALTURA'!H25='2 MEDIA ALTURA'!$B$47,IF('2 MEDIA ALTURA'!H$34=28,IF('2 MEDIA ALTURA'!H24=20,1,0)))*'2 MEDIA ALTURA'!H$35</f>
        <v>0</v>
      </c>
      <c r="H112" s="701">
        <f>IF('2 MEDIA ALTURA'!I25='2 MEDIA ALTURA'!$B$47,IF('2 MEDIA ALTURA'!I$34=28,IF('2 MEDIA ALTURA'!I24=20,1,0)))*'2 MEDIA ALTURA'!I$35</f>
        <v>0</v>
      </c>
      <c r="I112" s="701">
        <f>IF('2 MEDIA ALTURA'!J25='2 MEDIA ALTURA'!$B$47,IF('2 MEDIA ALTURA'!J$34=28,IF('2 MEDIA ALTURA'!J24=20,1,0)))*'2 MEDIA ALTURA'!J$35</f>
        <v>0</v>
      </c>
      <c r="J112" s="701">
        <f>IF('2 MEDIA ALTURA'!K25='2 MEDIA ALTURA'!$B$47,IF('2 MEDIA ALTURA'!K$34=28,IF('2 MEDIA ALTURA'!K24=20,1,0)))*'2 MEDIA ALTURA'!K$35</f>
        <v>0</v>
      </c>
      <c r="K112" s="701">
        <f>IF('2 MEDIA ALTURA'!L25='2 MEDIA ALTURA'!$B$47,IF('2 MEDIA ALTURA'!L$34=28,IF('2 MEDIA ALTURA'!L24=20,1,0)))*'2 MEDIA ALTURA'!L$35</f>
        <v>0</v>
      </c>
      <c r="L112" s="701">
        <f>IF('2 MEDIA ALTURA'!M25='2 MEDIA ALTURA'!$B$47,IF('2 MEDIA ALTURA'!M$34=28,IF('2 MEDIA ALTURA'!M24=20,1,0)))*'2 MEDIA ALTURA'!M$35</f>
        <v>0</v>
      </c>
      <c r="M112" s="701">
        <f>IF('2 MEDIA ALTURA'!N25='2 MEDIA ALTURA'!$B$47,IF('2 MEDIA ALTURA'!N$34=28,IF('2 MEDIA ALTURA'!N24=20,1,0)))*'2 MEDIA ALTURA'!N$35</f>
        <v>0</v>
      </c>
      <c r="N112" s="706"/>
      <c r="O112" s="701">
        <f>IF('2 MEDIA ALTURA'!C25='2 MEDIA ALTURA'!$B$47,IF('2 MEDIA ALTURA'!C$34=30,IF('2 MEDIA ALTURA'!C24=20,1,0)))*'2 MEDIA ALTURA'!C$35</f>
        <v>0</v>
      </c>
      <c r="P112" s="701">
        <f>IF('2 MEDIA ALTURA'!D25='2 MEDIA ALTURA'!$B$47,IF('2 MEDIA ALTURA'!D$34=30,IF('2 MEDIA ALTURA'!D24=20,1,0)))*'2 MEDIA ALTURA'!D$35</f>
        <v>0</v>
      </c>
      <c r="Q112" s="701">
        <f>IF('2 MEDIA ALTURA'!E25='2 MEDIA ALTURA'!$B$47,IF('2 MEDIA ALTURA'!E$34=30,IF('2 MEDIA ALTURA'!E24=20,1,0)))*'2 MEDIA ALTURA'!E$35</f>
        <v>0</v>
      </c>
      <c r="R112" s="701">
        <f>IF('2 MEDIA ALTURA'!F25='2 MEDIA ALTURA'!$B$47,IF('2 MEDIA ALTURA'!F$34=30,IF('2 MEDIA ALTURA'!F24=20,1,0)))*'2 MEDIA ALTURA'!F$35</f>
        <v>0</v>
      </c>
      <c r="S112" s="701">
        <f>IF('2 MEDIA ALTURA'!G25='2 MEDIA ALTURA'!$B$47,IF('2 MEDIA ALTURA'!G$34=30,IF('2 MEDIA ALTURA'!G24=20,1,0)))*'2 MEDIA ALTURA'!G$35</f>
        <v>0</v>
      </c>
      <c r="T112" s="701">
        <f>IF('2 MEDIA ALTURA'!H25='2 MEDIA ALTURA'!$B$47,IF('2 MEDIA ALTURA'!H$34=30,IF('2 MEDIA ALTURA'!H24=20,1,0)))*'2 MEDIA ALTURA'!H$35</f>
        <v>0</v>
      </c>
      <c r="U112" s="701">
        <f>IF('2 MEDIA ALTURA'!I25='2 MEDIA ALTURA'!$B$47,IF('2 MEDIA ALTURA'!I$34=30,IF('2 MEDIA ALTURA'!I24=20,1,0)))*'2 MEDIA ALTURA'!I$35</f>
        <v>0</v>
      </c>
      <c r="V112" s="701">
        <f>IF('2 MEDIA ALTURA'!J25='2 MEDIA ALTURA'!$B$47,IF('2 MEDIA ALTURA'!J$34=30,IF('2 MEDIA ALTURA'!J24=20,1,0)))*'2 MEDIA ALTURA'!J$35</f>
        <v>0</v>
      </c>
      <c r="W112" s="701">
        <f>IF('2 MEDIA ALTURA'!K25='2 MEDIA ALTURA'!$B$47,IF('2 MEDIA ALTURA'!K$34=30,IF('2 MEDIA ALTURA'!K24=20,1,0)))*'2 MEDIA ALTURA'!K$35</f>
        <v>0</v>
      </c>
      <c r="X112" s="701">
        <f>IF('2 MEDIA ALTURA'!L25='2 MEDIA ALTURA'!$B$47,IF('2 MEDIA ALTURA'!L$34=30,IF('2 MEDIA ALTURA'!L24=20,1,0)))*'2 MEDIA ALTURA'!L$35</f>
        <v>0</v>
      </c>
      <c r="Y112" s="701">
        <f>IF('2 MEDIA ALTURA'!M25='2 MEDIA ALTURA'!$B$47,IF('2 MEDIA ALTURA'!M$34=30,IF('2 MEDIA ALTURA'!M24=20,1,0)))*'2 MEDIA ALTURA'!M$35</f>
        <v>0</v>
      </c>
      <c r="Z112" s="701">
        <f>IF('2 MEDIA ALTURA'!N25='2 MEDIA ALTURA'!$B$47,IF('2 MEDIA ALTURA'!N$34=30,IF('2 MEDIA ALTURA'!N24=20,1,0)))*'2 MEDIA ALTURA'!N$35</f>
        <v>0</v>
      </c>
      <c r="AA112" s="706"/>
      <c r="AB112" s="701">
        <f>IF('2 MEDIA ALTURA'!C25='2 MEDIA ALTURA'!$B$47,IF('2 MEDIA ALTURA'!C$34=56,IF('2 MEDIA ALTURA'!C24=20,1,0)))*'2 MEDIA ALTURA'!C$35</f>
        <v>0</v>
      </c>
      <c r="AC112" s="701">
        <f>IF('2 MEDIA ALTURA'!D25='2 MEDIA ALTURA'!$B$47,IF('2 MEDIA ALTURA'!D$34=56,IF('2 MEDIA ALTURA'!D24=20,1,0)))*'2 MEDIA ALTURA'!D$35</f>
        <v>0</v>
      </c>
      <c r="AD112" s="701">
        <f>IF('2 MEDIA ALTURA'!E25='2 MEDIA ALTURA'!$B$47,IF('2 MEDIA ALTURA'!E$34=56,IF('2 MEDIA ALTURA'!E24=20,1,0)))*'2 MEDIA ALTURA'!E$35</f>
        <v>0</v>
      </c>
      <c r="AE112" s="701">
        <f>IF('2 MEDIA ALTURA'!F25='2 MEDIA ALTURA'!$B$47,IF('2 MEDIA ALTURA'!F$34=56,IF('2 MEDIA ALTURA'!F24=20,1,0)))*'2 MEDIA ALTURA'!F$35</f>
        <v>0</v>
      </c>
      <c r="AF112" s="701">
        <f>IF('2 MEDIA ALTURA'!G25='2 MEDIA ALTURA'!$B$47,IF('2 MEDIA ALTURA'!G$34=56,IF('2 MEDIA ALTURA'!G24=20,1,0)))*'2 MEDIA ALTURA'!G$35</f>
        <v>0</v>
      </c>
      <c r="AG112" s="701">
        <f>IF('2 MEDIA ALTURA'!H25='2 MEDIA ALTURA'!$B$47,IF('2 MEDIA ALTURA'!H$34=56,IF('2 MEDIA ALTURA'!H24=20,1,0)))*'2 MEDIA ALTURA'!H$35</f>
        <v>0</v>
      </c>
      <c r="AH112" s="701">
        <f>IF('2 MEDIA ALTURA'!I25='2 MEDIA ALTURA'!$B$47,IF('2 MEDIA ALTURA'!I$34=56,IF('2 MEDIA ALTURA'!I24=20,1,0)))*'2 MEDIA ALTURA'!I$35</f>
        <v>0</v>
      </c>
      <c r="AI112" s="701">
        <f>IF('2 MEDIA ALTURA'!J25='2 MEDIA ALTURA'!$B$47,IF('2 MEDIA ALTURA'!J$34=56,IF('2 MEDIA ALTURA'!J24=20,1,0)))*'2 MEDIA ALTURA'!J$35</f>
        <v>0</v>
      </c>
      <c r="AJ112" s="701">
        <f>IF('2 MEDIA ALTURA'!K25='2 MEDIA ALTURA'!$B$47,IF('2 MEDIA ALTURA'!K$34=56,IF('2 MEDIA ALTURA'!K24=20,1,0)))*'2 MEDIA ALTURA'!K$35</f>
        <v>0</v>
      </c>
      <c r="AK112" s="701">
        <f>IF('2 MEDIA ALTURA'!L25='2 MEDIA ALTURA'!$B$47,IF('2 MEDIA ALTURA'!L$34=56,IF('2 MEDIA ALTURA'!L24=20,1,0)))*'2 MEDIA ALTURA'!L$35</f>
        <v>0</v>
      </c>
      <c r="AL112" s="701">
        <f>IF('2 MEDIA ALTURA'!M25='2 MEDIA ALTURA'!$B$47,IF('2 MEDIA ALTURA'!M$34=56,IF('2 MEDIA ALTURA'!M24=20,1,0)))*'2 MEDIA ALTURA'!M$35</f>
        <v>0</v>
      </c>
      <c r="AM112" s="701">
        <f>IF('2 MEDIA ALTURA'!N25='2 MEDIA ALTURA'!$B$47,IF('2 MEDIA ALTURA'!N$34=56,IF('2 MEDIA ALTURA'!N24=20,1,0)))*'2 MEDIA ALTURA'!N$35</f>
        <v>0</v>
      </c>
      <c r="AN112" s="706"/>
      <c r="AO112" s="701">
        <f>IF('2 MEDIA ALTURA'!C25='2 MEDIA ALTURA'!$B$47,IF('2 MEDIA ALTURA'!C$34=60,IF('2 MEDIA ALTURA'!C24=20,1,0)))*'2 MEDIA ALTURA'!C$35</f>
        <v>0</v>
      </c>
      <c r="AP112" s="701">
        <f>IF('2 MEDIA ALTURA'!D25='2 MEDIA ALTURA'!$B$47,IF('2 MEDIA ALTURA'!D$34=60,IF('2 MEDIA ALTURA'!D24=20,1,0)))*'2 MEDIA ALTURA'!D$35</f>
        <v>0</v>
      </c>
      <c r="AQ112" s="701">
        <f>IF('2 MEDIA ALTURA'!E25='2 MEDIA ALTURA'!$B$47,IF('2 MEDIA ALTURA'!E$34=60,IF('2 MEDIA ALTURA'!E24=20,1,0)))*'2 MEDIA ALTURA'!E$35</f>
        <v>0</v>
      </c>
      <c r="AR112" s="701">
        <f>IF('2 MEDIA ALTURA'!F25='2 MEDIA ALTURA'!$B$47,IF('2 MEDIA ALTURA'!F$34=60,IF('2 MEDIA ALTURA'!F24=20,1,0)))*'2 MEDIA ALTURA'!F$35</f>
        <v>0</v>
      </c>
      <c r="AS112" s="701">
        <f>IF('2 MEDIA ALTURA'!G25='2 MEDIA ALTURA'!$B$47,IF('2 MEDIA ALTURA'!G$34=60,IF('2 MEDIA ALTURA'!G24=20,1,0)))*'2 MEDIA ALTURA'!G$35</f>
        <v>0</v>
      </c>
      <c r="AT112" s="701">
        <f>IF('2 MEDIA ALTURA'!H25='2 MEDIA ALTURA'!$B$47,IF('2 MEDIA ALTURA'!H$34=60,IF('2 MEDIA ALTURA'!H24=20,1,0)))*'2 MEDIA ALTURA'!H$35</f>
        <v>0</v>
      </c>
      <c r="AU112" s="701">
        <f>IF('2 MEDIA ALTURA'!I25='2 MEDIA ALTURA'!$B$47,IF('2 MEDIA ALTURA'!I$34=60,IF('2 MEDIA ALTURA'!I24=20,1,0)))*'2 MEDIA ALTURA'!I$35</f>
        <v>0</v>
      </c>
      <c r="AV112" s="701">
        <f>IF('2 MEDIA ALTURA'!J25='2 MEDIA ALTURA'!$B$47,IF('2 MEDIA ALTURA'!J$34=60,IF('2 MEDIA ALTURA'!J24=20,1,0)))*'2 MEDIA ALTURA'!J$35</f>
        <v>0</v>
      </c>
      <c r="AW112" s="701">
        <f>IF('2 MEDIA ALTURA'!K25='2 MEDIA ALTURA'!$B$47,IF('2 MEDIA ALTURA'!K$34=60,IF('2 MEDIA ALTURA'!K24=20,1,0)))*'2 MEDIA ALTURA'!K$35</f>
        <v>0</v>
      </c>
      <c r="AX112" s="701">
        <f>IF('2 MEDIA ALTURA'!L25='2 MEDIA ALTURA'!$B$47,IF('2 MEDIA ALTURA'!L$34=60,IF('2 MEDIA ALTURA'!L24=20,1,0)))*'2 MEDIA ALTURA'!L$35</f>
        <v>0</v>
      </c>
      <c r="AY112" s="701">
        <f>IF('2 MEDIA ALTURA'!M25='2 MEDIA ALTURA'!$B$47,IF('2 MEDIA ALTURA'!M$34=60,IF('2 MEDIA ALTURA'!M24=20,1,0)))*'2 MEDIA ALTURA'!M$35</f>
        <v>0</v>
      </c>
      <c r="AZ112" s="701">
        <f>IF('2 MEDIA ALTURA'!N25='2 MEDIA ALTURA'!$B$47,IF('2 MEDIA ALTURA'!N$34=60,IF('2 MEDIA ALTURA'!N24=20,1,0)))*'2 MEDIA ALTURA'!N$35</f>
        <v>0</v>
      </c>
      <c r="BA112" s="706"/>
      <c r="BB112" s="701">
        <f>IF('2 MEDIA ALTURA'!C25='2 MEDIA ALTURA'!$B$47,IF('2 MEDIA ALTURA'!C$34=70,IF('2 MEDIA ALTURA'!C24=20,1,0)))*'2 MEDIA ALTURA'!C$35</f>
        <v>0</v>
      </c>
      <c r="BC112" s="701">
        <f>IF('2 MEDIA ALTURA'!D25='2 MEDIA ALTURA'!$B$47,IF('2 MEDIA ALTURA'!D$34=70,IF('2 MEDIA ALTURA'!D24=20,1,0)))*'2 MEDIA ALTURA'!D$35</f>
        <v>0</v>
      </c>
      <c r="BD112" s="701">
        <f>IF('2 MEDIA ALTURA'!E25='2 MEDIA ALTURA'!$B$47,IF('2 MEDIA ALTURA'!E$34=70,IF('2 MEDIA ALTURA'!E24=20,1,0)))*'2 MEDIA ALTURA'!E$35</f>
        <v>0</v>
      </c>
      <c r="BE112" s="701">
        <f>IF('2 MEDIA ALTURA'!F25='2 MEDIA ALTURA'!$B$47,IF('2 MEDIA ALTURA'!F$34=70,IF('2 MEDIA ALTURA'!F24=20,1,0)))*'2 MEDIA ALTURA'!F$35</f>
        <v>0</v>
      </c>
      <c r="BF112" s="701">
        <f>IF('2 MEDIA ALTURA'!G25='2 MEDIA ALTURA'!$B$47,IF('2 MEDIA ALTURA'!G$34=70,IF('2 MEDIA ALTURA'!G24=20,1,0)))*'2 MEDIA ALTURA'!G$35</f>
        <v>0</v>
      </c>
      <c r="BG112" s="701">
        <f>IF('2 MEDIA ALTURA'!H25='2 MEDIA ALTURA'!$B$47,IF('2 MEDIA ALTURA'!H$34=70,IF('2 MEDIA ALTURA'!H24=20,1,0)))*'2 MEDIA ALTURA'!H$35</f>
        <v>0</v>
      </c>
      <c r="BH112" s="701">
        <f>IF('2 MEDIA ALTURA'!I25='2 MEDIA ALTURA'!$B$47,IF('2 MEDIA ALTURA'!I$34=70,IF('2 MEDIA ALTURA'!I24=20,1,0)))*'2 MEDIA ALTURA'!I$35</f>
        <v>0</v>
      </c>
      <c r="BI112" s="701">
        <f>IF('2 MEDIA ALTURA'!J25='2 MEDIA ALTURA'!$B$47,IF('2 MEDIA ALTURA'!J$34=70,IF('2 MEDIA ALTURA'!J24=20,1,0)))*'2 MEDIA ALTURA'!J$35</f>
        <v>0</v>
      </c>
      <c r="BJ112" s="701">
        <f>IF('2 MEDIA ALTURA'!K25='2 MEDIA ALTURA'!$B$47,IF('2 MEDIA ALTURA'!K$34=70,IF('2 MEDIA ALTURA'!K24=20,1,0)))*'2 MEDIA ALTURA'!K$35</f>
        <v>0</v>
      </c>
      <c r="BK112" s="701">
        <f>IF('2 MEDIA ALTURA'!L25='2 MEDIA ALTURA'!$B$47,IF('2 MEDIA ALTURA'!L$34=70,IF('2 MEDIA ALTURA'!L24=20,1,0)))*'2 MEDIA ALTURA'!L$35</f>
        <v>0</v>
      </c>
      <c r="BL112" s="701">
        <f>IF('2 MEDIA ALTURA'!M25='2 MEDIA ALTURA'!$B$47,IF('2 MEDIA ALTURA'!M$34=70,IF('2 MEDIA ALTURA'!M24=20,1,0)))*'2 MEDIA ALTURA'!M$35</f>
        <v>0</v>
      </c>
      <c r="BM112" s="701">
        <f>IF('2 MEDIA ALTURA'!N25='2 MEDIA ALTURA'!$B$47,IF('2 MEDIA ALTURA'!N$34=70,IF('2 MEDIA ALTURA'!N24=20,1,0)))*'2 MEDIA ALTURA'!N$35</f>
        <v>0</v>
      </c>
      <c r="BN112" s="706"/>
      <c r="BO112" s="701">
        <f>IF('2 MEDIA ALTURA'!C25='2 MEDIA ALTURA'!$B$47,IF('2 MEDIA ALTURA'!C$34=75,IF('2 MEDIA ALTURA'!C24=20,1,0)))*'2 MEDIA ALTURA'!C$35</f>
        <v>0</v>
      </c>
      <c r="BP112" s="701">
        <f>IF('2 MEDIA ALTURA'!D25='2 MEDIA ALTURA'!$B$47,IF('2 MEDIA ALTURA'!D$34=75,IF('2 MEDIA ALTURA'!D24=20,1,0)))*'2 MEDIA ALTURA'!D$35</f>
        <v>0</v>
      </c>
      <c r="BQ112" s="701">
        <f>IF('2 MEDIA ALTURA'!E25='2 MEDIA ALTURA'!$B$47,IF('2 MEDIA ALTURA'!E$34=75,IF('2 MEDIA ALTURA'!E24=20,1,0)))*'2 MEDIA ALTURA'!E$35</f>
        <v>0</v>
      </c>
      <c r="BR112" s="701">
        <f>IF('2 MEDIA ALTURA'!F25='2 MEDIA ALTURA'!$B$47,IF('2 MEDIA ALTURA'!F$34=75,IF('2 MEDIA ALTURA'!F24=20,1,0)))*'2 MEDIA ALTURA'!F$35</f>
        <v>0</v>
      </c>
      <c r="BS112" s="701">
        <f>IF('2 MEDIA ALTURA'!G25='2 MEDIA ALTURA'!$B$47,IF('2 MEDIA ALTURA'!G$34=75,IF('2 MEDIA ALTURA'!G24=20,1,0)))*'2 MEDIA ALTURA'!G$35</f>
        <v>0</v>
      </c>
      <c r="BT112" s="701">
        <f>IF('2 MEDIA ALTURA'!H25='2 MEDIA ALTURA'!$B$47,IF('2 MEDIA ALTURA'!H$34=75,IF('2 MEDIA ALTURA'!H24=20,1,0)))*'2 MEDIA ALTURA'!H$35</f>
        <v>0</v>
      </c>
      <c r="BU112" s="701">
        <f>IF('2 MEDIA ALTURA'!I25='2 MEDIA ALTURA'!$B$47,IF('2 MEDIA ALTURA'!I$34=75,IF('2 MEDIA ALTURA'!I24=20,1,0)))*'2 MEDIA ALTURA'!I$35</f>
        <v>0</v>
      </c>
      <c r="BV112" s="701">
        <f>IF('2 MEDIA ALTURA'!J25='2 MEDIA ALTURA'!$B$47,IF('2 MEDIA ALTURA'!J$34=75,IF('2 MEDIA ALTURA'!J24=20,1,0)))*'2 MEDIA ALTURA'!J$35</f>
        <v>0</v>
      </c>
      <c r="BW112" s="701">
        <f>IF('2 MEDIA ALTURA'!K25='2 MEDIA ALTURA'!$B$47,IF('2 MEDIA ALTURA'!K$34=75,IF('2 MEDIA ALTURA'!K24=20,1,0)))*'2 MEDIA ALTURA'!K$35</f>
        <v>0</v>
      </c>
      <c r="BX112" s="701">
        <f>IF('2 MEDIA ALTURA'!L25='2 MEDIA ALTURA'!$B$47,IF('2 MEDIA ALTURA'!L$34=75,IF('2 MEDIA ALTURA'!L24=20,1,0)))*'2 MEDIA ALTURA'!L$35</f>
        <v>0</v>
      </c>
      <c r="BY112" s="701">
        <f>IF('2 MEDIA ALTURA'!M25='2 MEDIA ALTURA'!$B$47,IF('2 MEDIA ALTURA'!M$34=75,IF('2 MEDIA ALTURA'!M24=20,1,0)))*'2 MEDIA ALTURA'!M$35</f>
        <v>0</v>
      </c>
      <c r="BZ112" s="701">
        <f>IF('2 MEDIA ALTURA'!N25='2 MEDIA ALTURA'!$B$47,IF('2 MEDIA ALTURA'!N$34=75,IF('2 MEDIA ALTURA'!N24=20,1,0)))*'2 MEDIA ALTURA'!N$35</f>
        <v>0</v>
      </c>
      <c r="CA112" s="706"/>
      <c r="CB112" s="701">
        <f>IF('2 MEDIA ALTURA'!C25='2 MEDIA ALTURA'!$B$47,IF('2 MEDIA ALTURA'!C$34=84,IF('2 MEDIA ALTURA'!C24=20,1,0)))*'2 MEDIA ALTURA'!C$35</f>
        <v>0</v>
      </c>
      <c r="CC112" s="701">
        <f>IF('2 MEDIA ALTURA'!D25='2 MEDIA ALTURA'!$B$47,IF('2 MEDIA ALTURA'!D$34=84,IF('2 MEDIA ALTURA'!D24=20,1,0)))*'2 MEDIA ALTURA'!D$35</f>
        <v>0</v>
      </c>
      <c r="CD112" s="701">
        <f>IF('2 MEDIA ALTURA'!E25='2 MEDIA ALTURA'!$B$47,IF('2 MEDIA ALTURA'!E$34=84,IF('2 MEDIA ALTURA'!E24=20,1,0)))*'2 MEDIA ALTURA'!E$35</f>
        <v>0</v>
      </c>
      <c r="CE112" s="701">
        <f>IF('2 MEDIA ALTURA'!F25='2 MEDIA ALTURA'!$B$47,IF('2 MEDIA ALTURA'!F$34=84,IF('2 MEDIA ALTURA'!F24=20,1,0)))*'2 MEDIA ALTURA'!F$35</f>
        <v>0</v>
      </c>
      <c r="CF112" s="701">
        <f>IF('2 MEDIA ALTURA'!G25='2 MEDIA ALTURA'!$B$47,IF('2 MEDIA ALTURA'!G$34=84,IF('2 MEDIA ALTURA'!G24=20,1,0)))*'2 MEDIA ALTURA'!G$35</f>
        <v>0</v>
      </c>
      <c r="CG112" s="701">
        <f>IF('2 MEDIA ALTURA'!H25='2 MEDIA ALTURA'!$B$47,IF('2 MEDIA ALTURA'!H$34=84,IF('2 MEDIA ALTURA'!H24=20,1,0)))*'2 MEDIA ALTURA'!H$35</f>
        <v>0</v>
      </c>
      <c r="CH112" s="701">
        <f>IF('2 MEDIA ALTURA'!I25='2 MEDIA ALTURA'!$B$47,IF('2 MEDIA ALTURA'!I$34=84,IF('2 MEDIA ALTURA'!I24=20,1,0)))*'2 MEDIA ALTURA'!I$35</f>
        <v>0</v>
      </c>
      <c r="CI112" s="701">
        <f>IF('2 MEDIA ALTURA'!J25='2 MEDIA ALTURA'!$B$47,IF('2 MEDIA ALTURA'!J$34=84,IF('2 MEDIA ALTURA'!J24=20,1,0)))*'2 MEDIA ALTURA'!J$35</f>
        <v>0</v>
      </c>
      <c r="CJ112" s="701">
        <f>IF('2 MEDIA ALTURA'!K25='2 MEDIA ALTURA'!$B$47,IF('2 MEDIA ALTURA'!K$34=84,IF('2 MEDIA ALTURA'!K24=20,1,0)))*'2 MEDIA ALTURA'!K$35</f>
        <v>0</v>
      </c>
      <c r="CK112" s="701">
        <f>IF('2 MEDIA ALTURA'!L25='2 MEDIA ALTURA'!$B$47,IF('2 MEDIA ALTURA'!L$34=84,IF('2 MEDIA ALTURA'!L24=20,1,0)))*'2 MEDIA ALTURA'!L$35</f>
        <v>0</v>
      </c>
      <c r="CL112" s="701">
        <f>IF('2 MEDIA ALTURA'!M25='2 MEDIA ALTURA'!$B$47,IF('2 MEDIA ALTURA'!M$34=84,IF('2 MEDIA ALTURA'!M24=20,1,0)))*'2 MEDIA ALTURA'!M$35</f>
        <v>0</v>
      </c>
      <c r="CM112" s="701">
        <f>IF('2 MEDIA ALTURA'!N25='2 MEDIA ALTURA'!$B$47,IF('2 MEDIA ALTURA'!N$34=84,IF('2 MEDIA ALTURA'!N24=20,1,0)))*'2 MEDIA ALTURA'!N$35</f>
        <v>0</v>
      </c>
      <c r="CN112" s="706"/>
      <c r="CO112" s="701">
        <f>IF('2 MEDIA ALTURA'!C25='2 MEDIA ALTURA'!$B$47,IF('2 MEDIA ALTURA'!C$45=90,IF('2 MEDIA ALTURA'!C24=20,1,0)))*'2 MEDIA ALTURA'!C$35</f>
        <v>0</v>
      </c>
      <c r="CP112" s="701">
        <f>IF('2 MEDIA ALTURA'!D25='2 MEDIA ALTURA'!$B$47,IF('2 MEDIA ALTURA'!D$45=90,IF('2 MEDIA ALTURA'!D24=20,1,0)))*'2 MEDIA ALTURA'!D$35</f>
        <v>0</v>
      </c>
      <c r="CQ112" s="701">
        <f>IF('2 MEDIA ALTURA'!E25='2 MEDIA ALTURA'!$B$47,IF('2 MEDIA ALTURA'!E$45=90,IF('2 MEDIA ALTURA'!E24=20,1,0)))*'2 MEDIA ALTURA'!E$35</f>
        <v>0</v>
      </c>
      <c r="CR112" s="701">
        <f>IF('2 MEDIA ALTURA'!F25='2 MEDIA ALTURA'!$B$47,IF('2 MEDIA ALTURA'!F$45=90,IF('2 MEDIA ALTURA'!F24=20,1,0)))*'2 MEDIA ALTURA'!F$35</f>
        <v>0</v>
      </c>
      <c r="CS112" s="701">
        <f>IF('2 MEDIA ALTURA'!G25='2 MEDIA ALTURA'!$B$47,IF('2 MEDIA ALTURA'!G$45=90,IF('2 MEDIA ALTURA'!G24=20,1,0)))*'2 MEDIA ALTURA'!G$35</f>
        <v>0</v>
      </c>
      <c r="CT112" s="701">
        <f>IF('2 MEDIA ALTURA'!H25='2 MEDIA ALTURA'!$B$47,IF('2 MEDIA ALTURA'!H$45=90,IF('2 MEDIA ALTURA'!H24=20,1,0)))*'2 MEDIA ALTURA'!H$35</f>
        <v>0</v>
      </c>
      <c r="CU112" s="701">
        <f>IF('2 MEDIA ALTURA'!I25='2 MEDIA ALTURA'!$B$47,IF('2 MEDIA ALTURA'!I$45=90,IF('2 MEDIA ALTURA'!I24=20,1,0)))*'2 MEDIA ALTURA'!I$35</f>
        <v>0</v>
      </c>
      <c r="CV112" s="701">
        <f>IF('2 MEDIA ALTURA'!J25='2 MEDIA ALTURA'!$B$47,IF('2 MEDIA ALTURA'!J$45=90,IF('2 MEDIA ALTURA'!J24=20,1,0)))*'2 MEDIA ALTURA'!J$35</f>
        <v>0</v>
      </c>
      <c r="CW112" s="701">
        <f>IF('2 MEDIA ALTURA'!K25='2 MEDIA ALTURA'!$B$47,IF('2 MEDIA ALTURA'!K$45=90,IF('2 MEDIA ALTURA'!K24=20,1,0)))*'2 MEDIA ALTURA'!K$35</f>
        <v>0</v>
      </c>
      <c r="CX112" s="701">
        <f>IF('2 MEDIA ALTURA'!L25='2 MEDIA ALTURA'!$B$47,IF('2 MEDIA ALTURA'!L$45=90,IF('2 MEDIA ALTURA'!L24=20,1,0)))*'2 MEDIA ALTURA'!L$35</f>
        <v>0</v>
      </c>
      <c r="CY112" s="701">
        <f>IF('2 MEDIA ALTURA'!M25='2 MEDIA ALTURA'!$B$47,IF('2 MEDIA ALTURA'!M$45=90,IF('2 MEDIA ALTURA'!M24=20,1,0)))*'2 MEDIA ALTURA'!M$35</f>
        <v>0</v>
      </c>
      <c r="CZ112" s="701">
        <f>IF('2 MEDIA ALTURA'!N25='2 MEDIA ALTURA'!$B$47,IF('2 MEDIA ALTURA'!N$45=90,IF('2 MEDIA ALTURA'!N24=20,1,0)))*'2 MEDIA ALTURA'!N$35</f>
        <v>0</v>
      </c>
      <c r="DA112" s="706"/>
      <c r="DB112" s="701">
        <f>IF('2 MEDIA ALTURA'!C25='2 MEDIA ALTURA'!$B$47,IF('2 MEDIA ALTURA'!C$34=112,IF('2 MEDIA ALTURA'!C24=20,1,0)))*'2 MEDIA ALTURA'!C$35</f>
        <v>0</v>
      </c>
      <c r="DC112" s="701">
        <f>IF('2 MEDIA ALTURA'!D25='2 MEDIA ALTURA'!$B$47,IF('2 MEDIA ALTURA'!D$34=112,IF('2 MEDIA ALTURA'!D24=20,1,0)))*'2 MEDIA ALTURA'!D$35</f>
        <v>0</v>
      </c>
      <c r="DD112" s="701">
        <f>IF('2 MEDIA ALTURA'!E25='2 MEDIA ALTURA'!$B$47,IF('2 MEDIA ALTURA'!E$34=112,IF('2 MEDIA ALTURA'!E24=20,1,0)))*'2 MEDIA ALTURA'!E$35</f>
        <v>0</v>
      </c>
      <c r="DE112" s="701">
        <f>IF('2 MEDIA ALTURA'!F25='2 MEDIA ALTURA'!$B$47,IF('2 MEDIA ALTURA'!F$34=112,IF('2 MEDIA ALTURA'!F24=20,1,0)))*'2 MEDIA ALTURA'!F$35</f>
        <v>0</v>
      </c>
      <c r="DF112" s="701">
        <f>IF('2 MEDIA ALTURA'!G25='2 MEDIA ALTURA'!$B$47,IF('2 MEDIA ALTURA'!G$34=112,IF('2 MEDIA ALTURA'!G24=20,1,0)))*'2 MEDIA ALTURA'!G$35</f>
        <v>0</v>
      </c>
      <c r="DG112" s="701">
        <f>IF('2 MEDIA ALTURA'!H25='2 MEDIA ALTURA'!$B$47,IF('2 MEDIA ALTURA'!H$34=112,IF('2 MEDIA ALTURA'!H24=20,1,0)))*'2 MEDIA ALTURA'!H$35</f>
        <v>0</v>
      </c>
      <c r="DH112" s="701">
        <f>IF('2 MEDIA ALTURA'!I25='2 MEDIA ALTURA'!$B$47,IF('2 MEDIA ALTURA'!I$34=112,IF('2 MEDIA ALTURA'!I24=20,1,0)))*'2 MEDIA ALTURA'!I$35</f>
        <v>0</v>
      </c>
      <c r="DI112" s="701">
        <f>IF('2 MEDIA ALTURA'!J25='2 MEDIA ALTURA'!$B$47,IF('2 MEDIA ALTURA'!J$34=112,IF('2 MEDIA ALTURA'!J24=20,1,0)))*'2 MEDIA ALTURA'!J$35</f>
        <v>0</v>
      </c>
      <c r="DJ112" s="701">
        <f>IF('2 MEDIA ALTURA'!K25='2 MEDIA ALTURA'!$B$47,IF('2 MEDIA ALTURA'!K$34=112,IF('2 MEDIA ALTURA'!K24=20,1,0)))*'2 MEDIA ALTURA'!K$35</f>
        <v>0</v>
      </c>
      <c r="DK112" s="701">
        <f>IF('2 MEDIA ALTURA'!L25='2 MEDIA ALTURA'!$B$47,IF('2 MEDIA ALTURA'!L$34=112,IF('2 MEDIA ALTURA'!L24=20,1,0)))*'2 MEDIA ALTURA'!L$35</f>
        <v>0</v>
      </c>
      <c r="DL112" s="701">
        <f>IF('2 MEDIA ALTURA'!M25='2 MEDIA ALTURA'!$B$47,IF('2 MEDIA ALTURA'!M$34=112,IF('2 MEDIA ALTURA'!M24=20,1,0)))*'2 MEDIA ALTURA'!M$35</f>
        <v>0</v>
      </c>
      <c r="DM112" s="701">
        <f>IF('2 MEDIA ALTURA'!N25='2 MEDIA ALTURA'!$B$47,IF('2 MEDIA ALTURA'!N$34=112,IF('2 MEDIA ALTURA'!N24=20,1,0)))*'2 MEDIA ALTURA'!N$35</f>
        <v>0</v>
      </c>
      <c r="DN112" s="706"/>
      <c r="DO112" s="701">
        <f>IF('2 MEDIA ALTURA'!C25='2 MEDIA ALTURA'!$B$47,IF('2 MEDIA ALTURA'!C$34=120,IF('2 MEDIA ALTURA'!C24=20,1,0)))*'2 MEDIA ALTURA'!C$35</f>
        <v>0</v>
      </c>
      <c r="DP112" s="701">
        <f>IF('2 MEDIA ALTURA'!D25='2 MEDIA ALTURA'!$B$47,IF('2 MEDIA ALTURA'!D$34=120,IF('2 MEDIA ALTURA'!D24=20,1,0)))*'2 MEDIA ALTURA'!D$35</f>
        <v>0</v>
      </c>
      <c r="DQ112" s="701">
        <f>IF('2 MEDIA ALTURA'!E25='2 MEDIA ALTURA'!$B$47,IF('2 MEDIA ALTURA'!E$34=120,IF('2 MEDIA ALTURA'!E24=20,1,0)))*'2 MEDIA ALTURA'!E$35</f>
        <v>0</v>
      </c>
      <c r="DR112" s="701">
        <f>IF('2 MEDIA ALTURA'!F25='2 MEDIA ALTURA'!$B$47,IF('2 MEDIA ALTURA'!F$34=120,IF('2 MEDIA ALTURA'!F24=20,1,0)))*'2 MEDIA ALTURA'!F$35</f>
        <v>0</v>
      </c>
      <c r="DS112" s="701">
        <f>IF('2 MEDIA ALTURA'!G25='2 MEDIA ALTURA'!$B$47,IF('2 MEDIA ALTURA'!G$34=120,IF('2 MEDIA ALTURA'!G24=20,1,0)))*'2 MEDIA ALTURA'!G$35</f>
        <v>0</v>
      </c>
      <c r="DT112" s="701">
        <f>IF('2 MEDIA ALTURA'!H25='2 MEDIA ALTURA'!$B$47,IF('2 MEDIA ALTURA'!H$34=120,IF('2 MEDIA ALTURA'!H24=20,1,0)))*'2 MEDIA ALTURA'!H$35</f>
        <v>0</v>
      </c>
      <c r="DU112" s="701">
        <f>IF('2 MEDIA ALTURA'!I25='2 MEDIA ALTURA'!$B$47,IF('2 MEDIA ALTURA'!I$34=120,IF('2 MEDIA ALTURA'!I24=20,1,0)))*'2 MEDIA ALTURA'!I$35</f>
        <v>0</v>
      </c>
      <c r="DV112" s="701">
        <f>IF('2 MEDIA ALTURA'!J25='2 MEDIA ALTURA'!$B$47,IF('2 MEDIA ALTURA'!J$34=120,IF('2 MEDIA ALTURA'!J24=20,1,0)))*'2 MEDIA ALTURA'!J$35</f>
        <v>0</v>
      </c>
      <c r="DW112" s="701">
        <f>IF('2 MEDIA ALTURA'!K25='2 MEDIA ALTURA'!$B$47,IF('2 MEDIA ALTURA'!K$34=120,IF('2 MEDIA ALTURA'!K24=20,1,0)))*'2 MEDIA ALTURA'!K$35</f>
        <v>0</v>
      </c>
      <c r="DX112" s="701">
        <f>IF('2 MEDIA ALTURA'!L25='2 MEDIA ALTURA'!$B$47,IF('2 MEDIA ALTURA'!L$34=120,IF('2 MEDIA ALTURA'!L24=20,1,0)))*'2 MEDIA ALTURA'!L$35</f>
        <v>0</v>
      </c>
      <c r="DY112" s="701">
        <f>IF('2 MEDIA ALTURA'!M25='2 MEDIA ALTURA'!$B$47,IF('2 MEDIA ALTURA'!M$34=120,IF('2 MEDIA ALTURA'!M24=20,1,0)))*'2 MEDIA ALTURA'!M$35</f>
        <v>0</v>
      </c>
      <c r="DZ112" s="701">
        <f>IF('2 MEDIA ALTURA'!N25='2 MEDIA ALTURA'!$B$47,IF('2 MEDIA ALTURA'!N$34=120,IF('2 MEDIA ALTURA'!N24=20,1,0)))*'2 MEDIA ALTURA'!N$35</f>
        <v>0</v>
      </c>
      <c r="EA112" s="706"/>
      <c r="EB112" s="701">
        <f>IF('2 MEDIA ALTURA'!C25='2 MEDIA ALTURA'!$B$47,IF('2 MEDIA ALTURA'!C$34=140,IF('2 MEDIA ALTURA'!C24=20,1,0)))*'2 MEDIA ALTURA'!C$35</f>
        <v>0</v>
      </c>
      <c r="EC112" s="701">
        <f>IF('2 MEDIA ALTURA'!D25='2 MEDIA ALTURA'!$B$47,IF('2 MEDIA ALTURA'!D$34=140,IF('2 MEDIA ALTURA'!D24=20,1,0)))*'2 MEDIA ALTURA'!D$35</f>
        <v>0</v>
      </c>
      <c r="ED112" s="701">
        <f>IF('2 MEDIA ALTURA'!E25='2 MEDIA ALTURA'!$B$47,IF('2 MEDIA ALTURA'!E$34=140,IF('2 MEDIA ALTURA'!E24=20,1,0)))*'2 MEDIA ALTURA'!E$35</f>
        <v>0</v>
      </c>
      <c r="EE112" s="701">
        <f>IF('2 MEDIA ALTURA'!F25='2 MEDIA ALTURA'!$B$47,IF('2 MEDIA ALTURA'!F$34=140,IF('2 MEDIA ALTURA'!F24=20,1,0)))*'2 MEDIA ALTURA'!F$35</f>
        <v>0</v>
      </c>
      <c r="EF112" s="701">
        <f>IF('2 MEDIA ALTURA'!G25='2 MEDIA ALTURA'!$B$47,IF('2 MEDIA ALTURA'!G$34=140,IF('2 MEDIA ALTURA'!G24=20,1,0)))*'2 MEDIA ALTURA'!G$35</f>
        <v>0</v>
      </c>
      <c r="EG112" s="701">
        <f>IF('2 MEDIA ALTURA'!H25='2 MEDIA ALTURA'!$B$47,IF('2 MEDIA ALTURA'!H$34=140,IF('2 MEDIA ALTURA'!H24=20,1,0)))*'2 MEDIA ALTURA'!H$35</f>
        <v>0</v>
      </c>
      <c r="EH112" s="701">
        <f>IF('2 MEDIA ALTURA'!I25='2 MEDIA ALTURA'!$B$47,IF('2 MEDIA ALTURA'!I$34=140,IF('2 MEDIA ALTURA'!I24=20,1,0)))*'2 MEDIA ALTURA'!I$35</f>
        <v>0</v>
      </c>
      <c r="EI112" s="701">
        <f>IF('2 MEDIA ALTURA'!J25='2 MEDIA ALTURA'!$B$47,IF('2 MEDIA ALTURA'!J$34=140,IF('2 MEDIA ALTURA'!J24=20,1,0)))*'2 MEDIA ALTURA'!J$35</f>
        <v>0</v>
      </c>
      <c r="EJ112" s="701">
        <f>IF('2 MEDIA ALTURA'!K25='2 MEDIA ALTURA'!$B$47,IF('2 MEDIA ALTURA'!K$34=140,IF('2 MEDIA ALTURA'!K24=20,1,0)))*'2 MEDIA ALTURA'!K$35</f>
        <v>0</v>
      </c>
      <c r="EK112" s="701">
        <f>IF('2 MEDIA ALTURA'!L25='2 MEDIA ALTURA'!$B$47,IF('2 MEDIA ALTURA'!L$34=140,IF('2 MEDIA ALTURA'!L24=20,1,0)))*'2 MEDIA ALTURA'!L$35</f>
        <v>0</v>
      </c>
      <c r="EL112" s="701">
        <f>IF('2 MEDIA ALTURA'!M25='2 MEDIA ALTURA'!$B$47,IF('2 MEDIA ALTURA'!M$34=140,IF('2 MEDIA ALTURA'!M24=20,1,0)))*'2 MEDIA ALTURA'!M$35</f>
        <v>0</v>
      </c>
      <c r="EM112" s="701">
        <f>IF('2 MEDIA ALTURA'!N25='2 MEDIA ALTURA'!$B$47,IF('2 MEDIA ALTURA'!N$34=140,IF('2 MEDIA ALTURA'!N24=20,1,0)))*'2 MEDIA ALTURA'!N$35</f>
        <v>0</v>
      </c>
      <c r="EN112" s="706"/>
      <c r="EO112" s="701">
        <f>IF('2 MEDIA ALTURA'!C25='2 MEDIA ALTURA'!$B$47,IF('2 MEDIA ALTURA'!C$34=150,IF('2 MEDIA ALTURA'!C24=40,1,0)))*'2 MEDIA ALTURA'!C$35</f>
        <v>0</v>
      </c>
      <c r="EP112" s="701">
        <f>IF('2 MEDIA ALTURA'!D25='2 MEDIA ALTURA'!$B$47,IF('2 MEDIA ALTURA'!D$34=150,IF('2 MEDIA ALTURA'!D24=40,1,0)))*'2 MEDIA ALTURA'!D$35</f>
        <v>0</v>
      </c>
      <c r="EQ112" s="701">
        <f>IF('2 MEDIA ALTURA'!E25='2 MEDIA ALTURA'!$B$47,IF('2 MEDIA ALTURA'!E$34=150,IF('2 MEDIA ALTURA'!E24=40,1,0)))*'2 MEDIA ALTURA'!E$35</f>
        <v>0</v>
      </c>
      <c r="ER112" s="701">
        <f>IF('2 MEDIA ALTURA'!F25='2 MEDIA ALTURA'!$B$47,IF('2 MEDIA ALTURA'!F$34=150,IF('2 MEDIA ALTURA'!F24=40,1,0)))*'2 MEDIA ALTURA'!F$35</f>
        <v>0</v>
      </c>
      <c r="ES112" s="701">
        <f>IF('2 MEDIA ALTURA'!G25='2 MEDIA ALTURA'!$B$47,IF('2 MEDIA ALTURA'!G$34=150,IF('2 MEDIA ALTURA'!G24=40,1,0)))*'2 MEDIA ALTURA'!G$35</f>
        <v>0</v>
      </c>
      <c r="ET112" s="701">
        <f>IF('2 MEDIA ALTURA'!H25='2 MEDIA ALTURA'!$B$47,IF('2 MEDIA ALTURA'!H$34=150,IF('2 MEDIA ALTURA'!H24=40,1,0)))*'2 MEDIA ALTURA'!H$35</f>
        <v>0</v>
      </c>
      <c r="EU112" s="701">
        <f>IF('2 MEDIA ALTURA'!I25='2 MEDIA ALTURA'!$B$47,IF('2 MEDIA ALTURA'!I$34=150,IF('2 MEDIA ALTURA'!I24=40,1,0)))*'2 MEDIA ALTURA'!I$35</f>
        <v>0</v>
      </c>
      <c r="EV112" s="701">
        <f>IF('2 MEDIA ALTURA'!J25='2 MEDIA ALTURA'!$B$47,IF('2 MEDIA ALTURA'!J$34=150,IF('2 MEDIA ALTURA'!J24=40,1,0)))*'2 MEDIA ALTURA'!J$35</f>
        <v>0</v>
      </c>
      <c r="EW112" s="701">
        <f>IF('2 MEDIA ALTURA'!K25='2 MEDIA ALTURA'!$B$47,IF('2 MEDIA ALTURA'!K$34=150,IF('2 MEDIA ALTURA'!K24=40,1,0)))*'2 MEDIA ALTURA'!K$35</f>
        <v>0</v>
      </c>
      <c r="EX112" s="701">
        <f>IF('2 MEDIA ALTURA'!L25='2 MEDIA ALTURA'!$B$47,IF('2 MEDIA ALTURA'!L$34=150,IF('2 MEDIA ALTURA'!L24=40,1,0)))*'2 MEDIA ALTURA'!L$35</f>
        <v>0</v>
      </c>
      <c r="EY112" s="701">
        <f>IF('2 MEDIA ALTURA'!M25='2 MEDIA ALTURA'!$B$47,IF('2 MEDIA ALTURA'!M$34=150,IF('2 MEDIA ALTURA'!M24=40,1,0)))*'2 MEDIA ALTURA'!M$35</f>
        <v>0</v>
      </c>
      <c r="EZ112" s="701">
        <f>IF('2 MEDIA ALTURA'!N25='2 MEDIA ALTURA'!$B$47,IF('2 MEDIA ALTURA'!N$34=150,IF('2 MEDIA ALTURA'!N24=40,1,0)))*'2 MEDIA ALTURA'!N$35</f>
        <v>0</v>
      </c>
      <c r="FA112" s="706"/>
    </row>
    <row r="113" spans="1:194" x14ac:dyDescent="0.35"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6"/>
      <c r="O113" s="702"/>
      <c r="P113" s="702"/>
      <c r="Q113" s="702"/>
      <c r="R113" s="702"/>
      <c r="S113" s="702"/>
      <c r="T113" s="702"/>
      <c r="U113" s="702"/>
      <c r="V113" s="702"/>
      <c r="W113" s="702"/>
      <c r="X113" s="702"/>
      <c r="Y113" s="702"/>
      <c r="Z113" s="702"/>
      <c r="AA113" s="706"/>
      <c r="AB113" s="702"/>
      <c r="AC113" s="702"/>
      <c r="AD113" s="702"/>
      <c r="AE113" s="702"/>
      <c r="AF113" s="702"/>
      <c r="AG113" s="702"/>
      <c r="AH113" s="702"/>
      <c r="AI113" s="702"/>
      <c r="AJ113" s="702"/>
      <c r="AK113" s="702"/>
      <c r="AL113" s="702"/>
      <c r="AM113" s="702"/>
      <c r="AN113" s="706"/>
      <c r="AO113" s="702"/>
      <c r="AP113" s="702"/>
      <c r="AQ113" s="702"/>
      <c r="AR113" s="702"/>
      <c r="AS113" s="702"/>
      <c r="AT113" s="702"/>
      <c r="AU113" s="702"/>
      <c r="AV113" s="702"/>
      <c r="AW113" s="702"/>
      <c r="AX113" s="702"/>
      <c r="AY113" s="702"/>
      <c r="AZ113" s="702"/>
      <c r="BA113" s="706"/>
      <c r="BB113" s="702"/>
      <c r="BC113" s="702"/>
      <c r="BD113" s="702"/>
      <c r="BE113" s="702"/>
      <c r="BF113" s="702"/>
      <c r="BG113" s="702"/>
      <c r="BH113" s="702"/>
      <c r="BI113" s="702"/>
      <c r="BJ113" s="702"/>
      <c r="BK113" s="702"/>
      <c r="BL113" s="702"/>
      <c r="BM113" s="702"/>
      <c r="BN113" s="706"/>
      <c r="BO113" s="702"/>
      <c r="BP113" s="702"/>
      <c r="BQ113" s="702"/>
      <c r="BR113" s="702"/>
      <c r="BS113" s="702"/>
      <c r="BT113" s="702"/>
      <c r="BU113" s="702"/>
      <c r="BV113" s="702"/>
      <c r="BW113" s="702"/>
      <c r="BX113" s="702"/>
      <c r="BY113" s="702"/>
      <c r="BZ113" s="702"/>
      <c r="CA113" s="706"/>
      <c r="CB113" s="702"/>
      <c r="CC113" s="702"/>
      <c r="CD113" s="702"/>
      <c r="CE113" s="702"/>
      <c r="CF113" s="702"/>
      <c r="CG113" s="702"/>
      <c r="CH113" s="702"/>
      <c r="CI113" s="702"/>
      <c r="CJ113" s="702"/>
      <c r="CK113" s="702"/>
      <c r="CL113" s="702"/>
      <c r="CM113" s="702"/>
      <c r="CN113" s="706"/>
      <c r="CO113" s="702"/>
      <c r="CP113" s="702"/>
      <c r="CQ113" s="702"/>
      <c r="CR113" s="702"/>
      <c r="CS113" s="702"/>
      <c r="CT113" s="702"/>
      <c r="CU113" s="702"/>
      <c r="CV113" s="702"/>
      <c r="CW113" s="702"/>
      <c r="CX113" s="702"/>
      <c r="CY113" s="702"/>
      <c r="CZ113" s="702"/>
      <c r="DA113" s="706"/>
      <c r="DB113" s="702"/>
      <c r="DC113" s="702"/>
      <c r="DD113" s="702"/>
      <c r="DE113" s="702"/>
      <c r="DF113" s="702"/>
      <c r="DG113" s="702"/>
      <c r="DH113" s="702"/>
      <c r="DI113" s="702"/>
      <c r="DJ113" s="702"/>
      <c r="DK113" s="702"/>
      <c r="DL113" s="702"/>
      <c r="DM113" s="702"/>
      <c r="DN113" s="706"/>
      <c r="DO113" s="702"/>
      <c r="DP113" s="702"/>
      <c r="DQ113" s="702"/>
      <c r="DR113" s="702"/>
      <c r="DS113" s="702"/>
      <c r="DT113" s="702"/>
      <c r="DU113" s="702"/>
      <c r="DV113" s="702"/>
      <c r="DW113" s="702"/>
      <c r="DX113" s="702"/>
      <c r="DY113" s="702"/>
      <c r="DZ113" s="702"/>
      <c r="EA113" s="706"/>
      <c r="EB113" s="702"/>
      <c r="EC113" s="702"/>
      <c r="ED113" s="702"/>
      <c r="EE113" s="702"/>
      <c r="EF113" s="702"/>
      <c r="EG113" s="702"/>
      <c r="EH113" s="702"/>
      <c r="EI113" s="702"/>
      <c r="EJ113" s="702"/>
      <c r="EK113" s="702"/>
      <c r="EL113" s="702"/>
      <c r="EM113" s="702"/>
      <c r="EN113" s="706"/>
      <c r="EO113" s="702"/>
      <c r="EP113" s="702"/>
      <c r="EQ113" s="702"/>
      <c r="ER113" s="702"/>
      <c r="ES113" s="702"/>
      <c r="ET113" s="702"/>
      <c r="EU113" s="702"/>
      <c r="EV113" s="702"/>
      <c r="EW113" s="702"/>
      <c r="EX113" s="702"/>
      <c r="EY113" s="702"/>
      <c r="EZ113" s="702"/>
      <c r="FA113" s="706"/>
    </row>
    <row r="114" spans="1:194" x14ac:dyDescent="0.35">
      <c r="B114" s="701">
        <f>IF('2 MEDIA ALTURA'!C27='2 MEDIA ALTURA'!$B$47,IF('2 MEDIA ALTURA'!C$34=28,IF('2 MEDIA ALTURA'!C26=20,1,0)))*'2 MEDIA ALTURA'!C$35</f>
        <v>0</v>
      </c>
      <c r="C114" s="701">
        <f>IF('2 MEDIA ALTURA'!D27='2 MEDIA ALTURA'!$B$47,IF('2 MEDIA ALTURA'!D$34=28,IF('2 MEDIA ALTURA'!D26=20,1,0)))*'2 MEDIA ALTURA'!D$35</f>
        <v>0</v>
      </c>
      <c r="D114" s="701">
        <f>IF('2 MEDIA ALTURA'!E27='2 MEDIA ALTURA'!$B$47,IF('2 MEDIA ALTURA'!E$34=28,IF('2 MEDIA ALTURA'!E26=20,1,0)))*'2 MEDIA ALTURA'!E$35</f>
        <v>0</v>
      </c>
      <c r="E114" s="701">
        <f>IF('2 MEDIA ALTURA'!F27='2 MEDIA ALTURA'!$B$47,IF('2 MEDIA ALTURA'!F$34=28,IF('2 MEDIA ALTURA'!F26=20,1,0)))*'2 MEDIA ALTURA'!F$35</f>
        <v>0</v>
      </c>
      <c r="F114" s="701">
        <f>IF('2 MEDIA ALTURA'!G27='2 MEDIA ALTURA'!$B$47,IF('2 MEDIA ALTURA'!G$34=28,IF('2 MEDIA ALTURA'!G26=20,1,0)))*'2 MEDIA ALTURA'!G$35</f>
        <v>0</v>
      </c>
      <c r="G114" s="701">
        <f>IF('2 MEDIA ALTURA'!H27='2 MEDIA ALTURA'!$B$47,IF('2 MEDIA ALTURA'!H$34=28,IF('2 MEDIA ALTURA'!H26=20,1,0)))*'2 MEDIA ALTURA'!H$35</f>
        <v>0</v>
      </c>
      <c r="H114" s="701">
        <f>IF('2 MEDIA ALTURA'!I27='2 MEDIA ALTURA'!$B$47,IF('2 MEDIA ALTURA'!I$34=28,IF('2 MEDIA ALTURA'!I26=20,1,0)))*'2 MEDIA ALTURA'!I$35</f>
        <v>0</v>
      </c>
      <c r="I114" s="701">
        <f>IF('2 MEDIA ALTURA'!J27='2 MEDIA ALTURA'!$B$47,IF('2 MEDIA ALTURA'!J$34=28,IF('2 MEDIA ALTURA'!J26=20,1,0)))*'2 MEDIA ALTURA'!J$35</f>
        <v>0</v>
      </c>
      <c r="J114" s="701">
        <f>IF('2 MEDIA ALTURA'!K27='2 MEDIA ALTURA'!$B$47,IF('2 MEDIA ALTURA'!K$34=28,IF('2 MEDIA ALTURA'!K26=20,1,0)))*'2 MEDIA ALTURA'!K$35</f>
        <v>0</v>
      </c>
      <c r="K114" s="701">
        <f>IF('2 MEDIA ALTURA'!L27='2 MEDIA ALTURA'!$B$47,IF('2 MEDIA ALTURA'!L$34=28,IF('2 MEDIA ALTURA'!L26=20,1,0)))*'2 MEDIA ALTURA'!L$35</f>
        <v>0</v>
      </c>
      <c r="L114" s="701">
        <f>IF('2 MEDIA ALTURA'!M27='2 MEDIA ALTURA'!$B$47,IF('2 MEDIA ALTURA'!M$34=28,IF('2 MEDIA ALTURA'!M26=20,1,0)))*'2 MEDIA ALTURA'!M$35</f>
        <v>0</v>
      </c>
      <c r="M114" s="701">
        <f>IF('2 MEDIA ALTURA'!N27='2 MEDIA ALTURA'!$B$47,IF('2 MEDIA ALTURA'!N$34=28,IF('2 MEDIA ALTURA'!N26=20,1,0)))*'2 MEDIA ALTURA'!N$35</f>
        <v>0</v>
      </c>
      <c r="N114" s="706"/>
      <c r="O114" s="701">
        <f>IF('2 MEDIA ALTURA'!C27='2 MEDIA ALTURA'!$B$47,IF('2 MEDIA ALTURA'!C$34=30,IF('2 MEDIA ALTURA'!C26=20,1,0)))*'2 MEDIA ALTURA'!C$35</f>
        <v>0</v>
      </c>
      <c r="P114" s="701">
        <f>IF('2 MEDIA ALTURA'!D27='2 MEDIA ALTURA'!$B$47,IF('2 MEDIA ALTURA'!D$34=30,IF('2 MEDIA ALTURA'!D26=20,1,0)))*'2 MEDIA ALTURA'!D$35</f>
        <v>0</v>
      </c>
      <c r="Q114" s="701">
        <f>IF('2 MEDIA ALTURA'!E27='2 MEDIA ALTURA'!$B$47,IF('2 MEDIA ALTURA'!E$34=30,IF('2 MEDIA ALTURA'!E26=20,1,0)))*'2 MEDIA ALTURA'!E$35</f>
        <v>0</v>
      </c>
      <c r="R114" s="701">
        <f>IF('2 MEDIA ALTURA'!F27='2 MEDIA ALTURA'!$B$47,IF('2 MEDIA ALTURA'!F$34=30,IF('2 MEDIA ALTURA'!F26=20,1,0)))*'2 MEDIA ALTURA'!F$35</f>
        <v>0</v>
      </c>
      <c r="S114" s="701">
        <f>IF('2 MEDIA ALTURA'!G27='2 MEDIA ALTURA'!$B$47,IF('2 MEDIA ALTURA'!G$34=30,IF('2 MEDIA ALTURA'!G26=20,1,0)))*'2 MEDIA ALTURA'!G$35</f>
        <v>0</v>
      </c>
      <c r="T114" s="701">
        <f>IF('2 MEDIA ALTURA'!H27='2 MEDIA ALTURA'!$B$47,IF('2 MEDIA ALTURA'!H$34=30,IF('2 MEDIA ALTURA'!H26=20,1,0)))*'2 MEDIA ALTURA'!H$35</f>
        <v>0</v>
      </c>
      <c r="U114" s="701">
        <f>IF('2 MEDIA ALTURA'!I27='2 MEDIA ALTURA'!$B$47,IF('2 MEDIA ALTURA'!I$34=30,IF('2 MEDIA ALTURA'!I26=20,1,0)))*'2 MEDIA ALTURA'!I$35</f>
        <v>0</v>
      </c>
      <c r="V114" s="701">
        <f>IF('2 MEDIA ALTURA'!J27='2 MEDIA ALTURA'!$B$47,IF('2 MEDIA ALTURA'!J$34=30,IF('2 MEDIA ALTURA'!J26=20,1,0)))*'2 MEDIA ALTURA'!J$35</f>
        <v>0</v>
      </c>
      <c r="W114" s="701">
        <f>IF('2 MEDIA ALTURA'!K27='2 MEDIA ALTURA'!$B$47,IF('2 MEDIA ALTURA'!K$34=30,IF('2 MEDIA ALTURA'!K26=20,1,0)))*'2 MEDIA ALTURA'!K$35</f>
        <v>0</v>
      </c>
      <c r="X114" s="701">
        <f>IF('2 MEDIA ALTURA'!L27='2 MEDIA ALTURA'!$B$47,IF('2 MEDIA ALTURA'!L$34=30,IF('2 MEDIA ALTURA'!L26=20,1,0)))*'2 MEDIA ALTURA'!L$35</f>
        <v>0</v>
      </c>
      <c r="Y114" s="701">
        <f>IF('2 MEDIA ALTURA'!M27='2 MEDIA ALTURA'!$B$47,IF('2 MEDIA ALTURA'!M$34=30,IF('2 MEDIA ALTURA'!M26=20,1,0)))*'2 MEDIA ALTURA'!M$35</f>
        <v>0</v>
      </c>
      <c r="Z114" s="701">
        <f>IF('2 MEDIA ALTURA'!N27='2 MEDIA ALTURA'!$B$47,IF('2 MEDIA ALTURA'!N$34=30,IF('2 MEDIA ALTURA'!N26=20,1,0)))*'2 MEDIA ALTURA'!N$35</f>
        <v>0</v>
      </c>
      <c r="AA114" s="706"/>
      <c r="AB114" s="701">
        <f>IF('2 MEDIA ALTURA'!C27='2 MEDIA ALTURA'!$B$47,IF('2 MEDIA ALTURA'!C$34=56,IF('2 MEDIA ALTURA'!C26=20,1,0)))*'2 MEDIA ALTURA'!C$35</f>
        <v>0</v>
      </c>
      <c r="AC114" s="701">
        <f>IF('2 MEDIA ALTURA'!D27='2 MEDIA ALTURA'!$B$47,IF('2 MEDIA ALTURA'!D$34=56,IF('2 MEDIA ALTURA'!D26=20,1,0)))*'2 MEDIA ALTURA'!D$35</f>
        <v>0</v>
      </c>
      <c r="AD114" s="701">
        <f>IF('2 MEDIA ALTURA'!E27='2 MEDIA ALTURA'!$B$47,IF('2 MEDIA ALTURA'!E$34=56,IF('2 MEDIA ALTURA'!E26=20,1,0)))*'2 MEDIA ALTURA'!E$35</f>
        <v>0</v>
      </c>
      <c r="AE114" s="701">
        <f>IF('2 MEDIA ALTURA'!F27='2 MEDIA ALTURA'!$B$47,IF('2 MEDIA ALTURA'!F$34=56,IF('2 MEDIA ALTURA'!F26=20,1,0)))*'2 MEDIA ALTURA'!F$35</f>
        <v>0</v>
      </c>
      <c r="AF114" s="701">
        <f>IF('2 MEDIA ALTURA'!G27='2 MEDIA ALTURA'!$B$47,IF('2 MEDIA ALTURA'!G$34=56,IF('2 MEDIA ALTURA'!G26=20,1,0)))*'2 MEDIA ALTURA'!G$35</f>
        <v>0</v>
      </c>
      <c r="AG114" s="701">
        <f>IF('2 MEDIA ALTURA'!H27='2 MEDIA ALTURA'!$B$47,IF('2 MEDIA ALTURA'!H$34=56,IF('2 MEDIA ALTURA'!H26=20,1,0)))*'2 MEDIA ALTURA'!H$35</f>
        <v>0</v>
      </c>
      <c r="AH114" s="701">
        <f>IF('2 MEDIA ALTURA'!I27='2 MEDIA ALTURA'!$B$47,IF('2 MEDIA ALTURA'!I$34=56,IF('2 MEDIA ALTURA'!I26=20,1,0)))*'2 MEDIA ALTURA'!I$35</f>
        <v>0</v>
      </c>
      <c r="AI114" s="701">
        <f>IF('2 MEDIA ALTURA'!J27='2 MEDIA ALTURA'!$B$47,IF('2 MEDIA ALTURA'!J$34=56,IF('2 MEDIA ALTURA'!J26=20,1,0)))*'2 MEDIA ALTURA'!J$35</f>
        <v>0</v>
      </c>
      <c r="AJ114" s="701">
        <f>IF('2 MEDIA ALTURA'!K27='2 MEDIA ALTURA'!$B$47,IF('2 MEDIA ALTURA'!K$34=56,IF('2 MEDIA ALTURA'!K26=20,1,0)))*'2 MEDIA ALTURA'!K$35</f>
        <v>0</v>
      </c>
      <c r="AK114" s="701">
        <f>IF('2 MEDIA ALTURA'!L27='2 MEDIA ALTURA'!$B$47,IF('2 MEDIA ALTURA'!L$34=56,IF('2 MEDIA ALTURA'!L26=20,1,0)))*'2 MEDIA ALTURA'!L$35</f>
        <v>0</v>
      </c>
      <c r="AL114" s="701">
        <f>IF('2 MEDIA ALTURA'!M27='2 MEDIA ALTURA'!$B$47,IF('2 MEDIA ALTURA'!M$34=56,IF('2 MEDIA ALTURA'!M26=20,1,0)))*'2 MEDIA ALTURA'!M$35</f>
        <v>0</v>
      </c>
      <c r="AM114" s="701">
        <f>IF('2 MEDIA ALTURA'!N27='2 MEDIA ALTURA'!$B$47,IF('2 MEDIA ALTURA'!N$34=56,IF('2 MEDIA ALTURA'!N26=20,1,0)))*'2 MEDIA ALTURA'!N$35</f>
        <v>0</v>
      </c>
      <c r="AN114" s="706"/>
      <c r="AO114" s="701">
        <f>IF('2 MEDIA ALTURA'!C27='2 MEDIA ALTURA'!$B$47,IF('2 MEDIA ALTURA'!C$34=60,IF('2 MEDIA ALTURA'!C26=20,1,0)))*'2 MEDIA ALTURA'!C$35</f>
        <v>0</v>
      </c>
      <c r="AP114" s="701">
        <f>IF('2 MEDIA ALTURA'!D27='2 MEDIA ALTURA'!$B$47,IF('2 MEDIA ALTURA'!D$34=60,IF('2 MEDIA ALTURA'!D26=20,1,0)))*'2 MEDIA ALTURA'!D$35</f>
        <v>0</v>
      </c>
      <c r="AQ114" s="701">
        <f>IF('2 MEDIA ALTURA'!E27='2 MEDIA ALTURA'!$B$47,IF('2 MEDIA ALTURA'!E$34=60,IF('2 MEDIA ALTURA'!E26=20,1,0)))*'2 MEDIA ALTURA'!E$35</f>
        <v>0</v>
      </c>
      <c r="AR114" s="701">
        <f>IF('2 MEDIA ALTURA'!F27='2 MEDIA ALTURA'!$B$47,IF('2 MEDIA ALTURA'!F$34=60,IF('2 MEDIA ALTURA'!F26=20,1,0)))*'2 MEDIA ALTURA'!F$35</f>
        <v>0</v>
      </c>
      <c r="AS114" s="701">
        <f>IF('2 MEDIA ALTURA'!G27='2 MEDIA ALTURA'!$B$47,IF('2 MEDIA ALTURA'!G$34=60,IF('2 MEDIA ALTURA'!G26=20,1,0)))*'2 MEDIA ALTURA'!G$35</f>
        <v>0</v>
      </c>
      <c r="AT114" s="701">
        <f>IF('2 MEDIA ALTURA'!H27='2 MEDIA ALTURA'!$B$47,IF('2 MEDIA ALTURA'!H$34=60,IF('2 MEDIA ALTURA'!H26=20,1,0)))*'2 MEDIA ALTURA'!H$35</f>
        <v>0</v>
      </c>
      <c r="AU114" s="701">
        <f>IF('2 MEDIA ALTURA'!I27='2 MEDIA ALTURA'!$B$47,IF('2 MEDIA ALTURA'!I$34=60,IF('2 MEDIA ALTURA'!I26=20,1,0)))*'2 MEDIA ALTURA'!I$35</f>
        <v>0</v>
      </c>
      <c r="AV114" s="701">
        <f>IF('2 MEDIA ALTURA'!J27='2 MEDIA ALTURA'!$B$47,IF('2 MEDIA ALTURA'!J$34=60,IF('2 MEDIA ALTURA'!J26=20,1,0)))*'2 MEDIA ALTURA'!J$35</f>
        <v>0</v>
      </c>
      <c r="AW114" s="701">
        <f>IF('2 MEDIA ALTURA'!K27='2 MEDIA ALTURA'!$B$47,IF('2 MEDIA ALTURA'!K$34=60,IF('2 MEDIA ALTURA'!K26=20,1,0)))*'2 MEDIA ALTURA'!K$35</f>
        <v>0</v>
      </c>
      <c r="AX114" s="701">
        <f>IF('2 MEDIA ALTURA'!L27='2 MEDIA ALTURA'!$B$47,IF('2 MEDIA ALTURA'!L$34=60,IF('2 MEDIA ALTURA'!L26=20,1,0)))*'2 MEDIA ALTURA'!L$35</f>
        <v>0</v>
      </c>
      <c r="AY114" s="701">
        <f>IF('2 MEDIA ALTURA'!M27='2 MEDIA ALTURA'!$B$47,IF('2 MEDIA ALTURA'!M$34=60,IF('2 MEDIA ALTURA'!M26=20,1,0)))*'2 MEDIA ALTURA'!M$35</f>
        <v>0</v>
      </c>
      <c r="AZ114" s="701">
        <f>IF('2 MEDIA ALTURA'!N27='2 MEDIA ALTURA'!$B$47,IF('2 MEDIA ALTURA'!N$34=60,IF('2 MEDIA ALTURA'!N26=20,1,0)))*'2 MEDIA ALTURA'!N$35</f>
        <v>0</v>
      </c>
      <c r="BA114" s="706"/>
      <c r="BB114" s="701">
        <f>IF('2 MEDIA ALTURA'!C27='2 MEDIA ALTURA'!$B$47,IF('2 MEDIA ALTURA'!C$34=70,IF('2 MEDIA ALTURA'!C26=20,1,0)))*'2 MEDIA ALTURA'!C$35</f>
        <v>0</v>
      </c>
      <c r="BC114" s="701">
        <f>IF('2 MEDIA ALTURA'!D27='2 MEDIA ALTURA'!$B$47,IF('2 MEDIA ALTURA'!D$34=70,IF('2 MEDIA ALTURA'!D26=20,1,0)))*'2 MEDIA ALTURA'!D$35</f>
        <v>0</v>
      </c>
      <c r="BD114" s="701">
        <f>IF('2 MEDIA ALTURA'!E27='2 MEDIA ALTURA'!$B$47,IF('2 MEDIA ALTURA'!E$34=70,IF('2 MEDIA ALTURA'!E26=20,1,0)))*'2 MEDIA ALTURA'!E$35</f>
        <v>0</v>
      </c>
      <c r="BE114" s="701">
        <f>IF('2 MEDIA ALTURA'!F27='2 MEDIA ALTURA'!$B$47,IF('2 MEDIA ALTURA'!F$34=70,IF('2 MEDIA ALTURA'!F26=20,1,0)))*'2 MEDIA ALTURA'!F$35</f>
        <v>0</v>
      </c>
      <c r="BF114" s="701">
        <f>IF('2 MEDIA ALTURA'!G27='2 MEDIA ALTURA'!$B$47,IF('2 MEDIA ALTURA'!G$34=70,IF('2 MEDIA ALTURA'!G26=20,1,0)))*'2 MEDIA ALTURA'!G$35</f>
        <v>0</v>
      </c>
      <c r="BG114" s="701">
        <f>IF('2 MEDIA ALTURA'!H27='2 MEDIA ALTURA'!$B$47,IF('2 MEDIA ALTURA'!H$34=70,IF('2 MEDIA ALTURA'!H26=20,1,0)))*'2 MEDIA ALTURA'!H$35</f>
        <v>0</v>
      </c>
      <c r="BH114" s="701">
        <f>IF('2 MEDIA ALTURA'!I27='2 MEDIA ALTURA'!$B$47,IF('2 MEDIA ALTURA'!I$34=70,IF('2 MEDIA ALTURA'!I26=20,1,0)))*'2 MEDIA ALTURA'!I$35</f>
        <v>0</v>
      </c>
      <c r="BI114" s="701">
        <f>IF('2 MEDIA ALTURA'!J27='2 MEDIA ALTURA'!$B$47,IF('2 MEDIA ALTURA'!J$34=70,IF('2 MEDIA ALTURA'!J26=20,1,0)))*'2 MEDIA ALTURA'!J$35</f>
        <v>0</v>
      </c>
      <c r="BJ114" s="701">
        <f>IF('2 MEDIA ALTURA'!K27='2 MEDIA ALTURA'!$B$47,IF('2 MEDIA ALTURA'!K$34=70,IF('2 MEDIA ALTURA'!K26=20,1,0)))*'2 MEDIA ALTURA'!K$35</f>
        <v>0</v>
      </c>
      <c r="BK114" s="701">
        <f>IF('2 MEDIA ALTURA'!L27='2 MEDIA ALTURA'!$B$47,IF('2 MEDIA ALTURA'!L$34=70,IF('2 MEDIA ALTURA'!L26=20,1,0)))*'2 MEDIA ALTURA'!L$35</f>
        <v>0</v>
      </c>
      <c r="BL114" s="701">
        <f>IF('2 MEDIA ALTURA'!M27='2 MEDIA ALTURA'!$B$47,IF('2 MEDIA ALTURA'!M$34=70,IF('2 MEDIA ALTURA'!M26=20,1,0)))*'2 MEDIA ALTURA'!M$35</f>
        <v>0</v>
      </c>
      <c r="BM114" s="701">
        <f>IF('2 MEDIA ALTURA'!N27='2 MEDIA ALTURA'!$B$47,IF('2 MEDIA ALTURA'!N$34=70,IF('2 MEDIA ALTURA'!N26=20,1,0)))*'2 MEDIA ALTURA'!N$35</f>
        <v>0</v>
      </c>
      <c r="BN114" s="706"/>
      <c r="BO114" s="701">
        <f>IF('2 MEDIA ALTURA'!C27='2 MEDIA ALTURA'!$B$47,IF('2 MEDIA ALTURA'!C$34=75,IF('2 MEDIA ALTURA'!C26=20,1,0)))*'2 MEDIA ALTURA'!C$35</f>
        <v>0</v>
      </c>
      <c r="BP114" s="701">
        <f>IF('2 MEDIA ALTURA'!D27='2 MEDIA ALTURA'!$B$47,IF('2 MEDIA ALTURA'!D$34=75,IF('2 MEDIA ALTURA'!D26=20,1,0)))*'2 MEDIA ALTURA'!D$35</f>
        <v>0</v>
      </c>
      <c r="BQ114" s="701">
        <f>IF('2 MEDIA ALTURA'!E27='2 MEDIA ALTURA'!$B$47,IF('2 MEDIA ALTURA'!E$34=75,IF('2 MEDIA ALTURA'!E26=20,1,0)))*'2 MEDIA ALTURA'!E$35</f>
        <v>0</v>
      </c>
      <c r="BR114" s="701">
        <f>IF('2 MEDIA ALTURA'!F27='2 MEDIA ALTURA'!$B$47,IF('2 MEDIA ALTURA'!F$34=75,IF('2 MEDIA ALTURA'!F26=20,1,0)))*'2 MEDIA ALTURA'!F$35</f>
        <v>0</v>
      </c>
      <c r="BS114" s="701">
        <f>IF('2 MEDIA ALTURA'!G27='2 MEDIA ALTURA'!$B$47,IF('2 MEDIA ALTURA'!G$34=75,IF('2 MEDIA ALTURA'!G26=20,1,0)))*'2 MEDIA ALTURA'!G$35</f>
        <v>0</v>
      </c>
      <c r="BT114" s="701">
        <f>IF('2 MEDIA ALTURA'!H27='2 MEDIA ALTURA'!$B$47,IF('2 MEDIA ALTURA'!H$34=75,IF('2 MEDIA ALTURA'!H26=20,1,0)))*'2 MEDIA ALTURA'!H$35</f>
        <v>0</v>
      </c>
      <c r="BU114" s="701">
        <f>IF('2 MEDIA ALTURA'!I27='2 MEDIA ALTURA'!$B$47,IF('2 MEDIA ALTURA'!I$34=75,IF('2 MEDIA ALTURA'!I26=20,1,0)))*'2 MEDIA ALTURA'!I$35</f>
        <v>0</v>
      </c>
      <c r="BV114" s="701">
        <f>IF('2 MEDIA ALTURA'!J27='2 MEDIA ALTURA'!$B$47,IF('2 MEDIA ALTURA'!J$34=75,IF('2 MEDIA ALTURA'!J26=20,1,0)))*'2 MEDIA ALTURA'!J$35</f>
        <v>0</v>
      </c>
      <c r="BW114" s="701">
        <f>IF('2 MEDIA ALTURA'!K27='2 MEDIA ALTURA'!$B$47,IF('2 MEDIA ALTURA'!K$34=75,IF('2 MEDIA ALTURA'!K26=20,1,0)))*'2 MEDIA ALTURA'!K$35</f>
        <v>0</v>
      </c>
      <c r="BX114" s="701">
        <f>IF('2 MEDIA ALTURA'!L27='2 MEDIA ALTURA'!$B$47,IF('2 MEDIA ALTURA'!L$34=75,IF('2 MEDIA ALTURA'!L26=20,1,0)))*'2 MEDIA ALTURA'!L$35</f>
        <v>0</v>
      </c>
      <c r="BY114" s="701">
        <f>IF('2 MEDIA ALTURA'!M27='2 MEDIA ALTURA'!$B$47,IF('2 MEDIA ALTURA'!M$34=75,IF('2 MEDIA ALTURA'!M26=20,1,0)))*'2 MEDIA ALTURA'!M$35</f>
        <v>0</v>
      </c>
      <c r="BZ114" s="701">
        <f>IF('2 MEDIA ALTURA'!N27='2 MEDIA ALTURA'!$B$47,IF('2 MEDIA ALTURA'!N$34=75,IF('2 MEDIA ALTURA'!N26=20,1,0)))*'2 MEDIA ALTURA'!N$35</f>
        <v>0</v>
      </c>
      <c r="CA114" s="706"/>
      <c r="CB114" s="701">
        <f>IF('2 MEDIA ALTURA'!C27='2 MEDIA ALTURA'!$B$47,IF('2 MEDIA ALTURA'!C$34=84,IF('2 MEDIA ALTURA'!C26=20,1,0)))*'2 MEDIA ALTURA'!C$35</f>
        <v>0</v>
      </c>
      <c r="CC114" s="701">
        <f>IF('2 MEDIA ALTURA'!D27='2 MEDIA ALTURA'!$B$47,IF('2 MEDIA ALTURA'!D$34=84,IF('2 MEDIA ALTURA'!D26=20,1,0)))*'2 MEDIA ALTURA'!D$35</f>
        <v>0</v>
      </c>
      <c r="CD114" s="701">
        <f>IF('2 MEDIA ALTURA'!E27='2 MEDIA ALTURA'!$B$47,IF('2 MEDIA ALTURA'!E$34=84,IF('2 MEDIA ALTURA'!E26=20,1,0)))*'2 MEDIA ALTURA'!E$35</f>
        <v>0</v>
      </c>
      <c r="CE114" s="701">
        <f>IF('2 MEDIA ALTURA'!F27='2 MEDIA ALTURA'!$B$47,IF('2 MEDIA ALTURA'!F$34=84,IF('2 MEDIA ALTURA'!F26=20,1,0)))*'2 MEDIA ALTURA'!F$35</f>
        <v>0</v>
      </c>
      <c r="CF114" s="701">
        <f>IF('2 MEDIA ALTURA'!G27='2 MEDIA ALTURA'!$B$47,IF('2 MEDIA ALTURA'!G$34=84,IF('2 MEDIA ALTURA'!G26=20,1,0)))*'2 MEDIA ALTURA'!G$35</f>
        <v>0</v>
      </c>
      <c r="CG114" s="701">
        <f>IF('2 MEDIA ALTURA'!H27='2 MEDIA ALTURA'!$B$47,IF('2 MEDIA ALTURA'!H$34=84,IF('2 MEDIA ALTURA'!H26=20,1,0)))*'2 MEDIA ALTURA'!H$35</f>
        <v>0</v>
      </c>
      <c r="CH114" s="701">
        <f>IF('2 MEDIA ALTURA'!I27='2 MEDIA ALTURA'!$B$47,IF('2 MEDIA ALTURA'!I$34=84,IF('2 MEDIA ALTURA'!I26=20,1,0)))*'2 MEDIA ALTURA'!I$35</f>
        <v>0</v>
      </c>
      <c r="CI114" s="701">
        <f>IF('2 MEDIA ALTURA'!J27='2 MEDIA ALTURA'!$B$47,IF('2 MEDIA ALTURA'!J$34=84,IF('2 MEDIA ALTURA'!J26=20,1,0)))*'2 MEDIA ALTURA'!J$35</f>
        <v>0</v>
      </c>
      <c r="CJ114" s="701">
        <f>IF('2 MEDIA ALTURA'!K27='2 MEDIA ALTURA'!$B$47,IF('2 MEDIA ALTURA'!K$34=84,IF('2 MEDIA ALTURA'!K26=20,1,0)))*'2 MEDIA ALTURA'!K$35</f>
        <v>0</v>
      </c>
      <c r="CK114" s="701">
        <f>IF('2 MEDIA ALTURA'!L27='2 MEDIA ALTURA'!$B$47,IF('2 MEDIA ALTURA'!L$34=84,IF('2 MEDIA ALTURA'!L26=20,1,0)))*'2 MEDIA ALTURA'!L$35</f>
        <v>0</v>
      </c>
      <c r="CL114" s="701">
        <f>IF('2 MEDIA ALTURA'!M27='2 MEDIA ALTURA'!$B$47,IF('2 MEDIA ALTURA'!M$34=84,IF('2 MEDIA ALTURA'!M26=20,1,0)))*'2 MEDIA ALTURA'!M$35</f>
        <v>0</v>
      </c>
      <c r="CM114" s="701">
        <f>IF('2 MEDIA ALTURA'!N27='2 MEDIA ALTURA'!$B$47,IF('2 MEDIA ALTURA'!N$34=84,IF('2 MEDIA ALTURA'!N26=20,1,0)))*'2 MEDIA ALTURA'!N$35</f>
        <v>0</v>
      </c>
      <c r="CN114" s="706"/>
      <c r="CO114" s="701">
        <f>IF('2 MEDIA ALTURA'!C27='2 MEDIA ALTURA'!$B$47,IF('2 MEDIA ALTURA'!C$45=90,IF('2 MEDIA ALTURA'!C26=20,1,0)))*'2 MEDIA ALTURA'!C$35</f>
        <v>0</v>
      </c>
      <c r="CP114" s="701">
        <f>IF('2 MEDIA ALTURA'!D27='2 MEDIA ALTURA'!$B$47,IF('2 MEDIA ALTURA'!D$45=90,IF('2 MEDIA ALTURA'!D26=20,1,0)))*'2 MEDIA ALTURA'!D$35</f>
        <v>0</v>
      </c>
      <c r="CQ114" s="701">
        <f>IF('2 MEDIA ALTURA'!E27='2 MEDIA ALTURA'!$B$47,IF('2 MEDIA ALTURA'!E$45=90,IF('2 MEDIA ALTURA'!E26=20,1,0)))*'2 MEDIA ALTURA'!E$35</f>
        <v>0</v>
      </c>
      <c r="CR114" s="701">
        <f>IF('2 MEDIA ALTURA'!F27='2 MEDIA ALTURA'!$B$47,IF('2 MEDIA ALTURA'!F$45=90,IF('2 MEDIA ALTURA'!F26=20,1,0)))*'2 MEDIA ALTURA'!F$35</f>
        <v>0</v>
      </c>
      <c r="CS114" s="701">
        <f>IF('2 MEDIA ALTURA'!G27='2 MEDIA ALTURA'!$B$47,IF('2 MEDIA ALTURA'!G$45=90,IF('2 MEDIA ALTURA'!G26=20,1,0)))*'2 MEDIA ALTURA'!G$35</f>
        <v>0</v>
      </c>
      <c r="CT114" s="701">
        <f>IF('2 MEDIA ALTURA'!H27='2 MEDIA ALTURA'!$B$47,IF('2 MEDIA ALTURA'!H$45=90,IF('2 MEDIA ALTURA'!H26=20,1,0)))*'2 MEDIA ALTURA'!H$35</f>
        <v>0</v>
      </c>
      <c r="CU114" s="701">
        <f>IF('2 MEDIA ALTURA'!I27='2 MEDIA ALTURA'!$B$47,IF('2 MEDIA ALTURA'!I$45=90,IF('2 MEDIA ALTURA'!I26=20,1,0)))*'2 MEDIA ALTURA'!I$35</f>
        <v>0</v>
      </c>
      <c r="CV114" s="701">
        <f>IF('2 MEDIA ALTURA'!J27='2 MEDIA ALTURA'!$B$47,IF('2 MEDIA ALTURA'!J$45=90,IF('2 MEDIA ALTURA'!J26=20,1,0)))*'2 MEDIA ALTURA'!J$35</f>
        <v>0</v>
      </c>
      <c r="CW114" s="701">
        <f>IF('2 MEDIA ALTURA'!K27='2 MEDIA ALTURA'!$B$47,IF('2 MEDIA ALTURA'!K$45=90,IF('2 MEDIA ALTURA'!K26=20,1,0)))*'2 MEDIA ALTURA'!K$35</f>
        <v>0</v>
      </c>
      <c r="CX114" s="701">
        <f>IF('2 MEDIA ALTURA'!L27='2 MEDIA ALTURA'!$B$47,IF('2 MEDIA ALTURA'!L$45=90,IF('2 MEDIA ALTURA'!L26=20,1,0)))*'2 MEDIA ALTURA'!L$35</f>
        <v>0</v>
      </c>
      <c r="CY114" s="701">
        <f>IF('2 MEDIA ALTURA'!M27='2 MEDIA ALTURA'!$B$47,IF('2 MEDIA ALTURA'!M$45=90,IF('2 MEDIA ALTURA'!M26=20,1,0)))*'2 MEDIA ALTURA'!M$35</f>
        <v>0</v>
      </c>
      <c r="CZ114" s="701">
        <f>IF('2 MEDIA ALTURA'!N27='2 MEDIA ALTURA'!$B$47,IF('2 MEDIA ALTURA'!N$45=90,IF('2 MEDIA ALTURA'!N26=20,1,0)))*'2 MEDIA ALTURA'!N$35</f>
        <v>0</v>
      </c>
      <c r="DA114" s="706"/>
      <c r="DB114" s="701">
        <f>IF('2 MEDIA ALTURA'!C27='2 MEDIA ALTURA'!$B$47,IF('2 MEDIA ALTURA'!C$34=112,IF('2 MEDIA ALTURA'!C26=20,1,0)))*'2 MEDIA ALTURA'!C$35</f>
        <v>0</v>
      </c>
      <c r="DC114" s="701">
        <f>IF('2 MEDIA ALTURA'!D27='2 MEDIA ALTURA'!$B$47,IF('2 MEDIA ALTURA'!D$34=112,IF('2 MEDIA ALTURA'!D26=20,1,0)))*'2 MEDIA ALTURA'!D$35</f>
        <v>0</v>
      </c>
      <c r="DD114" s="701">
        <f>IF('2 MEDIA ALTURA'!E27='2 MEDIA ALTURA'!$B$47,IF('2 MEDIA ALTURA'!E$34=112,IF('2 MEDIA ALTURA'!E26=20,1,0)))*'2 MEDIA ALTURA'!E$35</f>
        <v>0</v>
      </c>
      <c r="DE114" s="701">
        <f>IF('2 MEDIA ALTURA'!F27='2 MEDIA ALTURA'!$B$47,IF('2 MEDIA ALTURA'!F$34=112,IF('2 MEDIA ALTURA'!F26=20,1,0)))*'2 MEDIA ALTURA'!F$35</f>
        <v>0</v>
      </c>
      <c r="DF114" s="701">
        <f>IF('2 MEDIA ALTURA'!G27='2 MEDIA ALTURA'!$B$47,IF('2 MEDIA ALTURA'!G$34=112,IF('2 MEDIA ALTURA'!G26=20,1,0)))*'2 MEDIA ALTURA'!G$35</f>
        <v>0</v>
      </c>
      <c r="DG114" s="701">
        <f>IF('2 MEDIA ALTURA'!H27='2 MEDIA ALTURA'!$B$47,IF('2 MEDIA ALTURA'!H$34=112,IF('2 MEDIA ALTURA'!H26=20,1,0)))*'2 MEDIA ALTURA'!H$35</f>
        <v>0</v>
      </c>
      <c r="DH114" s="701">
        <f>IF('2 MEDIA ALTURA'!I27='2 MEDIA ALTURA'!$B$47,IF('2 MEDIA ALTURA'!I$34=112,IF('2 MEDIA ALTURA'!I26=20,1,0)))*'2 MEDIA ALTURA'!I$35</f>
        <v>0</v>
      </c>
      <c r="DI114" s="701">
        <f>IF('2 MEDIA ALTURA'!J27='2 MEDIA ALTURA'!$B$47,IF('2 MEDIA ALTURA'!J$34=112,IF('2 MEDIA ALTURA'!J26=20,1,0)))*'2 MEDIA ALTURA'!J$35</f>
        <v>0</v>
      </c>
      <c r="DJ114" s="701">
        <f>IF('2 MEDIA ALTURA'!K27='2 MEDIA ALTURA'!$B$47,IF('2 MEDIA ALTURA'!K$34=112,IF('2 MEDIA ALTURA'!K26=20,1,0)))*'2 MEDIA ALTURA'!K$35</f>
        <v>0</v>
      </c>
      <c r="DK114" s="701">
        <f>IF('2 MEDIA ALTURA'!L27='2 MEDIA ALTURA'!$B$47,IF('2 MEDIA ALTURA'!L$34=112,IF('2 MEDIA ALTURA'!L26=20,1,0)))*'2 MEDIA ALTURA'!L$35</f>
        <v>0</v>
      </c>
      <c r="DL114" s="701">
        <f>IF('2 MEDIA ALTURA'!M27='2 MEDIA ALTURA'!$B$47,IF('2 MEDIA ALTURA'!M$34=112,IF('2 MEDIA ALTURA'!M26=20,1,0)))*'2 MEDIA ALTURA'!M$35</f>
        <v>0</v>
      </c>
      <c r="DM114" s="701">
        <f>IF('2 MEDIA ALTURA'!N27='2 MEDIA ALTURA'!$B$47,IF('2 MEDIA ALTURA'!N$34=112,IF('2 MEDIA ALTURA'!N26=20,1,0)))*'2 MEDIA ALTURA'!N$35</f>
        <v>0</v>
      </c>
      <c r="DN114" s="706"/>
      <c r="DO114" s="701">
        <f>IF('2 MEDIA ALTURA'!C27='2 MEDIA ALTURA'!$B$47,IF('2 MEDIA ALTURA'!C$34=120,IF('2 MEDIA ALTURA'!C26=20,1,0)))*'2 MEDIA ALTURA'!C$35</f>
        <v>0</v>
      </c>
      <c r="DP114" s="701">
        <f>IF('2 MEDIA ALTURA'!D27='2 MEDIA ALTURA'!$B$47,IF('2 MEDIA ALTURA'!D$34=120,IF('2 MEDIA ALTURA'!D26=20,1,0)))*'2 MEDIA ALTURA'!D$35</f>
        <v>0</v>
      </c>
      <c r="DQ114" s="701">
        <f>IF('2 MEDIA ALTURA'!E27='2 MEDIA ALTURA'!$B$47,IF('2 MEDIA ALTURA'!E$34=120,IF('2 MEDIA ALTURA'!E26=20,1,0)))*'2 MEDIA ALTURA'!E$35</f>
        <v>0</v>
      </c>
      <c r="DR114" s="701">
        <f>IF('2 MEDIA ALTURA'!F27='2 MEDIA ALTURA'!$B$47,IF('2 MEDIA ALTURA'!F$34=120,IF('2 MEDIA ALTURA'!F26=20,1,0)))*'2 MEDIA ALTURA'!F$35</f>
        <v>0</v>
      </c>
      <c r="DS114" s="701">
        <f>IF('2 MEDIA ALTURA'!G27='2 MEDIA ALTURA'!$B$47,IF('2 MEDIA ALTURA'!G$34=120,IF('2 MEDIA ALTURA'!G26=20,1,0)))*'2 MEDIA ALTURA'!G$35</f>
        <v>0</v>
      </c>
      <c r="DT114" s="701">
        <f>IF('2 MEDIA ALTURA'!H27='2 MEDIA ALTURA'!$B$47,IF('2 MEDIA ALTURA'!H$34=120,IF('2 MEDIA ALTURA'!H26=20,1,0)))*'2 MEDIA ALTURA'!H$35</f>
        <v>0</v>
      </c>
      <c r="DU114" s="701">
        <f>IF('2 MEDIA ALTURA'!I27='2 MEDIA ALTURA'!$B$47,IF('2 MEDIA ALTURA'!I$34=120,IF('2 MEDIA ALTURA'!I26=20,1,0)))*'2 MEDIA ALTURA'!I$35</f>
        <v>0</v>
      </c>
      <c r="DV114" s="701">
        <f>IF('2 MEDIA ALTURA'!J27='2 MEDIA ALTURA'!$B$47,IF('2 MEDIA ALTURA'!J$34=120,IF('2 MEDIA ALTURA'!J26=20,1,0)))*'2 MEDIA ALTURA'!J$35</f>
        <v>0</v>
      </c>
      <c r="DW114" s="701">
        <f>IF('2 MEDIA ALTURA'!K27='2 MEDIA ALTURA'!$B$47,IF('2 MEDIA ALTURA'!K$34=120,IF('2 MEDIA ALTURA'!K26=20,1,0)))*'2 MEDIA ALTURA'!K$35</f>
        <v>0</v>
      </c>
      <c r="DX114" s="701">
        <f>IF('2 MEDIA ALTURA'!L27='2 MEDIA ALTURA'!$B$47,IF('2 MEDIA ALTURA'!L$34=120,IF('2 MEDIA ALTURA'!L26=20,1,0)))*'2 MEDIA ALTURA'!L$35</f>
        <v>0</v>
      </c>
      <c r="DY114" s="701">
        <f>IF('2 MEDIA ALTURA'!M27='2 MEDIA ALTURA'!$B$47,IF('2 MEDIA ALTURA'!M$34=120,IF('2 MEDIA ALTURA'!M26=20,1,0)))*'2 MEDIA ALTURA'!M$35</f>
        <v>0</v>
      </c>
      <c r="DZ114" s="701">
        <f>IF('2 MEDIA ALTURA'!N27='2 MEDIA ALTURA'!$B$47,IF('2 MEDIA ALTURA'!N$34=120,IF('2 MEDIA ALTURA'!N26=20,1,0)))*'2 MEDIA ALTURA'!N$35</f>
        <v>0</v>
      </c>
      <c r="EA114" s="706"/>
      <c r="EB114" s="701">
        <f>IF('2 MEDIA ALTURA'!C27='2 MEDIA ALTURA'!$B$47,IF('2 MEDIA ALTURA'!C$34=140,IF('2 MEDIA ALTURA'!C26=20,1,0)))*'2 MEDIA ALTURA'!C$35</f>
        <v>0</v>
      </c>
      <c r="EC114" s="701">
        <f>IF('2 MEDIA ALTURA'!D27='2 MEDIA ALTURA'!$B$47,IF('2 MEDIA ALTURA'!D$34=140,IF('2 MEDIA ALTURA'!D26=20,1,0)))*'2 MEDIA ALTURA'!D$35</f>
        <v>0</v>
      </c>
      <c r="ED114" s="701">
        <f>IF('2 MEDIA ALTURA'!E27='2 MEDIA ALTURA'!$B$47,IF('2 MEDIA ALTURA'!E$34=140,IF('2 MEDIA ALTURA'!E26=20,1,0)))*'2 MEDIA ALTURA'!E$35</f>
        <v>0</v>
      </c>
      <c r="EE114" s="701">
        <f>IF('2 MEDIA ALTURA'!F27='2 MEDIA ALTURA'!$B$47,IF('2 MEDIA ALTURA'!F$34=140,IF('2 MEDIA ALTURA'!F26=20,1,0)))*'2 MEDIA ALTURA'!F$35</f>
        <v>0</v>
      </c>
      <c r="EF114" s="701">
        <f>IF('2 MEDIA ALTURA'!G27='2 MEDIA ALTURA'!$B$47,IF('2 MEDIA ALTURA'!G$34=140,IF('2 MEDIA ALTURA'!G26=20,1,0)))*'2 MEDIA ALTURA'!G$35</f>
        <v>0</v>
      </c>
      <c r="EG114" s="701">
        <f>IF('2 MEDIA ALTURA'!H27='2 MEDIA ALTURA'!$B$47,IF('2 MEDIA ALTURA'!H$34=140,IF('2 MEDIA ALTURA'!H26=20,1,0)))*'2 MEDIA ALTURA'!H$35</f>
        <v>0</v>
      </c>
      <c r="EH114" s="701">
        <f>IF('2 MEDIA ALTURA'!I27='2 MEDIA ALTURA'!$B$47,IF('2 MEDIA ALTURA'!I$34=140,IF('2 MEDIA ALTURA'!I26=20,1,0)))*'2 MEDIA ALTURA'!I$35</f>
        <v>0</v>
      </c>
      <c r="EI114" s="701">
        <f>IF('2 MEDIA ALTURA'!J27='2 MEDIA ALTURA'!$B$47,IF('2 MEDIA ALTURA'!J$34=140,IF('2 MEDIA ALTURA'!J26=20,1,0)))*'2 MEDIA ALTURA'!J$35</f>
        <v>0</v>
      </c>
      <c r="EJ114" s="701">
        <f>IF('2 MEDIA ALTURA'!K27='2 MEDIA ALTURA'!$B$47,IF('2 MEDIA ALTURA'!K$34=140,IF('2 MEDIA ALTURA'!K26=20,1,0)))*'2 MEDIA ALTURA'!K$35</f>
        <v>0</v>
      </c>
      <c r="EK114" s="701">
        <f>IF('2 MEDIA ALTURA'!L27='2 MEDIA ALTURA'!$B$47,IF('2 MEDIA ALTURA'!L$34=140,IF('2 MEDIA ALTURA'!L26=20,1,0)))*'2 MEDIA ALTURA'!L$35</f>
        <v>0</v>
      </c>
      <c r="EL114" s="701">
        <f>IF('2 MEDIA ALTURA'!M27='2 MEDIA ALTURA'!$B$47,IF('2 MEDIA ALTURA'!M$34=140,IF('2 MEDIA ALTURA'!M26=20,1,0)))*'2 MEDIA ALTURA'!M$35</f>
        <v>0</v>
      </c>
      <c r="EM114" s="701">
        <f>IF('2 MEDIA ALTURA'!N27='2 MEDIA ALTURA'!$B$47,IF('2 MEDIA ALTURA'!N$34=140,IF('2 MEDIA ALTURA'!N26=20,1,0)))*'2 MEDIA ALTURA'!N$35</f>
        <v>0</v>
      </c>
      <c r="EN114" s="706"/>
      <c r="EO114" s="701">
        <f>IF('2 MEDIA ALTURA'!C27='2 MEDIA ALTURA'!$B$47,IF('2 MEDIA ALTURA'!C$34=150,IF('2 MEDIA ALTURA'!C26=40,1,0)))*'2 MEDIA ALTURA'!C$35</f>
        <v>0</v>
      </c>
      <c r="EP114" s="701">
        <f>IF('2 MEDIA ALTURA'!D27='2 MEDIA ALTURA'!$B$47,IF('2 MEDIA ALTURA'!D$34=150,IF('2 MEDIA ALTURA'!D26=40,1,0)))*'2 MEDIA ALTURA'!D$35</f>
        <v>0</v>
      </c>
      <c r="EQ114" s="701">
        <f>IF('2 MEDIA ALTURA'!E27='2 MEDIA ALTURA'!$B$47,IF('2 MEDIA ALTURA'!E$34=150,IF('2 MEDIA ALTURA'!E26=40,1,0)))*'2 MEDIA ALTURA'!E$35</f>
        <v>0</v>
      </c>
      <c r="ER114" s="701">
        <f>IF('2 MEDIA ALTURA'!F27='2 MEDIA ALTURA'!$B$47,IF('2 MEDIA ALTURA'!F$34=150,IF('2 MEDIA ALTURA'!F26=40,1,0)))*'2 MEDIA ALTURA'!F$35</f>
        <v>0</v>
      </c>
      <c r="ES114" s="701">
        <f>IF('2 MEDIA ALTURA'!G27='2 MEDIA ALTURA'!$B$47,IF('2 MEDIA ALTURA'!G$34=150,IF('2 MEDIA ALTURA'!G26=40,1,0)))*'2 MEDIA ALTURA'!G$35</f>
        <v>0</v>
      </c>
      <c r="ET114" s="701">
        <f>IF('2 MEDIA ALTURA'!H27='2 MEDIA ALTURA'!$B$47,IF('2 MEDIA ALTURA'!H$34=150,IF('2 MEDIA ALTURA'!H26=40,1,0)))*'2 MEDIA ALTURA'!H$35</f>
        <v>0</v>
      </c>
      <c r="EU114" s="701">
        <f>IF('2 MEDIA ALTURA'!I27='2 MEDIA ALTURA'!$B$47,IF('2 MEDIA ALTURA'!I$34=150,IF('2 MEDIA ALTURA'!I26=40,1,0)))*'2 MEDIA ALTURA'!I$35</f>
        <v>0</v>
      </c>
      <c r="EV114" s="701">
        <f>IF('2 MEDIA ALTURA'!J27='2 MEDIA ALTURA'!$B$47,IF('2 MEDIA ALTURA'!J$34=150,IF('2 MEDIA ALTURA'!J26=40,1,0)))*'2 MEDIA ALTURA'!J$35</f>
        <v>0</v>
      </c>
      <c r="EW114" s="701">
        <f>IF('2 MEDIA ALTURA'!K27='2 MEDIA ALTURA'!$B$47,IF('2 MEDIA ALTURA'!K$34=150,IF('2 MEDIA ALTURA'!K26=40,1,0)))*'2 MEDIA ALTURA'!K$35</f>
        <v>0</v>
      </c>
      <c r="EX114" s="701">
        <f>IF('2 MEDIA ALTURA'!L27='2 MEDIA ALTURA'!$B$47,IF('2 MEDIA ALTURA'!L$34=150,IF('2 MEDIA ALTURA'!L26=40,1,0)))*'2 MEDIA ALTURA'!L$35</f>
        <v>0</v>
      </c>
      <c r="EY114" s="701">
        <f>IF('2 MEDIA ALTURA'!M27='2 MEDIA ALTURA'!$B$47,IF('2 MEDIA ALTURA'!M$34=150,IF('2 MEDIA ALTURA'!M26=40,1,0)))*'2 MEDIA ALTURA'!M$35</f>
        <v>0</v>
      </c>
      <c r="EZ114" s="701">
        <f>IF('2 MEDIA ALTURA'!N27='2 MEDIA ALTURA'!$B$47,IF('2 MEDIA ALTURA'!N$34=150,IF('2 MEDIA ALTURA'!N26=40,1,0)))*'2 MEDIA ALTURA'!N$35</f>
        <v>0</v>
      </c>
      <c r="FA114" s="706"/>
    </row>
    <row r="115" spans="1:194" x14ac:dyDescent="0.35">
      <c r="B115" s="702"/>
      <c r="C115" s="702"/>
      <c r="D115" s="702"/>
      <c r="E115" s="702"/>
      <c r="F115" s="702"/>
      <c r="G115" s="702"/>
      <c r="H115" s="702"/>
      <c r="I115" s="702"/>
      <c r="J115" s="702"/>
      <c r="K115" s="702"/>
      <c r="L115" s="702"/>
      <c r="M115" s="702"/>
      <c r="N115" s="706"/>
      <c r="O115" s="702"/>
      <c r="P115" s="702"/>
      <c r="Q115" s="702"/>
      <c r="R115" s="702"/>
      <c r="S115" s="702"/>
      <c r="T115" s="702"/>
      <c r="U115" s="702"/>
      <c r="V115" s="702"/>
      <c r="W115" s="702"/>
      <c r="X115" s="702"/>
      <c r="Y115" s="702"/>
      <c r="Z115" s="702"/>
      <c r="AA115" s="706"/>
      <c r="AB115" s="702"/>
      <c r="AC115" s="702"/>
      <c r="AD115" s="702"/>
      <c r="AE115" s="702"/>
      <c r="AF115" s="702"/>
      <c r="AG115" s="702"/>
      <c r="AH115" s="702"/>
      <c r="AI115" s="702"/>
      <c r="AJ115" s="702"/>
      <c r="AK115" s="702"/>
      <c r="AL115" s="702"/>
      <c r="AM115" s="702"/>
      <c r="AN115" s="706"/>
      <c r="AO115" s="702"/>
      <c r="AP115" s="702"/>
      <c r="AQ115" s="702"/>
      <c r="AR115" s="702"/>
      <c r="AS115" s="702"/>
      <c r="AT115" s="702"/>
      <c r="AU115" s="702"/>
      <c r="AV115" s="702"/>
      <c r="AW115" s="702"/>
      <c r="AX115" s="702"/>
      <c r="AY115" s="702"/>
      <c r="AZ115" s="702"/>
      <c r="BA115" s="706"/>
      <c r="BB115" s="702"/>
      <c r="BC115" s="702"/>
      <c r="BD115" s="702"/>
      <c r="BE115" s="702"/>
      <c r="BF115" s="702"/>
      <c r="BG115" s="702"/>
      <c r="BH115" s="702"/>
      <c r="BI115" s="702"/>
      <c r="BJ115" s="702"/>
      <c r="BK115" s="702"/>
      <c r="BL115" s="702"/>
      <c r="BM115" s="702"/>
      <c r="BN115" s="706"/>
      <c r="BO115" s="702"/>
      <c r="BP115" s="702"/>
      <c r="BQ115" s="702"/>
      <c r="BR115" s="702"/>
      <c r="BS115" s="702"/>
      <c r="BT115" s="702"/>
      <c r="BU115" s="702"/>
      <c r="BV115" s="702"/>
      <c r="BW115" s="702"/>
      <c r="BX115" s="702"/>
      <c r="BY115" s="702"/>
      <c r="BZ115" s="702"/>
      <c r="CA115" s="706"/>
      <c r="CB115" s="702"/>
      <c r="CC115" s="702"/>
      <c r="CD115" s="702"/>
      <c r="CE115" s="702"/>
      <c r="CF115" s="702"/>
      <c r="CG115" s="702"/>
      <c r="CH115" s="702"/>
      <c r="CI115" s="702"/>
      <c r="CJ115" s="702"/>
      <c r="CK115" s="702"/>
      <c r="CL115" s="702"/>
      <c r="CM115" s="702"/>
      <c r="CN115" s="706"/>
      <c r="CO115" s="702"/>
      <c r="CP115" s="702"/>
      <c r="CQ115" s="702"/>
      <c r="CR115" s="702"/>
      <c r="CS115" s="702"/>
      <c r="CT115" s="702"/>
      <c r="CU115" s="702"/>
      <c r="CV115" s="702"/>
      <c r="CW115" s="702"/>
      <c r="CX115" s="702"/>
      <c r="CY115" s="702"/>
      <c r="CZ115" s="702"/>
      <c r="DA115" s="706"/>
      <c r="DB115" s="702"/>
      <c r="DC115" s="702"/>
      <c r="DD115" s="702"/>
      <c r="DE115" s="702"/>
      <c r="DF115" s="702"/>
      <c r="DG115" s="702"/>
      <c r="DH115" s="702"/>
      <c r="DI115" s="702"/>
      <c r="DJ115" s="702"/>
      <c r="DK115" s="702"/>
      <c r="DL115" s="702"/>
      <c r="DM115" s="702"/>
      <c r="DN115" s="706"/>
      <c r="DO115" s="702"/>
      <c r="DP115" s="702"/>
      <c r="DQ115" s="702"/>
      <c r="DR115" s="702"/>
      <c r="DS115" s="702"/>
      <c r="DT115" s="702"/>
      <c r="DU115" s="702"/>
      <c r="DV115" s="702"/>
      <c r="DW115" s="702"/>
      <c r="DX115" s="702"/>
      <c r="DY115" s="702"/>
      <c r="DZ115" s="702"/>
      <c r="EA115" s="706"/>
      <c r="EB115" s="702"/>
      <c r="EC115" s="702"/>
      <c r="ED115" s="702"/>
      <c r="EE115" s="702"/>
      <c r="EF115" s="702"/>
      <c r="EG115" s="702"/>
      <c r="EH115" s="702"/>
      <c r="EI115" s="702"/>
      <c r="EJ115" s="702"/>
      <c r="EK115" s="702"/>
      <c r="EL115" s="702"/>
      <c r="EM115" s="702"/>
      <c r="EN115" s="706"/>
      <c r="EO115" s="702"/>
      <c r="EP115" s="702"/>
      <c r="EQ115" s="702"/>
      <c r="ER115" s="702"/>
      <c r="ES115" s="702"/>
      <c r="ET115" s="702"/>
      <c r="EU115" s="702"/>
      <c r="EV115" s="702"/>
      <c r="EW115" s="702"/>
      <c r="EX115" s="702"/>
      <c r="EY115" s="702"/>
      <c r="EZ115" s="702"/>
      <c r="FA115" s="706"/>
    </row>
    <row r="116" spans="1:194" x14ac:dyDescent="0.35">
      <c r="B116" s="701">
        <f>IF('2 MEDIA ALTURA'!C29='2 MEDIA ALTURA'!$B$47,IF('2 MEDIA ALTURA'!C$34=28,IF('2 MEDIA ALTURA'!C28=20,1,0)))*'2 MEDIA ALTURA'!C$35</f>
        <v>0</v>
      </c>
      <c r="C116" s="701">
        <f>IF('2 MEDIA ALTURA'!D29='2 MEDIA ALTURA'!$B$47,IF('2 MEDIA ALTURA'!D$34=28,IF('2 MEDIA ALTURA'!D28=20,1,0)))*'2 MEDIA ALTURA'!D$35</f>
        <v>0</v>
      </c>
      <c r="D116" s="701">
        <f>IF('2 MEDIA ALTURA'!E29='2 MEDIA ALTURA'!$B$47,IF('2 MEDIA ALTURA'!E$34=28,IF('2 MEDIA ALTURA'!E28=20,1,0)))*'2 MEDIA ALTURA'!E$35</f>
        <v>0</v>
      </c>
      <c r="E116" s="701">
        <f>IF('2 MEDIA ALTURA'!F29='2 MEDIA ALTURA'!$B$47,IF('2 MEDIA ALTURA'!F$34=28,IF('2 MEDIA ALTURA'!F28=20,1,0)))*'2 MEDIA ALTURA'!F$35</f>
        <v>0</v>
      </c>
      <c r="F116" s="701">
        <f>IF('2 MEDIA ALTURA'!G29='2 MEDIA ALTURA'!$B$47,IF('2 MEDIA ALTURA'!G$34=28,IF('2 MEDIA ALTURA'!G28=20,1,0)))*'2 MEDIA ALTURA'!G$35</f>
        <v>0</v>
      </c>
      <c r="G116" s="701">
        <f>IF('2 MEDIA ALTURA'!H29='2 MEDIA ALTURA'!$B$47,IF('2 MEDIA ALTURA'!H$34=28,IF('2 MEDIA ALTURA'!H28=20,1,0)))*'2 MEDIA ALTURA'!H$35</f>
        <v>0</v>
      </c>
      <c r="H116" s="701">
        <f>IF('2 MEDIA ALTURA'!I29='2 MEDIA ALTURA'!$B$47,IF('2 MEDIA ALTURA'!I$34=28,IF('2 MEDIA ALTURA'!I28=20,1,0)))*'2 MEDIA ALTURA'!I$35</f>
        <v>0</v>
      </c>
      <c r="I116" s="701">
        <f>IF('2 MEDIA ALTURA'!J29='2 MEDIA ALTURA'!$B$47,IF('2 MEDIA ALTURA'!J$34=28,IF('2 MEDIA ALTURA'!J28=20,1,0)))*'2 MEDIA ALTURA'!J$35</f>
        <v>0</v>
      </c>
      <c r="J116" s="701">
        <f>IF('2 MEDIA ALTURA'!K29='2 MEDIA ALTURA'!$B$47,IF('2 MEDIA ALTURA'!K$34=28,IF('2 MEDIA ALTURA'!K28=20,1,0)))*'2 MEDIA ALTURA'!K$35</f>
        <v>0</v>
      </c>
      <c r="K116" s="701">
        <f>IF('2 MEDIA ALTURA'!L29='2 MEDIA ALTURA'!$B$47,IF('2 MEDIA ALTURA'!L$34=28,IF('2 MEDIA ALTURA'!L28=20,1,0)))*'2 MEDIA ALTURA'!L$35</f>
        <v>0</v>
      </c>
      <c r="L116" s="701">
        <f>IF('2 MEDIA ALTURA'!M29='2 MEDIA ALTURA'!$B$47,IF('2 MEDIA ALTURA'!M$34=28,IF('2 MEDIA ALTURA'!M28=20,1,0)))*'2 MEDIA ALTURA'!M$35</f>
        <v>0</v>
      </c>
      <c r="M116" s="701">
        <f>IF('2 MEDIA ALTURA'!N29='2 MEDIA ALTURA'!$B$47,IF('2 MEDIA ALTURA'!N$34=28,IF('2 MEDIA ALTURA'!N28=20,1,0)))*'2 MEDIA ALTURA'!N$35</f>
        <v>0</v>
      </c>
      <c r="N116" s="706"/>
      <c r="O116" s="701">
        <f>IF('2 MEDIA ALTURA'!C29='2 MEDIA ALTURA'!$B$47,IF('2 MEDIA ALTURA'!C$34=30,IF('2 MEDIA ALTURA'!C28=20,1,0)))*'2 MEDIA ALTURA'!C$35</f>
        <v>0</v>
      </c>
      <c r="P116" s="701">
        <f>IF('2 MEDIA ALTURA'!D29='2 MEDIA ALTURA'!$B$47,IF('2 MEDIA ALTURA'!D$34=30,IF('2 MEDIA ALTURA'!D28=20,1,0)))*'2 MEDIA ALTURA'!D$35</f>
        <v>0</v>
      </c>
      <c r="Q116" s="701">
        <f>IF('2 MEDIA ALTURA'!E29='2 MEDIA ALTURA'!$B$47,IF('2 MEDIA ALTURA'!E$34=30,IF('2 MEDIA ALTURA'!E28=20,1,0)))*'2 MEDIA ALTURA'!E$35</f>
        <v>0</v>
      </c>
      <c r="R116" s="701">
        <f>IF('2 MEDIA ALTURA'!F29='2 MEDIA ALTURA'!$B$47,IF('2 MEDIA ALTURA'!F$34=30,IF('2 MEDIA ALTURA'!F28=20,1,0)))*'2 MEDIA ALTURA'!F$35</f>
        <v>0</v>
      </c>
      <c r="S116" s="701">
        <f>IF('2 MEDIA ALTURA'!G29='2 MEDIA ALTURA'!$B$47,IF('2 MEDIA ALTURA'!G$34=30,IF('2 MEDIA ALTURA'!G28=20,1,0)))*'2 MEDIA ALTURA'!G$35</f>
        <v>0</v>
      </c>
      <c r="T116" s="701">
        <f>IF('2 MEDIA ALTURA'!H29='2 MEDIA ALTURA'!$B$47,IF('2 MEDIA ALTURA'!H$34=30,IF('2 MEDIA ALTURA'!H28=20,1,0)))*'2 MEDIA ALTURA'!H$35</f>
        <v>0</v>
      </c>
      <c r="U116" s="701">
        <f>IF('2 MEDIA ALTURA'!I29='2 MEDIA ALTURA'!$B$47,IF('2 MEDIA ALTURA'!I$34=30,IF('2 MEDIA ALTURA'!I28=20,1,0)))*'2 MEDIA ALTURA'!I$35</f>
        <v>0</v>
      </c>
      <c r="V116" s="701">
        <f>IF('2 MEDIA ALTURA'!J29='2 MEDIA ALTURA'!$B$47,IF('2 MEDIA ALTURA'!J$34=30,IF('2 MEDIA ALTURA'!J28=20,1,0)))*'2 MEDIA ALTURA'!J$35</f>
        <v>0</v>
      </c>
      <c r="W116" s="701">
        <f>IF('2 MEDIA ALTURA'!K29='2 MEDIA ALTURA'!$B$47,IF('2 MEDIA ALTURA'!K$34=30,IF('2 MEDIA ALTURA'!K28=20,1,0)))*'2 MEDIA ALTURA'!K$35</f>
        <v>0</v>
      </c>
      <c r="X116" s="701">
        <f>IF('2 MEDIA ALTURA'!L29='2 MEDIA ALTURA'!$B$47,IF('2 MEDIA ALTURA'!L$34=30,IF('2 MEDIA ALTURA'!L28=20,1,0)))*'2 MEDIA ALTURA'!L$35</f>
        <v>0</v>
      </c>
      <c r="Y116" s="701">
        <f>IF('2 MEDIA ALTURA'!M29='2 MEDIA ALTURA'!$B$47,IF('2 MEDIA ALTURA'!M$34=30,IF('2 MEDIA ALTURA'!M28=20,1,0)))*'2 MEDIA ALTURA'!M$35</f>
        <v>0</v>
      </c>
      <c r="Z116" s="701">
        <f>IF('2 MEDIA ALTURA'!N29='2 MEDIA ALTURA'!$B$47,IF('2 MEDIA ALTURA'!N$34=30,IF('2 MEDIA ALTURA'!N28=20,1,0)))*'2 MEDIA ALTURA'!N$35</f>
        <v>0</v>
      </c>
      <c r="AA116" s="706"/>
      <c r="AB116" s="701">
        <f>IF('2 MEDIA ALTURA'!C29='2 MEDIA ALTURA'!$B$47,IF('2 MEDIA ALTURA'!C$34=56,IF('2 MEDIA ALTURA'!C28=20,1,0)))*'2 MEDIA ALTURA'!C$35</f>
        <v>0</v>
      </c>
      <c r="AC116" s="701">
        <f>IF('2 MEDIA ALTURA'!D29='2 MEDIA ALTURA'!$B$47,IF('2 MEDIA ALTURA'!D$34=56,IF('2 MEDIA ALTURA'!D28=20,1,0)))*'2 MEDIA ALTURA'!D$35</f>
        <v>0</v>
      </c>
      <c r="AD116" s="701">
        <f>IF('2 MEDIA ALTURA'!E29='2 MEDIA ALTURA'!$B$47,IF('2 MEDIA ALTURA'!E$34=56,IF('2 MEDIA ALTURA'!E28=20,1,0)))*'2 MEDIA ALTURA'!E$35</f>
        <v>0</v>
      </c>
      <c r="AE116" s="701">
        <f>IF('2 MEDIA ALTURA'!F29='2 MEDIA ALTURA'!$B$47,IF('2 MEDIA ALTURA'!F$34=56,IF('2 MEDIA ALTURA'!F28=20,1,0)))*'2 MEDIA ALTURA'!F$35</f>
        <v>0</v>
      </c>
      <c r="AF116" s="701">
        <f>IF('2 MEDIA ALTURA'!G29='2 MEDIA ALTURA'!$B$47,IF('2 MEDIA ALTURA'!G$34=56,IF('2 MEDIA ALTURA'!G28=20,1,0)))*'2 MEDIA ALTURA'!G$35</f>
        <v>0</v>
      </c>
      <c r="AG116" s="701">
        <f>IF('2 MEDIA ALTURA'!H29='2 MEDIA ALTURA'!$B$47,IF('2 MEDIA ALTURA'!H$34=56,IF('2 MEDIA ALTURA'!H28=20,1,0)))*'2 MEDIA ALTURA'!H$35</f>
        <v>0</v>
      </c>
      <c r="AH116" s="701">
        <f>IF('2 MEDIA ALTURA'!I29='2 MEDIA ALTURA'!$B$47,IF('2 MEDIA ALTURA'!I$34=56,IF('2 MEDIA ALTURA'!I28=20,1,0)))*'2 MEDIA ALTURA'!I$35</f>
        <v>0</v>
      </c>
      <c r="AI116" s="701">
        <f>IF('2 MEDIA ALTURA'!J29='2 MEDIA ALTURA'!$B$47,IF('2 MEDIA ALTURA'!J$34=56,IF('2 MEDIA ALTURA'!J28=20,1,0)))*'2 MEDIA ALTURA'!J$35</f>
        <v>0</v>
      </c>
      <c r="AJ116" s="701">
        <f>IF('2 MEDIA ALTURA'!K29='2 MEDIA ALTURA'!$B$47,IF('2 MEDIA ALTURA'!K$34=56,IF('2 MEDIA ALTURA'!K28=20,1,0)))*'2 MEDIA ALTURA'!K$35</f>
        <v>0</v>
      </c>
      <c r="AK116" s="701">
        <f>IF('2 MEDIA ALTURA'!L29='2 MEDIA ALTURA'!$B$47,IF('2 MEDIA ALTURA'!L$34=56,IF('2 MEDIA ALTURA'!L28=20,1,0)))*'2 MEDIA ALTURA'!L$35</f>
        <v>0</v>
      </c>
      <c r="AL116" s="701">
        <f>IF('2 MEDIA ALTURA'!M29='2 MEDIA ALTURA'!$B$47,IF('2 MEDIA ALTURA'!M$34=56,IF('2 MEDIA ALTURA'!M28=20,1,0)))*'2 MEDIA ALTURA'!M$35</f>
        <v>0</v>
      </c>
      <c r="AM116" s="701">
        <f>IF('2 MEDIA ALTURA'!N29='2 MEDIA ALTURA'!$B$47,IF('2 MEDIA ALTURA'!N$34=56,IF('2 MEDIA ALTURA'!N28=20,1,0)))*'2 MEDIA ALTURA'!N$35</f>
        <v>0</v>
      </c>
      <c r="AN116" s="706"/>
      <c r="AO116" s="701">
        <f>IF('2 MEDIA ALTURA'!C29='2 MEDIA ALTURA'!$B$47,IF('2 MEDIA ALTURA'!C$34=60,IF('2 MEDIA ALTURA'!C28=20,1,0)))*'2 MEDIA ALTURA'!C$35</f>
        <v>0</v>
      </c>
      <c r="AP116" s="701">
        <f>IF('2 MEDIA ALTURA'!D29='2 MEDIA ALTURA'!$B$47,IF('2 MEDIA ALTURA'!D$34=60,IF('2 MEDIA ALTURA'!D28=20,1,0)))*'2 MEDIA ALTURA'!D$35</f>
        <v>0</v>
      </c>
      <c r="AQ116" s="701">
        <f>IF('2 MEDIA ALTURA'!E29='2 MEDIA ALTURA'!$B$47,IF('2 MEDIA ALTURA'!E$34=60,IF('2 MEDIA ALTURA'!E28=20,1,0)))*'2 MEDIA ALTURA'!E$35</f>
        <v>0</v>
      </c>
      <c r="AR116" s="701">
        <f>IF('2 MEDIA ALTURA'!F29='2 MEDIA ALTURA'!$B$47,IF('2 MEDIA ALTURA'!F$34=60,IF('2 MEDIA ALTURA'!F28=20,1,0)))*'2 MEDIA ALTURA'!F$35</f>
        <v>0</v>
      </c>
      <c r="AS116" s="701">
        <f>IF('2 MEDIA ALTURA'!G29='2 MEDIA ALTURA'!$B$47,IF('2 MEDIA ALTURA'!G$34=60,IF('2 MEDIA ALTURA'!G28=20,1,0)))*'2 MEDIA ALTURA'!G$35</f>
        <v>0</v>
      </c>
      <c r="AT116" s="701">
        <f>IF('2 MEDIA ALTURA'!H29='2 MEDIA ALTURA'!$B$47,IF('2 MEDIA ALTURA'!H$34=60,IF('2 MEDIA ALTURA'!H28=20,1,0)))*'2 MEDIA ALTURA'!H$35</f>
        <v>0</v>
      </c>
      <c r="AU116" s="701">
        <f>IF('2 MEDIA ALTURA'!I29='2 MEDIA ALTURA'!$B$47,IF('2 MEDIA ALTURA'!I$34=60,IF('2 MEDIA ALTURA'!I28=20,1,0)))*'2 MEDIA ALTURA'!I$35</f>
        <v>0</v>
      </c>
      <c r="AV116" s="701">
        <f>IF('2 MEDIA ALTURA'!J29='2 MEDIA ALTURA'!$B$47,IF('2 MEDIA ALTURA'!J$34=60,IF('2 MEDIA ALTURA'!J28=20,1,0)))*'2 MEDIA ALTURA'!J$35</f>
        <v>0</v>
      </c>
      <c r="AW116" s="701">
        <f>IF('2 MEDIA ALTURA'!K29='2 MEDIA ALTURA'!$B$47,IF('2 MEDIA ALTURA'!K$34=60,IF('2 MEDIA ALTURA'!K28=20,1,0)))*'2 MEDIA ALTURA'!K$35</f>
        <v>0</v>
      </c>
      <c r="AX116" s="701">
        <f>IF('2 MEDIA ALTURA'!L29='2 MEDIA ALTURA'!$B$47,IF('2 MEDIA ALTURA'!L$34=60,IF('2 MEDIA ALTURA'!L28=20,1,0)))*'2 MEDIA ALTURA'!L$35</f>
        <v>0</v>
      </c>
      <c r="AY116" s="701">
        <f>IF('2 MEDIA ALTURA'!M29='2 MEDIA ALTURA'!$B$47,IF('2 MEDIA ALTURA'!M$34=60,IF('2 MEDIA ALTURA'!M28=20,1,0)))*'2 MEDIA ALTURA'!M$35</f>
        <v>0</v>
      </c>
      <c r="AZ116" s="701">
        <f>IF('2 MEDIA ALTURA'!N29='2 MEDIA ALTURA'!$B$47,IF('2 MEDIA ALTURA'!N$34=60,IF('2 MEDIA ALTURA'!N28=20,1,0)))*'2 MEDIA ALTURA'!N$35</f>
        <v>0</v>
      </c>
      <c r="BA116" s="706"/>
      <c r="BB116" s="701">
        <f>IF('2 MEDIA ALTURA'!C29='2 MEDIA ALTURA'!$B$47,IF('2 MEDIA ALTURA'!C$34=70,IF('2 MEDIA ALTURA'!C28=20,1,0)))*'2 MEDIA ALTURA'!C$35</f>
        <v>0</v>
      </c>
      <c r="BC116" s="701">
        <f>IF('2 MEDIA ALTURA'!D29='2 MEDIA ALTURA'!$B$47,IF('2 MEDIA ALTURA'!D$34=70,IF('2 MEDIA ALTURA'!D28=20,1,0)))*'2 MEDIA ALTURA'!D$35</f>
        <v>0</v>
      </c>
      <c r="BD116" s="701">
        <f>IF('2 MEDIA ALTURA'!E29='2 MEDIA ALTURA'!$B$47,IF('2 MEDIA ALTURA'!E$34=70,IF('2 MEDIA ALTURA'!E28=20,1,0)))*'2 MEDIA ALTURA'!E$35</f>
        <v>0</v>
      </c>
      <c r="BE116" s="701">
        <f>IF('2 MEDIA ALTURA'!F29='2 MEDIA ALTURA'!$B$47,IF('2 MEDIA ALTURA'!F$34=70,IF('2 MEDIA ALTURA'!F28=20,1,0)))*'2 MEDIA ALTURA'!F$35</f>
        <v>0</v>
      </c>
      <c r="BF116" s="701">
        <f>IF('2 MEDIA ALTURA'!G29='2 MEDIA ALTURA'!$B$47,IF('2 MEDIA ALTURA'!G$34=70,IF('2 MEDIA ALTURA'!G28=20,1,0)))*'2 MEDIA ALTURA'!G$35</f>
        <v>0</v>
      </c>
      <c r="BG116" s="701">
        <f>IF('2 MEDIA ALTURA'!H29='2 MEDIA ALTURA'!$B$47,IF('2 MEDIA ALTURA'!H$34=70,IF('2 MEDIA ALTURA'!H28=20,1,0)))*'2 MEDIA ALTURA'!H$35</f>
        <v>0</v>
      </c>
      <c r="BH116" s="701">
        <f>IF('2 MEDIA ALTURA'!I29='2 MEDIA ALTURA'!$B$47,IF('2 MEDIA ALTURA'!I$34=70,IF('2 MEDIA ALTURA'!I28=20,1,0)))*'2 MEDIA ALTURA'!I$35</f>
        <v>0</v>
      </c>
      <c r="BI116" s="701">
        <f>IF('2 MEDIA ALTURA'!J29='2 MEDIA ALTURA'!$B$47,IF('2 MEDIA ALTURA'!J$34=70,IF('2 MEDIA ALTURA'!J28=20,1,0)))*'2 MEDIA ALTURA'!J$35</f>
        <v>0</v>
      </c>
      <c r="BJ116" s="701">
        <f>IF('2 MEDIA ALTURA'!K29='2 MEDIA ALTURA'!$B$47,IF('2 MEDIA ALTURA'!K$34=70,IF('2 MEDIA ALTURA'!K28=20,1,0)))*'2 MEDIA ALTURA'!K$35</f>
        <v>0</v>
      </c>
      <c r="BK116" s="701">
        <f>IF('2 MEDIA ALTURA'!L29='2 MEDIA ALTURA'!$B$47,IF('2 MEDIA ALTURA'!L$34=70,IF('2 MEDIA ALTURA'!L28=20,1,0)))*'2 MEDIA ALTURA'!L$35</f>
        <v>0</v>
      </c>
      <c r="BL116" s="701">
        <f>IF('2 MEDIA ALTURA'!M29='2 MEDIA ALTURA'!$B$47,IF('2 MEDIA ALTURA'!M$34=70,IF('2 MEDIA ALTURA'!M28=20,1,0)))*'2 MEDIA ALTURA'!M$35</f>
        <v>0</v>
      </c>
      <c r="BM116" s="701">
        <f>IF('2 MEDIA ALTURA'!N29='2 MEDIA ALTURA'!$B$47,IF('2 MEDIA ALTURA'!N$34=70,IF('2 MEDIA ALTURA'!N28=20,1,0)))*'2 MEDIA ALTURA'!N$35</f>
        <v>0</v>
      </c>
      <c r="BN116" s="706"/>
      <c r="BO116" s="701">
        <f>IF('2 MEDIA ALTURA'!C29='2 MEDIA ALTURA'!$B$47,IF('2 MEDIA ALTURA'!C$34=75,IF('2 MEDIA ALTURA'!C28=20,1,0)))*'2 MEDIA ALTURA'!C$35</f>
        <v>0</v>
      </c>
      <c r="BP116" s="701">
        <f>IF('2 MEDIA ALTURA'!D29='2 MEDIA ALTURA'!$B$47,IF('2 MEDIA ALTURA'!D$34=75,IF('2 MEDIA ALTURA'!D28=20,1,0)))*'2 MEDIA ALTURA'!D$35</f>
        <v>0</v>
      </c>
      <c r="BQ116" s="701">
        <f>IF('2 MEDIA ALTURA'!E29='2 MEDIA ALTURA'!$B$47,IF('2 MEDIA ALTURA'!E$34=75,IF('2 MEDIA ALTURA'!E28=20,1,0)))*'2 MEDIA ALTURA'!E$35</f>
        <v>0</v>
      </c>
      <c r="BR116" s="701">
        <f>IF('2 MEDIA ALTURA'!F29='2 MEDIA ALTURA'!$B$47,IF('2 MEDIA ALTURA'!F$34=75,IF('2 MEDIA ALTURA'!F28=20,1,0)))*'2 MEDIA ALTURA'!F$35</f>
        <v>0</v>
      </c>
      <c r="BS116" s="701">
        <f>IF('2 MEDIA ALTURA'!G29='2 MEDIA ALTURA'!$B$47,IF('2 MEDIA ALTURA'!G$34=75,IF('2 MEDIA ALTURA'!G28=20,1,0)))*'2 MEDIA ALTURA'!G$35</f>
        <v>0</v>
      </c>
      <c r="BT116" s="701">
        <f>IF('2 MEDIA ALTURA'!H29='2 MEDIA ALTURA'!$B$47,IF('2 MEDIA ALTURA'!H$34=75,IF('2 MEDIA ALTURA'!H28=20,1,0)))*'2 MEDIA ALTURA'!H$35</f>
        <v>0</v>
      </c>
      <c r="BU116" s="701">
        <f>IF('2 MEDIA ALTURA'!I29='2 MEDIA ALTURA'!$B$47,IF('2 MEDIA ALTURA'!I$34=75,IF('2 MEDIA ALTURA'!I28=20,1,0)))*'2 MEDIA ALTURA'!I$35</f>
        <v>0</v>
      </c>
      <c r="BV116" s="701">
        <f>IF('2 MEDIA ALTURA'!J29='2 MEDIA ALTURA'!$B$47,IF('2 MEDIA ALTURA'!J$34=75,IF('2 MEDIA ALTURA'!J28=20,1,0)))*'2 MEDIA ALTURA'!J$35</f>
        <v>0</v>
      </c>
      <c r="BW116" s="701">
        <f>IF('2 MEDIA ALTURA'!K29='2 MEDIA ALTURA'!$B$47,IF('2 MEDIA ALTURA'!K$34=75,IF('2 MEDIA ALTURA'!K28=20,1,0)))*'2 MEDIA ALTURA'!K$35</f>
        <v>0</v>
      </c>
      <c r="BX116" s="701">
        <f>IF('2 MEDIA ALTURA'!L29='2 MEDIA ALTURA'!$B$47,IF('2 MEDIA ALTURA'!L$34=75,IF('2 MEDIA ALTURA'!L28=20,1,0)))*'2 MEDIA ALTURA'!L$35</f>
        <v>0</v>
      </c>
      <c r="BY116" s="701">
        <f>IF('2 MEDIA ALTURA'!M29='2 MEDIA ALTURA'!$B$47,IF('2 MEDIA ALTURA'!M$34=75,IF('2 MEDIA ALTURA'!M28=20,1,0)))*'2 MEDIA ALTURA'!M$35</f>
        <v>0</v>
      </c>
      <c r="BZ116" s="701">
        <f>IF('2 MEDIA ALTURA'!N29='2 MEDIA ALTURA'!$B$47,IF('2 MEDIA ALTURA'!N$34=75,IF('2 MEDIA ALTURA'!N28=20,1,0)))*'2 MEDIA ALTURA'!N$35</f>
        <v>0</v>
      </c>
      <c r="CA116" s="706"/>
      <c r="CB116" s="701">
        <f>IF('2 MEDIA ALTURA'!C29='2 MEDIA ALTURA'!$B$47,IF('2 MEDIA ALTURA'!C$34=84,IF('2 MEDIA ALTURA'!C28=20,1,0)))*'2 MEDIA ALTURA'!C$35</f>
        <v>0</v>
      </c>
      <c r="CC116" s="701">
        <f>IF('2 MEDIA ALTURA'!D29='2 MEDIA ALTURA'!$B$47,IF('2 MEDIA ALTURA'!D$34=84,IF('2 MEDIA ALTURA'!D28=20,1,0)))*'2 MEDIA ALTURA'!D$35</f>
        <v>0</v>
      </c>
      <c r="CD116" s="701">
        <f>IF('2 MEDIA ALTURA'!E29='2 MEDIA ALTURA'!$B$47,IF('2 MEDIA ALTURA'!E$34=84,IF('2 MEDIA ALTURA'!E28=20,1,0)))*'2 MEDIA ALTURA'!E$35</f>
        <v>0</v>
      </c>
      <c r="CE116" s="701">
        <f>IF('2 MEDIA ALTURA'!F29='2 MEDIA ALTURA'!$B$47,IF('2 MEDIA ALTURA'!F$34=84,IF('2 MEDIA ALTURA'!F28=20,1,0)))*'2 MEDIA ALTURA'!F$35</f>
        <v>0</v>
      </c>
      <c r="CF116" s="701">
        <f>IF('2 MEDIA ALTURA'!G29='2 MEDIA ALTURA'!$B$47,IF('2 MEDIA ALTURA'!G$34=84,IF('2 MEDIA ALTURA'!G28=20,1,0)))*'2 MEDIA ALTURA'!G$35</f>
        <v>0</v>
      </c>
      <c r="CG116" s="701">
        <f>IF('2 MEDIA ALTURA'!H29='2 MEDIA ALTURA'!$B$47,IF('2 MEDIA ALTURA'!H$34=84,IF('2 MEDIA ALTURA'!H28=20,1,0)))*'2 MEDIA ALTURA'!H$35</f>
        <v>0</v>
      </c>
      <c r="CH116" s="701">
        <f>IF('2 MEDIA ALTURA'!I29='2 MEDIA ALTURA'!$B$47,IF('2 MEDIA ALTURA'!I$34=84,IF('2 MEDIA ALTURA'!I28=20,1,0)))*'2 MEDIA ALTURA'!I$35</f>
        <v>0</v>
      </c>
      <c r="CI116" s="701">
        <f>IF('2 MEDIA ALTURA'!J29='2 MEDIA ALTURA'!$B$47,IF('2 MEDIA ALTURA'!J$34=84,IF('2 MEDIA ALTURA'!J28=20,1,0)))*'2 MEDIA ALTURA'!J$35</f>
        <v>0</v>
      </c>
      <c r="CJ116" s="701">
        <f>IF('2 MEDIA ALTURA'!K29='2 MEDIA ALTURA'!$B$47,IF('2 MEDIA ALTURA'!K$34=84,IF('2 MEDIA ALTURA'!K28=20,1,0)))*'2 MEDIA ALTURA'!K$35</f>
        <v>0</v>
      </c>
      <c r="CK116" s="701">
        <f>IF('2 MEDIA ALTURA'!L29='2 MEDIA ALTURA'!$B$47,IF('2 MEDIA ALTURA'!L$34=84,IF('2 MEDIA ALTURA'!L28=20,1,0)))*'2 MEDIA ALTURA'!L$35</f>
        <v>0</v>
      </c>
      <c r="CL116" s="701">
        <f>IF('2 MEDIA ALTURA'!M29='2 MEDIA ALTURA'!$B$47,IF('2 MEDIA ALTURA'!M$34=84,IF('2 MEDIA ALTURA'!M28=20,1,0)))*'2 MEDIA ALTURA'!M$35</f>
        <v>0</v>
      </c>
      <c r="CM116" s="701">
        <f>IF('2 MEDIA ALTURA'!N29='2 MEDIA ALTURA'!$B$47,IF('2 MEDIA ALTURA'!N$34=84,IF('2 MEDIA ALTURA'!N28=20,1,0)))*'2 MEDIA ALTURA'!N$35</f>
        <v>0</v>
      </c>
      <c r="CN116" s="706"/>
      <c r="CO116" s="701">
        <f>IF('2 MEDIA ALTURA'!C29='2 MEDIA ALTURA'!$B$47,IF('2 MEDIA ALTURA'!C$45=90,IF('2 MEDIA ALTURA'!C28=20,1,0)))*'2 MEDIA ALTURA'!C$35</f>
        <v>0</v>
      </c>
      <c r="CP116" s="701">
        <f>IF('2 MEDIA ALTURA'!D29='2 MEDIA ALTURA'!$B$47,IF('2 MEDIA ALTURA'!D$45=90,IF('2 MEDIA ALTURA'!D28=20,1,0)))*'2 MEDIA ALTURA'!D$35</f>
        <v>0</v>
      </c>
      <c r="CQ116" s="701">
        <f>IF('2 MEDIA ALTURA'!E29='2 MEDIA ALTURA'!$B$47,IF('2 MEDIA ALTURA'!E$45=90,IF('2 MEDIA ALTURA'!E28=20,1,0)))*'2 MEDIA ALTURA'!E$35</f>
        <v>0</v>
      </c>
      <c r="CR116" s="701">
        <f>IF('2 MEDIA ALTURA'!F29='2 MEDIA ALTURA'!$B$47,IF('2 MEDIA ALTURA'!F$45=90,IF('2 MEDIA ALTURA'!F28=20,1,0)))*'2 MEDIA ALTURA'!F$35</f>
        <v>0</v>
      </c>
      <c r="CS116" s="701">
        <f>IF('2 MEDIA ALTURA'!G29='2 MEDIA ALTURA'!$B$47,IF('2 MEDIA ALTURA'!G$45=90,IF('2 MEDIA ALTURA'!G28=20,1,0)))*'2 MEDIA ALTURA'!G$35</f>
        <v>0</v>
      </c>
      <c r="CT116" s="701">
        <f>IF('2 MEDIA ALTURA'!H29='2 MEDIA ALTURA'!$B$47,IF('2 MEDIA ALTURA'!H$45=90,IF('2 MEDIA ALTURA'!H28=20,1,0)))*'2 MEDIA ALTURA'!H$35</f>
        <v>0</v>
      </c>
      <c r="CU116" s="701">
        <f>IF('2 MEDIA ALTURA'!I29='2 MEDIA ALTURA'!$B$47,IF('2 MEDIA ALTURA'!I$45=90,IF('2 MEDIA ALTURA'!I28=20,1,0)))*'2 MEDIA ALTURA'!I$35</f>
        <v>0</v>
      </c>
      <c r="CV116" s="701">
        <f>IF('2 MEDIA ALTURA'!J29='2 MEDIA ALTURA'!$B$47,IF('2 MEDIA ALTURA'!J$45=90,IF('2 MEDIA ALTURA'!J28=20,1,0)))*'2 MEDIA ALTURA'!J$35</f>
        <v>0</v>
      </c>
      <c r="CW116" s="701">
        <f>IF('2 MEDIA ALTURA'!K29='2 MEDIA ALTURA'!$B$47,IF('2 MEDIA ALTURA'!K$45=90,IF('2 MEDIA ALTURA'!K28=20,1,0)))*'2 MEDIA ALTURA'!K$35</f>
        <v>0</v>
      </c>
      <c r="CX116" s="701">
        <f>IF('2 MEDIA ALTURA'!L29='2 MEDIA ALTURA'!$B$47,IF('2 MEDIA ALTURA'!L$45=90,IF('2 MEDIA ALTURA'!L28=20,1,0)))*'2 MEDIA ALTURA'!L$35</f>
        <v>0</v>
      </c>
      <c r="CY116" s="701">
        <f>IF('2 MEDIA ALTURA'!M29='2 MEDIA ALTURA'!$B$47,IF('2 MEDIA ALTURA'!M$45=90,IF('2 MEDIA ALTURA'!M28=20,1,0)))*'2 MEDIA ALTURA'!M$35</f>
        <v>0</v>
      </c>
      <c r="CZ116" s="701">
        <f>IF('2 MEDIA ALTURA'!N29='2 MEDIA ALTURA'!$B$47,IF('2 MEDIA ALTURA'!N$45=90,IF('2 MEDIA ALTURA'!N28=20,1,0)))*'2 MEDIA ALTURA'!N$35</f>
        <v>0</v>
      </c>
      <c r="DA116" s="706"/>
      <c r="DB116" s="701">
        <f>IF('2 MEDIA ALTURA'!C29='2 MEDIA ALTURA'!$B$47,IF('2 MEDIA ALTURA'!C$34=112,IF('2 MEDIA ALTURA'!C28=20,1,0)))*'2 MEDIA ALTURA'!C$35</f>
        <v>0</v>
      </c>
      <c r="DC116" s="701">
        <f>IF('2 MEDIA ALTURA'!D29='2 MEDIA ALTURA'!$B$47,IF('2 MEDIA ALTURA'!D$34=112,IF('2 MEDIA ALTURA'!D28=20,1,0)))*'2 MEDIA ALTURA'!D$35</f>
        <v>0</v>
      </c>
      <c r="DD116" s="701">
        <f>IF('2 MEDIA ALTURA'!E29='2 MEDIA ALTURA'!$B$47,IF('2 MEDIA ALTURA'!E$34=112,IF('2 MEDIA ALTURA'!E28=20,1,0)))*'2 MEDIA ALTURA'!E$35</f>
        <v>0</v>
      </c>
      <c r="DE116" s="701">
        <f>IF('2 MEDIA ALTURA'!F29='2 MEDIA ALTURA'!$B$47,IF('2 MEDIA ALTURA'!F$34=112,IF('2 MEDIA ALTURA'!F28=20,1,0)))*'2 MEDIA ALTURA'!F$35</f>
        <v>0</v>
      </c>
      <c r="DF116" s="701">
        <f>IF('2 MEDIA ALTURA'!G29='2 MEDIA ALTURA'!$B$47,IF('2 MEDIA ALTURA'!G$34=112,IF('2 MEDIA ALTURA'!G28=20,1,0)))*'2 MEDIA ALTURA'!G$35</f>
        <v>0</v>
      </c>
      <c r="DG116" s="701">
        <f>IF('2 MEDIA ALTURA'!H29='2 MEDIA ALTURA'!$B$47,IF('2 MEDIA ALTURA'!H$34=112,IF('2 MEDIA ALTURA'!H28=20,1,0)))*'2 MEDIA ALTURA'!H$35</f>
        <v>0</v>
      </c>
      <c r="DH116" s="701">
        <f>IF('2 MEDIA ALTURA'!I29='2 MEDIA ALTURA'!$B$47,IF('2 MEDIA ALTURA'!I$34=112,IF('2 MEDIA ALTURA'!I28=20,1,0)))*'2 MEDIA ALTURA'!I$35</f>
        <v>0</v>
      </c>
      <c r="DI116" s="701">
        <f>IF('2 MEDIA ALTURA'!J29='2 MEDIA ALTURA'!$B$47,IF('2 MEDIA ALTURA'!J$34=112,IF('2 MEDIA ALTURA'!J28=20,1,0)))*'2 MEDIA ALTURA'!J$35</f>
        <v>0</v>
      </c>
      <c r="DJ116" s="701">
        <f>IF('2 MEDIA ALTURA'!K29='2 MEDIA ALTURA'!$B$47,IF('2 MEDIA ALTURA'!K$34=112,IF('2 MEDIA ALTURA'!K28=20,1,0)))*'2 MEDIA ALTURA'!K$35</f>
        <v>0</v>
      </c>
      <c r="DK116" s="701">
        <f>IF('2 MEDIA ALTURA'!L29='2 MEDIA ALTURA'!$B$47,IF('2 MEDIA ALTURA'!L$34=112,IF('2 MEDIA ALTURA'!L28=20,1,0)))*'2 MEDIA ALTURA'!L$35</f>
        <v>0</v>
      </c>
      <c r="DL116" s="701">
        <f>IF('2 MEDIA ALTURA'!M29='2 MEDIA ALTURA'!$B$47,IF('2 MEDIA ALTURA'!M$34=112,IF('2 MEDIA ALTURA'!M28=20,1,0)))*'2 MEDIA ALTURA'!M$35</f>
        <v>0</v>
      </c>
      <c r="DM116" s="701">
        <f>IF('2 MEDIA ALTURA'!N29='2 MEDIA ALTURA'!$B$47,IF('2 MEDIA ALTURA'!N$34=112,IF('2 MEDIA ALTURA'!N28=20,1,0)))*'2 MEDIA ALTURA'!N$35</f>
        <v>0</v>
      </c>
      <c r="DN116" s="706"/>
      <c r="DO116" s="701">
        <f>IF('2 MEDIA ALTURA'!C29='2 MEDIA ALTURA'!$B$47,IF('2 MEDIA ALTURA'!C$34=120,IF('2 MEDIA ALTURA'!C28=20,1,0)))*'2 MEDIA ALTURA'!C$35</f>
        <v>0</v>
      </c>
      <c r="DP116" s="701">
        <f>IF('2 MEDIA ALTURA'!D29='2 MEDIA ALTURA'!$B$47,IF('2 MEDIA ALTURA'!D$34=120,IF('2 MEDIA ALTURA'!D28=20,1,0)))*'2 MEDIA ALTURA'!D$35</f>
        <v>0</v>
      </c>
      <c r="DQ116" s="701">
        <f>IF('2 MEDIA ALTURA'!E29='2 MEDIA ALTURA'!$B$47,IF('2 MEDIA ALTURA'!E$34=120,IF('2 MEDIA ALTURA'!E28=20,1,0)))*'2 MEDIA ALTURA'!E$35</f>
        <v>0</v>
      </c>
      <c r="DR116" s="701">
        <f>IF('2 MEDIA ALTURA'!F29='2 MEDIA ALTURA'!$B$47,IF('2 MEDIA ALTURA'!F$34=120,IF('2 MEDIA ALTURA'!F28=20,1,0)))*'2 MEDIA ALTURA'!F$35</f>
        <v>0</v>
      </c>
      <c r="DS116" s="701">
        <f>IF('2 MEDIA ALTURA'!G29='2 MEDIA ALTURA'!$B$47,IF('2 MEDIA ALTURA'!G$34=120,IF('2 MEDIA ALTURA'!G28=20,1,0)))*'2 MEDIA ALTURA'!G$35</f>
        <v>0</v>
      </c>
      <c r="DT116" s="701">
        <f>IF('2 MEDIA ALTURA'!H29='2 MEDIA ALTURA'!$B$47,IF('2 MEDIA ALTURA'!H$34=120,IF('2 MEDIA ALTURA'!H28=20,1,0)))*'2 MEDIA ALTURA'!H$35</f>
        <v>0</v>
      </c>
      <c r="DU116" s="701">
        <f>IF('2 MEDIA ALTURA'!I29='2 MEDIA ALTURA'!$B$47,IF('2 MEDIA ALTURA'!I$34=120,IF('2 MEDIA ALTURA'!I28=20,1,0)))*'2 MEDIA ALTURA'!I$35</f>
        <v>0</v>
      </c>
      <c r="DV116" s="701">
        <f>IF('2 MEDIA ALTURA'!J29='2 MEDIA ALTURA'!$B$47,IF('2 MEDIA ALTURA'!J$34=120,IF('2 MEDIA ALTURA'!J28=20,1,0)))*'2 MEDIA ALTURA'!J$35</f>
        <v>0</v>
      </c>
      <c r="DW116" s="701">
        <f>IF('2 MEDIA ALTURA'!K29='2 MEDIA ALTURA'!$B$47,IF('2 MEDIA ALTURA'!K$34=120,IF('2 MEDIA ALTURA'!K28=20,1,0)))*'2 MEDIA ALTURA'!K$35</f>
        <v>0</v>
      </c>
      <c r="DX116" s="701">
        <f>IF('2 MEDIA ALTURA'!L29='2 MEDIA ALTURA'!$B$47,IF('2 MEDIA ALTURA'!L$34=120,IF('2 MEDIA ALTURA'!L28=20,1,0)))*'2 MEDIA ALTURA'!L$35</f>
        <v>0</v>
      </c>
      <c r="DY116" s="701">
        <f>IF('2 MEDIA ALTURA'!M29='2 MEDIA ALTURA'!$B$47,IF('2 MEDIA ALTURA'!M$34=120,IF('2 MEDIA ALTURA'!M28=20,1,0)))*'2 MEDIA ALTURA'!M$35</f>
        <v>0</v>
      </c>
      <c r="DZ116" s="701">
        <f>IF('2 MEDIA ALTURA'!N29='2 MEDIA ALTURA'!$B$47,IF('2 MEDIA ALTURA'!N$34=120,IF('2 MEDIA ALTURA'!N28=20,1,0)))*'2 MEDIA ALTURA'!N$35</f>
        <v>0</v>
      </c>
      <c r="EA116" s="706"/>
      <c r="EB116" s="701">
        <f>IF('2 MEDIA ALTURA'!C29='2 MEDIA ALTURA'!$B$47,IF('2 MEDIA ALTURA'!C$34=140,IF('2 MEDIA ALTURA'!C28=20,1,0)))*'2 MEDIA ALTURA'!C$35</f>
        <v>0</v>
      </c>
      <c r="EC116" s="701">
        <f>IF('2 MEDIA ALTURA'!D29='2 MEDIA ALTURA'!$B$47,IF('2 MEDIA ALTURA'!D$34=140,IF('2 MEDIA ALTURA'!D28=20,1,0)))*'2 MEDIA ALTURA'!D$35</f>
        <v>0</v>
      </c>
      <c r="ED116" s="701">
        <f>IF('2 MEDIA ALTURA'!E29='2 MEDIA ALTURA'!$B$47,IF('2 MEDIA ALTURA'!E$34=140,IF('2 MEDIA ALTURA'!E28=20,1,0)))*'2 MEDIA ALTURA'!E$35</f>
        <v>0</v>
      </c>
      <c r="EE116" s="701">
        <f>IF('2 MEDIA ALTURA'!F29='2 MEDIA ALTURA'!$B$47,IF('2 MEDIA ALTURA'!F$34=140,IF('2 MEDIA ALTURA'!F28=20,1,0)))*'2 MEDIA ALTURA'!F$35</f>
        <v>0</v>
      </c>
      <c r="EF116" s="701">
        <f>IF('2 MEDIA ALTURA'!G29='2 MEDIA ALTURA'!$B$47,IF('2 MEDIA ALTURA'!G$34=140,IF('2 MEDIA ALTURA'!G28=20,1,0)))*'2 MEDIA ALTURA'!G$35</f>
        <v>0</v>
      </c>
      <c r="EG116" s="701">
        <f>IF('2 MEDIA ALTURA'!H29='2 MEDIA ALTURA'!$B$47,IF('2 MEDIA ALTURA'!H$34=140,IF('2 MEDIA ALTURA'!H28=20,1,0)))*'2 MEDIA ALTURA'!H$35</f>
        <v>0</v>
      </c>
      <c r="EH116" s="701">
        <f>IF('2 MEDIA ALTURA'!I29='2 MEDIA ALTURA'!$B$47,IF('2 MEDIA ALTURA'!I$34=140,IF('2 MEDIA ALTURA'!I28=20,1,0)))*'2 MEDIA ALTURA'!I$35</f>
        <v>0</v>
      </c>
      <c r="EI116" s="701">
        <f>IF('2 MEDIA ALTURA'!J29='2 MEDIA ALTURA'!$B$47,IF('2 MEDIA ALTURA'!J$34=140,IF('2 MEDIA ALTURA'!J28=20,1,0)))*'2 MEDIA ALTURA'!J$35</f>
        <v>0</v>
      </c>
      <c r="EJ116" s="701">
        <f>IF('2 MEDIA ALTURA'!K29='2 MEDIA ALTURA'!$B$47,IF('2 MEDIA ALTURA'!K$34=140,IF('2 MEDIA ALTURA'!K28=20,1,0)))*'2 MEDIA ALTURA'!K$35</f>
        <v>0</v>
      </c>
      <c r="EK116" s="701">
        <f>IF('2 MEDIA ALTURA'!L29='2 MEDIA ALTURA'!$B$47,IF('2 MEDIA ALTURA'!L$34=140,IF('2 MEDIA ALTURA'!L28=20,1,0)))*'2 MEDIA ALTURA'!L$35</f>
        <v>0</v>
      </c>
      <c r="EL116" s="701">
        <f>IF('2 MEDIA ALTURA'!M29='2 MEDIA ALTURA'!$B$47,IF('2 MEDIA ALTURA'!M$34=140,IF('2 MEDIA ALTURA'!M28=20,1,0)))*'2 MEDIA ALTURA'!M$35</f>
        <v>0</v>
      </c>
      <c r="EM116" s="701">
        <f>IF('2 MEDIA ALTURA'!N29='2 MEDIA ALTURA'!$B$47,IF('2 MEDIA ALTURA'!N$34=140,IF('2 MEDIA ALTURA'!N28=20,1,0)))*'2 MEDIA ALTURA'!N$35</f>
        <v>0</v>
      </c>
      <c r="EN116" s="706"/>
      <c r="EO116" s="701">
        <f>IF('2 MEDIA ALTURA'!C29='2 MEDIA ALTURA'!$B$47,IF('2 MEDIA ALTURA'!C$34=150,IF('2 MEDIA ALTURA'!C28=40,1,0)))*'2 MEDIA ALTURA'!C$35</f>
        <v>0</v>
      </c>
      <c r="EP116" s="701">
        <f>IF('2 MEDIA ALTURA'!D29='2 MEDIA ALTURA'!$B$47,IF('2 MEDIA ALTURA'!D$34=150,IF('2 MEDIA ALTURA'!D28=40,1,0)))*'2 MEDIA ALTURA'!D$35</f>
        <v>0</v>
      </c>
      <c r="EQ116" s="701">
        <f>IF('2 MEDIA ALTURA'!E29='2 MEDIA ALTURA'!$B$47,IF('2 MEDIA ALTURA'!E$34=150,IF('2 MEDIA ALTURA'!E28=40,1,0)))*'2 MEDIA ALTURA'!E$35</f>
        <v>0</v>
      </c>
      <c r="ER116" s="701">
        <f>IF('2 MEDIA ALTURA'!F29='2 MEDIA ALTURA'!$B$47,IF('2 MEDIA ALTURA'!F$34=150,IF('2 MEDIA ALTURA'!F28=40,1,0)))*'2 MEDIA ALTURA'!F$35</f>
        <v>0</v>
      </c>
      <c r="ES116" s="701">
        <f>IF('2 MEDIA ALTURA'!G29='2 MEDIA ALTURA'!$B$47,IF('2 MEDIA ALTURA'!G$34=150,IF('2 MEDIA ALTURA'!G28=40,1,0)))*'2 MEDIA ALTURA'!G$35</f>
        <v>0</v>
      </c>
      <c r="ET116" s="701">
        <f>IF('2 MEDIA ALTURA'!H29='2 MEDIA ALTURA'!$B$47,IF('2 MEDIA ALTURA'!H$34=150,IF('2 MEDIA ALTURA'!H28=40,1,0)))*'2 MEDIA ALTURA'!H$35</f>
        <v>0</v>
      </c>
      <c r="EU116" s="701">
        <f>IF('2 MEDIA ALTURA'!I29='2 MEDIA ALTURA'!$B$47,IF('2 MEDIA ALTURA'!I$34=150,IF('2 MEDIA ALTURA'!I28=40,1,0)))*'2 MEDIA ALTURA'!I$35</f>
        <v>0</v>
      </c>
      <c r="EV116" s="701">
        <f>IF('2 MEDIA ALTURA'!J29='2 MEDIA ALTURA'!$B$47,IF('2 MEDIA ALTURA'!J$34=150,IF('2 MEDIA ALTURA'!J28=40,1,0)))*'2 MEDIA ALTURA'!J$35</f>
        <v>0</v>
      </c>
      <c r="EW116" s="701">
        <f>IF('2 MEDIA ALTURA'!K29='2 MEDIA ALTURA'!$B$47,IF('2 MEDIA ALTURA'!K$34=150,IF('2 MEDIA ALTURA'!K28=40,1,0)))*'2 MEDIA ALTURA'!K$35</f>
        <v>0</v>
      </c>
      <c r="EX116" s="701">
        <f>IF('2 MEDIA ALTURA'!L29='2 MEDIA ALTURA'!$B$47,IF('2 MEDIA ALTURA'!L$34=150,IF('2 MEDIA ALTURA'!L28=40,1,0)))*'2 MEDIA ALTURA'!L$35</f>
        <v>0</v>
      </c>
      <c r="EY116" s="701">
        <f>IF('2 MEDIA ALTURA'!M29='2 MEDIA ALTURA'!$B$47,IF('2 MEDIA ALTURA'!M$34=150,IF('2 MEDIA ALTURA'!M28=40,1,0)))*'2 MEDIA ALTURA'!M$35</f>
        <v>0</v>
      </c>
      <c r="EZ116" s="701">
        <f>IF('2 MEDIA ALTURA'!N29='2 MEDIA ALTURA'!$B$47,IF('2 MEDIA ALTURA'!N$34=150,IF('2 MEDIA ALTURA'!N28=40,1,0)))*'2 MEDIA ALTURA'!N$35</f>
        <v>0</v>
      </c>
      <c r="FA116" s="706"/>
    </row>
    <row r="117" spans="1:194" x14ac:dyDescent="0.35">
      <c r="FN117" s="838"/>
      <c r="FO117" s="855"/>
      <c r="FP117" s="838"/>
      <c r="FQ117" s="855"/>
      <c r="FR117" s="838"/>
      <c r="FS117" s="855"/>
      <c r="FT117" s="838"/>
      <c r="FU117" s="855"/>
      <c r="FV117" s="838"/>
      <c r="FW117" s="855"/>
      <c r="FX117" s="838"/>
      <c r="FY117" s="855"/>
      <c r="FZ117" s="855"/>
      <c r="GA117" s="855"/>
    </row>
    <row r="118" spans="1:194" x14ac:dyDescent="0.35">
      <c r="FN118" s="838"/>
      <c r="FO118" s="855"/>
      <c r="FP118" s="838"/>
      <c r="FQ118" s="855"/>
      <c r="FR118" s="838"/>
      <c r="FS118" s="855"/>
      <c r="FT118" s="838"/>
      <c r="FU118" s="855"/>
      <c r="FV118" s="838"/>
      <c r="FW118" s="855"/>
      <c r="FX118" s="838"/>
      <c r="FY118" s="855"/>
      <c r="FZ118" s="855"/>
      <c r="GA118" s="855"/>
    </row>
    <row r="119" spans="1:194" x14ac:dyDescent="0.35">
      <c r="FN119" s="855"/>
      <c r="FO119" s="838"/>
      <c r="FP119" s="855"/>
      <c r="FQ119" s="838"/>
      <c r="FR119" s="855"/>
      <c r="FS119" s="838"/>
      <c r="FT119" s="855"/>
      <c r="FU119" s="838"/>
      <c r="FV119" s="855"/>
      <c r="FW119" s="838"/>
      <c r="FX119" s="855"/>
      <c r="FY119" s="838"/>
      <c r="FZ119" s="855"/>
      <c r="GA119" s="838"/>
      <c r="GB119" s="855"/>
      <c r="GC119" s="838"/>
      <c r="GD119" s="855"/>
      <c r="GE119" s="838"/>
      <c r="GF119" s="855"/>
      <c r="GG119" s="838"/>
      <c r="GH119" s="855"/>
      <c r="GI119" s="838"/>
      <c r="GJ119" s="855"/>
      <c r="GK119" s="855"/>
      <c r="GL119" s="838"/>
    </row>
    <row r="120" spans="1:194" x14ac:dyDescent="0.35">
      <c r="FN120" s="855"/>
      <c r="FO120" s="838"/>
      <c r="FP120" s="855"/>
      <c r="FQ120" s="838"/>
      <c r="FR120" s="855"/>
      <c r="FS120" s="838"/>
      <c r="FT120" s="855"/>
      <c r="FU120" s="838"/>
      <c r="FV120" s="855"/>
      <c r="FW120" s="838"/>
      <c r="FX120" s="855"/>
      <c r="FY120" s="838"/>
      <c r="FZ120" s="855"/>
      <c r="GA120" s="838"/>
      <c r="GB120" s="855"/>
      <c r="GC120" s="838"/>
      <c r="GD120" s="855"/>
      <c r="GE120" s="838"/>
      <c r="GF120" s="855"/>
      <c r="GG120" s="838"/>
      <c r="GH120" s="855"/>
      <c r="GI120" s="838"/>
      <c r="GJ120" s="855"/>
      <c r="GK120" s="855"/>
      <c r="GL120" s="838"/>
    </row>
    <row r="121" spans="1:194" x14ac:dyDescent="0.35">
      <c r="FN121" s="855"/>
      <c r="FO121" s="855"/>
      <c r="FP121" s="855"/>
      <c r="FQ121" s="838"/>
      <c r="FR121" s="855"/>
      <c r="FS121" s="838"/>
      <c r="FT121" s="855"/>
      <c r="FU121" s="838"/>
      <c r="FV121" s="855"/>
      <c r="FW121" s="838"/>
      <c r="FX121" s="855"/>
      <c r="FY121" s="838"/>
      <c r="FZ121" s="855"/>
      <c r="GA121" s="838"/>
      <c r="GB121" s="855"/>
      <c r="GC121" s="838"/>
      <c r="GD121" s="855"/>
      <c r="GE121" s="838"/>
      <c r="GF121" s="855"/>
      <c r="GG121" s="838"/>
      <c r="GH121" s="855"/>
      <c r="GI121" s="838"/>
      <c r="GJ121" s="855"/>
      <c r="GK121" s="855"/>
      <c r="GL121" s="855"/>
    </row>
    <row r="122" spans="1:194" x14ac:dyDescent="0.35">
      <c r="FN122" s="838"/>
      <c r="FO122" s="838"/>
      <c r="FP122" s="838"/>
      <c r="FQ122" s="838"/>
      <c r="FR122" s="838"/>
      <c r="FS122" s="838"/>
      <c r="FT122" s="838"/>
      <c r="FU122" s="838"/>
      <c r="FV122" s="838"/>
      <c r="FW122" s="838"/>
      <c r="FX122" s="838"/>
      <c r="FY122" s="838"/>
      <c r="FZ122" s="838"/>
      <c r="GA122" s="838"/>
      <c r="GB122" s="838"/>
      <c r="GC122" s="838"/>
      <c r="GD122" s="838"/>
      <c r="GE122" s="838"/>
      <c r="GF122" s="838"/>
      <c r="GG122" s="838"/>
      <c r="GH122" s="838"/>
      <c r="GI122" s="838"/>
      <c r="GJ122" s="838"/>
      <c r="GK122" s="838"/>
      <c r="GL122" s="838"/>
    </row>
    <row r="123" spans="1:194" x14ac:dyDescent="0.35">
      <c r="A123" s="678"/>
      <c r="Y123" s="838"/>
      <c r="AW123" s="838"/>
      <c r="FN123" s="855"/>
      <c r="FO123" s="838"/>
      <c r="FP123" s="855"/>
      <c r="FQ123" s="838"/>
      <c r="FR123" s="855"/>
      <c r="FS123" s="838"/>
      <c r="FT123" s="855"/>
      <c r="FU123" s="838"/>
      <c r="FV123" s="855"/>
      <c r="FW123" s="838"/>
      <c r="FX123" s="855"/>
      <c r="FY123" s="838"/>
      <c r="FZ123" s="855"/>
      <c r="GA123" s="838"/>
      <c r="GB123" s="855"/>
      <c r="GC123" s="838"/>
      <c r="GD123" s="855"/>
      <c r="GE123" s="838"/>
      <c r="GF123" s="855"/>
      <c r="GG123" s="838"/>
      <c r="GH123" s="855"/>
      <c r="GI123" s="838"/>
      <c r="GJ123" s="855"/>
      <c r="GK123" s="855"/>
      <c r="GL123" s="838"/>
    </row>
    <row r="124" spans="1:194" x14ac:dyDescent="0.35">
      <c r="Y124" s="838"/>
      <c r="AW124" s="838"/>
      <c r="FN124" s="838"/>
      <c r="FO124" s="838"/>
      <c r="FP124" s="838"/>
      <c r="FQ124" s="838"/>
      <c r="FR124" s="838"/>
      <c r="FS124" s="838"/>
      <c r="FT124" s="838"/>
      <c r="FU124" s="838"/>
      <c r="FV124" s="838"/>
      <c r="FW124" s="838"/>
      <c r="FX124" s="838"/>
      <c r="FY124" s="838"/>
      <c r="FZ124" s="838"/>
      <c r="GA124" s="838"/>
      <c r="GB124" s="838"/>
      <c r="GC124" s="838"/>
      <c r="GD124" s="838"/>
      <c r="GE124" s="838"/>
      <c r="GF124" s="838"/>
      <c r="GG124" s="838"/>
      <c r="GH124" s="838"/>
      <c r="GI124" s="838"/>
      <c r="GJ124" s="838"/>
      <c r="GK124" s="838"/>
      <c r="GL124" s="838"/>
    </row>
    <row r="125" spans="1:194" x14ac:dyDescent="0.35">
      <c r="C125" s="838"/>
      <c r="D125" s="838"/>
      <c r="E125" s="838"/>
      <c r="F125" s="838"/>
      <c r="G125" s="838"/>
      <c r="H125" s="838"/>
      <c r="I125" s="838"/>
      <c r="J125" s="838"/>
      <c r="K125" s="838"/>
      <c r="L125" s="838"/>
      <c r="M125" s="838"/>
      <c r="N125" s="838"/>
      <c r="O125" s="838"/>
      <c r="P125" s="838"/>
      <c r="Q125" s="838"/>
      <c r="R125" s="838"/>
      <c r="S125" s="838"/>
      <c r="T125" s="838"/>
      <c r="U125" s="838"/>
      <c r="V125" s="838"/>
      <c r="W125" s="838"/>
      <c r="X125" s="838"/>
      <c r="Y125" s="838"/>
      <c r="Z125" s="838"/>
      <c r="AA125" s="838"/>
      <c r="AB125" s="838"/>
      <c r="AC125" s="838"/>
      <c r="AD125" s="838"/>
      <c r="AE125" s="838"/>
      <c r="AF125" s="838"/>
      <c r="AG125" s="838"/>
      <c r="AH125" s="838"/>
      <c r="AI125" s="838"/>
      <c r="AJ125" s="838"/>
      <c r="AK125" s="838"/>
      <c r="AL125" s="838"/>
      <c r="AM125" s="838"/>
      <c r="AN125" s="838"/>
      <c r="AO125" s="838"/>
      <c r="AP125" s="838"/>
      <c r="AQ125" s="838"/>
      <c r="AR125" s="838"/>
      <c r="AS125" s="838"/>
      <c r="AT125" s="838"/>
      <c r="AU125" s="838"/>
      <c r="AV125" s="838"/>
      <c r="AW125" s="838"/>
      <c r="AX125" s="838"/>
      <c r="AY125" s="838"/>
      <c r="AZ125" s="838"/>
      <c r="BA125" s="838"/>
      <c r="BB125" s="838"/>
      <c r="BC125" s="838"/>
      <c r="BD125" s="838"/>
      <c r="BE125" s="838"/>
      <c r="BF125" s="838"/>
      <c r="BG125" s="838"/>
      <c r="BH125" s="838"/>
      <c r="BI125" s="838"/>
      <c r="BJ125" s="838"/>
      <c r="BK125" s="838"/>
      <c r="BL125" s="838"/>
      <c r="BM125" s="838"/>
      <c r="BN125" s="838"/>
      <c r="BO125" s="838"/>
      <c r="BP125" s="838"/>
      <c r="BQ125" s="838"/>
      <c r="BR125" s="838"/>
      <c r="BS125" s="838"/>
      <c r="BT125" s="838"/>
      <c r="BU125" s="838"/>
      <c r="BV125" s="838"/>
      <c r="CU125" s="838"/>
      <c r="FN125" s="855"/>
      <c r="FO125" s="838"/>
      <c r="FP125" s="855"/>
      <c r="FQ125" s="838"/>
      <c r="FR125" s="855"/>
      <c r="FS125" s="838"/>
      <c r="FT125" s="855"/>
      <c r="FU125" s="838"/>
      <c r="FV125" s="855"/>
      <c r="FW125" s="838"/>
      <c r="FX125" s="855"/>
      <c r="FY125" s="838"/>
      <c r="FZ125" s="855"/>
      <c r="GA125" s="838"/>
      <c r="GB125" s="855"/>
      <c r="GC125" s="838"/>
      <c r="GD125" s="855"/>
      <c r="GE125" s="838"/>
      <c r="GF125" s="855"/>
      <c r="GG125" s="838"/>
      <c r="GH125" s="855"/>
      <c r="GI125" s="838"/>
      <c r="GJ125" s="855"/>
      <c r="GK125" s="855"/>
      <c r="GL125" s="838"/>
    </row>
    <row r="126" spans="1:194" x14ac:dyDescent="0.35">
      <c r="B126" s="678"/>
      <c r="C126" s="838"/>
      <c r="D126" s="838"/>
      <c r="E126" s="838"/>
      <c r="F126" s="838"/>
      <c r="G126" s="838"/>
      <c r="H126" s="838"/>
      <c r="I126" s="838"/>
      <c r="J126" s="838"/>
      <c r="K126" s="838"/>
      <c r="L126" s="838"/>
      <c r="M126" s="838"/>
      <c r="N126" s="838"/>
      <c r="O126" s="838"/>
      <c r="P126" s="838"/>
      <c r="Q126" s="838"/>
      <c r="R126" s="838"/>
      <c r="S126" s="838"/>
      <c r="T126" s="838"/>
      <c r="U126" s="838"/>
      <c r="V126" s="838"/>
      <c r="W126" s="838"/>
      <c r="X126" s="838"/>
      <c r="Y126" s="838"/>
      <c r="Z126" s="838"/>
      <c r="AA126" s="838"/>
      <c r="AB126" s="838"/>
      <c r="AC126" s="838"/>
      <c r="AD126" s="838"/>
      <c r="AE126" s="838"/>
      <c r="AF126" s="838"/>
      <c r="AG126" s="838"/>
      <c r="AH126" s="838"/>
      <c r="AI126" s="838"/>
      <c r="AJ126" s="838"/>
      <c r="AK126" s="859"/>
      <c r="AL126" s="838"/>
      <c r="AM126" s="859"/>
      <c r="AN126" s="838"/>
      <c r="AO126" s="838"/>
      <c r="AP126" s="838"/>
      <c r="AQ126" s="838"/>
      <c r="AR126" s="838"/>
      <c r="AS126" s="838"/>
      <c r="AT126" s="838"/>
      <c r="AU126" s="838"/>
      <c r="AV126" s="838"/>
      <c r="AW126" s="838"/>
      <c r="AX126" s="838"/>
      <c r="AY126" s="838"/>
      <c r="AZ126" s="838"/>
      <c r="BA126" s="838"/>
      <c r="BB126" s="838"/>
      <c r="BC126" s="838"/>
      <c r="BD126" s="838"/>
      <c r="BE126" s="838"/>
      <c r="BF126" s="838"/>
      <c r="BG126" s="838"/>
      <c r="BH126" s="859"/>
      <c r="BI126" s="859"/>
      <c r="BJ126" s="859"/>
      <c r="BK126" s="859"/>
      <c r="BL126" s="859"/>
      <c r="BM126" s="859"/>
      <c r="BN126" s="859"/>
      <c r="BO126" s="838"/>
      <c r="BP126" s="838"/>
      <c r="BQ126" s="838"/>
      <c r="BR126" s="838"/>
      <c r="BS126" s="838"/>
      <c r="BT126" s="838"/>
      <c r="BU126" s="838"/>
      <c r="BV126" s="838"/>
      <c r="BW126" s="838"/>
      <c r="CU126" s="838"/>
      <c r="FN126" s="838"/>
      <c r="FO126" s="838"/>
      <c r="FP126" s="838"/>
      <c r="FQ126" s="838"/>
      <c r="FR126" s="838"/>
      <c r="FS126" s="838"/>
      <c r="FT126" s="838"/>
      <c r="FU126" s="838"/>
      <c r="FV126" s="838"/>
      <c r="FW126" s="838"/>
      <c r="FX126" s="838"/>
      <c r="FY126" s="838"/>
      <c r="FZ126" s="838"/>
      <c r="GA126" s="838"/>
      <c r="GB126" s="838"/>
      <c r="GC126" s="838"/>
      <c r="GD126" s="838"/>
      <c r="GE126" s="838"/>
      <c r="GF126" s="838"/>
      <c r="GG126" s="838"/>
      <c r="GH126" s="838"/>
      <c r="GI126" s="838"/>
      <c r="GJ126" s="838"/>
      <c r="GK126" s="838"/>
      <c r="GL126" s="838"/>
    </row>
    <row r="127" spans="1:194" x14ac:dyDescent="0.35">
      <c r="B127" s="678"/>
      <c r="C127" s="838"/>
      <c r="D127" s="838"/>
      <c r="E127" s="838"/>
      <c r="F127" s="838"/>
      <c r="G127" s="838"/>
      <c r="H127" s="838"/>
      <c r="I127" s="838"/>
      <c r="J127" s="838"/>
      <c r="K127" s="838"/>
      <c r="L127" s="838"/>
      <c r="M127" s="838"/>
      <c r="N127" s="838"/>
      <c r="O127" s="838"/>
      <c r="P127" s="838"/>
      <c r="Q127" s="838"/>
      <c r="R127" s="838"/>
      <c r="S127" s="838"/>
      <c r="T127" s="838"/>
      <c r="U127" s="838"/>
      <c r="V127" s="838"/>
      <c r="W127" s="838"/>
      <c r="X127" s="838"/>
      <c r="Y127" s="838"/>
      <c r="Z127" s="838"/>
      <c r="AA127" s="838"/>
      <c r="AB127" s="838"/>
      <c r="AC127" s="855"/>
      <c r="AD127" s="838"/>
      <c r="AE127" s="855"/>
      <c r="AF127" s="838"/>
      <c r="AG127" s="855"/>
      <c r="AH127" s="838"/>
      <c r="AI127" s="855"/>
      <c r="AJ127" s="838"/>
      <c r="AK127" s="855"/>
      <c r="AL127" s="838"/>
      <c r="AM127" s="855"/>
      <c r="AN127" s="838"/>
      <c r="AO127" s="855"/>
      <c r="AP127" s="838"/>
      <c r="AQ127" s="855"/>
      <c r="AR127" s="838"/>
      <c r="AS127" s="855"/>
      <c r="AT127" s="838"/>
      <c r="AU127" s="855"/>
      <c r="AV127" s="838"/>
      <c r="AW127" s="855"/>
      <c r="AX127" s="838"/>
      <c r="AY127" s="838"/>
      <c r="AZ127" s="838"/>
      <c r="BA127" s="838"/>
      <c r="BB127" s="838"/>
      <c r="BC127" s="838"/>
      <c r="BD127" s="838"/>
      <c r="BE127" s="838"/>
      <c r="BF127" s="838"/>
      <c r="BG127" s="838"/>
      <c r="BH127" s="838"/>
      <c r="BI127" s="838"/>
      <c r="BJ127" s="838"/>
      <c r="BK127" s="838"/>
      <c r="BL127" s="838"/>
      <c r="BM127" s="838"/>
      <c r="BN127" s="838"/>
      <c r="BO127" s="838"/>
      <c r="BP127" s="838"/>
      <c r="BQ127" s="838"/>
      <c r="BR127" s="838"/>
      <c r="BS127" s="838"/>
      <c r="BT127" s="838"/>
      <c r="BU127" s="838"/>
      <c r="BV127" s="838"/>
      <c r="BW127" s="838"/>
      <c r="BX127" s="837"/>
      <c r="BY127" s="837"/>
      <c r="BZ127" s="837"/>
      <c r="CA127" s="837"/>
      <c r="CB127" s="837"/>
      <c r="CC127" s="837"/>
      <c r="CD127" s="837"/>
      <c r="CE127" s="837"/>
      <c r="CF127" s="837"/>
      <c r="CG127" s="837"/>
      <c r="CH127" s="837"/>
      <c r="CI127" s="837"/>
      <c r="CJ127" s="837"/>
      <c r="CK127" s="837"/>
      <c r="CL127" s="837"/>
      <c r="CM127" s="837"/>
      <c r="CN127" s="837"/>
      <c r="CO127" s="837"/>
      <c r="CP127" s="837"/>
      <c r="CQ127" s="837"/>
      <c r="CR127" s="837"/>
      <c r="CS127" s="837"/>
      <c r="CT127" s="837"/>
      <c r="CU127" s="858"/>
      <c r="CV127" s="837"/>
      <c r="CW127" s="837"/>
      <c r="CX127" s="837"/>
      <c r="CY127" s="837"/>
      <c r="CZ127" s="837"/>
      <c r="DA127" s="837"/>
      <c r="DB127" s="837"/>
      <c r="DC127" s="837"/>
      <c r="DD127" s="837"/>
      <c r="DE127" s="837"/>
      <c r="DF127" s="837"/>
      <c r="DG127" s="837"/>
      <c r="DH127" s="837"/>
      <c r="DI127" s="837"/>
      <c r="DJ127" s="837"/>
      <c r="DK127" s="837"/>
      <c r="DL127" s="837"/>
      <c r="DM127" s="837"/>
      <c r="DN127" s="837"/>
      <c r="DO127" s="837"/>
      <c r="DP127" s="837"/>
      <c r="DQ127" s="837"/>
      <c r="DR127" s="837"/>
      <c r="FN127" s="855"/>
      <c r="FO127" s="838"/>
      <c r="FP127" s="855"/>
      <c r="FQ127" s="838"/>
      <c r="FR127" s="855"/>
      <c r="FS127" s="838"/>
      <c r="FT127" s="855"/>
      <c r="FU127" s="838"/>
      <c r="FV127" s="855"/>
      <c r="FW127" s="838"/>
      <c r="FX127" s="855"/>
      <c r="FY127" s="838"/>
      <c r="FZ127" s="855"/>
      <c r="GA127" s="838"/>
      <c r="GB127" s="855"/>
      <c r="GC127" s="838"/>
      <c r="GD127" s="855"/>
      <c r="GE127" s="838"/>
      <c r="GF127" s="855"/>
      <c r="GG127" s="838"/>
      <c r="GH127" s="855"/>
      <c r="GI127" s="838"/>
      <c r="GJ127" s="855"/>
      <c r="GK127" s="855"/>
      <c r="GL127" s="838"/>
    </row>
    <row r="128" spans="1:194" x14ac:dyDescent="0.35">
      <c r="B128" s="678"/>
      <c r="C128" s="838"/>
      <c r="D128" s="838"/>
      <c r="E128" s="838"/>
      <c r="F128" s="838"/>
      <c r="G128" s="838"/>
      <c r="H128" s="838"/>
      <c r="I128" s="838"/>
      <c r="J128" s="838"/>
      <c r="K128" s="838"/>
      <c r="L128" s="838"/>
      <c r="M128" s="838"/>
      <c r="N128" s="838"/>
      <c r="O128" s="838"/>
      <c r="P128" s="838"/>
      <c r="Q128" s="838"/>
      <c r="R128" s="838"/>
      <c r="S128" s="838"/>
      <c r="T128" s="838"/>
      <c r="U128" s="838"/>
      <c r="V128" s="838"/>
      <c r="W128" s="838"/>
      <c r="X128" s="838"/>
      <c r="Y128" s="838"/>
      <c r="Z128" s="838"/>
      <c r="AA128" s="838"/>
      <c r="AB128" s="838"/>
      <c r="AC128" s="838"/>
      <c r="AD128" s="838"/>
      <c r="AE128" s="838"/>
      <c r="AF128" s="838"/>
      <c r="AG128" s="838"/>
      <c r="AH128" s="838"/>
      <c r="AI128" s="838"/>
      <c r="AJ128" s="838"/>
      <c r="AK128" s="838"/>
      <c r="AL128" s="838"/>
      <c r="AM128" s="838"/>
      <c r="AN128" s="838"/>
      <c r="AO128" s="838"/>
      <c r="AP128" s="838"/>
      <c r="AQ128" s="838"/>
      <c r="AR128" s="838"/>
      <c r="AS128" s="838"/>
      <c r="AT128" s="838"/>
      <c r="AU128" s="838"/>
      <c r="AV128" s="838"/>
      <c r="AW128" s="838"/>
      <c r="AX128" s="838"/>
      <c r="AY128" s="838"/>
      <c r="AZ128" s="838"/>
      <c r="BA128" s="838"/>
      <c r="BB128" s="838"/>
      <c r="BC128" s="838"/>
      <c r="BD128" s="838"/>
      <c r="BE128" s="838"/>
      <c r="BF128" s="838"/>
      <c r="BG128" s="838"/>
      <c r="BH128" s="838"/>
      <c r="BI128" s="838"/>
      <c r="BJ128" s="838"/>
      <c r="BK128" s="838"/>
      <c r="BL128" s="838"/>
      <c r="BM128" s="838"/>
      <c r="BN128" s="838"/>
      <c r="BO128" s="838"/>
      <c r="BP128" s="838"/>
      <c r="BQ128" s="838"/>
      <c r="BR128" s="838"/>
      <c r="BS128" s="838"/>
      <c r="BT128" s="838"/>
      <c r="BU128" s="838"/>
      <c r="BV128" s="838"/>
      <c r="BW128" s="838"/>
      <c r="CO128" s="838"/>
      <c r="CU128" s="838"/>
      <c r="DB128" s="838"/>
      <c r="DC128" s="838"/>
      <c r="FN128" s="838"/>
      <c r="FO128" s="838"/>
      <c r="FP128" s="838"/>
      <c r="FQ128" s="838"/>
      <c r="FR128" s="838"/>
      <c r="FS128" s="838"/>
      <c r="FT128" s="838"/>
      <c r="FU128" s="838"/>
      <c r="FV128" s="838"/>
      <c r="FW128" s="838"/>
      <c r="FX128" s="838"/>
      <c r="FY128" s="838"/>
      <c r="FZ128" s="838"/>
      <c r="GA128" s="838"/>
      <c r="GB128" s="838"/>
      <c r="GC128" s="838"/>
      <c r="GD128" s="838"/>
      <c r="GE128" s="838"/>
      <c r="GF128" s="838"/>
      <c r="GG128" s="838"/>
      <c r="GH128" s="838"/>
      <c r="GI128" s="838"/>
      <c r="GJ128" s="838"/>
      <c r="GK128" s="838"/>
      <c r="GL128" s="838"/>
    </row>
    <row r="129" spans="2:194" x14ac:dyDescent="0.35">
      <c r="B129" s="845"/>
      <c r="C129" s="855"/>
      <c r="D129" s="855"/>
      <c r="E129" s="855"/>
      <c r="F129" s="855"/>
      <c r="G129" s="855"/>
      <c r="H129" s="855"/>
      <c r="I129" s="855"/>
      <c r="J129" s="855"/>
      <c r="K129" s="855"/>
      <c r="L129" s="855"/>
      <c r="M129" s="855"/>
      <c r="N129" s="855"/>
      <c r="O129" s="855"/>
      <c r="P129" s="855"/>
      <c r="Q129" s="855"/>
      <c r="R129" s="855"/>
      <c r="S129" s="855"/>
      <c r="T129" s="855"/>
      <c r="U129" s="855"/>
      <c r="V129" s="855"/>
      <c r="W129" s="855"/>
      <c r="X129" s="855"/>
      <c r="Y129" s="855"/>
      <c r="Z129" s="855"/>
      <c r="AA129" s="855"/>
      <c r="AB129" s="838"/>
      <c r="AC129" s="838"/>
      <c r="AD129" s="838"/>
      <c r="AE129" s="838"/>
      <c r="AF129" s="838"/>
      <c r="AG129" s="838"/>
      <c r="AH129" s="838"/>
      <c r="AI129" s="838"/>
      <c r="AJ129" s="838"/>
      <c r="AK129" s="838"/>
      <c r="AL129" s="838"/>
      <c r="AM129" s="838"/>
      <c r="AN129" s="1084"/>
      <c r="AO129" s="838"/>
      <c r="AP129" s="855"/>
      <c r="AQ129" s="838"/>
      <c r="AR129" s="855"/>
      <c r="AS129" s="838"/>
      <c r="AT129" s="855"/>
      <c r="AU129" s="838"/>
      <c r="AV129" s="855"/>
      <c r="AW129" s="838"/>
      <c r="AX129" s="838"/>
      <c r="AY129" s="838"/>
      <c r="AZ129" s="838"/>
      <c r="BA129" s="855"/>
      <c r="BB129" s="855"/>
      <c r="BC129" s="855"/>
      <c r="BD129" s="855"/>
      <c r="BE129" s="855"/>
      <c r="BF129" s="855"/>
      <c r="BG129" s="855"/>
      <c r="BH129" s="855"/>
      <c r="BI129" s="855"/>
      <c r="BJ129" s="855"/>
      <c r="BK129" s="855"/>
      <c r="BL129" s="855"/>
      <c r="BM129" s="855"/>
      <c r="BN129" s="855"/>
      <c r="BO129" s="855"/>
      <c r="BP129" s="855"/>
      <c r="BQ129" s="855"/>
      <c r="BR129" s="855"/>
      <c r="BS129" s="855"/>
      <c r="BT129" s="855"/>
      <c r="BU129" s="855"/>
      <c r="BV129" s="855"/>
      <c r="BW129" s="855"/>
      <c r="BX129" s="855"/>
      <c r="BY129" s="855"/>
      <c r="BZ129" s="855"/>
      <c r="CA129" s="855"/>
      <c r="CB129" s="855"/>
      <c r="CC129" s="855"/>
      <c r="CD129" s="855"/>
      <c r="CE129" s="855"/>
      <c r="CF129" s="855"/>
      <c r="CG129" s="855"/>
      <c r="CH129" s="855"/>
      <c r="CI129" s="855"/>
      <c r="CJ129" s="855"/>
      <c r="CK129" s="855"/>
      <c r="CM129" s="855"/>
      <c r="CN129" s="855"/>
      <c r="CO129" s="855"/>
      <c r="CP129" s="855"/>
      <c r="CQ129" s="855"/>
      <c r="CR129" s="855"/>
      <c r="CS129" s="855"/>
      <c r="CT129" s="855"/>
      <c r="CU129" s="855"/>
      <c r="CV129" s="855"/>
      <c r="CW129" s="855"/>
      <c r="CX129" s="855"/>
      <c r="CY129" s="838"/>
      <c r="CZ129" s="855"/>
      <c r="DA129" s="855"/>
      <c r="DB129" s="855"/>
      <c r="DC129" s="855"/>
      <c r="DD129" s="855"/>
      <c r="DE129" s="855"/>
      <c r="DF129" s="855"/>
      <c r="DG129" s="855"/>
      <c r="DH129" s="855"/>
      <c r="DI129" s="855"/>
      <c r="DJ129" s="855"/>
      <c r="DK129" s="855"/>
      <c r="DL129" s="855"/>
      <c r="FN129" s="855"/>
      <c r="FO129" s="838"/>
      <c r="FP129" s="855"/>
      <c r="FQ129" s="838"/>
      <c r="FR129" s="855"/>
      <c r="FS129" s="838"/>
      <c r="FT129" s="855"/>
      <c r="FU129" s="838"/>
      <c r="FV129" s="855"/>
      <c r="FW129" s="838"/>
      <c r="FX129" s="855"/>
      <c r="FY129" s="838"/>
      <c r="FZ129" s="855"/>
      <c r="GA129" s="838"/>
      <c r="GB129" s="855"/>
      <c r="GC129" s="838"/>
      <c r="GD129" s="855"/>
      <c r="GE129" s="838"/>
      <c r="GF129" s="855"/>
      <c r="GG129" s="838"/>
      <c r="GH129" s="855"/>
      <c r="GI129" s="838"/>
      <c r="GJ129" s="855"/>
      <c r="GK129" s="855"/>
      <c r="GL129" s="838"/>
    </row>
    <row r="130" spans="2:194" x14ac:dyDescent="0.35">
      <c r="B130" s="845"/>
      <c r="Q130" s="838"/>
      <c r="S130" s="838"/>
      <c r="U130" s="838"/>
      <c r="W130" s="838"/>
      <c r="Y130" s="838"/>
      <c r="AA130" s="838"/>
      <c r="AB130" s="855"/>
      <c r="AC130" s="838">
        <f>IF(OR('2 M-A +'!C15="V",'2 M-A +'!C15="VT",'2 M-A +'!C15="VSB",'2 M-A +'!C15="VTT",),1,0)*'2 M-A +'!C$33</f>
        <v>0</v>
      </c>
      <c r="AD130" s="838">
        <f>IF(OR('2 M-A +'!D15="V",'2 M-A +'!D15="VT",'2 M-A +'!D15="VSB",'2 M-A +'!D15="VTT",),1,0)*'2 M-A +'!D$33</f>
        <v>0</v>
      </c>
      <c r="AE130" s="838">
        <f>IF(OR('2 M-A +'!E15="V",'2 M-A +'!E15="VT",'2 M-A +'!E15="VSB",'2 M-A +'!E15="VTT",),1,0)*'2 M-A +'!E$33</f>
        <v>0</v>
      </c>
      <c r="AF130" s="838">
        <f>IF(OR('2 M-A +'!F15="V",'2 M-A +'!F15="VT",'2 M-A +'!F15="VSB",'2 M-A +'!F15="VTT",),1,0)*'2 M-A +'!F$33</f>
        <v>0</v>
      </c>
      <c r="AG130" s="838">
        <f>IF(OR('2 M-A +'!G15="V",'2 M-A +'!G15="VT",'2 M-A +'!G15="VSB",'2 M-A +'!G15="VTT",),1,0)*'2 M-A +'!G$33</f>
        <v>0</v>
      </c>
      <c r="AH130" s="838">
        <f>IF(OR('2 M-A +'!H15="V",'2 M-A +'!H15="VT",'2 M-A +'!H15="VSB",'2 M-A +'!H15="VTT",),1,0)*'2 M-A +'!H$33</f>
        <v>0</v>
      </c>
      <c r="AI130" s="838">
        <f>IF(OR('2 M-A +'!I15="V",'2 M-A +'!I15="VT",'2 M-A +'!I15="VSB",'2 M-A +'!I15="VTT",),1,0)*'2 M-A +'!I$33</f>
        <v>0</v>
      </c>
      <c r="AJ130" s="838">
        <f>IF(OR('2 M-A +'!J15="V",'2 M-A +'!J15="VT",'2 M-A +'!J15="VSB",'2 M-A +'!J15="VTT",),1,0)*'2 M-A +'!J$33</f>
        <v>0</v>
      </c>
      <c r="AK130" s="838">
        <f>IF(OR('2 M-A +'!K15="V",'2 M-A +'!K15="VT",'2 M-A +'!K15="VSB",'2 M-A +'!K15="VTT",),1,0)*'2 M-A +'!K$33</f>
        <v>0</v>
      </c>
      <c r="AL130" s="838">
        <f>IF(OR('2 M-A +'!L15="V",'2 M-A +'!L15="VT",'2 M-A +'!L15="VSB",'2 M-A +'!L15="VTT",),1,0)*'2 M-A +'!L$33</f>
        <v>0</v>
      </c>
      <c r="AM130" s="838">
        <f>IF(OR('2 M-A +'!M15="V",'2 M-A +'!M15="VT",'2 M-A +'!M15="VSB",'2 M-A +'!M15="VTT",),1,0)*'2 M-A +'!M$33</f>
        <v>0</v>
      </c>
      <c r="AN130" s="838">
        <f>IF(OR('2 M-A +'!N15="V",'2 M-A +'!N15="VT",'2 M-A +'!N15="VSB",'2 M-A +'!N15="VTT",),1,0)*'2 M-A +'!N$33</f>
        <v>0</v>
      </c>
      <c r="AO130" s="839">
        <f>SUM(AC130:AN142)</f>
        <v>0</v>
      </c>
      <c r="AP130" s="845"/>
      <c r="AR130" s="845"/>
      <c r="AT130" s="845"/>
      <c r="AV130" s="845"/>
      <c r="AX130" s="845"/>
      <c r="AZ130" s="845"/>
      <c r="BB130" s="855"/>
      <c r="BC130" s="845">
        <f>IF('2 M-A +'!C15='2 M-A +'!$B$38,('2 M-A +'!C14*4)/160,0)*'2 M-A +'!C$33</f>
        <v>0</v>
      </c>
      <c r="BD130" s="845">
        <f>IF('2 M-A +'!D15='2 M-A +'!$B$38,('2 M-A +'!D14*4)/160,0)*'2 M-A +'!D$33</f>
        <v>0</v>
      </c>
      <c r="BE130" s="845">
        <f>IF('2 M-A +'!E15='2 M-A +'!$B$38,('2 M-A +'!E14*4)/160,0)*'2 M-A +'!E$33</f>
        <v>0</v>
      </c>
      <c r="BF130" s="845">
        <f>IF('2 M-A +'!F15='2 M-A +'!$B$38,('2 M-A +'!F14*4)/160,0)*'2 M-A +'!F$33</f>
        <v>0</v>
      </c>
      <c r="BG130" s="845">
        <f>IF('2 M-A +'!G15='2 M-A +'!$B$38,('2 M-A +'!G14*4)/160,0)*'2 M-A +'!G$33</f>
        <v>0</v>
      </c>
      <c r="BH130" s="845">
        <f>IF('2 M-A +'!H15='2 M-A +'!$B$38,('2 M-A +'!H14*4)/160,0)*'2 M-A +'!H$33</f>
        <v>0</v>
      </c>
      <c r="BI130" s="845">
        <f>IF('2 M-A +'!I15='2 M-A +'!$B$38,('2 M-A +'!I14*4)/160,0)*'2 M-A +'!I$33</f>
        <v>0</v>
      </c>
      <c r="BJ130" s="845">
        <f>IF('2 M-A +'!J15='2 M-A +'!$B$38,('2 M-A +'!J14*4)/160,0)*'2 M-A +'!J$33</f>
        <v>0</v>
      </c>
      <c r="BK130" s="845">
        <f>IF('2 M-A +'!K15='2 M-A +'!$B$38,('2 M-A +'!K14*4)/160,0)*'2 M-A +'!K$33</f>
        <v>0</v>
      </c>
      <c r="BL130" s="845">
        <f>IF('2 M-A +'!L15='2 M-A +'!$B$38,('2 M-A +'!L14*4)/160,0)*'2 M-A +'!L$33</f>
        <v>0</v>
      </c>
      <c r="BM130" s="845">
        <f>IF('2 M-A +'!M15='2 M-A +'!$B$38,('2 M-A +'!M14*4)/160,0)*'2 M-A +'!M$33</f>
        <v>0</v>
      </c>
      <c r="BN130" s="845">
        <f>IF('2 M-A +'!N15='2 M-A +'!$B$38,('2 M-A +'!N14*4)/160,0)*'2 M-A +'!N$33</f>
        <v>0</v>
      </c>
      <c r="BO130" s="855"/>
      <c r="BP130" s="845">
        <f>IF('2 M-A +'!C15='2 M-A +'!$B$39,('2 M-A +'!C14*4)/160,0)*'2 M-A +'!C$33</f>
        <v>0</v>
      </c>
      <c r="BQ130" s="845">
        <f>IF('2 M-A +'!D15='2 M-A +'!$B$39,('2 M-A +'!D14*4)/160,0)*'2 M-A +'!D$33</f>
        <v>0</v>
      </c>
      <c r="BR130" s="845">
        <f>IF('2 M-A +'!E15='2 M-A +'!$B$39,('2 M-A +'!E14*4)/160,0)*'2 M-A +'!E$33</f>
        <v>0</v>
      </c>
      <c r="BS130" s="845">
        <f>IF('2 M-A +'!F15='2 M-A +'!$B$39,('2 M-A +'!F14*4)/160,0)*'2 M-A +'!F$33</f>
        <v>0</v>
      </c>
      <c r="BT130" s="845">
        <f>IF('2 M-A +'!G15='2 M-A +'!$B$39,('2 M-A +'!G14*4)/160,0)*'2 M-A +'!G$33</f>
        <v>0</v>
      </c>
      <c r="BU130" s="845">
        <f>IF('2 M-A +'!H15='2 M-A +'!$B$39,('2 M-A +'!H14*4)/160,0)*'2 M-A +'!H$33</f>
        <v>0</v>
      </c>
      <c r="BV130" s="845">
        <f>IF('2 M-A +'!I15='2 M-A +'!$B$39,('2 M-A +'!I14*4)/160,0)*'2 M-A +'!I$33</f>
        <v>0</v>
      </c>
      <c r="BW130" s="845">
        <f>IF('2 M-A +'!J15='2 M-A +'!$B$39,('2 M-A +'!J14*4)/160,0)*'2 M-A +'!J$33</f>
        <v>0</v>
      </c>
      <c r="BX130" s="845">
        <f>IF('2 M-A +'!K15='2 M-A +'!$B$39,('2 M-A +'!K14*4)/160,0)*'2 M-A +'!K$33</f>
        <v>0</v>
      </c>
      <c r="BY130" s="845">
        <f>IF('2 M-A +'!L15='2 M-A +'!$B$39,('2 M-A +'!L14*4)/160,0)*'2 M-A +'!L$33</f>
        <v>0</v>
      </c>
      <c r="BZ130" s="845">
        <f>IF('2 M-A +'!M15='2 M-A +'!$B$39,('2 M-A +'!M14*4)/160,0)*'2 M-A +'!M$33</f>
        <v>0</v>
      </c>
      <c r="CA130" s="845">
        <f>IF('2 M-A +'!N15='2 M-A +'!$B$39,('2 M-A +'!N14*4)/160,0)*'2 M-A +'!N$33</f>
        <v>0</v>
      </c>
      <c r="CB130" s="855"/>
      <c r="CC130" s="845">
        <f>IF('2 M-A +'!C15='2 M-A +'!$B$40,('2 M-A +'!C14*4)/160,0)*'2 M-A +'!C$33</f>
        <v>0</v>
      </c>
      <c r="CD130" s="845">
        <f>IF('2 M-A +'!D15='2 M-A +'!$B$40,('2 M-A +'!D14*4)/160,0)*'2 M-A +'!D$33</f>
        <v>0</v>
      </c>
      <c r="CE130" s="845">
        <f>IF('2 M-A +'!E15='2 M-A +'!$B$40,('2 M-A +'!E14*4)/160,0)*'2 M-A +'!E$33</f>
        <v>0</v>
      </c>
      <c r="CF130" s="845">
        <f>IF('2 M-A +'!F15='2 M-A +'!$B$40,('2 M-A +'!F14*4)/160,0)*'2 M-A +'!F$33</f>
        <v>0</v>
      </c>
      <c r="CG130" s="845">
        <f>IF('2 M-A +'!G15='2 M-A +'!$B$40,('2 M-A +'!G14*4)/160,0)*'2 M-A +'!G$33</f>
        <v>0</v>
      </c>
      <c r="CH130" s="845">
        <f>IF('2 M-A +'!H15='2 M-A +'!$B$40,('2 M-A +'!H14*4)/160,0)*'2 M-A +'!H$33</f>
        <v>0</v>
      </c>
      <c r="CI130" s="845">
        <f>IF('2 M-A +'!I15='2 M-A +'!$B$40,('2 M-A +'!I14*4)/160,0)*'2 M-A +'!I$33</f>
        <v>0</v>
      </c>
      <c r="CJ130" s="845">
        <f>IF('2 M-A +'!J15='2 M-A +'!$B$40,('2 M-A +'!J14*4)/160,0)*'2 M-A +'!J$33</f>
        <v>0</v>
      </c>
      <c r="CK130" s="845">
        <f>IF('2 M-A +'!K15='2 M-A +'!$B$40,('2 M-A +'!K14*4)/160,0)*'2 M-A +'!K$33</f>
        <v>0</v>
      </c>
      <c r="CL130" s="845">
        <f>IF('2 M-A +'!L15='2 M-A +'!$B$40,('2 M-A +'!L14*4)/160,0)*'2 M-A +'!L$33</f>
        <v>0</v>
      </c>
      <c r="CM130" s="845">
        <f>IF('2 M-A +'!M15='2 M-A +'!$B$40,('2 M-A +'!M14*4)/160,0)*'2 M-A +'!M$33</f>
        <v>0</v>
      </c>
      <c r="CN130" s="845">
        <f>IF('2 M-A +'!N15='2 M-A +'!$B$40,('2 M-A +'!N14*4)/160,0)*'2 M-A +'!N$33</f>
        <v>0</v>
      </c>
      <c r="CO130" s="855"/>
      <c r="CP130" s="845">
        <f>IF('2 M-A +'!C15='2 M-A +'!$B$41,('2 M-A +'!C14*4)/160,0)*'2 M-A +'!C$33</f>
        <v>0</v>
      </c>
      <c r="CQ130" s="845">
        <f>IF('2 M-A +'!D15='2 M-A +'!$B$41,('2 M-A +'!D14*4)/160,0)*'2 M-A +'!D$33</f>
        <v>0</v>
      </c>
      <c r="CR130" s="845">
        <f>IF('2 M-A +'!E15='2 M-A +'!$B$41,('2 M-A +'!E14*4)/160,0)*'2 M-A +'!E$33</f>
        <v>0</v>
      </c>
      <c r="CS130" s="845">
        <f>IF('2 M-A +'!F15='2 M-A +'!$B$41,('2 M-A +'!F14*4)/160,0)*'2 M-A +'!F$33</f>
        <v>0</v>
      </c>
      <c r="CT130" s="845">
        <f>IF('2 M-A +'!G15='2 M-A +'!$B$41,('2 M-A +'!G14*4)/160,0)*'2 M-A +'!G$33</f>
        <v>0</v>
      </c>
      <c r="CU130" s="845">
        <f>IF('2 M-A +'!H15='2 M-A +'!$B$41,('2 M-A +'!H14*4)/160,0)*'2 M-A +'!H$33</f>
        <v>0</v>
      </c>
      <c r="CV130" s="845">
        <f>IF('2 M-A +'!I15='2 M-A +'!$B$41,('2 M-A +'!I14*4)/160,0)*'2 M-A +'!I$33</f>
        <v>0</v>
      </c>
      <c r="CW130" s="845">
        <f>IF('2 M-A +'!J15='2 M-A +'!$B$41,('2 M-A +'!J14*4)/160,0)*'2 M-A +'!J$33</f>
        <v>0</v>
      </c>
      <c r="CX130" s="845">
        <f>IF('2 M-A +'!K15='2 M-A +'!$B$41,('2 M-A +'!K14*4)/160,0)*'2 M-A +'!K$33</f>
        <v>0</v>
      </c>
      <c r="CY130" s="845">
        <f>IF('2 M-A +'!L15='2 M-A +'!$B$41,('2 M-A +'!L14*4)/160,0)*'2 M-A +'!L$33</f>
        <v>0</v>
      </c>
      <c r="CZ130" s="845">
        <f>IF('2 M-A +'!M15='2 M-A +'!$B$41,('2 M-A +'!M14*4)/160,0)*'2 M-A +'!M$33</f>
        <v>0</v>
      </c>
      <c r="DA130" s="845">
        <f>IF('2 M-A +'!N15='2 M-A +'!$B$41,('2 M-A +'!N14*4)/160,0)*'2 M-A +'!N$33</f>
        <v>0</v>
      </c>
      <c r="DB130" s="855"/>
      <c r="DC130" s="838"/>
      <c r="FN130" s="855"/>
      <c r="FO130" s="838"/>
      <c r="FP130" s="855"/>
      <c r="FQ130" s="838"/>
      <c r="FR130" s="855"/>
      <c r="FS130" s="838"/>
      <c r="FT130" s="855"/>
      <c r="FU130" s="838"/>
      <c r="FV130" s="855"/>
      <c r="FW130" s="838"/>
      <c r="FX130" s="855"/>
      <c r="FY130" s="838"/>
      <c r="FZ130" s="855"/>
      <c r="GA130" s="838"/>
      <c r="GB130" s="855"/>
      <c r="GC130" s="838"/>
      <c r="GD130" s="855"/>
      <c r="GE130" s="838"/>
      <c r="GF130" s="855"/>
      <c r="GG130" s="838"/>
      <c r="GH130" s="855"/>
      <c r="GI130" s="838"/>
      <c r="GJ130" s="855"/>
      <c r="GK130" s="855"/>
      <c r="GL130" s="838"/>
    </row>
    <row r="131" spans="2:194" x14ac:dyDescent="0.35">
      <c r="B131" s="860"/>
      <c r="C131" s="855" t="s">
        <v>793</v>
      </c>
      <c r="P131" s="777">
        <f>IF(SUM(AC132:AC142)&gt;0,1,0)*'2 M-A +'!C$33*2</f>
        <v>0</v>
      </c>
      <c r="Q131" s="777">
        <f>IF(SUM(AD132:AD142)&gt;0,1,0)*'2 M-A +'!D$33*2</f>
        <v>0</v>
      </c>
      <c r="R131" s="777">
        <f>IF(SUM(AE132:AE142)&gt;0,1,0)*'2 M-A +'!E$33*2</f>
        <v>0</v>
      </c>
      <c r="S131" s="777">
        <f>IF(SUM(AF132:AF142)&gt;0,1,0)*'2 M-A +'!F$33*2</f>
        <v>0</v>
      </c>
      <c r="T131" s="777">
        <f>IF(SUM(AG132:AG142)&gt;0,1,0)*'2 M-A +'!G$33*2</f>
        <v>0</v>
      </c>
      <c r="U131" s="777">
        <f>IF(SUM(AH132:AH142)&gt;0,1,0)*'2 M-A +'!H$33*2</f>
        <v>0</v>
      </c>
      <c r="V131" s="777">
        <f>IF(SUM(AI132:AI142)&gt;0,1,0)*'2 M-A +'!I$33*2</f>
        <v>0</v>
      </c>
      <c r="W131" s="777">
        <f>IF(SUM(AJ132:AJ142)&gt;0,1,0)*'2 M-A +'!J$33*2</f>
        <v>0</v>
      </c>
      <c r="X131" s="777">
        <f>IF(SUM(AK132:AK142)&gt;0,1,0)*'2 M-A +'!K$33*2</f>
        <v>0</v>
      </c>
      <c r="Y131" s="777">
        <f>IF(SUM(AL132:AL142)&gt;0,1,0)*'2 M-A +'!L$33*2</f>
        <v>0</v>
      </c>
      <c r="Z131" s="777">
        <f>IF(SUM(AM132:AM142)&gt;0,1,0)*'2 M-A +'!M$33*2</f>
        <v>0</v>
      </c>
      <c r="AA131" s="777">
        <f>IF(SUM(AN132:AN142)&gt;0,1,0)*'2 M-A +'!N$33*2</f>
        <v>0</v>
      </c>
      <c r="AB131" s="838"/>
      <c r="AC131" s="838"/>
      <c r="AD131" s="838"/>
      <c r="AE131" s="838"/>
      <c r="AF131" s="838"/>
      <c r="AG131" s="838"/>
      <c r="AH131" s="838"/>
      <c r="AI131" s="838"/>
      <c r="AJ131" s="838"/>
      <c r="AK131" s="838"/>
      <c r="AL131" s="838"/>
      <c r="AM131" s="838"/>
      <c r="AN131" s="838"/>
      <c r="AO131" s="838"/>
      <c r="BB131" s="838"/>
      <c r="BO131" s="855"/>
      <c r="CB131" s="855"/>
      <c r="CO131" s="855"/>
      <c r="DB131" s="855"/>
      <c r="DC131" s="858"/>
      <c r="DD131" s="837"/>
      <c r="DE131" s="837"/>
      <c r="DF131" s="837"/>
      <c r="DG131" s="837"/>
      <c r="DH131" s="837"/>
      <c r="DI131" s="837"/>
      <c r="DJ131" s="837"/>
      <c r="DK131" s="837"/>
      <c r="DL131" s="837"/>
      <c r="DM131" s="837"/>
      <c r="DN131" s="837"/>
      <c r="DO131" s="837"/>
      <c r="DP131" s="837"/>
      <c r="DQ131" s="837"/>
      <c r="DR131" s="837"/>
      <c r="FN131" s="855"/>
      <c r="FO131" s="855"/>
      <c r="FP131" s="855"/>
      <c r="FQ131" s="838"/>
      <c r="FR131" s="855"/>
      <c r="FS131" s="838"/>
      <c r="FT131" s="855"/>
      <c r="FU131" s="838"/>
      <c r="FV131" s="855"/>
      <c r="FW131" s="838"/>
      <c r="FX131" s="855"/>
      <c r="FY131" s="838"/>
      <c r="FZ131" s="855"/>
      <c r="GA131" s="838"/>
      <c r="GB131" s="855"/>
      <c r="GC131" s="838"/>
      <c r="GD131" s="855"/>
      <c r="GE131" s="838"/>
      <c r="GF131" s="855"/>
      <c r="GG131" s="838"/>
      <c r="GH131" s="855"/>
      <c r="GI131" s="838"/>
      <c r="GJ131" s="855"/>
      <c r="GK131" s="855"/>
      <c r="GL131" s="855"/>
    </row>
    <row r="132" spans="2:194" x14ac:dyDescent="0.35">
      <c r="B132" s="678"/>
      <c r="C132" s="838">
        <f>IF('2 M-A +'!C$31=175,'2 M-A +'!C$33,0)</f>
        <v>0</v>
      </c>
      <c r="D132" s="838">
        <f>IF('2 M-A +'!D$31=175,'2 M-A +'!D$33,0)</f>
        <v>0</v>
      </c>
      <c r="E132" s="838">
        <f>IF('2 M-A +'!E$31=175,'2 M-A +'!E$33,0)</f>
        <v>0</v>
      </c>
      <c r="F132" s="838">
        <f>IF('2 M-A +'!F$31=175,'2 M-A +'!F$33,0)</f>
        <v>0</v>
      </c>
      <c r="G132" s="838">
        <f>IF('2 M-A +'!G$31=175,'2 M-A +'!G$33,0)</f>
        <v>0</v>
      </c>
      <c r="H132" s="838">
        <f>IF('2 M-A +'!H$31=175,'2 M-A +'!H$33,0)</f>
        <v>0</v>
      </c>
      <c r="I132" s="838">
        <f>IF('2 M-A +'!I$31=175,'2 M-A +'!I$33,0)</f>
        <v>0</v>
      </c>
      <c r="J132" s="838">
        <f>IF('2 M-A +'!J$31=175,'2 M-A +'!J$33,0)</f>
        <v>0</v>
      </c>
      <c r="K132" s="838">
        <f>IF('2 M-A +'!K$31=175,'2 M-A +'!K$33,0)</f>
        <v>0</v>
      </c>
      <c r="L132" s="838">
        <f>IF('2 M-A +'!L$31=175,'2 M-A +'!L$33,0)</f>
        <v>0</v>
      </c>
      <c r="M132" s="838">
        <f>IF('2 M-A +'!M$31=175,'2 M-A +'!M$33,0)</f>
        <v>0</v>
      </c>
      <c r="N132" s="838">
        <f>IF('2 M-A +'!N$31=175,'2 M-A +'!N$33,0)</f>
        <v>0</v>
      </c>
      <c r="O132" s="844">
        <f>SUM(C132:N132)</f>
        <v>0</v>
      </c>
      <c r="P132" s="838">
        <f>IF(AC132&gt;0,IF(AC130&gt;0,1,0))*'2 M-A +'!C$33</f>
        <v>0</v>
      </c>
      <c r="Q132" s="838">
        <f>IF(AD132&gt;0,IF(AD130&gt;0,1,0))*'2 M-A +'!D$33</f>
        <v>0</v>
      </c>
      <c r="R132" s="838">
        <f>IF(AE132&gt;0,IF(AE130&gt;0,1,0))*'2 M-A +'!E$33</f>
        <v>0</v>
      </c>
      <c r="S132" s="838">
        <f>IF(AF132&gt;0,IF(AF130&gt;0,1,0))*'2 M-A +'!F$33</f>
        <v>0</v>
      </c>
      <c r="T132" s="838">
        <f>IF(AG132&gt;0,IF(AG130&gt;0,1,0))*'2 M-A +'!G$33</f>
        <v>0</v>
      </c>
      <c r="U132" s="838">
        <f>IF(AH132&gt;0,IF(AH130&gt;0,1,0))*'2 M-A +'!H$33</f>
        <v>0</v>
      </c>
      <c r="V132" s="838">
        <f>IF(AI132&gt;0,IF(AI130&gt;0,1,0))*'2 M-A +'!I$33</f>
        <v>0</v>
      </c>
      <c r="W132" s="838">
        <f>IF(AJ132&gt;0,IF(AJ130&gt;0,1,0))*'2 M-A +'!J$33</f>
        <v>0</v>
      </c>
      <c r="X132" s="838">
        <f>IF(AK132&gt;0,IF(AK130&gt;0,1,0))*'2 M-A +'!K$33</f>
        <v>0</v>
      </c>
      <c r="Y132" s="838">
        <f>IF(AL132&gt;0,IF(AL130&gt;0,1,0))*'2 M-A +'!L$33</f>
        <v>0</v>
      </c>
      <c r="Z132" s="838">
        <f>IF(AM132&gt;0,IF(AM130&gt;0,1,0))*'2 M-A +'!M$33</f>
        <v>0</v>
      </c>
      <c r="AA132" s="838">
        <f>IF(AN132&gt;0,IF(AN130&gt;0,1,0))*'2 M-A +'!N$33</f>
        <v>0</v>
      </c>
      <c r="AB132" s="839">
        <f>SUM(P132:AA132)</f>
        <v>0</v>
      </c>
      <c r="AC132" s="838">
        <f>IF(OR('2 M-A +'!C17="V",'2 M-A +'!C17="VT",'2 M-A +'!C17="VSB",'2 M-A +'!C17="VTT",),1,0)*'2 M-A +'!C$33</f>
        <v>0</v>
      </c>
      <c r="AD132" s="838">
        <f>IF(OR('2 M-A +'!D17="V",'2 M-A +'!D17="VT",'2 M-A +'!D17="VSB",'2 M-A +'!D17="VTT",),1,0)*'2 M-A +'!D$33</f>
        <v>0</v>
      </c>
      <c r="AE132" s="838">
        <f>IF(OR('2 M-A +'!E17="V",'2 M-A +'!E17="VT",'2 M-A +'!E17="VSB",'2 M-A +'!E17="VTT",),1,0)*'2 M-A +'!E$33</f>
        <v>0</v>
      </c>
      <c r="AF132" s="838">
        <f>IF(OR('2 M-A +'!F17="V",'2 M-A +'!F17="VT",'2 M-A +'!F17="VSB",'2 M-A +'!F17="VTT",),1,0)*'2 M-A +'!F$33</f>
        <v>0</v>
      </c>
      <c r="AG132" s="838">
        <f>IF(OR('2 M-A +'!G17="V",'2 M-A +'!G17="VT",'2 M-A +'!G17="VSB",'2 M-A +'!G17="VTT",),1,0)*'2 M-A +'!G$33</f>
        <v>0</v>
      </c>
      <c r="AH132" s="838">
        <f>IF(OR('2 M-A +'!H17="V",'2 M-A +'!H17="VT",'2 M-A +'!H17="VSB",'2 M-A +'!H17="VTT",),1,0)*'2 M-A +'!H$33</f>
        <v>0</v>
      </c>
      <c r="AI132" s="838">
        <f>IF(OR('2 M-A +'!I17="V",'2 M-A +'!I17="VT",'2 M-A +'!I17="VSB",'2 M-A +'!I17="VTT",),1,0)*'2 M-A +'!I$33</f>
        <v>0</v>
      </c>
      <c r="AJ132" s="838">
        <f>IF(OR('2 M-A +'!J17="V",'2 M-A +'!J17="VT",'2 M-A +'!J17="VSB",'2 M-A +'!J17="VTT",),1,0)*'2 M-A +'!J$33</f>
        <v>0</v>
      </c>
      <c r="AK132" s="838">
        <f>IF(OR('2 M-A +'!K17="V",'2 M-A +'!K17="VT",'2 M-A +'!K17="VSB",'2 M-A +'!K17="VTT",),1,0)*'2 M-A +'!K$33</f>
        <v>0</v>
      </c>
      <c r="AL132" s="838">
        <f>IF(OR('2 M-A +'!L17="V",'2 M-A +'!L17="VT",'2 M-A +'!L17="VSB",'2 M-A +'!L17="VTT",),1,0)*'2 M-A +'!L$33</f>
        <v>0</v>
      </c>
      <c r="AM132" s="838">
        <f>IF(OR('2 M-A +'!M17="V",'2 M-A +'!M17="VT",'2 M-A +'!M17="VSB",'2 M-A +'!M17="VTT",),1,0)*'2 M-A +'!M$33</f>
        <v>0</v>
      </c>
      <c r="AN132" s="838">
        <f>IF(OR('2 M-A +'!N17="V",'2 M-A +'!N17="VT",'2 M-A +'!N17="VSB",'2 M-A +'!N17="VTT",),1,0)*'2 M-A +'!N$33</f>
        <v>0</v>
      </c>
      <c r="AO132" s="838"/>
      <c r="AP132" s="845">
        <f>IF(OR(BC132&gt;0,BP132&gt;0,CC132&gt;0,CP132&gt;0,),IF(OR(CC130&gt;0,BP130&gt;0,BC130&gt;0,CP130&gt;0,),'2 M-A +'!C$33*'2 M-A +'!C$32,0))/100</f>
        <v>0</v>
      </c>
      <c r="AQ132" s="845">
        <f>IF(OR(BD132&gt;0,BQ132&gt;0,CD132&gt;0,CQ132&gt;0,),IF(OR(CD130&gt;0,BQ130&gt;0,BD130&gt;0,CQ130&gt;0,),'2 M-A +'!D$33*'2 M-A +'!D$32,0))/100</f>
        <v>0</v>
      </c>
      <c r="AR132" s="845">
        <f>IF(OR(BE132&gt;0,BR132&gt;0,CE132&gt;0,CR132&gt;0,),IF(OR(CE130&gt;0,BR130&gt;0,BE130&gt;0,CR130&gt;0,),'2 M-A +'!E$33*'2 M-A +'!E$32,0))/100</f>
        <v>0</v>
      </c>
      <c r="AS132" s="845">
        <f>IF(OR(BF132&gt;0,BS132&gt;0,CF132&gt;0,CS132&gt;0,),IF(OR(CF130&gt;0,BS130&gt;0,BF130&gt;0,CS130&gt;0,),'2 M-A +'!F$33*'2 M-A +'!F$32,0))/100</f>
        <v>0</v>
      </c>
      <c r="AT132" s="845">
        <f>IF(OR(BG132&gt;0,BT132&gt;0,CG132&gt;0,CT132&gt;0,),IF(OR(CG130&gt;0,BT130&gt;0,BG130&gt;0,CT130&gt;0,),'2 M-A +'!G$33*'2 M-A +'!G$32,0))/100</f>
        <v>0</v>
      </c>
      <c r="AU132" s="845">
        <f>IF(OR(BH132&gt;0,BU132&gt;0,CH132&gt;0,CU132&gt;0,),IF(OR(CH130&gt;0,BU130&gt;0,BH130&gt;0,CU130&gt;0,),'2 M-A +'!H$33*'2 M-A +'!H$32,0))/100</f>
        <v>0</v>
      </c>
      <c r="AV132" s="845">
        <f>IF(OR(BI132&gt;0,BV132&gt;0,CI132&gt;0,CV132&gt;0,),IF(OR(CI130&gt;0,BV130&gt;0,BI130&gt;0,CV130&gt;0,),'2 M-A +'!I$33*'2 M-A +'!I$32,0))/100</f>
        <v>0</v>
      </c>
      <c r="AW132" s="845">
        <f>IF(OR(BJ132&gt;0,BW132&gt;0,CJ132&gt;0,CW132&gt;0,),IF(OR(CJ130&gt;0,BW130&gt;0,BJ130&gt;0,CW130&gt;0,),'2 M-A +'!J$33*'2 M-A +'!J$32,0))/100</f>
        <v>0</v>
      </c>
      <c r="AX132" s="845">
        <f>IF(OR(BK132&gt;0,BX132&gt;0,CK132&gt;0,CX132&gt;0,),IF(OR(CK130&gt;0,BX130&gt;0,BK130&gt;0,CX130&gt;0,),'2 M-A +'!K$33*'2 M-A +'!K$32,0))/100</f>
        <v>0</v>
      </c>
      <c r="AY132" s="845">
        <f>IF(OR(BL132&gt;0,BY132&gt;0,CL132&gt;0,CY132&gt;0,),IF(OR(CL130&gt;0,BY130&gt;0,BL130&gt;0,CY130&gt;0,),'2 M-A +'!L$33*'2 M-A +'!L$32,0))/100</f>
        <v>0</v>
      </c>
      <c r="AZ132" s="845">
        <f>IF(OR(BM132&gt;0,BZ132&gt;0,CM132&gt;0,CZ132&gt;0,),IF(OR(CM130&gt;0,BZ130&gt;0,BM130&gt;0,CZ130&gt;0,),'2 M-A +'!M$33*'2 M-A +'!M$32,0))/100</f>
        <v>0</v>
      </c>
      <c r="BA132" s="845">
        <f>IF(OR(BN132&gt;0,CA132&gt;0,CN132&gt;0,DA132&gt;0,),IF(OR(CN130&gt;0,CA130&gt;0,BN130&gt;0,DA130&gt;0,),'2 M-A +'!N$33*'2 M-A +'!N$32,0))/100</f>
        <v>0</v>
      </c>
      <c r="BB132" s="838"/>
      <c r="BC132" s="845">
        <f>IF('2 M-A +'!C17='2 M-A +'!$B$38,('2 M-A +'!C16*4)/160,0)*'2 M-A +'!C$33</f>
        <v>0</v>
      </c>
      <c r="BD132" s="845">
        <f>IF('2 M-A +'!D17='2 M-A +'!$B$38,('2 M-A +'!D16*4)/160,0)*'2 M-A +'!D$33</f>
        <v>0</v>
      </c>
      <c r="BE132" s="845">
        <f>IF('2 M-A +'!E17='2 M-A +'!$B$38,('2 M-A +'!E16*4)/160,0)*'2 M-A +'!E$33</f>
        <v>0</v>
      </c>
      <c r="BF132" s="845">
        <f>IF('2 M-A +'!F17='2 M-A +'!$B$38,('2 M-A +'!F16*4)/160,0)*'2 M-A +'!F$33</f>
        <v>0</v>
      </c>
      <c r="BG132" s="845">
        <f>IF('2 M-A +'!G17='2 M-A +'!$B$38,('2 M-A +'!G16*4)/160,0)*'2 M-A +'!G$33</f>
        <v>0</v>
      </c>
      <c r="BH132" s="845">
        <f>IF('2 M-A +'!H17='2 M-A +'!$B$38,('2 M-A +'!H16*4)/160,0)*'2 M-A +'!H$33</f>
        <v>0</v>
      </c>
      <c r="BI132" s="845">
        <f>IF('2 M-A +'!I17='2 M-A +'!$B$38,('2 M-A +'!I16*4)/160,0)*'2 M-A +'!I$33</f>
        <v>0</v>
      </c>
      <c r="BJ132" s="845">
        <f>IF('2 M-A +'!J17='2 M-A +'!$B$38,('2 M-A +'!J16*4)/160,0)*'2 M-A +'!J$33</f>
        <v>0</v>
      </c>
      <c r="BK132" s="845">
        <f>IF('2 M-A +'!K17='2 M-A +'!$B$38,('2 M-A +'!K16*4)/160,0)*'2 M-A +'!K$33</f>
        <v>0</v>
      </c>
      <c r="BL132" s="845">
        <f>IF('2 M-A +'!L17='2 M-A +'!$B$38,('2 M-A +'!L16*4)/160,0)*'2 M-A +'!L$33</f>
        <v>0</v>
      </c>
      <c r="BM132" s="845">
        <f>IF('2 M-A +'!M17='2 M-A +'!$B$38,('2 M-A +'!M16*4)/160,0)*'2 M-A +'!M$33</f>
        <v>0</v>
      </c>
      <c r="BN132" s="845">
        <f>IF('2 M-A +'!N17='2 M-A +'!$B$38,('2 M-A +'!N16*4)/160,0)*'2 M-A +'!N$33</f>
        <v>0</v>
      </c>
      <c r="BO132" s="838"/>
      <c r="BP132" s="845">
        <f>IF('2 M-A +'!C17='2 M-A +'!$B$39,('2 M-A +'!C16*4)/160,0)*'2 M-A +'!C$33</f>
        <v>0</v>
      </c>
      <c r="BQ132" s="845">
        <f>IF('2 M-A +'!D17='2 M-A +'!$B$39,('2 M-A +'!D16*4)/160,0)*'2 M-A +'!D$33</f>
        <v>0</v>
      </c>
      <c r="BR132" s="845">
        <f>IF('2 M-A +'!E17='2 M-A +'!$B$39,('2 M-A +'!E16*4)/160,0)*'2 M-A +'!E$33</f>
        <v>0</v>
      </c>
      <c r="BS132" s="845">
        <f>IF('2 M-A +'!F17='2 M-A +'!$B$39,('2 M-A +'!F16*4)/160,0)*'2 M-A +'!F$33</f>
        <v>0</v>
      </c>
      <c r="BT132" s="845">
        <f>IF('2 M-A +'!G17='2 M-A +'!$B$39,('2 M-A +'!G16*4)/160,0)*'2 M-A +'!G$33</f>
        <v>0</v>
      </c>
      <c r="BU132" s="845">
        <f>IF('2 M-A +'!H17='2 M-A +'!$B$39,('2 M-A +'!H16*4)/160,0)*'2 M-A +'!H$33</f>
        <v>0</v>
      </c>
      <c r="BV132" s="845">
        <f>IF('2 M-A +'!I17='2 M-A +'!$B$39,('2 M-A +'!I16*4)/160,0)*'2 M-A +'!I$33</f>
        <v>0</v>
      </c>
      <c r="BW132" s="845">
        <f>IF('2 M-A +'!J17='2 M-A +'!$B$39,('2 M-A +'!J16*4)/160,0)*'2 M-A +'!J$33</f>
        <v>0</v>
      </c>
      <c r="BX132" s="845">
        <f>IF('2 M-A +'!K17='2 M-A +'!$B$39,('2 M-A +'!K16*4)/160,0)*'2 M-A +'!K$33</f>
        <v>0</v>
      </c>
      <c r="BY132" s="845">
        <f>IF('2 M-A +'!L17='2 M-A +'!$B$39,('2 M-A +'!L16*4)/160,0)*'2 M-A +'!L$33</f>
        <v>0</v>
      </c>
      <c r="BZ132" s="845">
        <f>IF('2 M-A +'!M17='2 M-A +'!$B$39,('2 M-A +'!M16*4)/160,0)*'2 M-A +'!M$33</f>
        <v>0</v>
      </c>
      <c r="CA132" s="845">
        <f>IF('2 M-A +'!N17='2 M-A +'!$B$39,('2 M-A +'!N16*4)/160,0)*'2 M-A +'!N$33</f>
        <v>0</v>
      </c>
      <c r="CB132" s="838"/>
      <c r="CC132" s="845">
        <f>IF('2 M-A +'!C17='2 M-A +'!$B$40,('2 M-A +'!C16*4)/160,0)*'2 M-A +'!C$33</f>
        <v>0</v>
      </c>
      <c r="CD132" s="845">
        <f>IF('2 M-A +'!D17='2 M-A +'!$B$40,('2 M-A +'!D16*4)/160,0)*'2 M-A +'!D$33</f>
        <v>0</v>
      </c>
      <c r="CE132" s="845">
        <f>IF('2 M-A +'!E17='2 M-A +'!$B$40,('2 M-A +'!E16*4)/160,0)*'2 M-A +'!E$33</f>
        <v>0</v>
      </c>
      <c r="CF132" s="845">
        <f>IF('2 M-A +'!F17='2 M-A +'!$B$40,('2 M-A +'!F16*4)/160,0)*'2 M-A +'!F$33</f>
        <v>0</v>
      </c>
      <c r="CG132" s="845">
        <f>IF('2 M-A +'!G17='2 M-A +'!$B$40,('2 M-A +'!G16*4)/160,0)*'2 M-A +'!G$33</f>
        <v>0</v>
      </c>
      <c r="CH132" s="845">
        <f>IF('2 M-A +'!H17='2 M-A +'!$B$40,('2 M-A +'!H16*4)/160,0)*'2 M-A +'!H$33</f>
        <v>0</v>
      </c>
      <c r="CI132" s="845">
        <f>IF('2 M-A +'!I17='2 M-A +'!$B$40,('2 M-A +'!I16*4)/160,0)*'2 M-A +'!I$33</f>
        <v>0</v>
      </c>
      <c r="CJ132" s="845">
        <f>IF('2 M-A +'!J17='2 M-A +'!$B$40,('2 M-A +'!J16*4)/160,0)*'2 M-A +'!J$33</f>
        <v>0</v>
      </c>
      <c r="CK132" s="845">
        <f>IF('2 M-A +'!K17='2 M-A +'!$B$40,('2 M-A +'!K16*4)/160,0)*'2 M-A +'!K$33</f>
        <v>0</v>
      </c>
      <c r="CL132" s="845">
        <f>IF('2 M-A +'!L17='2 M-A +'!$B$40,('2 M-A +'!L16*4)/160,0)*'2 M-A +'!L$33</f>
        <v>0</v>
      </c>
      <c r="CM132" s="845">
        <f>IF('2 M-A +'!M17='2 M-A +'!$B$40,('2 M-A +'!M16*4)/160,0)*'2 M-A +'!M$33</f>
        <v>0</v>
      </c>
      <c r="CN132" s="845">
        <f>IF('2 M-A +'!N17='2 M-A +'!$B$40,('2 M-A +'!N16*4)/160,0)*'2 M-A +'!N$33</f>
        <v>0</v>
      </c>
      <c r="CO132" s="838"/>
      <c r="CP132" s="845">
        <f>IF('2 M-A +'!C17='2 M-A +'!$B$41,('2 M-A +'!C16*4)/160,0)*'2 M-A +'!C$33</f>
        <v>0</v>
      </c>
      <c r="CQ132" s="845">
        <f>IF('2 M-A +'!D17='2 M-A +'!$B$41,('2 M-A +'!D16*4)/160,0)*'2 M-A +'!D$33</f>
        <v>0</v>
      </c>
      <c r="CR132" s="845">
        <f>IF('2 M-A +'!E17='2 M-A +'!$B$41,('2 M-A +'!E16*4)/160,0)*'2 M-A +'!E$33</f>
        <v>0</v>
      </c>
      <c r="CS132" s="845">
        <f>IF('2 M-A +'!F17='2 M-A +'!$B$41,('2 M-A +'!F16*4)/160,0)*'2 M-A +'!F$33</f>
        <v>0</v>
      </c>
      <c r="CT132" s="845">
        <f>IF('2 M-A +'!G17='2 M-A +'!$B$41,('2 M-A +'!G16*4)/160,0)*'2 M-A +'!G$33</f>
        <v>0</v>
      </c>
      <c r="CU132" s="845">
        <f>IF('2 M-A +'!H17='2 M-A +'!$B$41,('2 M-A +'!H16*4)/160,0)*'2 M-A +'!H$33</f>
        <v>0</v>
      </c>
      <c r="CV132" s="845">
        <f>IF('2 M-A +'!I17='2 M-A +'!$B$41,('2 M-A +'!I16*4)/160,0)*'2 M-A +'!I$33</f>
        <v>0</v>
      </c>
      <c r="CW132" s="845">
        <f>IF('2 M-A +'!J17='2 M-A +'!$B$41,('2 M-A +'!J16*4)/160,0)*'2 M-A +'!J$33</f>
        <v>0</v>
      </c>
      <c r="CX132" s="845">
        <f>IF('2 M-A +'!K17='2 M-A +'!$B$41,('2 M-A +'!K16*4)/160,0)*'2 M-A +'!K$33</f>
        <v>0</v>
      </c>
      <c r="CY132" s="845">
        <f>IF('2 M-A +'!L17='2 M-A +'!$B$41,('2 M-A +'!L16*4)/160,0)*'2 M-A +'!L$33</f>
        <v>0</v>
      </c>
      <c r="CZ132" s="845">
        <f>IF('2 M-A +'!M17='2 M-A +'!$B$41,('2 M-A +'!M16*4)/160,0)*'2 M-A +'!M$33</f>
        <v>0</v>
      </c>
      <c r="DA132" s="845">
        <f>IF('2 M-A +'!N17='2 M-A +'!$B$41,('2 M-A +'!N16*4)/160,0)*'2 M-A +'!N$33</f>
        <v>0</v>
      </c>
      <c r="DB132" s="838"/>
      <c r="DC132" s="838"/>
      <c r="FN132" s="855"/>
      <c r="FO132" s="855"/>
      <c r="FP132" s="855"/>
      <c r="FQ132" s="838"/>
      <c r="FR132" s="855"/>
      <c r="FS132" s="838"/>
      <c r="FT132" s="855"/>
      <c r="FU132" s="838"/>
      <c r="FV132" s="855"/>
      <c r="FW132" s="838"/>
      <c r="FX132" s="855"/>
      <c r="FY132" s="838"/>
      <c r="FZ132" s="855"/>
      <c r="GA132" s="838"/>
      <c r="GB132" s="855"/>
      <c r="GC132" s="838"/>
      <c r="GD132" s="855"/>
      <c r="GE132" s="838"/>
      <c r="GF132" s="855"/>
      <c r="GG132" s="838"/>
      <c r="GH132" s="855"/>
      <c r="GI132" s="838"/>
      <c r="GJ132" s="855"/>
      <c r="GK132" s="855"/>
      <c r="GL132" s="855"/>
    </row>
    <row r="133" spans="2:194" x14ac:dyDescent="0.35">
      <c r="B133" s="678"/>
      <c r="C133" s="838">
        <f>IF('2 M-A +'!C$31=155,'2 M-A +'!C$33,0)</f>
        <v>0</v>
      </c>
      <c r="D133" s="838">
        <f>IF('2 M-A +'!D$31=155,'2 M-A +'!D$33,0)</f>
        <v>0</v>
      </c>
      <c r="E133" s="838">
        <f>IF('2 M-A +'!E$31=155,'2 M-A +'!E$33,0)</f>
        <v>0</v>
      </c>
      <c r="F133" s="838">
        <f>IF('2 M-A +'!F$31=155,'2 M-A +'!F$33,0)</f>
        <v>0</v>
      </c>
      <c r="G133" s="838">
        <f>IF('2 M-A +'!G$31=155,'2 M-A +'!G$33,0)</f>
        <v>0</v>
      </c>
      <c r="H133" s="838">
        <f>IF('2 M-A +'!H$31=155,'2 M-A +'!H$33,0)</f>
        <v>0</v>
      </c>
      <c r="I133" s="838">
        <f>IF('2 M-A +'!I$31=155,'2 M-A +'!I$33,0)</f>
        <v>0</v>
      </c>
      <c r="J133" s="838">
        <f>IF('2 M-A +'!J$31=155,'2 M-A +'!J$33,0)</f>
        <v>0</v>
      </c>
      <c r="K133" s="838">
        <f>IF('2 M-A +'!K$31=155,'2 M-A +'!K$33,0)</f>
        <v>0</v>
      </c>
      <c r="L133" s="838">
        <f>IF('2 M-A +'!L$31=155,'2 M-A +'!L$33,0)</f>
        <v>0</v>
      </c>
      <c r="M133" s="838">
        <f>IF('2 M-A +'!M$31=155,'2 M-A +'!M$33,0)</f>
        <v>0</v>
      </c>
      <c r="N133" s="838">
        <f>IF('2 M-A +'!N$31=155,'2 M-A +'!N$33,0)</f>
        <v>0</v>
      </c>
      <c r="O133" s="839">
        <f>SUM(C133:N133)</f>
        <v>0</v>
      </c>
      <c r="AB133" s="838"/>
      <c r="AC133" s="838"/>
      <c r="AD133" s="838"/>
      <c r="AE133" s="838"/>
      <c r="AF133" s="838"/>
      <c r="AG133" s="838"/>
      <c r="AH133" s="838"/>
      <c r="AI133" s="838"/>
      <c r="AJ133" s="838"/>
      <c r="AK133" s="838"/>
      <c r="AL133" s="838"/>
      <c r="AM133" s="838"/>
      <c r="AN133" s="838"/>
      <c r="AO133" s="838"/>
      <c r="BB133" s="838"/>
      <c r="BO133" s="838"/>
      <c r="CB133" s="838"/>
      <c r="CO133" s="838"/>
      <c r="DB133" s="838"/>
      <c r="DC133" s="845"/>
      <c r="DD133" s="845"/>
      <c r="DE133" s="845"/>
      <c r="DF133" s="845"/>
      <c r="DG133" s="845"/>
      <c r="DH133" s="845"/>
      <c r="DI133" s="845"/>
      <c r="DJ133" s="845"/>
      <c r="DK133" s="845"/>
      <c r="DL133" s="845"/>
      <c r="DM133" s="845"/>
      <c r="FN133" s="855"/>
      <c r="FO133" s="838"/>
      <c r="FP133" s="855"/>
      <c r="FQ133" s="838"/>
      <c r="FR133" s="855"/>
      <c r="FS133" s="838"/>
      <c r="FT133" s="855"/>
      <c r="FU133" s="838"/>
      <c r="FV133" s="855"/>
      <c r="FW133" s="838"/>
      <c r="FX133" s="855"/>
      <c r="FY133" s="838"/>
      <c r="FZ133" s="855"/>
      <c r="GA133" s="838"/>
      <c r="GB133" s="855"/>
      <c r="GC133" s="838"/>
      <c r="GD133" s="855"/>
      <c r="GE133" s="838"/>
      <c r="GF133" s="855"/>
      <c r="GG133" s="838"/>
      <c r="GH133" s="855"/>
      <c r="GI133" s="838"/>
      <c r="GJ133" s="855"/>
      <c r="GK133" s="855"/>
      <c r="GL133" s="838"/>
    </row>
    <row r="134" spans="2:194" x14ac:dyDescent="0.35">
      <c r="B134" s="678"/>
      <c r="C134" s="838">
        <f>IF('2 M-A +'!C$31=135,'2 M-A +'!C$33,0)</f>
        <v>0</v>
      </c>
      <c r="D134" s="838">
        <f>IF('2 M-A +'!D$31=135,'2 M-A +'!D$33,0)</f>
        <v>0</v>
      </c>
      <c r="E134" s="838">
        <f>IF('2 M-A +'!E$31=135,'2 M-A +'!E$33,0)</f>
        <v>0</v>
      </c>
      <c r="F134" s="838">
        <f>IF('2 M-A +'!F$31=135,'2 M-A +'!F$33,0)</f>
        <v>0</v>
      </c>
      <c r="G134" s="838">
        <f>IF('2 M-A +'!G$31=135,'2 M-A +'!G$33,0)</f>
        <v>0</v>
      </c>
      <c r="H134" s="838">
        <f>IF('2 M-A +'!H$31=135,'2 M-A +'!H$33,0)</f>
        <v>0</v>
      </c>
      <c r="I134" s="838">
        <f>IF('2 M-A +'!I$31=135,'2 M-A +'!I$33,0)</f>
        <v>0</v>
      </c>
      <c r="J134" s="838">
        <f>IF('2 M-A +'!J$31=135,'2 M-A +'!J$33,0)</f>
        <v>0</v>
      </c>
      <c r="K134" s="838">
        <f>IF('2 M-A +'!K$31=135,'2 M-A +'!K$33,0)</f>
        <v>0</v>
      </c>
      <c r="L134" s="838">
        <f>IF('2 M-A +'!L$31=135,'2 M-A +'!L$33,0)</f>
        <v>0</v>
      </c>
      <c r="M134" s="838">
        <f>IF('2 M-A +'!M$31=135,'2 M-A +'!M$33,0)</f>
        <v>0</v>
      </c>
      <c r="N134" s="838">
        <f>IF('2 M-A +'!N$31=135,'2 M-A +'!N$33,0)</f>
        <v>0</v>
      </c>
      <c r="O134" s="839">
        <f>SUM(C134:N134)</f>
        <v>0</v>
      </c>
      <c r="P134" s="838">
        <f>IF(AC134&gt;0,IF(AC132&gt;0,1,0))*'2 M-A +'!C$33</f>
        <v>0</v>
      </c>
      <c r="Q134" s="838">
        <f>IF(AD134&gt;0,IF(AD132&gt;0,1,0))*'2 M-A +'!D$33</f>
        <v>0</v>
      </c>
      <c r="R134" s="838">
        <f>IF(AE134&gt;0,IF(AE132&gt;0,1,0))*'2 M-A +'!E$33</f>
        <v>0</v>
      </c>
      <c r="S134" s="838">
        <f>IF(AF134&gt;0,IF(AF132&gt;0,1,0))*'2 M-A +'!F$33</f>
        <v>0</v>
      </c>
      <c r="T134" s="838">
        <f>IF(AG134&gt;0,IF(AG132&gt;0,1,0))*'2 M-A +'!G$33</f>
        <v>0</v>
      </c>
      <c r="U134" s="838">
        <f>IF(AH134&gt;0,IF(AH132&gt;0,1,0))*'2 M-A +'!H$33</f>
        <v>0</v>
      </c>
      <c r="V134" s="838">
        <f>IF(AI134&gt;0,IF(AI132&gt;0,1,0))*'2 M-A +'!I$33</f>
        <v>0</v>
      </c>
      <c r="W134" s="838">
        <f>IF(AJ134&gt;0,IF(AJ132&gt;0,1,0))*'2 M-A +'!J$33</f>
        <v>0</v>
      </c>
      <c r="X134" s="838">
        <f>IF(AK134&gt;0,IF(AK132&gt;0,1,0))*'2 M-A +'!K$33</f>
        <v>0</v>
      </c>
      <c r="Y134" s="838">
        <f>IF(AL134&gt;0,IF(AL132&gt;0,1,0))*'2 M-A +'!L$33</f>
        <v>0</v>
      </c>
      <c r="Z134" s="838">
        <f>IF(AM134&gt;0,IF(AM132&gt;0,1,0))*'2 M-A +'!M$33</f>
        <v>0</v>
      </c>
      <c r="AA134" s="838">
        <f>IF(AN134&gt;0,IF(AN132&gt;0,1,0))*'2 M-A +'!N$33</f>
        <v>0</v>
      </c>
      <c r="AB134" s="838"/>
      <c r="AC134" s="838">
        <f>IF(OR('2 M-A +'!C19="V",'2 M-A +'!C19="VT",'2 M-A +'!C19="VSB",'2 M-A +'!C19="VTT",),1,0)*'2 M-A +'!C$33</f>
        <v>0</v>
      </c>
      <c r="AD134" s="838">
        <f>IF(OR('2 M-A +'!D19="V",'2 M-A +'!D19="VT",'2 M-A +'!D19="VSB",'2 M-A +'!D19="VTT",),1,0)*'2 M-A +'!D$33</f>
        <v>0</v>
      </c>
      <c r="AE134" s="838">
        <f>IF(OR('2 M-A +'!E19="V",'2 M-A +'!E19="VT",'2 M-A +'!E19="VSB",'2 M-A +'!E19="VTT",),1,0)*'2 M-A +'!E$33</f>
        <v>0</v>
      </c>
      <c r="AF134" s="838">
        <f>IF(OR('2 M-A +'!F19="V",'2 M-A +'!F19="VT",'2 M-A +'!F19="VSB",'2 M-A +'!F19="VTT",),1,0)*'2 M-A +'!F$33</f>
        <v>0</v>
      </c>
      <c r="AG134" s="838">
        <f>IF(OR('2 M-A +'!G19="V",'2 M-A +'!G19="VT",'2 M-A +'!G19="VSB",'2 M-A +'!G19="VTT",),1,0)*'2 M-A +'!G$33</f>
        <v>0</v>
      </c>
      <c r="AH134" s="838">
        <f>IF(OR('2 M-A +'!H19="V",'2 M-A +'!H19="VT",'2 M-A +'!H19="VSB",'2 M-A +'!H19="VTT",),1,0)*'2 M-A +'!H$33</f>
        <v>0</v>
      </c>
      <c r="AI134" s="838">
        <f>IF(OR('2 M-A +'!I19="V",'2 M-A +'!I19="VT",'2 M-A +'!I19="VSB",'2 M-A +'!I19="VTT",),1,0)*'2 M-A +'!I$33</f>
        <v>0</v>
      </c>
      <c r="AJ134" s="838">
        <f>IF(OR('2 M-A +'!J19="V",'2 M-A +'!J19="VT",'2 M-A +'!J19="VSB",'2 M-A +'!J19="VTT",),1,0)*'2 M-A +'!J$33</f>
        <v>0</v>
      </c>
      <c r="AK134" s="838">
        <f>IF(OR('2 M-A +'!K19="V",'2 M-A +'!K19="VT",'2 M-A +'!K19="VSB",'2 M-A +'!K19="VTT",),1,0)*'2 M-A +'!K$33</f>
        <v>0</v>
      </c>
      <c r="AL134" s="838">
        <f>IF(OR('2 M-A +'!L19="V",'2 M-A +'!L19="VT",'2 M-A +'!L19="VSB",'2 M-A +'!L19="VTT",),1,0)*'2 M-A +'!L$33</f>
        <v>0</v>
      </c>
      <c r="AM134" s="838">
        <f>IF(OR('2 M-A +'!M19="V",'2 M-A +'!M19="VT",'2 M-A +'!M19="VSB",'2 M-A +'!M19="VTT",),1,0)*'2 M-A +'!M$33</f>
        <v>0</v>
      </c>
      <c r="AN134" s="838">
        <f>IF(OR('2 M-A +'!N19="V",'2 M-A +'!N19="VT",'2 M-A +'!N19="VSB",'2 M-A +'!N19="VTT",),1,0)*'2 M-A +'!N$33</f>
        <v>0</v>
      </c>
      <c r="AO134" s="838"/>
      <c r="AP134" s="845">
        <f>IF(OR(BC134&gt;0,BP134&gt;0,CC134&gt;0,CP134&gt;0,),IF(OR(CC132&gt;0,BP132&gt;0,BC132&gt;0,CP132&gt;0,),'2 M-A +'!C$33*'2 M-A +'!C$32,0))/100</f>
        <v>0</v>
      </c>
      <c r="AQ134" s="845">
        <f>IF(OR(BD134&gt;0,BQ134&gt;0,CD134&gt;0,CQ134&gt;0,),IF(OR(CD132&gt;0,BQ132&gt;0,BD132&gt;0,CQ132&gt;0,),'2 M-A +'!D$33*'2 M-A +'!D$32,0))/100</f>
        <v>0</v>
      </c>
      <c r="AR134" s="845">
        <f>IF(OR(BE134&gt;0,BR134&gt;0,CE134&gt;0,CR134&gt;0,),IF(OR(CE132&gt;0,BR132&gt;0,BE132&gt;0,CR132&gt;0,),'2 M-A +'!E$33*'2 M-A +'!E$32,0))/100</f>
        <v>0</v>
      </c>
      <c r="AS134" s="845">
        <f>IF(OR(BF134&gt;0,BS134&gt;0,CF134&gt;0,CS134&gt;0,),IF(OR(CF132&gt;0,BS132&gt;0,BF132&gt;0,CS132&gt;0,),'2 M-A +'!F$33*'2 M-A +'!F$32,0))/100</f>
        <v>0</v>
      </c>
      <c r="AT134" s="845">
        <f>IF(OR(BG134&gt;0,BT134&gt;0,CG134&gt;0,CT134&gt;0,),IF(OR(CG132&gt;0,BT132&gt;0,BG132&gt;0,CT132&gt;0,),'2 M-A +'!G$33*'2 M-A +'!G$32,0))/100</f>
        <v>0</v>
      </c>
      <c r="AU134" s="845">
        <f>IF(OR(BH134&gt;0,BU134&gt;0,CH134&gt;0,CU134&gt;0,),IF(OR(CH132&gt;0,BU132&gt;0,BH132&gt;0,CU132&gt;0,),'2 M-A +'!H$33*'2 M-A +'!H$32,0))/100</f>
        <v>0</v>
      </c>
      <c r="AV134" s="845">
        <f>IF(OR(BI134&gt;0,BV134&gt;0,CI134&gt;0,CV134&gt;0,),IF(OR(CI132&gt;0,BV132&gt;0,BI132&gt;0,CV132&gt;0,),'2 M-A +'!I$33*'2 M-A +'!I$32,0))/100</f>
        <v>0</v>
      </c>
      <c r="AW134" s="845">
        <f>IF(OR(BJ134&gt;0,BW134&gt;0,CJ134&gt;0,CW134&gt;0,),IF(OR(CJ132&gt;0,BW132&gt;0,BJ132&gt;0,CW132&gt;0,),'2 M-A +'!J$33*'2 M-A +'!J$32,0))/100</f>
        <v>0</v>
      </c>
      <c r="AX134" s="845">
        <f>IF(OR(BK134&gt;0,BX134&gt;0,CK134&gt;0,CX134&gt;0,),IF(OR(CK132&gt;0,BX132&gt;0,BK132&gt;0,CX132&gt;0,),'2 M-A +'!K$33*'2 M-A +'!K$32,0))/100</f>
        <v>0</v>
      </c>
      <c r="AY134" s="845">
        <f>IF(OR(BL134&gt;0,BY134&gt;0,CL134&gt;0,CY134&gt;0,),IF(OR(CL132&gt;0,BY132&gt;0,BL132&gt;0,CY132&gt;0,),'2 M-A +'!L$33*'2 M-A +'!L$32,0))/100</f>
        <v>0</v>
      </c>
      <c r="AZ134" s="845">
        <f>IF(OR(BM134&gt;0,BZ134&gt;0,CM134&gt;0,CZ134&gt;0,),IF(OR(CM132&gt;0,BZ132&gt;0,BM132&gt;0,CZ132&gt;0,),'2 M-A +'!M$33*'2 M-A +'!M$32,0))/100</f>
        <v>0</v>
      </c>
      <c r="BA134" s="845">
        <f>IF(OR(BN134&gt;0,CA134&gt;0,CN134&gt;0,DA134&gt;0,),IF(OR(CN132&gt;0,CA132&gt;0,BN132&gt;0,DA132&gt;0,),'2 M-A +'!N$33*'2 M-A +'!N$32,0))/100</f>
        <v>0</v>
      </c>
      <c r="BB134" s="838"/>
      <c r="BC134" s="845">
        <f>IF('2 M-A +'!C19='2 M-A +'!$B$38,('2 M-A +'!C18*4)/160,0)*'2 M-A +'!C$33</f>
        <v>0</v>
      </c>
      <c r="BD134" s="845">
        <f>IF('2 M-A +'!D19='2 M-A +'!$B$38,('2 M-A +'!D18*4)/160,0)*'2 M-A +'!D$33</f>
        <v>0</v>
      </c>
      <c r="BE134" s="845">
        <f>IF('2 M-A +'!E19='2 M-A +'!$B$38,('2 M-A +'!E18*4)/160,0)*'2 M-A +'!E$33</f>
        <v>0</v>
      </c>
      <c r="BF134" s="845">
        <f>IF('2 M-A +'!F19='2 M-A +'!$B$38,('2 M-A +'!F18*4)/160,0)*'2 M-A +'!F$33</f>
        <v>0</v>
      </c>
      <c r="BG134" s="845">
        <f>IF('2 M-A +'!G19='2 M-A +'!$B$38,('2 M-A +'!G18*4)/160,0)*'2 M-A +'!G$33</f>
        <v>0</v>
      </c>
      <c r="BH134" s="845">
        <f>IF('2 M-A +'!H19='2 M-A +'!$B$38,('2 M-A +'!H18*4)/160,0)*'2 M-A +'!H$33</f>
        <v>0</v>
      </c>
      <c r="BI134" s="845">
        <f>IF('2 M-A +'!I19='2 M-A +'!$B$38,('2 M-A +'!I18*4)/160,0)*'2 M-A +'!I$33</f>
        <v>0</v>
      </c>
      <c r="BJ134" s="845">
        <f>IF('2 M-A +'!J19='2 M-A +'!$B$38,('2 M-A +'!J18*4)/160,0)*'2 M-A +'!J$33</f>
        <v>0</v>
      </c>
      <c r="BK134" s="845">
        <f>IF('2 M-A +'!K19='2 M-A +'!$B$38,('2 M-A +'!K18*4)/160,0)*'2 M-A +'!K$33</f>
        <v>0</v>
      </c>
      <c r="BL134" s="845">
        <f>IF('2 M-A +'!L19='2 M-A +'!$B$38,('2 M-A +'!L18*4)/160,0)*'2 M-A +'!L$33</f>
        <v>0</v>
      </c>
      <c r="BM134" s="845">
        <f>IF('2 M-A +'!M19='2 M-A +'!$B$38,('2 M-A +'!M18*4)/160,0)*'2 M-A +'!M$33</f>
        <v>0</v>
      </c>
      <c r="BN134" s="845">
        <f>IF('2 M-A +'!N19='2 M-A +'!$B$38,('2 M-A +'!N18*4)/160,0)*'2 M-A +'!N$33</f>
        <v>0</v>
      </c>
      <c r="BO134" s="838"/>
      <c r="BP134" s="845">
        <f>IF('2 M-A +'!C19='2 M-A +'!$B$39,('2 M-A +'!C18*4)/160,0)*'2 M-A +'!C$33</f>
        <v>0</v>
      </c>
      <c r="BQ134" s="845">
        <f>IF('2 M-A +'!D19='2 M-A +'!$B$39,('2 M-A +'!D18*4)/160,0)*'2 M-A +'!D$33</f>
        <v>0</v>
      </c>
      <c r="BR134" s="845">
        <f>IF('2 M-A +'!E19='2 M-A +'!$B$39,('2 M-A +'!E18*4)/160,0)*'2 M-A +'!E$33</f>
        <v>0</v>
      </c>
      <c r="BS134" s="845">
        <f>IF('2 M-A +'!F19='2 M-A +'!$B$39,('2 M-A +'!F18*4)/160,0)*'2 M-A +'!F$33</f>
        <v>0</v>
      </c>
      <c r="BT134" s="845">
        <f>IF('2 M-A +'!G19='2 M-A +'!$B$39,('2 M-A +'!G18*4)/160,0)*'2 M-A +'!G$33</f>
        <v>0</v>
      </c>
      <c r="BU134" s="845">
        <f>IF('2 M-A +'!H19='2 M-A +'!$B$39,('2 M-A +'!H18*4)/160,0)*'2 M-A +'!H$33</f>
        <v>0</v>
      </c>
      <c r="BV134" s="845">
        <f>IF('2 M-A +'!I19='2 M-A +'!$B$39,('2 M-A +'!I18*4)/160,0)*'2 M-A +'!I$33</f>
        <v>0</v>
      </c>
      <c r="BW134" s="845">
        <f>IF('2 M-A +'!J19='2 M-A +'!$B$39,('2 M-A +'!J18*4)/160,0)*'2 M-A +'!J$33</f>
        <v>0</v>
      </c>
      <c r="BX134" s="845">
        <f>IF('2 M-A +'!K19='2 M-A +'!$B$39,('2 M-A +'!K18*4)/160,0)*'2 M-A +'!K$33</f>
        <v>0</v>
      </c>
      <c r="BY134" s="845">
        <f>IF('2 M-A +'!L19='2 M-A +'!$B$39,('2 M-A +'!L18*4)/160,0)*'2 M-A +'!L$33</f>
        <v>0</v>
      </c>
      <c r="BZ134" s="845">
        <f>IF('2 M-A +'!M19='2 M-A +'!$B$39,('2 M-A +'!M18*4)/160,0)*'2 M-A +'!M$33</f>
        <v>0</v>
      </c>
      <c r="CA134" s="845">
        <f>IF('2 M-A +'!N19='2 M-A +'!$B$39,('2 M-A +'!N18*4)/160,0)*'2 M-A +'!N$33</f>
        <v>0</v>
      </c>
      <c r="CB134" s="838"/>
      <c r="CC134" s="845">
        <f>IF('2 M-A +'!C19='2 M-A +'!$B$40,('2 M-A +'!C18*4)/160,0)*'2 M-A +'!C$33</f>
        <v>0</v>
      </c>
      <c r="CD134" s="845">
        <f>IF('2 M-A +'!D19='2 M-A +'!$B$40,('2 M-A +'!D18*4)/160,0)*'2 M-A +'!D$33</f>
        <v>0</v>
      </c>
      <c r="CE134" s="845">
        <f>IF('2 M-A +'!E19='2 M-A +'!$B$40,('2 M-A +'!E18*4)/160,0)*'2 M-A +'!E$33</f>
        <v>0</v>
      </c>
      <c r="CF134" s="845">
        <f>IF('2 M-A +'!F19='2 M-A +'!$B$40,('2 M-A +'!F18*4)/160,0)*'2 M-A +'!F$33</f>
        <v>0</v>
      </c>
      <c r="CG134" s="845">
        <f>IF('2 M-A +'!G19='2 M-A +'!$B$40,('2 M-A +'!G18*4)/160,0)*'2 M-A +'!G$33</f>
        <v>0</v>
      </c>
      <c r="CH134" s="845">
        <f>IF('2 M-A +'!H19='2 M-A +'!$B$40,('2 M-A +'!H18*4)/160,0)*'2 M-A +'!H$33</f>
        <v>0</v>
      </c>
      <c r="CI134" s="845">
        <f>IF('2 M-A +'!I19='2 M-A +'!$B$40,('2 M-A +'!I18*4)/160,0)*'2 M-A +'!I$33</f>
        <v>0</v>
      </c>
      <c r="CJ134" s="845">
        <f>IF('2 M-A +'!J19='2 M-A +'!$B$40,('2 M-A +'!J18*4)/160,0)*'2 M-A +'!J$33</f>
        <v>0</v>
      </c>
      <c r="CK134" s="845">
        <f>IF('2 M-A +'!K19='2 M-A +'!$B$40,('2 M-A +'!K18*4)/160,0)*'2 M-A +'!K$33</f>
        <v>0</v>
      </c>
      <c r="CL134" s="845">
        <f>IF('2 M-A +'!L19='2 M-A +'!$B$40,('2 M-A +'!L18*4)/160,0)*'2 M-A +'!L$33</f>
        <v>0</v>
      </c>
      <c r="CM134" s="845">
        <f>IF('2 M-A +'!M19='2 M-A +'!$B$40,('2 M-A +'!M18*4)/160,0)*'2 M-A +'!M$33</f>
        <v>0</v>
      </c>
      <c r="CN134" s="845">
        <f>IF('2 M-A +'!N19='2 M-A +'!$B$40,('2 M-A +'!N18*4)/160,0)*'2 M-A +'!N$33</f>
        <v>0</v>
      </c>
      <c r="CO134" s="838"/>
      <c r="CP134" s="845">
        <f>IF('2 M-A +'!C19='2 M-A +'!$B$41,('2 M-A +'!C18*4)/160,0)*'2 M-A +'!C$33</f>
        <v>0</v>
      </c>
      <c r="CQ134" s="845">
        <f>IF('2 M-A +'!D19='2 M-A +'!$B$41,('2 M-A +'!D18*4)/160,0)*'2 M-A +'!D$33</f>
        <v>0</v>
      </c>
      <c r="CR134" s="845">
        <f>IF('2 M-A +'!E19='2 M-A +'!$B$41,('2 M-A +'!E18*4)/160,0)*'2 M-A +'!E$33</f>
        <v>0</v>
      </c>
      <c r="CS134" s="845">
        <f>IF('2 M-A +'!F19='2 M-A +'!$B$41,('2 M-A +'!F18*4)/160,0)*'2 M-A +'!F$33</f>
        <v>0</v>
      </c>
      <c r="CT134" s="845">
        <f>IF('2 M-A +'!G19='2 M-A +'!$B$41,('2 M-A +'!G18*4)/160,0)*'2 M-A +'!G$33</f>
        <v>0</v>
      </c>
      <c r="CU134" s="845">
        <f>IF('2 M-A +'!H19='2 M-A +'!$B$41,('2 M-A +'!H18*4)/160,0)*'2 M-A +'!H$33</f>
        <v>0</v>
      </c>
      <c r="CV134" s="845">
        <f>IF('2 M-A +'!I19='2 M-A +'!$B$41,('2 M-A +'!I18*4)/160,0)*'2 M-A +'!I$33</f>
        <v>0</v>
      </c>
      <c r="CW134" s="845">
        <f>IF('2 M-A +'!J19='2 M-A +'!$B$41,('2 M-A +'!J18*4)/160,0)*'2 M-A +'!J$33</f>
        <v>0</v>
      </c>
      <c r="CX134" s="845">
        <f>IF('2 M-A +'!K19='2 M-A +'!$B$41,('2 M-A +'!K18*4)/160,0)*'2 M-A +'!K$33</f>
        <v>0</v>
      </c>
      <c r="CY134" s="845">
        <f>IF('2 M-A +'!L19='2 M-A +'!$B$41,('2 M-A +'!L18*4)/160,0)*'2 M-A +'!L$33</f>
        <v>0</v>
      </c>
      <c r="CZ134" s="845">
        <f>IF('2 M-A +'!M19='2 M-A +'!$B$41,('2 M-A +'!M18*4)/160,0)*'2 M-A +'!M$33</f>
        <v>0</v>
      </c>
      <c r="DA134" s="845">
        <f>IF('2 M-A +'!N19='2 M-A +'!$B$41,('2 M-A +'!N18*4)/160,0)*'2 M-A +'!N$33</f>
        <v>0</v>
      </c>
      <c r="DB134" s="838"/>
      <c r="DD134" s="845"/>
      <c r="DE134" s="845"/>
      <c r="DF134" s="845"/>
      <c r="DG134" s="845"/>
      <c r="DH134" s="845"/>
      <c r="DI134" s="845"/>
      <c r="DJ134" s="845"/>
      <c r="DK134" s="845"/>
      <c r="DL134" s="845"/>
      <c r="DM134" s="845"/>
      <c r="FN134" s="855"/>
      <c r="FO134" s="838"/>
      <c r="FP134" s="855"/>
      <c r="FQ134" s="838"/>
      <c r="FR134" s="855"/>
      <c r="FS134" s="838"/>
      <c r="FT134" s="855"/>
      <c r="FU134" s="838"/>
      <c r="FV134" s="855"/>
      <c r="FW134" s="838"/>
      <c r="FX134" s="855"/>
      <c r="FY134" s="838"/>
      <c r="FZ134" s="855"/>
      <c r="GA134" s="838"/>
      <c r="GB134" s="855"/>
      <c r="GC134" s="838"/>
      <c r="GD134" s="855"/>
      <c r="GE134" s="838"/>
      <c r="GF134" s="855"/>
      <c r="GG134" s="838"/>
      <c r="GH134" s="855"/>
      <c r="GI134" s="838"/>
      <c r="GJ134" s="855"/>
      <c r="GK134" s="855"/>
      <c r="GL134" s="838"/>
    </row>
    <row r="135" spans="2:194" x14ac:dyDescent="0.35">
      <c r="B135" s="678"/>
      <c r="C135" s="838">
        <f>IF('2 M-A +'!C$31=115,'2 M-A +'!C$33,0)</f>
        <v>0</v>
      </c>
      <c r="D135" s="838">
        <f>IF('2 M-A +'!D$31=115,'2 M-A +'!D$33,0)</f>
        <v>0</v>
      </c>
      <c r="E135" s="838">
        <f>IF('2 M-A +'!E$31=115,'2 M-A +'!E$33,0)</f>
        <v>0</v>
      </c>
      <c r="F135" s="838">
        <f>IF('2 M-A +'!F$31=115,'2 M-A +'!F$33,0)</f>
        <v>0</v>
      </c>
      <c r="G135" s="838">
        <f>IF('2 M-A +'!G$31=115,'2 M-A +'!G$33,0)</f>
        <v>0</v>
      </c>
      <c r="H135" s="838">
        <f>IF('2 M-A +'!H$31=115,'2 M-A +'!H$33,0)</f>
        <v>0</v>
      </c>
      <c r="I135" s="838">
        <f>IF('2 M-A +'!I$31=115,'2 M-A +'!I$33,0)</f>
        <v>0</v>
      </c>
      <c r="J135" s="838">
        <f>IF('2 M-A +'!J$31=115,'2 M-A +'!J$33,0)</f>
        <v>0</v>
      </c>
      <c r="K135" s="838">
        <f>IF('2 M-A +'!K$31=115,'2 M-A +'!K$33,0)</f>
        <v>0</v>
      </c>
      <c r="L135" s="838">
        <f>IF('2 M-A +'!L$31=115,'2 M-A +'!L$33,0)</f>
        <v>0</v>
      </c>
      <c r="M135" s="838">
        <f>IF('2 M-A +'!M$31=115,'2 M-A +'!M$33,0)</f>
        <v>0</v>
      </c>
      <c r="N135" s="838">
        <f>IF('2 M-A +'!N$31=115,'2 M-A +'!N$33,0)</f>
        <v>0</v>
      </c>
      <c r="O135" s="839">
        <f>SUM(C135:N135)</f>
        <v>0</v>
      </c>
      <c r="AB135" s="838"/>
      <c r="AC135" s="838"/>
      <c r="AD135" s="838"/>
      <c r="AE135" s="838"/>
      <c r="AF135" s="838"/>
      <c r="AG135" s="838"/>
      <c r="AH135" s="838"/>
      <c r="AI135" s="838"/>
      <c r="AJ135" s="838"/>
      <c r="AK135" s="838"/>
      <c r="AL135" s="838"/>
      <c r="AM135" s="838"/>
      <c r="AN135" s="838"/>
      <c r="AO135" s="838"/>
      <c r="BB135" s="838"/>
      <c r="BO135" s="838"/>
      <c r="CB135" s="838"/>
      <c r="CO135" s="838"/>
      <c r="DB135" s="838"/>
      <c r="FN135" s="855"/>
      <c r="FO135" s="838"/>
      <c r="FP135" s="855"/>
      <c r="FQ135" s="838"/>
      <c r="FR135" s="855"/>
      <c r="FS135" s="838"/>
      <c r="FT135" s="855"/>
      <c r="FU135" s="838"/>
      <c r="FV135" s="855"/>
      <c r="FW135" s="838"/>
      <c r="FX135" s="855"/>
      <c r="FY135" s="838"/>
      <c r="FZ135" s="855"/>
      <c r="GA135" s="838"/>
      <c r="GB135" s="855"/>
      <c r="GC135" s="838"/>
      <c r="GD135" s="855"/>
      <c r="GE135" s="838"/>
      <c r="GF135" s="855"/>
      <c r="GG135" s="838"/>
      <c r="GH135" s="855"/>
      <c r="GI135" s="838"/>
      <c r="GJ135" s="855"/>
      <c r="GK135" s="855"/>
      <c r="GL135" s="838"/>
    </row>
    <row r="136" spans="2:194" x14ac:dyDescent="0.35">
      <c r="B136" s="678"/>
      <c r="C136" s="838">
        <f>IF('2 M-A +'!C$31=95,'2 M-A +'!C$33,0)</f>
        <v>0</v>
      </c>
      <c r="D136" s="838">
        <f>IF('2 M-A +'!D$31=95,'2 M-A +'!D$33,0)</f>
        <v>0</v>
      </c>
      <c r="E136" s="838">
        <f>IF('2 M-A +'!E$31=95,'2 M-A +'!E$33,0)</f>
        <v>0</v>
      </c>
      <c r="F136" s="838">
        <f>IF('2 M-A +'!F$31=95,'2 M-A +'!F$33,0)</f>
        <v>0</v>
      </c>
      <c r="G136" s="838">
        <f>IF('2 M-A +'!G$31=95,'2 M-A +'!G$33,0)</f>
        <v>0</v>
      </c>
      <c r="H136" s="838">
        <f>IF('2 M-A +'!H$31=95,'2 M-A +'!H$33,0)</f>
        <v>0</v>
      </c>
      <c r="I136" s="838">
        <f>IF('2 M-A +'!I$31=95,'2 M-A +'!I$33,0)</f>
        <v>0</v>
      </c>
      <c r="J136" s="838">
        <f>IF('2 M-A +'!J$31=95,'2 M-A +'!J$33,0)</f>
        <v>0</v>
      </c>
      <c r="K136" s="838">
        <f>IF('2 M-A +'!K$31=95,'2 M-A +'!K$33,0)</f>
        <v>0</v>
      </c>
      <c r="L136" s="838">
        <f>IF('2 M-A +'!L$31=95,'2 M-A +'!L$33,0)</f>
        <v>0</v>
      </c>
      <c r="M136" s="838">
        <f>IF('2 M-A +'!M$31=95,'2 M-A +'!M$33,0)</f>
        <v>0</v>
      </c>
      <c r="N136" s="838">
        <f>IF('2 M-A +'!N$31=95,'2 M-A +'!N$33,0)</f>
        <v>0</v>
      </c>
      <c r="O136" s="839">
        <f>SUM(C136:N136)</f>
        <v>0</v>
      </c>
      <c r="P136" s="838">
        <f>IF(AC136&gt;0,IF(AC134&gt;0,1,0))*'2 M-A +'!C$33</f>
        <v>0</v>
      </c>
      <c r="Q136" s="838">
        <f>IF(AD136&gt;0,IF(AD134&gt;0,1,0))*'2 M-A +'!D$33</f>
        <v>0</v>
      </c>
      <c r="R136" s="838">
        <f>IF(AE136&gt;0,IF(AE134&gt;0,1,0))*'2 M-A +'!E$33</f>
        <v>0</v>
      </c>
      <c r="S136" s="838">
        <f>IF(AF136&gt;0,IF(AF134&gt;0,1,0))*'2 M-A +'!F$33</f>
        <v>0</v>
      </c>
      <c r="T136" s="838">
        <f>IF(AG136&gt;0,IF(AG134&gt;0,1,0))*'2 M-A +'!G$33</f>
        <v>0</v>
      </c>
      <c r="U136" s="838">
        <f>IF(AH136&gt;0,IF(AH134&gt;0,1,0))*'2 M-A +'!H$33</f>
        <v>0</v>
      </c>
      <c r="V136" s="838">
        <f>IF(AI136&gt;0,IF(AI134&gt;0,1,0))*'2 M-A +'!I$33</f>
        <v>0</v>
      </c>
      <c r="W136" s="838">
        <f>IF(AJ136&gt;0,IF(AJ134&gt;0,1,0))*'2 M-A +'!J$33</f>
        <v>0</v>
      </c>
      <c r="X136" s="838">
        <f>IF(AK136&gt;0,IF(AK134&gt;0,1,0))*'2 M-A +'!K$33</f>
        <v>0</v>
      </c>
      <c r="Y136" s="838">
        <f>IF(AL136&gt;0,IF(AL134&gt;0,1,0))*'2 M-A +'!L$33</f>
        <v>0</v>
      </c>
      <c r="Z136" s="838">
        <f>IF(AM136&gt;0,IF(AM134&gt;0,1,0))*'2 M-A +'!M$33</f>
        <v>0</v>
      </c>
      <c r="AA136" s="838">
        <f>IF(AN136&gt;0,IF(AN134&gt;0,1,0))*'2 M-A +'!N$33</f>
        <v>0</v>
      </c>
      <c r="AB136" s="838"/>
      <c r="AC136" s="838">
        <f>IF(OR('2 M-A +'!C21="V",'2 M-A +'!C21="VT",'2 M-A +'!C21="VSB",'2 M-A +'!C21="VTT",),1,0)*'2 M-A +'!C$33</f>
        <v>0</v>
      </c>
      <c r="AD136" s="838">
        <f>IF(OR('2 M-A +'!D21="V",'2 M-A +'!D21="VT",'2 M-A +'!D21="VSB",'2 M-A +'!D21="VTT",),1,0)*'2 M-A +'!D$33</f>
        <v>0</v>
      </c>
      <c r="AE136" s="838">
        <f>IF(OR('2 M-A +'!E21="V",'2 M-A +'!E21="VT",'2 M-A +'!E21="VSB",'2 M-A +'!E21="VTT",),1,0)*'2 M-A +'!E$33</f>
        <v>0</v>
      </c>
      <c r="AF136" s="838">
        <f>IF(OR('2 M-A +'!F21="V",'2 M-A +'!F21="VT",'2 M-A +'!F21="VSB",'2 M-A +'!F21="VTT",),1,0)*'2 M-A +'!F$33</f>
        <v>0</v>
      </c>
      <c r="AG136" s="838">
        <f>IF(OR('2 M-A +'!G21="V",'2 M-A +'!G21="VT",'2 M-A +'!G21="VSB",'2 M-A +'!G21="VTT",),1,0)*'2 M-A +'!G$33</f>
        <v>0</v>
      </c>
      <c r="AH136" s="838">
        <f>IF(OR('2 M-A +'!H21="V",'2 M-A +'!H21="VT",'2 M-A +'!H21="VSB",'2 M-A +'!H21="VTT",),1,0)*'2 M-A +'!H$33</f>
        <v>0</v>
      </c>
      <c r="AI136" s="838">
        <f>IF(OR('2 M-A +'!I21="V",'2 M-A +'!I21="VT",'2 M-A +'!I21="VSB",'2 M-A +'!I21="VTT",),1,0)*'2 M-A +'!I$33</f>
        <v>0</v>
      </c>
      <c r="AJ136" s="838">
        <f>IF(OR('2 M-A +'!J21="V",'2 M-A +'!J21="VT",'2 M-A +'!J21="VSB",'2 M-A +'!J21="VTT",),1,0)*'2 M-A +'!J$33</f>
        <v>0</v>
      </c>
      <c r="AK136" s="838">
        <f>IF(OR('2 M-A +'!K21="V",'2 M-A +'!K21="VT",'2 M-A +'!K21="VSB",'2 M-A +'!K21="VTT",),1,0)*'2 M-A +'!K$33</f>
        <v>0</v>
      </c>
      <c r="AL136" s="838">
        <f>IF(OR('2 M-A +'!L21="V",'2 M-A +'!L21="VT",'2 M-A +'!L21="VSB",'2 M-A +'!L21="VTT",),1,0)*'2 M-A +'!L$33</f>
        <v>0</v>
      </c>
      <c r="AM136" s="838">
        <f>IF(OR('2 M-A +'!M21="V",'2 M-A +'!M21="VT",'2 M-A +'!M21="VSB",'2 M-A +'!M21="VTT",),1,0)*'2 M-A +'!M$33</f>
        <v>0</v>
      </c>
      <c r="AN136" s="838">
        <f>IF(OR('2 M-A +'!N21="V",'2 M-A +'!N21="VT",'2 M-A +'!N21="VSB",'2 M-A +'!N21="VTT",),1,0)*'2 M-A +'!N$33</f>
        <v>0</v>
      </c>
      <c r="AO136" s="838"/>
      <c r="AP136" s="845">
        <f>IF(OR(BC136&gt;0,BP136&gt;0,CC136&gt;0,CP136&gt;0,),IF(OR(CC134&gt;0,BP134&gt;0,BC134&gt;0,CP134&gt;0,),'2 M-A +'!C$33*'2 M-A +'!C$32,0))/100</f>
        <v>0</v>
      </c>
      <c r="AQ136" s="845">
        <f>IF(OR(BD136&gt;0,BQ136&gt;0,CD136&gt;0,CQ136&gt;0,),IF(OR(CD134&gt;0,BQ134&gt;0,BD134&gt;0,CQ134&gt;0,),'2 M-A +'!D$33*'2 M-A +'!D$32,0))/100</f>
        <v>0</v>
      </c>
      <c r="AR136" s="845">
        <f>IF(OR(BE136&gt;0,BR136&gt;0,CE136&gt;0,CR136&gt;0,),IF(OR(CE134&gt;0,BR134&gt;0,BE134&gt;0,CR134&gt;0,),'2 M-A +'!E$33*'2 M-A +'!E$32,0))/100</f>
        <v>0</v>
      </c>
      <c r="AS136" s="845">
        <f>IF(OR(BF136&gt;0,BS136&gt;0,CF136&gt;0,CS136&gt;0,),IF(OR(CF134&gt;0,BS134&gt;0,BF134&gt;0,CS134&gt;0,),'2 M-A +'!F$33*'2 M-A +'!F$32,0))/100</f>
        <v>0</v>
      </c>
      <c r="AT136" s="845">
        <f>IF(OR(BG136&gt;0,BT136&gt;0,CG136&gt;0,CT136&gt;0,),IF(OR(CG134&gt;0,BT134&gt;0,BG134&gt;0,CT134&gt;0,),'2 M-A +'!G$33*'2 M-A +'!G$32,0))/100</f>
        <v>0</v>
      </c>
      <c r="AU136" s="845">
        <f>IF(OR(BH136&gt;0,BU136&gt;0,CH136&gt;0,CU136&gt;0,),IF(OR(CH134&gt;0,BU134&gt;0,BH134&gt;0,CU134&gt;0,),'2 M-A +'!H$33*'2 M-A +'!H$32,0))/100</f>
        <v>0</v>
      </c>
      <c r="AV136" s="845">
        <f>IF(OR(BI136&gt;0,BV136&gt;0,CI136&gt;0,CV136&gt;0,),IF(OR(CI134&gt;0,BV134&gt;0,BI134&gt;0,CV134&gt;0,),'2 M-A +'!I$33*'2 M-A +'!I$32,0))/100</f>
        <v>0</v>
      </c>
      <c r="AW136" s="845">
        <f>IF(OR(BJ136&gt;0,BW136&gt;0,CJ136&gt;0,CW136&gt;0,),IF(OR(CJ134&gt;0,BW134&gt;0,BJ134&gt;0,CW134&gt;0,),'2 M-A +'!J$33*'2 M-A +'!J$32,0))/100</f>
        <v>0</v>
      </c>
      <c r="AX136" s="845">
        <f>IF(OR(BK136&gt;0,BX136&gt;0,CK136&gt;0,CX136&gt;0,),IF(OR(CK134&gt;0,BX134&gt;0,BK134&gt;0,CX134&gt;0,),'2 M-A +'!K$33*'2 M-A +'!K$32,0))/100</f>
        <v>0</v>
      </c>
      <c r="AY136" s="845">
        <f>IF(OR(BL136&gt;0,BY136&gt;0,CL136&gt;0,CY136&gt;0,),IF(OR(CL134&gt;0,BY134&gt;0,BL134&gt;0,CY134&gt;0,),'2 M-A +'!L$33*'2 M-A +'!L$32,0))/100</f>
        <v>0</v>
      </c>
      <c r="AZ136" s="845">
        <f>IF(OR(BM136&gt;0,BZ136&gt;0,CM136&gt;0,CZ136&gt;0,),IF(OR(CM134&gt;0,BZ134&gt;0,BM134&gt;0,CZ134&gt;0,),'2 M-A +'!M$33*'2 M-A +'!M$32,0))/100</f>
        <v>0</v>
      </c>
      <c r="BA136" s="845">
        <f>IF(OR(BN136&gt;0,CA136&gt;0,CN136&gt;0,DA136&gt;0,),IF(OR(CN134&gt;0,CA134&gt;0,BN134&gt;0,DA134&gt;0,),'2 M-A +'!N$33*'2 M-A +'!N$32,0))/100</f>
        <v>0</v>
      </c>
      <c r="BB136" s="838"/>
      <c r="BC136" s="845">
        <f>IF('2 M-A +'!C21='2 M-A +'!$B$38,('2 M-A +'!C20*4)/160,0)*'2 M-A +'!C$33</f>
        <v>0</v>
      </c>
      <c r="BD136" s="845">
        <f>IF('2 M-A +'!D21='2 M-A +'!$B$38,('2 M-A +'!D20*4)/160,0)*'2 M-A +'!D$33</f>
        <v>0</v>
      </c>
      <c r="BE136" s="845">
        <f>IF('2 M-A +'!E21='2 M-A +'!$B$38,('2 M-A +'!E20*4)/160,0)*'2 M-A +'!E$33</f>
        <v>0</v>
      </c>
      <c r="BF136" s="845">
        <f>IF('2 M-A +'!F21='2 M-A +'!$B$38,('2 M-A +'!F20*4)/160,0)*'2 M-A +'!F$33</f>
        <v>0</v>
      </c>
      <c r="BG136" s="845">
        <f>IF('2 M-A +'!G21='2 M-A +'!$B$38,('2 M-A +'!G20*4)/160,0)*'2 M-A +'!G$33</f>
        <v>0</v>
      </c>
      <c r="BH136" s="845">
        <f>IF('2 M-A +'!H21='2 M-A +'!$B$38,('2 M-A +'!H20*4)/160,0)*'2 M-A +'!H$33</f>
        <v>0</v>
      </c>
      <c r="BI136" s="845">
        <f>IF('2 M-A +'!I21='2 M-A +'!$B$38,('2 M-A +'!I20*4)/160,0)*'2 M-A +'!I$33</f>
        <v>0</v>
      </c>
      <c r="BJ136" s="845">
        <f>IF('2 M-A +'!J21='2 M-A +'!$B$38,('2 M-A +'!J20*4)/160,0)*'2 M-A +'!J$33</f>
        <v>0</v>
      </c>
      <c r="BK136" s="845">
        <f>IF('2 M-A +'!K21='2 M-A +'!$B$38,('2 M-A +'!K20*4)/160,0)*'2 M-A +'!K$33</f>
        <v>0</v>
      </c>
      <c r="BL136" s="845">
        <f>IF('2 M-A +'!L21='2 M-A +'!$B$38,('2 M-A +'!L20*4)/160,0)*'2 M-A +'!L$33</f>
        <v>0</v>
      </c>
      <c r="BM136" s="845">
        <f>IF('2 M-A +'!M21='2 M-A +'!$B$38,('2 M-A +'!M20*4)/160,0)*'2 M-A +'!M$33</f>
        <v>0</v>
      </c>
      <c r="BN136" s="845">
        <f>IF('2 M-A +'!N21='2 M-A +'!$B$38,('2 M-A +'!N20*4)/160,0)*'2 M-A +'!N$33</f>
        <v>0</v>
      </c>
      <c r="BO136" s="838"/>
      <c r="BP136" s="845">
        <f>IF('2 M-A +'!C21='2 M-A +'!$B$39,('2 M-A +'!C20*4)/160,0)*'2 M-A +'!C$33</f>
        <v>0</v>
      </c>
      <c r="BQ136" s="845">
        <f>IF('2 M-A +'!D21='2 M-A +'!$B$39,('2 M-A +'!D20*4)/160,0)*'2 M-A +'!D$33</f>
        <v>0</v>
      </c>
      <c r="BR136" s="845">
        <f>IF('2 M-A +'!E21='2 M-A +'!$B$39,('2 M-A +'!E20*4)/160,0)*'2 M-A +'!E$33</f>
        <v>0</v>
      </c>
      <c r="BS136" s="845">
        <f>IF('2 M-A +'!F21='2 M-A +'!$B$39,('2 M-A +'!F20*4)/160,0)*'2 M-A +'!F$33</f>
        <v>0</v>
      </c>
      <c r="BT136" s="845">
        <f>IF('2 M-A +'!G21='2 M-A +'!$B$39,('2 M-A +'!G20*4)/160,0)*'2 M-A +'!G$33</f>
        <v>0</v>
      </c>
      <c r="BU136" s="845">
        <f>IF('2 M-A +'!H21='2 M-A +'!$B$39,('2 M-A +'!H20*4)/160,0)*'2 M-A +'!H$33</f>
        <v>0</v>
      </c>
      <c r="BV136" s="845">
        <f>IF('2 M-A +'!I21='2 M-A +'!$B$39,('2 M-A +'!I20*4)/160,0)*'2 M-A +'!I$33</f>
        <v>0</v>
      </c>
      <c r="BW136" s="845">
        <f>IF('2 M-A +'!J21='2 M-A +'!$B$39,('2 M-A +'!J20*4)/160,0)*'2 M-A +'!J$33</f>
        <v>0</v>
      </c>
      <c r="BX136" s="845">
        <f>IF('2 M-A +'!K21='2 M-A +'!$B$39,('2 M-A +'!K20*4)/160,0)*'2 M-A +'!K$33</f>
        <v>0</v>
      </c>
      <c r="BY136" s="845">
        <f>IF('2 M-A +'!L21='2 M-A +'!$B$39,('2 M-A +'!L20*4)/160,0)*'2 M-A +'!L$33</f>
        <v>0</v>
      </c>
      <c r="BZ136" s="845">
        <f>IF('2 M-A +'!M21='2 M-A +'!$B$39,('2 M-A +'!M20*4)/160,0)*'2 M-A +'!M$33</f>
        <v>0</v>
      </c>
      <c r="CA136" s="845">
        <f>IF('2 M-A +'!N21='2 M-A +'!$B$39,('2 M-A +'!N20*4)/160,0)*'2 M-A +'!N$33</f>
        <v>0</v>
      </c>
      <c r="CB136" s="838"/>
      <c r="CC136" s="845">
        <f>IF('2 M-A +'!C21='2 M-A +'!$B$40,('2 M-A +'!C20*4)/160,0)*'2 M-A +'!C$33</f>
        <v>0</v>
      </c>
      <c r="CD136" s="845">
        <f>IF('2 M-A +'!D21='2 M-A +'!$B$40,('2 M-A +'!D20*4)/160,0)*'2 M-A +'!D$33</f>
        <v>0</v>
      </c>
      <c r="CE136" s="845">
        <f>IF('2 M-A +'!E21='2 M-A +'!$B$40,('2 M-A +'!E20*4)/160,0)*'2 M-A +'!E$33</f>
        <v>0</v>
      </c>
      <c r="CF136" s="845">
        <f>IF('2 M-A +'!F21='2 M-A +'!$B$40,('2 M-A +'!F20*4)/160,0)*'2 M-A +'!F$33</f>
        <v>0</v>
      </c>
      <c r="CG136" s="845">
        <f>IF('2 M-A +'!G21='2 M-A +'!$B$40,('2 M-A +'!G20*4)/160,0)*'2 M-A +'!G$33</f>
        <v>0</v>
      </c>
      <c r="CH136" s="845">
        <f>IF('2 M-A +'!H21='2 M-A +'!$B$40,('2 M-A +'!H20*4)/160,0)*'2 M-A +'!H$33</f>
        <v>0</v>
      </c>
      <c r="CI136" s="845">
        <f>IF('2 M-A +'!I21='2 M-A +'!$B$40,('2 M-A +'!I20*4)/160,0)*'2 M-A +'!I$33</f>
        <v>0</v>
      </c>
      <c r="CJ136" s="845">
        <f>IF('2 M-A +'!J21='2 M-A +'!$B$40,('2 M-A +'!J20*4)/160,0)*'2 M-A +'!J$33</f>
        <v>0</v>
      </c>
      <c r="CK136" s="845">
        <f>IF('2 M-A +'!K21='2 M-A +'!$B$40,('2 M-A +'!K20*4)/160,0)*'2 M-A +'!K$33</f>
        <v>0</v>
      </c>
      <c r="CL136" s="845">
        <f>IF('2 M-A +'!L21='2 M-A +'!$B$40,('2 M-A +'!L20*4)/160,0)*'2 M-A +'!L$33</f>
        <v>0</v>
      </c>
      <c r="CM136" s="845">
        <f>IF('2 M-A +'!M21='2 M-A +'!$B$40,('2 M-A +'!M20*4)/160,0)*'2 M-A +'!M$33</f>
        <v>0</v>
      </c>
      <c r="CN136" s="845">
        <f>IF('2 M-A +'!N21='2 M-A +'!$B$40,('2 M-A +'!N20*4)/160,0)*'2 M-A +'!N$33</f>
        <v>0</v>
      </c>
      <c r="CO136" s="838"/>
      <c r="CP136" s="845">
        <f>IF('2 M-A +'!C21='2 M-A +'!$B$41,('2 M-A +'!C20*4)/160,0)*'2 M-A +'!C$33</f>
        <v>0</v>
      </c>
      <c r="CQ136" s="845">
        <f>IF('2 M-A +'!D21='2 M-A +'!$B$41,('2 M-A +'!D20*4)/160,0)*'2 M-A +'!D$33</f>
        <v>0</v>
      </c>
      <c r="CR136" s="845">
        <f>IF('2 M-A +'!E21='2 M-A +'!$B$41,('2 M-A +'!E20*4)/160,0)*'2 M-A +'!E$33</f>
        <v>0</v>
      </c>
      <c r="CS136" s="845">
        <f>IF('2 M-A +'!F21='2 M-A +'!$B$41,('2 M-A +'!F20*4)/160,0)*'2 M-A +'!F$33</f>
        <v>0</v>
      </c>
      <c r="CT136" s="845">
        <f>IF('2 M-A +'!G21='2 M-A +'!$B$41,('2 M-A +'!G20*4)/160,0)*'2 M-A +'!G$33</f>
        <v>0</v>
      </c>
      <c r="CU136" s="845">
        <f>IF('2 M-A +'!H21='2 M-A +'!$B$41,('2 M-A +'!H20*4)/160,0)*'2 M-A +'!H$33</f>
        <v>0</v>
      </c>
      <c r="CV136" s="845">
        <f>IF('2 M-A +'!I21='2 M-A +'!$B$41,('2 M-A +'!I20*4)/160,0)*'2 M-A +'!I$33</f>
        <v>0</v>
      </c>
      <c r="CW136" s="845">
        <f>IF('2 M-A +'!J21='2 M-A +'!$B$41,('2 M-A +'!J20*4)/160,0)*'2 M-A +'!J$33</f>
        <v>0</v>
      </c>
      <c r="CX136" s="845">
        <f>IF('2 M-A +'!K21='2 M-A +'!$B$41,('2 M-A +'!K20*4)/160,0)*'2 M-A +'!K$33</f>
        <v>0</v>
      </c>
      <c r="CY136" s="845">
        <f>IF('2 M-A +'!L21='2 M-A +'!$B$41,('2 M-A +'!L20*4)/160,0)*'2 M-A +'!L$33</f>
        <v>0</v>
      </c>
      <c r="CZ136" s="845">
        <f>IF('2 M-A +'!M21='2 M-A +'!$B$41,('2 M-A +'!M20*4)/160,0)*'2 M-A +'!M$33</f>
        <v>0</v>
      </c>
      <c r="DA136" s="845">
        <f>IF('2 M-A +'!N21='2 M-A +'!$B$41,('2 M-A +'!N20*4)/160,0)*'2 M-A +'!N$33</f>
        <v>0</v>
      </c>
      <c r="DB136" s="838"/>
      <c r="FN136" s="838"/>
      <c r="FO136" s="838"/>
      <c r="FP136" s="838"/>
      <c r="FQ136" s="838"/>
      <c r="FR136" s="838"/>
      <c r="FS136" s="838"/>
      <c r="FT136" s="838"/>
      <c r="FU136" s="838"/>
      <c r="FV136" s="838"/>
      <c r="FW136" s="838"/>
      <c r="FX136" s="838"/>
      <c r="FY136" s="838"/>
      <c r="FZ136" s="838"/>
      <c r="GA136" s="838"/>
      <c r="GB136" s="838"/>
      <c r="GC136" s="838"/>
      <c r="GD136" s="838"/>
      <c r="GE136" s="838"/>
      <c r="GF136" s="838"/>
      <c r="GG136" s="838"/>
      <c r="GH136" s="838"/>
      <c r="GI136" s="838"/>
      <c r="GJ136" s="838"/>
      <c r="GK136" s="838"/>
      <c r="GL136" s="838"/>
    </row>
    <row r="137" spans="2:194" x14ac:dyDescent="0.35">
      <c r="B137" s="678"/>
      <c r="C137" s="838"/>
      <c r="D137" s="838"/>
      <c r="E137" s="838"/>
      <c r="F137" s="838"/>
      <c r="G137" s="838"/>
      <c r="H137" s="838"/>
      <c r="I137" s="838"/>
      <c r="J137" s="838"/>
      <c r="K137" s="838"/>
      <c r="L137" s="838"/>
      <c r="M137" s="838"/>
      <c r="N137" s="838"/>
      <c r="O137" s="838"/>
      <c r="AB137" s="838"/>
      <c r="AC137" s="838"/>
      <c r="AD137" s="838"/>
      <c r="AE137" s="838"/>
      <c r="AF137" s="838"/>
      <c r="AG137" s="838"/>
      <c r="AH137" s="838"/>
      <c r="AI137" s="838"/>
      <c r="AJ137" s="838"/>
      <c r="AK137" s="838"/>
      <c r="AL137" s="838"/>
      <c r="AM137" s="838"/>
      <c r="AN137" s="838"/>
      <c r="AO137" s="838"/>
      <c r="BB137" s="838"/>
      <c r="BO137" s="838"/>
      <c r="CB137" s="838"/>
      <c r="CO137" s="838"/>
      <c r="DB137" s="838"/>
      <c r="FN137" s="855"/>
      <c r="FO137" s="838"/>
      <c r="FP137" s="855"/>
      <c r="FQ137" s="838"/>
      <c r="FR137" s="855"/>
      <c r="FS137" s="838"/>
      <c r="FT137" s="855"/>
      <c r="FU137" s="838"/>
      <c r="FV137" s="855"/>
      <c r="FW137" s="838"/>
      <c r="FX137" s="855"/>
      <c r="FY137" s="838"/>
      <c r="FZ137" s="855"/>
      <c r="GA137" s="838"/>
      <c r="GB137" s="855"/>
      <c r="GC137" s="838"/>
      <c r="GD137" s="855"/>
      <c r="GE137" s="838"/>
      <c r="GF137" s="855"/>
      <c r="GG137" s="838"/>
      <c r="GH137" s="855"/>
      <c r="GI137" s="838"/>
      <c r="GJ137" s="855"/>
      <c r="GK137" s="855"/>
      <c r="GL137" s="838"/>
    </row>
    <row r="138" spans="2:194" x14ac:dyDescent="0.35">
      <c r="B138" s="678"/>
      <c r="C138" s="838"/>
      <c r="D138" s="838"/>
      <c r="E138" s="838"/>
      <c r="F138" s="838"/>
      <c r="G138" s="838"/>
      <c r="H138" s="838"/>
      <c r="I138" s="838"/>
      <c r="J138" s="838"/>
      <c r="K138" s="838"/>
      <c r="L138" s="838"/>
      <c r="M138" s="838"/>
      <c r="N138" s="838"/>
      <c r="O138" s="838"/>
      <c r="P138" s="838">
        <f>IF(AC138&gt;0,IF(AC136&gt;0,1,0))*'2 M-A +'!C$33</f>
        <v>0</v>
      </c>
      <c r="Q138" s="838">
        <f>IF(AD138&gt;0,IF(AD136&gt;0,1,0))*'2 M-A +'!D$33</f>
        <v>0</v>
      </c>
      <c r="R138" s="838">
        <f>IF(AE138&gt;0,IF(AE136&gt;0,1,0))*'2 M-A +'!E$33</f>
        <v>0</v>
      </c>
      <c r="S138" s="838">
        <f>IF(AF138&gt;0,IF(AF136&gt;0,1,0))*'2 M-A +'!F$33</f>
        <v>0</v>
      </c>
      <c r="T138" s="838">
        <f>IF(AG138&gt;0,IF(AG136&gt;0,1,0))*'2 M-A +'!G$33</f>
        <v>0</v>
      </c>
      <c r="U138" s="838">
        <f>IF(AH138&gt;0,IF(AH136&gt;0,1,0))*'2 M-A +'!H$33</f>
        <v>0</v>
      </c>
      <c r="V138" s="838">
        <f>IF(AI138&gt;0,IF(AI136&gt;0,1,0))*'2 M-A +'!I$33</f>
        <v>0</v>
      </c>
      <c r="W138" s="838">
        <f>IF(AJ138&gt;0,IF(AJ136&gt;0,1,0))*'2 M-A +'!J$33</f>
        <v>0</v>
      </c>
      <c r="X138" s="838">
        <f>IF(AK138&gt;0,IF(AK136&gt;0,1,0))*'2 M-A +'!K$33</f>
        <v>0</v>
      </c>
      <c r="Y138" s="838">
        <f>IF(AL138&gt;0,IF(AL136&gt;0,1,0))*'2 M-A +'!L$33</f>
        <v>0</v>
      </c>
      <c r="Z138" s="838">
        <f>IF(AM138&gt;0,IF(AM136&gt;0,1,0))*'2 M-A +'!M$33</f>
        <v>0</v>
      </c>
      <c r="AA138" s="838">
        <f>IF(AN138&gt;0,IF(AN136&gt;0,1,0))*'2 M-A +'!N$33</f>
        <v>0</v>
      </c>
      <c r="AB138" s="838"/>
      <c r="AC138" s="838">
        <f>IF(OR('2 M-A +'!C23="V",'2 M-A +'!C23="VT",'2 M-A +'!C23="VSB",'2 M-A +'!C23="VTT",),1,0)*'2 M-A +'!C$33</f>
        <v>0</v>
      </c>
      <c r="AD138" s="838">
        <f>IF(OR('2 M-A +'!D23="V",'2 M-A +'!D23="VT",'2 M-A +'!D23="VSB",'2 M-A +'!D23="VTT",),1,0)*'2 M-A +'!D$33</f>
        <v>0</v>
      </c>
      <c r="AE138" s="838">
        <f>IF(OR('2 M-A +'!E23="V",'2 M-A +'!E23="VT",'2 M-A +'!E23="VSB",'2 M-A +'!E23="VTT",),1,0)*'2 M-A +'!E$33</f>
        <v>0</v>
      </c>
      <c r="AF138" s="838">
        <f>IF(OR('2 M-A +'!F23="V",'2 M-A +'!F23="VT",'2 M-A +'!F23="VSB",'2 M-A +'!F23="VTT",),1,0)*'2 M-A +'!F$33</f>
        <v>0</v>
      </c>
      <c r="AG138" s="838">
        <f>IF(OR('2 M-A +'!G23="V",'2 M-A +'!G23="VT",'2 M-A +'!G23="VSB",'2 M-A +'!G23="VTT",),1,0)*'2 M-A +'!G$33</f>
        <v>0</v>
      </c>
      <c r="AH138" s="838">
        <f>IF(OR('2 M-A +'!H23="V",'2 M-A +'!H23="VT",'2 M-A +'!H23="VSB",'2 M-A +'!H23="VTT",),1,0)*'2 M-A +'!H$33</f>
        <v>0</v>
      </c>
      <c r="AI138" s="838">
        <f>IF(OR('2 M-A +'!I23="V",'2 M-A +'!I23="VT",'2 M-A +'!I23="VSB",'2 M-A +'!I23="VTT",),1,0)*'2 M-A +'!I$33</f>
        <v>0</v>
      </c>
      <c r="AJ138" s="838">
        <f>IF(OR('2 M-A +'!J23="V",'2 M-A +'!J23="VT",'2 M-A +'!J23="VSB",'2 M-A +'!J23="VTT",),1,0)*'2 M-A +'!J$33</f>
        <v>0</v>
      </c>
      <c r="AK138" s="838">
        <f>IF(OR('2 M-A +'!K23="V",'2 M-A +'!K23="VT",'2 M-A +'!K23="VSB",'2 M-A +'!K23="VTT",),1,0)*'2 M-A +'!K$33</f>
        <v>0</v>
      </c>
      <c r="AL138" s="838">
        <f>IF(OR('2 M-A +'!L23="V",'2 M-A +'!L23="VT",'2 M-A +'!L23="VSB",'2 M-A +'!L23="VTT",),1,0)*'2 M-A +'!L$33</f>
        <v>0</v>
      </c>
      <c r="AM138" s="838">
        <f>IF(OR('2 M-A +'!M23="V",'2 M-A +'!M23="VT",'2 M-A +'!M23="VSB",'2 M-A +'!M23="VTT",),1,0)*'2 M-A +'!M$33</f>
        <v>0</v>
      </c>
      <c r="AN138" s="838">
        <f>IF(OR('2 M-A +'!N23="V",'2 M-A +'!N23="VT",'2 M-A +'!N23="VSB",'2 M-A +'!N23="VTT",),1,0)*'2 M-A +'!N$33</f>
        <v>0</v>
      </c>
      <c r="AO138" s="838"/>
      <c r="AP138" s="845">
        <f>IF(OR(BC138&gt;0,BP138&gt;0,CC138&gt;0,CP138&gt;0,),IF(OR(CC136&gt;0,BP136&gt;0,BC136&gt;0,CP136&gt;0,),'2 M-A +'!C$33*'2 M-A +'!C$32,0))/100</f>
        <v>0</v>
      </c>
      <c r="AQ138" s="845">
        <f>IF(OR(BD138&gt;0,BQ138&gt;0,CD138&gt;0,CQ138&gt;0,),IF(OR(CD136&gt;0,BQ136&gt;0,BD136&gt;0,CQ136&gt;0,),'2 M-A +'!D$33*'2 M-A +'!D$32,0))/100</f>
        <v>0</v>
      </c>
      <c r="AR138" s="845">
        <f>IF(OR(BE138&gt;0,BR138&gt;0,CE138&gt;0,CR138&gt;0,),IF(OR(CE136&gt;0,BR136&gt;0,BE136&gt;0,CR136&gt;0,),'2 M-A +'!E$33*'2 M-A +'!E$32,0))/100</f>
        <v>0</v>
      </c>
      <c r="AS138" s="845">
        <f>IF(OR(BF138&gt;0,BS138&gt;0,CF138&gt;0,CS138&gt;0,),IF(OR(CF136&gt;0,BS136&gt;0,BF136&gt;0,CS136&gt;0,),'2 M-A +'!F$33*'2 M-A +'!F$32,0))/100</f>
        <v>0</v>
      </c>
      <c r="AT138" s="845">
        <f>IF(OR(BG138&gt;0,BT138&gt;0,CG138&gt;0,CT138&gt;0,),IF(OR(CG136&gt;0,BT136&gt;0,BG136&gt;0,CT136&gt;0,),'2 M-A +'!G$33*'2 M-A +'!G$32,0))/100</f>
        <v>0</v>
      </c>
      <c r="AU138" s="845">
        <f>IF(OR(BH138&gt;0,BU138&gt;0,CH138&gt;0,CU138&gt;0,),IF(OR(CH136&gt;0,BU136&gt;0,BH136&gt;0,CU136&gt;0,),'2 M-A +'!H$33*'2 M-A +'!H$32,0))/100</f>
        <v>0</v>
      </c>
      <c r="AV138" s="845">
        <f>IF(OR(BI138&gt;0,BV138&gt;0,CI138&gt;0,CV138&gt;0,),IF(OR(CI136&gt;0,BV136&gt;0,BI136&gt;0,CV136&gt;0,),'2 M-A +'!I$33*'2 M-A +'!I$32,0))/100</f>
        <v>0</v>
      </c>
      <c r="AW138" s="845">
        <f>IF(OR(BJ138&gt;0,BW138&gt;0,CJ138&gt;0,CW138&gt;0,),IF(OR(CJ136&gt;0,BW136&gt;0,BJ136&gt;0,CW136&gt;0,),'2 M-A +'!J$33*'2 M-A +'!J$32,0))/100</f>
        <v>0</v>
      </c>
      <c r="AX138" s="845">
        <f>IF(OR(BK138&gt;0,BX138&gt;0,CK138&gt;0,CX138&gt;0,),IF(OR(CK136&gt;0,BX136&gt;0,BK136&gt;0,CX136&gt;0,),'2 M-A +'!K$33*'2 M-A +'!K$32,0))/100</f>
        <v>0</v>
      </c>
      <c r="AY138" s="845">
        <f>IF(OR(BL138&gt;0,BY138&gt;0,CL138&gt;0,CY138&gt;0,),IF(OR(CL136&gt;0,BY136&gt;0,BL136&gt;0,CY136&gt;0,),'2 M-A +'!L$33*'2 M-A +'!L$32,0))/100</f>
        <v>0</v>
      </c>
      <c r="AZ138" s="845">
        <f>IF(OR(BM138&gt;0,BZ138&gt;0,CM138&gt;0,CZ138&gt;0,),IF(OR(CM136&gt;0,BZ136&gt;0,BM136&gt;0,CZ136&gt;0,),'2 M-A +'!M$33*'2 M-A +'!M$32,0))/100</f>
        <v>0</v>
      </c>
      <c r="BA138" s="845">
        <f>IF(OR(BN138&gt;0,CA138&gt;0,CN138&gt;0,DA138&gt;0,),IF(OR(CN136&gt;0,CA136&gt;0,BN136&gt;0,DA136&gt;0,),'2 M-A +'!N$33*'2 M-A +'!N$32,0))/100</f>
        <v>0</v>
      </c>
      <c r="BB138" s="838"/>
      <c r="BC138" s="845">
        <f>IF('2 M-A +'!C23='2 M-A +'!$B$38,('2 M-A +'!C22*4)/160,0)*'2 M-A +'!C$33</f>
        <v>0</v>
      </c>
      <c r="BD138" s="845">
        <f>IF('2 M-A +'!D23='2 M-A +'!$B$38,('2 M-A +'!D22*4)/160,0)*'2 M-A +'!D$33</f>
        <v>0</v>
      </c>
      <c r="BE138" s="845">
        <f>IF('2 M-A +'!E23='2 M-A +'!$B$38,('2 M-A +'!E22*4)/160,0)*'2 M-A +'!E$33</f>
        <v>0</v>
      </c>
      <c r="BF138" s="845">
        <f>IF('2 M-A +'!F23='2 M-A +'!$B$38,('2 M-A +'!F22*4)/160,0)*'2 M-A +'!F$33</f>
        <v>0</v>
      </c>
      <c r="BG138" s="845">
        <f>IF('2 M-A +'!G23='2 M-A +'!$B$38,('2 M-A +'!G22*4)/160,0)*'2 M-A +'!G$33</f>
        <v>0</v>
      </c>
      <c r="BH138" s="845">
        <f>IF('2 M-A +'!H23='2 M-A +'!$B$38,('2 M-A +'!H22*4)/160,0)*'2 M-A +'!H$33</f>
        <v>0</v>
      </c>
      <c r="BI138" s="845">
        <f>IF('2 M-A +'!I23='2 M-A +'!$B$38,('2 M-A +'!I22*4)/160,0)*'2 M-A +'!I$33</f>
        <v>0</v>
      </c>
      <c r="BJ138" s="845">
        <f>IF('2 M-A +'!J23='2 M-A +'!$B$38,('2 M-A +'!J22*4)/160,0)*'2 M-A +'!J$33</f>
        <v>0</v>
      </c>
      <c r="BK138" s="845">
        <f>IF('2 M-A +'!K23='2 M-A +'!$B$38,('2 M-A +'!K22*4)/160,0)*'2 M-A +'!K$33</f>
        <v>0</v>
      </c>
      <c r="BL138" s="845">
        <f>IF('2 M-A +'!L23='2 M-A +'!$B$38,('2 M-A +'!L22*4)/160,0)*'2 M-A +'!L$33</f>
        <v>0</v>
      </c>
      <c r="BM138" s="845">
        <f>IF('2 M-A +'!M23='2 M-A +'!$B$38,('2 M-A +'!M22*4)/160,0)*'2 M-A +'!M$33</f>
        <v>0</v>
      </c>
      <c r="BN138" s="845">
        <f>IF('2 M-A +'!N23='2 M-A +'!$B$38,('2 M-A +'!N22*4)/160,0)*'2 M-A +'!N$33</f>
        <v>0</v>
      </c>
      <c r="BO138" s="838"/>
      <c r="BP138" s="845">
        <f>IF('2 M-A +'!C23='2 M-A +'!$B$39,('2 M-A +'!C22*4)/160,0)*'2 M-A +'!C$33</f>
        <v>0</v>
      </c>
      <c r="BQ138" s="845">
        <f>IF('2 M-A +'!D23='2 M-A +'!$B$39,('2 M-A +'!D22*4)/160,0)*'2 M-A +'!D$33</f>
        <v>0</v>
      </c>
      <c r="BR138" s="845">
        <f>IF('2 M-A +'!E23='2 M-A +'!$B$39,('2 M-A +'!E22*4)/160,0)*'2 M-A +'!E$33</f>
        <v>0</v>
      </c>
      <c r="BS138" s="845">
        <f>IF('2 M-A +'!F23='2 M-A +'!$B$39,('2 M-A +'!F22*4)/160,0)*'2 M-A +'!F$33</f>
        <v>0</v>
      </c>
      <c r="BT138" s="845">
        <f>IF('2 M-A +'!G23='2 M-A +'!$B$39,('2 M-A +'!G22*4)/160,0)*'2 M-A +'!G$33</f>
        <v>0</v>
      </c>
      <c r="BU138" s="845">
        <f>IF('2 M-A +'!H23='2 M-A +'!$B$39,('2 M-A +'!H22*4)/160,0)*'2 M-A +'!H$33</f>
        <v>0</v>
      </c>
      <c r="BV138" s="845">
        <f>IF('2 M-A +'!I23='2 M-A +'!$B$39,('2 M-A +'!I22*4)/160,0)*'2 M-A +'!I$33</f>
        <v>0</v>
      </c>
      <c r="BW138" s="845">
        <f>IF('2 M-A +'!J23='2 M-A +'!$B$39,('2 M-A +'!J22*4)/160,0)*'2 M-A +'!J$33</f>
        <v>0</v>
      </c>
      <c r="BX138" s="845">
        <f>IF('2 M-A +'!K23='2 M-A +'!$B$39,('2 M-A +'!K22*4)/160,0)*'2 M-A +'!K$33</f>
        <v>0</v>
      </c>
      <c r="BY138" s="845">
        <f>IF('2 M-A +'!L23='2 M-A +'!$B$39,('2 M-A +'!L22*4)/160,0)*'2 M-A +'!L$33</f>
        <v>0</v>
      </c>
      <c r="BZ138" s="845">
        <f>IF('2 M-A +'!M23='2 M-A +'!$B$39,('2 M-A +'!M22*4)/160,0)*'2 M-A +'!M$33</f>
        <v>0</v>
      </c>
      <c r="CA138" s="845">
        <f>IF('2 M-A +'!N23='2 M-A +'!$B$39,('2 M-A +'!N22*4)/160,0)*'2 M-A +'!N$33</f>
        <v>0</v>
      </c>
      <c r="CB138" s="838"/>
      <c r="CC138" s="845">
        <f>IF('2 M-A +'!C23='2 M-A +'!$B$40,('2 M-A +'!C22*4)/160,0)*'2 M-A +'!C$33</f>
        <v>0</v>
      </c>
      <c r="CD138" s="845">
        <f>IF('2 M-A +'!D23='2 M-A +'!$B$40,('2 M-A +'!D22*4)/160,0)*'2 M-A +'!D$33</f>
        <v>0</v>
      </c>
      <c r="CE138" s="845">
        <f>IF('2 M-A +'!E23='2 M-A +'!$B$40,('2 M-A +'!E22*4)/160,0)*'2 M-A +'!E$33</f>
        <v>0</v>
      </c>
      <c r="CF138" s="845">
        <f>IF('2 M-A +'!F23='2 M-A +'!$B$40,('2 M-A +'!F22*4)/160,0)*'2 M-A +'!F$33</f>
        <v>0</v>
      </c>
      <c r="CG138" s="845">
        <f>IF('2 M-A +'!G23='2 M-A +'!$B$40,('2 M-A +'!G22*4)/160,0)*'2 M-A +'!G$33</f>
        <v>0</v>
      </c>
      <c r="CH138" s="845">
        <f>IF('2 M-A +'!H23='2 M-A +'!$B$40,('2 M-A +'!H22*4)/160,0)*'2 M-A +'!H$33</f>
        <v>0</v>
      </c>
      <c r="CI138" s="845">
        <f>IF('2 M-A +'!I23='2 M-A +'!$B$40,('2 M-A +'!I22*4)/160,0)*'2 M-A +'!I$33</f>
        <v>0</v>
      </c>
      <c r="CJ138" s="845">
        <f>IF('2 M-A +'!J23='2 M-A +'!$B$40,('2 M-A +'!J22*4)/160,0)*'2 M-A +'!J$33</f>
        <v>0</v>
      </c>
      <c r="CK138" s="845">
        <f>IF('2 M-A +'!K23='2 M-A +'!$B$40,('2 M-A +'!K22*4)/160,0)*'2 M-A +'!K$33</f>
        <v>0</v>
      </c>
      <c r="CL138" s="845">
        <f>IF('2 M-A +'!L23='2 M-A +'!$B$40,('2 M-A +'!L22*4)/160,0)*'2 M-A +'!L$33</f>
        <v>0</v>
      </c>
      <c r="CM138" s="845">
        <f>IF('2 M-A +'!M23='2 M-A +'!$B$40,('2 M-A +'!M22*4)/160,0)*'2 M-A +'!M$33</f>
        <v>0</v>
      </c>
      <c r="CN138" s="845">
        <f>IF('2 M-A +'!N23='2 M-A +'!$B$40,('2 M-A +'!N22*4)/160,0)*'2 M-A +'!N$33</f>
        <v>0</v>
      </c>
      <c r="CO138" s="838"/>
      <c r="CP138" s="845">
        <f>IF('2 M-A +'!C23='2 M-A +'!$B$41,('2 M-A +'!C22*4)/160,0)*'2 M-A +'!C$33</f>
        <v>0</v>
      </c>
      <c r="CQ138" s="845">
        <f>IF('2 M-A +'!D23='2 M-A +'!$B$41,('2 M-A +'!D22*4)/160,0)*'2 M-A +'!D$33</f>
        <v>0</v>
      </c>
      <c r="CR138" s="845">
        <f>IF('2 M-A +'!E23='2 M-A +'!$B$41,('2 M-A +'!E22*4)/160,0)*'2 M-A +'!E$33</f>
        <v>0</v>
      </c>
      <c r="CS138" s="845">
        <f>IF('2 M-A +'!F23='2 M-A +'!$B$41,('2 M-A +'!F22*4)/160,0)*'2 M-A +'!F$33</f>
        <v>0</v>
      </c>
      <c r="CT138" s="845">
        <f>IF('2 M-A +'!G23='2 M-A +'!$B$41,('2 M-A +'!G22*4)/160,0)*'2 M-A +'!G$33</f>
        <v>0</v>
      </c>
      <c r="CU138" s="845">
        <f>IF('2 M-A +'!H23='2 M-A +'!$B$41,('2 M-A +'!H22*4)/160,0)*'2 M-A +'!H$33</f>
        <v>0</v>
      </c>
      <c r="CV138" s="845">
        <f>IF('2 M-A +'!I23='2 M-A +'!$B$41,('2 M-A +'!I22*4)/160,0)*'2 M-A +'!I$33</f>
        <v>0</v>
      </c>
      <c r="CW138" s="845">
        <f>IF('2 M-A +'!J23='2 M-A +'!$B$41,('2 M-A +'!J22*4)/160,0)*'2 M-A +'!J$33</f>
        <v>0</v>
      </c>
      <c r="CX138" s="845">
        <f>IF('2 M-A +'!K23='2 M-A +'!$B$41,('2 M-A +'!K22*4)/160,0)*'2 M-A +'!K$33</f>
        <v>0</v>
      </c>
      <c r="CY138" s="845">
        <f>IF('2 M-A +'!L23='2 M-A +'!$B$41,('2 M-A +'!L22*4)/160,0)*'2 M-A +'!L$33</f>
        <v>0</v>
      </c>
      <c r="CZ138" s="845">
        <f>IF('2 M-A +'!M23='2 M-A +'!$B$41,('2 M-A +'!M22*4)/160,0)*'2 M-A +'!M$33</f>
        <v>0</v>
      </c>
      <c r="DA138" s="845">
        <f>IF('2 M-A +'!N23='2 M-A +'!$B$41,('2 M-A +'!N22*4)/160,0)*'2 M-A +'!N$33</f>
        <v>0</v>
      </c>
      <c r="DB138" s="838"/>
      <c r="FN138" s="838"/>
      <c r="FO138" s="838"/>
      <c r="FP138" s="838"/>
      <c r="FQ138" s="838"/>
      <c r="FR138" s="838"/>
      <c r="FS138" s="838"/>
      <c r="FT138" s="838"/>
      <c r="FU138" s="838"/>
      <c r="FV138" s="838"/>
      <c r="FW138" s="838"/>
      <c r="FX138" s="838"/>
      <c r="FY138" s="838"/>
      <c r="FZ138" s="838"/>
      <c r="GA138" s="838"/>
      <c r="GB138" s="838"/>
      <c r="GC138" s="838"/>
      <c r="GD138" s="838"/>
      <c r="GE138" s="838"/>
      <c r="GF138" s="838"/>
      <c r="GG138" s="838"/>
      <c r="GH138" s="838"/>
      <c r="GI138" s="838"/>
      <c r="GJ138" s="838"/>
      <c r="GK138" s="838"/>
      <c r="GL138" s="838"/>
    </row>
    <row r="139" spans="2:194" x14ac:dyDescent="0.35">
      <c r="B139" s="678"/>
      <c r="C139" s="838"/>
      <c r="D139" s="838"/>
      <c r="E139" s="838"/>
      <c r="F139" s="838"/>
      <c r="G139" s="838"/>
      <c r="H139" s="838"/>
      <c r="I139" s="838"/>
      <c r="J139" s="838"/>
      <c r="K139" s="838"/>
      <c r="L139" s="838"/>
      <c r="M139" s="838"/>
      <c r="N139" s="838"/>
      <c r="O139" s="838"/>
      <c r="AB139" s="838"/>
      <c r="AC139" s="838"/>
      <c r="AD139" s="838"/>
      <c r="AE139" s="838"/>
      <c r="AF139" s="838"/>
      <c r="AG139" s="838"/>
      <c r="AH139" s="838"/>
      <c r="AI139" s="838"/>
      <c r="AJ139" s="838"/>
      <c r="AK139" s="838"/>
      <c r="AL139" s="838"/>
      <c r="AM139" s="838"/>
      <c r="AN139" s="838"/>
      <c r="AO139" s="838"/>
      <c r="BB139" s="838"/>
      <c r="BO139" s="838"/>
      <c r="CB139" s="838"/>
      <c r="CO139" s="838"/>
      <c r="DB139" s="838"/>
      <c r="FN139" s="855"/>
      <c r="FO139" s="838"/>
      <c r="FP139" s="855"/>
      <c r="FQ139" s="838"/>
      <c r="FR139" s="855"/>
      <c r="FS139" s="838"/>
      <c r="FT139" s="855"/>
      <c r="FU139" s="838"/>
      <c r="FV139" s="855"/>
      <c r="FW139" s="838"/>
      <c r="FX139" s="855"/>
      <c r="FY139" s="838"/>
      <c r="FZ139" s="855"/>
      <c r="GA139" s="838"/>
      <c r="GB139" s="855"/>
      <c r="GC139" s="838"/>
      <c r="GD139" s="855"/>
      <c r="GE139" s="838"/>
      <c r="GF139" s="855"/>
      <c r="GG139" s="838"/>
      <c r="GH139" s="855"/>
      <c r="GI139" s="838"/>
      <c r="GJ139" s="855"/>
      <c r="GK139" s="855"/>
      <c r="GL139" s="838"/>
    </row>
    <row r="140" spans="2:194" x14ac:dyDescent="0.35">
      <c r="B140" s="678"/>
      <c r="C140" s="838"/>
      <c r="D140" s="838"/>
      <c r="E140" s="838"/>
      <c r="F140" s="838"/>
      <c r="G140" s="838"/>
      <c r="H140" s="838"/>
      <c r="I140" s="838"/>
      <c r="J140" s="838"/>
      <c r="K140" s="838"/>
      <c r="L140" s="838"/>
      <c r="M140" s="838"/>
      <c r="N140" s="838"/>
      <c r="O140" s="838"/>
      <c r="P140" s="838">
        <f>IF(AC140&gt;0,IF(AC138&gt;0,1,0))*'2 M-A +'!C$33</f>
        <v>0</v>
      </c>
      <c r="Q140" s="838">
        <f>IF(AD140&gt;0,IF(AD138&gt;0,1,0))*'2 M-A +'!D$33</f>
        <v>0</v>
      </c>
      <c r="R140" s="838">
        <f>IF(AE140&gt;0,IF(AE138&gt;0,1,0))*'2 M-A +'!E$33</f>
        <v>0</v>
      </c>
      <c r="S140" s="838">
        <f>IF(AF140&gt;0,IF(AF138&gt;0,1,0))*'2 M-A +'!F$33</f>
        <v>0</v>
      </c>
      <c r="T140" s="838">
        <f>IF(AG140&gt;0,IF(AG138&gt;0,1,0))*'2 M-A +'!G$33</f>
        <v>0</v>
      </c>
      <c r="U140" s="838">
        <f>IF(AH140&gt;0,IF(AH138&gt;0,1,0))*'2 M-A +'!H$33</f>
        <v>0</v>
      </c>
      <c r="V140" s="838">
        <f>IF(AI140&gt;0,IF(AI138&gt;0,1,0))*'2 M-A +'!I$33</f>
        <v>0</v>
      </c>
      <c r="W140" s="838">
        <f>IF(AJ140&gt;0,IF(AJ138&gt;0,1,0))*'2 M-A +'!J$33</f>
        <v>0</v>
      </c>
      <c r="X140" s="838">
        <f>IF(AK140&gt;0,IF(AK138&gt;0,1,0))*'2 M-A +'!K$33</f>
        <v>0</v>
      </c>
      <c r="Y140" s="838">
        <f>IF(AL140&gt;0,IF(AL138&gt;0,1,0))*'2 M-A +'!L$33</f>
        <v>0</v>
      </c>
      <c r="Z140" s="838">
        <f>IF(AM140&gt;0,IF(AM138&gt;0,1,0))*'2 M-A +'!M$33</f>
        <v>0</v>
      </c>
      <c r="AA140" s="838">
        <f>IF(AN140&gt;0,IF(AN138&gt;0,1,0))*'2 M-A +'!N$33</f>
        <v>0</v>
      </c>
      <c r="AB140" s="838"/>
      <c r="AC140" s="838">
        <f>IF(OR('2 M-A +'!C25="V",'2 M-A +'!C25="VT",'2 M-A +'!C25="VSB",'2 M-A +'!C25="VTT",),1,0)*'2 M-A +'!C$33</f>
        <v>0</v>
      </c>
      <c r="AD140" s="838">
        <f>IF(OR('2 M-A +'!D25="V",'2 M-A +'!D25="VT",'2 M-A +'!D25="VSB",'2 M-A +'!D25="VTT",),1,0)*'2 M-A +'!D$33</f>
        <v>0</v>
      </c>
      <c r="AE140" s="838">
        <f>IF(OR('2 M-A +'!E25="V",'2 M-A +'!E25="VT",'2 M-A +'!E25="VSB",'2 M-A +'!E25="VTT",),1,0)*'2 M-A +'!E$33</f>
        <v>0</v>
      </c>
      <c r="AF140" s="838">
        <f>IF(OR('2 M-A +'!F25="V",'2 M-A +'!F25="VT",'2 M-A +'!F25="VSB",'2 M-A +'!F25="VTT",),1,0)*'2 M-A +'!F$33</f>
        <v>0</v>
      </c>
      <c r="AG140" s="838">
        <f>IF(OR('2 M-A +'!G25="V",'2 M-A +'!G25="VT",'2 M-A +'!G25="VSB",'2 M-A +'!G25="VTT",),1,0)*'2 M-A +'!G$33</f>
        <v>0</v>
      </c>
      <c r="AH140" s="838">
        <f>IF(OR('2 M-A +'!H25="V",'2 M-A +'!H25="VT",'2 M-A +'!H25="VSB",'2 M-A +'!H25="VTT",),1,0)*'2 M-A +'!H$33</f>
        <v>0</v>
      </c>
      <c r="AI140" s="838">
        <f>IF(OR('2 M-A +'!I25="V",'2 M-A +'!I25="VT",'2 M-A +'!I25="VSB",'2 M-A +'!I25="VTT",),1,0)*'2 M-A +'!I$33</f>
        <v>0</v>
      </c>
      <c r="AJ140" s="838">
        <f>IF(OR('2 M-A +'!J25="V",'2 M-A +'!J25="VT",'2 M-A +'!J25="VSB",'2 M-A +'!J25="VTT",),1,0)*'2 M-A +'!J$33</f>
        <v>0</v>
      </c>
      <c r="AK140" s="838">
        <f>IF(OR('2 M-A +'!K25="V",'2 M-A +'!K25="VT",'2 M-A +'!K25="VSB",'2 M-A +'!K25="VTT",),1,0)*'2 M-A +'!K$33</f>
        <v>0</v>
      </c>
      <c r="AL140" s="838">
        <f>IF(OR('2 M-A +'!L25="V",'2 M-A +'!L25="VT",'2 M-A +'!L25="VSB",'2 M-A +'!L25="VTT",),1,0)*'2 M-A +'!L$33</f>
        <v>0</v>
      </c>
      <c r="AM140" s="838">
        <f>IF(OR('2 M-A +'!M25="V",'2 M-A +'!M25="VT",'2 M-A +'!M25="VSB",'2 M-A +'!M25="VTT",),1,0)*'2 M-A +'!M$33</f>
        <v>0</v>
      </c>
      <c r="AN140" s="838">
        <f>IF(OR('2 M-A +'!N25="V",'2 M-A +'!N25="VT",'2 M-A +'!N25="VSB",'2 M-A +'!N25="VTT",),1,0)*'2 M-A +'!N$33</f>
        <v>0</v>
      </c>
      <c r="AO140" s="838"/>
      <c r="AP140" s="845">
        <f>IF(OR(BC140&gt;0,BP140&gt;0,CC140&gt;0,CP140&gt;0,),IF(OR(CC138&gt;0,BP138&gt;0,BC138&gt;0,CP138&gt;0,),'2 M-A +'!C$33*'2 M-A +'!C$32,0))/100</f>
        <v>0</v>
      </c>
      <c r="AQ140" s="845">
        <f>IF(OR(BD140&gt;0,BQ140&gt;0,CD140&gt;0,CQ140&gt;0,),IF(OR(CD138&gt;0,BQ138&gt;0,BD138&gt;0,CQ138&gt;0,),'2 M-A +'!D$33*'2 M-A +'!D$32,0))/100</f>
        <v>0</v>
      </c>
      <c r="AR140" s="845">
        <f>IF(OR(BE140&gt;0,BR140&gt;0,CE140&gt;0,CR140&gt;0,),IF(OR(CE138&gt;0,BR138&gt;0,BE138&gt;0,CR138&gt;0,),'2 M-A +'!E$33*'2 M-A +'!E$32,0))/100</f>
        <v>0</v>
      </c>
      <c r="AS140" s="845">
        <f>IF(OR(BF140&gt;0,BS140&gt;0,CF140&gt;0,CS140&gt;0,),IF(OR(CF138&gt;0,BS138&gt;0,BF138&gt;0,CS138&gt;0,),'2 M-A +'!F$33*'2 M-A +'!F$32,0))/100</f>
        <v>0</v>
      </c>
      <c r="AT140" s="845">
        <f>IF(OR(BG140&gt;0,BT140&gt;0,CG140&gt;0,CT140&gt;0,),IF(OR(CG138&gt;0,BT138&gt;0,BG138&gt;0,CT138&gt;0,),'2 M-A +'!G$33*'2 M-A +'!G$32,0))/100</f>
        <v>0</v>
      </c>
      <c r="AU140" s="845">
        <f>IF(OR(BH140&gt;0,BU140&gt;0,CH140&gt;0,CU140&gt;0,),IF(OR(CH138&gt;0,BU138&gt;0,BH138&gt;0,CU138&gt;0,),'2 M-A +'!H$33*'2 M-A +'!H$32,0))/100</f>
        <v>0</v>
      </c>
      <c r="AV140" s="845">
        <f>IF(OR(BI140&gt;0,BV140&gt;0,CI140&gt;0,CV140&gt;0,),IF(OR(CI138&gt;0,BV138&gt;0,BI138&gt;0,CV138&gt;0,),'2 M-A +'!I$33*'2 M-A +'!I$32,0))/100</f>
        <v>0</v>
      </c>
      <c r="AW140" s="845">
        <f>IF(OR(BJ140&gt;0,BW140&gt;0,CJ140&gt;0,CW140&gt;0,),IF(OR(CJ138&gt;0,BW138&gt;0,BJ138&gt;0,CW138&gt;0,),'2 M-A +'!J$33*'2 M-A +'!J$32,0))/100</f>
        <v>0</v>
      </c>
      <c r="AX140" s="845">
        <f>IF(OR(BK140&gt;0,BX140&gt;0,CK140&gt;0,CX140&gt;0,),IF(OR(CK138&gt;0,BX138&gt;0,BK138&gt;0,CX138&gt;0,),'2 M-A +'!K$33*'2 M-A +'!K$32,0))/100</f>
        <v>0</v>
      </c>
      <c r="AY140" s="845">
        <f>IF(OR(BL140&gt;0,BY140&gt;0,CL140&gt;0,CY140&gt;0,),IF(OR(CL138&gt;0,BY138&gt;0,BL138&gt;0,CY138&gt;0,),'2 M-A +'!L$33*'2 M-A +'!L$32,0))/100</f>
        <v>0</v>
      </c>
      <c r="AZ140" s="845">
        <f>IF(OR(BM140&gt;0,BZ140&gt;0,CM140&gt;0,CZ140&gt;0,),IF(OR(CM138&gt;0,BZ138&gt;0,BM138&gt;0,CZ138&gt;0,),'2 M-A +'!M$33*'2 M-A +'!M$32,0))/100</f>
        <v>0</v>
      </c>
      <c r="BA140" s="845">
        <f>IF(OR(BN140&gt;0,CA140&gt;0,CN140&gt;0,DA140&gt;0,),IF(OR(CN138&gt;0,CA138&gt;0,BN138&gt;0,DA138&gt;0,),'2 M-A +'!N$33*'2 M-A +'!N$32,0))/100</f>
        <v>0</v>
      </c>
      <c r="BB140" s="838"/>
      <c r="BC140" s="845">
        <f>IF('2 M-A +'!C25='2 M-A +'!$B$38,('2 M-A +'!C24*4)/160,0)*'2 M-A +'!C$33</f>
        <v>0</v>
      </c>
      <c r="BD140" s="845">
        <f>IF('2 M-A +'!D25='2 M-A +'!$B$38,('2 M-A +'!D24*4)/160,0)*'2 M-A +'!D$33</f>
        <v>0</v>
      </c>
      <c r="BE140" s="845">
        <f>IF('2 M-A +'!E25='2 M-A +'!$B$38,('2 M-A +'!E24*4)/160,0)*'2 M-A +'!E$33</f>
        <v>0</v>
      </c>
      <c r="BF140" s="845">
        <f>IF('2 M-A +'!F25='2 M-A +'!$B$38,('2 M-A +'!F24*4)/160,0)*'2 M-A +'!F$33</f>
        <v>0</v>
      </c>
      <c r="BG140" s="845">
        <f>IF('2 M-A +'!G25='2 M-A +'!$B$38,('2 M-A +'!G24*4)/160,0)*'2 M-A +'!G$33</f>
        <v>0</v>
      </c>
      <c r="BH140" s="845">
        <f>IF('2 M-A +'!H25='2 M-A +'!$B$38,('2 M-A +'!H24*4)/160,0)*'2 M-A +'!H$33</f>
        <v>0</v>
      </c>
      <c r="BI140" s="845">
        <f>IF('2 M-A +'!I25='2 M-A +'!$B$38,('2 M-A +'!I24*4)/160,0)*'2 M-A +'!I$33</f>
        <v>0</v>
      </c>
      <c r="BJ140" s="845">
        <f>IF('2 M-A +'!J25='2 M-A +'!$B$38,('2 M-A +'!J24*4)/160,0)*'2 M-A +'!J$33</f>
        <v>0</v>
      </c>
      <c r="BK140" s="845">
        <f>IF('2 M-A +'!K25='2 M-A +'!$B$38,('2 M-A +'!K24*4)/160,0)*'2 M-A +'!K$33</f>
        <v>0</v>
      </c>
      <c r="BL140" s="845">
        <f>IF('2 M-A +'!L25='2 M-A +'!$B$38,('2 M-A +'!L24*4)/160,0)*'2 M-A +'!L$33</f>
        <v>0</v>
      </c>
      <c r="BM140" s="845">
        <f>IF('2 M-A +'!M25='2 M-A +'!$B$38,('2 M-A +'!M24*4)/160,0)*'2 M-A +'!M$33</f>
        <v>0</v>
      </c>
      <c r="BN140" s="845">
        <f>IF('2 M-A +'!N25='2 M-A +'!$B$38,('2 M-A +'!N24*4)/160,0)*'2 M-A +'!N$33</f>
        <v>0</v>
      </c>
      <c r="BO140" s="838"/>
      <c r="BP140" s="845">
        <f>IF('2 M-A +'!C25='2 M-A +'!$B$39,('2 M-A +'!C24*4)/160,0)*'2 M-A +'!C$33</f>
        <v>0</v>
      </c>
      <c r="BQ140" s="845">
        <f>IF('2 M-A +'!D25='2 M-A +'!$B$39,('2 M-A +'!D24*4)/160,0)*'2 M-A +'!D$33</f>
        <v>0</v>
      </c>
      <c r="BR140" s="845">
        <f>IF('2 M-A +'!E25='2 M-A +'!$B$39,('2 M-A +'!E24*4)/160,0)*'2 M-A +'!E$33</f>
        <v>0</v>
      </c>
      <c r="BS140" s="845">
        <f>IF('2 M-A +'!F25='2 M-A +'!$B$39,('2 M-A +'!F24*4)/160,0)*'2 M-A +'!F$33</f>
        <v>0</v>
      </c>
      <c r="BT140" s="845">
        <f>IF('2 M-A +'!G25='2 M-A +'!$B$39,('2 M-A +'!G24*4)/160,0)*'2 M-A +'!G$33</f>
        <v>0</v>
      </c>
      <c r="BU140" s="845">
        <f>IF('2 M-A +'!H25='2 M-A +'!$B$39,('2 M-A +'!H24*4)/160,0)*'2 M-A +'!H$33</f>
        <v>0</v>
      </c>
      <c r="BV140" s="845">
        <f>IF('2 M-A +'!I25='2 M-A +'!$B$39,('2 M-A +'!I24*4)/160,0)*'2 M-A +'!I$33</f>
        <v>0</v>
      </c>
      <c r="BW140" s="845">
        <f>IF('2 M-A +'!J25='2 M-A +'!$B$39,('2 M-A +'!J24*4)/160,0)*'2 M-A +'!J$33</f>
        <v>0</v>
      </c>
      <c r="BX140" s="845">
        <f>IF('2 M-A +'!K25='2 M-A +'!$B$39,('2 M-A +'!K24*4)/160,0)*'2 M-A +'!K$33</f>
        <v>0</v>
      </c>
      <c r="BY140" s="845">
        <f>IF('2 M-A +'!L25='2 M-A +'!$B$39,('2 M-A +'!L24*4)/160,0)*'2 M-A +'!L$33</f>
        <v>0</v>
      </c>
      <c r="BZ140" s="845">
        <f>IF('2 M-A +'!M25='2 M-A +'!$B$39,('2 M-A +'!M24*4)/160,0)*'2 M-A +'!M$33</f>
        <v>0</v>
      </c>
      <c r="CA140" s="845">
        <f>IF('2 M-A +'!N25='2 M-A +'!$B$39,('2 M-A +'!N24*4)/160,0)*'2 M-A +'!N$33</f>
        <v>0</v>
      </c>
      <c r="CB140" s="838"/>
      <c r="CC140" s="845">
        <f>IF('2 M-A +'!C25='2 M-A +'!$B$40,('2 M-A +'!C24*4)/160,0)*'2 M-A +'!C$33</f>
        <v>0</v>
      </c>
      <c r="CD140" s="845">
        <f>IF('2 M-A +'!D25='2 M-A +'!$B$40,('2 M-A +'!D24*4)/160,0)*'2 M-A +'!D$33</f>
        <v>0</v>
      </c>
      <c r="CE140" s="845">
        <f>IF('2 M-A +'!E25='2 M-A +'!$B$40,('2 M-A +'!E24*4)/160,0)*'2 M-A +'!E$33</f>
        <v>0</v>
      </c>
      <c r="CF140" s="845">
        <f>IF('2 M-A +'!F25='2 M-A +'!$B$40,('2 M-A +'!F24*4)/160,0)*'2 M-A +'!F$33</f>
        <v>0</v>
      </c>
      <c r="CG140" s="845">
        <f>IF('2 M-A +'!G25='2 M-A +'!$B$40,('2 M-A +'!G24*4)/160,0)*'2 M-A +'!G$33</f>
        <v>0</v>
      </c>
      <c r="CH140" s="845">
        <f>IF('2 M-A +'!H25='2 M-A +'!$B$40,('2 M-A +'!H24*4)/160,0)*'2 M-A +'!H$33</f>
        <v>0</v>
      </c>
      <c r="CI140" s="845">
        <f>IF('2 M-A +'!I25='2 M-A +'!$B$40,('2 M-A +'!I24*4)/160,0)*'2 M-A +'!I$33</f>
        <v>0</v>
      </c>
      <c r="CJ140" s="845">
        <f>IF('2 M-A +'!J25='2 M-A +'!$B$40,('2 M-A +'!J24*4)/160,0)*'2 M-A +'!J$33</f>
        <v>0</v>
      </c>
      <c r="CK140" s="845">
        <f>IF('2 M-A +'!K25='2 M-A +'!$B$40,('2 M-A +'!K24*4)/160,0)*'2 M-A +'!K$33</f>
        <v>0</v>
      </c>
      <c r="CL140" s="845">
        <f>IF('2 M-A +'!L25='2 M-A +'!$B$40,('2 M-A +'!L24*4)/160,0)*'2 M-A +'!L$33</f>
        <v>0</v>
      </c>
      <c r="CM140" s="845">
        <f>IF('2 M-A +'!M25='2 M-A +'!$B$40,('2 M-A +'!M24*4)/160,0)*'2 M-A +'!M$33</f>
        <v>0</v>
      </c>
      <c r="CN140" s="845">
        <f>IF('2 M-A +'!N25='2 M-A +'!$B$40,('2 M-A +'!N24*4)/160,0)*'2 M-A +'!N$33</f>
        <v>0</v>
      </c>
      <c r="CO140" s="838"/>
      <c r="CP140" s="845">
        <f>IF('2 M-A +'!C25='2 M-A +'!$B$41,('2 M-A +'!C24*4)/160,0)*'2 M-A +'!C$33</f>
        <v>0</v>
      </c>
      <c r="CQ140" s="845">
        <f>IF('2 M-A +'!D25='2 M-A +'!$B$41,('2 M-A +'!D24*4)/160,0)*'2 M-A +'!D$33</f>
        <v>0</v>
      </c>
      <c r="CR140" s="845">
        <f>IF('2 M-A +'!E25='2 M-A +'!$B$41,('2 M-A +'!E24*4)/160,0)*'2 M-A +'!E$33</f>
        <v>0</v>
      </c>
      <c r="CS140" s="845">
        <f>IF('2 M-A +'!F25='2 M-A +'!$B$41,('2 M-A +'!F24*4)/160,0)*'2 M-A +'!F$33</f>
        <v>0</v>
      </c>
      <c r="CT140" s="845">
        <f>IF('2 M-A +'!G25='2 M-A +'!$B$41,('2 M-A +'!G24*4)/160,0)*'2 M-A +'!G$33</f>
        <v>0</v>
      </c>
      <c r="CU140" s="845">
        <f>IF('2 M-A +'!H25='2 M-A +'!$B$41,('2 M-A +'!H24*4)/160,0)*'2 M-A +'!H$33</f>
        <v>0</v>
      </c>
      <c r="CV140" s="845">
        <f>IF('2 M-A +'!I25='2 M-A +'!$B$41,('2 M-A +'!I24*4)/160,0)*'2 M-A +'!I$33</f>
        <v>0</v>
      </c>
      <c r="CW140" s="845">
        <f>IF('2 M-A +'!J25='2 M-A +'!$B$41,('2 M-A +'!J24*4)/160,0)*'2 M-A +'!J$33</f>
        <v>0</v>
      </c>
      <c r="CX140" s="845">
        <f>IF('2 M-A +'!K25='2 M-A +'!$B$41,('2 M-A +'!K24*4)/160,0)*'2 M-A +'!K$33</f>
        <v>0</v>
      </c>
      <c r="CY140" s="845">
        <f>IF('2 M-A +'!L25='2 M-A +'!$B$41,('2 M-A +'!L24*4)/160,0)*'2 M-A +'!L$33</f>
        <v>0</v>
      </c>
      <c r="CZ140" s="845">
        <f>IF('2 M-A +'!M25='2 M-A +'!$B$41,('2 M-A +'!M24*4)/160,0)*'2 M-A +'!M$33</f>
        <v>0</v>
      </c>
      <c r="DA140" s="845">
        <f>IF('2 M-A +'!N25='2 M-A +'!$B$41,('2 M-A +'!N24*4)/160,0)*'2 M-A +'!N$33</f>
        <v>0</v>
      </c>
      <c r="DB140" s="838"/>
      <c r="FN140" s="838"/>
      <c r="FO140" s="838"/>
      <c r="FP140" s="838"/>
      <c r="FQ140" s="838"/>
      <c r="FR140" s="838"/>
      <c r="FS140" s="838"/>
      <c r="FT140" s="838"/>
      <c r="FU140" s="838"/>
      <c r="FV140" s="838"/>
      <c r="FW140" s="838"/>
      <c r="FX140" s="838"/>
      <c r="FY140" s="838"/>
      <c r="FZ140" s="838"/>
      <c r="GA140" s="838"/>
      <c r="GB140" s="838"/>
      <c r="GC140" s="838"/>
      <c r="GD140" s="838"/>
      <c r="GE140" s="838"/>
      <c r="GF140" s="838"/>
      <c r="GG140" s="838"/>
      <c r="GH140" s="838"/>
      <c r="GI140" s="838"/>
      <c r="GJ140" s="838"/>
      <c r="GK140" s="838"/>
      <c r="GL140" s="838"/>
    </row>
    <row r="141" spans="2:194" x14ac:dyDescent="0.35">
      <c r="B141" s="678"/>
      <c r="C141" s="838"/>
      <c r="D141" s="838"/>
      <c r="E141" s="838"/>
      <c r="F141" s="838"/>
      <c r="G141" s="838"/>
      <c r="H141" s="838"/>
      <c r="I141" s="838"/>
      <c r="J141" s="838"/>
      <c r="K141" s="838"/>
      <c r="L141" s="838"/>
      <c r="M141" s="838"/>
      <c r="N141" s="838"/>
      <c r="O141" s="838"/>
      <c r="AB141" s="838"/>
      <c r="AC141" s="838"/>
      <c r="AD141" s="838"/>
      <c r="AE141" s="838"/>
      <c r="AF141" s="838"/>
      <c r="AG141" s="838"/>
      <c r="AH141" s="838"/>
      <c r="AI141" s="838"/>
      <c r="AJ141" s="838"/>
      <c r="AK141" s="838"/>
      <c r="AL141" s="838"/>
      <c r="AM141" s="838"/>
      <c r="AN141" s="838"/>
      <c r="AO141" s="838"/>
      <c r="BB141" s="838"/>
      <c r="BO141" s="838"/>
      <c r="CB141" s="838"/>
      <c r="CO141" s="838"/>
      <c r="DB141" s="838"/>
      <c r="FN141" s="855"/>
      <c r="FO141" s="838"/>
      <c r="FP141" s="855"/>
      <c r="FQ141" s="838"/>
      <c r="FR141" s="855"/>
      <c r="FS141" s="838"/>
      <c r="FT141" s="855"/>
      <c r="FU141" s="838"/>
      <c r="FV141" s="855"/>
      <c r="FW141" s="838"/>
      <c r="FX141" s="855"/>
      <c r="FY141" s="838"/>
      <c r="FZ141" s="855"/>
      <c r="GA141" s="838"/>
      <c r="GB141" s="855"/>
      <c r="GC141" s="838"/>
      <c r="GD141" s="855"/>
      <c r="GE141" s="838"/>
      <c r="GF141" s="855"/>
      <c r="GG141" s="838"/>
      <c r="GH141" s="855"/>
      <c r="GI141" s="838"/>
      <c r="GJ141" s="855"/>
      <c r="GK141" s="855"/>
      <c r="GL141" s="838"/>
    </row>
    <row r="142" spans="2:194" x14ac:dyDescent="0.35">
      <c r="B142" s="678"/>
      <c r="C142" s="838"/>
      <c r="D142" s="838"/>
      <c r="E142" s="838"/>
      <c r="F142" s="838"/>
      <c r="G142" s="838"/>
      <c r="H142" s="838"/>
      <c r="I142" s="838"/>
      <c r="J142" s="838"/>
      <c r="K142" s="838"/>
      <c r="L142" s="838"/>
      <c r="M142" s="838"/>
      <c r="N142" s="838"/>
      <c r="O142" s="838"/>
      <c r="P142" s="838">
        <f>IF(AC142&gt;0,IF(AC140&gt;0,1,0))*'2 M-A +'!C$33</f>
        <v>0</v>
      </c>
      <c r="Q142" s="838">
        <f>IF(AD142&gt;0,IF(AD140&gt;0,1,0))*'2 M-A +'!D$33</f>
        <v>0</v>
      </c>
      <c r="R142" s="838">
        <f>IF(AE142&gt;0,IF(AE140&gt;0,1,0))*'2 M-A +'!E$33</f>
        <v>0</v>
      </c>
      <c r="S142" s="838">
        <f>IF(AF142&gt;0,IF(AF140&gt;0,1,0))*'2 M-A +'!F$33</f>
        <v>0</v>
      </c>
      <c r="T142" s="838">
        <f>IF(AG142&gt;0,IF(AG140&gt;0,1,0))*'2 M-A +'!G$33</f>
        <v>0</v>
      </c>
      <c r="U142" s="838">
        <f>IF(AH142&gt;0,IF(AH140&gt;0,1,0))*'2 M-A +'!H$33</f>
        <v>0</v>
      </c>
      <c r="V142" s="838">
        <f>IF(AI142&gt;0,IF(AI140&gt;0,1,0))*'2 M-A +'!I$33</f>
        <v>0</v>
      </c>
      <c r="W142" s="838">
        <f>IF(AJ142&gt;0,IF(AJ140&gt;0,1,0))*'2 M-A +'!J$33</f>
        <v>0</v>
      </c>
      <c r="X142" s="838">
        <f>IF(AK142&gt;0,IF(AK140&gt;0,1,0))*'2 M-A +'!K$33</f>
        <v>0</v>
      </c>
      <c r="Y142" s="838">
        <f>IF(AL142&gt;0,IF(AL140&gt;0,1,0))*'2 M-A +'!L$33</f>
        <v>0</v>
      </c>
      <c r="Z142" s="838">
        <f>IF(AM142&gt;0,IF(AM140&gt;0,1,0))*'2 M-A +'!M$33</f>
        <v>0</v>
      </c>
      <c r="AA142" s="838">
        <f>IF(AN142&gt;0,IF(AN140&gt;0,1,0))*'2 M-A +'!N$33</f>
        <v>0</v>
      </c>
      <c r="AB142" s="838"/>
      <c r="AC142" s="838">
        <f>IF(OR('2 M-A +'!C27="V",'2 M-A +'!C27="VT",'2 M-A +'!C27="VSB",'2 M-A +'!C27="VTT",),1,0)*'2 M-A +'!C$33</f>
        <v>0</v>
      </c>
      <c r="AD142" s="838">
        <f>IF(OR('2 M-A +'!D27="V",'2 M-A +'!D27="VT",'2 M-A +'!D27="VSB",'2 M-A +'!D27="VTT",),1,0)*'2 M-A +'!D$33</f>
        <v>0</v>
      </c>
      <c r="AE142" s="838">
        <f>IF(OR('2 M-A +'!E27="V",'2 M-A +'!E27="VT",'2 M-A +'!E27="VSB",'2 M-A +'!E27="VTT",),1,0)*'2 M-A +'!E$33</f>
        <v>0</v>
      </c>
      <c r="AF142" s="838">
        <f>IF(OR('2 M-A +'!F27="V",'2 M-A +'!F27="VT",'2 M-A +'!F27="VSB",'2 M-A +'!F27="VTT",),1,0)*'2 M-A +'!F$33</f>
        <v>0</v>
      </c>
      <c r="AG142" s="838">
        <f>IF(OR('2 M-A +'!G27="V",'2 M-A +'!G27="VT",'2 M-A +'!G27="VSB",'2 M-A +'!G27="VTT",),1,0)*'2 M-A +'!G$33</f>
        <v>0</v>
      </c>
      <c r="AH142" s="838">
        <f>IF(OR('2 M-A +'!H27="V",'2 M-A +'!H27="VT",'2 M-A +'!H27="VSB",'2 M-A +'!H27="VTT",),1,0)*'2 M-A +'!H$33</f>
        <v>0</v>
      </c>
      <c r="AI142" s="838">
        <f>IF(OR('2 M-A +'!I27="V",'2 M-A +'!I27="VT",'2 M-A +'!I27="VSB",'2 M-A +'!I27="VTT",),1,0)*'2 M-A +'!I$33</f>
        <v>0</v>
      </c>
      <c r="AJ142" s="838">
        <f>IF(OR('2 M-A +'!J27="V",'2 M-A +'!J27="VT",'2 M-A +'!J27="VSB",'2 M-A +'!J27="VTT",),1,0)*'2 M-A +'!J$33</f>
        <v>0</v>
      </c>
      <c r="AK142" s="838">
        <f>IF(OR('2 M-A +'!K27="V",'2 M-A +'!K27="VT",'2 M-A +'!K27="VSB",'2 M-A +'!K27="VTT",),1,0)*'2 M-A +'!K$33</f>
        <v>0</v>
      </c>
      <c r="AL142" s="838">
        <f>IF(OR('2 M-A +'!L27="V",'2 M-A +'!L27="VT",'2 M-A +'!L27="VSB",'2 M-A +'!L27="VTT",),1,0)*'2 M-A +'!L$33</f>
        <v>0</v>
      </c>
      <c r="AM142" s="838">
        <f>IF(OR('2 M-A +'!M27="V",'2 M-A +'!M27="VT",'2 M-A +'!M27="VSB",'2 M-A +'!M27="VTT",),1,0)*'2 M-A +'!M$33</f>
        <v>0</v>
      </c>
      <c r="AN142" s="838">
        <f>IF(OR('2 M-A +'!N27="V",'2 M-A +'!N27="VT",'2 M-A +'!N27="VSB",'2 M-A +'!N27="VTT",),1,0)*'2 M-A +'!N$33</f>
        <v>0</v>
      </c>
      <c r="AO142" s="838"/>
      <c r="AP142" s="845">
        <f>IF(OR(BC142&gt;0,BP142&gt;0,CC142&gt;0,CP142&gt;0,),IF(OR(CC140&gt;0,BP140&gt;0,BC140&gt;0,CP140&gt;0,),'2 M-A +'!C$33*'2 M-A +'!C$32,0))/100</f>
        <v>0</v>
      </c>
      <c r="AQ142" s="845">
        <f>IF(OR(BD142&gt;0,BQ142&gt;0,CD142&gt;0,CQ142&gt;0,),IF(OR(CD140&gt;0,BQ140&gt;0,BD140&gt;0,CQ140&gt;0,),'2 M-A +'!D$33*'2 M-A +'!D$32,0))/100</f>
        <v>0</v>
      </c>
      <c r="AR142" s="845">
        <f>IF(OR(BE142&gt;0,BR142&gt;0,CE142&gt;0,CR142&gt;0,),IF(OR(CE140&gt;0,BR140&gt;0,BE140&gt;0,CR140&gt;0,),'2 M-A +'!E$33*'2 M-A +'!E$32,0))/100</f>
        <v>0</v>
      </c>
      <c r="AS142" s="845">
        <f>IF(OR(BF142&gt;0,BS142&gt;0,CF142&gt;0,CS142&gt;0,),IF(OR(CF140&gt;0,BS140&gt;0,BF140&gt;0,CS140&gt;0,),'2 M-A +'!F$33*'2 M-A +'!F$32,0))/100</f>
        <v>0</v>
      </c>
      <c r="AT142" s="845">
        <f>IF(OR(BG142&gt;0,BT142&gt;0,CG142&gt;0,CT142&gt;0,),IF(OR(CG140&gt;0,BT140&gt;0,BG140&gt;0,CT140&gt;0,),'2 M-A +'!G$33*'2 M-A +'!G$32,0))/100</f>
        <v>0</v>
      </c>
      <c r="AU142" s="845">
        <f>IF(OR(BH142&gt;0,BU142&gt;0,CH142&gt;0,CU142&gt;0,),IF(OR(CH140&gt;0,BU140&gt;0,BH140&gt;0,CU140&gt;0,),'2 M-A +'!H$33*'2 M-A +'!H$32,0))/100</f>
        <v>0</v>
      </c>
      <c r="AV142" s="845">
        <f>IF(OR(BI142&gt;0,BV142&gt;0,CI142&gt;0,CV142&gt;0,),IF(OR(CI140&gt;0,BV140&gt;0,BI140&gt;0,CV140&gt;0,),'2 M-A +'!I$33*'2 M-A +'!I$32,0))/100</f>
        <v>0</v>
      </c>
      <c r="AW142" s="845">
        <f>IF(OR(BJ142&gt;0,BW142&gt;0,CJ142&gt;0,CW142&gt;0,),IF(OR(CJ140&gt;0,BW140&gt;0,BJ140&gt;0,CW140&gt;0,),'2 M-A +'!J$33*'2 M-A +'!J$32,0))/100</f>
        <v>0</v>
      </c>
      <c r="AX142" s="845">
        <f>IF(OR(BK142&gt;0,BX142&gt;0,CK142&gt;0,CX142&gt;0,),IF(OR(CK140&gt;0,BX140&gt;0,BK140&gt;0,CX140&gt;0,),'2 M-A +'!K$33*'2 M-A +'!K$32,0))/100</f>
        <v>0</v>
      </c>
      <c r="AY142" s="845">
        <f>IF(OR(BL142&gt;0,BY142&gt;0,CL142&gt;0,CY142&gt;0,),IF(OR(CL140&gt;0,BY140&gt;0,BL140&gt;0,CY140&gt;0,),'2 M-A +'!L$33*'2 M-A +'!L$32,0))/100</f>
        <v>0</v>
      </c>
      <c r="AZ142" s="845">
        <f>IF(OR(BM142&gt;0,BZ142&gt;0,CM142&gt;0,CZ142&gt;0,),IF(OR(CM140&gt;0,BZ140&gt;0,BM140&gt;0,CZ140&gt;0,),'2 M-A +'!M$33*'2 M-A +'!M$32,0))/100</f>
        <v>0</v>
      </c>
      <c r="BA142" s="845">
        <f>IF(OR(BN142&gt;0,CA142&gt;0,CN142&gt;0,DA142&gt;0,),IF(OR(CN140&gt;0,CA140&gt;0,BN140&gt;0,DA140&gt;0,),'2 M-A +'!N$33*'2 M-A +'!N$32,0))/100</f>
        <v>0</v>
      </c>
      <c r="BB142" s="838"/>
      <c r="BC142" s="845">
        <f>IF('2 M-A +'!C27='2 M-A +'!$B$38,('2 M-A +'!C26*4)/160,0)*'2 M-A +'!C$33</f>
        <v>0</v>
      </c>
      <c r="BD142" s="845">
        <f>IF('2 M-A +'!D27='2 M-A +'!$B$38,('2 M-A +'!D26*4)/160,0)*'2 M-A +'!D$33</f>
        <v>0</v>
      </c>
      <c r="BE142" s="845">
        <f>IF('2 M-A +'!E27='2 M-A +'!$B$38,('2 M-A +'!E26*4)/160,0)*'2 M-A +'!E$33</f>
        <v>0</v>
      </c>
      <c r="BF142" s="845">
        <f>IF('2 M-A +'!F27='2 M-A +'!$B$38,('2 M-A +'!F26*4)/160,0)*'2 M-A +'!F$33</f>
        <v>0</v>
      </c>
      <c r="BG142" s="845">
        <f>IF('2 M-A +'!G27='2 M-A +'!$B$38,('2 M-A +'!G26*4)/160,0)*'2 M-A +'!G$33</f>
        <v>0</v>
      </c>
      <c r="BH142" s="845">
        <f>IF('2 M-A +'!H27='2 M-A +'!$B$38,('2 M-A +'!H26*4)/160,0)*'2 M-A +'!H$33</f>
        <v>0</v>
      </c>
      <c r="BI142" s="845">
        <f>IF('2 M-A +'!I27='2 M-A +'!$B$38,('2 M-A +'!I26*4)/160,0)*'2 M-A +'!I$33</f>
        <v>0</v>
      </c>
      <c r="BJ142" s="845">
        <f>IF('2 M-A +'!J27='2 M-A +'!$B$38,('2 M-A +'!J26*4)/160,0)*'2 M-A +'!J$33</f>
        <v>0</v>
      </c>
      <c r="BK142" s="845">
        <f>IF('2 M-A +'!K27='2 M-A +'!$B$38,('2 M-A +'!K26*4)/160,0)*'2 M-A +'!K$33</f>
        <v>0</v>
      </c>
      <c r="BL142" s="845">
        <f>IF('2 M-A +'!L27='2 M-A +'!$B$38,('2 M-A +'!L26*4)/160,0)*'2 M-A +'!L$33</f>
        <v>0</v>
      </c>
      <c r="BM142" s="845">
        <f>IF('2 M-A +'!M27='2 M-A +'!$B$38,('2 M-A +'!M26*4)/160,0)*'2 M-A +'!M$33</f>
        <v>0</v>
      </c>
      <c r="BN142" s="845">
        <f>IF('2 M-A +'!N27='2 M-A +'!$B$38,('2 M-A +'!N26*4)/160,0)*'2 M-A +'!N$33</f>
        <v>0</v>
      </c>
      <c r="BO142" s="838"/>
      <c r="BP142" s="845">
        <f>IF('2 M-A +'!C27='2 M-A +'!$B$39,('2 M-A +'!C26*4)/160,0)*'2 M-A +'!C$33</f>
        <v>0</v>
      </c>
      <c r="BQ142" s="845">
        <f>IF('2 M-A +'!D27='2 M-A +'!$B$39,('2 M-A +'!D26*4)/160,0)*'2 M-A +'!D$33</f>
        <v>0</v>
      </c>
      <c r="BR142" s="845">
        <f>IF('2 M-A +'!E27='2 M-A +'!$B$39,('2 M-A +'!E26*4)/160,0)*'2 M-A +'!E$33</f>
        <v>0</v>
      </c>
      <c r="BS142" s="845">
        <f>IF('2 M-A +'!F27='2 M-A +'!$B$39,('2 M-A +'!F26*4)/160,0)*'2 M-A +'!F$33</f>
        <v>0</v>
      </c>
      <c r="BT142" s="845">
        <f>IF('2 M-A +'!G27='2 M-A +'!$B$39,('2 M-A +'!G26*4)/160,0)*'2 M-A +'!G$33</f>
        <v>0</v>
      </c>
      <c r="BU142" s="845">
        <f>IF('2 M-A +'!H27='2 M-A +'!$B$39,('2 M-A +'!H26*4)/160,0)*'2 M-A +'!H$33</f>
        <v>0</v>
      </c>
      <c r="BV142" s="845">
        <f>IF('2 M-A +'!I27='2 M-A +'!$B$39,('2 M-A +'!I26*4)/160,0)*'2 M-A +'!I$33</f>
        <v>0</v>
      </c>
      <c r="BW142" s="845">
        <f>IF('2 M-A +'!J27='2 M-A +'!$B$39,('2 M-A +'!J26*4)/160,0)*'2 M-A +'!J$33</f>
        <v>0</v>
      </c>
      <c r="BX142" s="845">
        <f>IF('2 M-A +'!K27='2 M-A +'!$B$39,('2 M-A +'!K26*4)/160,0)*'2 M-A +'!K$33</f>
        <v>0</v>
      </c>
      <c r="BY142" s="845">
        <f>IF('2 M-A +'!L27='2 M-A +'!$B$39,('2 M-A +'!L26*4)/160,0)*'2 M-A +'!L$33</f>
        <v>0</v>
      </c>
      <c r="BZ142" s="845">
        <f>IF('2 M-A +'!M27='2 M-A +'!$B$39,('2 M-A +'!M26*4)/160,0)*'2 M-A +'!M$33</f>
        <v>0</v>
      </c>
      <c r="CA142" s="845">
        <f>IF('2 M-A +'!N27='2 M-A +'!$B$39,('2 M-A +'!N26*4)/160,0)*'2 M-A +'!N$33</f>
        <v>0</v>
      </c>
      <c r="CB142" s="838"/>
      <c r="CC142" s="845">
        <f>IF('2 M-A +'!C27='2 M-A +'!$B$40,('2 M-A +'!C26*4)/160,0)*'2 M-A +'!C$33</f>
        <v>0</v>
      </c>
      <c r="CD142" s="845">
        <f>IF('2 M-A +'!D27='2 M-A +'!$B$40,('2 M-A +'!D26*4)/160,0)*'2 M-A +'!D$33</f>
        <v>0</v>
      </c>
      <c r="CE142" s="845">
        <f>IF('2 M-A +'!E27='2 M-A +'!$B$40,('2 M-A +'!E26*4)/160,0)*'2 M-A +'!E$33</f>
        <v>0</v>
      </c>
      <c r="CF142" s="845">
        <f>IF('2 M-A +'!F27='2 M-A +'!$B$40,('2 M-A +'!F26*4)/160,0)*'2 M-A +'!F$33</f>
        <v>0</v>
      </c>
      <c r="CG142" s="845">
        <f>IF('2 M-A +'!G27='2 M-A +'!$B$40,('2 M-A +'!G26*4)/160,0)*'2 M-A +'!G$33</f>
        <v>0</v>
      </c>
      <c r="CH142" s="845">
        <f>IF('2 M-A +'!H27='2 M-A +'!$B$40,('2 M-A +'!H26*4)/160,0)*'2 M-A +'!H$33</f>
        <v>0</v>
      </c>
      <c r="CI142" s="845">
        <f>IF('2 M-A +'!I27='2 M-A +'!$B$40,('2 M-A +'!I26*4)/160,0)*'2 M-A +'!I$33</f>
        <v>0</v>
      </c>
      <c r="CJ142" s="845">
        <f>IF('2 M-A +'!J27='2 M-A +'!$B$40,('2 M-A +'!J26*4)/160,0)*'2 M-A +'!J$33</f>
        <v>0</v>
      </c>
      <c r="CK142" s="845">
        <f>IF('2 M-A +'!K27='2 M-A +'!$B$40,('2 M-A +'!K26*4)/160,0)*'2 M-A +'!K$33</f>
        <v>0</v>
      </c>
      <c r="CL142" s="845">
        <f>IF('2 M-A +'!L27='2 M-A +'!$B$40,('2 M-A +'!L26*4)/160,0)*'2 M-A +'!L$33</f>
        <v>0</v>
      </c>
      <c r="CM142" s="845">
        <f>IF('2 M-A +'!M27='2 M-A +'!$B$40,('2 M-A +'!M26*4)/160,0)*'2 M-A +'!M$33</f>
        <v>0</v>
      </c>
      <c r="CN142" s="845">
        <f>IF('2 M-A +'!N27='2 M-A +'!$B$40,('2 M-A +'!N26*4)/160,0)*'2 M-A +'!N$33</f>
        <v>0</v>
      </c>
      <c r="CO142" s="838"/>
      <c r="CP142" s="845">
        <f>IF('2 M-A +'!C27='2 M-A +'!$B$41,('2 M-A +'!C26*4)/160,0)*'2 M-A +'!C$33</f>
        <v>0</v>
      </c>
      <c r="CQ142" s="845">
        <f>IF('2 M-A +'!D27='2 M-A +'!$B$41,('2 M-A +'!D26*4)/160,0)*'2 M-A +'!D$33</f>
        <v>0</v>
      </c>
      <c r="CR142" s="845">
        <f>IF('2 M-A +'!E27='2 M-A +'!$B$41,('2 M-A +'!E26*4)/160,0)*'2 M-A +'!E$33</f>
        <v>0</v>
      </c>
      <c r="CS142" s="845">
        <f>IF('2 M-A +'!F27='2 M-A +'!$B$41,('2 M-A +'!F26*4)/160,0)*'2 M-A +'!F$33</f>
        <v>0</v>
      </c>
      <c r="CT142" s="845">
        <f>IF('2 M-A +'!G27='2 M-A +'!$B$41,('2 M-A +'!G26*4)/160,0)*'2 M-A +'!G$33</f>
        <v>0</v>
      </c>
      <c r="CU142" s="845">
        <f>IF('2 M-A +'!H27='2 M-A +'!$B$41,('2 M-A +'!H26*4)/160,0)*'2 M-A +'!H$33</f>
        <v>0</v>
      </c>
      <c r="CV142" s="845">
        <f>IF('2 M-A +'!I27='2 M-A +'!$B$41,('2 M-A +'!I26*4)/160,0)*'2 M-A +'!I$33</f>
        <v>0</v>
      </c>
      <c r="CW142" s="845">
        <f>IF('2 M-A +'!J27='2 M-A +'!$B$41,('2 M-A +'!J26*4)/160,0)*'2 M-A +'!J$33</f>
        <v>0</v>
      </c>
      <c r="CX142" s="845">
        <f>IF('2 M-A +'!K27='2 M-A +'!$B$41,('2 M-A +'!K26*4)/160,0)*'2 M-A +'!K$33</f>
        <v>0</v>
      </c>
      <c r="CY142" s="845">
        <f>IF('2 M-A +'!L27='2 M-A +'!$B$41,('2 M-A +'!L26*4)/160,0)*'2 M-A +'!L$33</f>
        <v>0</v>
      </c>
      <c r="CZ142" s="845">
        <f>IF('2 M-A +'!M27='2 M-A +'!$B$41,('2 M-A +'!M26*4)/160,0)*'2 M-A +'!M$33</f>
        <v>0</v>
      </c>
      <c r="DA142" s="845">
        <f>IF('2 M-A +'!N27='2 M-A +'!$B$41,('2 M-A +'!N26*4)/160,0)*'2 M-A +'!N$33</f>
        <v>0</v>
      </c>
      <c r="DB142" s="838"/>
      <c r="FN142" s="838"/>
      <c r="FO142" s="838"/>
      <c r="FP142" s="838"/>
      <c r="FQ142" s="838"/>
      <c r="FR142" s="838"/>
      <c r="FS142" s="838"/>
      <c r="FT142" s="838"/>
      <c r="FU142" s="838"/>
      <c r="FV142" s="838"/>
      <c r="FW142" s="838"/>
      <c r="FX142" s="838"/>
      <c r="FY142" s="838"/>
      <c r="FZ142" s="838"/>
      <c r="GA142" s="838"/>
      <c r="GB142" s="838"/>
      <c r="GC142" s="838"/>
      <c r="GD142" s="838"/>
      <c r="GE142" s="838"/>
      <c r="GF142" s="838"/>
      <c r="GG142" s="838"/>
      <c r="GH142" s="838"/>
      <c r="GI142" s="838"/>
      <c r="GJ142" s="838"/>
      <c r="GK142" s="838"/>
      <c r="GL142" s="838"/>
    </row>
    <row r="143" spans="2:194" x14ac:dyDescent="0.35">
      <c r="B143" s="678"/>
      <c r="C143" s="838"/>
      <c r="D143" s="838"/>
      <c r="E143" s="838"/>
      <c r="F143" s="838"/>
      <c r="G143" s="838"/>
      <c r="H143" s="838"/>
      <c r="I143" s="838"/>
      <c r="J143" s="838"/>
      <c r="K143" s="838"/>
      <c r="L143" s="838"/>
      <c r="M143" s="838"/>
      <c r="N143" s="838"/>
      <c r="O143" s="838"/>
      <c r="P143" s="838"/>
      <c r="Q143" s="838"/>
      <c r="R143" s="838"/>
      <c r="S143" s="838"/>
      <c r="T143" s="838"/>
      <c r="U143" s="838"/>
      <c r="V143" s="838"/>
      <c r="W143" s="838"/>
      <c r="X143" s="838"/>
      <c r="Y143" s="859"/>
      <c r="Z143" s="838"/>
      <c r="AA143" s="859"/>
      <c r="AB143" s="838"/>
      <c r="AC143" s="838"/>
      <c r="AD143" s="838"/>
      <c r="AE143" s="838"/>
      <c r="AF143" s="838"/>
      <c r="AG143" s="838"/>
      <c r="AH143" s="838"/>
      <c r="AI143" s="838"/>
      <c r="AJ143" s="838"/>
      <c r="AK143" s="838"/>
      <c r="AL143" s="859"/>
      <c r="AM143" s="838"/>
      <c r="AN143" s="859"/>
      <c r="AO143" s="838"/>
      <c r="AP143" s="839">
        <f t="shared" ref="AP143:BA143" si="36">SUM(AP132:AP142)</f>
        <v>0</v>
      </c>
      <c r="AQ143" s="839">
        <f t="shared" si="36"/>
        <v>0</v>
      </c>
      <c r="AR143" s="839">
        <f t="shared" si="36"/>
        <v>0</v>
      </c>
      <c r="AS143" s="839">
        <f t="shared" si="36"/>
        <v>0</v>
      </c>
      <c r="AT143" s="839">
        <f t="shared" si="36"/>
        <v>0</v>
      </c>
      <c r="AU143" s="839">
        <f t="shared" si="36"/>
        <v>0</v>
      </c>
      <c r="AV143" s="839">
        <f t="shared" si="36"/>
        <v>0</v>
      </c>
      <c r="AW143" s="839">
        <f t="shared" si="36"/>
        <v>0</v>
      </c>
      <c r="AX143" s="839">
        <f t="shared" si="36"/>
        <v>0</v>
      </c>
      <c r="AY143" s="839">
        <f t="shared" si="36"/>
        <v>0</v>
      </c>
      <c r="AZ143" s="839">
        <f t="shared" si="36"/>
        <v>0</v>
      </c>
      <c r="BA143" s="839">
        <f t="shared" si="36"/>
        <v>0</v>
      </c>
      <c r="BB143" s="838"/>
      <c r="BC143" s="844">
        <f t="shared" ref="BC143:BN143" si="37">SUM(BC130:BC142)</f>
        <v>0</v>
      </c>
      <c r="BD143" s="844">
        <f t="shared" si="37"/>
        <v>0</v>
      </c>
      <c r="BE143" s="844">
        <f t="shared" si="37"/>
        <v>0</v>
      </c>
      <c r="BF143" s="844">
        <f t="shared" si="37"/>
        <v>0</v>
      </c>
      <c r="BG143" s="844">
        <f t="shared" si="37"/>
        <v>0</v>
      </c>
      <c r="BH143" s="844">
        <f t="shared" si="37"/>
        <v>0</v>
      </c>
      <c r="BI143" s="844">
        <f t="shared" si="37"/>
        <v>0</v>
      </c>
      <c r="BJ143" s="844">
        <f t="shared" si="37"/>
        <v>0</v>
      </c>
      <c r="BK143" s="844">
        <f t="shared" si="37"/>
        <v>0</v>
      </c>
      <c r="BL143" s="844">
        <f t="shared" si="37"/>
        <v>0</v>
      </c>
      <c r="BM143" s="844">
        <f t="shared" si="37"/>
        <v>0</v>
      </c>
      <c r="BN143" s="844">
        <f t="shared" si="37"/>
        <v>0</v>
      </c>
      <c r="BO143" s="855"/>
      <c r="BP143" s="844">
        <f t="shared" ref="BP143:CA143" si="38">SUM(BP130:BP142)</f>
        <v>0</v>
      </c>
      <c r="BQ143" s="844">
        <f t="shared" si="38"/>
        <v>0</v>
      </c>
      <c r="BR143" s="844">
        <f t="shared" si="38"/>
        <v>0</v>
      </c>
      <c r="BS143" s="844">
        <f t="shared" si="38"/>
        <v>0</v>
      </c>
      <c r="BT143" s="844">
        <f t="shared" si="38"/>
        <v>0</v>
      </c>
      <c r="BU143" s="844">
        <f t="shared" si="38"/>
        <v>0</v>
      </c>
      <c r="BV143" s="844">
        <f t="shared" si="38"/>
        <v>0</v>
      </c>
      <c r="BW143" s="844">
        <f t="shared" si="38"/>
        <v>0</v>
      </c>
      <c r="BX143" s="844">
        <f t="shared" si="38"/>
        <v>0</v>
      </c>
      <c r="BY143" s="844">
        <f t="shared" si="38"/>
        <v>0</v>
      </c>
      <c r="BZ143" s="844">
        <f t="shared" si="38"/>
        <v>0</v>
      </c>
      <c r="CA143" s="844">
        <f t="shared" si="38"/>
        <v>0</v>
      </c>
      <c r="CB143" s="855"/>
      <c r="CC143" s="844">
        <f t="shared" ref="CC143:CN143" si="39">SUM(CC130:CC142)</f>
        <v>0</v>
      </c>
      <c r="CD143" s="844">
        <f t="shared" si="39"/>
        <v>0</v>
      </c>
      <c r="CE143" s="844">
        <f t="shared" si="39"/>
        <v>0</v>
      </c>
      <c r="CF143" s="844">
        <f t="shared" si="39"/>
        <v>0</v>
      </c>
      <c r="CG143" s="844">
        <f t="shared" si="39"/>
        <v>0</v>
      </c>
      <c r="CH143" s="844">
        <f t="shared" si="39"/>
        <v>0</v>
      </c>
      <c r="CI143" s="844">
        <f t="shared" si="39"/>
        <v>0</v>
      </c>
      <c r="CJ143" s="844">
        <f t="shared" si="39"/>
        <v>0</v>
      </c>
      <c r="CK143" s="844">
        <f t="shared" si="39"/>
        <v>0</v>
      </c>
      <c r="CL143" s="844">
        <f t="shared" si="39"/>
        <v>0</v>
      </c>
      <c r="CM143" s="844">
        <f t="shared" si="39"/>
        <v>0</v>
      </c>
      <c r="CN143" s="844">
        <f t="shared" si="39"/>
        <v>0</v>
      </c>
      <c r="CO143" s="855"/>
      <c r="CP143" s="844">
        <f t="shared" ref="CP143:DA143" si="40">SUM(CP130:CP142)</f>
        <v>0</v>
      </c>
      <c r="CQ143" s="844">
        <f t="shared" si="40"/>
        <v>0</v>
      </c>
      <c r="CR143" s="844">
        <f t="shared" si="40"/>
        <v>0</v>
      </c>
      <c r="CS143" s="844">
        <f t="shared" si="40"/>
        <v>0</v>
      </c>
      <c r="CT143" s="844">
        <f t="shared" si="40"/>
        <v>0</v>
      </c>
      <c r="CU143" s="844">
        <f t="shared" si="40"/>
        <v>0</v>
      </c>
      <c r="CV143" s="844">
        <f t="shared" si="40"/>
        <v>0</v>
      </c>
      <c r="CW143" s="844">
        <f t="shared" si="40"/>
        <v>0</v>
      </c>
      <c r="CX143" s="844">
        <f t="shared" si="40"/>
        <v>0</v>
      </c>
      <c r="CY143" s="844">
        <f t="shared" si="40"/>
        <v>0</v>
      </c>
      <c r="CZ143" s="844">
        <f t="shared" si="40"/>
        <v>0</v>
      </c>
      <c r="DA143" s="844">
        <f t="shared" si="40"/>
        <v>0</v>
      </c>
      <c r="DB143" s="838"/>
      <c r="DC143" s="855"/>
      <c r="DD143" s="838"/>
      <c r="DE143" s="855"/>
      <c r="DF143" s="838"/>
      <c r="DG143" s="855"/>
      <c r="DH143" s="838"/>
      <c r="DI143" s="855"/>
      <c r="DJ143" s="838"/>
      <c r="DK143" s="855"/>
      <c r="DL143" s="838"/>
      <c r="DM143" s="855"/>
      <c r="DN143" s="838"/>
      <c r="DO143" s="855"/>
      <c r="DP143" s="838"/>
      <c r="DQ143" s="855"/>
      <c r="DR143" s="838"/>
      <c r="FN143" s="855"/>
      <c r="FO143" s="838"/>
      <c r="FP143" s="855"/>
      <c r="FQ143" s="838"/>
      <c r="FR143" s="855"/>
      <c r="FS143" s="838"/>
      <c r="FT143" s="855"/>
      <c r="FU143" s="838"/>
      <c r="FV143" s="855"/>
      <c r="FW143" s="838"/>
      <c r="FX143" s="855"/>
      <c r="FY143" s="838"/>
      <c r="FZ143" s="855"/>
      <c r="GA143" s="838"/>
      <c r="GB143" s="855"/>
      <c r="GC143" s="838"/>
      <c r="GD143" s="855"/>
      <c r="GE143" s="838"/>
      <c r="GF143" s="855"/>
      <c r="GG143" s="838"/>
      <c r="GH143" s="855"/>
      <c r="GI143" s="838"/>
      <c r="GJ143" s="855"/>
      <c r="GK143" s="855"/>
      <c r="GL143" s="838"/>
    </row>
    <row r="144" spans="2:194" x14ac:dyDescent="0.35">
      <c r="B144" s="678"/>
      <c r="C144" s="838"/>
      <c r="D144" s="838"/>
      <c r="E144" s="838"/>
      <c r="F144" s="838"/>
      <c r="G144" s="838"/>
      <c r="H144" s="838"/>
      <c r="I144" s="838"/>
      <c r="J144" s="838"/>
      <c r="K144" s="838"/>
      <c r="L144" s="838"/>
      <c r="M144" s="838"/>
      <c r="N144" s="838"/>
      <c r="O144" s="838"/>
      <c r="P144" s="838"/>
      <c r="Q144" s="838"/>
      <c r="R144" s="838"/>
      <c r="S144" s="838"/>
      <c r="T144" s="838"/>
      <c r="U144" s="838"/>
      <c r="V144" s="838"/>
      <c r="W144" s="838"/>
      <c r="X144" s="838"/>
      <c r="Y144" s="838"/>
      <c r="Z144" s="838"/>
      <c r="AA144" s="838"/>
      <c r="AB144" s="838"/>
      <c r="AC144" s="838"/>
      <c r="AD144" s="838"/>
      <c r="AE144" s="838"/>
      <c r="AF144" s="838"/>
      <c r="AG144" s="838"/>
      <c r="AH144" s="838"/>
      <c r="AI144" s="838"/>
      <c r="AJ144" s="838"/>
      <c r="AK144" s="838"/>
      <c r="AL144" s="838"/>
      <c r="AM144" s="838"/>
      <c r="AN144" s="838"/>
      <c r="AO144" s="838"/>
      <c r="BB144" s="855"/>
      <c r="BC144" s="777">
        <f>IF(OR('2 M-A +'!C29="PT MODULAR",'2 M-A +'!C29="TABLERO COMPLETO",'2 M-A +'!C31&gt;200,),0,SUM(BC130:BC142)*0.4)</f>
        <v>0</v>
      </c>
      <c r="BD144" s="777">
        <f>IF(OR('2 M-A +'!D29="PT MODULAR",'2 M-A +'!D29="TABLERO COMPLETO",'2 M-A +'!D31&gt;200,),0,SUM(BD130:BD142)*0.4)</f>
        <v>0</v>
      </c>
      <c r="BE144" s="777">
        <f>IF(OR('2 M-A +'!E29="PT MODULAR",'2 M-A +'!E29="TABLERO COMPLETO",'2 M-A +'!E31&gt;200,),0,SUM(BE130:BE142)*0.4)</f>
        <v>0</v>
      </c>
      <c r="BF144" s="777">
        <f>IF(OR('2 M-A +'!F29="PT MODULAR",'2 M-A +'!F29="TABLERO COMPLETO",'2 M-A +'!F31&gt;200,),0,SUM(BF130:BF142)*0.4)</f>
        <v>0</v>
      </c>
      <c r="BG144" s="777">
        <f>IF(OR('2 M-A +'!G29="PT MODULAR",'2 M-A +'!G29="TABLERO COMPLETO",'2 M-A +'!G31&gt;200,),0,SUM(BG130:BG142)*0.4)</f>
        <v>0</v>
      </c>
      <c r="BH144" s="777">
        <f>IF(OR('2 M-A +'!H29="PT MODULAR",'2 M-A +'!H29="TABLERO COMPLETO",'2 M-A +'!H31&gt;200,),0,SUM(BH130:BH142)*0.4)</f>
        <v>0</v>
      </c>
      <c r="BI144" s="777">
        <f>IF(OR('2 M-A +'!I29="PT MODULAR",'2 M-A +'!I29="TABLERO COMPLETO",'2 M-A +'!I31&gt;200,),0,SUM(BI130:BI142)*0.4)</f>
        <v>0</v>
      </c>
      <c r="BJ144" s="777">
        <f>IF(OR('2 M-A +'!J29="PT MODULAR",'2 M-A +'!J29="TABLERO COMPLETO",'2 M-A +'!J31&gt;200,),0,SUM(BJ130:BJ142)*0.4)</f>
        <v>0</v>
      </c>
      <c r="BK144" s="777">
        <f>IF(OR('2 M-A +'!K29="PT MODULAR",'2 M-A +'!K29="TABLERO COMPLETO",'2 M-A +'!K31&gt;200,),0,SUM(BK130:BK142)*0.4)</f>
        <v>0</v>
      </c>
      <c r="BL144" s="777">
        <f>IF(OR('2 M-A +'!L29="PT MODULAR",'2 M-A +'!L29="TABLERO COMPLETO",'2 M-A +'!L31&gt;200,),0,SUM(BL130:BL142)*0.4)</f>
        <v>0</v>
      </c>
      <c r="BM144" s="777">
        <f>IF(OR('2 M-A +'!M29="PT MODULAR",'2 M-A +'!M29="TABLERO COMPLETO",'2 M-A +'!M31&gt;200,),0,SUM(BM130:BM142)*0.4)</f>
        <v>0</v>
      </c>
      <c r="BN144" s="777">
        <f>IF(OR('2 M-A +'!N29="PT MODULAR",'2 M-A +'!N29="TABLERO COMPLETO",'2 M-A +'!N31&gt;200,),0,SUM(BN130:BN142)*0.4)</f>
        <v>0</v>
      </c>
      <c r="BP144" s="777">
        <f>IF(OR('2 M-A +'!C29="PT MODULAR",'2 M-A +'!C29="TABLERO COMPLETO",'2 M-A +'!C31&gt;200,),0,SUM(BP130:BP142)*0.4)</f>
        <v>0</v>
      </c>
      <c r="BQ144" s="777">
        <f>IF(OR('2 M-A +'!D29="PT MODULAR",'2 M-A +'!D29="TABLERO COMPLETO",'2 M-A +'!D31&gt;200,),0,SUM(BQ130:BQ142)*0.4)</f>
        <v>0</v>
      </c>
      <c r="BR144" s="777">
        <f>IF(OR('2 M-A +'!E29="PT MODULAR",'2 M-A +'!E29="TABLERO COMPLETO",'2 M-A +'!E31&gt;200,),0,SUM(BR130:BR142)*0.4)</f>
        <v>0</v>
      </c>
      <c r="BS144" s="777">
        <f>IF(OR('2 M-A +'!F29="PT MODULAR",'2 M-A +'!F29="TABLERO COMPLETO",'2 M-A +'!F31&gt;200,),0,SUM(BS130:BS142)*0.4)</f>
        <v>0</v>
      </c>
      <c r="BT144" s="777">
        <f>IF(OR('2 M-A +'!G29="PT MODULAR",'2 M-A +'!G29="TABLERO COMPLETO",'2 M-A +'!G31&gt;200,),0,SUM(BT130:BT142)*0.4)</f>
        <v>0</v>
      </c>
      <c r="BU144" s="777">
        <f>IF(OR('2 M-A +'!H29="PT MODULAR",'2 M-A +'!H29="TABLERO COMPLETO",'2 M-A +'!H31&gt;200,),0,SUM(BU130:BU142)*0.4)</f>
        <v>0</v>
      </c>
      <c r="BV144" s="777">
        <f>IF(OR('2 M-A +'!I29="PT MODULAR",'2 M-A +'!I29="TABLERO COMPLETO",'2 M-A +'!I31&gt;200,),0,SUM(BV130:BV142)*0.4)</f>
        <v>0</v>
      </c>
      <c r="BW144" s="777">
        <f>IF(OR('2 M-A +'!J29="PT MODULAR",'2 M-A +'!J29="TABLERO COMPLETO",'2 M-A +'!J31&gt;200,),0,SUM(BW130:BW142)*0.4)</f>
        <v>0</v>
      </c>
      <c r="BX144" s="777">
        <f>IF(OR('2 M-A +'!K29="PT MODULAR",'2 M-A +'!K29="TABLERO COMPLETO",'2 M-A +'!K31&gt;200,),0,SUM(BX130:BX142)*0.4)</f>
        <v>0</v>
      </c>
      <c r="BY144" s="777">
        <f>IF(OR('2 M-A +'!L29="PT MODULAR",'2 M-A +'!L29="TABLERO COMPLETO",'2 M-A +'!L31&gt;200,),0,SUM(BY130:BY142)*0.4)</f>
        <v>0</v>
      </c>
      <c r="BZ144" s="777">
        <f>IF(OR('2 M-A +'!M29="PT MODULAR",'2 M-A +'!M29="TABLERO COMPLETO",'2 M-A +'!M31&gt;200,),0,SUM(BZ130:BZ142)*0.4)</f>
        <v>0</v>
      </c>
      <c r="CA144" s="777">
        <f>IF(OR('2 M-A +'!N29="PT MODULAR",'2 M-A +'!N29="TABLERO COMPLETO",'2 M-A +'!N31&gt;200,),0,SUM(CA130:CA142)*0.4)</f>
        <v>0</v>
      </c>
      <c r="CC144" s="777">
        <f>IF(OR('2 M-A +'!C29="PT MODULAR",'2 M-A +'!C29="TABLERO COMPLETO",'2 M-A +'!C31&gt;200,),0,SUM(CC130:CC142)*0.4)</f>
        <v>0</v>
      </c>
      <c r="CD144" s="777">
        <f>IF(OR('2 M-A +'!D29="PT MODULAR",'2 M-A +'!D29="TABLERO COMPLETO",'2 M-A +'!D31&gt;200,),0,SUM(CD130:CD142)*0.4)</f>
        <v>0</v>
      </c>
      <c r="CE144" s="777">
        <f>IF(OR('2 M-A +'!E29="PT MODULAR",'2 M-A +'!E29="TABLERO COMPLETO",'2 M-A +'!E31&gt;200,),0,SUM(CE130:CE142)*0.4)</f>
        <v>0</v>
      </c>
      <c r="CF144" s="777">
        <f>IF(OR('2 M-A +'!F29="PT MODULAR",'2 M-A +'!F29="TABLERO COMPLETO",'2 M-A +'!F31&gt;200,),0,SUM(CF130:CF142)*0.4)</f>
        <v>0</v>
      </c>
      <c r="CG144" s="777">
        <f>IF(OR('2 M-A +'!G29="PT MODULAR",'2 M-A +'!G29="TABLERO COMPLETO",'2 M-A +'!G31&gt;200,),0,SUM(CG130:CG142)*0.4)</f>
        <v>0</v>
      </c>
      <c r="CH144" s="777">
        <f>IF(OR('2 M-A +'!H29="PT MODULAR",'2 M-A +'!H29="TABLERO COMPLETO",'2 M-A +'!H31&gt;200,),0,SUM(CH130:CH142)*0.4)</f>
        <v>0</v>
      </c>
      <c r="CI144" s="777">
        <f>IF(OR('2 M-A +'!I29="PT MODULAR",'2 M-A +'!I29="TABLERO COMPLETO",'2 M-A +'!I31&gt;200,),0,SUM(CI130:CI142)*0.4)</f>
        <v>0</v>
      </c>
      <c r="CJ144" s="777">
        <f>IF(OR('2 M-A +'!J29="PT MODULAR",'2 M-A +'!J29="TABLERO COMPLETO",'2 M-A +'!J31&gt;200,),0,SUM(CJ130:CJ142)*0.4)</f>
        <v>0</v>
      </c>
      <c r="CK144" s="777">
        <f>IF(OR('2 M-A +'!K29="PT MODULAR",'2 M-A +'!K29="TABLERO COMPLETO",'2 M-A +'!K31&gt;200,),0,SUM(CK130:CK142)*0.4)</f>
        <v>0</v>
      </c>
      <c r="CL144" s="777">
        <f>IF(OR('2 M-A +'!L29="PT MODULAR",'2 M-A +'!L29="TABLERO COMPLETO",'2 M-A +'!L31&gt;200,),0,SUM(CL130:CL142)*0.4)</f>
        <v>0</v>
      </c>
      <c r="CM144" s="777">
        <f>IF(OR('2 M-A +'!M29="PT MODULAR",'2 M-A +'!M29="TABLERO COMPLETO",'2 M-A +'!M31&gt;200,),0,SUM(CM130:CM142)*0.4)</f>
        <v>0</v>
      </c>
      <c r="CN144" s="777">
        <f>IF(OR('2 M-A +'!N29="PT MODULAR",'2 M-A +'!N29="TABLERO COMPLETO",'2 M-A +'!N31&gt;200,),0,SUM(CN130:CN142)*0.4)</f>
        <v>0</v>
      </c>
      <c r="CP144" s="777">
        <f>IF(OR('2 M-A +'!C29="PT MODULAR",'2 M-A +'!C29="TABLERO COMPLETO",'2 M-A +'!C31&gt;200,),0,SUM(CP130:CP142)*0.4)</f>
        <v>0</v>
      </c>
      <c r="CQ144" s="777">
        <f>IF(OR('2 M-A +'!D29="PT MODULAR",'2 M-A +'!D29="TABLERO COMPLETO",'2 M-A +'!D31&gt;200,),0,SUM(CQ130:CQ142)*0.4)</f>
        <v>0</v>
      </c>
      <c r="CR144" s="777">
        <f>IF(OR('2 M-A +'!E29="PT MODULAR",'2 M-A +'!E29="TABLERO COMPLETO",'2 M-A +'!E31&gt;200,),0,SUM(CR130:CR142)*0.4)</f>
        <v>0</v>
      </c>
      <c r="CS144" s="777">
        <f>IF(OR('2 M-A +'!F29="PT MODULAR",'2 M-A +'!F29="TABLERO COMPLETO",'2 M-A +'!F31&gt;200,),0,SUM(CS130:CS142)*0.4)</f>
        <v>0</v>
      </c>
      <c r="CT144" s="777">
        <f>IF(OR('2 M-A +'!G29="PT MODULAR",'2 M-A +'!G29="TABLERO COMPLETO",'2 M-A +'!G31&gt;200,),0,SUM(CT130:CT142)*0.4)</f>
        <v>0</v>
      </c>
      <c r="CU144" s="777">
        <f>IF(OR('2 M-A +'!H29="PT MODULAR",'2 M-A +'!H29="TABLERO COMPLETO",'2 M-A +'!H31&gt;200,),0,SUM(CU130:CU142)*0.4)</f>
        <v>0</v>
      </c>
      <c r="CV144" s="777">
        <f>IF(OR('2 M-A +'!I29="PT MODULAR",'2 M-A +'!I29="TABLERO COMPLETO",'2 M-A +'!I31&gt;200,),0,SUM(CV130:CV142)*0.4)</f>
        <v>0</v>
      </c>
      <c r="CW144" s="777">
        <f>IF(OR('2 M-A +'!J29="PT MODULAR",'2 M-A +'!J29="TABLERO COMPLETO",'2 M-A +'!J31&gt;200,),0,SUM(CW130:CW142)*0.4)</f>
        <v>0</v>
      </c>
      <c r="CX144" s="777">
        <f>IF(OR('2 M-A +'!K29="PT MODULAR",'2 M-A +'!K29="TABLERO COMPLETO",'2 M-A +'!K31&gt;200,),0,SUM(CX130:CX142)*0.4)</f>
        <v>0</v>
      </c>
      <c r="CY144" s="777">
        <f>IF(OR('2 M-A +'!L29="PT MODULAR",'2 M-A +'!L29="TABLERO COMPLETO",'2 M-A +'!L31&gt;200,),0,SUM(CY130:CY142)*0.4)</f>
        <v>0</v>
      </c>
      <c r="CZ144" s="777">
        <f>IF(OR('2 M-A +'!M29="PT MODULAR",'2 M-A +'!M29="TABLERO COMPLETO",'2 M-A +'!M31&gt;200,),0,SUM(CZ130:CZ142)*0.4)</f>
        <v>0</v>
      </c>
      <c r="DA144" s="777">
        <f>IF(OR('2 M-A +'!N29="PT MODULAR",'2 M-A +'!N29="TABLERO COMPLETO",'2 M-A +'!N31&gt;200,),0,SUM(DA130:DA142)*0.4)</f>
        <v>0</v>
      </c>
      <c r="DB144" s="855"/>
      <c r="DC144" s="838"/>
      <c r="DD144" s="855"/>
      <c r="DE144" s="838"/>
      <c r="DF144" s="855"/>
      <c r="DG144" s="838"/>
      <c r="DH144" s="855"/>
      <c r="DI144" s="838"/>
      <c r="DJ144" s="855"/>
      <c r="DK144" s="838"/>
      <c r="DL144" s="855"/>
      <c r="DM144" s="855"/>
      <c r="DN144" s="838"/>
      <c r="DO144" s="855"/>
      <c r="DP144" s="838"/>
      <c r="DQ144" s="855"/>
      <c r="DR144" s="838"/>
      <c r="FN144" s="855"/>
      <c r="FO144" s="838"/>
      <c r="FP144" s="855"/>
      <c r="FQ144" s="838"/>
      <c r="FR144" s="855"/>
      <c r="FS144" s="838"/>
      <c r="FT144" s="855"/>
      <c r="FU144" s="838"/>
      <c r="FV144" s="855"/>
      <c r="FW144" s="838"/>
      <c r="FX144" s="855"/>
      <c r="FY144" s="838"/>
      <c r="FZ144" s="855"/>
      <c r="GA144" s="838"/>
      <c r="GB144" s="855"/>
      <c r="GC144" s="838"/>
      <c r="GD144" s="855"/>
      <c r="GE144" s="838"/>
      <c r="GF144" s="855"/>
      <c r="GG144" s="838"/>
      <c r="GH144" s="855"/>
      <c r="GI144" s="838"/>
      <c r="GJ144" s="855"/>
      <c r="GK144" s="855"/>
      <c r="GL144" s="838"/>
    </row>
    <row r="145" spans="2:194" x14ac:dyDescent="0.35">
      <c r="B145" s="678"/>
      <c r="C145" s="838"/>
      <c r="D145" s="838"/>
      <c r="E145" s="838"/>
      <c r="F145" s="838"/>
      <c r="G145" s="838"/>
      <c r="H145" s="838"/>
      <c r="I145" s="838"/>
      <c r="J145" s="838"/>
      <c r="K145" s="838"/>
      <c r="L145" s="838"/>
      <c r="M145" s="838"/>
      <c r="N145" s="838"/>
      <c r="O145" s="838"/>
      <c r="P145" s="838"/>
      <c r="Q145" s="838"/>
      <c r="R145" s="838"/>
      <c r="S145" s="838"/>
      <c r="T145" s="838"/>
      <c r="U145" s="838"/>
      <c r="V145" s="838"/>
      <c r="W145" s="838"/>
      <c r="X145" s="838"/>
      <c r="Y145" s="838"/>
      <c r="Z145" s="838"/>
      <c r="AA145" s="838"/>
      <c r="AB145" s="838"/>
      <c r="AC145" s="838"/>
      <c r="AD145" s="838"/>
      <c r="AE145" s="838"/>
      <c r="AF145" s="838"/>
      <c r="AG145" s="838"/>
      <c r="AH145" s="838"/>
      <c r="AI145" s="838"/>
      <c r="AJ145" s="838"/>
      <c r="AK145" s="838"/>
      <c r="AL145" s="838"/>
      <c r="AM145" s="838"/>
      <c r="AN145" s="838"/>
      <c r="AO145" s="838"/>
      <c r="AP145" s="838"/>
      <c r="AQ145" s="838"/>
      <c r="AR145" s="838"/>
      <c r="AS145" s="838"/>
      <c r="AT145" s="838"/>
      <c r="AU145" s="838"/>
      <c r="AV145" s="838"/>
      <c r="AW145" s="838"/>
      <c r="AX145" s="838"/>
      <c r="AY145" s="838"/>
      <c r="AZ145" s="838"/>
      <c r="BA145" s="838"/>
      <c r="BB145" s="838"/>
      <c r="BC145" s="777">
        <f>IF(BC144&gt;0,0,IF(SUM(BC130:BC142)=0,0,IF(SUM(BC130:BC142)*40/'2 M-A +'!C33&lt;80,4,IF(SUM(BC130:BC142)*40/'2 M-A +'!C33&lt;160,6,IF(SUM(BC130:BC142)*40/'2 M-A +'!C33&lt;250,8,0))))*'2 M-A +'!C33)</f>
        <v>0</v>
      </c>
      <c r="BD145" s="777">
        <f>IF(BD144&gt;0,0,IF(SUM(BD130:BD142)=0,0,IF(SUM(BD130:BD142)*40/'2 M-A +'!D33&lt;80,4,IF(SUM(BD130:BD142)*40/'2 M-A +'!D33&lt;160,6,IF(SUM(BD130:BD142)*40/'2 M-A +'!D33&lt;250,8,0))))*'2 M-A +'!D33)</f>
        <v>0</v>
      </c>
      <c r="BE145" s="777">
        <f>IF(BE144&gt;0,0,IF(SUM(BE130:BE142)=0,0,IF(SUM(BE130:BE142)*40/'2 M-A +'!E33&lt;80,4,IF(SUM(BE130:BE142)*40/'2 M-A +'!E33&lt;160,6,IF(SUM(BE130:BE142)*40/'2 M-A +'!E33&lt;250,8,0))))*'2 M-A +'!E33)</f>
        <v>0</v>
      </c>
      <c r="BF145" s="777">
        <f>IF(BF144&gt;0,0,IF(SUM(BF130:BF142)=0,0,IF(SUM(BF130:BF142)*40/'2 M-A +'!F33&lt;80,4,IF(SUM(BF130:BF142)*40/'2 M-A +'!F33&lt;160,6,IF(SUM(BF130:BF142)*40/'2 M-A +'!F33&lt;250,8,0))))*'2 M-A +'!F33)</f>
        <v>0</v>
      </c>
      <c r="BG145" s="777">
        <f>IF(BG144&gt;0,0,IF(SUM(BG130:BG142)=0,0,IF(SUM(BG130:BG142)*40/'2 M-A +'!G33&lt;80,4,IF(SUM(BG130:BG142)*40/'2 M-A +'!G33&lt;160,6,IF(SUM(BG130:BG142)*40/'2 M-A +'!G33&lt;250,8,0))))*'2 M-A +'!G33)</f>
        <v>0</v>
      </c>
      <c r="BH145" s="777">
        <f>IF(BH144&gt;0,0,IF(SUM(BH130:BH142)=0,0,IF(SUM(BH130:BH142)*40/'2 M-A +'!H33&lt;80,4,IF(SUM(BH130:BH142)*40/'2 M-A +'!H33&lt;160,6,IF(SUM(BH130:BH142)*40/'2 M-A +'!H33&lt;250,8,0))))*'2 M-A +'!H33)</f>
        <v>0</v>
      </c>
      <c r="BI145" s="777">
        <f>IF(BI144&gt;0,0,IF(SUM(BI130:BI142)=0,0,IF(SUM(BI130:BI142)*40/'2 M-A +'!I33&lt;80,4,IF(SUM(BI130:BI142)*40/'2 M-A +'!I33&lt;160,6,IF(SUM(BI130:BI142)*40/'2 M-A +'!I33&lt;250,8,0))))*'2 M-A +'!I33)</f>
        <v>0</v>
      </c>
      <c r="BJ145" s="777">
        <f>IF(BJ144&gt;0,0,IF(SUM(BJ130:BJ142)=0,0,IF(SUM(BJ130:BJ142)*40/'2 M-A +'!J33&lt;80,4,IF(SUM(BJ130:BJ142)*40/'2 M-A +'!J33&lt;160,6,IF(SUM(BJ130:BJ142)*40/'2 M-A +'!J33&lt;250,8,0))))*'2 M-A +'!J33)</f>
        <v>0</v>
      </c>
      <c r="BK145" s="777">
        <f>IF(BK144&gt;0,0,IF(SUM(BK130:BK142)=0,0,IF(SUM(BK130:BK142)*40/'2 M-A +'!K33&lt;80,4,IF(SUM(BK130:BK142)*40/'2 M-A +'!K33&lt;160,6,IF(SUM(BK130:BK142)*40/'2 M-A +'!K33&lt;250,8,0))))*'2 M-A +'!K33)</f>
        <v>0</v>
      </c>
      <c r="BL145" s="777">
        <f>IF(BL144&gt;0,0,IF(SUM(BL130:BL142)=0,0,IF(SUM(BL130:BL142)*40/'2 M-A +'!L33&lt;80,4,IF(SUM(BL130:BL142)*40/'2 M-A +'!L33&lt;160,6,IF(SUM(BL130:BL142)*40/'2 M-A +'!L33&lt;250,8,0))))*'2 M-A +'!L33)</f>
        <v>0</v>
      </c>
      <c r="BM145" s="777">
        <f>IF(BM144&gt;0,0,IF(SUM(BM130:BM142)=0,0,IF(SUM(BM130:BM142)*40/'2 M-A +'!M33&lt;80,4,IF(SUM(BM130:BM142)*40/'2 M-A +'!M33&lt;160,6,IF(SUM(BM130:BM142)*40/'2 M-A +'!M33&lt;250,8,0))))*'2 M-A +'!M33)</f>
        <v>0</v>
      </c>
      <c r="BN145" s="777">
        <f>IF(BN144&gt;0,0,IF(SUM(BN130:BN142)=0,0,IF(SUM(BN130:BN142)*40/'2 M-A +'!N33&lt;80,4,IF(SUM(BN130:BN142)*40/'2 M-A +'!N33&lt;160,6,IF(SUM(BN130:BN142)*40/'2 M-A +'!N33&lt;250,8,0))))*'2 M-A +'!N33)</f>
        <v>0</v>
      </c>
      <c r="BP145" s="777">
        <f>IF(BP144&gt;0,0,IF(SUM(BP130:BP142)=0,0,IF(SUM(BP130:BP142)*40/'2 M-A +'!C33&lt;80,4,IF(SUM(BP130:BP142)*40/'2 M-A +'!C33&lt;160,6,IF(SUM(BP130:BP142)*40/'2 M-A +'!C33&lt;250,8,0))))*'2 M-A +'!C33)</f>
        <v>0</v>
      </c>
      <c r="BQ145" s="777">
        <f>IF(BQ144&gt;0,0,IF(SUM(BQ130:BQ142)=0,0,IF(SUM(BQ130:BQ142)*40/'2 M-A +'!D33&lt;80,4,IF(SUM(BQ130:BQ142)*40/'2 M-A +'!D33&lt;160,6,IF(SUM(BQ130:BQ142)*40/'2 M-A +'!D33&lt;250,8,0))))*'2 M-A +'!D33)</f>
        <v>0</v>
      </c>
      <c r="BR145" s="777">
        <f>IF(BR144&gt;0,0,IF(SUM(BR130:BR142)=0,0,IF(SUM(BR130:BR142)*40/'2 M-A +'!E33&lt;80,4,IF(SUM(BR130:BR142)*40/'2 M-A +'!E33&lt;160,6,IF(SUM(BR130:BR142)*40/'2 M-A +'!E33&lt;250,8,0))))*'2 M-A +'!E33)</f>
        <v>0</v>
      </c>
      <c r="BS145" s="777">
        <f>IF(BS144&gt;0,0,IF(SUM(BS130:BS142)=0,0,IF(SUM(BS130:BS142)*40/'2 M-A +'!F33&lt;80,4,IF(SUM(BS130:BS142)*40/'2 M-A +'!F33&lt;160,6,IF(SUM(BS130:BS142)*40/'2 M-A +'!F33&lt;250,8,0))))*'2 M-A +'!F33)</f>
        <v>0</v>
      </c>
      <c r="BT145" s="777">
        <f>IF(BT144&gt;0,0,IF(SUM(BT130:BT142)=0,0,IF(SUM(BT130:BT142)*40/'2 M-A +'!G33&lt;80,4,IF(SUM(BT130:BT142)*40/'2 M-A +'!G33&lt;160,6,IF(SUM(BT130:BT142)*40/'2 M-A +'!G33&lt;250,8,0))))*'2 M-A +'!G33)</f>
        <v>0</v>
      </c>
      <c r="BU145" s="777">
        <f>IF(BU144&gt;0,0,IF(SUM(BU130:BU142)=0,0,IF(SUM(BU130:BU142)*40/'2 M-A +'!H33&lt;80,4,IF(SUM(BU130:BU142)*40/'2 M-A +'!H33&lt;160,6,IF(SUM(BU130:BU142)*40/'2 M-A +'!H33&lt;250,8,0))))*'2 M-A +'!H33)</f>
        <v>0</v>
      </c>
      <c r="BV145" s="777">
        <f>IF(BV144&gt;0,0,IF(SUM(BV130:BV142)=0,0,IF(SUM(BV130:BV142)*40/'2 M-A +'!I33&lt;80,4,IF(SUM(BV130:BV142)*40/'2 M-A +'!I33&lt;160,6,IF(SUM(BV130:BV142)*40/'2 M-A +'!I33&lt;250,8,0))))*'2 M-A +'!I33)</f>
        <v>0</v>
      </c>
      <c r="BW145" s="777">
        <f>IF(BW144&gt;0,0,IF(SUM(BW130:BW142)=0,0,IF(SUM(BW130:BW142)*40/'2 M-A +'!J33&lt;80,4,IF(SUM(BW130:BW142)*40/'2 M-A +'!J33&lt;160,6,IF(SUM(BW130:BW142)*40/'2 M-A +'!J33&lt;250,8,0))))*'2 M-A +'!J33)</f>
        <v>0</v>
      </c>
      <c r="BX145" s="777">
        <f>IF(BX144&gt;0,0,IF(SUM(BX130:BX142)=0,0,IF(SUM(BX130:BX142)*40/'2 M-A +'!K33&lt;80,4,IF(SUM(BX130:BX142)*40/'2 M-A +'!K33&lt;160,6,IF(SUM(BX130:BX142)*40/'2 M-A +'!K33&lt;250,8,0))))*'2 M-A +'!K33)</f>
        <v>0</v>
      </c>
      <c r="BY145" s="777">
        <f>IF(BY144&gt;0,0,IF(SUM(BY130:BY142)=0,0,IF(SUM(BY130:BY142)*40/'2 M-A +'!L33&lt;80,4,IF(SUM(BY130:BY142)*40/'2 M-A +'!L33&lt;160,6,IF(SUM(BY130:BY142)*40/'2 M-A +'!L33&lt;250,8,0))))*'2 M-A +'!L33)</f>
        <v>0</v>
      </c>
      <c r="BZ145" s="777">
        <f>IF(BZ144&gt;0,0,IF(SUM(BZ130:BZ142)=0,0,IF(SUM(BZ130:BZ142)*40/'2 M-A +'!M33&lt;80,4,IF(SUM(BZ130:BZ142)*40/'2 M-A +'!M33&lt;160,6,IF(SUM(BZ130:BZ142)*40/'2 M-A +'!M33&lt;250,8,0))))*'2 M-A +'!M33)</f>
        <v>0</v>
      </c>
      <c r="CA145" s="777">
        <f>IF(CA144&gt;0,0,IF(SUM(CA130:CA142)=0,0,IF(SUM(CA130:CA142)*40/'2 M-A +'!N33&lt;80,4,IF(SUM(CA130:CA142)*40/'2 M-A +'!N33&lt;160,6,IF(SUM(CA130:CA142)*40/'2 M-A +'!N33&lt;250,8,0))))*'2 M-A +'!N33)</f>
        <v>0</v>
      </c>
      <c r="CC145" s="777">
        <f>IF(CC144&gt;0,0,IF(SUM(CC130:CC142)=0,0,IF(SUM(CC130:CC142)*40/'2 M-A +'!C33&lt;80,4,IF(SUM(CC130:CC142)*40/'2 M-A +'!C33&lt;160,6,IF(SUM(CC130:CC142)*40/'2 M-A +'!C33&lt;250,8,0))))*'2 M-A +'!C33)</f>
        <v>0</v>
      </c>
      <c r="CD145" s="777">
        <f>IF(CD144&gt;0,0,IF(SUM(CD130:CD142)=0,0,IF(SUM(CD130:CD142)*40/'2 M-A +'!D33&lt;80,4,IF(SUM(CD130:CD142)*40/'2 M-A +'!D33&lt;160,6,IF(SUM(CD130:CD142)*40/'2 M-A +'!D33&lt;250,8,0))))*'2 M-A +'!D33)</f>
        <v>0</v>
      </c>
      <c r="CE145" s="777">
        <f>IF(CE144&gt;0,0,IF(SUM(CE130:CE142)=0,0,IF(SUM(CE130:CE142)*40/'2 M-A +'!E33&lt;80,4,IF(SUM(CE130:CE142)*40/'2 M-A +'!E33&lt;160,6,IF(SUM(CE130:CE142)*40/'2 M-A +'!E33&lt;250,8,0))))*'2 M-A +'!E33)</f>
        <v>0</v>
      </c>
      <c r="CF145" s="777">
        <f>IF(CF144&gt;0,0,IF(SUM(CF130:CF142)=0,0,IF(SUM(CF130:CF142)*40/'2 M-A +'!F33&lt;80,4,IF(SUM(CF130:CF142)*40/'2 M-A +'!F33&lt;160,6,IF(SUM(CF130:CF142)*40/'2 M-A +'!F33&lt;250,8,0))))*'2 M-A +'!F33)</f>
        <v>0</v>
      </c>
      <c r="CG145" s="777">
        <f>IF(CG144&gt;0,0,IF(SUM(CG130:CG142)=0,0,IF(SUM(CG130:CG142)*40/'2 M-A +'!G33&lt;80,4,IF(SUM(CG130:CG142)*40/'2 M-A +'!G33&lt;160,6,IF(SUM(CG130:CG142)*40/'2 M-A +'!G33&lt;250,8,0))))*'2 M-A +'!G33)</f>
        <v>0</v>
      </c>
      <c r="CH145" s="777">
        <f>IF(CH144&gt;0,0,IF(SUM(CH130:CH142)=0,0,IF(SUM(CH130:CH142)*40/'2 M-A +'!H33&lt;80,4,IF(SUM(CH130:CH142)*40/'2 M-A +'!H33&lt;160,6,IF(SUM(CH130:CH142)*40/'2 M-A +'!H33&lt;250,8,0))))*'2 M-A +'!H33)</f>
        <v>0</v>
      </c>
      <c r="CI145" s="777">
        <f>IF(CI144&gt;0,0,IF(SUM(CI130:CI142)=0,0,IF(SUM(CI130:CI142)*40/'2 M-A +'!I33&lt;80,4,IF(SUM(CI130:CI142)*40/'2 M-A +'!I33&lt;160,6,IF(SUM(CI130:CI142)*40/'2 M-A +'!I33&lt;250,8,0))))*'2 M-A +'!I33)</f>
        <v>0</v>
      </c>
      <c r="CJ145" s="777">
        <f>IF(CJ144&gt;0,0,IF(SUM(CJ130:CJ142)=0,0,IF(SUM(CJ130:CJ142)*40/'2 M-A +'!J33&lt;80,4,IF(SUM(CJ130:CJ142)*40/'2 M-A +'!J33&lt;160,6,IF(SUM(CJ130:CJ142)*40/'2 M-A +'!J33&lt;250,8,0))))*'2 M-A +'!J33)</f>
        <v>0</v>
      </c>
      <c r="CK145" s="777">
        <f>IF(CK144&gt;0,0,IF(SUM(CK130:CK142)=0,0,IF(SUM(CK130:CK142)*40/'2 M-A +'!K33&lt;80,4,IF(SUM(CK130:CK142)*40/'2 M-A +'!K33&lt;160,6,IF(SUM(CK130:CK142)*40/'2 M-A +'!K33&lt;250,8,0))))*'2 M-A +'!K33)</f>
        <v>0</v>
      </c>
      <c r="CL145" s="777">
        <f>IF(CL144&gt;0,0,IF(SUM(CL130:CL142)=0,0,IF(SUM(CL130:CL142)*40/'2 M-A +'!L33&lt;80,4,IF(SUM(CL130:CL142)*40/'2 M-A +'!L33&lt;160,6,IF(SUM(CL130:CL142)*40/'2 M-A +'!L33&lt;250,8,0))))*'2 M-A +'!L33)</f>
        <v>0</v>
      </c>
      <c r="CM145" s="777">
        <f>IF(CM144&gt;0,0,IF(SUM(CM130:CM142)=0,0,IF(SUM(CM130:CM142)*40/'2 M-A +'!M33&lt;80,4,IF(SUM(CM130:CM142)*40/'2 M-A +'!M33&lt;160,6,IF(SUM(CM130:CM142)*40/'2 M-A +'!M33&lt;250,8,0))))*'2 M-A +'!M33)</f>
        <v>0</v>
      </c>
      <c r="CN145" s="777">
        <f>IF(CN144&gt;0,0,IF(SUM(CN130:CN142)=0,0,IF(SUM(CN130:CN142)*40/'2 M-A +'!N33&lt;80,4,IF(SUM(CN130:CN142)*40/'2 M-A +'!N33&lt;160,6,IF(SUM(CN130:CN142)*40/'2 M-A +'!N33&lt;250,8,0))))*'2 M-A +'!N33)</f>
        <v>0</v>
      </c>
      <c r="CP145" s="777">
        <f>IF(CP144&gt;0,0,IF(SUM(CP130:CP142)=0,0,IF(SUM(CP130:CP142)*40/'2 M-A +'!C33&lt;80,4,IF(SUM(CP130:CP142)*40/'2 M-A +'!C33&lt;160,6,IF(SUM(CP130:CP142)*40/'2 M-A +'!C33&lt;250,8,0))))*'2 M-A +'!C33)</f>
        <v>0</v>
      </c>
      <c r="CQ145" s="777">
        <f>IF(CQ144&gt;0,0,IF(SUM(CQ130:CQ142)=0,0,IF(SUM(CQ130:CQ142)*40/'2 M-A +'!D33&lt;80,4,IF(SUM(CQ130:CQ142)*40/'2 M-A +'!D33&lt;160,6,IF(SUM(CQ130:CQ142)*40/'2 M-A +'!D33&lt;250,8,0))))*'2 M-A +'!D33)</f>
        <v>0</v>
      </c>
      <c r="CR145" s="777">
        <f>IF(CR144&gt;0,0,IF(SUM(CR130:CR142)=0,0,IF(SUM(CR130:CR142)*40/'2 M-A +'!E33&lt;80,4,IF(SUM(CR130:CR142)*40/'2 M-A +'!E33&lt;160,6,IF(SUM(CR130:CR142)*40/'2 M-A +'!E33&lt;250,8,0))))*'2 M-A +'!E33)</f>
        <v>0</v>
      </c>
      <c r="CS145" s="777">
        <f>IF(CS144&gt;0,0,IF(SUM(CS130:CS142)=0,0,IF(SUM(CS130:CS142)*40/'2 M-A +'!F33&lt;80,4,IF(SUM(CS130:CS142)*40/'2 M-A +'!F33&lt;160,6,IF(SUM(CS130:CS142)*40/'2 M-A +'!F33&lt;250,8,0))))*'2 M-A +'!F33)</f>
        <v>0</v>
      </c>
      <c r="CT145" s="777">
        <f>IF(CT144&gt;0,0,IF(SUM(CT130:CT142)=0,0,IF(SUM(CT130:CT142)*40/'2 M-A +'!G33&lt;80,4,IF(SUM(CT130:CT142)*40/'2 M-A +'!G33&lt;160,6,IF(SUM(CT130:CT142)*40/'2 M-A +'!G33&lt;250,8,0))))*'2 M-A +'!G33)</f>
        <v>0</v>
      </c>
      <c r="CU145" s="777">
        <f>IF(CU144&gt;0,0,IF(SUM(CU130:CU142)=0,0,IF(SUM(CU130:CU142)*40/'2 M-A +'!H33&lt;80,4,IF(SUM(CU130:CU142)*40/'2 M-A +'!H33&lt;160,6,IF(SUM(CU130:CU142)*40/'2 M-A +'!H33&lt;250,8,0))))*'2 M-A +'!H33)</f>
        <v>0</v>
      </c>
      <c r="CV145" s="777">
        <f>IF(CV144&gt;0,0,IF(SUM(CV130:CV142)=0,0,IF(SUM(CV130:CV142)*40/'2 M-A +'!I33&lt;80,4,IF(SUM(CV130:CV142)*40/'2 M-A +'!I33&lt;160,6,IF(SUM(CV130:CV142)*40/'2 M-A +'!I33&lt;250,8,0))))*'2 M-A +'!I33)</f>
        <v>0</v>
      </c>
      <c r="CW145" s="777">
        <f>IF(CW144&gt;0,0,IF(SUM(CW130:CW142)=0,0,IF(SUM(CW130:CW142)*40/'2 M-A +'!J33&lt;80,4,IF(SUM(CW130:CW142)*40/'2 M-A +'!J33&lt;160,6,IF(SUM(CW130:CW142)*40/'2 M-A +'!J33&lt;250,8,0))))*'2 M-A +'!J33)</f>
        <v>0</v>
      </c>
      <c r="CX145" s="777">
        <f>IF(CX144&gt;0,0,IF(SUM(CX130:CX142)=0,0,IF(SUM(CX130:CX142)*40/'2 M-A +'!K33&lt;80,4,IF(SUM(CX130:CX142)*40/'2 M-A +'!K33&lt;160,6,IF(SUM(CX130:CX142)*40/'2 M-A +'!K33&lt;250,8,0))))*'2 M-A +'!K33)</f>
        <v>0</v>
      </c>
      <c r="CY145" s="777">
        <f>IF(CY144&gt;0,0,IF(SUM(CY130:CY142)=0,0,IF(SUM(CY130:CY142)*40/'2 M-A +'!L33&lt;80,4,IF(SUM(CY130:CY142)*40/'2 M-A +'!L33&lt;160,6,IF(SUM(CY130:CY142)*40/'2 M-A +'!L33&lt;250,8,0))))*'2 M-A +'!L33)</f>
        <v>0</v>
      </c>
      <c r="CZ145" s="777">
        <f>IF(CZ144&gt;0,0,IF(SUM(CZ130:CZ142)=0,0,IF(SUM(CZ130:CZ142)*40/'2 M-A +'!M33&lt;80,4,IF(SUM(CZ130:CZ142)*40/'2 M-A +'!M33&lt;160,6,IF(SUM(CZ130:CZ142)*40/'2 M-A +'!M33&lt;250,8,0))))*'2 M-A +'!M33)</f>
        <v>0</v>
      </c>
      <c r="DA145" s="777">
        <f>IF(DA144&gt;0,0,IF(SUM(DA130:DA142)=0,0,IF(SUM(DA130:DA142)*40/'2 M-A +'!N33&lt;80,4,IF(SUM(DA130:DA142)*40/'2 M-A +'!N33&lt;160,6,IF(SUM(DA130:DA142)*40/'2 M-A +'!N33&lt;250,8,0))))*'2 M-A +'!N33)</f>
        <v>0</v>
      </c>
      <c r="DB145" s="838"/>
      <c r="DC145" s="838"/>
      <c r="DD145" s="838"/>
      <c r="DE145" s="838"/>
      <c r="DF145" s="838"/>
      <c r="DG145" s="838"/>
      <c r="DH145" s="838"/>
      <c r="DI145" s="838"/>
      <c r="DJ145" s="838"/>
      <c r="DK145" s="838"/>
      <c r="DL145" s="838"/>
      <c r="DM145" s="838"/>
      <c r="DN145" s="838"/>
      <c r="DO145" s="838"/>
      <c r="DP145" s="838"/>
      <c r="DQ145" s="838"/>
      <c r="DR145" s="838"/>
      <c r="FN145" s="855"/>
      <c r="FO145" s="855"/>
      <c r="FP145" s="855"/>
      <c r="FQ145" s="838"/>
      <c r="FR145" s="855"/>
      <c r="FS145" s="838"/>
      <c r="FT145" s="855"/>
      <c r="FU145" s="838"/>
      <c r="FV145" s="855"/>
      <c r="FW145" s="838"/>
      <c r="FX145" s="855"/>
      <c r="FY145" s="838"/>
      <c r="FZ145" s="855"/>
      <c r="GA145" s="838"/>
      <c r="GB145" s="855"/>
      <c r="GC145" s="838"/>
      <c r="GD145" s="855"/>
      <c r="GE145" s="838"/>
      <c r="GF145" s="855"/>
      <c r="GG145" s="838"/>
      <c r="GH145" s="855"/>
      <c r="GI145" s="838"/>
      <c r="GJ145" s="855"/>
      <c r="GK145" s="855"/>
      <c r="GL145" s="855"/>
    </row>
    <row r="146" spans="2:194" x14ac:dyDescent="0.35">
      <c r="C146" s="838"/>
      <c r="D146" s="838"/>
      <c r="E146" s="838"/>
      <c r="F146" s="838"/>
      <c r="G146" s="838"/>
      <c r="H146" s="838"/>
      <c r="I146" s="838"/>
      <c r="J146" s="838"/>
      <c r="K146" s="838"/>
      <c r="L146" s="838"/>
      <c r="M146" s="838"/>
      <c r="N146" s="838"/>
      <c r="O146" s="838"/>
      <c r="P146" s="838"/>
      <c r="Q146" s="838"/>
      <c r="R146" s="838"/>
      <c r="S146" s="838"/>
      <c r="T146" s="838"/>
      <c r="U146" s="838"/>
      <c r="V146" s="838"/>
      <c r="W146" s="838"/>
      <c r="X146" s="838"/>
      <c r="Y146" s="838"/>
      <c r="Z146" s="838"/>
      <c r="AA146" s="838"/>
      <c r="AB146" s="838"/>
      <c r="AC146" s="838"/>
      <c r="AD146" s="838"/>
      <c r="AE146" s="838"/>
      <c r="AF146" s="838"/>
      <c r="AG146" s="838"/>
      <c r="AH146" s="838"/>
      <c r="AI146" s="838"/>
      <c r="AJ146" s="838"/>
      <c r="AK146" s="838"/>
      <c r="AL146" s="838"/>
      <c r="AM146" s="838"/>
      <c r="AN146" s="838"/>
      <c r="AO146" s="838"/>
      <c r="AP146" s="838"/>
      <c r="AQ146" s="838"/>
      <c r="AR146" s="838"/>
      <c r="AS146" s="838"/>
      <c r="AT146" s="838"/>
      <c r="AU146" s="838"/>
      <c r="AV146" s="838"/>
      <c r="AW146" s="838"/>
      <c r="AX146" s="838"/>
      <c r="AY146" s="838"/>
      <c r="AZ146" s="838"/>
      <c r="BA146" s="838"/>
      <c r="BB146" s="838"/>
      <c r="BC146" s="777">
        <f t="shared" ref="BC146:BN146" si="41">IF(BC144&gt;0,0,(SUM(BC130:BC142)*0.8))-BC145*0.12</f>
        <v>0</v>
      </c>
      <c r="BD146" s="777">
        <f t="shared" si="41"/>
        <v>0</v>
      </c>
      <c r="BE146" s="777">
        <f t="shared" si="41"/>
        <v>0</v>
      </c>
      <c r="BF146" s="777">
        <f t="shared" si="41"/>
        <v>0</v>
      </c>
      <c r="BG146" s="777">
        <f t="shared" si="41"/>
        <v>0</v>
      </c>
      <c r="BH146" s="777">
        <f t="shared" si="41"/>
        <v>0</v>
      </c>
      <c r="BI146" s="777">
        <f t="shared" si="41"/>
        <v>0</v>
      </c>
      <c r="BJ146" s="777">
        <f t="shared" si="41"/>
        <v>0</v>
      </c>
      <c r="BK146" s="777">
        <f t="shared" si="41"/>
        <v>0</v>
      </c>
      <c r="BL146" s="777">
        <f t="shared" si="41"/>
        <v>0</v>
      </c>
      <c r="BM146" s="777">
        <f t="shared" si="41"/>
        <v>0</v>
      </c>
      <c r="BN146" s="777">
        <f t="shared" si="41"/>
        <v>0</v>
      </c>
      <c r="BP146" s="777">
        <f t="shared" ref="BP146:CA146" si="42">IF(BP144&gt;0,0,(SUM(BP130:BP142)*0.8))-BP145*0.12</f>
        <v>0</v>
      </c>
      <c r="BQ146" s="777">
        <f t="shared" si="42"/>
        <v>0</v>
      </c>
      <c r="BR146" s="777">
        <f t="shared" si="42"/>
        <v>0</v>
      </c>
      <c r="BS146" s="777">
        <f t="shared" si="42"/>
        <v>0</v>
      </c>
      <c r="BT146" s="777">
        <f t="shared" si="42"/>
        <v>0</v>
      </c>
      <c r="BU146" s="777">
        <f t="shared" si="42"/>
        <v>0</v>
      </c>
      <c r="BV146" s="777">
        <f t="shared" si="42"/>
        <v>0</v>
      </c>
      <c r="BW146" s="777">
        <f t="shared" si="42"/>
        <v>0</v>
      </c>
      <c r="BX146" s="777">
        <f t="shared" si="42"/>
        <v>0</v>
      </c>
      <c r="BY146" s="777">
        <f t="shared" si="42"/>
        <v>0</v>
      </c>
      <c r="BZ146" s="777">
        <f t="shared" si="42"/>
        <v>0</v>
      </c>
      <c r="CA146" s="777">
        <f t="shared" si="42"/>
        <v>0</v>
      </c>
      <c r="CC146" s="777">
        <f t="shared" ref="CC146:CN146" si="43">IF(CC144&gt;0,0,(SUM(CC130:CC142)*0.8))-CC145*0.12</f>
        <v>0</v>
      </c>
      <c r="CD146" s="777">
        <f t="shared" si="43"/>
        <v>0</v>
      </c>
      <c r="CE146" s="777">
        <f t="shared" si="43"/>
        <v>0</v>
      </c>
      <c r="CF146" s="777">
        <f t="shared" si="43"/>
        <v>0</v>
      </c>
      <c r="CG146" s="777">
        <f t="shared" si="43"/>
        <v>0</v>
      </c>
      <c r="CH146" s="777">
        <f t="shared" si="43"/>
        <v>0</v>
      </c>
      <c r="CI146" s="777">
        <f t="shared" si="43"/>
        <v>0</v>
      </c>
      <c r="CJ146" s="777">
        <f t="shared" si="43"/>
        <v>0</v>
      </c>
      <c r="CK146" s="777">
        <f t="shared" si="43"/>
        <v>0</v>
      </c>
      <c r="CL146" s="777">
        <f t="shared" si="43"/>
        <v>0</v>
      </c>
      <c r="CM146" s="777">
        <f t="shared" si="43"/>
        <v>0</v>
      </c>
      <c r="CN146" s="777">
        <f t="shared" si="43"/>
        <v>0</v>
      </c>
      <c r="CP146" s="777">
        <f t="shared" ref="CP146:DA146" si="44">IF(CP144&gt;0,0,(SUM(CP130:CP142)*0.8))-CP145*0.12</f>
        <v>0</v>
      </c>
      <c r="CQ146" s="777">
        <f t="shared" si="44"/>
        <v>0</v>
      </c>
      <c r="CR146" s="777">
        <f t="shared" si="44"/>
        <v>0</v>
      </c>
      <c r="CS146" s="777">
        <f t="shared" si="44"/>
        <v>0</v>
      </c>
      <c r="CT146" s="777">
        <f t="shared" si="44"/>
        <v>0</v>
      </c>
      <c r="CU146" s="777">
        <f t="shared" si="44"/>
        <v>0</v>
      </c>
      <c r="CV146" s="777">
        <f t="shared" si="44"/>
        <v>0</v>
      </c>
      <c r="CW146" s="777">
        <f t="shared" si="44"/>
        <v>0</v>
      </c>
      <c r="CX146" s="777">
        <f t="shared" si="44"/>
        <v>0</v>
      </c>
      <c r="CY146" s="777">
        <f t="shared" si="44"/>
        <v>0</v>
      </c>
      <c r="CZ146" s="777">
        <f t="shared" si="44"/>
        <v>0</v>
      </c>
      <c r="DA146" s="777">
        <f t="shared" si="44"/>
        <v>0</v>
      </c>
      <c r="DB146" s="838"/>
      <c r="DC146" s="855"/>
      <c r="DD146" s="838"/>
      <c r="DE146" s="855"/>
      <c r="DF146" s="838"/>
      <c r="DG146" s="855"/>
      <c r="DH146" s="838"/>
      <c r="DI146" s="855"/>
      <c r="DJ146" s="838"/>
      <c r="DK146" s="855"/>
      <c r="DL146" s="838"/>
      <c r="DM146" s="855"/>
      <c r="DN146" s="838"/>
      <c r="DO146" s="855"/>
      <c r="DP146" s="838"/>
      <c r="DQ146" s="855"/>
      <c r="DR146" s="838"/>
      <c r="FN146" s="855"/>
      <c r="FO146" s="855"/>
      <c r="FP146" s="855"/>
      <c r="FQ146" s="838"/>
      <c r="FR146" s="855"/>
      <c r="FS146" s="838"/>
      <c r="FT146" s="855"/>
      <c r="FU146" s="838"/>
      <c r="FV146" s="855"/>
      <c r="FW146" s="838"/>
      <c r="FX146" s="855"/>
      <c r="FY146" s="838"/>
      <c r="FZ146" s="855"/>
      <c r="GA146" s="838"/>
      <c r="GB146" s="855"/>
      <c r="GC146" s="838"/>
      <c r="GD146" s="855"/>
      <c r="GE146" s="838"/>
      <c r="GF146" s="855"/>
      <c r="GG146" s="838"/>
      <c r="GH146" s="855"/>
      <c r="GI146" s="838"/>
      <c r="GJ146" s="855"/>
      <c r="GK146" s="855"/>
      <c r="GL146" s="855"/>
    </row>
    <row r="147" spans="2:194" x14ac:dyDescent="0.35">
      <c r="FN147" s="855"/>
      <c r="FO147" s="838"/>
      <c r="FP147" s="855"/>
      <c r="FQ147" s="838"/>
      <c r="FR147" s="855"/>
      <c r="FS147" s="838"/>
      <c r="FT147" s="855"/>
      <c r="FU147" s="838"/>
      <c r="FV147" s="855"/>
      <c r="FW147" s="838"/>
      <c r="FX147" s="855"/>
      <c r="FY147" s="838"/>
      <c r="FZ147" s="855"/>
      <c r="GA147" s="838"/>
      <c r="GB147" s="855"/>
      <c r="GC147" s="838"/>
      <c r="GD147" s="855"/>
      <c r="GE147" s="838"/>
      <c r="GF147" s="855"/>
      <c r="GG147" s="838"/>
      <c r="GH147" s="855"/>
      <c r="GI147" s="838"/>
      <c r="GJ147" s="855"/>
      <c r="GK147" s="855"/>
      <c r="GL147" s="838"/>
    </row>
    <row r="148" spans="2:194" x14ac:dyDescent="0.35">
      <c r="FN148" s="855"/>
      <c r="FO148" s="838"/>
      <c r="FP148" s="855"/>
      <c r="FQ148" s="838"/>
      <c r="FR148" s="855"/>
      <c r="FS148" s="838"/>
      <c r="FT148" s="855"/>
      <c r="FU148" s="838"/>
      <c r="FV148" s="855"/>
      <c r="FW148" s="838"/>
      <c r="FX148" s="855"/>
      <c r="FY148" s="838"/>
      <c r="FZ148" s="855"/>
      <c r="GA148" s="838"/>
      <c r="GB148" s="855"/>
      <c r="GC148" s="838"/>
      <c r="GD148" s="855"/>
      <c r="GE148" s="838"/>
      <c r="GF148" s="855"/>
      <c r="GG148" s="838"/>
      <c r="GH148" s="855"/>
      <c r="GI148" s="838"/>
      <c r="GJ148" s="855"/>
      <c r="GK148" s="855"/>
      <c r="GL148" s="838"/>
    </row>
    <row r="149" spans="2:194" x14ac:dyDescent="0.35">
      <c r="B149" s="702" t="s">
        <v>1001</v>
      </c>
      <c r="C149" s="701"/>
      <c r="D149" s="701"/>
      <c r="E149" s="701"/>
      <c r="F149" s="701"/>
      <c r="G149" s="701"/>
      <c r="H149" s="701"/>
      <c r="I149" s="701"/>
      <c r="J149" s="701"/>
      <c r="K149" s="701"/>
      <c r="L149" s="701"/>
      <c r="M149" s="701"/>
      <c r="N149" s="702"/>
      <c r="O149" s="702" t="s">
        <v>1003</v>
      </c>
      <c r="P149" s="702"/>
      <c r="Q149" s="702"/>
      <c r="R149" s="702"/>
      <c r="S149" s="702"/>
      <c r="T149" s="702"/>
      <c r="U149" s="702"/>
      <c r="V149" s="702"/>
      <c r="W149" s="702"/>
      <c r="X149" s="702"/>
      <c r="Y149" s="702"/>
      <c r="Z149" s="702"/>
      <c r="AA149" s="702"/>
      <c r="AB149" s="702" t="s">
        <v>1004</v>
      </c>
      <c r="AC149" s="702"/>
      <c r="AD149" s="702"/>
      <c r="AE149" s="702"/>
      <c r="AF149" s="702"/>
      <c r="AG149" s="702"/>
      <c r="AH149" s="702"/>
      <c r="AI149" s="702"/>
      <c r="AJ149" s="702"/>
      <c r="AK149" s="702"/>
      <c r="AL149" s="702"/>
      <c r="AM149" s="702"/>
      <c r="AN149" s="702"/>
      <c r="AO149" s="702" t="s">
        <v>1006</v>
      </c>
      <c r="AP149" s="702"/>
      <c r="AQ149" s="702"/>
      <c r="AR149" s="702"/>
      <c r="AS149" s="702"/>
      <c r="AT149" s="702"/>
      <c r="AU149" s="702"/>
      <c r="AV149" s="702"/>
      <c r="AW149" s="702"/>
      <c r="AX149" s="702"/>
      <c r="AY149" s="702"/>
      <c r="AZ149" s="702"/>
      <c r="BA149" s="702"/>
      <c r="BB149" s="702" t="s">
        <v>1008</v>
      </c>
      <c r="BC149" s="702"/>
      <c r="BD149" s="702"/>
      <c r="BE149" s="702"/>
      <c r="BF149" s="702"/>
      <c r="BG149" s="702"/>
      <c r="BH149" s="702"/>
      <c r="BI149" s="702"/>
      <c r="BJ149" s="702"/>
      <c r="BK149" s="702"/>
      <c r="BL149" s="702"/>
      <c r="BM149" s="702"/>
      <c r="BN149" s="702"/>
      <c r="BO149" s="702" t="s">
        <v>1010</v>
      </c>
      <c r="BP149" s="702"/>
      <c r="BQ149" s="702"/>
      <c r="BR149" s="702"/>
      <c r="BS149" s="702"/>
      <c r="BT149" s="702"/>
      <c r="BU149" s="702"/>
      <c r="BV149" s="702"/>
      <c r="BW149" s="702"/>
      <c r="BX149" s="702"/>
      <c r="BY149" s="702"/>
      <c r="BZ149" s="702"/>
      <c r="CA149" s="702"/>
      <c r="CB149" s="702" t="s">
        <v>1013</v>
      </c>
      <c r="CC149" s="702"/>
      <c r="CD149" s="702"/>
      <c r="CE149" s="702"/>
      <c r="CF149" s="702"/>
      <c r="CG149" s="702"/>
      <c r="CH149" s="702"/>
      <c r="CI149" s="702"/>
      <c r="CJ149" s="702"/>
      <c r="CK149" s="702"/>
      <c r="CL149" s="702"/>
      <c r="CM149" s="702"/>
      <c r="CN149" s="702"/>
      <c r="CO149" s="702" t="s">
        <v>1015</v>
      </c>
      <c r="CP149" s="702"/>
      <c r="CQ149" s="702"/>
      <c r="CR149" s="702"/>
      <c r="CU149" s="702"/>
      <c r="CV149" s="702"/>
      <c r="CW149" s="702"/>
      <c r="CX149" s="702"/>
      <c r="CY149" s="702"/>
      <c r="CZ149" s="702"/>
      <c r="DA149" s="702"/>
      <c r="DB149" s="702" t="s">
        <v>1017</v>
      </c>
      <c r="DC149" s="702"/>
      <c r="DD149" s="702"/>
      <c r="DE149" s="702"/>
      <c r="DF149" s="702"/>
      <c r="DG149" s="702"/>
      <c r="DH149" s="702"/>
      <c r="DI149" s="702"/>
      <c r="DJ149" s="702"/>
      <c r="DK149" s="702"/>
      <c r="DL149" s="702"/>
      <c r="DM149" s="702"/>
      <c r="DN149" s="702"/>
      <c r="DO149" s="702" t="s">
        <v>1019</v>
      </c>
      <c r="DP149" s="702"/>
      <c r="DQ149" s="702"/>
      <c r="DR149" s="702"/>
      <c r="DS149" s="702"/>
      <c r="DT149" s="702"/>
      <c r="DU149" s="702"/>
      <c r="DV149" s="702"/>
      <c r="DW149" s="702"/>
      <c r="DX149" s="702"/>
      <c r="DY149" s="702"/>
      <c r="DZ149" s="702"/>
      <c r="EA149" s="702"/>
      <c r="EB149" s="702" t="s">
        <v>1021</v>
      </c>
      <c r="EC149" s="702"/>
      <c r="ED149" s="702"/>
      <c r="EE149" s="702"/>
      <c r="EF149" s="702"/>
      <c r="EG149" s="702"/>
      <c r="EH149" s="702"/>
      <c r="EI149" s="702"/>
      <c r="EJ149" s="702"/>
      <c r="EK149" s="702"/>
      <c r="EL149" s="702"/>
      <c r="EM149" s="702"/>
      <c r="EN149" s="702"/>
      <c r="EO149" s="702" t="s">
        <v>1023</v>
      </c>
      <c r="EP149" s="702"/>
      <c r="EQ149" s="702"/>
      <c r="ER149" s="702"/>
      <c r="ES149" s="702"/>
      <c r="ET149" s="702"/>
      <c r="EU149" s="702"/>
      <c r="EV149" s="702"/>
      <c r="EW149" s="702"/>
      <c r="EX149" s="702"/>
      <c r="EY149" s="702"/>
      <c r="EZ149" s="702"/>
      <c r="FA149" s="702"/>
      <c r="FB149" s="855"/>
      <c r="FC149" s="838"/>
      <c r="FD149" s="855"/>
      <c r="FE149" s="838"/>
      <c r="FF149" s="855"/>
      <c r="FG149" s="838"/>
      <c r="FH149" s="855"/>
      <c r="FI149" s="838"/>
      <c r="FJ149" s="855"/>
      <c r="FK149" s="838"/>
      <c r="FL149" s="855"/>
      <c r="FM149" s="838"/>
      <c r="FN149" s="855"/>
      <c r="FO149" s="855"/>
      <c r="FP149" s="855"/>
      <c r="FQ149" s="838"/>
      <c r="FR149" s="855"/>
      <c r="FS149" s="838"/>
      <c r="FT149" s="855"/>
      <c r="FU149" s="838"/>
      <c r="FV149" s="855"/>
      <c r="FW149" s="838"/>
      <c r="FX149" s="855"/>
      <c r="FY149" s="838"/>
      <c r="FZ149" s="855"/>
      <c r="GA149" s="838"/>
      <c r="GB149" s="855"/>
      <c r="GC149" s="838"/>
      <c r="GD149" s="855"/>
      <c r="GE149" s="838"/>
      <c r="GF149" s="855"/>
      <c r="GG149" s="838"/>
      <c r="GH149" s="855"/>
      <c r="GI149" s="838"/>
      <c r="GJ149" s="855"/>
      <c r="GK149" s="855"/>
      <c r="GL149" s="855"/>
    </row>
    <row r="150" spans="2:194" x14ac:dyDescent="0.35">
      <c r="B150" s="701">
        <f>IF('2 M-A +'!C19='2 M-A +'!$B$44,IF('2 M-A +'!C$32=28,IF('2 M-A +'!C18=40,1,0)))*'2 M-A +'!C$33</f>
        <v>0</v>
      </c>
      <c r="C150" s="701">
        <f>IF('2 M-A +'!D19='2 M-A +'!$B$44,IF('2 M-A +'!D$32=28,IF('2 M-A +'!D18=40,1,0)))*'2 M-A +'!D$33</f>
        <v>0</v>
      </c>
      <c r="D150" s="701">
        <f>IF('2 M-A +'!E19='2 M-A +'!$B$44,IF('2 M-A +'!E$32=28,IF('2 M-A +'!E18=40,1,0)))*'2 M-A +'!E$33</f>
        <v>0</v>
      </c>
      <c r="E150" s="701">
        <f>IF('2 M-A +'!F19='2 M-A +'!$B$44,IF('2 M-A +'!F$32=28,IF('2 M-A +'!F18=40,1,0)))*'2 M-A +'!F$33</f>
        <v>0</v>
      </c>
      <c r="F150" s="701">
        <f>IF('2 M-A +'!G19='2 M-A +'!$B$44,IF('2 M-A +'!G$32=28,IF('2 M-A +'!G18=40,1,0)))*'2 M-A +'!G$33</f>
        <v>0</v>
      </c>
      <c r="G150" s="701">
        <f>IF('2 M-A +'!H19='2 M-A +'!$B$44,IF('2 M-A +'!H$32=28,IF('2 M-A +'!H18=40,1,0)))*'2 M-A +'!H$33</f>
        <v>0</v>
      </c>
      <c r="H150" s="701">
        <f>IF('2 M-A +'!I19='2 M-A +'!$B$44,IF('2 M-A +'!I$32=28,IF('2 M-A +'!I18=40,1,0)))*'2 M-A +'!I$33</f>
        <v>0</v>
      </c>
      <c r="I150" s="701">
        <f>IF('2 M-A +'!J19='2 M-A +'!$B$44,IF('2 M-A +'!J$32=28,IF('2 M-A +'!J18=40,1,0)))*'2 M-A +'!J$33</f>
        <v>0</v>
      </c>
      <c r="J150" s="701">
        <f>IF('2 M-A +'!K19='2 M-A +'!$B$44,IF('2 M-A +'!K$32=28,IF('2 M-A +'!K18=40,1,0)))*'2 M-A +'!K$33</f>
        <v>0</v>
      </c>
      <c r="K150" s="701">
        <f>IF('2 M-A +'!L19='2 M-A +'!$B$44,IF('2 M-A +'!L$32=28,IF('2 M-A +'!L18=40,1,0)))*'2 M-A +'!L$33</f>
        <v>0</v>
      </c>
      <c r="L150" s="701">
        <f>IF('2 M-A +'!M19='2 M-A +'!$B$44,IF('2 M-A +'!M$32=28,IF('2 M-A +'!M18=40,1,0)))*'2 M-A +'!M$33</f>
        <v>0</v>
      </c>
      <c r="M150" s="701">
        <f>IF('2 M-A +'!N19='2 M-A +'!$B$44,IF('2 M-A +'!N$32=28,IF('2 M-A +'!N18=40,1,0)))*'2 M-A +'!N$33</f>
        <v>0</v>
      </c>
      <c r="N150" s="706">
        <f>SUM(B150:M158)</f>
        <v>0</v>
      </c>
      <c r="O150" s="701">
        <f>IF('2 M-A +'!C19='2 M-A +'!$B$44,IF('2 M-A +'!C$32=30,IF('2 M-A +'!C18=40,1,0)))*'2 M-A +'!C$33</f>
        <v>0</v>
      </c>
      <c r="P150" s="701">
        <f>IF('2 M-A +'!D19='2 M-A +'!$B$44,IF('2 M-A +'!D$32=30,IF('2 M-A +'!D18=40,1,0)))*'2 M-A +'!D$33</f>
        <v>0</v>
      </c>
      <c r="Q150" s="701">
        <f>IF('2 M-A +'!E19='2 M-A +'!$B$44,IF('2 M-A +'!E$32=30,IF('2 M-A +'!E18=40,1,0)))*'2 M-A +'!E$33</f>
        <v>0</v>
      </c>
      <c r="R150" s="701">
        <f>IF('2 M-A +'!F19='2 M-A +'!$B$44,IF('2 M-A +'!F$32=30,IF('2 M-A +'!F18=40,1,0)))*'2 M-A +'!F$33</f>
        <v>0</v>
      </c>
      <c r="S150" s="701">
        <f>IF('2 M-A +'!G19='2 M-A +'!$B$44,IF('2 M-A +'!G$32=30,IF('2 M-A +'!G18=40,1,0)))*'2 M-A +'!G$33</f>
        <v>0</v>
      </c>
      <c r="T150" s="701">
        <f>IF('2 M-A +'!H19='2 M-A +'!$B$44,IF('2 M-A +'!H$32=30,IF('2 M-A +'!H18=40,1,0)))*'2 M-A +'!H$33</f>
        <v>0</v>
      </c>
      <c r="U150" s="701">
        <f>IF('2 M-A +'!I19='2 M-A +'!$B$44,IF('2 M-A +'!I$32=30,IF('2 M-A +'!I18=40,1,0)))*'2 M-A +'!I$33</f>
        <v>0</v>
      </c>
      <c r="V150" s="701">
        <f>IF('2 M-A +'!J19='2 M-A +'!$B$44,IF('2 M-A +'!J$32=30,IF('2 M-A +'!J18=40,1,0)))*'2 M-A +'!J$33</f>
        <v>0</v>
      </c>
      <c r="W150" s="701">
        <f>IF('2 M-A +'!K19='2 M-A +'!$B$44,IF('2 M-A +'!K$32=30,IF('2 M-A +'!K18=40,1,0)))*'2 M-A +'!K$33</f>
        <v>0</v>
      </c>
      <c r="X150" s="701">
        <f>IF('2 M-A +'!L19='2 M-A +'!$B$44,IF('2 M-A +'!L$32=30,IF('2 M-A +'!L18=40,1,0)))*'2 M-A +'!L$33</f>
        <v>0</v>
      </c>
      <c r="Y150" s="701">
        <f>IF('2 M-A +'!M19='2 M-A +'!$B$44,IF('2 M-A +'!M$32=30,IF('2 M-A +'!M18=40,1,0)))*'2 M-A +'!M$33</f>
        <v>0</v>
      </c>
      <c r="Z150" s="701">
        <f>IF('2 M-A +'!N19='2 M-A +'!$B$44,IF('2 M-A +'!N$32=30,IF('2 M-A +'!N18=40,1,0)))*'2 M-A +'!N$33</f>
        <v>0</v>
      </c>
      <c r="AA150" s="706">
        <f>SUM(O150:Z158)</f>
        <v>0</v>
      </c>
      <c r="AB150" s="701">
        <f>IF('2 M-A +'!C19='2 M-A +'!$B$44,IF('2 M-A +'!C$32=56,IF('2 M-A +'!C18=40,1,0)))*'2 M-A +'!C$33</f>
        <v>0</v>
      </c>
      <c r="AC150" s="701">
        <f>IF('2 M-A +'!D19='2 M-A +'!$B$44,IF('2 M-A +'!D$32=56,IF('2 M-A +'!D18=40,1,0)))*'2 M-A +'!D$33</f>
        <v>0</v>
      </c>
      <c r="AD150" s="701">
        <f>IF('2 M-A +'!E19='2 M-A +'!$B$44,IF('2 M-A +'!E$32=56,IF('2 M-A +'!E18=40,1,0)))*'2 M-A +'!E$33</f>
        <v>0</v>
      </c>
      <c r="AE150" s="701">
        <f>IF('2 M-A +'!F19='2 M-A +'!$B$44,IF('2 M-A +'!F$32=56,IF('2 M-A +'!F18=40,1,0)))*'2 M-A +'!F$33</f>
        <v>0</v>
      </c>
      <c r="AF150" s="701">
        <f>IF('2 M-A +'!G19='2 M-A +'!$B$44,IF('2 M-A +'!G$32=56,IF('2 M-A +'!G18=40,1,0)))*'2 M-A +'!G$33</f>
        <v>0</v>
      </c>
      <c r="AG150" s="701">
        <f>IF('2 M-A +'!H19='2 M-A +'!$B$44,IF('2 M-A +'!H$32=56,IF('2 M-A +'!H18=40,1,0)))*'2 M-A +'!H$33</f>
        <v>0</v>
      </c>
      <c r="AH150" s="701">
        <f>IF('2 M-A +'!I19='2 M-A +'!$B$44,IF('2 M-A +'!I$32=56,IF('2 M-A +'!I18=40,1,0)))*'2 M-A +'!I$33</f>
        <v>0</v>
      </c>
      <c r="AI150" s="701">
        <f>IF('2 M-A +'!J19='2 M-A +'!$B$44,IF('2 M-A +'!J$32=56,IF('2 M-A +'!J18=40,1,0)))*'2 M-A +'!J$33</f>
        <v>0</v>
      </c>
      <c r="AJ150" s="701">
        <f>IF('2 M-A +'!K19='2 M-A +'!$B$44,IF('2 M-A +'!K$32=56,IF('2 M-A +'!K18=40,1,0)))*'2 M-A +'!K$33</f>
        <v>0</v>
      </c>
      <c r="AK150" s="701">
        <f>IF('2 M-A +'!L19='2 M-A +'!$B$44,IF('2 M-A +'!L$32=56,IF('2 M-A +'!L18=40,1,0)))*'2 M-A +'!L$33</f>
        <v>0</v>
      </c>
      <c r="AL150" s="701">
        <f>IF('2 M-A +'!M19='2 M-A +'!$B$44,IF('2 M-A +'!M$32=56,IF('2 M-A +'!M18=40,1,0)))*'2 M-A +'!M$33</f>
        <v>0</v>
      </c>
      <c r="AM150" s="701">
        <f>IF('2 M-A +'!N19='2 M-A +'!$B$44,IF('2 M-A +'!N$32=56,IF('2 M-A +'!N18=40,1,0)))*'2 M-A +'!N$33</f>
        <v>0</v>
      </c>
      <c r="AN150" s="706">
        <f>SUM(AB150:AM158)</f>
        <v>0</v>
      </c>
      <c r="AO150" s="701">
        <f>IF('2 M-A +'!C19='2 M-A +'!$B$44,IF('2 M-A +'!C$32=60,IF('2 M-A +'!C18=40,1,0)))*'2 M-A +'!C$33</f>
        <v>0</v>
      </c>
      <c r="AP150" s="701">
        <f>IF('2 M-A +'!D19='2 M-A +'!$B$44,IF('2 M-A +'!D$32=60,IF('2 M-A +'!D18=40,1,0)))*'2 M-A +'!D$33</f>
        <v>0</v>
      </c>
      <c r="AQ150" s="701">
        <f>IF('2 M-A +'!E19='2 M-A +'!$B$44,IF('2 M-A +'!E$32=60,IF('2 M-A +'!E18=40,1,0)))*'2 M-A +'!E$33</f>
        <v>0</v>
      </c>
      <c r="AR150" s="701">
        <f>IF('2 M-A +'!F19='2 M-A +'!$B$44,IF('2 M-A +'!F$32=60,IF('2 M-A +'!F18=40,1,0)))*'2 M-A +'!F$33</f>
        <v>0</v>
      </c>
      <c r="AS150" s="701">
        <f>IF('2 M-A +'!G19='2 M-A +'!$B$44,IF('2 M-A +'!G$32=60,IF('2 M-A +'!G18=40,1,0)))*'2 M-A +'!G$33</f>
        <v>0</v>
      </c>
      <c r="AT150" s="701">
        <f>IF('2 M-A +'!H19='2 M-A +'!$B$44,IF('2 M-A +'!H$32=60,IF('2 M-A +'!H18=40,1,0)))*'2 M-A +'!H$33</f>
        <v>0</v>
      </c>
      <c r="AU150" s="701">
        <f>IF('2 M-A +'!I19='2 M-A +'!$B$44,IF('2 M-A +'!I$32=60,IF('2 M-A +'!I18=40,1,0)))*'2 M-A +'!I$33</f>
        <v>0</v>
      </c>
      <c r="AV150" s="701">
        <f>IF('2 M-A +'!J19='2 M-A +'!$B$44,IF('2 M-A +'!J$32=60,IF('2 M-A +'!J18=40,1,0)))*'2 M-A +'!J$33</f>
        <v>0</v>
      </c>
      <c r="AW150" s="701">
        <f>IF('2 M-A +'!K19='2 M-A +'!$B$44,IF('2 M-A +'!K$32=60,IF('2 M-A +'!K18=40,1,0)))*'2 M-A +'!K$33</f>
        <v>0</v>
      </c>
      <c r="AX150" s="701">
        <f>IF('2 M-A +'!L19='2 M-A +'!$B$44,IF('2 M-A +'!L$32=60,IF('2 M-A +'!L18=40,1,0)))*'2 M-A +'!L$33</f>
        <v>0</v>
      </c>
      <c r="AY150" s="701">
        <f>IF('2 M-A +'!M19='2 M-A +'!$B$44,IF('2 M-A +'!M$32=60,IF('2 M-A +'!M18=40,1,0)))*'2 M-A +'!M$33</f>
        <v>0</v>
      </c>
      <c r="AZ150" s="701">
        <f>IF('2 M-A +'!N19='2 M-A +'!$B$44,IF('2 M-A +'!N$32=60,IF('2 M-A +'!N18=40,1,0)))*'2 M-A +'!N$33</f>
        <v>0</v>
      </c>
      <c r="BA150" s="706">
        <f>SUM(AO150:AZ158)</f>
        <v>0</v>
      </c>
      <c r="BB150" s="701">
        <f>IF('2 M-A +'!C19='2 M-A +'!$B$44,IF('2 M-A +'!C$32=70,IF('2 M-A +'!C18=40,1,0)))*'2 M-A +'!C$33</f>
        <v>0</v>
      </c>
      <c r="BC150" s="701">
        <f>IF('2 M-A +'!D19='2 M-A +'!$B$44,IF('2 M-A +'!D$32=70,IF('2 M-A +'!D18=40,1,0)))*'2 M-A +'!D$33</f>
        <v>0</v>
      </c>
      <c r="BD150" s="701">
        <f>IF('2 M-A +'!E19='2 M-A +'!$B$44,IF('2 M-A +'!E$32=70,IF('2 M-A +'!E18=40,1,0)))*'2 M-A +'!E$33</f>
        <v>0</v>
      </c>
      <c r="BE150" s="701">
        <f>IF('2 M-A +'!F19='2 M-A +'!$B$44,IF('2 M-A +'!F$32=70,IF('2 M-A +'!F18=40,1,0)))*'2 M-A +'!F$33</f>
        <v>0</v>
      </c>
      <c r="BF150" s="701">
        <f>IF('2 M-A +'!G19='2 M-A +'!$B$44,IF('2 M-A +'!G$32=70,IF('2 M-A +'!G18=40,1,0)))*'2 M-A +'!G$33</f>
        <v>0</v>
      </c>
      <c r="BG150" s="701">
        <f>IF('2 M-A +'!H19='2 M-A +'!$B$44,IF('2 M-A +'!H$32=70,IF('2 M-A +'!H18=40,1,0)))*'2 M-A +'!H$33</f>
        <v>0</v>
      </c>
      <c r="BH150" s="701">
        <f>IF('2 M-A +'!I19='2 M-A +'!$B$44,IF('2 M-A +'!I$32=70,IF('2 M-A +'!I18=40,1,0)))*'2 M-A +'!I$33</f>
        <v>0</v>
      </c>
      <c r="BI150" s="701">
        <f>IF('2 M-A +'!J19='2 M-A +'!$B$44,IF('2 M-A +'!J$32=70,IF('2 M-A +'!J18=40,1,0)))*'2 M-A +'!J$33</f>
        <v>0</v>
      </c>
      <c r="BJ150" s="701">
        <f>IF('2 M-A +'!K19='2 M-A +'!$B$44,IF('2 M-A +'!K$32=70,IF('2 M-A +'!K18=40,1,0)))*'2 M-A +'!K$33</f>
        <v>0</v>
      </c>
      <c r="BK150" s="701">
        <f>IF('2 M-A +'!L19='2 M-A +'!$B$44,IF('2 M-A +'!L$32=70,IF('2 M-A +'!L18=40,1,0)))*'2 M-A +'!L$33</f>
        <v>0</v>
      </c>
      <c r="BL150" s="701">
        <f>IF('2 M-A +'!M19='2 M-A +'!$B$44,IF('2 M-A +'!M$32=70,IF('2 M-A +'!M18=40,1,0)))*'2 M-A +'!M$33</f>
        <v>0</v>
      </c>
      <c r="BM150" s="701">
        <f>IF('2 M-A +'!N19='2 M-A +'!$B$44,IF('2 M-A +'!N$32=70,IF('2 M-A +'!N18=40,1,0)))*'2 M-A +'!N$33</f>
        <v>0</v>
      </c>
      <c r="BN150" s="706">
        <f>SUM(BB150:BM158)</f>
        <v>0</v>
      </c>
      <c r="BO150" s="701">
        <f>IF('2 M-A +'!C19='2 M-A +'!$B$44,IF('2 M-A +'!C$32=75,IF('2 M-A +'!C18=40,1,0)))*'2 M-A +'!C$33</f>
        <v>0</v>
      </c>
      <c r="BP150" s="701">
        <f>IF('2 M-A +'!D19='2 M-A +'!$B$44,IF('2 M-A +'!D$32=75,IF('2 M-A +'!D18=40,1,0)))*'2 M-A +'!D$33</f>
        <v>0</v>
      </c>
      <c r="BQ150" s="701">
        <f>IF('2 M-A +'!E19='2 M-A +'!$B$44,IF('2 M-A +'!E$32=75,IF('2 M-A +'!E18=40,1,0)))*'2 M-A +'!E$33</f>
        <v>0</v>
      </c>
      <c r="BR150" s="701">
        <f>IF('2 M-A +'!F19='2 M-A +'!$B$44,IF('2 M-A +'!F$32=75,IF('2 M-A +'!F18=40,1,0)))*'2 M-A +'!F$33</f>
        <v>0</v>
      </c>
      <c r="BS150" s="701">
        <f>IF('2 M-A +'!G19='2 M-A +'!$B$44,IF('2 M-A +'!G$32=75,IF('2 M-A +'!G18=40,1,0)))*'2 M-A +'!G$33</f>
        <v>0</v>
      </c>
      <c r="BT150" s="701">
        <f>IF('2 M-A +'!H19='2 M-A +'!$B$44,IF('2 M-A +'!H$32=75,IF('2 M-A +'!H18=40,1,0)))*'2 M-A +'!H$33</f>
        <v>0</v>
      </c>
      <c r="BU150" s="701">
        <f>IF('2 M-A +'!I19='2 M-A +'!$B$44,IF('2 M-A +'!I$32=75,IF('2 M-A +'!I18=40,1,0)))*'2 M-A +'!I$33</f>
        <v>0</v>
      </c>
      <c r="BV150" s="701">
        <f>IF('2 M-A +'!J19='2 M-A +'!$B$44,IF('2 M-A +'!J$32=75,IF('2 M-A +'!J18=40,1,0)))*'2 M-A +'!J$33</f>
        <v>0</v>
      </c>
      <c r="BW150" s="701">
        <f>IF('2 M-A +'!K19='2 M-A +'!$B$44,IF('2 M-A +'!K$32=75,IF('2 M-A +'!K18=40,1,0)))*'2 M-A +'!K$33</f>
        <v>0</v>
      </c>
      <c r="BX150" s="701">
        <f>IF('2 M-A +'!L19='2 M-A +'!$B$44,IF('2 M-A +'!L$32=75,IF('2 M-A +'!L18=40,1,0)))*'2 M-A +'!L$33</f>
        <v>0</v>
      </c>
      <c r="BY150" s="701">
        <f>IF('2 M-A +'!M19='2 M-A +'!$B$44,IF('2 M-A +'!M$32=75,IF('2 M-A +'!M18=40,1,0)))*'2 M-A +'!M$33</f>
        <v>0</v>
      </c>
      <c r="BZ150" s="701">
        <f>IF('2 M-A +'!N19='2 M-A +'!$B$44,IF('2 M-A +'!N$32=75,IF('2 M-A +'!N18=40,1,0)))*'2 M-A +'!N$33</f>
        <v>0</v>
      </c>
      <c r="CA150" s="706">
        <f>SUM(BO150:BZ158)</f>
        <v>0</v>
      </c>
      <c r="CB150" s="701">
        <f>IF('2 M-A +'!C19='2 M-A +'!$B$44,IF('2 M-A +'!C$32=84,IF('2 M-A +'!C18=40,1,0)))*'2 M-A +'!C$33</f>
        <v>0</v>
      </c>
      <c r="CC150" s="701">
        <f>IF('2 M-A +'!D19='2 M-A +'!$B$44,IF('2 M-A +'!D$32=84,IF('2 M-A +'!D18=40,1,0)))*'2 M-A +'!D$33</f>
        <v>0</v>
      </c>
      <c r="CD150" s="701">
        <f>IF('2 M-A +'!E19='2 M-A +'!$B$44,IF('2 M-A +'!E$32=84,IF('2 M-A +'!E18=40,1,0)))*'2 M-A +'!E$33</f>
        <v>0</v>
      </c>
      <c r="CE150" s="701">
        <f>IF('2 M-A +'!F19='2 M-A +'!$B$44,IF('2 M-A +'!F$32=84,IF('2 M-A +'!F18=40,1,0)))*'2 M-A +'!F$33</f>
        <v>0</v>
      </c>
      <c r="CF150" s="701">
        <f>IF('2 M-A +'!G19='2 M-A +'!$B$44,IF('2 M-A +'!G$32=84,IF('2 M-A +'!G18=40,1,0)))*'2 M-A +'!G$33</f>
        <v>0</v>
      </c>
      <c r="CG150" s="701">
        <f>IF('2 M-A +'!H19='2 M-A +'!$B$44,IF('2 M-A +'!H$32=84,IF('2 M-A +'!H18=40,1,0)))*'2 M-A +'!H$33</f>
        <v>0</v>
      </c>
      <c r="CH150" s="701">
        <f>IF('2 M-A +'!I19='2 M-A +'!$B$44,IF('2 M-A +'!I$32=84,IF('2 M-A +'!I18=40,1,0)))*'2 M-A +'!I$33</f>
        <v>0</v>
      </c>
      <c r="CI150" s="701">
        <f>IF('2 M-A +'!J19='2 M-A +'!$B$44,IF('2 M-A +'!J$32=84,IF('2 M-A +'!J18=40,1,0)))*'2 M-A +'!J$33</f>
        <v>0</v>
      </c>
      <c r="CJ150" s="701">
        <f>IF('2 M-A +'!K19='2 M-A +'!$B$44,IF('2 M-A +'!K$32=84,IF('2 M-A +'!K18=40,1,0)))*'2 M-A +'!K$33</f>
        <v>0</v>
      </c>
      <c r="CK150" s="701">
        <f>IF('2 M-A +'!L19='2 M-A +'!$B$44,IF('2 M-A +'!L$32=84,IF('2 M-A +'!L18=40,1,0)))*'2 M-A +'!L$33</f>
        <v>0</v>
      </c>
      <c r="CL150" s="701">
        <f>IF('2 M-A +'!M19='2 M-A +'!$B$44,IF('2 M-A +'!M$32=84,IF('2 M-A +'!M18=40,1,0)))*'2 M-A +'!M$33</f>
        <v>0</v>
      </c>
      <c r="CM150" s="701">
        <f>IF('2 M-A +'!N19='2 M-A +'!$B$44,IF('2 M-A +'!N$32=84,IF('2 M-A +'!N18=40,1,0)))*'2 M-A +'!N$33</f>
        <v>0</v>
      </c>
      <c r="CN150" s="706">
        <f>SUM(CB150:CM158)</f>
        <v>0</v>
      </c>
      <c r="CO150" s="701">
        <f>IF('2 M-A +'!C19='2 M-A +'!$B$44,IF('2 M-A +'!C$32=90,IF('2 M-A +'!C18=40,1,0)))*'2 M-A +'!C$33</f>
        <v>0</v>
      </c>
      <c r="CP150" s="701">
        <f>IF('2 M-A +'!D19='2 M-A +'!$B$44,IF('2 M-A +'!D$32=90,IF('2 M-A +'!D18=40,1,0)))*'2 M-A +'!D$33</f>
        <v>0</v>
      </c>
      <c r="CQ150" s="701">
        <f>IF('2 M-A +'!E19='2 M-A +'!$B$44,IF('2 M-A +'!E$32=90,IF('2 M-A +'!E18=40,1,0)))*'2 M-A +'!E$33</f>
        <v>0</v>
      </c>
      <c r="CR150" s="701">
        <f>IF('2 M-A +'!F19='2 M-A +'!$B$44,IF('2 M-A +'!F$32=90,IF('2 M-A +'!F18=40,1,0)))*'2 M-A +'!F$33</f>
        <v>0</v>
      </c>
      <c r="CS150" s="701">
        <f>IF('2 M-A +'!G19='2 M-A +'!$B$44,IF('2 M-A +'!G$32=90,IF('2 M-A +'!G18=40,1,0)))*'2 M-A +'!G$33</f>
        <v>0</v>
      </c>
      <c r="CT150" s="701">
        <f>IF('2 M-A +'!H19='2 M-A +'!$B$44,IF('2 M-A +'!H$32=90,IF('2 M-A +'!H18=40,1,0)))*'2 M-A +'!H$33</f>
        <v>0</v>
      </c>
      <c r="CU150" s="701">
        <f>IF('2 M-A +'!I19='2 M-A +'!$B$44,IF('2 M-A +'!I$32=90,IF('2 M-A +'!I18=40,1,0)))*'2 M-A +'!I$33</f>
        <v>0</v>
      </c>
      <c r="CV150" s="701">
        <f>IF('2 M-A +'!J19='2 M-A +'!$B$44,IF('2 M-A +'!J$32=90,IF('2 M-A +'!J18=40,1,0)))*'2 M-A +'!J$33</f>
        <v>0</v>
      </c>
      <c r="CW150" s="701">
        <f>IF('2 M-A +'!K19='2 M-A +'!$B$44,IF('2 M-A +'!K$32=90,IF('2 M-A +'!K18=40,1,0)))*'2 M-A +'!K$33</f>
        <v>0</v>
      </c>
      <c r="CX150" s="701">
        <f>IF('2 M-A +'!L19='2 M-A +'!$B$44,IF('2 M-A +'!L$32=90,IF('2 M-A +'!L18=40,1,0)))*'2 M-A +'!L$33</f>
        <v>0</v>
      </c>
      <c r="CY150" s="701">
        <f>IF('2 M-A +'!M19='2 M-A +'!$B$44,IF('2 M-A +'!M$32=90,IF('2 M-A +'!M18=40,1,0)))*'2 M-A +'!M$33</f>
        <v>0</v>
      </c>
      <c r="CZ150" s="701">
        <f>IF('2 M-A +'!N19='2 M-A +'!$B$44,IF('2 M-A +'!N$32=90,IF('2 M-A +'!N18=40,1,0)))*'2 M-A +'!N$33</f>
        <v>0</v>
      </c>
      <c r="DA150" s="706">
        <f>SUM(CO150:CZ158)</f>
        <v>0</v>
      </c>
      <c r="DB150" s="701">
        <f>IF('2 M-A +'!C19='2 M-A +'!$B$44,IF('2 M-A +'!C$32=112,IF('2 M-A +'!C18=40,1,0)))*'2 M-A +'!C$33</f>
        <v>0</v>
      </c>
      <c r="DC150" s="701">
        <f>IF('2 M-A +'!D19='2 M-A +'!$B$44,IF('2 M-A +'!D$32=112,IF('2 M-A +'!D18=40,1,0)))*'2 M-A +'!D$33</f>
        <v>0</v>
      </c>
      <c r="DD150" s="701">
        <f>IF('2 M-A +'!E19='2 M-A +'!$B$44,IF('2 M-A +'!E$32=112,IF('2 M-A +'!E18=40,1,0)))*'2 M-A +'!E$33</f>
        <v>0</v>
      </c>
      <c r="DE150" s="701">
        <f>IF('2 M-A +'!F19='2 M-A +'!$B$44,IF('2 M-A +'!F$32=112,IF('2 M-A +'!F18=40,1,0)))*'2 M-A +'!F$33</f>
        <v>0</v>
      </c>
      <c r="DF150" s="701">
        <f>IF('2 M-A +'!G19='2 M-A +'!$B$44,IF('2 M-A +'!G$32=112,IF('2 M-A +'!G18=40,1,0)))*'2 M-A +'!G$33</f>
        <v>0</v>
      </c>
      <c r="DG150" s="701">
        <f>IF('2 M-A +'!H19='2 M-A +'!$B$44,IF('2 M-A +'!H$32=112,IF('2 M-A +'!H18=40,1,0)))*'2 M-A +'!H$33</f>
        <v>0</v>
      </c>
      <c r="DH150" s="701">
        <f>IF('2 M-A +'!I19='2 M-A +'!$B$44,IF('2 M-A +'!I$32=112,IF('2 M-A +'!I18=40,1,0)))*'2 M-A +'!I$33</f>
        <v>0</v>
      </c>
      <c r="DI150" s="701">
        <f>IF('2 M-A +'!J19='2 M-A +'!$B$44,IF('2 M-A +'!J$32=112,IF('2 M-A +'!J18=40,1,0)))*'2 M-A +'!J$33</f>
        <v>0</v>
      </c>
      <c r="DJ150" s="701">
        <f>IF('2 M-A +'!K19='2 M-A +'!$B$44,IF('2 M-A +'!K$32=112,IF('2 M-A +'!K18=40,1,0)))*'2 M-A +'!K$33</f>
        <v>0</v>
      </c>
      <c r="DK150" s="701">
        <f>IF('2 M-A +'!L19='2 M-A +'!$B$44,IF('2 M-A +'!L$32=112,IF('2 M-A +'!L18=40,1,0)))*'2 M-A +'!L$33</f>
        <v>0</v>
      </c>
      <c r="DL150" s="701">
        <f>IF('2 M-A +'!M19='2 M-A +'!$B$44,IF('2 M-A +'!M$32=112,IF('2 M-A +'!M18=40,1,0)))*'2 M-A +'!M$33</f>
        <v>0</v>
      </c>
      <c r="DM150" s="701">
        <f>IF('2 M-A +'!N19='2 M-A +'!$B$44,IF('2 M-A +'!N$32=112,IF('2 M-A +'!N18=40,1,0)))*'2 M-A +'!N$33</f>
        <v>0</v>
      </c>
      <c r="DN150" s="706">
        <f>SUM(DB150:DM158)</f>
        <v>0</v>
      </c>
      <c r="DO150" s="701">
        <f>IF('2 M-A +'!C19='2 M-A +'!$B$44,IF('2 M-A +'!C$32=120,IF('2 M-A +'!C18=40,1,0)))*'2 M-A +'!C$33</f>
        <v>0</v>
      </c>
      <c r="DP150" s="701">
        <f>IF('2 M-A +'!D19='2 M-A +'!$B$44,IF('2 M-A +'!D$32=120,IF('2 M-A +'!D18=40,1,0)))*'2 M-A +'!D$33</f>
        <v>0</v>
      </c>
      <c r="DQ150" s="701">
        <f>IF('2 M-A +'!E19='2 M-A +'!$B$44,IF('2 M-A +'!E$32=120,IF('2 M-A +'!E18=40,1,0)))*'2 M-A +'!E$33</f>
        <v>0</v>
      </c>
      <c r="DR150" s="701">
        <f>IF('2 M-A +'!F19='2 M-A +'!$B$44,IF('2 M-A +'!F$32=120,IF('2 M-A +'!F18=40,1,0)))*'2 M-A +'!F$33</f>
        <v>0</v>
      </c>
      <c r="DS150" s="701">
        <f>IF('2 M-A +'!G19='2 M-A +'!$B$44,IF('2 M-A +'!G$32=120,IF('2 M-A +'!G18=40,1,0)))*'2 M-A +'!G$33</f>
        <v>0</v>
      </c>
      <c r="DT150" s="701">
        <f>IF('2 M-A +'!H19='2 M-A +'!$B$44,IF('2 M-A +'!H$32=120,IF('2 M-A +'!H18=40,1,0)))*'2 M-A +'!H$33</f>
        <v>0</v>
      </c>
      <c r="DU150" s="701">
        <f>IF('2 M-A +'!I19='2 M-A +'!$B$44,IF('2 M-A +'!I$32=120,IF('2 M-A +'!I18=40,1,0)))*'2 M-A +'!I$33</f>
        <v>0</v>
      </c>
      <c r="DV150" s="701">
        <f>IF('2 M-A +'!J19='2 M-A +'!$B$44,IF('2 M-A +'!J$32=120,IF('2 M-A +'!J18=40,1,0)))*'2 M-A +'!J$33</f>
        <v>0</v>
      </c>
      <c r="DW150" s="701">
        <f>IF('2 M-A +'!K19='2 M-A +'!$B$44,IF('2 M-A +'!K$32=120,IF('2 M-A +'!K18=40,1,0)))*'2 M-A +'!K$33</f>
        <v>0</v>
      </c>
      <c r="DX150" s="701">
        <f>IF('2 M-A +'!L19='2 M-A +'!$B$44,IF('2 M-A +'!L$32=120,IF('2 M-A +'!L18=40,1,0)))*'2 M-A +'!L$33</f>
        <v>0</v>
      </c>
      <c r="DY150" s="701">
        <f>IF('2 M-A +'!M19='2 M-A +'!$B$44,IF('2 M-A +'!M$32=120,IF('2 M-A +'!M18=40,1,0)))*'2 M-A +'!M$33</f>
        <v>0</v>
      </c>
      <c r="DZ150" s="701">
        <f>IF('2 M-A +'!N19='2 M-A +'!$B$44,IF('2 M-A +'!N$32=120,IF('2 M-A +'!N18=40,1,0)))*'2 M-A +'!N$33</f>
        <v>0</v>
      </c>
      <c r="EA150" s="706">
        <f>SUM(DO150:DZ158)</f>
        <v>0</v>
      </c>
      <c r="EB150" s="701">
        <f>IF('2 M-A +'!C19='2 M-A +'!$B$44,IF('2 M-A +'!C$32=140,IF('2 M-A +'!C18=40,1,0)))*'2 M-A +'!C$33</f>
        <v>0</v>
      </c>
      <c r="EC150" s="701">
        <f>IF('2 M-A +'!D19='2 M-A +'!$B$44,IF('2 M-A +'!D$32=140,IF('2 M-A +'!D18=40,1,0)))*'2 M-A +'!D$33</f>
        <v>0</v>
      </c>
      <c r="ED150" s="701">
        <f>IF('2 M-A +'!E19='2 M-A +'!$B$44,IF('2 M-A +'!E$32=140,IF('2 M-A +'!E18=40,1,0)))*'2 M-A +'!E$33</f>
        <v>0</v>
      </c>
      <c r="EE150" s="701">
        <f>IF('2 M-A +'!F19='2 M-A +'!$B$44,IF('2 M-A +'!F$32=140,IF('2 M-A +'!F18=40,1,0)))*'2 M-A +'!F$33</f>
        <v>0</v>
      </c>
      <c r="EF150" s="701">
        <f>IF('2 M-A +'!G19='2 M-A +'!$B$44,IF('2 M-A +'!G$32=140,IF('2 M-A +'!G18=40,1,0)))*'2 M-A +'!G$33</f>
        <v>0</v>
      </c>
      <c r="EG150" s="701">
        <f>IF('2 M-A +'!H19='2 M-A +'!$B$44,IF('2 M-A +'!H$32=140,IF('2 M-A +'!H18=40,1,0)))*'2 M-A +'!H$33</f>
        <v>0</v>
      </c>
      <c r="EH150" s="701">
        <f>IF('2 M-A +'!I19='2 M-A +'!$B$44,IF('2 M-A +'!I$32=140,IF('2 M-A +'!I18=40,1,0)))*'2 M-A +'!I$33</f>
        <v>0</v>
      </c>
      <c r="EI150" s="701">
        <f>IF('2 M-A +'!J19='2 M-A +'!$B$44,IF('2 M-A +'!J$32=140,IF('2 M-A +'!J18=40,1,0)))*'2 M-A +'!J$33</f>
        <v>0</v>
      </c>
      <c r="EJ150" s="701">
        <f>IF('2 M-A +'!K19='2 M-A +'!$B$44,IF('2 M-A +'!K$32=140,IF('2 M-A +'!K18=40,1,0)))*'2 M-A +'!K$33</f>
        <v>0</v>
      </c>
      <c r="EK150" s="701">
        <f>IF('2 M-A +'!L19='2 M-A +'!$B$44,IF('2 M-A +'!L$32=140,IF('2 M-A +'!L18=40,1,0)))*'2 M-A +'!L$33</f>
        <v>0</v>
      </c>
      <c r="EL150" s="701">
        <f>IF('2 M-A +'!M19='2 M-A +'!$B$44,IF('2 M-A +'!M$32=140,IF('2 M-A +'!M18=40,1,0)))*'2 M-A +'!M$33</f>
        <v>0</v>
      </c>
      <c r="EM150" s="701">
        <f>IF('2 M-A +'!N19='2 M-A +'!$B$44,IF('2 M-A +'!N$32=140,IF('2 M-A +'!N18=40,1,0)))*'2 M-A +'!N$33</f>
        <v>0</v>
      </c>
      <c r="EN150" s="706">
        <f>SUM(EB150:EM158)</f>
        <v>0</v>
      </c>
      <c r="EO150" s="701">
        <f>IF('2 M-A +'!C19='2 M-A +'!$B$44,IF('2 M-A +'!C$32=150,IF('2 M-A +'!C18=40,1,0)))*'2 M-A +'!C$33</f>
        <v>0</v>
      </c>
      <c r="EP150" s="701">
        <f>IF('2 M-A +'!D19='2 M-A +'!$B$44,IF('2 M-A +'!D$32=150,IF('2 M-A +'!D18=40,1,0)))*'2 M-A +'!D$33</f>
        <v>0</v>
      </c>
      <c r="EQ150" s="701">
        <f>IF('2 M-A +'!E19='2 M-A +'!$B$44,IF('2 M-A +'!E$32=150,IF('2 M-A +'!E18=40,1,0)))*'2 M-A +'!E$33</f>
        <v>0</v>
      </c>
      <c r="ER150" s="701">
        <f>IF('2 M-A +'!F19='2 M-A +'!$B$44,IF('2 M-A +'!F$32=150,IF('2 M-A +'!F18=40,1,0)))*'2 M-A +'!F$33</f>
        <v>0</v>
      </c>
      <c r="ES150" s="701">
        <f>IF('2 M-A +'!G19='2 M-A +'!$B$44,IF('2 M-A +'!G$32=150,IF('2 M-A +'!G18=40,1,0)))*'2 M-A +'!G$33</f>
        <v>0</v>
      </c>
      <c r="ET150" s="701">
        <f>IF('2 M-A +'!H19='2 M-A +'!$B$44,IF('2 M-A +'!H$32=150,IF('2 M-A +'!H18=40,1,0)))*'2 M-A +'!H$33</f>
        <v>0</v>
      </c>
      <c r="EU150" s="701">
        <f>IF('2 M-A +'!I19='2 M-A +'!$B$44,IF('2 M-A +'!I$32=150,IF('2 M-A +'!I18=40,1,0)))*'2 M-A +'!I$33</f>
        <v>0</v>
      </c>
      <c r="EV150" s="701">
        <f>IF('2 M-A +'!J19='2 M-A +'!$B$44,IF('2 M-A +'!J$32=150,IF('2 M-A +'!J18=40,1,0)))*'2 M-A +'!J$33</f>
        <v>0</v>
      </c>
      <c r="EW150" s="701">
        <f>IF('2 M-A +'!K19='2 M-A +'!$B$44,IF('2 M-A +'!K$32=150,IF('2 M-A +'!K18=40,1,0)))*'2 M-A +'!K$33</f>
        <v>0</v>
      </c>
      <c r="EX150" s="701">
        <f>IF('2 M-A +'!L19='2 M-A +'!$B$44,IF('2 M-A +'!L$32=150,IF('2 M-A +'!L18=40,1,0)))*'2 M-A +'!L$33</f>
        <v>0</v>
      </c>
      <c r="EY150" s="701">
        <f>IF('2 M-A +'!M19='2 M-A +'!$B$44,IF('2 M-A +'!M$32=150,IF('2 M-A +'!M18=40,1,0)))*'2 M-A +'!M$33</f>
        <v>0</v>
      </c>
      <c r="EZ150" s="701">
        <f>IF('2 M-A +'!N19='2 M-A +'!$B$44,IF('2 M-A +'!N$32=150,IF('2 M-A +'!N18=40,1,0)))*'2 M-A +'!N$33</f>
        <v>0</v>
      </c>
      <c r="FA150" s="706">
        <f>SUM(EO150:EZ158)</f>
        <v>0</v>
      </c>
      <c r="FB150" s="838"/>
      <c r="FC150" s="838"/>
      <c r="FD150" s="838"/>
      <c r="FE150" s="838"/>
      <c r="FF150" s="838"/>
      <c r="FG150" s="838"/>
      <c r="FH150" s="838"/>
      <c r="FI150" s="838"/>
      <c r="FJ150" s="838"/>
      <c r="FK150" s="838"/>
      <c r="FL150" s="838"/>
      <c r="FM150" s="838"/>
      <c r="FN150" s="838"/>
      <c r="FO150" s="838"/>
      <c r="FP150" s="838"/>
      <c r="FQ150" s="838"/>
      <c r="FR150" s="838"/>
      <c r="FS150" s="838"/>
      <c r="FT150" s="838"/>
      <c r="FU150" s="838"/>
      <c r="FV150" s="838"/>
      <c r="FW150" s="838"/>
      <c r="FX150" s="838"/>
      <c r="FY150" s="838"/>
      <c r="FZ150" s="838"/>
      <c r="GA150" s="838"/>
      <c r="GB150" s="838"/>
      <c r="GC150" s="838"/>
      <c r="GD150" s="838"/>
      <c r="GE150" s="838"/>
      <c r="GF150" s="838"/>
      <c r="GG150" s="838"/>
      <c r="GH150" s="838"/>
      <c r="GI150" s="838"/>
      <c r="GJ150" s="838"/>
      <c r="GK150" s="838"/>
      <c r="GL150" s="838"/>
    </row>
    <row r="151" spans="2:194" x14ac:dyDescent="0.35">
      <c r="B151" s="701"/>
      <c r="C151" s="701"/>
      <c r="D151" s="701"/>
      <c r="E151" s="701"/>
      <c r="F151" s="701"/>
      <c r="G151" s="701"/>
      <c r="H151" s="701"/>
      <c r="I151" s="701"/>
      <c r="J151" s="701"/>
      <c r="K151" s="701"/>
      <c r="L151" s="701"/>
      <c r="M151" s="701"/>
      <c r="N151" s="706"/>
      <c r="O151" s="702"/>
      <c r="P151" s="702"/>
      <c r="Q151" s="702"/>
      <c r="R151" s="702"/>
      <c r="S151" s="702"/>
      <c r="T151" s="702"/>
      <c r="U151" s="702"/>
      <c r="V151" s="702"/>
      <c r="W151" s="702"/>
      <c r="X151" s="702"/>
      <c r="Y151" s="702"/>
      <c r="Z151" s="702"/>
      <c r="AA151" s="706"/>
      <c r="AB151" s="702"/>
      <c r="AC151" s="702"/>
      <c r="AD151" s="702"/>
      <c r="AE151" s="702"/>
      <c r="AF151" s="702"/>
      <c r="AG151" s="702"/>
      <c r="AH151" s="702"/>
      <c r="AI151" s="702"/>
      <c r="AJ151" s="702"/>
      <c r="AK151" s="702"/>
      <c r="AL151" s="702"/>
      <c r="AM151" s="702"/>
      <c r="AN151" s="706"/>
      <c r="AO151" s="702"/>
      <c r="AP151" s="702"/>
      <c r="AQ151" s="702"/>
      <c r="AR151" s="702"/>
      <c r="AS151" s="702"/>
      <c r="AT151" s="702"/>
      <c r="AU151" s="702"/>
      <c r="AV151" s="702"/>
      <c r="AW151" s="702"/>
      <c r="AX151" s="702"/>
      <c r="AY151" s="702"/>
      <c r="AZ151" s="702"/>
      <c r="BA151" s="706"/>
      <c r="BB151" s="702"/>
      <c r="BC151" s="702"/>
      <c r="BD151" s="702"/>
      <c r="BE151" s="702"/>
      <c r="BF151" s="702"/>
      <c r="BG151" s="702"/>
      <c r="BH151" s="702"/>
      <c r="BI151" s="702"/>
      <c r="BJ151" s="702"/>
      <c r="BK151" s="702"/>
      <c r="BL151" s="702"/>
      <c r="BM151" s="702"/>
      <c r="BN151" s="706"/>
      <c r="BO151" s="702"/>
      <c r="BP151" s="702"/>
      <c r="BQ151" s="702"/>
      <c r="BR151" s="702"/>
      <c r="BS151" s="702"/>
      <c r="BT151" s="702"/>
      <c r="BU151" s="702"/>
      <c r="BV151" s="702"/>
      <c r="BW151" s="702"/>
      <c r="BX151" s="702"/>
      <c r="BY151" s="702"/>
      <c r="BZ151" s="702"/>
      <c r="CA151" s="706"/>
      <c r="CB151" s="702"/>
      <c r="CC151" s="702"/>
      <c r="CD151" s="702"/>
      <c r="CE151" s="702"/>
      <c r="CF151" s="702"/>
      <c r="CG151" s="702"/>
      <c r="CH151" s="702"/>
      <c r="CI151" s="702"/>
      <c r="CJ151" s="702"/>
      <c r="CK151" s="702"/>
      <c r="CL151" s="702"/>
      <c r="CM151" s="702"/>
      <c r="CN151" s="706"/>
      <c r="CO151" s="702"/>
      <c r="CP151" s="702"/>
      <c r="CQ151" s="702"/>
      <c r="CR151" s="702"/>
      <c r="CS151" s="702"/>
      <c r="CT151" s="702"/>
      <c r="CU151" s="702"/>
      <c r="CV151" s="702"/>
      <c r="CW151" s="702"/>
      <c r="CX151" s="702"/>
      <c r="CY151" s="702"/>
      <c r="CZ151" s="702"/>
      <c r="DA151" s="706"/>
      <c r="DB151" s="702"/>
      <c r="DC151" s="702"/>
      <c r="DD151" s="702"/>
      <c r="DE151" s="702"/>
      <c r="DF151" s="702"/>
      <c r="DG151" s="702"/>
      <c r="DH151" s="702"/>
      <c r="DI151" s="702"/>
      <c r="DJ151" s="702"/>
      <c r="DK151" s="702"/>
      <c r="DL151" s="702"/>
      <c r="DM151" s="702"/>
      <c r="DN151" s="706"/>
      <c r="DO151" s="702"/>
      <c r="DP151" s="702"/>
      <c r="DQ151" s="702"/>
      <c r="DR151" s="702"/>
      <c r="DS151" s="702"/>
      <c r="DT151" s="702"/>
      <c r="DU151" s="702"/>
      <c r="DV151" s="702"/>
      <c r="DW151" s="702"/>
      <c r="DX151" s="702"/>
      <c r="DY151" s="702"/>
      <c r="DZ151" s="702"/>
      <c r="EA151" s="706"/>
      <c r="EB151" s="702"/>
      <c r="EC151" s="702"/>
      <c r="ED151" s="702"/>
      <c r="EE151" s="702"/>
      <c r="EF151" s="702"/>
      <c r="EG151" s="702"/>
      <c r="EH151" s="702"/>
      <c r="EI151" s="702"/>
      <c r="EJ151" s="702"/>
      <c r="EK151" s="702"/>
      <c r="EL151" s="702"/>
      <c r="EM151" s="702"/>
      <c r="EN151" s="706"/>
      <c r="EO151" s="702"/>
      <c r="EP151" s="702"/>
      <c r="EQ151" s="702"/>
      <c r="ER151" s="702"/>
      <c r="ES151" s="702"/>
      <c r="ET151" s="702"/>
      <c r="EU151" s="702"/>
      <c r="EV151" s="702"/>
      <c r="EW151" s="702"/>
      <c r="EX151" s="702"/>
      <c r="EY151" s="702"/>
      <c r="EZ151" s="702"/>
      <c r="FA151" s="706"/>
      <c r="FB151" s="855"/>
      <c r="FC151" s="838"/>
      <c r="FD151" s="855"/>
      <c r="FE151" s="838"/>
      <c r="FF151" s="855"/>
      <c r="FG151" s="838"/>
      <c r="FH151" s="855"/>
      <c r="FI151" s="838"/>
      <c r="FJ151" s="855"/>
      <c r="FK151" s="838"/>
      <c r="FL151" s="855"/>
      <c r="FM151" s="838"/>
      <c r="FN151" s="855"/>
      <c r="FO151" s="838"/>
      <c r="FP151" s="855"/>
      <c r="FQ151" s="838"/>
      <c r="FR151" s="855"/>
      <c r="FS151" s="838"/>
      <c r="FT151" s="855"/>
      <c r="FU151" s="838"/>
      <c r="FV151" s="855"/>
      <c r="FW151" s="838"/>
      <c r="FX151" s="855"/>
      <c r="FY151" s="838"/>
      <c r="FZ151" s="855"/>
      <c r="GA151" s="838"/>
      <c r="GB151" s="855"/>
      <c r="GC151" s="838"/>
      <c r="GD151" s="855"/>
      <c r="GE151" s="838"/>
      <c r="GF151" s="855"/>
      <c r="GG151" s="838"/>
      <c r="GH151" s="855"/>
      <c r="GI151" s="838"/>
      <c r="GJ151" s="855"/>
      <c r="GK151" s="855"/>
      <c r="GL151" s="838"/>
    </row>
    <row r="152" spans="2:194" x14ac:dyDescent="0.35">
      <c r="B152" s="701">
        <f>IF('2 M-A +'!C21='2 M-A +'!$B$44,IF('2 M-A +'!C$32=28,IF('2 M-A +'!C20=40,1,0)))*'2 M-A +'!C$33</f>
        <v>0</v>
      </c>
      <c r="C152" s="701">
        <f>IF('2 M-A +'!D21='2 M-A +'!$B$44,IF('2 M-A +'!D$32=28,IF('2 M-A +'!D20=40,1,0)))*'2 M-A +'!D$33</f>
        <v>0</v>
      </c>
      <c r="D152" s="701">
        <f>IF('2 M-A +'!E21='2 M-A +'!$B$44,IF('2 M-A +'!E$32=28,IF('2 M-A +'!E20=40,1,0)))*'2 M-A +'!E$33</f>
        <v>0</v>
      </c>
      <c r="E152" s="701">
        <f>IF('2 M-A +'!F21='2 M-A +'!$B$44,IF('2 M-A +'!F$32=28,IF('2 M-A +'!F20=40,1,0)))*'2 M-A +'!F$33</f>
        <v>0</v>
      </c>
      <c r="F152" s="701">
        <f>IF('2 M-A +'!G21='2 M-A +'!$B$44,IF('2 M-A +'!G$32=28,IF('2 M-A +'!G20=40,1,0)))*'2 M-A +'!G$33</f>
        <v>0</v>
      </c>
      <c r="G152" s="701">
        <f>IF('2 M-A +'!H21='2 M-A +'!$B$44,IF('2 M-A +'!H$32=28,IF('2 M-A +'!H20=40,1,0)))*'2 M-A +'!H$33</f>
        <v>0</v>
      </c>
      <c r="H152" s="701">
        <f>IF('2 M-A +'!I21='2 M-A +'!$B$44,IF('2 M-A +'!I$32=28,IF('2 M-A +'!I20=40,1,0)))*'2 M-A +'!I$33</f>
        <v>0</v>
      </c>
      <c r="I152" s="701">
        <f>IF('2 M-A +'!J21='2 M-A +'!$B$44,IF('2 M-A +'!J$32=28,IF('2 M-A +'!J20=40,1,0)))*'2 M-A +'!J$33</f>
        <v>0</v>
      </c>
      <c r="J152" s="701">
        <f>IF('2 M-A +'!K21='2 M-A +'!$B$44,IF('2 M-A +'!K$32=28,IF('2 M-A +'!K20=40,1,0)))*'2 M-A +'!K$33</f>
        <v>0</v>
      </c>
      <c r="K152" s="701">
        <f>IF('2 M-A +'!L21='2 M-A +'!$B$44,IF('2 M-A +'!L$32=28,IF('2 M-A +'!L20=40,1,0)))*'2 M-A +'!L$33</f>
        <v>0</v>
      </c>
      <c r="L152" s="701">
        <f>IF('2 M-A +'!M21='2 M-A +'!$B$44,IF('2 M-A +'!M$32=28,IF('2 M-A +'!M20=40,1,0)))*'2 M-A +'!M$33</f>
        <v>0</v>
      </c>
      <c r="M152" s="701">
        <f>IF('2 M-A +'!N21='2 M-A +'!$B$44,IF('2 M-A +'!N$32=28,IF('2 M-A +'!N20=40,1,0)))*'2 M-A +'!N$33</f>
        <v>0</v>
      </c>
      <c r="N152" s="706"/>
      <c r="O152" s="701">
        <f>IF('2 M-A +'!C21='2 M-A +'!$B$44,IF('2 M-A +'!C$32=30,IF('2 M-A +'!C20=40,1,0)))*'2 M-A +'!C$33</f>
        <v>0</v>
      </c>
      <c r="P152" s="701">
        <f>IF('2 M-A +'!D21='2 M-A +'!$B$44,IF('2 M-A +'!D$32=30,IF('2 M-A +'!D20=40,1,0)))*'2 M-A +'!D$33</f>
        <v>0</v>
      </c>
      <c r="Q152" s="701">
        <f>IF('2 M-A +'!E21='2 M-A +'!$B$44,IF('2 M-A +'!E$32=30,IF('2 M-A +'!E20=40,1,0)))*'2 M-A +'!E$33</f>
        <v>0</v>
      </c>
      <c r="R152" s="701">
        <f>IF('2 M-A +'!F21='2 M-A +'!$B$44,IF('2 M-A +'!F$32=30,IF('2 M-A +'!F20=40,1,0)))*'2 M-A +'!F$33</f>
        <v>0</v>
      </c>
      <c r="S152" s="701">
        <f>IF('2 M-A +'!G21='2 M-A +'!$B$44,IF('2 M-A +'!G$32=30,IF('2 M-A +'!G20=40,1,0)))*'2 M-A +'!G$33</f>
        <v>0</v>
      </c>
      <c r="T152" s="701">
        <f>IF('2 M-A +'!H21='2 M-A +'!$B$44,IF('2 M-A +'!H$32=30,IF('2 M-A +'!H20=40,1,0)))*'2 M-A +'!H$33</f>
        <v>0</v>
      </c>
      <c r="U152" s="701">
        <f>IF('2 M-A +'!I21='2 M-A +'!$B$44,IF('2 M-A +'!I$32=30,IF('2 M-A +'!I20=40,1,0)))*'2 M-A +'!I$33</f>
        <v>0</v>
      </c>
      <c r="V152" s="701">
        <f>IF('2 M-A +'!J21='2 M-A +'!$B$44,IF('2 M-A +'!J$32=30,IF('2 M-A +'!J20=40,1,0)))*'2 M-A +'!J$33</f>
        <v>0</v>
      </c>
      <c r="W152" s="701">
        <f>IF('2 M-A +'!K21='2 M-A +'!$B$44,IF('2 M-A +'!K$32=30,IF('2 M-A +'!K20=40,1,0)))*'2 M-A +'!K$33</f>
        <v>0</v>
      </c>
      <c r="X152" s="701">
        <f>IF('2 M-A +'!L21='2 M-A +'!$B$44,IF('2 M-A +'!L$32=30,IF('2 M-A +'!L20=40,1,0)))*'2 M-A +'!L$33</f>
        <v>0</v>
      </c>
      <c r="Y152" s="701">
        <f>IF('2 M-A +'!M21='2 M-A +'!$B$44,IF('2 M-A +'!M$32=30,IF('2 M-A +'!M20=40,1,0)))*'2 M-A +'!M$33</f>
        <v>0</v>
      </c>
      <c r="Z152" s="701">
        <f>IF('2 M-A +'!N21='2 M-A +'!$B$44,IF('2 M-A +'!N$32=30,IF('2 M-A +'!N20=40,1,0)))*'2 M-A +'!N$33</f>
        <v>0</v>
      </c>
      <c r="AA152" s="706"/>
      <c r="AB152" s="701">
        <f>IF('2 M-A +'!C21='2 M-A +'!$B$44,IF('2 M-A +'!C$32=56,IF('2 M-A +'!C20=40,1,0)))*'2 M-A +'!C$33</f>
        <v>0</v>
      </c>
      <c r="AC152" s="701">
        <f>IF('2 M-A +'!D21='2 M-A +'!$B$44,IF('2 M-A +'!D$32=56,IF('2 M-A +'!D20=40,1,0)))*'2 M-A +'!D$33</f>
        <v>0</v>
      </c>
      <c r="AD152" s="701">
        <f>IF('2 M-A +'!E21='2 M-A +'!$B$44,IF('2 M-A +'!E$32=56,IF('2 M-A +'!E20=40,1,0)))*'2 M-A +'!E$33</f>
        <v>0</v>
      </c>
      <c r="AE152" s="701">
        <f>IF('2 M-A +'!F21='2 M-A +'!$B$44,IF('2 M-A +'!F$32=56,IF('2 M-A +'!F20=40,1,0)))*'2 M-A +'!F$33</f>
        <v>0</v>
      </c>
      <c r="AF152" s="701">
        <f>IF('2 M-A +'!G21='2 M-A +'!$B$44,IF('2 M-A +'!G$32=56,IF('2 M-A +'!G20=40,1,0)))*'2 M-A +'!G$33</f>
        <v>0</v>
      </c>
      <c r="AG152" s="701">
        <f>IF('2 M-A +'!H21='2 M-A +'!$B$44,IF('2 M-A +'!H$32=56,IF('2 M-A +'!H20=40,1,0)))*'2 M-A +'!H$33</f>
        <v>0</v>
      </c>
      <c r="AH152" s="701">
        <f>IF('2 M-A +'!I21='2 M-A +'!$B$44,IF('2 M-A +'!I$32=56,IF('2 M-A +'!I20=40,1,0)))*'2 M-A +'!I$33</f>
        <v>0</v>
      </c>
      <c r="AI152" s="701">
        <f>IF('2 M-A +'!J21='2 M-A +'!$B$44,IF('2 M-A +'!J$32=56,IF('2 M-A +'!J20=40,1,0)))*'2 M-A +'!J$33</f>
        <v>0</v>
      </c>
      <c r="AJ152" s="701">
        <f>IF('2 M-A +'!K21='2 M-A +'!$B$44,IF('2 M-A +'!K$32=56,IF('2 M-A +'!K20=40,1,0)))*'2 M-A +'!K$33</f>
        <v>0</v>
      </c>
      <c r="AK152" s="701">
        <f>IF('2 M-A +'!L21='2 M-A +'!$B$44,IF('2 M-A +'!L$32=56,IF('2 M-A +'!L20=40,1,0)))*'2 M-A +'!L$33</f>
        <v>0</v>
      </c>
      <c r="AL152" s="701">
        <f>IF('2 M-A +'!M21='2 M-A +'!$B$44,IF('2 M-A +'!M$32=56,IF('2 M-A +'!M20=40,1,0)))*'2 M-A +'!M$33</f>
        <v>0</v>
      </c>
      <c r="AM152" s="701">
        <f>IF('2 M-A +'!N21='2 M-A +'!$B$44,IF('2 M-A +'!N$32=56,IF('2 M-A +'!N20=40,1,0)))*'2 M-A +'!N$33</f>
        <v>0</v>
      </c>
      <c r="AN152" s="706"/>
      <c r="AO152" s="701">
        <f>IF('2 M-A +'!C21='2 M-A +'!$B$44,IF('2 M-A +'!C$32=60,IF('2 M-A +'!C20=40,1,0)))*'2 M-A +'!C$33</f>
        <v>0</v>
      </c>
      <c r="AP152" s="701">
        <f>IF('2 M-A +'!D21='2 M-A +'!$B$44,IF('2 M-A +'!D$32=60,IF('2 M-A +'!D20=40,1,0)))*'2 M-A +'!D$33</f>
        <v>0</v>
      </c>
      <c r="AQ152" s="701">
        <f>IF('2 M-A +'!E21='2 M-A +'!$B$44,IF('2 M-A +'!E$32=60,IF('2 M-A +'!E20=40,1,0)))*'2 M-A +'!E$33</f>
        <v>0</v>
      </c>
      <c r="AR152" s="701">
        <f>IF('2 M-A +'!F21='2 M-A +'!$B$44,IF('2 M-A +'!F$32=60,IF('2 M-A +'!F20=40,1,0)))*'2 M-A +'!F$33</f>
        <v>0</v>
      </c>
      <c r="AS152" s="701">
        <f>IF('2 M-A +'!G21='2 M-A +'!$B$44,IF('2 M-A +'!G$32=60,IF('2 M-A +'!G20=40,1,0)))*'2 M-A +'!G$33</f>
        <v>0</v>
      </c>
      <c r="AT152" s="701">
        <f>IF('2 M-A +'!H21='2 M-A +'!$B$44,IF('2 M-A +'!H$32=60,IF('2 M-A +'!H20=40,1,0)))*'2 M-A +'!H$33</f>
        <v>0</v>
      </c>
      <c r="AU152" s="701">
        <f>IF('2 M-A +'!I21='2 M-A +'!$B$44,IF('2 M-A +'!I$32=60,IF('2 M-A +'!I20=40,1,0)))*'2 M-A +'!I$33</f>
        <v>0</v>
      </c>
      <c r="AV152" s="701">
        <f>IF('2 M-A +'!J21='2 M-A +'!$B$44,IF('2 M-A +'!J$32=60,IF('2 M-A +'!J20=40,1,0)))*'2 M-A +'!J$33</f>
        <v>0</v>
      </c>
      <c r="AW152" s="701">
        <f>IF('2 M-A +'!K21='2 M-A +'!$B$44,IF('2 M-A +'!K$32=60,IF('2 M-A +'!K20=40,1,0)))*'2 M-A +'!K$33</f>
        <v>0</v>
      </c>
      <c r="AX152" s="701">
        <f>IF('2 M-A +'!L21='2 M-A +'!$B$44,IF('2 M-A +'!L$32=60,IF('2 M-A +'!L20=40,1,0)))*'2 M-A +'!L$33</f>
        <v>0</v>
      </c>
      <c r="AY152" s="701">
        <f>IF('2 M-A +'!M21='2 M-A +'!$B$44,IF('2 M-A +'!M$32=60,IF('2 M-A +'!M20=40,1,0)))*'2 M-A +'!M$33</f>
        <v>0</v>
      </c>
      <c r="AZ152" s="701">
        <f>IF('2 M-A +'!N21='2 M-A +'!$B$44,IF('2 M-A +'!N$32=60,IF('2 M-A +'!N20=40,1,0)))*'2 M-A +'!N$33</f>
        <v>0</v>
      </c>
      <c r="BA152" s="706"/>
      <c r="BB152" s="701">
        <f>IF('2 M-A +'!C21='2 M-A +'!$B$44,IF('2 M-A +'!C$32=70,IF('2 M-A +'!C20=40,1,0)))*'2 M-A +'!C$33</f>
        <v>0</v>
      </c>
      <c r="BC152" s="701">
        <f>IF('2 M-A +'!D21='2 M-A +'!$B$44,IF('2 M-A +'!D$32=70,IF('2 M-A +'!D20=40,1,0)))*'2 M-A +'!D$33</f>
        <v>0</v>
      </c>
      <c r="BD152" s="701">
        <f>IF('2 M-A +'!E21='2 M-A +'!$B$44,IF('2 M-A +'!E$32=70,IF('2 M-A +'!E20=40,1,0)))*'2 M-A +'!E$33</f>
        <v>0</v>
      </c>
      <c r="BE152" s="701">
        <f>IF('2 M-A +'!F21='2 M-A +'!$B$44,IF('2 M-A +'!F$32=70,IF('2 M-A +'!F20=40,1,0)))*'2 M-A +'!F$33</f>
        <v>0</v>
      </c>
      <c r="BF152" s="701">
        <f>IF('2 M-A +'!G21='2 M-A +'!$B$44,IF('2 M-A +'!G$32=70,IF('2 M-A +'!G20=40,1,0)))*'2 M-A +'!G$33</f>
        <v>0</v>
      </c>
      <c r="BG152" s="701">
        <f>IF('2 M-A +'!H21='2 M-A +'!$B$44,IF('2 M-A +'!H$32=70,IF('2 M-A +'!H20=40,1,0)))*'2 M-A +'!H$33</f>
        <v>0</v>
      </c>
      <c r="BH152" s="701">
        <f>IF('2 M-A +'!I21='2 M-A +'!$B$44,IF('2 M-A +'!I$32=70,IF('2 M-A +'!I20=40,1,0)))*'2 M-A +'!I$33</f>
        <v>0</v>
      </c>
      <c r="BI152" s="701">
        <f>IF('2 M-A +'!J21='2 M-A +'!$B$44,IF('2 M-A +'!J$32=70,IF('2 M-A +'!J20=40,1,0)))*'2 M-A +'!J$33</f>
        <v>0</v>
      </c>
      <c r="BJ152" s="701">
        <f>IF('2 M-A +'!K21='2 M-A +'!$B$44,IF('2 M-A +'!K$32=70,IF('2 M-A +'!K20=40,1,0)))*'2 M-A +'!K$33</f>
        <v>0</v>
      </c>
      <c r="BK152" s="701">
        <f>IF('2 M-A +'!L21='2 M-A +'!$B$44,IF('2 M-A +'!L$32=70,IF('2 M-A +'!L20=40,1,0)))*'2 M-A +'!L$33</f>
        <v>0</v>
      </c>
      <c r="BL152" s="701">
        <f>IF('2 M-A +'!M21='2 M-A +'!$B$44,IF('2 M-A +'!M$32=70,IF('2 M-A +'!M20=40,1,0)))*'2 M-A +'!M$33</f>
        <v>0</v>
      </c>
      <c r="BM152" s="701">
        <f>IF('2 M-A +'!N21='2 M-A +'!$B$44,IF('2 M-A +'!N$32=70,IF('2 M-A +'!N20=40,1,0)))*'2 M-A +'!N$33</f>
        <v>0</v>
      </c>
      <c r="BN152" s="706"/>
      <c r="BO152" s="701">
        <f>IF('2 M-A +'!C21='2 M-A +'!$B$44,IF('2 M-A +'!C$32=75,IF('2 M-A +'!C20=40,1,0)))*'2 M-A +'!C$33</f>
        <v>0</v>
      </c>
      <c r="BP152" s="701">
        <f>IF('2 M-A +'!D21='2 M-A +'!$B$44,IF('2 M-A +'!D$32=75,IF('2 M-A +'!D20=40,1,0)))*'2 M-A +'!D$33</f>
        <v>0</v>
      </c>
      <c r="BQ152" s="701">
        <f>IF('2 M-A +'!E21='2 M-A +'!$B$44,IF('2 M-A +'!E$32=75,IF('2 M-A +'!E20=40,1,0)))*'2 M-A +'!E$33</f>
        <v>0</v>
      </c>
      <c r="BR152" s="701">
        <f>IF('2 M-A +'!F21='2 M-A +'!$B$44,IF('2 M-A +'!F$32=75,IF('2 M-A +'!F20=40,1,0)))*'2 M-A +'!F$33</f>
        <v>0</v>
      </c>
      <c r="BS152" s="701">
        <f>IF('2 M-A +'!G21='2 M-A +'!$B$44,IF('2 M-A +'!G$32=75,IF('2 M-A +'!G20=40,1,0)))*'2 M-A +'!G$33</f>
        <v>0</v>
      </c>
      <c r="BT152" s="701">
        <f>IF('2 M-A +'!H21='2 M-A +'!$B$44,IF('2 M-A +'!H$32=75,IF('2 M-A +'!H20=40,1,0)))*'2 M-A +'!H$33</f>
        <v>0</v>
      </c>
      <c r="BU152" s="701">
        <f>IF('2 M-A +'!I21='2 M-A +'!$B$44,IF('2 M-A +'!I$32=75,IF('2 M-A +'!I20=40,1,0)))*'2 M-A +'!I$33</f>
        <v>0</v>
      </c>
      <c r="BV152" s="701">
        <f>IF('2 M-A +'!J21='2 M-A +'!$B$44,IF('2 M-A +'!J$32=75,IF('2 M-A +'!J20=40,1,0)))*'2 M-A +'!J$33</f>
        <v>0</v>
      </c>
      <c r="BW152" s="701">
        <f>IF('2 M-A +'!K21='2 M-A +'!$B$44,IF('2 M-A +'!K$32=75,IF('2 M-A +'!K20=40,1,0)))*'2 M-A +'!K$33</f>
        <v>0</v>
      </c>
      <c r="BX152" s="701">
        <f>IF('2 M-A +'!L21='2 M-A +'!$B$44,IF('2 M-A +'!L$32=75,IF('2 M-A +'!L20=40,1,0)))*'2 M-A +'!L$33</f>
        <v>0</v>
      </c>
      <c r="BY152" s="701">
        <f>IF('2 M-A +'!M21='2 M-A +'!$B$44,IF('2 M-A +'!M$32=75,IF('2 M-A +'!M20=40,1,0)))*'2 M-A +'!M$33</f>
        <v>0</v>
      </c>
      <c r="BZ152" s="701">
        <f>IF('2 M-A +'!N21='2 M-A +'!$B$44,IF('2 M-A +'!N$32=75,IF('2 M-A +'!N20=40,1,0)))*'2 M-A +'!N$33</f>
        <v>0</v>
      </c>
      <c r="CA152" s="706"/>
      <c r="CB152" s="701">
        <f>IF('2 M-A +'!C21='2 M-A +'!$B$44,IF('2 M-A +'!C$32=84,IF('2 M-A +'!C20=40,1,0)))*'2 M-A +'!C$33</f>
        <v>0</v>
      </c>
      <c r="CC152" s="701">
        <f>IF('2 M-A +'!D21='2 M-A +'!$B$44,IF('2 M-A +'!D$32=84,IF('2 M-A +'!D20=40,1,0)))*'2 M-A +'!D$33</f>
        <v>0</v>
      </c>
      <c r="CD152" s="701">
        <f>IF('2 M-A +'!E21='2 M-A +'!$B$44,IF('2 M-A +'!E$32=84,IF('2 M-A +'!E20=40,1,0)))*'2 M-A +'!E$33</f>
        <v>0</v>
      </c>
      <c r="CE152" s="701">
        <f>IF('2 M-A +'!F21='2 M-A +'!$B$44,IF('2 M-A +'!F$32=84,IF('2 M-A +'!F20=40,1,0)))*'2 M-A +'!F$33</f>
        <v>0</v>
      </c>
      <c r="CF152" s="701">
        <f>IF('2 M-A +'!G21='2 M-A +'!$B$44,IF('2 M-A +'!G$32=84,IF('2 M-A +'!G20=40,1,0)))*'2 M-A +'!G$33</f>
        <v>0</v>
      </c>
      <c r="CG152" s="701">
        <f>IF('2 M-A +'!H21='2 M-A +'!$B$44,IF('2 M-A +'!H$32=84,IF('2 M-A +'!H20=40,1,0)))*'2 M-A +'!H$33</f>
        <v>0</v>
      </c>
      <c r="CH152" s="701">
        <f>IF('2 M-A +'!I21='2 M-A +'!$B$44,IF('2 M-A +'!I$32=84,IF('2 M-A +'!I20=40,1,0)))*'2 M-A +'!I$33</f>
        <v>0</v>
      </c>
      <c r="CI152" s="701">
        <f>IF('2 M-A +'!J21='2 M-A +'!$B$44,IF('2 M-A +'!J$32=84,IF('2 M-A +'!J20=40,1,0)))*'2 M-A +'!J$33</f>
        <v>0</v>
      </c>
      <c r="CJ152" s="701">
        <f>IF('2 M-A +'!K21='2 M-A +'!$B$44,IF('2 M-A +'!K$32=84,IF('2 M-A +'!K20=40,1,0)))*'2 M-A +'!K$33</f>
        <v>0</v>
      </c>
      <c r="CK152" s="701">
        <f>IF('2 M-A +'!L21='2 M-A +'!$B$44,IF('2 M-A +'!L$32=84,IF('2 M-A +'!L20=40,1,0)))*'2 M-A +'!L$33</f>
        <v>0</v>
      </c>
      <c r="CL152" s="701">
        <f>IF('2 M-A +'!M21='2 M-A +'!$B$44,IF('2 M-A +'!M$32=84,IF('2 M-A +'!M20=40,1,0)))*'2 M-A +'!M$33</f>
        <v>0</v>
      </c>
      <c r="CM152" s="701">
        <f>IF('2 M-A +'!N21='2 M-A +'!$B$44,IF('2 M-A +'!N$32=84,IF('2 M-A +'!N20=40,1,0)))*'2 M-A +'!N$33</f>
        <v>0</v>
      </c>
      <c r="CN152" s="706"/>
      <c r="CO152" s="701">
        <f>IF('2 M-A +'!C21='2 M-A +'!$B$44,IF('2 M-A +'!C$32=90,IF('2 M-A +'!C20=40,1,0)))*'2 M-A +'!C$33</f>
        <v>0</v>
      </c>
      <c r="CP152" s="701">
        <f>IF('2 M-A +'!D21='2 M-A +'!$B$44,IF('2 M-A +'!D$32=90,IF('2 M-A +'!D20=40,1,0)))*'2 M-A +'!D$33</f>
        <v>0</v>
      </c>
      <c r="CQ152" s="701">
        <f>IF('2 M-A +'!E21='2 M-A +'!$B$44,IF('2 M-A +'!E$32=90,IF('2 M-A +'!E20=40,1,0)))*'2 M-A +'!E$33</f>
        <v>0</v>
      </c>
      <c r="CR152" s="701">
        <f>IF('2 M-A +'!F21='2 M-A +'!$B$44,IF('2 M-A +'!F$32=90,IF('2 M-A +'!F20=40,1,0)))*'2 M-A +'!F$33</f>
        <v>0</v>
      </c>
      <c r="CS152" s="701">
        <f>IF('2 M-A +'!G21='2 M-A +'!$B$44,IF('2 M-A +'!G$32=90,IF('2 M-A +'!G20=40,1,0)))*'2 M-A +'!G$33</f>
        <v>0</v>
      </c>
      <c r="CT152" s="701">
        <f>IF('2 M-A +'!H21='2 M-A +'!$B$44,IF('2 M-A +'!H$32=90,IF('2 M-A +'!H20=40,1,0)))*'2 M-A +'!H$33</f>
        <v>0</v>
      </c>
      <c r="CU152" s="701">
        <f>IF('2 M-A +'!I21='2 M-A +'!$B$44,IF('2 M-A +'!I$32=90,IF('2 M-A +'!I20=40,1,0)))*'2 M-A +'!I$33</f>
        <v>0</v>
      </c>
      <c r="CV152" s="701">
        <f>IF('2 M-A +'!J21='2 M-A +'!$B$44,IF('2 M-A +'!J$32=90,IF('2 M-A +'!J20=40,1,0)))*'2 M-A +'!J$33</f>
        <v>0</v>
      </c>
      <c r="CW152" s="701">
        <f>IF('2 M-A +'!K21='2 M-A +'!$B$44,IF('2 M-A +'!K$32=90,IF('2 M-A +'!K20=40,1,0)))*'2 M-A +'!K$33</f>
        <v>0</v>
      </c>
      <c r="CX152" s="701">
        <f>IF('2 M-A +'!L21='2 M-A +'!$B$44,IF('2 M-A +'!L$32=90,IF('2 M-A +'!L20=40,1,0)))*'2 M-A +'!L$33</f>
        <v>0</v>
      </c>
      <c r="CY152" s="701">
        <f>IF('2 M-A +'!M21='2 M-A +'!$B$44,IF('2 M-A +'!M$32=90,IF('2 M-A +'!M20=40,1,0)))*'2 M-A +'!M$33</f>
        <v>0</v>
      </c>
      <c r="CZ152" s="701">
        <f>IF('2 M-A +'!N21='2 M-A +'!$B$44,IF('2 M-A +'!N$32=90,IF('2 M-A +'!N20=40,1,0)))*'2 M-A +'!N$33</f>
        <v>0</v>
      </c>
      <c r="DA152" s="706"/>
      <c r="DB152" s="701">
        <f>IF('2 M-A +'!C21='2 M-A +'!$B$44,IF('2 M-A +'!C$32=112,IF('2 M-A +'!C20=40,1,0)))*'2 M-A +'!C$33</f>
        <v>0</v>
      </c>
      <c r="DC152" s="701">
        <f>IF('2 M-A +'!D21='2 M-A +'!$B$44,IF('2 M-A +'!D$32=112,IF('2 M-A +'!D20=40,1,0)))*'2 M-A +'!D$33</f>
        <v>0</v>
      </c>
      <c r="DD152" s="701">
        <f>IF('2 M-A +'!E21='2 M-A +'!$B$44,IF('2 M-A +'!E$32=112,IF('2 M-A +'!E20=40,1,0)))*'2 M-A +'!E$33</f>
        <v>0</v>
      </c>
      <c r="DE152" s="701">
        <f>IF('2 M-A +'!F21='2 M-A +'!$B$44,IF('2 M-A +'!F$32=112,IF('2 M-A +'!F20=40,1,0)))*'2 M-A +'!F$33</f>
        <v>0</v>
      </c>
      <c r="DF152" s="701">
        <f>IF('2 M-A +'!G21='2 M-A +'!$B$44,IF('2 M-A +'!G$32=112,IF('2 M-A +'!G20=40,1,0)))*'2 M-A +'!G$33</f>
        <v>0</v>
      </c>
      <c r="DG152" s="701">
        <f>IF('2 M-A +'!H21='2 M-A +'!$B$44,IF('2 M-A +'!H$32=112,IF('2 M-A +'!H20=40,1,0)))*'2 M-A +'!H$33</f>
        <v>0</v>
      </c>
      <c r="DH152" s="701">
        <f>IF('2 M-A +'!I21='2 M-A +'!$B$44,IF('2 M-A +'!I$32=112,IF('2 M-A +'!I20=40,1,0)))*'2 M-A +'!I$33</f>
        <v>0</v>
      </c>
      <c r="DI152" s="701">
        <f>IF('2 M-A +'!J21='2 M-A +'!$B$44,IF('2 M-A +'!J$32=112,IF('2 M-A +'!J20=40,1,0)))*'2 M-A +'!J$33</f>
        <v>0</v>
      </c>
      <c r="DJ152" s="701">
        <f>IF('2 M-A +'!K21='2 M-A +'!$B$44,IF('2 M-A +'!K$32=112,IF('2 M-A +'!K20=40,1,0)))*'2 M-A +'!K$33</f>
        <v>0</v>
      </c>
      <c r="DK152" s="701">
        <f>IF('2 M-A +'!L21='2 M-A +'!$B$44,IF('2 M-A +'!L$32=112,IF('2 M-A +'!L20=40,1,0)))*'2 M-A +'!L$33</f>
        <v>0</v>
      </c>
      <c r="DL152" s="701">
        <f>IF('2 M-A +'!M21='2 M-A +'!$B$44,IF('2 M-A +'!M$32=112,IF('2 M-A +'!M20=40,1,0)))*'2 M-A +'!M$33</f>
        <v>0</v>
      </c>
      <c r="DM152" s="701">
        <f>IF('2 M-A +'!N21='2 M-A +'!$B$44,IF('2 M-A +'!N$32=112,IF('2 M-A +'!N20=40,1,0)))*'2 M-A +'!N$33</f>
        <v>0</v>
      </c>
      <c r="DN152" s="706"/>
      <c r="DO152" s="701">
        <f>IF('2 M-A +'!C21='2 M-A +'!$B$44,IF('2 M-A +'!C$32=120,IF('2 M-A +'!C20=40,1,0)))*'2 M-A +'!C$33</f>
        <v>0</v>
      </c>
      <c r="DP152" s="701">
        <f>IF('2 M-A +'!D21='2 M-A +'!$B$44,IF('2 M-A +'!D$32=120,IF('2 M-A +'!D20=40,1,0)))*'2 M-A +'!D$33</f>
        <v>0</v>
      </c>
      <c r="DQ152" s="701">
        <f>IF('2 M-A +'!E21='2 M-A +'!$B$44,IF('2 M-A +'!E$32=120,IF('2 M-A +'!E20=40,1,0)))*'2 M-A +'!E$33</f>
        <v>0</v>
      </c>
      <c r="DR152" s="701">
        <f>IF('2 M-A +'!F21='2 M-A +'!$B$44,IF('2 M-A +'!F$32=120,IF('2 M-A +'!F20=40,1,0)))*'2 M-A +'!F$33</f>
        <v>0</v>
      </c>
      <c r="DS152" s="701">
        <f>IF('2 M-A +'!G21='2 M-A +'!$B$44,IF('2 M-A +'!G$32=120,IF('2 M-A +'!G20=40,1,0)))*'2 M-A +'!G$33</f>
        <v>0</v>
      </c>
      <c r="DT152" s="701">
        <f>IF('2 M-A +'!H21='2 M-A +'!$B$44,IF('2 M-A +'!H$32=120,IF('2 M-A +'!H20=40,1,0)))*'2 M-A +'!H$33</f>
        <v>0</v>
      </c>
      <c r="DU152" s="701">
        <f>IF('2 M-A +'!I21='2 M-A +'!$B$44,IF('2 M-A +'!I$32=120,IF('2 M-A +'!I20=40,1,0)))*'2 M-A +'!I$33</f>
        <v>0</v>
      </c>
      <c r="DV152" s="701">
        <f>IF('2 M-A +'!J21='2 M-A +'!$B$44,IF('2 M-A +'!J$32=120,IF('2 M-A +'!J20=40,1,0)))*'2 M-A +'!J$33</f>
        <v>0</v>
      </c>
      <c r="DW152" s="701">
        <f>IF('2 M-A +'!K21='2 M-A +'!$B$44,IF('2 M-A +'!K$32=120,IF('2 M-A +'!K20=40,1,0)))*'2 M-A +'!K$33</f>
        <v>0</v>
      </c>
      <c r="DX152" s="701">
        <f>IF('2 M-A +'!L21='2 M-A +'!$B$44,IF('2 M-A +'!L$32=120,IF('2 M-A +'!L20=40,1,0)))*'2 M-A +'!L$33</f>
        <v>0</v>
      </c>
      <c r="DY152" s="701">
        <f>IF('2 M-A +'!M21='2 M-A +'!$B$44,IF('2 M-A +'!M$32=120,IF('2 M-A +'!M20=40,1,0)))*'2 M-A +'!M$33</f>
        <v>0</v>
      </c>
      <c r="DZ152" s="701">
        <f>IF('2 M-A +'!N21='2 M-A +'!$B$44,IF('2 M-A +'!N$32=120,IF('2 M-A +'!N20=40,1,0)))*'2 M-A +'!N$33</f>
        <v>0</v>
      </c>
      <c r="EA152" s="706"/>
      <c r="EB152" s="701">
        <f>IF('2 M-A +'!C21='2 M-A +'!$B$44,IF('2 M-A +'!C$32=140,IF('2 M-A +'!C20=40,1,0)))*'2 M-A +'!C$33</f>
        <v>0</v>
      </c>
      <c r="EC152" s="701">
        <f>IF('2 M-A +'!D21='2 M-A +'!$B$44,IF('2 M-A +'!D$32=140,IF('2 M-A +'!D20=40,1,0)))*'2 M-A +'!D$33</f>
        <v>0</v>
      </c>
      <c r="ED152" s="701">
        <f>IF('2 M-A +'!E21='2 M-A +'!$B$44,IF('2 M-A +'!E$32=140,IF('2 M-A +'!E20=40,1,0)))*'2 M-A +'!E$33</f>
        <v>0</v>
      </c>
      <c r="EE152" s="701">
        <f>IF('2 M-A +'!F21='2 M-A +'!$B$44,IF('2 M-A +'!F$32=140,IF('2 M-A +'!F20=40,1,0)))*'2 M-A +'!F$33</f>
        <v>0</v>
      </c>
      <c r="EF152" s="701">
        <f>IF('2 M-A +'!G21='2 M-A +'!$B$44,IF('2 M-A +'!G$32=140,IF('2 M-A +'!G20=40,1,0)))*'2 M-A +'!G$33</f>
        <v>0</v>
      </c>
      <c r="EG152" s="701">
        <f>IF('2 M-A +'!H21='2 M-A +'!$B$44,IF('2 M-A +'!H$32=140,IF('2 M-A +'!H20=40,1,0)))*'2 M-A +'!H$33</f>
        <v>0</v>
      </c>
      <c r="EH152" s="701">
        <f>IF('2 M-A +'!I21='2 M-A +'!$B$44,IF('2 M-A +'!I$32=140,IF('2 M-A +'!I20=40,1,0)))*'2 M-A +'!I$33</f>
        <v>0</v>
      </c>
      <c r="EI152" s="701">
        <f>IF('2 M-A +'!J21='2 M-A +'!$B$44,IF('2 M-A +'!J$32=140,IF('2 M-A +'!J20=40,1,0)))*'2 M-A +'!J$33</f>
        <v>0</v>
      </c>
      <c r="EJ152" s="701">
        <f>IF('2 M-A +'!K21='2 M-A +'!$B$44,IF('2 M-A +'!K$32=140,IF('2 M-A +'!K20=40,1,0)))*'2 M-A +'!K$33</f>
        <v>0</v>
      </c>
      <c r="EK152" s="701">
        <f>IF('2 M-A +'!L21='2 M-A +'!$B$44,IF('2 M-A +'!L$32=140,IF('2 M-A +'!L20=40,1,0)))*'2 M-A +'!L$33</f>
        <v>0</v>
      </c>
      <c r="EL152" s="701">
        <f>IF('2 M-A +'!M21='2 M-A +'!$B$44,IF('2 M-A +'!M$32=140,IF('2 M-A +'!M20=40,1,0)))*'2 M-A +'!M$33</f>
        <v>0</v>
      </c>
      <c r="EM152" s="701">
        <f>IF('2 M-A +'!N21='2 M-A +'!$B$44,IF('2 M-A +'!N$32=140,IF('2 M-A +'!N20=40,1,0)))*'2 M-A +'!N$33</f>
        <v>0</v>
      </c>
      <c r="EN152" s="706"/>
      <c r="EO152" s="701">
        <f>IF('2 M-A +'!C21='2 M-A +'!$B$44,IF('2 M-A +'!C$32=150,IF('2 M-A +'!C20=40,1,0)))*'2 M-A +'!C$33</f>
        <v>0</v>
      </c>
      <c r="EP152" s="701">
        <f>IF('2 M-A +'!D21='2 M-A +'!$B$44,IF('2 M-A +'!D$32=150,IF('2 M-A +'!D20=40,1,0)))*'2 M-A +'!D$33</f>
        <v>0</v>
      </c>
      <c r="EQ152" s="701">
        <f>IF('2 M-A +'!E21='2 M-A +'!$B$44,IF('2 M-A +'!E$32=150,IF('2 M-A +'!E20=40,1,0)))*'2 M-A +'!E$33</f>
        <v>0</v>
      </c>
      <c r="ER152" s="701">
        <f>IF('2 M-A +'!F21='2 M-A +'!$B$44,IF('2 M-A +'!F$32=150,IF('2 M-A +'!F20=40,1,0)))*'2 M-A +'!F$33</f>
        <v>0</v>
      </c>
      <c r="ES152" s="701">
        <f>IF('2 M-A +'!G21='2 M-A +'!$B$44,IF('2 M-A +'!G$32=150,IF('2 M-A +'!G20=40,1,0)))*'2 M-A +'!G$33</f>
        <v>0</v>
      </c>
      <c r="ET152" s="701">
        <f>IF('2 M-A +'!H21='2 M-A +'!$B$44,IF('2 M-A +'!H$32=150,IF('2 M-A +'!H20=40,1,0)))*'2 M-A +'!H$33</f>
        <v>0</v>
      </c>
      <c r="EU152" s="701">
        <f>IF('2 M-A +'!I21='2 M-A +'!$B$44,IF('2 M-A +'!I$32=150,IF('2 M-A +'!I20=40,1,0)))*'2 M-A +'!I$33</f>
        <v>0</v>
      </c>
      <c r="EV152" s="701">
        <f>IF('2 M-A +'!J21='2 M-A +'!$B$44,IF('2 M-A +'!J$32=150,IF('2 M-A +'!J20=40,1,0)))*'2 M-A +'!J$33</f>
        <v>0</v>
      </c>
      <c r="EW152" s="701">
        <f>IF('2 M-A +'!K21='2 M-A +'!$B$44,IF('2 M-A +'!K$32=150,IF('2 M-A +'!K20=40,1,0)))*'2 M-A +'!K$33</f>
        <v>0</v>
      </c>
      <c r="EX152" s="701">
        <f>IF('2 M-A +'!L21='2 M-A +'!$B$44,IF('2 M-A +'!L$32=150,IF('2 M-A +'!L20=40,1,0)))*'2 M-A +'!L$33</f>
        <v>0</v>
      </c>
      <c r="EY152" s="701">
        <f>IF('2 M-A +'!M21='2 M-A +'!$B$44,IF('2 M-A +'!M$32=150,IF('2 M-A +'!M20=40,1,0)))*'2 M-A +'!M$33</f>
        <v>0</v>
      </c>
      <c r="EZ152" s="701">
        <f>IF('2 M-A +'!N21='2 M-A +'!$B$44,IF('2 M-A +'!N$32=150,IF('2 M-A +'!N20=40,1,0)))*'2 M-A +'!N$33</f>
        <v>0</v>
      </c>
      <c r="FA152" s="706"/>
      <c r="FB152" s="838"/>
      <c r="FC152" s="838"/>
      <c r="FD152" s="838"/>
      <c r="FE152" s="838"/>
      <c r="FF152" s="838"/>
      <c r="FG152" s="838"/>
      <c r="FH152" s="838"/>
      <c r="FI152" s="838"/>
      <c r="FJ152" s="838"/>
      <c r="FK152" s="838"/>
      <c r="FL152" s="838"/>
      <c r="FM152" s="838"/>
      <c r="FN152" s="838"/>
      <c r="FO152" s="838"/>
      <c r="FP152" s="838"/>
      <c r="FQ152" s="838"/>
      <c r="FR152" s="838"/>
      <c r="FS152" s="838"/>
      <c r="FT152" s="838"/>
      <c r="FU152" s="838"/>
      <c r="FV152" s="838"/>
      <c r="FW152" s="838"/>
      <c r="FX152" s="838"/>
      <c r="FY152" s="838"/>
      <c r="FZ152" s="838"/>
      <c r="GA152" s="838"/>
      <c r="GB152" s="838"/>
      <c r="GC152" s="838"/>
      <c r="GD152" s="838"/>
      <c r="GE152" s="838"/>
      <c r="GF152" s="838"/>
      <c r="GG152" s="838"/>
      <c r="GH152" s="838"/>
      <c r="GI152" s="838"/>
      <c r="GJ152" s="838"/>
      <c r="GK152" s="838"/>
      <c r="GL152" s="838"/>
    </row>
    <row r="153" spans="2:194" x14ac:dyDescent="0.35">
      <c r="B153" s="701"/>
      <c r="C153" s="701"/>
      <c r="D153" s="701"/>
      <c r="E153" s="701"/>
      <c r="F153" s="701"/>
      <c r="G153" s="701"/>
      <c r="H153" s="701"/>
      <c r="I153" s="701"/>
      <c r="J153" s="701"/>
      <c r="K153" s="701"/>
      <c r="L153" s="701"/>
      <c r="M153" s="701"/>
      <c r="N153" s="706"/>
      <c r="O153" s="702"/>
      <c r="P153" s="702"/>
      <c r="Q153" s="702"/>
      <c r="R153" s="702"/>
      <c r="S153" s="702"/>
      <c r="T153" s="702"/>
      <c r="U153" s="702"/>
      <c r="V153" s="702"/>
      <c r="W153" s="702"/>
      <c r="X153" s="702"/>
      <c r="Y153" s="702"/>
      <c r="Z153" s="702"/>
      <c r="AA153" s="706"/>
      <c r="AB153" s="702"/>
      <c r="AC153" s="702"/>
      <c r="AD153" s="702"/>
      <c r="AE153" s="702"/>
      <c r="AF153" s="702"/>
      <c r="AG153" s="702"/>
      <c r="AH153" s="702"/>
      <c r="AI153" s="702"/>
      <c r="AJ153" s="702"/>
      <c r="AK153" s="702"/>
      <c r="AL153" s="702"/>
      <c r="AM153" s="702"/>
      <c r="AN153" s="706"/>
      <c r="AO153" s="702"/>
      <c r="AP153" s="702"/>
      <c r="AQ153" s="702"/>
      <c r="AR153" s="702"/>
      <c r="AS153" s="702"/>
      <c r="AT153" s="702"/>
      <c r="AU153" s="702"/>
      <c r="AV153" s="702"/>
      <c r="AW153" s="702"/>
      <c r="AX153" s="702"/>
      <c r="AY153" s="702"/>
      <c r="AZ153" s="702"/>
      <c r="BA153" s="706"/>
      <c r="BB153" s="702"/>
      <c r="BC153" s="702"/>
      <c r="BD153" s="702"/>
      <c r="BE153" s="702"/>
      <c r="BF153" s="702"/>
      <c r="BG153" s="702"/>
      <c r="BH153" s="702"/>
      <c r="BI153" s="702"/>
      <c r="BJ153" s="702"/>
      <c r="BK153" s="702"/>
      <c r="BL153" s="702"/>
      <c r="BM153" s="702"/>
      <c r="BN153" s="706"/>
      <c r="BO153" s="702"/>
      <c r="BP153" s="702"/>
      <c r="BQ153" s="702"/>
      <c r="BR153" s="702"/>
      <c r="BS153" s="702"/>
      <c r="BT153" s="702"/>
      <c r="BU153" s="702"/>
      <c r="BV153" s="702"/>
      <c r="BW153" s="702"/>
      <c r="BX153" s="702"/>
      <c r="BY153" s="702"/>
      <c r="BZ153" s="702"/>
      <c r="CA153" s="706"/>
      <c r="CB153" s="702"/>
      <c r="CC153" s="702"/>
      <c r="CD153" s="702"/>
      <c r="CE153" s="702"/>
      <c r="CF153" s="702"/>
      <c r="CG153" s="702"/>
      <c r="CH153" s="702"/>
      <c r="CI153" s="702"/>
      <c r="CJ153" s="702"/>
      <c r="CK153" s="702"/>
      <c r="CL153" s="702"/>
      <c r="CM153" s="702"/>
      <c r="CN153" s="706"/>
      <c r="CO153" s="702"/>
      <c r="CP153" s="702"/>
      <c r="CQ153" s="702"/>
      <c r="CR153" s="702"/>
      <c r="CS153" s="702"/>
      <c r="CT153" s="702"/>
      <c r="CU153" s="702"/>
      <c r="CV153" s="702"/>
      <c r="CW153" s="702"/>
      <c r="CX153" s="702"/>
      <c r="CY153" s="702"/>
      <c r="CZ153" s="702"/>
      <c r="DA153" s="706"/>
      <c r="DB153" s="702"/>
      <c r="DC153" s="702"/>
      <c r="DD153" s="702"/>
      <c r="DE153" s="702"/>
      <c r="DF153" s="702"/>
      <c r="DG153" s="702"/>
      <c r="DH153" s="702"/>
      <c r="DI153" s="702"/>
      <c r="DJ153" s="702"/>
      <c r="DK153" s="702"/>
      <c r="DL153" s="702"/>
      <c r="DM153" s="702"/>
      <c r="DN153" s="706"/>
      <c r="DO153" s="702"/>
      <c r="DP153" s="702"/>
      <c r="DQ153" s="702"/>
      <c r="DR153" s="702"/>
      <c r="DS153" s="702"/>
      <c r="DT153" s="702"/>
      <c r="DU153" s="702"/>
      <c r="DV153" s="702"/>
      <c r="DW153" s="702"/>
      <c r="DX153" s="702"/>
      <c r="DY153" s="702"/>
      <c r="DZ153" s="702"/>
      <c r="EA153" s="706"/>
      <c r="EB153" s="702"/>
      <c r="EC153" s="702"/>
      <c r="ED153" s="702"/>
      <c r="EE153" s="702"/>
      <c r="EF153" s="702"/>
      <c r="EG153" s="702"/>
      <c r="EH153" s="702"/>
      <c r="EI153" s="702"/>
      <c r="EJ153" s="702"/>
      <c r="EK153" s="702"/>
      <c r="EL153" s="702"/>
      <c r="EM153" s="702"/>
      <c r="EN153" s="706"/>
      <c r="EO153" s="702"/>
      <c r="EP153" s="702"/>
      <c r="EQ153" s="702"/>
      <c r="ER153" s="702"/>
      <c r="ES153" s="702"/>
      <c r="ET153" s="702"/>
      <c r="EU153" s="702"/>
      <c r="EV153" s="702"/>
      <c r="EW153" s="702"/>
      <c r="EX153" s="702"/>
      <c r="EY153" s="702"/>
      <c r="EZ153" s="702"/>
      <c r="FA153" s="706"/>
      <c r="FB153" s="855"/>
      <c r="FC153" s="838"/>
      <c r="FD153" s="855"/>
      <c r="FE153" s="838"/>
      <c r="FF153" s="855"/>
      <c r="FG153" s="838"/>
      <c r="FH153" s="855"/>
      <c r="FI153" s="838"/>
      <c r="FJ153" s="855"/>
      <c r="FK153" s="838"/>
      <c r="FL153" s="855"/>
      <c r="FM153" s="838"/>
      <c r="FN153" s="855"/>
      <c r="FO153" s="838"/>
      <c r="FP153" s="855"/>
      <c r="FQ153" s="838"/>
      <c r="FR153" s="855"/>
      <c r="FS153" s="838"/>
      <c r="FT153" s="855"/>
      <c r="FU153" s="838"/>
      <c r="FV153" s="855"/>
      <c r="FW153" s="838"/>
      <c r="FX153" s="855"/>
      <c r="FY153" s="838"/>
      <c r="FZ153" s="855"/>
      <c r="GA153" s="838"/>
      <c r="GB153" s="855"/>
      <c r="GC153" s="838"/>
      <c r="GD153" s="855"/>
      <c r="GE153" s="838"/>
      <c r="GF153" s="855"/>
      <c r="GG153" s="838"/>
      <c r="GH153" s="855"/>
      <c r="GI153" s="838"/>
      <c r="GJ153" s="855"/>
      <c r="GK153" s="855"/>
      <c r="GL153" s="838"/>
    </row>
    <row r="154" spans="2:194" x14ac:dyDescent="0.35">
      <c r="B154" s="701">
        <f>IF('2 M-A +'!C23='2 M-A +'!$B$44,IF('2 M-A +'!C$32=28,IF('2 M-A +'!C22=40,1,0)))*'2 M-A +'!C$33</f>
        <v>0</v>
      </c>
      <c r="C154" s="701">
        <f>IF('2 M-A +'!D23='2 M-A +'!$B$44,IF('2 M-A +'!D$32=28,IF('2 M-A +'!D22=40,1,0)))*'2 M-A +'!D$33</f>
        <v>0</v>
      </c>
      <c r="D154" s="701">
        <f>IF('2 M-A +'!E23='2 M-A +'!$B$44,IF('2 M-A +'!E$32=28,IF('2 M-A +'!E22=40,1,0)))*'2 M-A +'!E$33</f>
        <v>0</v>
      </c>
      <c r="E154" s="701">
        <f>IF('2 M-A +'!F23='2 M-A +'!$B$44,IF('2 M-A +'!F$32=28,IF('2 M-A +'!F22=40,1,0)))*'2 M-A +'!F$33</f>
        <v>0</v>
      </c>
      <c r="F154" s="701">
        <f>IF('2 M-A +'!G23='2 M-A +'!$B$44,IF('2 M-A +'!G$32=28,IF('2 M-A +'!G22=40,1,0)))*'2 M-A +'!G$33</f>
        <v>0</v>
      </c>
      <c r="G154" s="701">
        <f>IF('2 M-A +'!H23='2 M-A +'!$B$44,IF('2 M-A +'!H$32=28,IF('2 M-A +'!H22=40,1,0)))*'2 M-A +'!H$33</f>
        <v>0</v>
      </c>
      <c r="H154" s="701">
        <f>IF('2 M-A +'!I23='2 M-A +'!$B$44,IF('2 M-A +'!I$32=28,IF('2 M-A +'!I22=40,1,0)))*'2 M-A +'!I$33</f>
        <v>0</v>
      </c>
      <c r="I154" s="701">
        <f>IF('2 M-A +'!J23='2 M-A +'!$B$44,IF('2 M-A +'!J$32=28,IF('2 M-A +'!J22=40,1,0)))*'2 M-A +'!J$33</f>
        <v>0</v>
      </c>
      <c r="J154" s="701">
        <f>IF('2 M-A +'!K23='2 M-A +'!$B$44,IF('2 M-A +'!K$32=28,IF('2 M-A +'!K22=40,1,0)))*'2 M-A +'!K$33</f>
        <v>0</v>
      </c>
      <c r="K154" s="701">
        <f>IF('2 M-A +'!L23='2 M-A +'!$B$44,IF('2 M-A +'!L$32=28,IF('2 M-A +'!L22=40,1,0)))*'2 M-A +'!L$33</f>
        <v>0</v>
      </c>
      <c r="L154" s="701">
        <f>IF('2 M-A +'!M23='2 M-A +'!$B$44,IF('2 M-A +'!M$32=28,IF('2 M-A +'!M22=40,1,0)))*'2 M-A +'!M$33</f>
        <v>0</v>
      </c>
      <c r="M154" s="701">
        <f>IF('2 M-A +'!N23='2 M-A +'!$B$44,IF('2 M-A +'!N$32=28,IF('2 M-A +'!N22=40,1,0)))*'2 M-A +'!N$33</f>
        <v>0</v>
      </c>
      <c r="N154" s="706"/>
      <c r="O154" s="701">
        <f>IF('2 M-A +'!C23='2 M-A +'!$B$44,IF('2 M-A +'!C$32=30,IF('2 M-A +'!C22=40,1,0)))*'2 M-A +'!C$33</f>
        <v>0</v>
      </c>
      <c r="P154" s="701">
        <f>IF('2 M-A +'!D23='2 M-A +'!$B$44,IF('2 M-A +'!D$32=30,IF('2 M-A +'!D22=40,1,0)))*'2 M-A +'!D$33</f>
        <v>0</v>
      </c>
      <c r="Q154" s="701">
        <f>IF('2 M-A +'!E23='2 M-A +'!$B$44,IF('2 M-A +'!E$32=30,IF('2 M-A +'!E22=40,1,0)))*'2 M-A +'!E$33</f>
        <v>0</v>
      </c>
      <c r="R154" s="701">
        <f>IF('2 M-A +'!F23='2 M-A +'!$B$44,IF('2 M-A +'!F$32=30,IF('2 M-A +'!F22=40,1,0)))*'2 M-A +'!F$33</f>
        <v>0</v>
      </c>
      <c r="S154" s="701">
        <f>IF('2 M-A +'!G23='2 M-A +'!$B$44,IF('2 M-A +'!G$32=30,IF('2 M-A +'!G22=40,1,0)))*'2 M-A +'!G$33</f>
        <v>0</v>
      </c>
      <c r="T154" s="701">
        <f>IF('2 M-A +'!H23='2 M-A +'!$B$44,IF('2 M-A +'!H$32=30,IF('2 M-A +'!H22=40,1,0)))*'2 M-A +'!H$33</f>
        <v>0</v>
      </c>
      <c r="U154" s="701">
        <f>IF('2 M-A +'!I23='2 M-A +'!$B$44,IF('2 M-A +'!I$32=30,IF('2 M-A +'!I22=40,1,0)))*'2 M-A +'!I$33</f>
        <v>0</v>
      </c>
      <c r="V154" s="701">
        <f>IF('2 M-A +'!J23='2 M-A +'!$B$44,IF('2 M-A +'!J$32=30,IF('2 M-A +'!J22=40,1,0)))*'2 M-A +'!J$33</f>
        <v>0</v>
      </c>
      <c r="W154" s="701">
        <f>IF('2 M-A +'!K23='2 M-A +'!$B$44,IF('2 M-A +'!K$32=30,IF('2 M-A +'!K22=40,1,0)))*'2 M-A +'!K$33</f>
        <v>0</v>
      </c>
      <c r="X154" s="701">
        <f>IF('2 M-A +'!L23='2 M-A +'!$B$44,IF('2 M-A +'!L$32=30,IF('2 M-A +'!L22=40,1,0)))*'2 M-A +'!L$33</f>
        <v>0</v>
      </c>
      <c r="Y154" s="701">
        <f>IF('2 M-A +'!M23='2 M-A +'!$B$44,IF('2 M-A +'!M$32=30,IF('2 M-A +'!M22=40,1,0)))*'2 M-A +'!M$33</f>
        <v>0</v>
      </c>
      <c r="Z154" s="701">
        <f>IF('2 M-A +'!N23='2 M-A +'!$B$44,IF('2 M-A +'!N$32=30,IF('2 M-A +'!N22=40,1,0)))*'2 M-A +'!N$33</f>
        <v>0</v>
      </c>
      <c r="AA154" s="706"/>
      <c r="AB154" s="701">
        <f>IF('2 M-A +'!C23='2 M-A +'!$B$44,IF('2 M-A +'!C$32=56,IF('2 M-A +'!C22=40,1,0)))*'2 M-A +'!C$33</f>
        <v>0</v>
      </c>
      <c r="AC154" s="701">
        <f>IF('2 M-A +'!D23='2 M-A +'!$B$44,IF('2 M-A +'!D$32=56,IF('2 M-A +'!D22=40,1,0)))*'2 M-A +'!D$33</f>
        <v>0</v>
      </c>
      <c r="AD154" s="701">
        <f>IF('2 M-A +'!E23='2 M-A +'!$B$44,IF('2 M-A +'!E$32=56,IF('2 M-A +'!E22=40,1,0)))*'2 M-A +'!E$33</f>
        <v>0</v>
      </c>
      <c r="AE154" s="701">
        <f>IF('2 M-A +'!F23='2 M-A +'!$B$44,IF('2 M-A +'!F$32=56,IF('2 M-A +'!F22=40,1,0)))*'2 M-A +'!F$33</f>
        <v>0</v>
      </c>
      <c r="AF154" s="701">
        <f>IF('2 M-A +'!G23='2 M-A +'!$B$44,IF('2 M-A +'!G$32=56,IF('2 M-A +'!G22=40,1,0)))*'2 M-A +'!G$33</f>
        <v>0</v>
      </c>
      <c r="AG154" s="701">
        <f>IF('2 M-A +'!H23='2 M-A +'!$B$44,IF('2 M-A +'!H$32=56,IF('2 M-A +'!H22=40,1,0)))*'2 M-A +'!H$33</f>
        <v>0</v>
      </c>
      <c r="AH154" s="701">
        <f>IF('2 M-A +'!I23='2 M-A +'!$B$44,IF('2 M-A +'!I$32=56,IF('2 M-A +'!I22=40,1,0)))*'2 M-A +'!I$33</f>
        <v>0</v>
      </c>
      <c r="AI154" s="701">
        <f>IF('2 M-A +'!J23='2 M-A +'!$B$44,IF('2 M-A +'!J$32=56,IF('2 M-A +'!J22=40,1,0)))*'2 M-A +'!J$33</f>
        <v>0</v>
      </c>
      <c r="AJ154" s="701">
        <f>IF('2 M-A +'!K23='2 M-A +'!$B$44,IF('2 M-A +'!K$32=56,IF('2 M-A +'!K22=40,1,0)))*'2 M-A +'!K$33</f>
        <v>0</v>
      </c>
      <c r="AK154" s="701">
        <f>IF('2 M-A +'!L23='2 M-A +'!$B$44,IF('2 M-A +'!L$32=56,IF('2 M-A +'!L22=40,1,0)))*'2 M-A +'!L$33</f>
        <v>0</v>
      </c>
      <c r="AL154" s="701">
        <f>IF('2 M-A +'!M23='2 M-A +'!$B$44,IF('2 M-A +'!M$32=56,IF('2 M-A +'!M22=40,1,0)))*'2 M-A +'!M$33</f>
        <v>0</v>
      </c>
      <c r="AM154" s="701">
        <f>IF('2 M-A +'!N23='2 M-A +'!$B$44,IF('2 M-A +'!N$32=56,IF('2 M-A +'!N22=40,1,0)))*'2 M-A +'!N$33</f>
        <v>0</v>
      </c>
      <c r="AN154" s="706"/>
      <c r="AO154" s="701">
        <f>IF('2 M-A +'!C23='2 M-A +'!$B$44,IF('2 M-A +'!C$32=60,IF('2 M-A +'!C22=40,1,0)))*'2 M-A +'!C$33</f>
        <v>0</v>
      </c>
      <c r="AP154" s="701">
        <f>IF('2 M-A +'!D23='2 M-A +'!$B$44,IF('2 M-A +'!D$32=60,IF('2 M-A +'!D22=40,1,0)))*'2 M-A +'!D$33</f>
        <v>0</v>
      </c>
      <c r="AQ154" s="701">
        <f>IF('2 M-A +'!E23='2 M-A +'!$B$44,IF('2 M-A +'!E$32=60,IF('2 M-A +'!E22=40,1,0)))*'2 M-A +'!E$33</f>
        <v>0</v>
      </c>
      <c r="AR154" s="701">
        <f>IF('2 M-A +'!F23='2 M-A +'!$B$44,IF('2 M-A +'!F$32=60,IF('2 M-A +'!F22=40,1,0)))*'2 M-A +'!F$33</f>
        <v>0</v>
      </c>
      <c r="AS154" s="701">
        <f>IF('2 M-A +'!G23='2 M-A +'!$B$44,IF('2 M-A +'!G$32=60,IF('2 M-A +'!G22=40,1,0)))*'2 M-A +'!G$33</f>
        <v>0</v>
      </c>
      <c r="AT154" s="701">
        <f>IF('2 M-A +'!H23='2 M-A +'!$B$44,IF('2 M-A +'!H$32=60,IF('2 M-A +'!H22=40,1,0)))*'2 M-A +'!H$33</f>
        <v>0</v>
      </c>
      <c r="AU154" s="701">
        <f>IF('2 M-A +'!I23='2 M-A +'!$B$44,IF('2 M-A +'!I$32=60,IF('2 M-A +'!I22=40,1,0)))*'2 M-A +'!I$33</f>
        <v>0</v>
      </c>
      <c r="AV154" s="701">
        <f>IF('2 M-A +'!J23='2 M-A +'!$B$44,IF('2 M-A +'!J$32=60,IF('2 M-A +'!J22=40,1,0)))*'2 M-A +'!J$33</f>
        <v>0</v>
      </c>
      <c r="AW154" s="701">
        <f>IF('2 M-A +'!K23='2 M-A +'!$B$44,IF('2 M-A +'!K$32=60,IF('2 M-A +'!K22=40,1,0)))*'2 M-A +'!K$33</f>
        <v>0</v>
      </c>
      <c r="AX154" s="701">
        <f>IF('2 M-A +'!L23='2 M-A +'!$B$44,IF('2 M-A +'!L$32=60,IF('2 M-A +'!L22=40,1,0)))*'2 M-A +'!L$33</f>
        <v>0</v>
      </c>
      <c r="AY154" s="701">
        <f>IF('2 M-A +'!M23='2 M-A +'!$B$44,IF('2 M-A +'!M$32=60,IF('2 M-A +'!M22=40,1,0)))*'2 M-A +'!M$33</f>
        <v>0</v>
      </c>
      <c r="AZ154" s="701">
        <f>IF('2 M-A +'!N23='2 M-A +'!$B$44,IF('2 M-A +'!N$32=60,IF('2 M-A +'!N22=40,1,0)))*'2 M-A +'!N$33</f>
        <v>0</v>
      </c>
      <c r="BA154" s="706"/>
      <c r="BB154" s="701">
        <f>IF('2 M-A +'!C23='2 M-A +'!$B$44,IF('2 M-A +'!C$32=70,IF('2 M-A +'!C22=40,1,0)))*'2 M-A +'!C$33</f>
        <v>0</v>
      </c>
      <c r="BC154" s="701">
        <f>IF('2 M-A +'!D23='2 M-A +'!$B$44,IF('2 M-A +'!D$32=70,IF('2 M-A +'!D22=40,1,0)))*'2 M-A +'!D$33</f>
        <v>0</v>
      </c>
      <c r="BD154" s="701">
        <f>IF('2 M-A +'!E23='2 M-A +'!$B$44,IF('2 M-A +'!E$32=70,IF('2 M-A +'!E22=40,1,0)))*'2 M-A +'!E$33</f>
        <v>0</v>
      </c>
      <c r="BE154" s="701">
        <f>IF('2 M-A +'!F23='2 M-A +'!$B$44,IF('2 M-A +'!F$32=70,IF('2 M-A +'!F22=40,1,0)))*'2 M-A +'!F$33</f>
        <v>0</v>
      </c>
      <c r="BF154" s="701">
        <f>IF('2 M-A +'!G23='2 M-A +'!$B$44,IF('2 M-A +'!G$32=70,IF('2 M-A +'!G22=40,1,0)))*'2 M-A +'!G$33</f>
        <v>0</v>
      </c>
      <c r="BG154" s="701">
        <f>IF('2 M-A +'!H23='2 M-A +'!$B$44,IF('2 M-A +'!H$32=70,IF('2 M-A +'!H22=40,1,0)))*'2 M-A +'!H$33</f>
        <v>0</v>
      </c>
      <c r="BH154" s="701">
        <f>IF('2 M-A +'!I23='2 M-A +'!$B$44,IF('2 M-A +'!I$32=70,IF('2 M-A +'!I22=40,1,0)))*'2 M-A +'!I$33</f>
        <v>0</v>
      </c>
      <c r="BI154" s="701">
        <f>IF('2 M-A +'!J23='2 M-A +'!$B$44,IF('2 M-A +'!J$32=70,IF('2 M-A +'!J22=40,1,0)))*'2 M-A +'!J$33</f>
        <v>0</v>
      </c>
      <c r="BJ154" s="701">
        <f>IF('2 M-A +'!K23='2 M-A +'!$B$44,IF('2 M-A +'!K$32=70,IF('2 M-A +'!K22=40,1,0)))*'2 M-A +'!K$33</f>
        <v>0</v>
      </c>
      <c r="BK154" s="701">
        <f>IF('2 M-A +'!L23='2 M-A +'!$B$44,IF('2 M-A +'!L$32=70,IF('2 M-A +'!L22=40,1,0)))*'2 M-A +'!L$33</f>
        <v>0</v>
      </c>
      <c r="BL154" s="701">
        <f>IF('2 M-A +'!M23='2 M-A +'!$B$44,IF('2 M-A +'!M$32=70,IF('2 M-A +'!M22=40,1,0)))*'2 M-A +'!M$33</f>
        <v>0</v>
      </c>
      <c r="BM154" s="701">
        <f>IF('2 M-A +'!N23='2 M-A +'!$B$44,IF('2 M-A +'!N$32=70,IF('2 M-A +'!N22=40,1,0)))*'2 M-A +'!N$33</f>
        <v>0</v>
      </c>
      <c r="BN154" s="706"/>
      <c r="BO154" s="701">
        <f>IF('2 M-A +'!C23='2 M-A +'!$B$44,IF('2 M-A +'!C$32=75,IF('2 M-A +'!C22=40,1,0)))*'2 M-A +'!C$33</f>
        <v>0</v>
      </c>
      <c r="BP154" s="701">
        <f>IF('2 M-A +'!D23='2 M-A +'!$B$44,IF('2 M-A +'!D$32=75,IF('2 M-A +'!D22=40,1,0)))*'2 M-A +'!D$33</f>
        <v>0</v>
      </c>
      <c r="BQ154" s="701">
        <f>IF('2 M-A +'!E23='2 M-A +'!$B$44,IF('2 M-A +'!E$32=75,IF('2 M-A +'!E22=40,1,0)))*'2 M-A +'!E$33</f>
        <v>0</v>
      </c>
      <c r="BR154" s="701">
        <f>IF('2 M-A +'!F23='2 M-A +'!$B$44,IF('2 M-A +'!F$32=75,IF('2 M-A +'!F22=40,1,0)))*'2 M-A +'!F$33</f>
        <v>0</v>
      </c>
      <c r="BS154" s="701">
        <f>IF('2 M-A +'!G23='2 M-A +'!$B$44,IF('2 M-A +'!G$32=75,IF('2 M-A +'!G22=40,1,0)))*'2 M-A +'!G$33</f>
        <v>0</v>
      </c>
      <c r="BT154" s="701">
        <f>IF('2 M-A +'!H23='2 M-A +'!$B$44,IF('2 M-A +'!H$32=75,IF('2 M-A +'!H22=40,1,0)))*'2 M-A +'!H$33</f>
        <v>0</v>
      </c>
      <c r="BU154" s="701">
        <f>IF('2 M-A +'!I23='2 M-A +'!$B$44,IF('2 M-A +'!I$32=75,IF('2 M-A +'!I22=40,1,0)))*'2 M-A +'!I$33</f>
        <v>0</v>
      </c>
      <c r="BV154" s="701">
        <f>IF('2 M-A +'!J23='2 M-A +'!$B$44,IF('2 M-A +'!J$32=75,IF('2 M-A +'!J22=40,1,0)))*'2 M-A +'!J$33</f>
        <v>0</v>
      </c>
      <c r="BW154" s="701">
        <f>IF('2 M-A +'!K23='2 M-A +'!$B$44,IF('2 M-A +'!K$32=75,IF('2 M-A +'!K22=40,1,0)))*'2 M-A +'!K$33</f>
        <v>0</v>
      </c>
      <c r="BX154" s="701">
        <f>IF('2 M-A +'!L23='2 M-A +'!$B$44,IF('2 M-A +'!L$32=75,IF('2 M-A +'!L22=40,1,0)))*'2 M-A +'!L$33</f>
        <v>0</v>
      </c>
      <c r="BY154" s="701">
        <f>IF('2 M-A +'!M23='2 M-A +'!$B$44,IF('2 M-A +'!M$32=75,IF('2 M-A +'!M22=40,1,0)))*'2 M-A +'!M$33</f>
        <v>0</v>
      </c>
      <c r="BZ154" s="701">
        <f>IF('2 M-A +'!N23='2 M-A +'!$B$44,IF('2 M-A +'!N$32=75,IF('2 M-A +'!N22=40,1,0)))*'2 M-A +'!N$33</f>
        <v>0</v>
      </c>
      <c r="CA154" s="706"/>
      <c r="CB154" s="701">
        <f>IF('2 M-A +'!C23='2 M-A +'!$B$44,IF('2 M-A +'!C$32=84,IF('2 M-A +'!C22=40,1,0)))*'2 M-A +'!C$33</f>
        <v>0</v>
      </c>
      <c r="CC154" s="701">
        <f>IF('2 M-A +'!D23='2 M-A +'!$B$44,IF('2 M-A +'!D$32=84,IF('2 M-A +'!D22=40,1,0)))*'2 M-A +'!D$33</f>
        <v>0</v>
      </c>
      <c r="CD154" s="701">
        <f>IF('2 M-A +'!E23='2 M-A +'!$B$44,IF('2 M-A +'!E$32=84,IF('2 M-A +'!E22=40,1,0)))*'2 M-A +'!E$33</f>
        <v>0</v>
      </c>
      <c r="CE154" s="701">
        <f>IF('2 M-A +'!F23='2 M-A +'!$B$44,IF('2 M-A +'!F$32=84,IF('2 M-A +'!F22=40,1,0)))*'2 M-A +'!F$33</f>
        <v>0</v>
      </c>
      <c r="CF154" s="701">
        <f>IF('2 M-A +'!G23='2 M-A +'!$B$44,IF('2 M-A +'!G$32=84,IF('2 M-A +'!G22=40,1,0)))*'2 M-A +'!G$33</f>
        <v>0</v>
      </c>
      <c r="CG154" s="701">
        <f>IF('2 M-A +'!H23='2 M-A +'!$B$44,IF('2 M-A +'!H$32=84,IF('2 M-A +'!H22=40,1,0)))*'2 M-A +'!H$33</f>
        <v>0</v>
      </c>
      <c r="CH154" s="701">
        <f>IF('2 M-A +'!I23='2 M-A +'!$B$44,IF('2 M-A +'!I$32=84,IF('2 M-A +'!I22=40,1,0)))*'2 M-A +'!I$33</f>
        <v>0</v>
      </c>
      <c r="CI154" s="701">
        <f>IF('2 M-A +'!J23='2 M-A +'!$B$44,IF('2 M-A +'!J$32=84,IF('2 M-A +'!J22=40,1,0)))*'2 M-A +'!J$33</f>
        <v>0</v>
      </c>
      <c r="CJ154" s="701">
        <f>IF('2 M-A +'!K23='2 M-A +'!$B$44,IF('2 M-A +'!K$32=84,IF('2 M-A +'!K22=40,1,0)))*'2 M-A +'!K$33</f>
        <v>0</v>
      </c>
      <c r="CK154" s="701">
        <f>IF('2 M-A +'!L23='2 M-A +'!$B$44,IF('2 M-A +'!L$32=84,IF('2 M-A +'!L22=40,1,0)))*'2 M-A +'!L$33</f>
        <v>0</v>
      </c>
      <c r="CL154" s="701">
        <f>IF('2 M-A +'!M23='2 M-A +'!$B$44,IF('2 M-A +'!M$32=84,IF('2 M-A +'!M22=40,1,0)))*'2 M-A +'!M$33</f>
        <v>0</v>
      </c>
      <c r="CM154" s="701">
        <f>IF('2 M-A +'!N23='2 M-A +'!$B$44,IF('2 M-A +'!N$32=84,IF('2 M-A +'!N22=40,1,0)))*'2 M-A +'!N$33</f>
        <v>0</v>
      </c>
      <c r="CN154" s="706"/>
      <c r="CO154" s="701">
        <f>IF('2 M-A +'!C23='2 M-A +'!$B$44,IF('2 M-A +'!C$32=90,IF('2 M-A +'!C22=40,1,0)))*'2 M-A +'!C$33</f>
        <v>0</v>
      </c>
      <c r="CP154" s="701">
        <f>IF('2 M-A +'!D23='2 M-A +'!$B$44,IF('2 M-A +'!D$32=90,IF('2 M-A +'!D22=40,1,0)))*'2 M-A +'!D$33</f>
        <v>0</v>
      </c>
      <c r="CQ154" s="701">
        <f>IF('2 M-A +'!E23='2 M-A +'!$B$44,IF('2 M-A +'!E$32=90,IF('2 M-A +'!E22=40,1,0)))*'2 M-A +'!E$33</f>
        <v>0</v>
      </c>
      <c r="CR154" s="701">
        <f>IF('2 M-A +'!F23='2 M-A +'!$B$44,IF('2 M-A +'!F$32=90,IF('2 M-A +'!F22=40,1,0)))*'2 M-A +'!F$33</f>
        <v>0</v>
      </c>
      <c r="CS154" s="701">
        <f>IF('2 M-A +'!G23='2 M-A +'!$B$44,IF('2 M-A +'!G$32=90,IF('2 M-A +'!G22=40,1,0)))*'2 M-A +'!G$33</f>
        <v>0</v>
      </c>
      <c r="CT154" s="701">
        <f>IF('2 M-A +'!H23='2 M-A +'!$B$44,IF('2 M-A +'!H$32=90,IF('2 M-A +'!H22=40,1,0)))*'2 M-A +'!H$33</f>
        <v>0</v>
      </c>
      <c r="CU154" s="701">
        <f>IF('2 M-A +'!I23='2 M-A +'!$B$44,IF('2 M-A +'!I$32=90,IF('2 M-A +'!I22=40,1,0)))*'2 M-A +'!I$33</f>
        <v>0</v>
      </c>
      <c r="CV154" s="701">
        <f>IF('2 M-A +'!J23='2 M-A +'!$B$44,IF('2 M-A +'!J$32=90,IF('2 M-A +'!J22=40,1,0)))*'2 M-A +'!J$33</f>
        <v>0</v>
      </c>
      <c r="CW154" s="701">
        <f>IF('2 M-A +'!K23='2 M-A +'!$B$44,IF('2 M-A +'!K$32=90,IF('2 M-A +'!K22=40,1,0)))*'2 M-A +'!K$33</f>
        <v>0</v>
      </c>
      <c r="CX154" s="701">
        <f>IF('2 M-A +'!L23='2 M-A +'!$B$44,IF('2 M-A +'!L$32=90,IF('2 M-A +'!L22=40,1,0)))*'2 M-A +'!L$33</f>
        <v>0</v>
      </c>
      <c r="CY154" s="701">
        <f>IF('2 M-A +'!M23='2 M-A +'!$B$44,IF('2 M-A +'!M$32=90,IF('2 M-A +'!M22=40,1,0)))*'2 M-A +'!M$33</f>
        <v>0</v>
      </c>
      <c r="CZ154" s="701">
        <f>IF('2 M-A +'!N23='2 M-A +'!$B$44,IF('2 M-A +'!N$32=90,IF('2 M-A +'!N22=40,1,0)))*'2 M-A +'!N$33</f>
        <v>0</v>
      </c>
      <c r="DA154" s="706"/>
      <c r="DB154" s="701">
        <f>IF('2 M-A +'!C23='2 M-A +'!$B$44,IF('2 M-A +'!C$32=112,IF('2 M-A +'!C22=40,1,0)))*'2 M-A +'!C$33</f>
        <v>0</v>
      </c>
      <c r="DC154" s="701">
        <f>IF('2 M-A +'!D23='2 M-A +'!$B$44,IF('2 M-A +'!D$32=112,IF('2 M-A +'!D22=40,1,0)))*'2 M-A +'!D$33</f>
        <v>0</v>
      </c>
      <c r="DD154" s="701">
        <f>IF('2 M-A +'!E23='2 M-A +'!$B$44,IF('2 M-A +'!E$32=112,IF('2 M-A +'!E22=40,1,0)))*'2 M-A +'!E$33</f>
        <v>0</v>
      </c>
      <c r="DE154" s="701">
        <f>IF('2 M-A +'!F23='2 M-A +'!$B$44,IF('2 M-A +'!F$32=112,IF('2 M-A +'!F22=40,1,0)))*'2 M-A +'!F$33</f>
        <v>0</v>
      </c>
      <c r="DF154" s="701">
        <f>IF('2 M-A +'!G23='2 M-A +'!$B$44,IF('2 M-A +'!G$32=112,IF('2 M-A +'!G22=40,1,0)))*'2 M-A +'!G$33</f>
        <v>0</v>
      </c>
      <c r="DG154" s="701">
        <f>IF('2 M-A +'!H23='2 M-A +'!$B$44,IF('2 M-A +'!H$32=112,IF('2 M-A +'!H22=40,1,0)))*'2 M-A +'!H$33</f>
        <v>0</v>
      </c>
      <c r="DH154" s="701">
        <f>IF('2 M-A +'!I23='2 M-A +'!$B$44,IF('2 M-A +'!I$32=112,IF('2 M-A +'!I22=40,1,0)))*'2 M-A +'!I$33</f>
        <v>0</v>
      </c>
      <c r="DI154" s="701">
        <f>IF('2 M-A +'!J23='2 M-A +'!$B$44,IF('2 M-A +'!J$32=112,IF('2 M-A +'!J22=40,1,0)))*'2 M-A +'!J$33</f>
        <v>0</v>
      </c>
      <c r="DJ154" s="701">
        <f>IF('2 M-A +'!K23='2 M-A +'!$B$44,IF('2 M-A +'!K$32=112,IF('2 M-A +'!K22=40,1,0)))*'2 M-A +'!K$33</f>
        <v>0</v>
      </c>
      <c r="DK154" s="701">
        <f>IF('2 M-A +'!L23='2 M-A +'!$B$44,IF('2 M-A +'!L$32=112,IF('2 M-A +'!L22=40,1,0)))*'2 M-A +'!L$33</f>
        <v>0</v>
      </c>
      <c r="DL154" s="701">
        <f>IF('2 M-A +'!M23='2 M-A +'!$B$44,IF('2 M-A +'!M$32=112,IF('2 M-A +'!M22=40,1,0)))*'2 M-A +'!M$33</f>
        <v>0</v>
      </c>
      <c r="DM154" s="701">
        <f>IF('2 M-A +'!N23='2 M-A +'!$B$44,IF('2 M-A +'!N$32=112,IF('2 M-A +'!N22=40,1,0)))*'2 M-A +'!N$33</f>
        <v>0</v>
      </c>
      <c r="DN154" s="706"/>
      <c r="DO154" s="701">
        <f>IF('2 M-A +'!C23='2 M-A +'!$B$44,IF('2 M-A +'!C$32=120,IF('2 M-A +'!C22=40,1,0)))*'2 M-A +'!C$33</f>
        <v>0</v>
      </c>
      <c r="DP154" s="701">
        <f>IF('2 M-A +'!D23='2 M-A +'!$B$44,IF('2 M-A +'!D$32=120,IF('2 M-A +'!D22=40,1,0)))*'2 M-A +'!D$33</f>
        <v>0</v>
      </c>
      <c r="DQ154" s="701">
        <f>IF('2 M-A +'!E23='2 M-A +'!$B$44,IF('2 M-A +'!E$32=120,IF('2 M-A +'!E22=40,1,0)))*'2 M-A +'!E$33</f>
        <v>0</v>
      </c>
      <c r="DR154" s="701">
        <f>IF('2 M-A +'!F23='2 M-A +'!$B$44,IF('2 M-A +'!F$32=120,IF('2 M-A +'!F22=40,1,0)))*'2 M-A +'!F$33</f>
        <v>0</v>
      </c>
      <c r="DS154" s="701">
        <f>IF('2 M-A +'!G23='2 M-A +'!$B$44,IF('2 M-A +'!G$32=120,IF('2 M-A +'!G22=40,1,0)))*'2 M-A +'!G$33</f>
        <v>0</v>
      </c>
      <c r="DT154" s="701">
        <f>IF('2 M-A +'!H23='2 M-A +'!$B$44,IF('2 M-A +'!H$32=120,IF('2 M-A +'!H22=40,1,0)))*'2 M-A +'!H$33</f>
        <v>0</v>
      </c>
      <c r="DU154" s="701">
        <f>IF('2 M-A +'!I23='2 M-A +'!$B$44,IF('2 M-A +'!I$32=120,IF('2 M-A +'!I22=40,1,0)))*'2 M-A +'!I$33</f>
        <v>0</v>
      </c>
      <c r="DV154" s="701">
        <f>IF('2 M-A +'!J23='2 M-A +'!$B$44,IF('2 M-A +'!J$32=120,IF('2 M-A +'!J22=40,1,0)))*'2 M-A +'!J$33</f>
        <v>0</v>
      </c>
      <c r="DW154" s="701">
        <f>IF('2 M-A +'!K23='2 M-A +'!$B$44,IF('2 M-A +'!K$32=120,IF('2 M-A +'!K22=40,1,0)))*'2 M-A +'!K$33</f>
        <v>0</v>
      </c>
      <c r="DX154" s="701">
        <f>IF('2 M-A +'!L23='2 M-A +'!$B$44,IF('2 M-A +'!L$32=120,IF('2 M-A +'!L22=40,1,0)))*'2 M-A +'!L$33</f>
        <v>0</v>
      </c>
      <c r="DY154" s="701">
        <f>IF('2 M-A +'!M23='2 M-A +'!$B$44,IF('2 M-A +'!M$32=120,IF('2 M-A +'!M22=40,1,0)))*'2 M-A +'!M$33</f>
        <v>0</v>
      </c>
      <c r="DZ154" s="701">
        <f>IF('2 M-A +'!N23='2 M-A +'!$B$44,IF('2 M-A +'!N$32=120,IF('2 M-A +'!N22=40,1,0)))*'2 M-A +'!N$33</f>
        <v>0</v>
      </c>
      <c r="EA154" s="706"/>
      <c r="EB154" s="701">
        <f>IF('2 M-A +'!C23='2 M-A +'!$B$44,IF('2 M-A +'!C$32=140,IF('2 M-A +'!C22=40,1,0)))*'2 M-A +'!C$33</f>
        <v>0</v>
      </c>
      <c r="EC154" s="701">
        <f>IF('2 M-A +'!D23='2 M-A +'!$B$44,IF('2 M-A +'!D$32=140,IF('2 M-A +'!D22=40,1,0)))*'2 M-A +'!D$33</f>
        <v>0</v>
      </c>
      <c r="ED154" s="701">
        <f>IF('2 M-A +'!E23='2 M-A +'!$B$44,IF('2 M-A +'!E$32=140,IF('2 M-A +'!E22=40,1,0)))*'2 M-A +'!E$33</f>
        <v>0</v>
      </c>
      <c r="EE154" s="701">
        <f>IF('2 M-A +'!F23='2 M-A +'!$B$44,IF('2 M-A +'!F$32=140,IF('2 M-A +'!F22=40,1,0)))*'2 M-A +'!F$33</f>
        <v>0</v>
      </c>
      <c r="EF154" s="701">
        <f>IF('2 M-A +'!G23='2 M-A +'!$B$44,IF('2 M-A +'!G$32=140,IF('2 M-A +'!G22=40,1,0)))*'2 M-A +'!G$33</f>
        <v>0</v>
      </c>
      <c r="EG154" s="701">
        <f>IF('2 M-A +'!H23='2 M-A +'!$B$44,IF('2 M-A +'!H$32=140,IF('2 M-A +'!H22=40,1,0)))*'2 M-A +'!H$33</f>
        <v>0</v>
      </c>
      <c r="EH154" s="701">
        <f>IF('2 M-A +'!I23='2 M-A +'!$B$44,IF('2 M-A +'!I$32=140,IF('2 M-A +'!I22=40,1,0)))*'2 M-A +'!I$33</f>
        <v>0</v>
      </c>
      <c r="EI154" s="701">
        <f>IF('2 M-A +'!J23='2 M-A +'!$B$44,IF('2 M-A +'!J$32=140,IF('2 M-A +'!J22=40,1,0)))*'2 M-A +'!J$33</f>
        <v>0</v>
      </c>
      <c r="EJ154" s="701">
        <f>IF('2 M-A +'!K23='2 M-A +'!$B$44,IF('2 M-A +'!K$32=140,IF('2 M-A +'!K22=40,1,0)))*'2 M-A +'!K$33</f>
        <v>0</v>
      </c>
      <c r="EK154" s="701">
        <f>IF('2 M-A +'!L23='2 M-A +'!$B$44,IF('2 M-A +'!L$32=140,IF('2 M-A +'!L22=40,1,0)))*'2 M-A +'!L$33</f>
        <v>0</v>
      </c>
      <c r="EL154" s="701">
        <f>IF('2 M-A +'!M23='2 M-A +'!$B$44,IF('2 M-A +'!M$32=140,IF('2 M-A +'!M22=40,1,0)))*'2 M-A +'!M$33</f>
        <v>0</v>
      </c>
      <c r="EM154" s="701">
        <f>IF('2 M-A +'!N23='2 M-A +'!$B$44,IF('2 M-A +'!N$32=140,IF('2 M-A +'!N22=40,1,0)))*'2 M-A +'!N$33</f>
        <v>0</v>
      </c>
      <c r="EN154" s="706"/>
      <c r="EO154" s="701">
        <f>IF('2 M-A +'!C23='2 M-A +'!$B$44,IF('2 M-A +'!C$32=150,IF('2 M-A +'!C22=40,1,0)))*'2 M-A +'!C$33</f>
        <v>0</v>
      </c>
      <c r="EP154" s="701">
        <f>IF('2 M-A +'!D23='2 M-A +'!$B$44,IF('2 M-A +'!D$32=150,IF('2 M-A +'!D22=40,1,0)))*'2 M-A +'!D$33</f>
        <v>0</v>
      </c>
      <c r="EQ154" s="701">
        <f>IF('2 M-A +'!E23='2 M-A +'!$B$44,IF('2 M-A +'!E$32=150,IF('2 M-A +'!E22=40,1,0)))*'2 M-A +'!E$33</f>
        <v>0</v>
      </c>
      <c r="ER154" s="701">
        <f>IF('2 M-A +'!F23='2 M-A +'!$B$44,IF('2 M-A +'!F$32=150,IF('2 M-A +'!F22=40,1,0)))*'2 M-A +'!F$33</f>
        <v>0</v>
      </c>
      <c r="ES154" s="701">
        <f>IF('2 M-A +'!G23='2 M-A +'!$B$44,IF('2 M-A +'!G$32=150,IF('2 M-A +'!G22=40,1,0)))*'2 M-A +'!G$33</f>
        <v>0</v>
      </c>
      <c r="ET154" s="701">
        <f>IF('2 M-A +'!H23='2 M-A +'!$B$44,IF('2 M-A +'!H$32=150,IF('2 M-A +'!H22=40,1,0)))*'2 M-A +'!H$33</f>
        <v>0</v>
      </c>
      <c r="EU154" s="701">
        <f>IF('2 M-A +'!I23='2 M-A +'!$B$44,IF('2 M-A +'!I$32=150,IF('2 M-A +'!I22=40,1,0)))*'2 M-A +'!I$33</f>
        <v>0</v>
      </c>
      <c r="EV154" s="701">
        <f>IF('2 M-A +'!J23='2 M-A +'!$B$44,IF('2 M-A +'!J$32=150,IF('2 M-A +'!J22=40,1,0)))*'2 M-A +'!J$33</f>
        <v>0</v>
      </c>
      <c r="EW154" s="701">
        <f>IF('2 M-A +'!K23='2 M-A +'!$B$44,IF('2 M-A +'!K$32=150,IF('2 M-A +'!K22=40,1,0)))*'2 M-A +'!K$33</f>
        <v>0</v>
      </c>
      <c r="EX154" s="701">
        <f>IF('2 M-A +'!L23='2 M-A +'!$B$44,IF('2 M-A +'!L$32=150,IF('2 M-A +'!L22=40,1,0)))*'2 M-A +'!L$33</f>
        <v>0</v>
      </c>
      <c r="EY154" s="701">
        <f>IF('2 M-A +'!M23='2 M-A +'!$B$44,IF('2 M-A +'!M$32=150,IF('2 M-A +'!M22=40,1,0)))*'2 M-A +'!M$33</f>
        <v>0</v>
      </c>
      <c r="EZ154" s="701">
        <f>IF('2 M-A +'!N23='2 M-A +'!$B$44,IF('2 M-A +'!N$32=150,IF('2 M-A +'!N22=40,1,0)))*'2 M-A +'!N$33</f>
        <v>0</v>
      </c>
      <c r="FA154" s="706"/>
      <c r="FB154" s="838"/>
      <c r="FC154" s="838"/>
      <c r="FD154" s="838"/>
      <c r="FE154" s="838"/>
      <c r="FF154" s="838"/>
      <c r="FG154" s="838"/>
      <c r="FH154" s="838"/>
      <c r="FI154" s="838"/>
      <c r="FJ154" s="838"/>
      <c r="FK154" s="838"/>
      <c r="FL154" s="838"/>
      <c r="FM154" s="838"/>
      <c r="FN154" s="838"/>
      <c r="FO154" s="838"/>
      <c r="FP154" s="838"/>
      <c r="FQ154" s="838"/>
      <c r="FR154" s="838"/>
      <c r="FS154" s="838"/>
      <c r="FT154" s="838"/>
      <c r="FU154" s="838"/>
      <c r="FV154" s="838"/>
      <c r="FW154" s="838"/>
      <c r="FX154" s="838"/>
      <c r="FY154" s="838"/>
      <c r="FZ154" s="838"/>
      <c r="GA154" s="838"/>
      <c r="GB154" s="838"/>
      <c r="GC154" s="838"/>
      <c r="GD154" s="838"/>
      <c r="GE154" s="838"/>
      <c r="GF154" s="838"/>
      <c r="GG154" s="838"/>
      <c r="GH154" s="838"/>
      <c r="GI154" s="838"/>
      <c r="GJ154" s="838"/>
      <c r="GK154" s="838"/>
      <c r="GL154" s="838"/>
    </row>
    <row r="155" spans="2:194" x14ac:dyDescent="0.35">
      <c r="B155" s="701"/>
      <c r="C155" s="701"/>
      <c r="D155" s="701"/>
      <c r="E155" s="701"/>
      <c r="F155" s="701"/>
      <c r="G155" s="701"/>
      <c r="H155" s="701"/>
      <c r="I155" s="701"/>
      <c r="J155" s="701"/>
      <c r="K155" s="701"/>
      <c r="L155" s="701"/>
      <c r="M155" s="701"/>
      <c r="N155" s="706"/>
      <c r="O155" s="702"/>
      <c r="P155" s="702"/>
      <c r="Q155" s="702"/>
      <c r="R155" s="702"/>
      <c r="S155" s="702"/>
      <c r="T155" s="702"/>
      <c r="U155" s="702"/>
      <c r="V155" s="702"/>
      <c r="W155" s="702"/>
      <c r="X155" s="702"/>
      <c r="Y155" s="702"/>
      <c r="Z155" s="702"/>
      <c r="AA155" s="706"/>
      <c r="AB155" s="702"/>
      <c r="AC155" s="702"/>
      <c r="AD155" s="702"/>
      <c r="AE155" s="702"/>
      <c r="AF155" s="702"/>
      <c r="AG155" s="702"/>
      <c r="AH155" s="702"/>
      <c r="AI155" s="702"/>
      <c r="AJ155" s="702"/>
      <c r="AK155" s="702"/>
      <c r="AL155" s="702"/>
      <c r="AM155" s="702"/>
      <c r="AN155" s="706"/>
      <c r="AO155" s="702"/>
      <c r="AP155" s="702"/>
      <c r="AQ155" s="702"/>
      <c r="AR155" s="702"/>
      <c r="AS155" s="702"/>
      <c r="AT155" s="702"/>
      <c r="AU155" s="702"/>
      <c r="AV155" s="702"/>
      <c r="AW155" s="702"/>
      <c r="AX155" s="702"/>
      <c r="AY155" s="702"/>
      <c r="AZ155" s="702"/>
      <c r="BA155" s="706"/>
      <c r="BB155" s="702"/>
      <c r="BC155" s="702"/>
      <c r="BD155" s="702"/>
      <c r="BE155" s="702"/>
      <c r="BF155" s="702"/>
      <c r="BG155" s="702"/>
      <c r="BH155" s="702"/>
      <c r="BI155" s="702"/>
      <c r="BJ155" s="702"/>
      <c r="BK155" s="702"/>
      <c r="BL155" s="702"/>
      <c r="BM155" s="702"/>
      <c r="BN155" s="706"/>
      <c r="BO155" s="702"/>
      <c r="BP155" s="702"/>
      <c r="BQ155" s="702"/>
      <c r="BR155" s="702"/>
      <c r="BS155" s="702"/>
      <c r="BT155" s="702"/>
      <c r="BU155" s="702"/>
      <c r="BV155" s="702"/>
      <c r="BW155" s="702"/>
      <c r="BX155" s="702"/>
      <c r="BY155" s="702"/>
      <c r="BZ155" s="702"/>
      <c r="CA155" s="706"/>
      <c r="CB155" s="702"/>
      <c r="CC155" s="702"/>
      <c r="CD155" s="702"/>
      <c r="CE155" s="702"/>
      <c r="CF155" s="702"/>
      <c r="CG155" s="702"/>
      <c r="CH155" s="702"/>
      <c r="CI155" s="702"/>
      <c r="CJ155" s="702"/>
      <c r="CK155" s="702"/>
      <c r="CL155" s="702"/>
      <c r="CM155" s="702"/>
      <c r="CN155" s="706"/>
      <c r="CO155" s="702"/>
      <c r="CP155" s="702"/>
      <c r="CQ155" s="702"/>
      <c r="CR155" s="702"/>
      <c r="CS155" s="702"/>
      <c r="CT155" s="702"/>
      <c r="CU155" s="702"/>
      <c r="CV155" s="702"/>
      <c r="CW155" s="702"/>
      <c r="CX155" s="702"/>
      <c r="CY155" s="702"/>
      <c r="CZ155" s="702"/>
      <c r="DA155" s="706"/>
      <c r="DB155" s="702"/>
      <c r="DC155" s="702"/>
      <c r="DD155" s="702"/>
      <c r="DE155" s="702"/>
      <c r="DF155" s="702"/>
      <c r="DG155" s="702"/>
      <c r="DH155" s="702"/>
      <c r="DI155" s="702"/>
      <c r="DJ155" s="702"/>
      <c r="DK155" s="702"/>
      <c r="DL155" s="702"/>
      <c r="DM155" s="702"/>
      <c r="DN155" s="706"/>
      <c r="DO155" s="702"/>
      <c r="DP155" s="702"/>
      <c r="DQ155" s="702"/>
      <c r="DR155" s="702"/>
      <c r="DS155" s="702"/>
      <c r="DT155" s="702"/>
      <c r="DU155" s="702"/>
      <c r="DV155" s="702"/>
      <c r="DW155" s="702"/>
      <c r="DX155" s="702"/>
      <c r="DY155" s="702"/>
      <c r="DZ155" s="702"/>
      <c r="EA155" s="706"/>
      <c r="EB155" s="702"/>
      <c r="EC155" s="702"/>
      <c r="ED155" s="702"/>
      <c r="EE155" s="702"/>
      <c r="EF155" s="702"/>
      <c r="EG155" s="702"/>
      <c r="EH155" s="702"/>
      <c r="EI155" s="702"/>
      <c r="EJ155" s="702"/>
      <c r="EK155" s="702"/>
      <c r="EL155" s="702"/>
      <c r="EM155" s="702"/>
      <c r="EN155" s="706"/>
      <c r="EO155" s="702"/>
      <c r="EP155" s="702"/>
      <c r="EQ155" s="702"/>
      <c r="ER155" s="702"/>
      <c r="ES155" s="702"/>
      <c r="ET155" s="702"/>
      <c r="EU155" s="702"/>
      <c r="EV155" s="702"/>
      <c r="EW155" s="702"/>
      <c r="EX155" s="702"/>
      <c r="EY155" s="702"/>
      <c r="EZ155" s="702"/>
      <c r="FA155" s="706"/>
      <c r="FB155" s="855"/>
      <c r="FC155" s="838"/>
      <c r="FD155" s="855"/>
      <c r="FE155" s="838"/>
      <c r="FF155" s="855"/>
      <c r="FG155" s="838"/>
      <c r="FH155" s="855"/>
      <c r="FI155" s="838"/>
      <c r="FJ155" s="855"/>
      <c r="FK155" s="838"/>
      <c r="FL155" s="855"/>
      <c r="FM155" s="838"/>
      <c r="FN155" s="855"/>
      <c r="FO155" s="838"/>
      <c r="FP155" s="855"/>
      <c r="FQ155" s="838"/>
      <c r="FR155" s="855"/>
      <c r="FS155" s="838"/>
      <c r="FT155" s="855"/>
      <c r="FU155" s="838"/>
      <c r="FV155" s="855"/>
      <c r="FW155" s="838"/>
      <c r="FX155" s="855"/>
      <c r="FY155" s="838"/>
      <c r="FZ155" s="855"/>
      <c r="GA155" s="838"/>
      <c r="GB155" s="855"/>
      <c r="GC155" s="838"/>
      <c r="GD155" s="855"/>
      <c r="GE155" s="838"/>
      <c r="GF155" s="855"/>
      <c r="GG155" s="838"/>
      <c r="GH155" s="855"/>
      <c r="GI155" s="838"/>
      <c r="GJ155" s="855"/>
      <c r="GK155" s="855"/>
      <c r="GL155" s="838"/>
    </row>
    <row r="156" spans="2:194" x14ac:dyDescent="0.35">
      <c r="B156" s="701">
        <f>IF('2 M-A +'!C25='2 M-A +'!$B$44,IF('2 M-A +'!C$32=28,IF('2 M-A +'!C24=40,1,0)))*'2 M-A +'!C$33</f>
        <v>0</v>
      </c>
      <c r="C156" s="701">
        <f>IF('2 M-A +'!D25='2 M-A +'!$B$44,IF('2 M-A +'!D$32=28,IF('2 M-A +'!D24=40,1,0)))*'2 M-A +'!D$33</f>
        <v>0</v>
      </c>
      <c r="D156" s="701">
        <f>IF('2 M-A +'!E25='2 M-A +'!$B$44,IF('2 M-A +'!E$32=28,IF('2 M-A +'!E24=40,1,0)))*'2 M-A +'!E$33</f>
        <v>0</v>
      </c>
      <c r="E156" s="701">
        <f>IF('2 M-A +'!F25='2 M-A +'!$B$44,IF('2 M-A +'!F$32=28,IF('2 M-A +'!F24=40,1,0)))*'2 M-A +'!F$33</f>
        <v>0</v>
      </c>
      <c r="F156" s="701">
        <f>IF('2 M-A +'!G25='2 M-A +'!$B$44,IF('2 M-A +'!G$32=28,IF('2 M-A +'!G24=40,1,0)))*'2 M-A +'!G$33</f>
        <v>0</v>
      </c>
      <c r="G156" s="701">
        <f>IF('2 M-A +'!H25='2 M-A +'!$B$44,IF('2 M-A +'!H$32=28,IF('2 M-A +'!H24=40,1,0)))*'2 M-A +'!H$33</f>
        <v>0</v>
      </c>
      <c r="H156" s="701">
        <f>IF('2 M-A +'!I25='2 M-A +'!$B$44,IF('2 M-A +'!I$32=28,IF('2 M-A +'!I24=40,1,0)))*'2 M-A +'!I$33</f>
        <v>0</v>
      </c>
      <c r="I156" s="701">
        <f>IF('2 M-A +'!J25='2 M-A +'!$B$44,IF('2 M-A +'!J$32=28,IF('2 M-A +'!J24=40,1,0)))*'2 M-A +'!J$33</f>
        <v>0</v>
      </c>
      <c r="J156" s="701">
        <f>IF('2 M-A +'!K25='2 M-A +'!$B$44,IF('2 M-A +'!K$32=28,IF('2 M-A +'!K24=40,1,0)))*'2 M-A +'!K$33</f>
        <v>0</v>
      </c>
      <c r="K156" s="701">
        <f>IF('2 M-A +'!L25='2 M-A +'!$B$44,IF('2 M-A +'!L$32=28,IF('2 M-A +'!L24=40,1,0)))*'2 M-A +'!L$33</f>
        <v>0</v>
      </c>
      <c r="L156" s="701">
        <f>IF('2 M-A +'!M25='2 M-A +'!$B$44,IF('2 M-A +'!M$32=28,IF('2 M-A +'!M24=40,1,0)))*'2 M-A +'!M$33</f>
        <v>0</v>
      </c>
      <c r="M156" s="701">
        <f>IF('2 M-A +'!N25='2 M-A +'!$B$44,IF('2 M-A +'!N$32=28,IF('2 M-A +'!N24=40,1,0)))*'2 M-A +'!N$33</f>
        <v>0</v>
      </c>
      <c r="N156" s="706"/>
      <c r="O156" s="701">
        <f>IF('2 M-A +'!C25='2 M-A +'!$B$44,IF('2 M-A +'!C$32=30,IF('2 M-A +'!C24=40,1,0)))*'2 M-A +'!C$33</f>
        <v>0</v>
      </c>
      <c r="P156" s="701">
        <f>IF('2 M-A +'!D25='2 M-A +'!$B$44,IF('2 M-A +'!D$32=30,IF('2 M-A +'!D24=40,1,0)))*'2 M-A +'!D$33</f>
        <v>0</v>
      </c>
      <c r="Q156" s="701">
        <f>IF('2 M-A +'!E25='2 M-A +'!$B$44,IF('2 M-A +'!E$32=30,IF('2 M-A +'!E24=40,1,0)))*'2 M-A +'!E$33</f>
        <v>0</v>
      </c>
      <c r="R156" s="701">
        <f>IF('2 M-A +'!F25='2 M-A +'!$B$44,IF('2 M-A +'!F$32=30,IF('2 M-A +'!F24=40,1,0)))*'2 M-A +'!F$33</f>
        <v>0</v>
      </c>
      <c r="S156" s="701">
        <f>IF('2 M-A +'!G25='2 M-A +'!$B$44,IF('2 M-A +'!G$32=30,IF('2 M-A +'!G24=40,1,0)))*'2 M-A +'!G$33</f>
        <v>0</v>
      </c>
      <c r="T156" s="701">
        <f>IF('2 M-A +'!H25='2 M-A +'!$B$44,IF('2 M-A +'!H$32=30,IF('2 M-A +'!H24=40,1,0)))*'2 M-A +'!H$33</f>
        <v>0</v>
      </c>
      <c r="U156" s="701">
        <f>IF('2 M-A +'!I25='2 M-A +'!$B$44,IF('2 M-A +'!I$32=30,IF('2 M-A +'!I24=40,1,0)))*'2 M-A +'!I$33</f>
        <v>0</v>
      </c>
      <c r="V156" s="701">
        <f>IF('2 M-A +'!J25='2 M-A +'!$B$44,IF('2 M-A +'!J$32=30,IF('2 M-A +'!J24=40,1,0)))*'2 M-A +'!J$33</f>
        <v>0</v>
      </c>
      <c r="W156" s="701">
        <f>IF('2 M-A +'!K25='2 M-A +'!$B$44,IF('2 M-A +'!K$32=30,IF('2 M-A +'!K24=40,1,0)))*'2 M-A +'!K$33</f>
        <v>0</v>
      </c>
      <c r="X156" s="701">
        <f>IF('2 M-A +'!L25='2 M-A +'!$B$44,IF('2 M-A +'!L$32=30,IF('2 M-A +'!L24=40,1,0)))*'2 M-A +'!L$33</f>
        <v>0</v>
      </c>
      <c r="Y156" s="701">
        <f>IF('2 M-A +'!M25='2 M-A +'!$B$44,IF('2 M-A +'!M$32=30,IF('2 M-A +'!M24=40,1,0)))*'2 M-A +'!M$33</f>
        <v>0</v>
      </c>
      <c r="Z156" s="701">
        <f>IF('2 M-A +'!N25='2 M-A +'!$B$44,IF('2 M-A +'!N$32=30,IF('2 M-A +'!N24=40,1,0)))*'2 M-A +'!N$33</f>
        <v>0</v>
      </c>
      <c r="AA156" s="706"/>
      <c r="AB156" s="701">
        <f>IF('2 M-A +'!C25='2 M-A +'!$B$44,IF('2 M-A +'!C$32=56,IF('2 M-A +'!C24=40,1,0)))*'2 M-A +'!C$33</f>
        <v>0</v>
      </c>
      <c r="AC156" s="701">
        <f>IF('2 M-A +'!D25='2 M-A +'!$B$44,IF('2 M-A +'!D$32=56,IF('2 M-A +'!D24=40,1,0)))*'2 M-A +'!D$33</f>
        <v>0</v>
      </c>
      <c r="AD156" s="701">
        <f>IF('2 M-A +'!E25='2 M-A +'!$B$44,IF('2 M-A +'!E$32=56,IF('2 M-A +'!E24=40,1,0)))*'2 M-A +'!E$33</f>
        <v>0</v>
      </c>
      <c r="AE156" s="701">
        <f>IF('2 M-A +'!F25='2 M-A +'!$B$44,IF('2 M-A +'!F$32=56,IF('2 M-A +'!F24=40,1,0)))*'2 M-A +'!F$33</f>
        <v>0</v>
      </c>
      <c r="AF156" s="701">
        <f>IF('2 M-A +'!G25='2 M-A +'!$B$44,IF('2 M-A +'!G$32=56,IF('2 M-A +'!G24=40,1,0)))*'2 M-A +'!G$33</f>
        <v>0</v>
      </c>
      <c r="AG156" s="701">
        <f>IF('2 M-A +'!H25='2 M-A +'!$B$44,IF('2 M-A +'!H$32=56,IF('2 M-A +'!H24=40,1,0)))*'2 M-A +'!H$33</f>
        <v>0</v>
      </c>
      <c r="AH156" s="701">
        <f>IF('2 M-A +'!I25='2 M-A +'!$B$44,IF('2 M-A +'!I$32=56,IF('2 M-A +'!I24=40,1,0)))*'2 M-A +'!I$33</f>
        <v>0</v>
      </c>
      <c r="AI156" s="701">
        <f>IF('2 M-A +'!J25='2 M-A +'!$B$44,IF('2 M-A +'!J$32=56,IF('2 M-A +'!J24=40,1,0)))*'2 M-A +'!J$33</f>
        <v>0</v>
      </c>
      <c r="AJ156" s="701">
        <f>IF('2 M-A +'!K25='2 M-A +'!$B$44,IF('2 M-A +'!K$32=56,IF('2 M-A +'!K24=40,1,0)))*'2 M-A +'!K$33</f>
        <v>0</v>
      </c>
      <c r="AK156" s="701">
        <f>IF('2 M-A +'!L25='2 M-A +'!$B$44,IF('2 M-A +'!L$32=56,IF('2 M-A +'!L24=40,1,0)))*'2 M-A +'!L$33</f>
        <v>0</v>
      </c>
      <c r="AL156" s="701">
        <f>IF('2 M-A +'!M25='2 M-A +'!$B$44,IF('2 M-A +'!M$32=56,IF('2 M-A +'!M24=40,1,0)))*'2 M-A +'!M$33</f>
        <v>0</v>
      </c>
      <c r="AM156" s="701">
        <f>IF('2 M-A +'!N25='2 M-A +'!$B$44,IF('2 M-A +'!N$32=56,IF('2 M-A +'!N24=40,1,0)))*'2 M-A +'!N$33</f>
        <v>0</v>
      </c>
      <c r="AN156" s="706"/>
      <c r="AO156" s="701">
        <f>IF('2 M-A +'!C25='2 M-A +'!$B$44,IF('2 M-A +'!C$32=60,IF('2 M-A +'!C24=40,1,0)))*'2 M-A +'!C$33</f>
        <v>0</v>
      </c>
      <c r="AP156" s="701">
        <f>IF('2 M-A +'!D25='2 M-A +'!$B$44,IF('2 M-A +'!D$32=60,IF('2 M-A +'!D24=40,1,0)))*'2 M-A +'!D$33</f>
        <v>0</v>
      </c>
      <c r="AQ156" s="701">
        <f>IF('2 M-A +'!E25='2 M-A +'!$B$44,IF('2 M-A +'!E$32=60,IF('2 M-A +'!E24=40,1,0)))*'2 M-A +'!E$33</f>
        <v>0</v>
      </c>
      <c r="AR156" s="701">
        <f>IF('2 M-A +'!F25='2 M-A +'!$B$44,IF('2 M-A +'!F$32=60,IF('2 M-A +'!F24=40,1,0)))*'2 M-A +'!F$33</f>
        <v>0</v>
      </c>
      <c r="AS156" s="701">
        <f>IF('2 M-A +'!G25='2 M-A +'!$B$44,IF('2 M-A +'!G$32=60,IF('2 M-A +'!G24=40,1,0)))*'2 M-A +'!G$33</f>
        <v>0</v>
      </c>
      <c r="AT156" s="701">
        <f>IF('2 M-A +'!H25='2 M-A +'!$B$44,IF('2 M-A +'!H$32=60,IF('2 M-A +'!H24=40,1,0)))*'2 M-A +'!H$33</f>
        <v>0</v>
      </c>
      <c r="AU156" s="701">
        <f>IF('2 M-A +'!I25='2 M-A +'!$B$44,IF('2 M-A +'!I$32=60,IF('2 M-A +'!I24=40,1,0)))*'2 M-A +'!I$33</f>
        <v>0</v>
      </c>
      <c r="AV156" s="701">
        <f>IF('2 M-A +'!J25='2 M-A +'!$B$44,IF('2 M-A +'!J$32=60,IF('2 M-A +'!J24=40,1,0)))*'2 M-A +'!J$33</f>
        <v>0</v>
      </c>
      <c r="AW156" s="701">
        <f>IF('2 M-A +'!K25='2 M-A +'!$B$44,IF('2 M-A +'!K$32=60,IF('2 M-A +'!K24=40,1,0)))*'2 M-A +'!K$33</f>
        <v>0</v>
      </c>
      <c r="AX156" s="701">
        <f>IF('2 M-A +'!L25='2 M-A +'!$B$44,IF('2 M-A +'!L$32=60,IF('2 M-A +'!L24=40,1,0)))*'2 M-A +'!L$33</f>
        <v>0</v>
      </c>
      <c r="AY156" s="701">
        <f>IF('2 M-A +'!M25='2 M-A +'!$B$44,IF('2 M-A +'!M$32=60,IF('2 M-A +'!M24=40,1,0)))*'2 M-A +'!M$33</f>
        <v>0</v>
      </c>
      <c r="AZ156" s="701">
        <f>IF('2 M-A +'!N25='2 M-A +'!$B$44,IF('2 M-A +'!N$32=60,IF('2 M-A +'!N24=40,1,0)))*'2 M-A +'!N$33</f>
        <v>0</v>
      </c>
      <c r="BA156" s="706"/>
      <c r="BB156" s="701">
        <f>IF('2 M-A +'!C25='2 M-A +'!$B$44,IF('2 M-A +'!C$32=70,IF('2 M-A +'!C24=40,1,0)))*'2 M-A +'!C$33</f>
        <v>0</v>
      </c>
      <c r="BC156" s="701">
        <f>IF('2 M-A +'!D25='2 M-A +'!$B$44,IF('2 M-A +'!D$32=70,IF('2 M-A +'!D24=40,1,0)))*'2 M-A +'!D$33</f>
        <v>0</v>
      </c>
      <c r="BD156" s="701">
        <f>IF('2 M-A +'!E25='2 M-A +'!$B$44,IF('2 M-A +'!E$32=70,IF('2 M-A +'!E24=40,1,0)))*'2 M-A +'!E$33</f>
        <v>0</v>
      </c>
      <c r="BE156" s="701">
        <f>IF('2 M-A +'!F25='2 M-A +'!$B$44,IF('2 M-A +'!F$32=70,IF('2 M-A +'!F24=40,1,0)))*'2 M-A +'!F$33</f>
        <v>0</v>
      </c>
      <c r="BF156" s="701">
        <f>IF('2 M-A +'!G25='2 M-A +'!$B$44,IF('2 M-A +'!G$32=70,IF('2 M-A +'!G24=40,1,0)))*'2 M-A +'!G$33</f>
        <v>0</v>
      </c>
      <c r="BG156" s="701">
        <f>IF('2 M-A +'!H25='2 M-A +'!$B$44,IF('2 M-A +'!H$32=70,IF('2 M-A +'!H24=40,1,0)))*'2 M-A +'!H$33</f>
        <v>0</v>
      </c>
      <c r="BH156" s="701">
        <f>IF('2 M-A +'!I25='2 M-A +'!$B$44,IF('2 M-A +'!I$32=70,IF('2 M-A +'!I24=40,1,0)))*'2 M-A +'!I$33</f>
        <v>0</v>
      </c>
      <c r="BI156" s="701">
        <f>IF('2 M-A +'!J25='2 M-A +'!$B$44,IF('2 M-A +'!J$32=70,IF('2 M-A +'!J24=40,1,0)))*'2 M-A +'!J$33</f>
        <v>0</v>
      </c>
      <c r="BJ156" s="701">
        <f>IF('2 M-A +'!K25='2 M-A +'!$B$44,IF('2 M-A +'!K$32=70,IF('2 M-A +'!K24=40,1,0)))*'2 M-A +'!K$33</f>
        <v>0</v>
      </c>
      <c r="BK156" s="701">
        <f>IF('2 M-A +'!L25='2 M-A +'!$B$44,IF('2 M-A +'!L$32=70,IF('2 M-A +'!L24=40,1,0)))*'2 M-A +'!L$33</f>
        <v>0</v>
      </c>
      <c r="BL156" s="701">
        <f>IF('2 M-A +'!M25='2 M-A +'!$B$44,IF('2 M-A +'!M$32=70,IF('2 M-A +'!M24=40,1,0)))*'2 M-A +'!M$33</f>
        <v>0</v>
      </c>
      <c r="BM156" s="701">
        <f>IF('2 M-A +'!N25='2 M-A +'!$B$44,IF('2 M-A +'!N$32=70,IF('2 M-A +'!N24=40,1,0)))*'2 M-A +'!N$33</f>
        <v>0</v>
      </c>
      <c r="BN156" s="706"/>
      <c r="BO156" s="701">
        <f>IF('2 M-A +'!C25='2 M-A +'!$B$44,IF('2 M-A +'!C$32=75,IF('2 M-A +'!C24=40,1,0)))*'2 M-A +'!C$33</f>
        <v>0</v>
      </c>
      <c r="BP156" s="701">
        <f>IF('2 M-A +'!D25='2 M-A +'!$B$44,IF('2 M-A +'!D$32=75,IF('2 M-A +'!D24=40,1,0)))*'2 M-A +'!D$33</f>
        <v>0</v>
      </c>
      <c r="BQ156" s="701">
        <f>IF('2 M-A +'!E25='2 M-A +'!$B$44,IF('2 M-A +'!E$32=75,IF('2 M-A +'!E24=40,1,0)))*'2 M-A +'!E$33</f>
        <v>0</v>
      </c>
      <c r="BR156" s="701">
        <f>IF('2 M-A +'!F25='2 M-A +'!$B$44,IF('2 M-A +'!F$32=75,IF('2 M-A +'!F24=40,1,0)))*'2 M-A +'!F$33</f>
        <v>0</v>
      </c>
      <c r="BS156" s="701">
        <f>IF('2 M-A +'!G25='2 M-A +'!$B$44,IF('2 M-A +'!G$32=75,IF('2 M-A +'!G24=40,1,0)))*'2 M-A +'!G$33</f>
        <v>0</v>
      </c>
      <c r="BT156" s="701">
        <f>IF('2 M-A +'!H25='2 M-A +'!$B$44,IF('2 M-A +'!H$32=75,IF('2 M-A +'!H24=40,1,0)))*'2 M-A +'!H$33</f>
        <v>0</v>
      </c>
      <c r="BU156" s="701">
        <f>IF('2 M-A +'!I25='2 M-A +'!$B$44,IF('2 M-A +'!I$32=75,IF('2 M-A +'!I24=40,1,0)))*'2 M-A +'!I$33</f>
        <v>0</v>
      </c>
      <c r="BV156" s="701">
        <f>IF('2 M-A +'!J25='2 M-A +'!$B$44,IF('2 M-A +'!J$32=75,IF('2 M-A +'!J24=40,1,0)))*'2 M-A +'!J$33</f>
        <v>0</v>
      </c>
      <c r="BW156" s="701">
        <f>IF('2 M-A +'!K25='2 M-A +'!$B$44,IF('2 M-A +'!K$32=75,IF('2 M-A +'!K24=40,1,0)))*'2 M-A +'!K$33</f>
        <v>0</v>
      </c>
      <c r="BX156" s="701">
        <f>IF('2 M-A +'!L25='2 M-A +'!$B$44,IF('2 M-A +'!L$32=75,IF('2 M-A +'!L24=40,1,0)))*'2 M-A +'!L$33</f>
        <v>0</v>
      </c>
      <c r="BY156" s="701">
        <f>IF('2 M-A +'!M25='2 M-A +'!$B$44,IF('2 M-A +'!M$32=75,IF('2 M-A +'!M24=40,1,0)))*'2 M-A +'!M$33</f>
        <v>0</v>
      </c>
      <c r="BZ156" s="701">
        <f>IF('2 M-A +'!N25='2 M-A +'!$B$44,IF('2 M-A +'!N$32=75,IF('2 M-A +'!N24=40,1,0)))*'2 M-A +'!N$33</f>
        <v>0</v>
      </c>
      <c r="CA156" s="706"/>
      <c r="CB156" s="701">
        <f>IF('2 M-A +'!C25='2 M-A +'!$B$44,IF('2 M-A +'!C$32=84,IF('2 M-A +'!C24=40,1,0)))*'2 M-A +'!C$33</f>
        <v>0</v>
      </c>
      <c r="CC156" s="701">
        <f>IF('2 M-A +'!D25='2 M-A +'!$B$44,IF('2 M-A +'!D$32=84,IF('2 M-A +'!D24=40,1,0)))*'2 M-A +'!D$33</f>
        <v>0</v>
      </c>
      <c r="CD156" s="701">
        <f>IF('2 M-A +'!E25='2 M-A +'!$B$44,IF('2 M-A +'!E$32=84,IF('2 M-A +'!E24=40,1,0)))*'2 M-A +'!E$33</f>
        <v>0</v>
      </c>
      <c r="CE156" s="701">
        <f>IF('2 M-A +'!F25='2 M-A +'!$B$44,IF('2 M-A +'!F$32=84,IF('2 M-A +'!F24=40,1,0)))*'2 M-A +'!F$33</f>
        <v>0</v>
      </c>
      <c r="CF156" s="701">
        <f>IF('2 M-A +'!G25='2 M-A +'!$B$44,IF('2 M-A +'!G$32=84,IF('2 M-A +'!G24=40,1,0)))*'2 M-A +'!G$33</f>
        <v>0</v>
      </c>
      <c r="CG156" s="701">
        <f>IF('2 M-A +'!H25='2 M-A +'!$B$44,IF('2 M-A +'!H$32=84,IF('2 M-A +'!H24=40,1,0)))*'2 M-A +'!H$33</f>
        <v>0</v>
      </c>
      <c r="CH156" s="701">
        <f>IF('2 M-A +'!I25='2 M-A +'!$B$44,IF('2 M-A +'!I$32=84,IF('2 M-A +'!I24=40,1,0)))*'2 M-A +'!I$33</f>
        <v>0</v>
      </c>
      <c r="CI156" s="701">
        <f>IF('2 M-A +'!J25='2 M-A +'!$B$44,IF('2 M-A +'!J$32=84,IF('2 M-A +'!J24=40,1,0)))*'2 M-A +'!J$33</f>
        <v>0</v>
      </c>
      <c r="CJ156" s="701">
        <f>IF('2 M-A +'!K25='2 M-A +'!$B$44,IF('2 M-A +'!K$32=84,IF('2 M-A +'!K24=40,1,0)))*'2 M-A +'!K$33</f>
        <v>0</v>
      </c>
      <c r="CK156" s="701">
        <f>IF('2 M-A +'!L25='2 M-A +'!$B$44,IF('2 M-A +'!L$32=84,IF('2 M-A +'!L24=40,1,0)))*'2 M-A +'!L$33</f>
        <v>0</v>
      </c>
      <c r="CL156" s="701">
        <f>IF('2 M-A +'!M25='2 M-A +'!$B$44,IF('2 M-A +'!M$32=84,IF('2 M-A +'!M24=40,1,0)))*'2 M-A +'!M$33</f>
        <v>0</v>
      </c>
      <c r="CM156" s="701">
        <f>IF('2 M-A +'!N25='2 M-A +'!$B$44,IF('2 M-A +'!N$32=84,IF('2 M-A +'!N24=40,1,0)))*'2 M-A +'!N$33</f>
        <v>0</v>
      </c>
      <c r="CN156" s="706"/>
      <c r="CO156" s="701">
        <f>IF('2 M-A +'!C25='2 M-A +'!$B$44,IF('2 M-A +'!C$32=90,IF('2 M-A +'!C24=40,1,0)))*'2 M-A +'!C$33</f>
        <v>0</v>
      </c>
      <c r="CP156" s="701">
        <f>IF('2 M-A +'!D25='2 M-A +'!$B$44,IF('2 M-A +'!D$32=90,IF('2 M-A +'!D24=40,1,0)))*'2 M-A +'!D$33</f>
        <v>0</v>
      </c>
      <c r="CQ156" s="701">
        <f>IF('2 M-A +'!E25='2 M-A +'!$B$44,IF('2 M-A +'!E$32=90,IF('2 M-A +'!E24=40,1,0)))*'2 M-A +'!E$33</f>
        <v>0</v>
      </c>
      <c r="CR156" s="701">
        <f>IF('2 M-A +'!F25='2 M-A +'!$B$44,IF('2 M-A +'!F$32=90,IF('2 M-A +'!F24=40,1,0)))*'2 M-A +'!F$33</f>
        <v>0</v>
      </c>
      <c r="CS156" s="701">
        <f>IF('2 M-A +'!G25='2 M-A +'!$B$44,IF('2 M-A +'!G$32=90,IF('2 M-A +'!G24=40,1,0)))*'2 M-A +'!G$33</f>
        <v>0</v>
      </c>
      <c r="CT156" s="701">
        <f>IF('2 M-A +'!H25='2 M-A +'!$B$44,IF('2 M-A +'!H$32=90,IF('2 M-A +'!H24=40,1,0)))*'2 M-A +'!H$33</f>
        <v>0</v>
      </c>
      <c r="CU156" s="701">
        <f>IF('2 M-A +'!I25='2 M-A +'!$B$44,IF('2 M-A +'!I$32=90,IF('2 M-A +'!I24=40,1,0)))*'2 M-A +'!I$33</f>
        <v>0</v>
      </c>
      <c r="CV156" s="701">
        <f>IF('2 M-A +'!J25='2 M-A +'!$B$44,IF('2 M-A +'!J$32=90,IF('2 M-A +'!J24=40,1,0)))*'2 M-A +'!J$33</f>
        <v>0</v>
      </c>
      <c r="CW156" s="701">
        <f>IF('2 M-A +'!K25='2 M-A +'!$B$44,IF('2 M-A +'!K$32=90,IF('2 M-A +'!K24=40,1,0)))*'2 M-A +'!K$33</f>
        <v>0</v>
      </c>
      <c r="CX156" s="701">
        <f>IF('2 M-A +'!L25='2 M-A +'!$B$44,IF('2 M-A +'!L$32=90,IF('2 M-A +'!L24=40,1,0)))*'2 M-A +'!L$33</f>
        <v>0</v>
      </c>
      <c r="CY156" s="701">
        <f>IF('2 M-A +'!M25='2 M-A +'!$B$44,IF('2 M-A +'!M$32=90,IF('2 M-A +'!M24=40,1,0)))*'2 M-A +'!M$33</f>
        <v>0</v>
      </c>
      <c r="CZ156" s="701">
        <f>IF('2 M-A +'!N25='2 M-A +'!$B$44,IF('2 M-A +'!N$32=90,IF('2 M-A +'!N24=40,1,0)))*'2 M-A +'!N$33</f>
        <v>0</v>
      </c>
      <c r="DA156" s="706"/>
      <c r="DB156" s="701">
        <f>IF('2 M-A +'!C25='2 M-A +'!$B$44,IF('2 M-A +'!C$32=112,IF('2 M-A +'!C24=40,1,0)))*'2 M-A +'!C$33</f>
        <v>0</v>
      </c>
      <c r="DC156" s="701">
        <f>IF('2 M-A +'!D25='2 M-A +'!$B$44,IF('2 M-A +'!D$32=112,IF('2 M-A +'!D24=40,1,0)))*'2 M-A +'!D$33</f>
        <v>0</v>
      </c>
      <c r="DD156" s="701">
        <f>IF('2 M-A +'!E25='2 M-A +'!$B$44,IF('2 M-A +'!E$32=112,IF('2 M-A +'!E24=40,1,0)))*'2 M-A +'!E$33</f>
        <v>0</v>
      </c>
      <c r="DE156" s="701">
        <f>IF('2 M-A +'!F25='2 M-A +'!$B$44,IF('2 M-A +'!F$32=112,IF('2 M-A +'!F24=40,1,0)))*'2 M-A +'!F$33</f>
        <v>0</v>
      </c>
      <c r="DF156" s="701">
        <f>IF('2 M-A +'!G25='2 M-A +'!$B$44,IF('2 M-A +'!G$32=112,IF('2 M-A +'!G24=40,1,0)))*'2 M-A +'!G$33</f>
        <v>0</v>
      </c>
      <c r="DG156" s="701">
        <f>IF('2 M-A +'!H25='2 M-A +'!$B$44,IF('2 M-A +'!H$32=112,IF('2 M-A +'!H24=40,1,0)))*'2 M-A +'!H$33</f>
        <v>0</v>
      </c>
      <c r="DH156" s="701">
        <f>IF('2 M-A +'!I25='2 M-A +'!$B$44,IF('2 M-A +'!I$32=112,IF('2 M-A +'!I24=40,1,0)))*'2 M-A +'!I$33</f>
        <v>0</v>
      </c>
      <c r="DI156" s="701">
        <f>IF('2 M-A +'!J25='2 M-A +'!$B$44,IF('2 M-A +'!J$32=112,IF('2 M-A +'!J24=40,1,0)))*'2 M-A +'!J$33</f>
        <v>0</v>
      </c>
      <c r="DJ156" s="701">
        <f>IF('2 M-A +'!K25='2 M-A +'!$B$44,IF('2 M-A +'!K$32=112,IF('2 M-A +'!K24=40,1,0)))*'2 M-A +'!K$33</f>
        <v>0</v>
      </c>
      <c r="DK156" s="701">
        <f>IF('2 M-A +'!L25='2 M-A +'!$B$44,IF('2 M-A +'!L$32=112,IF('2 M-A +'!L24=40,1,0)))*'2 M-A +'!L$33</f>
        <v>0</v>
      </c>
      <c r="DL156" s="701">
        <f>IF('2 M-A +'!M25='2 M-A +'!$B$44,IF('2 M-A +'!M$32=112,IF('2 M-A +'!M24=40,1,0)))*'2 M-A +'!M$33</f>
        <v>0</v>
      </c>
      <c r="DM156" s="701">
        <f>IF('2 M-A +'!N25='2 M-A +'!$B$44,IF('2 M-A +'!N$32=112,IF('2 M-A +'!N24=40,1,0)))*'2 M-A +'!N$33</f>
        <v>0</v>
      </c>
      <c r="DN156" s="706"/>
      <c r="DO156" s="701">
        <f>IF('2 M-A +'!C25='2 M-A +'!$B$44,IF('2 M-A +'!C$32=120,IF('2 M-A +'!C24=40,1,0)))*'2 M-A +'!C$33</f>
        <v>0</v>
      </c>
      <c r="DP156" s="701">
        <f>IF('2 M-A +'!D25='2 M-A +'!$B$44,IF('2 M-A +'!D$32=120,IF('2 M-A +'!D24=40,1,0)))*'2 M-A +'!D$33</f>
        <v>0</v>
      </c>
      <c r="DQ156" s="701">
        <f>IF('2 M-A +'!E25='2 M-A +'!$B$44,IF('2 M-A +'!E$32=120,IF('2 M-A +'!E24=40,1,0)))*'2 M-A +'!E$33</f>
        <v>0</v>
      </c>
      <c r="DR156" s="701">
        <f>IF('2 M-A +'!F25='2 M-A +'!$B$44,IF('2 M-A +'!F$32=120,IF('2 M-A +'!F24=40,1,0)))*'2 M-A +'!F$33</f>
        <v>0</v>
      </c>
      <c r="DS156" s="701">
        <f>IF('2 M-A +'!G25='2 M-A +'!$B$44,IF('2 M-A +'!G$32=120,IF('2 M-A +'!G24=40,1,0)))*'2 M-A +'!G$33</f>
        <v>0</v>
      </c>
      <c r="DT156" s="701">
        <f>IF('2 M-A +'!H25='2 M-A +'!$B$44,IF('2 M-A +'!H$32=120,IF('2 M-A +'!H24=40,1,0)))*'2 M-A +'!H$33</f>
        <v>0</v>
      </c>
      <c r="DU156" s="701">
        <f>IF('2 M-A +'!I25='2 M-A +'!$B$44,IF('2 M-A +'!I$32=120,IF('2 M-A +'!I24=40,1,0)))*'2 M-A +'!I$33</f>
        <v>0</v>
      </c>
      <c r="DV156" s="701">
        <f>IF('2 M-A +'!J25='2 M-A +'!$B$44,IF('2 M-A +'!J$32=120,IF('2 M-A +'!J24=40,1,0)))*'2 M-A +'!J$33</f>
        <v>0</v>
      </c>
      <c r="DW156" s="701">
        <f>IF('2 M-A +'!K25='2 M-A +'!$B$44,IF('2 M-A +'!K$32=120,IF('2 M-A +'!K24=40,1,0)))*'2 M-A +'!K$33</f>
        <v>0</v>
      </c>
      <c r="DX156" s="701">
        <f>IF('2 M-A +'!L25='2 M-A +'!$B$44,IF('2 M-A +'!L$32=120,IF('2 M-A +'!L24=40,1,0)))*'2 M-A +'!L$33</f>
        <v>0</v>
      </c>
      <c r="DY156" s="701">
        <f>IF('2 M-A +'!M25='2 M-A +'!$B$44,IF('2 M-A +'!M$32=120,IF('2 M-A +'!M24=40,1,0)))*'2 M-A +'!M$33</f>
        <v>0</v>
      </c>
      <c r="DZ156" s="701">
        <f>IF('2 M-A +'!N25='2 M-A +'!$B$44,IF('2 M-A +'!N$32=120,IF('2 M-A +'!N24=40,1,0)))*'2 M-A +'!N$33</f>
        <v>0</v>
      </c>
      <c r="EA156" s="706"/>
      <c r="EB156" s="701">
        <f>IF('2 M-A +'!C25='2 M-A +'!$B$44,IF('2 M-A +'!C$32=140,IF('2 M-A +'!C24=40,1,0)))*'2 M-A +'!C$33</f>
        <v>0</v>
      </c>
      <c r="EC156" s="701">
        <f>IF('2 M-A +'!D25='2 M-A +'!$B$44,IF('2 M-A +'!D$32=140,IF('2 M-A +'!D24=40,1,0)))*'2 M-A +'!D$33</f>
        <v>0</v>
      </c>
      <c r="ED156" s="701">
        <f>IF('2 M-A +'!E25='2 M-A +'!$B$44,IF('2 M-A +'!E$32=140,IF('2 M-A +'!E24=40,1,0)))*'2 M-A +'!E$33</f>
        <v>0</v>
      </c>
      <c r="EE156" s="701">
        <f>IF('2 M-A +'!F25='2 M-A +'!$B$44,IF('2 M-A +'!F$32=140,IF('2 M-A +'!F24=40,1,0)))*'2 M-A +'!F$33</f>
        <v>0</v>
      </c>
      <c r="EF156" s="701">
        <f>IF('2 M-A +'!G25='2 M-A +'!$B$44,IF('2 M-A +'!G$32=140,IF('2 M-A +'!G24=40,1,0)))*'2 M-A +'!G$33</f>
        <v>0</v>
      </c>
      <c r="EG156" s="701">
        <f>IF('2 M-A +'!H25='2 M-A +'!$B$44,IF('2 M-A +'!H$32=140,IF('2 M-A +'!H24=40,1,0)))*'2 M-A +'!H$33</f>
        <v>0</v>
      </c>
      <c r="EH156" s="701">
        <f>IF('2 M-A +'!I25='2 M-A +'!$B$44,IF('2 M-A +'!I$32=140,IF('2 M-A +'!I24=40,1,0)))*'2 M-A +'!I$33</f>
        <v>0</v>
      </c>
      <c r="EI156" s="701">
        <f>IF('2 M-A +'!J25='2 M-A +'!$B$44,IF('2 M-A +'!J$32=140,IF('2 M-A +'!J24=40,1,0)))*'2 M-A +'!J$33</f>
        <v>0</v>
      </c>
      <c r="EJ156" s="701">
        <f>IF('2 M-A +'!K25='2 M-A +'!$B$44,IF('2 M-A +'!K$32=140,IF('2 M-A +'!K24=40,1,0)))*'2 M-A +'!K$33</f>
        <v>0</v>
      </c>
      <c r="EK156" s="701">
        <f>IF('2 M-A +'!L25='2 M-A +'!$B$44,IF('2 M-A +'!L$32=140,IF('2 M-A +'!L24=40,1,0)))*'2 M-A +'!L$33</f>
        <v>0</v>
      </c>
      <c r="EL156" s="701">
        <f>IF('2 M-A +'!M25='2 M-A +'!$B$44,IF('2 M-A +'!M$32=140,IF('2 M-A +'!M24=40,1,0)))*'2 M-A +'!M$33</f>
        <v>0</v>
      </c>
      <c r="EM156" s="701">
        <f>IF('2 M-A +'!N25='2 M-A +'!$B$44,IF('2 M-A +'!N$32=140,IF('2 M-A +'!N24=40,1,0)))*'2 M-A +'!N$33</f>
        <v>0</v>
      </c>
      <c r="EN156" s="706"/>
      <c r="EO156" s="701">
        <f>IF('2 M-A +'!C25='2 M-A +'!$B$44,IF('2 M-A +'!C$32=150,IF('2 M-A +'!C24=40,1,0)))*'2 M-A +'!C$33</f>
        <v>0</v>
      </c>
      <c r="EP156" s="701">
        <f>IF('2 M-A +'!D25='2 M-A +'!$B$44,IF('2 M-A +'!D$32=150,IF('2 M-A +'!D24=40,1,0)))*'2 M-A +'!D$33</f>
        <v>0</v>
      </c>
      <c r="EQ156" s="701">
        <f>IF('2 M-A +'!E25='2 M-A +'!$B$44,IF('2 M-A +'!E$32=150,IF('2 M-A +'!E24=40,1,0)))*'2 M-A +'!E$33</f>
        <v>0</v>
      </c>
      <c r="ER156" s="701">
        <f>IF('2 M-A +'!F25='2 M-A +'!$B$44,IF('2 M-A +'!F$32=150,IF('2 M-A +'!F24=40,1,0)))*'2 M-A +'!F$33</f>
        <v>0</v>
      </c>
      <c r="ES156" s="701">
        <f>IF('2 M-A +'!G25='2 M-A +'!$B$44,IF('2 M-A +'!G$32=150,IF('2 M-A +'!G24=40,1,0)))*'2 M-A +'!G$33</f>
        <v>0</v>
      </c>
      <c r="ET156" s="701">
        <f>IF('2 M-A +'!H25='2 M-A +'!$B$44,IF('2 M-A +'!H$32=150,IF('2 M-A +'!H24=40,1,0)))*'2 M-A +'!H$33</f>
        <v>0</v>
      </c>
      <c r="EU156" s="701">
        <f>IF('2 M-A +'!I25='2 M-A +'!$B$44,IF('2 M-A +'!I$32=150,IF('2 M-A +'!I24=40,1,0)))*'2 M-A +'!I$33</f>
        <v>0</v>
      </c>
      <c r="EV156" s="701">
        <f>IF('2 M-A +'!J25='2 M-A +'!$B$44,IF('2 M-A +'!J$32=150,IF('2 M-A +'!J24=40,1,0)))*'2 M-A +'!J$33</f>
        <v>0</v>
      </c>
      <c r="EW156" s="701">
        <f>IF('2 M-A +'!K25='2 M-A +'!$B$44,IF('2 M-A +'!K$32=150,IF('2 M-A +'!K24=40,1,0)))*'2 M-A +'!K$33</f>
        <v>0</v>
      </c>
      <c r="EX156" s="701">
        <f>IF('2 M-A +'!L25='2 M-A +'!$B$44,IF('2 M-A +'!L$32=150,IF('2 M-A +'!L24=40,1,0)))*'2 M-A +'!L$33</f>
        <v>0</v>
      </c>
      <c r="EY156" s="701">
        <f>IF('2 M-A +'!M25='2 M-A +'!$B$44,IF('2 M-A +'!M$32=150,IF('2 M-A +'!M24=40,1,0)))*'2 M-A +'!M$33</f>
        <v>0</v>
      </c>
      <c r="EZ156" s="701">
        <f>IF('2 M-A +'!N25='2 M-A +'!$B$44,IF('2 M-A +'!N$32=150,IF('2 M-A +'!N24=40,1,0)))*'2 M-A +'!N$33</f>
        <v>0</v>
      </c>
      <c r="FA156" s="706"/>
      <c r="FB156" s="838"/>
      <c r="FC156" s="838"/>
      <c r="FD156" s="838"/>
      <c r="FE156" s="838"/>
      <c r="FF156" s="838"/>
      <c r="FG156" s="838"/>
      <c r="FH156" s="838"/>
      <c r="FI156" s="838"/>
      <c r="FJ156" s="838"/>
      <c r="FK156" s="838"/>
      <c r="FL156" s="838"/>
      <c r="FM156" s="838"/>
      <c r="FN156" s="838"/>
      <c r="FO156" s="838"/>
      <c r="FP156" s="838"/>
      <c r="FQ156" s="838"/>
      <c r="FR156" s="838"/>
      <c r="FS156" s="838"/>
      <c r="FT156" s="838"/>
      <c r="FU156" s="838"/>
      <c r="FV156" s="838"/>
      <c r="FW156" s="838"/>
      <c r="FX156" s="838"/>
      <c r="FY156" s="838"/>
      <c r="FZ156" s="838"/>
      <c r="GA156" s="838"/>
      <c r="GB156" s="838"/>
      <c r="GC156" s="838"/>
      <c r="GD156" s="838"/>
      <c r="GE156" s="838"/>
      <c r="GF156" s="838"/>
      <c r="GG156" s="838"/>
      <c r="GH156" s="838"/>
      <c r="GI156" s="838"/>
      <c r="GJ156" s="838"/>
      <c r="GK156" s="838"/>
      <c r="GL156" s="838"/>
    </row>
    <row r="157" spans="2:194" x14ac:dyDescent="0.35">
      <c r="B157" s="701"/>
      <c r="C157" s="701"/>
      <c r="D157" s="701"/>
      <c r="E157" s="701"/>
      <c r="F157" s="701"/>
      <c r="G157" s="701"/>
      <c r="H157" s="701"/>
      <c r="I157" s="701"/>
      <c r="J157" s="701"/>
      <c r="K157" s="701"/>
      <c r="L157" s="701"/>
      <c r="M157" s="701"/>
      <c r="N157" s="706"/>
      <c r="O157" s="702"/>
      <c r="P157" s="702"/>
      <c r="Q157" s="702"/>
      <c r="R157" s="702"/>
      <c r="S157" s="702"/>
      <c r="T157" s="702"/>
      <c r="U157" s="702"/>
      <c r="V157" s="702"/>
      <c r="W157" s="702"/>
      <c r="X157" s="702"/>
      <c r="Y157" s="702"/>
      <c r="Z157" s="702"/>
      <c r="AA157" s="706"/>
      <c r="AB157" s="702"/>
      <c r="AC157" s="702"/>
      <c r="AD157" s="702"/>
      <c r="AE157" s="702"/>
      <c r="AF157" s="702"/>
      <c r="AG157" s="702"/>
      <c r="AH157" s="702"/>
      <c r="AI157" s="702"/>
      <c r="AJ157" s="702"/>
      <c r="AK157" s="702"/>
      <c r="AL157" s="702"/>
      <c r="AM157" s="702"/>
      <c r="AN157" s="706"/>
      <c r="AO157" s="702"/>
      <c r="AP157" s="702"/>
      <c r="AQ157" s="702"/>
      <c r="AR157" s="702"/>
      <c r="AS157" s="702"/>
      <c r="AT157" s="702"/>
      <c r="AU157" s="702"/>
      <c r="AV157" s="702"/>
      <c r="AW157" s="702"/>
      <c r="AX157" s="702"/>
      <c r="AY157" s="702"/>
      <c r="AZ157" s="702"/>
      <c r="BA157" s="706"/>
      <c r="BB157" s="702"/>
      <c r="BC157" s="702"/>
      <c r="BD157" s="702"/>
      <c r="BE157" s="702"/>
      <c r="BF157" s="702"/>
      <c r="BG157" s="702"/>
      <c r="BH157" s="702"/>
      <c r="BI157" s="702"/>
      <c r="BJ157" s="702"/>
      <c r="BK157" s="702"/>
      <c r="BL157" s="702"/>
      <c r="BM157" s="702"/>
      <c r="BN157" s="706"/>
      <c r="BO157" s="702"/>
      <c r="BP157" s="702"/>
      <c r="BQ157" s="702"/>
      <c r="BR157" s="702"/>
      <c r="BS157" s="702"/>
      <c r="BT157" s="702"/>
      <c r="BU157" s="702"/>
      <c r="BV157" s="702"/>
      <c r="BW157" s="702"/>
      <c r="BX157" s="702"/>
      <c r="BY157" s="702"/>
      <c r="BZ157" s="702"/>
      <c r="CA157" s="706"/>
      <c r="CB157" s="702"/>
      <c r="CC157" s="702"/>
      <c r="CD157" s="702"/>
      <c r="CE157" s="702"/>
      <c r="CF157" s="702"/>
      <c r="CG157" s="702"/>
      <c r="CH157" s="702"/>
      <c r="CI157" s="702"/>
      <c r="CJ157" s="702"/>
      <c r="CK157" s="702"/>
      <c r="CL157" s="702"/>
      <c r="CM157" s="702"/>
      <c r="CN157" s="706"/>
      <c r="CO157" s="702"/>
      <c r="CP157" s="702"/>
      <c r="CQ157" s="702"/>
      <c r="CR157" s="702"/>
      <c r="CS157" s="702"/>
      <c r="CT157" s="702"/>
      <c r="CU157" s="702"/>
      <c r="CV157" s="702"/>
      <c r="CW157" s="702"/>
      <c r="CX157" s="702"/>
      <c r="CY157" s="702"/>
      <c r="CZ157" s="702"/>
      <c r="DA157" s="706"/>
      <c r="DB157" s="702"/>
      <c r="DC157" s="702"/>
      <c r="DD157" s="702"/>
      <c r="DE157" s="702"/>
      <c r="DF157" s="702"/>
      <c r="DG157" s="702"/>
      <c r="DH157" s="702"/>
      <c r="DI157" s="702"/>
      <c r="DJ157" s="702"/>
      <c r="DK157" s="702"/>
      <c r="DL157" s="702"/>
      <c r="DM157" s="702"/>
      <c r="DN157" s="706"/>
      <c r="DO157" s="702"/>
      <c r="DP157" s="702"/>
      <c r="DQ157" s="702"/>
      <c r="DR157" s="702"/>
      <c r="DS157" s="702"/>
      <c r="DT157" s="702"/>
      <c r="DU157" s="702"/>
      <c r="DV157" s="702"/>
      <c r="DW157" s="702"/>
      <c r="DX157" s="702"/>
      <c r="DY157" s="702"/>
      <c r="DZ157" s="702"/>
      <c r="EA157" s="706"/>
      <c r="EB157" s="702"/>
      <c r="EC157" s="702"/>
      <c r="ED157" s="702"/>
      <c r="EE157" s="702"/>
      <c r="EF157" s="702"/>
      <c r="EG157" s="702"/>
      <c r="EH157" s="702"/>
      <c r="EI157" s="702"/>
      <c r="EJ157" s="702"/>
      <c r="EK157" s="702"/>
      <c r="EL157" s="702"/>
      <c r="EM157" s="702"/>
      <c r="EN157" s="706"/>
      <c r="EO157" s="702"/>
      <c r="EP157" s="702"/>
      <c r="EQ157" s="702"/>
      <c r="ER157" s="702"/>
      <c r="ES157" s="702"/>
      <c r="ET157" s="702"/>
      <c r="EU157" s="702"/>
      <c r="EV157" s="702"/>
      <c r="EW157" s="702"/>
      <c r="EX157" s="702"/>
      <c r="EY157" s="702"/>
      <c r="EZ157" s="702"/>
      <c r="FA157" s="706"/>
      <c r="FB157" s="855"/>
      <c r="FC157" s="838"/>
      <c r="FD157" s="855"/>
      <c r="FE157" s="838"/>
      <c r="FF157" s="855"/>
      <c r="FG157" s="838"/>
      <c r="FH157" s="855"/>
      <c r="FI157" s="838"/>
      <c r="FJ157" s="855"/>
      <c r="FK157" s="838"/>
      <c r="FL157" s="855"/>
      <c r="FM157" s="838"/>
      <c r="FN157" s="855"/>
      <c r="FO157" s="838"/>
      <c r="FP157" s="855"/>
      <c r="FQ157" s="838"/>
      <c r="FR157" s="855"/>
      <c r="FS157" s="838"/>
      <c r="FT157" s="855"/>
      <c r="FU157" s="838"/>
      <c r="FV157" s="855"/>
      <c r="FW157" s="838"/>
      <c r="FX157" s="855"/>
      <c r="FY157" s="838"/>
      <c r="FZ157" s="855"/>
      <c r="GA157" s="838"/>
      <c r="GB157" s="855"/>
      <c r="GC157" s="838"/>
      <c r="GD157" s="855"/>
      <c r="GE157" s="838"/>
      <c r="GF157" s="855"/>
      <c r="GG157" s="838"/>
      <c r="GH157" s="855"/>
      <c r="GI157" s="838"/>
      <c r="GJ157" s="855"/>
      <c r="GK157" s="855"/>
      <c r="GL157" s="838"/>
    </row>
    <row r="158" spans="2:194" x14ac:dyDescent="0.35">
      <c r="B158" s="701">
        <f>IF('2 M-A +'!C27='2 M-A +'!$B$44,IF('2 M-A +'!C$32=28,IF('2 M-A +'!C26=40,1,0)))*'2 M-A +'!C$33</f>
        <v>0</v>
      </c>
      <c r="C158" s="701">
        <f>IF('2 M-A +'!D27='2 M-A +'!$B$44,IF('2 M-A +'!D$32=28,IF('2 M-A +'!D26=40,1,0)))*'2 M-A +'!D$33</f>
        <v>0</v>
      </c>
      <c r="D158" s="701">
        <f>IF('2 M-A +'!E27='2 M-A +'!$B$44,IF('2 M-A +'!E$32=28,IF('2 M-A +'!E26=40,1,0)))*'2 M-A +'!E$33</f>
        <v>0</v>
      </c>
      <c r="E158" s="701">
        <f>IF('2 M-A +'!F27='2 M-A +'!$B$44,IF('2 M-A +'!F$32=28,IF('2 M-A +'!F26=40,1,0)))*'2 M-A +'!F$33</f>
        <v>0</v>
      </c>
      <c r="F158" s="701">
        <f>IF('2 M-A +'!G27='2 M-A +'!$B$44,IF('2 M-A +'!G$32=28,IF('2 M-A +'!G26=40,1,0)))*'2 M-A +'!G$33</f>
        <v>0</v>
      </c>
      <c r="G158" s="701">
        <f>IF('2 M-A +'!H27='2 M-A +'!$B$44,IF('2 M-A +'!H$32=28,IF('2 M-A +'!H26=40,1,0)))*'2 M-A +'!H$33</f>
        <v>0</v>
      </c>
      <c r="H158" s="701">
        <f>IF('2 M-A +'!I27='2 M-A +'!$B$44,IF('2 M-A +'!I$32=28,IF('2 M-A +'!I26=40,1,0)))*'2 M-A +'!I$33</f>
        <v>0</v>
      </c>
      <c r="I158" s="701">
        <f>IF('2 M-A +'!J27='2 M-A +'!$B$44,IF('2 M-A +'!J$32=28,IF('2 M-A +'!J26=40,1,0)))*'2 M-A +'!J$33</f>
        <v>0</v>
      </c>
      <c r="J158" s="701">
        <f>IF('2 M-A +'!K27='2 M-A +'!$B$44,IF('2 M-A +'!K$32=28,IF('2 M-A +'!K26=40,1,0)))*'2 M-A +'!K$33</f>
        <v>0</v>
      </c>
      <c r="K158" s="701">
        <f>IF('2 M-A +'!L27='2 M-A +'!$B$44,IF('2 M-A +'!L$32=28,IF('2 M-A +'!L26=40,1,0)))*'2 M-A +'!L$33</f>
        <v>0</v>
      </c>
      <c r="L158" s="701">
        <f>IF('2 M-A +'!M27='2 M-A +'!$B$44,IF('2 M-A +'!M$32=28,IF('2 M-A +'!M26=40,1,0)))*'2 M-A +'!M$33</f>
        <v>0</v>
      </c>
      <c r="M158" s="701">
        <f>IF('2 M-A +'!N27='2 M-A +'!$B$44,IF('2 M-A +'!N$32=28,IF('2 M-A +'!N26=40,1,0)))*'2 M-A +'!N$33</f>
        <v>0</v>
      </c>
      <c r="N158" s="706"/>
      <c r="O158" s="701">
        <f>IF('2 M-A +'!C27='2 M-A +'!$B$44,IF('2 M-A +'!C$32=30,IF('2 M-A +'!C26=40,1,0)))*'2 M-A +'!C$33</f>
        <v>0</v>
      </c>
      <c r="P158" s="701">
        <f>IF('2 M-A +'!D27='2 M-A +'!$B$44,IF('2 M-A +'!D$32=30,IF('2 M-A +'!D26=40,1,0)))*'2 M-A +'!D$33</f>
        <v>0</v>
      </c>
      <c r="Q158" s="701">
        <f>IF('2 M-A +'!E27='2 M-A +'!$B$44,IF('2 M-A +'!E$32=30,IF('2 M-A +'!E26=40,1,0)))*'2 M-A +'!E$33</f>
        <v>0</v>
      </c>
      <c r="R158" s="701">
        <f>IF('2 M-A +'!F27='2 M-A +'!$B$44,IF('2 M-A +'!F$32=30,IF('2 M-A +'!F26=40,1,0)))*'2 M-A +'!F$33</f>
        <v>0</v>
      </c>
      <c r="S158" s="701">
        <f>IF('2 M-A +'!G27='2 M-A +'!$B$44,IF('2 M-A +'!G$32=30,IF('2 M-A +'!G26=40,1,0)))*'2 M-A +'!G$33</f>
        <v>0</v>
      </c>
      <c r="T158" s="701">
        <f>IF('2 M-A +'!H27='2 M-A +'!$B$44,IF('2 M-A +'!H$32=30,IF('2 M-A +'!H26=40,1,0)))*'2 M-A +'!H$33</f>
        <v>0</v>
      </c>
      <c r="U158" s="701">
        <f>IF('2 M-A +'!I27='2 M-A +'!$B$44,IF('2 M-A +'!I$32=30,IF('2 M-A +'!I26=40,1,0)))*'2 M-A +'!I$33</f>
        <v>0</v>
      </c>
      <c r="V158" s="701">
        <f>IF('2 M-A +'!J27='2 M-A +'!$B$44,IF('2 M-A +'!J$32=30,IF('2 M-A +'!J26=40,1,0)))*'2 M-A +'!J$33</f>
        <v>0</v>
      </c>
      <c r="W158" s="701">
        <f>IF('2 M-A +'!K27='2 M-A +'!$B$44,IF('2 M-A +'!K$32=30,IF('2 M-A +'!K26=40,1,0)))*'2 M-A +'!K$33</f>
        <v>0</v>
      </c>
      <c r="X158" s="701">
        <f>IF('2 M-A +'!L27='2 M-A +'!$B$44,IF('2 M-A +'!L$32=30,IF('2 M-A +'!L26=40,1,0)))*'2 M-A +'!L$33</f>
        <v>0</v>
      </c>
      <c r="Y158" s="701">
        <f>IF('2 M-A +'!M27='2 M-A +'!$B$44,IF('2 M-A +'!M$32=30,IF('2 M-A +'!M26=40,1,0)))*'2 M-A +'!M$33</f>
        <v>0</v>
      </c>
      <c r="Z158" s="701">
        <f>IF('2 M-A +'!N27='2 M-A +'!$B$44,IF('2 M-A +'!N$32=30,IF('2 M-A +'!N26=40,1,0)))*'2 M-A +'!N$33</f>
        <v>0</v>
      </c>
      <c r="AA158" s="706"/>
      <c r="AB158" s="701">
        <f>IF('2 M-A +'!C27='2 M-A +'!$B$44,IF('2 M-A +'!C$32=56,IF('2 M-A +'!C26=40,1,0)))*'2 M-A +'!C$33</f>
        <v>0</v>
      </c>
      <c r="AC158" s="701">
        <f>IF('2 M-A +'!D27='2 M-A +'!$B$44,IF('2 M-A +'!D$32=56,IF('2 M-A +'!D26=40,1,0)))*'2 M-A +'!D$33</f>
        <v>0</v>
      </c>
      <c r="AD158" s="701">
        <f>IF('2 M-A +'!E27='2 M-A +'!$B$44,IF('2 M-A +'!E$32=56,IF('2 M-A +'!E26=40,1,0)))*'2 M-A +'!E$33</f>
        <v>0</v>
      </c>
      <c r="AE158" s="701">
        <f>IF('2 M-A +'!F27='2 M-A +'!$B$44,IF('2 M-A +'!F$32=56,IF('2 M-A +'!F26=40,1,0)))*'2 M-A +'!F$33</f>
        <v>0</v>
      </c>
      <c r="AF158" s="701">
        <f>IF('2 M-A +'!G27='2 M-A +'!$B$44,IF('2 M-A +'!G$32=56,IF('2 M-A +'!G26=40,1,0)))*'2 M-A +'!G$33</f>
        <v>0</v>
      </c>
      <c r="AG158" s="701">
        <f>IF('2 M-A +'!H27='2 M-A +'!$B$44,IF('2 M-A +'!H$32=56,IF('2 M-A +'!H26=40,1,0)))*'2 M-A +'!H$33</f>
        <v>0</v>
      </c>
      <c r="AH158" s="701">
        <f>IF('2 M-A +'!I27='2 M-A +'!$B$44,IF('2 M-A +'!I$32=56,IF('2 M-A +'!I26=40,1,0)))*'2 M-A +'!I$33</f>
        <v>0</v>
      </c>
      <c r="AI158" s="701">
        <f>IF('2 M-A +'!J27='2 M-A +'!$B$44,IF('2 M-A +'!J$32=56,IF('2 M-A +'!J26=40,1,0)))*'2 M-A +'!J$33</f>
        <v>0</v>
      </c>
      <c r="AJ158" s="701">
        <f>IF('2 M-A +'!K27='2 M-A +'!$B$44,IF('2 M-A +'!K$32=56,IF('2 M-A +'!K26=40,1,0)))*'2 M-A +'!K$33</f>
        <v>0</v>
      </c>
      <c r="AK158" s="701">
        <f>IF('2 M-A +'!L27='2 M-A +'!$B$44,IF('2 M-A +'!L$32=56,IF('2 M-A +'!L26=40,1,0)))*'2 M-A +'!L$33</f>
        <v>0</v>
      </c>
      <c r="AL158" s="701">
        <f>IF('2 M-A +'!M27='2 M-A +'!$B$44,IF('2 M-A +'!M$32=56,IF('2 M-A +'!M26=40,1,0)))*'2 M-A +'!M$33</f>
        <v>0</v>
      </c>
      <c r="AM158" s="701">
        <f>IF('2 M-A +'!N27='2 M-A +'!$B$44,IF('2 M-A +'!N$32=56,IF('2 M-A +'!N26=40,1,0)))*'2 M-A +'!N$33</f>
        <v>0</v>
      </c>
      <c r="AN158" s="706"/>
      <c r="AO158" s="701">
        <f>IF('2 M-A +'!C27='2 M-A +'!$B$44,IF('2 M-A +'!C$32=60,IF('2 M-A +'!C26=40,1,0)))*'2 M-A +'!C$33</f>
        <v>0</v>
      </c>
      <c r="AP158" s="701">
        <f>IF('2 M-A +'!D27='2 M-A +'!$B$44,IF('2 M-A +'!D$32=60,IF('2 M-A +'!D26=40,1,0)))*'2 M-A +'!D$33</f>
        <v>0</v>
      </c>
      <c r="AQ158" s="701">
        <f>IF('2 M-A +'!E27='2 M-A +'!$B$44,IF('2 M-A +'!E$32=60,IF('2 M-A +'!E26=40,1,0)))*'2 M-A +'!E$33</f>
        <v>0</v>
      </c>
      <c r="AR158" s="701">
        <f>IF('2 M-A +'!F27='2 M-A +'!$B$44,IF('2 M-A +'!F$32=60,IF('2 M-A +'!F26=40,1,0)))*'2 M-A +'!F$33</f>
        <v>0</v>
      </c>
      <c r="AS158" s="701">
        <f>IF('2 M-A +'!G27='2 M-A +'!$B$44,IF('2 M-A +'!G$32=60,IF('2 M-A +'!G26=40,1,0)))*'2 M-A +'!G$33</f>
        <v>0</v>
      </c>
      <c r="AT158" s="701">
        <f>IF('2 M-A +'!H27='2 M-A +'!$B$44,IF('2 M-A +'!H$32=60,IF('2 M-A +'!H26=40,1,0)))*'2 M-A +'!H$33</f>
        <v>0</v>
      </c>
      <c r="AU158" s="701">
        <f>IF('2 M-A +'!I27='2 M-A +'!$B$44,IF('2 M-A +'!I$32=60,IF('2 M-A +'!I26=40,1,0)))*'2 M-A +'!I$33</f>
        <v>0</v>
      </c>
      <c r="AV158" s="701">
        <f>IF('2 M-A +'!J27='2 M-A +'!$B$44,IF('2 M-A +'!J$32=60,IF('2 M-A +'!J26=40,1,0)))*'2 M-A +'!J$33</f>
        <v>0</v>
      </c>
      <c r="AW158" s="701">
        <f>IF('2 M-A +'!K27='2 M-A +'!$B$44,IF('2 M-A +'!K$32=60,IF('2 M-A +'!K26=40,1,0)))*'2 M-A +'!K$33</f>
        <v>0</v>
      </c>
      <c r="AX158" s="701">
        <f>IF('2 M-A +'!L27='2 M-A +'!$B$44,IF('2 M-A +'!L$32=60,IF('2 M-A +'!L26=40,1,0)))*'2 M-A +'!L$33</f>
        <v>0</v>
      </c>
      <c r="AY158" s="701">
        <f>IF('2 M-A +'!M27='2 M-A +'!$B$44,IF('2 M-A +'!M$32=60,IF('2 M-A +'!M26=40,1,0)))*'2 M-A +'!M$33</f>
        <v>0</v>
      </c>
      <c r="AZ158" s="701">
        <f>IF('2 M-A +'!N27='2 M-A +'!$B$44,IF('2 M-A +'!N$32=60,IF('2 M-A +'!N26=40,1,0)))*'2 M-A +'!N$33</f>
        <v>0</v>
      </c>
      <c r="BA158" s="706"/>
      <c r="BB158" s="701">
        <f>IF('2 M-A +'!C27='2 M-A +'!$B$44,IF('2 M-A +'!C$32=70,IF('2 M-A +'!C26=40,1,0)))*'2 M-A +'!C$33</f>
        <v>0</v>
      </c>
      <c r="BC158" s="701">
        <f>IF('2 M-A +'!D27='2 M-A +'!$B$44,IF('2 M-A +'!D$32=70,IF('2 M-A +'!D26=40,1,0)))*'2 M-A +'!D$33</f>
        <v>0</v>
      </c>
      <c r="BD158" s="701">
        <f>IF('2 M-A +'!E27='2 M-A +'!$B$44,IF('2 M-A +'!E$32=70,IF('2 M-A +'!E26=40,1,0)))*'2 M-A +'!E$33</f>
        <v>0</v>
      </c>
      <c r="BE158" s="701">
        <f>IF('2 M-A +'!F27='2 M-A +'!$B$44,IF('2 M-A +'!F$32=70,IF('2 M-A +'!F26=40,1,0)))*'2 M-A +'!F$33</f>
        <v>0</v>
      </c>
      <c r="BF158" s="701">
        <f>IF('2 M-A +'!G27='2 M-A +'!$B$44,IF('2 M-A +'!G$32=70,IF('2 M-A +'!G26=40,1,0)))*'2 M-A +'!G$33</f>
        <v>0</v>
      </c>
      <c r="BG158" s="701">
        <f>IF('2 M-A +'!H27='2 M-A +'!$B$44,IF('2 M-A +'!H$32=70,IF('2 M-A +'!H26=40,1,0)))*'2 M-A +'!H$33</f>
        <v>0</v>
      </c>
      <c r="BH158" s="701">
        <f>IF('2 M-A +'!I27='2 M-A +'!$B$44,IF('2 M-A +'!I$32=70,IF('2 M-A +'!I26=40,1,0)))*'2 M-A +'!I$33</f>
        <v>0</v>
      </c>
      <c r="BI158" s="701">
        <f>IF('2 M-A +'!J27='2 M-A +'!$B$44,IF('2 M-A +'!J$32=70,IF('2 M-A +'!J26=40,1,0)))*'2 M-A +'!J$33</f>
        <v>0</v>
      </c>
      <c r="BJ158" s="701">
        <f>IF('2 M-A +'!K27='2 M-A +'!$B$44,IF('2 M-A +'!K$32=70,IF('2 M-A +'!K26=40,1,0)))*'2 M-A +'!K$33</f>
        <v>0</v>
      </c>
      <c r="BK158" s="701">
        <f>IF('2 M-A +'!L27='2 M-A +'!$B$44,IF('2 M-A +'!L$32=70,IF('2 M-A +'!L26=40,1,0)))*'2 M-A +'!L$33</f>
        <v>0</v>
      </c>
      <c r="BL158" s="701">
        <f>IF('2 M-A +'!M27='2 M-A +'!$B$44,IF('2 M-A +'!M$32=70,IF('2 M-A +'!M26=40,1,0)))*'2 M-A +'!M$33</f>
        <v>0</v>
      </c>
      <c r="BM158" s="701">
        <f>IF('2 M-A +'!N27='2 M-A +'!$B$44,IF('2 M-A +'!N$32=70,IF('2 M-A +'!N26=40,1,0)))*'2 M-A +'!N$33</f>
        <v>0</v>
      </c>
      <c r="BN158" s="706"/>
      <c r="BO158" s="701">
        <f>IF('2 M-A +'!C27='2 M-A +'!$B$44,IF('2 M-A +'!C$32=75,IF('2 M-A +'!C26=40,1,0)))*'2 M-A +'!C$33</f>
        <v>0</v>
      </c>
      <c r="BP158" s="701">
        <f>IF('2 M-A +'!D27='2 M-A +'!$B$44,IF('2 M-A +'!D$32=75,IF('2 M-A +'!D26=40,1,0)))*'2 M-A +'!D$33</f>
        <v>0</v>
      </c>
      <c r="BQ158" s="701">
        <f>IF('2 M-A +'!E27='2 M-A +'!$B$44,IF('2 M-A +'!E$32=75,IF('2 M-A +'!E26=40,1,0)))*'2 M-A +'!E$33</f>
        <v>0</v>
      </c>
      <c r="BR158" s="701">
        <f>IF('2 M-A +'!F27='2 M-A +'!$B$44,IF('2 M-A +'!F$32=75,IF('2 M-A +'!F26=40,1,0)))*'2 M-A +'!F$33</f>
        <v>0</v>
      </c>
      <c r="BS158" s="701">
        <f>IF('2 M-A +'!G27='2 M-A +'!$B$44,IF('2 M-A +'!G$32=75,IF('2 M-A +'!G26=40,1,0)))*'2 M-A +'!G$33</f>
        <v>0</v>
      </c>
      <c r="BT158" s="701">
        <f>IF('2 M-A +'!H27='2 M-A +'!$B$44,IF('2 M-A +'!H$32=75,IF('2 M-A +'!H26=40,1,0)))*'2 M-A +'!H$33</f>
        <v>0</v>
      </c>
      <c r="BU158" s="701">
        <f>IF('2 M-A +'!I27='2 M-A +'!$B$44,IF('2 M-A +'!I$32=75,IF('2 M-A +'!I26=40,1,0)))*'2 M-A +'!I$33</f>
        <v>0</v>
      </c>
      <c r="BV158" s="701">
        <f>IF('2 M-A +'!J27='2 M-A +'!$B$44,IF('2 M-A +'!J$32=75,IF('2 M-A +'!J26=40,1,0)))*'2 M-A +'!J$33</f>
        <v>0</v>
      </c>
      <c r="BW158" s="701">
        <f>IF('2 M-A +'!K27='2 M-A +'!$B$44,IF('2 M-A +'!K$32=75,IF('2 M-A +'!K26=40,1,0)))*'2 M-A +'!K$33</f>
        <v>0</v>
      </c>
      <c r="BX158" s="701">
        <f>IF('2 M-A +'!L27='2 M-A +'!$B$44,IF('2 M-A +'!L$32=75,IF('2 M-A +'!L26=40,1,0)))*'2 M-A +'!L$33</f>
        <v>0</v>
      </c>
      <c r="BY158" s="701">
        <f>IF('2 M-A +'!M27='2 M-A +'!$B$44,IF('2 M-A +'!M$32=75,IF('2 M-A +'!M26=40,1,0)))*'2 M-A +'!M$33</f>
        <v>0</v>
      </c>
      <c r="BZ158" s="701">
        <f>IF('2 M-A +'!N27='2 M-A +'!$B$44,IF('2 M-A +'!N$32=75,IF('2 M-A +'!N26=40,1,0)))*'2 M-A +'!N$33</f>
        <v>0</v>
      </c>
      <c r="CA158" s="706"/>
      <c r="CB158" s="701">
        <f>IF('2 M-A +'!C27='2 M-A +'!$B$44,IF('2 M-A +'!C$32=84,IF('2 M-A +'!C26=40,1,0)))*'2 M-A +'!C$33</f>
        <v>0</v>
      </c>
      <c r="CC158" s="701">
        <f>IF('2 M-A +'!D27='2 M-A +'!$B$44,IF('2 M-A +'!D$32=84,IF('2 M-A +'!D26=40,1,0)))*'2 M-A +'!D$33</f>
        <v>0</v>
      </c>
      <c r="CD158" s="701">
        <f>IF('2 M-A +'!E27='2 M-A +'!$B$44,IF('2 M-A +'!E$32=84,IF('2 M-A +'!E26=40,1,0)))*'2 M-A +'!E$33</f>
        <v>0</v>
      </c>
      <c r="CE158" s="701">
        <f>IF('2 M-A +'!F27='2 M-A +'!$B$44,IF('2 M-A +'!F$32=84,IF('2 M-A +'!F26=40,1,0)))*'2 M-A +'!F$33</f>
        <v>0</v>
      </c>
      <c r="CF158" s="701">
        <f>IF('2 M-A +'!G27='2 M-A +'!$B$44,IF('2 M-A +'!G$32=84,IF('2 M-A +'!G26=40,1,0)))*'2 M-A +'!G$33</f>
        <v>0</v>
      </c>
      <c r="CG158" s="701">
        <f>IF('2 M-A +'!H27='2 M-A +'!$B$44,IF('2 M-A +'!H$32=84,IF('2 M-A +'!H26=40,1,0)))*'2 M-A +'!H$33</f>
        <v>0</v>
      </c>
      <c r="CH158" s="701">
        <f>IF('2 M-A +'!I27='2 M-A +'!$B$44,IF('2 M-A +'!I$32=84,IF('2 M-A +'!I26=40,1,0)))*'2 M-A +'!I$33</f>
        <v>0</v>
      </c>
      <c r="CI158" s="701">
        <f>IF('2 M-A +'!J27='2 M-A +'!$B$44,IF('2 M-A +'!J$32=84,IF('2 M-A +'!J26=40,1,0)))*'2 M-A +'!J$33</f>
        <v>0</v>
      </c>
      <c r="CJ158" s="701">
        <f>IF('2 M-A +'!K27='2 M-A +'!$B$44,IF('2 M-A +'!K$32=84,IF('2 M-A +'!K26=40,1,0)))*'2 M-A +'!K$33</f>
        <v>0</v>
      </c>
      <c r="CK158" s="701">
        <f>IF('2 M-A +'!L27='2 M-A +'!$B$44,IF('2 M-A +'!L$32=84,IF('2 M-A +'!L26=40,1,0)))*'2 M-A +'!L$33</f>
        <v>0</v>
      </c>
      <c r="CL158" s="701">
        <f>IF('2 M-A +'!M27='2 M-A +'!$B$44,IF('2 M-A +'!M$32=84,IF('2 M-A +'!M26=40,1,0)))*'2 M-A +'!M$33</f>
        <v>0</v>
      </c>
      <c r="CM158" s="701">
        <f>IF('2 M-A +'!N27='2 M-A +'!$B$44,IF('2 M-A +'!N$32=84,IF('2 M-A +'!N26=40,1,0)))*'2 M-A +'!N$33</f>
        <v>0</v>
      </c>
      <c r="CN158" s="706"/>
      <c r="CO158" s="701">
        <f>IF('2 M-A +'!C27='2 M-A +'!$B$44,IF('2 M-A +'!C$32=90,IF('2 M-A +'!C26=40,1,0)))*'2 M-A +'!C$33</f>
        <v>0</v>
      </c>
      <c r="CP158" s="701">
        <f>IF('2 M-A +'!D27='2 M-A +'!$B$44,IF('2 M-A +'!D$32=90,IF('2 M-A +'!D26=40,1,0)))*'2 M-A +'!D$33</f>
        <v>0</v>
      </c>
      <c r="CQ158" s="701">
        <f>IF('2 M-A +'!E27='2 M-A +'!$B$44,IF('2 M-A +'!E$32=90,IF('2 M-A +'!E26=40,1,0)))*'2 M-A +'!E$33</f>
        <v>0</v>
      </c>
      <c r="CR158" s="701">
        <f>IF('2 M-A +'!F27='2 M-A +'!$B$44,IF('2 M-A +'!F$32=90,IF('2 M-A +'!F26=40,1,0)))*'2 M-A +'!F$33</f>
        <v>0</v>
      </c>
      <c r="CS158" s="701">
        <f>IF('2 M-A +'!G27='2 M-A +'!$B$44,IF('2 M-A +'!G$32=90,IF('2 M-A +'!G26=40,1,0)))*'2 M-A +'!G$33</f>
        <v>0</v>
      </c>
      <c r="CT158" s="701">
        <f>IF('2 M-A +'!H27='2 M-A +'!$B$44,IF('2 M-A +'!H$32=90,IF('2 M-A +'!H26=40,1,0)))*'2 M-A +'!H$33</f>
        <v>0</v>
      </c>
      <c r="CU158" s="701">
        <f>IF('2 M-A +'!I27='2 M-A +'!$B$44,IF('2 M-A +'!I$32=90,IF('2 M-A +'!I26=40,1,0)))*'2 M-A +'!I$33</f>
        <v>0</v>
      </c>
      <c r="CV158" s="701">
        <f>IF('2 M-A +'!J27='2 M-A +'!$B$44,IF('2 M-A +'!J$32=90,IF('2 M-A +'!J26=40,1,0)))*'2 M-A +'!J$33</f>
        <v>0</v>
      </c>
      <c r="CW158" s="701">
        <f>IF('2 M-A +'!K27='2 M-A +'!$B$44,IF('2 M-A +'!K$32=90,IF('2 M-A +'!K26=40,1,0)))*'2 M-A +'!K$33</f>
        <v>0</v>
      </c>
      <c r="CX158" s="701">
        <f>IF('2 M-A +'!L27='2 M-A +'!$B$44,IF('2 M-A +'!L$32=90,IF('2 M-A +'!L26=40,1,0)))*'2 M-A +'!L$33</f>
        <v>0</v>
      </c>
      <c r="CY158" s="701">
        <f>IF('2 M-A +'!M27='2 M-A +'!$B$44,IF('2 M-A +'!M$32=90,IF('2 M-A +'!M26=40,1,0)))*'2 M-A +'!M$33</f>
        <v>0</v>
      </c>
      <c r="CZ158" s="701">
        <f>IF('2 M-A +'!N27='2 M-A +'!$B$44,IF('2 M-A +'!N$32=90,IF('2 M-A +'!N26=40,1,0)))*'2 M-A +'!N$33</f>
        <v>0</v>
      </c>
      <c r="DA158" s="706"/>
      <c r="DB158" s="701">
        <f>IF('2 M-A +'!C27='2 M-A +'!$B$44,IF('2 M-A +'!C$32=112,IF('2 M-A +'!C26=40,1,0)))*'2 M-A +'!C$33</f>
        <v>0</v>
      </c>
      <c r="DC158" s="701">
        <f>IF('2 M-A +'!D27='2 M-A +'!$B$44,IF('2 M-A +'!D$32=112,IF('2 M-A +'!D26=40,1,0)))*'2 M-A +'!D$33</f>
        <v>0</v>
      </c>
      <c r="DD158" s="701">
        <f>IF('2 M-A +'!E27='2 M-A +'!$B$44,IF('2 M-A +'!E$32=112,IF('2 M-A +'!E26=40,1,0)))*'2 M-A +'!E$33</f>
        <v>0</v>
      </c>
      <c r="DE158" s="701">
        <f>IF('2 M-A +'!F27='2 M-A +'!$B$44,IF('2 M-A +'!F$32=112,IF('2 M-A +'!F26=40,1,0)))*'2 M-A +'!F$33</f>
        <v>0</v>
      </c>
      <c r="DF158" s="701">
        <f>IF('2 M-A +'!G27='2 M-A +'!$B$44,IF('2 M-A +'!G$32=112,IF('2 M-A +'!G26=40,1,0)))*'2 M-A +'!G$33</f>
        <v>0</v>
      </c>
      <c r="DG158" s="701">
        <f>IF('2 M-A +'!H27='2 M-A +'!$B$44,IF('2 M-A +'!H$32=112,IF('2 M-A +'!H26=40,1,0)))*'2 M-A +'!H$33</f>
        <v>0</v>
      </c>
      <c r="DH158" s="701">
        <f>IF('2 M-A +'!I27='2 M-A +'!$B$44,IF('2 M-A +'!I$32=112,IF('2 M-A +'!I26=40,1,0)))*'2 M-A +'!I$33</f>
        <v>0</v>
      </c>
      <c r="DI158" s="701">
        <f>IF('2 M-A +'!J27='2 M-A +'!$B$44,IF('2 M-A +'!J$32=112,IF('2 M-A +'!J26=40,1,0)))*'2 M-A +'!J$33</f>
        <v>0</v>
      </c>
      <c r="DJ158" s="701">
        <f>IF('2 M-A +'!K27='2 M-A +'!$B$44,IF('2 M-A +'!K$32=112,IF('2 M-A +'!K26=40,1,0)))*'2 M-A +'!K$33</f>
        <v>0</v>
      </c>
      <c r="DK158" s="701">
        <f>IF('2 M-A +'!L27='2 M-A +'!$B$44,IF('2 M-A +'!L$32=112,IF('2 M-A +'!L26=40,1,0)))*'2 M-A +'!L$33</f>
        <v>0</v>
      </c>
      <c r="DL158" s="701">
        <f>IF('2 M-A +'!M27='2 M-A +'!$B$44,IF('2 M-A +'!M$32=112,IF('2 M-A +'!M26=40,1,0)))*'2 M-A +'!M$33</f>
        <v>0</v>
      </c>
      <c r="DM158" s="701">
        <f>IF('2 M-A +'!N27='2 M-A +'!$B$44,IF('2 M-A +'!N$32=112,IF('2 M-A +'!N26=40,1,0)))*'2 M-A +'!N$33</f>
        <v>0</v>
      </c>
      <c r="DN158" s="706"/>
      <c r="DO158" s="701">
        <f>IF('2 M-A +'!C27='2 M-A +'!$B$44,IF('2 M-A +'!C$32=120,IF('2 M-A +'!C26=40,1,0)))*'2 M-A +'!C$33</f>
        <v>0</v>
      </c>
      <c r="DP158" s="701">
        <f>IF('2 M-A +'!D27='2 M-A +'!$B$44,IF('2 M-A +'!D$32=120,IF('2 M-A +'!D26=40,1,0)))*'2 M-A +'!D$33</f>
        <v>0</v>
      </c>
      <c r="DQ158" s="701">
        <f>IF('2 M-A +'!E27='2 M-A +'!$B$44,IF('2 M-A +'!E$32=120,IF('2 M-A +'!E26=40,1,0)))*'2 M-A +'!E$33</f>
        <v>0</v>
      </c>
      <c r="DR158" s="701">
        <f>IF('2 M-A +'!F27='2 M-A +'!$B$44,IF('2 M-A +'!F$32=120,IF('2 M-A +'!F26=40,1,0)))*'2 M-A +'!F$33</f>
        <v>0</v>
      </c>
      <c r="DS158" s="701">
        <f>IF('2 M-A +'!G27='2 M-A +'!$B$44,IF('2 M-A +'!G$32=120,IF('2 M-A +'!G26=40,1,0)))*'2 M-A +'!G$33</f>
        <v>0</v>
      </c>
      <c r="DT158" s="701">
        <f>IF('2 M-A +'!H27='2 M-A +'!$B$44,IF('2 M-A +'!H$32=120,IF('2 M-A +'!H26=40,1,0)))*'2 M-A +'!H$33</f>
        <v>0</v>
      </c>
      <c r="DU158" s="701">
        <f>IF('2 M-A +'!I27='2 M-A +'!$B$44,IF('2 M-A +'!I$32=120,IF('2 M-A +'!I26=40,1,0)))*'2 M-A +'!I$33</f>
        <v>0</v>
      </c>
      <c r="DV158" s="701">
        <f>IF('2 M-A +'!J27='2 M-A +'!$B$44,IF('2 M-A +'!J$32=120,IF('2 M-A +'!J26=40,1,0)))*'2 M-A +'!J$33</f>
        <v>0</v>
      </c>
      <c r="DW158" s="701">
        <f>IF('2 M-A +'!K27='2 M-A +'!$B$44,IF('2 M-A +'!K$32=120,IF('2 M-A +'!K26=40,1,0)))*'2 M-A +'!K$33</f>
        <v>0</v>
      </c>
      <c r="DX158" s="701">
        <f>IF('2 M-A +'!L27='2 M-A +'!$B$44,IF('2 M-A +'!L$32=120,IF('2 M-A +'!L26=40,1,0)))*'2 M-A +'!L$33</f>
        <v>0</v>
      </c>
      <c r="DY158" s="701">
        <f>IF('2 M-A +'!M27='2 M-A +'!$B$44,IF('2 M-A +'!M$32=120,IF('2 M-A +'!M26=40,1,0)))*'2 M-A +'!M$33</f>
        <v>0</v>
      </c>
      <c r="DZ158" s="701">
        <f>IF('2 M-A +'!N27='2 M-A +'!$B$44,IF('2 M-A +'!N$32=120,IF('2 M-A +'!N26=40,1,0)))*'2 M-A +'!N$33</f>
        <v>0</v>
      </c>
      <c r="EA158" s="706"/>
      <c r="EB158" s="701">
        <f>IF('2 M-A +'!C27='2 M-A +'!$B$44,IF('2 M-A +'!C$32=140,IF('2 M-A +'!C26=40,1,0)))*'2 M-A +'!C$33</f>
        <v>0</v>
      </c>
      <c r="EC158" s="701">
        <f>IF('2 M-A +'!D27='2 M-A +'!$B$44,IF('2 M-A +'!D$32=140,IF('2 M-A +'!D26=40,1,0)))*'2 M-A +'!D$33</f>
        <v>0</v>
      </c>
      <c r="ED158" s="701">
        <f>IF('2 M-A +'!E27='2 M-A +'!$B$44,IF('2 M-A +'!E$32=140,IF('2 M-A +'!E26=40,1,0)))*'2 M-A +'!E$33</f>
        <v>0</v>
      </c>
      <c r="EE158" s="701">
        <f>IF('2 M-A +'!F27='2 M-A +'!$B$44,IF('2 M-A +'!F$32=140,IF('2 M-A +'!F26=40,1,0)))*'2 M-A +'!F$33</f>
        <v>0</v>
      </c>
      <c r="EF158" s="701">
        <f>IF('2 M-A +'!G27='2 M-A +'!$B$44,IF('2 M-A +'!G$32=140,IF('2 M-A +'!G26=40,1,0)))*'2 M-A +'!G$33</f>
        <v>0</v>
      </c>
      <c r="EG158" s="701">
        <f>IF('2 M-A +'!H27='2 M-A +'!$B$44,IF('2 M-A +'!H$32=140,IF('2 M-A +'!H26=40,1,0)))*'2 M-A +'!H$33</f>
        <v>0</v>
      </c>
      <c r="EH158" s="701">
        <f>IF('2 M-A +'!I27='2 M-A +'!$B$44,IF('2 M-A +'!I$32=140,IF('2 M-A +'!I26=40,1,0)))*'2 M-A +'!I$33</f>
        <v>0</v>
      </c>
      <c r="EI158" s="701">
        <f>IF('2 M-A +'!J27='2 M-A +'!$B$44,IF('2 M-A +'!J$32=140,IF('2 M-A +'!J26=40,1,0)))*'2 M-A +'!J$33</f>
        <v>0</v>
      </c>
      <c r="EJ158" s="701">
        <f>IF('2 M-A +'!K27='2 M-A +'!$B$44,IF('2 M-A +'!K$32=140,IF('2 M-A +'!K26=40,1,0)))*'2 M-A +'!K$33</f>
        <v>0</v>
      </c>
      <c r="EK158" s="701">
        <f>IF('2 M-A +'!L27='2 M-A +'!$B$44,IF('2 M-A +'!L$32=140,IF('2 M-A +'!L26=40,1,0)))*'2 M-A +'!L$33</f>
        <v>0</v>
      </c>
      <c r="EL158" s="701">
        <f>IF('2 M-A +'!M27='2 M-A +'!$B$44,IF('2 M-A +'!M$32=140,IF('2 M-A +'!M26=40,1,0)))*'2 M-A +'!M$33</f>
        <v>0</v>
      </c>
      <c r="EM158" s="701">
        <f>IF('2 M-A +'!N27='2 M-A +'!$B$44,IF('2 M-A +'!N$32=140,IF('2 M-A +'!N26=40,1,0)))*'2 M-A +'!N$33</f>
        <v>0</v>
      </c>
      <c r="EN158" s="706"/>
      <c r="EO158" s="701">
        <f>IF('2 M-A +'!C27='2 M-A +'!$B$44,IF('2 M-A +'!C$32=150,IF('2 M-A +'!C26=40,1,0)))*'2 M-A +'!C$33</f>
        <v>0</v>
      </c>
      <c r="EP158" s="701">
        <f>IF('2 M-A +'!D27='2 M-A +'!$B$44,IF('2 M-A +'!D$32=150,IF('2 M-A +'!D26=40,1,0)))*'2 M-A +'!D$33</f>
        <v>0</v>
      </c>
      <c r="EQ158" s="701">
        <f>IF('2 M-A +'!E27='2 M-A +'!$B$44,IF('2 M-A +'!E$32=150,IF('2 M-A +'!E26=40,1,0)))*'2 M-A +'!E$33</f>
        <v>0</v>
      </c>
      <c r="ER158" s="701">
        <f>IF('2 M-A +'!F27='2 M-A +'!$B$44,IF('2 M-A +'!F$32=150,IF('2 M-A +'!F26=40,1,0)))*'2 M-A +'!F$33</f>
        <v>0</v>
      </c>
      <c r="ES158" s="701">
        <f>IF('2 M-A +'!G27='2 M-A +'!$B$44,IF('2 M-A +'!G$32=150,IF('2 M-A +'!G26=40,1,0)))*'2 M-A +'!G$33</f>
        <v>0</v>
      </c>
      <c r="ET158" s="701">
        <f>IF('2 M-A +'!H27='2 M-A +'!$B$44,IF('2 M-A +'!H$32=150,IF('2 M-A +'!H26=40,1,0)))*'2 M-A +'!H$33</f>
        <v>0</v>
      </c>
      <c r="EU158" s="701">
        <f>IF('2 M-A +'!I27='2 M-A +'!$B$44,IF('2 M-A +'!I$32=150,IF('2 M-A +'!I26=40,1,0)))*'2 M-A +'!I$33</f>
        <v>0</v>
      </c>
      <c r="EV158" s="701">
        <f>IF('2 M-A +'!J27='2 M-A +'!$B$44,IF('2 M-A +'!J$32=150,IF('2 M-A +'!J26=40,1,0)))*'2 M-A +'!J$33</f>
        <v>0</v>
      </c>
      <c r="EW158" s="701">
        <f>IF('2 M-A +'!K27='2 M-A +'!$B$44,IF('2 M-A +'!K$32=150,IF('2 M-A +'!K26=40,1,0)))*'2 M-A +'!K$33</f>
        <v>0</v>
      </c>
      <c r="EX158" s="701">
        <f>IF('2 M-A +'!L27='2 M-A +'!$B$44,IF('2 M-A +'!L$32=150,IF('2 M-A +'!L26=40,1,0)))*'2 M-A +'!L$33</f>
        <v>0</v>
      </c>
      <c r="EY158" s="701">
        <f>IF('2 M-A +'!M27='2 M-A +'!$B$44,IF('2 M-A +'!M$32=150,IF('2 M-A +'!M26=40,1,0)))*'2 M-A +'!M$33</f>
        <v>0</v>
      </c>
      <c r="EZ158" s="701">
        <f>IF('2 M-A +'!N27='2 M-A +'!$B$44,IF('2 M-A +'!N$32=150,IF('2 M-A +'!N26=40,1,0)))*'2 M-A +'!N$33</f>
        <v>0</v>
      </c>
      <c r="FA158" s="706"/>
      <c r="FB158" s="855"/>
      <c r="FC158" s="855"/>
      <c r="FD158" s="855"/>
      <c r="FE158" s="855"/>
      <c r="FF158" s="855"/>
      <c r="FG158" s="855"/>
      <c r="FH158" s="855"/>
      <c r="FI158" s="855"/>
      <c r="FJ158" s="855"/>
      <c r="FK158" s="855"/>
      <c r="FL158" s="855"/>
      <c r="FM158" s="855"/>
      <c r="FN158" s="855"/>
      <c r="FO158" s="838"/>
      <c r="FP158" s="855"/>
      <c r="FQ158" s="838"/>
      <c r="FR158" s="855"/>
      <c r="FS158" s="838"/>
      <c r="FT158" s="855"/>
      <c r="FU158" s="838"/>
      <c r="FV158" s="855"/>
      <c r="FW158" s="838"/>
      <c r="FX158" s="855"/>
      <c r="FY158" s="838"/>
      <c r="FZ158" s="855"/>
      <c r="GA158" s="838"/>
      <c r="GB158" s="855"/>
      <c r="GC158" s="838"/>
      <c r="GD158" s="855"/>
      <c r="GE158" s="838"/>
      <c r="GF158" s="855"/>
      <c r="GG158" s="838"/>
      <c r="GH158" s="855"/>
      <c r="GI158" s="838"/>
      <c r="GJ158" s="855"/>
      <c r="GK158" s="855"/>
      <c r="GL158" s="838"/>
    </row>
    <row r="159" spans="2:194" x14ac:dyDescent="0.35">
      <c r="B159" s="701"/>
      <c r="C159" s="701"/>
      <c r="D159" s="701"/>
      <c r="E159" s="701"/>
      <c r="F159" s="701"/>
      <c r="G159" s="701"/>
      <c r="H159" s="701"/>
      <c r="I159" s="701"/>
      <c r="J159" s="701"/>
      <c r="K159" s="701"/>
      <c r="L159" s="701"/>
      <c r="M159" s="701"/>
      <c r="N159" s="861"/>
      <c r="O159" s="705"/>
      <c r="P159" s="705"/>
      <c r="Q159" s="705"/>
      <c r="R159" s="705"/>
      <c r="S159" s="705"/>
      <c r="T159" s="705"/>
      <c r="U159" s="705"/>
      <c r="V159" s="705"/>
      <c r="W159" s="705"/>
      <c r="X159" s="705"/>
      <c r="Y159" s="705"/>
      <c r="Z159" s="705"/>
      <c r="AA159" s="861"/>
      <c r="AB159" s="705"/>
      <c r="AC159" s="705"/>
      <c r="AD159" s="705"/>
      <c r="AE159" s="705"/>
      <c r="AF159" s="705"/>
      <c r="AG159" s="705"/>
      <c r="AH159" s="705"/>
      <c r="AI159" s="705"/>
      <c r="AJ159" s="705"/>
      <c r="AK159" s="705"/>
      <c r="AL159" s="705"/>
      <c r="AM159" s="705"/>
      <c r="AN159" s="861"/>
      <c r="AO159" s="705"/>
      <c r="AP159" s="705"/>
      <c r="AQ159" s="705"/>
      <c r="AR159" s="705"/>
      <c r="AS159" s="705"/>
      <c r="AT159" s="705"/>
      <c r="AU159" s="705"/>
      <c r="AV159" s="705"/>
      <c r="AW159" s="705"/>
      <c r="AX159" s="705"/>
      <c r="AY159" s="705"/>
      <c r="AZ159" s="705"/>
      <c r="BA159" s="861"/>
      <c r="BB159" s="705"/>
      <c r="BC159" s="705"/>
      <c r="BD159" s="705"/>
      <c r="BE159" s="705"/>
      <c r="BF159" s="705"/>
      <c r="BG159" s="705"/>
      <c r="BH159" s="705"/>
      <c r="BI159" s="705"/>
      <c r="BJ159" s="705"/>
      <c r="BK159" s="705"/>
      <c r="BL159" s="705"/>
      <c r="BM159" s="705"/>
      <c r="BN159" s="861"/>
      <c r="BO159" s="705"/>
      <c r="BP159" s="705"/>
      <c r="BQ159" s="705"/>
      <c r="BR159" s="705"/>
      <c r="BS159" s="705"/>
      <c r="BT159" s="705"/>
      <c r="BU159" s="705"/>
      <c r="BV159" s="705"/>
      <c r="BW159" s="705"/>
      <c r="BX159" s="705"/>
      <c r="BY159" s="705"/>
      <c r="BZ159" s="705"/>
      <c r="CA159" s="861"/>
      <c r="CB159" s="705"/>
      <c r="CC159" s="705"/>
      <c r="CD159" s="705"/>
      <c r="CE159" s="705"/>
      <c r="CF159" s="705"/>
      <c r="CG159" s="705"/>
      <c r="CH159" s="705"/>
      <c r="CI159" s="705"/>
      <c r="CJ159" s="705"/>
      <c r="CK159" s="705"/>
      <c r="CL159" s="705"/>
      <c r="CM159" s="705"/>
      <c r="CN159" s="861"/>
      <c r="CO159" s="705"/>
      <c r="CP159" s="705"/>
      <c r="CQ159" s="705"/>
      <c r="CR159" s="705"/>
      <c r="CS159" s="705"/>
      <c r="CT159" s="705"/>
      <c r="CU159" s="705"/>
      <c r="CV159" s="705"/>
      <c r="CW159" s="705"/>
      <c r="CX159" s="705"/>
      <c r="CY159" s="705"/>
      <c r="CZ159" s="705"/>
      <c r="DA159" s="861"/>
      <c r="DB159" s="705"/>
      <c r="DC159" s="705"/>
      <c r="DD159" s="705"/>
      <c r="DE159" s="705"/>
      <c r="DF159" s="705"/>
      <c r="DG159" s="705"/>
      <c r="DH159" s="705"/>
      <c r="DI159" s="705"/>
      <c r="DJ159" s="705"/>
      <c r="DK159" s="705"/>
      <c r="DL159" s="705"/>
      <c r="DM159" s="705"/>
      <c r="DN159" s="861"/>
      <c r="DO159" s="705"/>
      <c r="DP159" s="705"/>
      <c r="DQ159" s="705"/>
      <c r="DR159" s="705"/>
      <c r="DS159" s="705"/>
      <c r="DT159" s="705"/>
      <c r="DU159" s="705"/>
      <c r="DV159" s="705"/>
      <c r="DW159" s="705"/>
      <c r="DX159" s="705"/>
      <c r="DY159" s="705"/>
      <c r="DZ159" s="705"/>
      <c r="EA159" s="861"/>
      <c r="EB159" s="705"/>
      <c r="EC159" s="705"/>
      <c r="ED159" s="705"/>
      <c r="EE159" s="705"/>
      <c r="EF159" s="705"/>
      <c r="EG159" s="705"/>
      <c r="EH159" s="705"/>
      <c r="EI159" s="705"/>
      <c r="EJ159" s="705"/>
      <c r="EK159" s="705"/>
      <c r="EL159" s="705"/>
      <c r="EM159" s="705"/>
      <c r="EN159" s="861"/>
      <c r="EO159" s="705"/>
      <c r="EP159" s="705"/>
      <c r="EQ159" s="705"/>
      <c r="ER159" s="705"/>
      <c r="ES159" s="705"/>
      <c r="ET159" s="705"/>
      <c r="EU159" s="705"/>
      <c r="EV159" s="705"/>
      <c r="EW159" s="705"/>
      <c r="EX159" s="705"/>
      <c r="EY159" s="705"/>
      <c r="EZ159" s="705"/>
      <c r="FA159" s="861"/>
      <c r="FB159" s="855"/>
      <c r="FC159" s="838"/>
      <c r="FD159" s="855"/>
      <c r="FE159" s="838"/>
      <c r="FF159" s="855"/>
      <c r="FG159" s="838"/>
      <c r="FH159" s="855"/>
      <c r="FI159" s="838"/>
      <c r="FJ159" s="855"/>
      <c r="FK159" s="838"/>
      <c r="FL159" s="855"/>
      <c r="FM159" s="838"/>
      <c r="FN159" s="855"/>
      <c r="FO159" s="855"/>
      <c r="FP159" s="855"/>
      <c r="FQ159" s="838"/>
      <c r="FR159" s="855"/>
      <c r="FS159" s="838"/>
      <c r="FT159" s="855"/>
      <c r="FU159" s="838"/>
      <c r="FV159" s="855"/>
      <c r="FW159" s="838"/>
      <c r="FX159" s="855"/>
      <c r="FY159" s="838"/>
      <c r="FZ159" s="855"/>
      <c r="GA159" s="838"/>
      <c r="GB159" s="855"/>
      <c r="GC159" s="838"/>
      <c r="GD159" s="855"/>
      <c r="GE159" s="838"/>
      <c r="GF159" s="855"/>
      <c r="GG159" s="838"/>
      <c r="GH159" s="855"/>
      <c r="GI159" s="838"/>
      <c r="GJ159" s="855"/>
      <c r="GK159" s="855"/>
      <c r="GL159" s="855"/>
    </row>
    <row r="160" spans="2:194" x14ac:dyDescent="0.35">
      <c r="B160" s="701" t="s">
        <v>1002</v>
      </c>
      <c r="C160" s="701"/>
      <c r="D160" s="701"/>
      <c r="E160" s="701"/>
      <c r="F160" s="701"/>
      <c r="G160" s="701"/>
      <c r="H160" s="701"/>
      <c r="I160" s="701"/>
      <c r="J160" s="701"/>
      <c r="K160" s="701"/>
      <c r="L160" s="701"/>
      <c r="M160" s="701"/>
      <c r="N160" s="706"/>
      <c r="O160" s="702" t="s">
        <v>1012</v>
      </c>
      <c r="P160" s="702"/>
      <c r="Q160" s="702"/>
      <c r="R160" s="702"/>
      <c r="S160" s="702"/>
      <c r="T160" s="702"/>
      <c r="U160" s="702"/>
      <c r="V160" s="702"/>
      <c r="W160" s="702"/>
      <c r="X160" s="702"/>
      <c r="Y160" s="702"/>
      <c r="Z160" s="702"/>
      <c r="AA160" s="706"/>
      <c r="AB160" s="702" t="s">
        <v>1005</v>
      </c>
      <c r="AC160" s="702"/>
      <c r="AD160" s="702"/>
      <c r="AE160" s="702"/>
      <c r="AF160" s="702"/>
      <c r="AG160" s="702"/>
      <c r="AH160" s="702"/>
      <c r="AI160" s="702"/>
      <c r="AJ160" s="702"/>
      <c r="AK160" s="702"/>
      <c r="AL160" s="702"/>
      <c r="AM160" s="702"/>
      <c r="AN160" s="706"/>
      <c r="AO160" s="702" t="s">
        <v>1007</v>
      </c>
      <c r="AP160" s="702"/>
      <c r="AQ160" s="702"/>
      <c r="AR160" s="702"/>
      <c r="AS160" s="702"/>
      <c r="AT160" s="702"/>
      <c r="AU160" s="702"/>
      <c r="AV160" s="702"/>
      <c r="AW160" s="702"/>
      <c r="AX160" s="702"/>
      <c r="AY160" s="702"/>
      <c r="AZ160" s="702"/>
      <c r="BA160" s="706"/>
      <c r="BB160" s="702" t="s">
        <v>1009</v>
      </c>
      <c r="BC160" s="702"/>
      <c r="BD160" s="702"/>
      <c r="BE160" s="702"/>
      <c r="BF160" s="702"/>
      <c r="BG160" s="702"/>
      <c r="BH160" s="702"/>
      <c r="BI160" s="702"/>
      <c r="BJ160" s="702"/>
      <c r="BK160" s="702"/>
      <c r="BL160" s="702"/>
      <c r="BM160" s="702"/>
      <c r="BN160" s="706"/>
      <c r="BO160" s="702" t="s">
        <v>1011</v>
      </c>
      <c r="BP160" s="702"/>
      <c r="BQ160" s="702"/>
      <c r="BR160" s="702"/>
      <c r="BS160" s="702"/>
      <c r="BT160" s="702"/>
      <c r="BU160" s="702"/>
      <c r="BV160" s="702"/>
      <c r="BW160" s="702"/>
      <c r="BX160" s="702"/>
      <c r="BY160" s="702"/>
      <c r="BZ160" s="702"/>
      <c r="CA160" s="706"/>
      <c r="CB160" s="702" t="s">
        <v>1014</v>
      </c>
      <c r="CC160" s="702"/>
      <c r="CD160" s="702"/>
      <c r="CE160" s="702"/>
      <c r="CF160" s="702"/>
      <c r="CG160" s="702"/>
      <c r="CH160" s="702"/>
      <c r="CI160" s="702"/>
      <c r="CJ160" s="702"/>
      <c r="CK160" s="702"/>
      <c r="CL160" s="702"/>
      <c r="CM160" s="702"/>
      <c r="CN160" s="706"/>
      <c r="CO160" s="702" t="s">
        <v>1016</v>
      </c>
      <c r="CP160" s="702"/>
      <c r="CQ160" s="702"/>
      <c r="CR160" s="702"/>
      <c r="CS160" s="702"/>
      <c r="CT160" s="702"/>
      <c r="CU160" s="702"/>
      <c r="CV160" s="702"/>
      <c r="CW160" s="702"/>
      <c r="CX160" s="702"/>
      <c r="CY160" s="702"/>
      <c r="CZ160" s="702"/>
      <c r="DA160" s="706"/>
      <c r="DB160" s="702" t="s">
        <v>1018</v>
      </c>
      <c r="DC160" s="702"/>
      <c r="DD160" s="702"/>
      <c r="DE160" s="702"/>
      <c r="DF160" s="702"/>
      <c r="DG160" s="702"/>
      <c r="DH160" s="702"/>
      <c r="DI160" s="702"/>
      <c r="DJ160" s="702"/>
      <c r="DK160" s="702"/>
      <c r="DL160" s="702"/>
      <c r="DM160" s="702"/>
      <c r="DN160" s="706"/>
      <c r="DO160" s="702" t="s">
        <v>1020</v>
      </c>
      <c r="DP160" s="702"/>
      <c r="DQ160" s="702"/>
      <c r="DR160" s="702"/>
      <c r="DS160" s="702"/>
      <c r="DT160" s="702"/>
      <c r="DU160" s="702"/>
      <c r="DV160" s="702"/>
      <c r="DW160" s="702"/>
      <c r="DX160" s="702"/>
      <c r="DY160" s="702"/>
      <c r="DZ160" s="702"/>
      <c r="EA160" s="706"/>
      <c r="EB160" s="702" t="s">
        <v>1022</v>
      </c>
      <c r="EC160" s="702"/>
      <c r="ED160" s="702"/>
      <c r="EE160" s="702"/>
      <c r="EF160" s="702"/>
      <c r="EG160" s="702"/>
      <c r="EH160" s="702"/>
      <c r="EI160" s="702"/>
      <c r="EJ160" s="702"/>
      <c r="EK160" s="702"/>
      <c r="EL160" s="702"/>
      <c r="EM160" s="702"/>
      <c r="EN160" s="706"/>
      <c r="EO160" s="702" t="s">
        <v>1024</v>
      </c>
      <c r="EP160" s="702"/>
      <c r="EQ160" s="702"/>
      <c r="ER160" s="702"/>
      <c r="ES160" s="702"/>
      <c r="ET160" s="702"/>
      <c r="EU160" s="702"/>
      <c r="EV160" s="702"/>
      <c r="EW160" s="702"/>
      <c r="EX160" s="702"/>
      <c r="EY160" s="702"/>
      <c r="EZ160" s="702"/>
      <c r="FA160" s="706"/>
      <c r="FB160" s="855"/>
      <c r="FC160" s="855"/>
      <c r="FD160" s="855"/>
      <c r="FE160" s="855"/>
      <c r="FF160" s="855"/>
      <c r="FG160" s="855"/>
      <c r="FH160" s="855"/>
      <c r="FI160" s="855"/>
      <c r="FJ160" s="855"/>
      <c r="FK160" s="855"/>
      <c r="FL160" s="855"/>
      <c r="FM160" s="855"/>
      <c r="FN160" s="855"/>
      <c r="FO160" s="855"/>
      <c r="FP160" s="855"/>
      <c r="FQ160" s="838"/>
      <c r="FR160" s="855"/>
      <c r="FS160" s="838"/>
      <c r="FT160" s="855"/>
      <c r="FU160" s="838"/>
      <c r="FV160" s="855"/>
      <c r="FW160" s="838"/>
      <c r="FX160" s="855"/>
      <c r="FY160" s="838"/>
      <c r="FZ160" s="855"/>
      <c r="GA160" s="838"/>
      <c r="GB160" s="855"/>
      <c r="GC160" s="838"/>
      <c r="GD160" s="855"/>
      <c r="GE160" s="838"/>
      <c r="GF160" s="855"/>
      <c r="GG160" s="838"/>
      <c r="GH160" s="855"/>
      <c r="GI160" s="838"/>
      <c r="GJ160" s="855"/>
      <c r="GK160" s="855"/>
      <c r="GL160" s="855"/>
    </row>
    <row r="161" spans="2:196" x14ac:dyDescent="0.35">
      <c r="B161" s="701">
        <f>IF('2 M-A +'!C19='2 M-A +'!$B$44,IF('2 M-A +'!C$32=28,IF('2 M-A +'!C18=20,1,0)))*'2 M-A +'!C$33</f>
        <v>0</v>
      </c>
      <c r="C161" s="701">
        <f>IF('2 M-A +'!D19='2 M-A +'!$B$44,IF('2 M-A +'!D$32=28,IF('2 M-A +'!D18=20,1,0)))*'2 M-A +'!D$33</f>
        <v>0</v>
      </c>
      <c r="D161" s="701">
        <f>IF('2 M-A +'!E19='2 M-A +'!$B$44,IF('2 M-A +'!E$32=28,IF('2 M-A +'!E18=20,1,0)))*'2 M-A +'!E$33</f>
        <v>0</v>
      </c>
      <c r="E161" s="701">
        <f>IF('2 M-A +'!F19='2 M-A +'!$B$44,IF('2 M-A +'!F$32=28,IF('2 M-A +'!F18=20,1,0)))*'2 M-A +'!F$33</f>
        <v>0</v>
      </c>
      <c r="F161" s="701">
        <f>IF('2 M-A +'!G19='2 M-A +'!$B$44,IF('2 M-A +'!G$32=28,IF('2 M-A +'!G18=20,1,0)))*'2 M-A +'!G$33</f>
        <v>0</v>
      </c>
      <c r="G161" s="701">
        <f>IF('2 M-A +'!H19='2 M-A +'!$B$44,IF('2 M-A +'!H$32=28,IF('2 M-A +'!H18=20,1,0)))*'2 M-A +'!H$33</f>
        <v>0</v>
      </c>
      <c r="H161" s="701">
        <f>IF('2 M-A +'!I19='2 M-A +'!$B$44,IF('2 M-A +'!I$32=28,IF('2 M-A +'!I18=20,1,0)))*'2 M-A +'!I$33</f>
        <v>0</v>
      </c>
      <c r="I161" s="701">
        <f>IF('2 M-A +'!J19='2 M-A +'!$B$44,IF('2 M-A +'!J$32=28,IF('2 M-A +'!J18=20,1,0)))*'2 M-A +'!J$33</f>
        <v>0</v>
      </c>
      <c r="J161" s="701">
        <f>IF('2 M-A +'!K19='2 M-A +'!$B$44,IF('2 M-A +'!K$32=28,IF('2 M-A +'!K18=20,1,0)))*'2 M-A +'!K$33</f>
        <v>0</v>
      </c>
      <c r="K161" s="701">
        <f>IF('2 M-A +'!L19='2 M-A +'!$B$44,IF('2 M-A +'!L$32=28,IF('2 M-A +'!L18=20,1,0)))*'2 M-A +'!L$33</f>
        <v>0</v>
      </c>
      <c r="L161" s="701">
        <f>IF('2 M-A +'!M19='2 M-A +'!$B$44,IF('2 M-A +'!M$32=28,IF('2 M-A +'!M18=20,1,0)))*'2 M-A +'!M$33</f>
        <v>0</v>
      </c>
      <c r="M161" s="701">
        <f>IF('2 M-A +'!N19='2 M-A +'!$B$44,IF('2 M-A +'!N$32=28,IF('2 M-A +'!N18=20,1,0)))*'2 M-A +'!N$33</f>
        <v>0</v>
      </c>
      <c r="N161" s="706">
        <f>SUM(B161:M169)</f>
        <v>0</v>
      </c>
      <c r="O161" s="701">
        <f>IF('2 M-A +'!C19='2 M-A +'!$B$44,IF('2 M-A +'!C$32=30,IF('2 M-A +'!C18=20,1,0)))*'2 M-A +'!C$33</f>
        <v>0</v>
      </c>
      <c r="P161" s="701">
        <f>IF('2 M-A +'!D19='2 M-A +'!$B$44,IF('2 M-A +'!D$32=30,IF('2 M-A +'!D18=20,1,0)))*'2 M-A +'!D$33</f>
        <v>0</v>
      </c>
      <c r="Q161" s="701">
        <f>IF('2 M-A +'!E19='2 M-A +'!$B$44,IF('2 M-A +'!E$32=30,IF('2 M-A +'!E18=20,1,0)))*'2 M-A +'!E$33</f>
        <v>0</v>
      </c>
      <c r="R161" s="701">
        <f>IF('2 M-A +'!F19='2 M-A +'!$B$44,IF('2 M-A +'!F$32=30,IF('2 M-A +'!F18=20,1,0)))*'2 M-A +'!F$33</f>
        <v>0</v>
      </c>
      <c r="S161" s="701">
        <f>IF('2 M-A +'!G19='2 M-A +'!$B$44,IF('2 M-A +'!G$32=30,IF('2 M-A +'!G18=20,1,0)))*'2 M-A +'!G$33</f>
        <v>0</v>
      </c>
      <c r="T161" s="701">
        <f>IF('2 M-A +'!H19='2 M-A +'!$B$44,IF('2 M-A +'!H$32=30,IF('2 M-A +'!H18=20,1,0)))*'2 M-A +'!H$33</f>
        <v>0</v>
      </c>
      <c r="U161" s="701">
        <f>IF('2 M-A +'!I19='2 M-A +'!$B$44,IF('2 M-A +'!I$32=30,IF('2 M-A +'!I18=20,1,0)))*'2 M-A +'!I$33</f>
        <v>0</v>
      </c>
      <c r="V161" s="701">
        <f>IF('2 M-A +'!J19='2 M-A +'!$B$44,IF('2 M-A +'!J$32=30,IF('2 M-A +'!J18=20,1,0)))*'2 M-A +'!J$33</f>
        <v>0</v>
      </c>
      <c r="W161" s="701">
        <f>IF('2 M-A +'!K19='2 M-A +'!$B$44,IF('2 M-A +'!K$32=30,IF('2 M-A +'!K18=20,1,0)))*'2 M-A +'!K$33</f>
        <v>0</v>
      </c>
      <c r="X161" s="701">
        <f>IF('2 M-A +'!L19='2 M-A +'!$B$44,IF('2 M-A +'!L$32=30,IF('2 M-A +'!L18=20,1,0)))*'2 M-A +'!L$33</f>
        <v>0</v>
      </c>
      <c r="Y161" s="701">
        <f>IF('2 M-A +'!M19='2 M-A +'!$B$44,IF('2 M-A +'!M$32=30,IF('2 M-A +'!M18=20,1,0)))*'2 M-A +'!M$33</f>
        <v>0</v>
      </c>
      <c r="Z161" s="701">
        <f>IF('2 M-A +'!N19='2 M-A +'!$B$44,IF('2 M-A +'!N$32=30,IF('2 M-A +'!N18=20,1,0)))*'2 M-A +'!N$33</f>
        <v>0</v>
      </c>
      <c r="AA161" s="706">
        <f>SUM(O161:Z169)</f>
        <v>0</v>
      </c>
      <c r="AB161" s="701">
        <f>IF('2 M-A +'!C19='2 M-A +'!$B$44,IF('2 M-A +'!C$32=56,IF('2 M-A +'!C18=20,1,0)))*'2 M-A +'!C$33</f>
        <v>0</v>
      </c>
      <c r="AC161" s="701">
        <f>IF('2 M-A +'!D19='2 M-A +'!$B$44,IF('2 M-A +'!D$32=56,IF('2 M-A +'!D18=20,1,0)))*'2 M-A +'!D$33</f>
        <v>0</v>
      </c>
      <c r="AD161" s="701">
        <f>IF('2 M-A +'!E19='2 M-A +'!$B$44,IF('2 M-A +'!E$32=56,IF('2 M-A +'!E18=20,1,0)))*'2 M-A +'!E$33</f>
        <v>0</v>
      </c>
      <c r="AE161" s="701">
        <f>IF('2 M-A +'!F19='2 M-A +'!$B$44,IF('2 M-A +'!F$32=56,IF('2 M-A +'!F18=20,1,0)))*'2 M-A +'!F$33</f>
        <v>0</v>
      </c>
      <c r="AF161" s="701">
        <f>IF('2 M-A +'!G19='2 M-A +'!$B$44,IF('2 M-A +'!G$32=56,IF('2 M-A +'!G18=20,1,0)))*'2 M-A +'!G$33</f>
        <v>0</v>
      </c>
      <c r="AG161" s="701">
        <f>IF('2 M-A +'!H19='2 M-A +'!$B$44,IF('2 M-A +'!H$32=56,IF('2 M-A +'!H18=20,1,0)))*'2 M-A +'!H$33</f>
        <v>0</v>
      </c>
      <c r="AH161" s="701">
        <f>IF('2 M-A +'!I19='2 M-A +'!$B$44,IF('2 M-A +'!I$32=56,IF('2 M-A +'!I18=20,1,0)))*'2 M-A +'!I$33</f>
        <v>0</v>
      </c>
      <c r="AI161" s="701">
        <f>IF('2 M-A +'!J19='2 M-A +'!$B$44,IF('2 M-A +'!J$32=56,IF('2 M-A +'!J18=20,1,0)))*'2 M-A +'!J$33</f>
        <v>0</v>
      </c>
      <c r="AJ161" s="701">
        <f>IF('2 M-A +'!K19='2 M-A +'!$B$44,IF('2 M-A +'!K$32=56,IF('2 M-A +'!K18=20,1,0)))*'2 M-A +'!K$33</f>
        <v>0</v>
      </c>
      <c r="AK161" s="701">
        <f>IF('2 M-A +'!L19='2 M-A +'!$B$44,IF('2 M-A +'!L$32=56,IF('2 M-A +'!L18=20,1,0)))*'2 M-A +'!L$33</f>
        <v>0</v>
      </c>
      <c r="AL161" s="701">
        <f>IF('2 M-A +'!M19='2 M-A +'!$B$44,IF('2 M-A +'!M$32=56,IF('2 M-A +'!M18=20,1,0)))*'2 M-A +'!M$33</f>
        <v>0</v>
      </c>
      <c r="AM161" s="701">
        <f>IF('2 M-A +'!N19='2 M-A +'!$B$44,IF('2 M-A +'!N$32=56,IF('2 M-A +'!N18=20,1,0)))*'2 M-A +'!N$33</f>
        <v>0</v>
      </c>
      <c r="AN161" s="706">
        <f>SUM(AB161:AM169)</f>
        <v>0</v>
      </c>
      <c r="AO161" s="701">
        <f>IF('2 M-A +'!C19='2 M-A +'!$B$44,IF('2 M-A +'!C$32=60,IF('2 M-A +'!C18=20,1,0)))*'2 M-A +'!C$33</f>
        <v>0</v>
      </c>
      <c r="AP161" s="701">
        <f>IF('2 M-A +'!D19='2 M-A +'!$B$44,IF('2 M-A +'!D$32=60,IF('2 M-A +'!D18=20,1,0)))*'2 M-A +'!D$33</f>
        <v>0</v>
      </c>
      <c r="AQ161" s="701">
        <f>IF('2 M-A +'!E19='2 M-A +'!$B$44,IF('2 M-A +'!E$32=60,IF('2 M-A +'!E18=20,1,0)))*'2 M-A +'!E$33</f>
        <v>0</v>
      </c>
      <c r="AR161" s="701">
        <f>IF('2 M-A +'!F19='2 M-A +'!$B$44,IF('2 M-A +'!F$32=60,IF('2 M-A +'!F18=20,1,0)))*'2 M-A +'!F$33</f>
        <v>0</v>
      </c>
      <c r="AS161" s="701">
        <f>IF('2 M-A +'!G19='2 M-A +'!$B$44,IF('2 M-A +'!G$32=60,IF('2 M-A +'!G18=20,1,0)))*'2 M-A +'!G$33</f>
        <v>0</v>
      </c>
      <c r="AT161" s="701">
        <f>IF('2 M-A +'!H19='2 M-A +'!$B$44,IF('2 M-A +'!H$32=60,IF('2 M-A +'!H18=20,1,0)))*'2 M-A +'!H$33</f>
        <v>0</v>
      </c>
      <c r="AU161" s="701">
        <f>IF('2 M-A +'!I19='2 M-A +'!$B$44,IF('2 M-A +'!I$32=60,IF('2 M-A +'!I18=20,1,0)))*'2 M-A +'!I$33</f>
        <v>0</v>
      </c>
      <c r="AV161" s="701">
        <f>IF('2 M-A +'!J19='2 M-A +'!$B$44,IF('2 M-A +'!J$32=60,IF('2 M-A +'!J18=20,1,0)))*'2 M-A +'!J$33</f>
        <v>0</v>
      </c>
      <c r="AW161" s="701">
        <f>IF('2 M-A +'!K19='2 M-A +'!$B$44,IF('2 M-A +'!K$32=60,IF('2 M-A +'!K18=20,1,0)))*'2 M-A +'!K$33</f>
        <v>0</v>
      </c>
      <c r="AX161" s="701">
        <f>IF('2 M-A +'!L19='2 M-A +'!$B$44,IF('2 M-A +'!L$32=60,IF('2 M-A +'!L18=20,1,0)))*'2 M-A +'!L$33</f>
        <v>0</v>
      </c>
      <c r="AY161" s="701">
        <f>IF('2 M-A +'!M19='2 M-A +'!$B$44,IF('2 M-A +'!M$32=60,IF('2 M-A +'!M18=20,1,0)))*'2 M-A +'!M$33</f>
        <v>0</v>
      </c>
      <c r="AZ161" s="701">
        <f>IF('2 M-A +'!N19='2 M-A +'!$B$44,IF('2 M-A +'!N$32=60,IF('2 M-A +'!N18=20,1,0)))*'2 M-A +'!N$33</f>
        <v>0</v>
      </c>
      <c r="BA161" s="706">
        <f>SUM(AO161:AZ169)</f>
        <v>0</v>
      </c>
      <c r="BB161" s="701">
        <f>IF('2 M-A +'!C19='2 M-A +'!$B$44,IF('2 M-A +'!C$32=70,IF('2 M-A +'!C18=20,1,0)))*'2 M-A +'!C$33</f>
        <v>0</v>
      </c>
      <c r="BC161" s="701">
        <f>IF('2 M-A +'!D19='2 M-A +'!$B$44,IF('2 M-A +'!D$32=70,IF('2 M-A +'!D18=20,1,0)))*'2 M-A +'!D$33</f>
        <v>0</v>
      </c>
      <c r="BD161" s="701">
        <f>IF('2 M-A +'!E19='2 M-A +'!$B$44,IF('2 M-A +'!E$32=70,IF('2 M-A +'!E18=20,1,0)))*'2 M-A +'!E$33</f>
        <v>0</v>
      </c>
      <c r="BE161" s="701">
        <f>IF('2 M-A +'!F19='2 M-A +'!$B$44,IF('2 M-A +'!F$32=70,IF('2 M-A +'!F18=20,1,0)))*'2 M-A +'!F$33</f>
        <v>0</v>
      </c>
      <c r="BF161" s="701">
        <f>IF('2 M-A +'!G19='2 M-A +'!$B$44,IF('2 M-A +'!G$32=70,IF('2 M-A +'!G18=20,1,0)))*'2 M-A +'!G$33</f>
        <v>0</v>
      </c>
      <c r="BG161" s="701">
        <f>IF('2 M-A +'!H19='2 M-A +'!$B$44,IF('2 M-A +'!H$32=70,IF('2 M-A +'!H18=20,1,0)))*'2 M-A +'!H$33</f>
        <v>0</v>
      </c>
      <c r="BH161" s="701">
        <f>IF('2 M-A +'!I19='2 M-A +'!$B$44,IF('2 M-A +'!I$32=70,IF('2 M-A +'!I18=20,1,0)))*'2 M-A +'!I$33</f>
        <v>0</v>
      </c>
      <c r="BI161" s="701">
        <f>IF('2 M-A +'!J19='2 M-A +'!$B$44,IF('2 M-A +'!J$32=70,IF('2 M-A +'!J18=20,1,0)))*'2 M-A +'!J$33</f>
        <v>0</v>
      </c>
      <c r="BJ161" s="701">
        <f>IF('2 M-A +'!K19='2 M-A +'!$B$44,IF('2 M-A +'!K$32=70,IF('2 M-A +'!K18=20,1,0)))*'2 M-A +'!K$33</f>
        <v>0</v>
      </c>
      <c r="BK161" s="701">
        <f>IF('2 M-A +'!L19='2 M-A +'!$B$44,IF('2 M-A +'!L$32=70,IF('2 M-A +'!L18=20,1,0)))*'2 M-A +'!L$33</f>
        <v>0</v>
      </c>
      <c r="BL161" s="701">
        <f>IF('2 M-A +'!M19='2 M-A +'!$B$44,IF('2 M-A +'!M$32=70,IF('2 M-A +'!M18=20,1,0)))*'2 M-A +'!M$33</f>
        <v>0</v>
      </c>
      <c r="BM161" s="701">
        <f>IF('2 M-A +'!N19='2 M-A +'!$B$44,IF('2 M-A +'!N$32=70,IF('2 M-A +'!N18=20,1,0)))*'2 M-A +'!N$33</f>
        <v>0</v>
      </c>
      <c r="BN161" s="706">
        <f>SUM(BB161:BM169)</f>
        <v>0</v>
      </c>
      <c r="BO161" s="701">
        <f>IF('2 M-A +'!C19='2 M-A +'!$B$44,IF('2 M-A +'!C$32=75,IF('2 M-A +'!C18=20,1,0)))*'2 M-A +'!C$33</f>
        <v>0</v>
      </c>
      <c r="BP161" s="701">
        <f>IF('2 M-A +'!D19='2 M-A +'!$B$44,IF('2 M-A +'!D$32=75,IF('2 M-A +'!D18=20,1,0)))*'2 M-A +'!D$33</f>
        <v>0</v>
      </c>
      <c r="BQ161" s="701">
        <f>IF('2 M-A +'!E19='2 M-A +'!$B$44,IF('2 M-A +'!E$32=75,IF('2 M-A +'!E18=20,1,0)))*'2 M-A +'!E$33</f>
        <v>0</v>
      </c>
      <c r="BR161" s="701">
        <f>IF('2 M-A +'!F19='2 M-A +'!$B$44,IF('2 M-A +'!F$32=75,IF('2 M-A +'!F18=20,1,0)))*'2 M-A +'!F$33</f>
        <v>0</v>
      </c>
      <c r="BS161" s="701">
        <f>IF('2 M-A +'!G19='2 M-A +'!$B$44,IF('2 M-A +'!G$32=75,IF('2 M-A +'!G18=20,1,0)))*'2 M-A +'!G$33</f>
        <v>0</v>
      </c>
      <c r="BT161" s="701">
        <f>IF('2 M-A +'!H19='2 M-A +'!$B$44,IF('2 M-A +'!H$32=75,IF('2 M-A +'!H18=20,1,0)))*'2 M-A +'!H$33</f>
        <v>0</v>
      </c>
      <c r="BU161" s="701">
        <f>IF('2 M-A +'!I19='2 M-A +'!$B$44,IF('2 M-A +'!I$32=75,IF('2 M-A +'!I18=20,1,0)))*'2 M-A +'!I$33</f>
        <v>0</v>
      </c>
      <c r="BV161" s="701">
        <f>IF('2 M-A +'!J19='2 M-A +'!$B$44,IF('2 M-A +'!J$32=75,IF('2 M-A +'!J18=20,1,0)))*'2 M-A +'!J$33</f>
        <v>0</v>
      </c>
      <c r="BW161" s="701">
        <f>IF('2 M-A +'!K19='2 M-A +'!$B$44,IF('2 M-A +'!K$32=75,IF('2 M-A +'!K18=20,1,0)))*'2 M-A +'!K$33</f>
        <v>0</v>
      </c>
      <c r="BX161" s="701">
        <f>IF('2 M-A +'!L19='2 M-A +'!$B$44,IF('2 M-A +'!L$32=75,IF('2 M-A +'!L18=20,1,0)))*'2 M-A +'!L$33</f>
        <v>0</v>
      </c>
      <c r="BY161" s="701">
        <f>IF('2 M-A +'!M19='2 M-A +'!$B$44,IF('2 M-A +'!M$32=75,IF('2 M-A +'!M18=20,1,0)))*'2 M-A +'!M$33</f>
        <v>0</v>
      </c>
      <c r="BZ161" s="701">
        <f>IF('2 M-A +'!N19='2 M-A +'!$B$44,IF('2 M-A +'!N$32=75,IF('2 M-A +'!N18=20,1,0)))*'2 M-A +'!N$33</f>
        <v>0</v>
      </c>
      <c r="CA161" s="706">
        <f>SUM(BO161:BZ169)</f>
        <v>0</v>
      </c>
      <c r="CB161" s="701">
        <f>IF('2 M-A +'!C19='2 M-A +'!$B$44,IF('2 M-A +'!C$32=84,IF('2 M-A +'!C18=20,1,0)))*'2 M-A +'!C$33</f>
        <v>0</v>
      </c>
      <c r="CC161" s="701">
        <f>IF('2 M-A +'!D19='2 M-A +'!$B$44,IF('2 M-A +'!D$32=84,IF('2 M-A +'!D18=20,1,0)))*'2 M-A +'!D$33</f>
        <v>0</v>
      </c>
      <c r="CD161" s="701">
        <f>IF('2 M-A +'!E19='2 M-A +'!$B$44,IF('2 M-A +'!E$32=84,IF('2 M-A +'!E18=20,1,0)))*'2 M-A +'!E$33</f>
        <v>0</v>
      </c>
      <c r="CE161" s="701">
        <f>IF('2 M-A +'!F19='2 M-A +'!$B$44,IF('2 M-A +'!F$32=84,IF('2 M-A +'!F18=20,1,0)))*'2 M-A +'!F$33</f>
        <v>0</v>
      </c>
      <c r="CF161" s="701">
        <f>IF('2 M-A +'!G19='2 M-A +'!$B$44,IF('2 M-A +'!G$32=84,IF('2 M-A +'!G18=20,1,0)))*'2 M-A +'!G$33</f>
        <v>0</v>
      </c>
      <c r="CG161" s="701">
        <f>IF('2 M-A +'!H19='2 M-A +'!$B$44,IF('2 M-A +'!H$32=84,IF('2 M-A +'!H18=20,1,0)))*'2 M-A +'!H$33</f>
        <v>0</v>
      </c>
      <c r="CH161" s="701">
        <f>IF('2 M-A +'!I19='2 M-A +'!$B$44,IF('2 M-A +'!I$32=84,IF('2 M-A +'!I18=20,1,0)))*'2 M-A +'!I$33</f>
        <v>0</v>
      </c>
      <c r="CI161" s="701">
        <f>IF('2 M-A +'!J19='2 M-A +'!$B$44,IF('2 M-A +'!J$32=84,IF('2 M-A +'!J18=20,1,0)))*'2 M-A +'!J$33</f>
        <v>0</v>
      </c>
      <c r="CJ161" s="701">
        <f>IF('2 M-A +'!K19='2 M-A +'!$B$44,IF('2 M-A +'!K$32=84,IF('2 M-A +'!K18=20,1,0)))*'2 M-A +'!K$33</f>
        <v>0</v>
      </c>
      <c r="CK161" s="701">
        <f>IF('2 M-A +'!L19='2 M-A +'!$B$44,IF('2 M-A +'!L$32=84,IF('2 M-A +'!L18=20,1,0)))*'2 M-A +'!L$33</f>
        <v>0</v>
      </c>
      <c r="CL161" s="701">
        <f>IF('2 M-A +'!M19='2 M-A +'!$B$44,IF('2 M-A +'!M$32=84,IF('2 M-A +'!M18=20,1,0)))*'2 M-A +'!M$33</f>
        <v>0</v>
      </c>
      <c r="CM161" s="701">
        <f>IF('2 M-A +'!N19='2 M-A +'!$B$44,IF('2 M-A +'!N$32=84,IF('2 M-A +'!N18=20,1,0)))*'2 M-A +'!N$33</f>
        <v>0</v>
      </c>
      <c r="CN161" s="706">
        <f>SUM(CB161:CM169)</f>
        <v>0</v>
      </c>
      <c r="CO161" s="701">
        <f>IF('2 M-A +'!C19='2 M-A +'!$B$44,IF('2 M-A +'!C$43=90,IF('2 M-A +'!C18=20,1,0)))*'2 M-A +'!C$33</f>
        <v>0</v>
      </c>
      <c r="CP161" s="701">
        <f>IF('2 M-A +'!D19='2 M-A +'!$B$44,IF('2 M-A +'!D$43=90,IF('2 M-A +'!D18=20,1,0)))*'2 M-A +'!D$33</f>
        <v>0</v>
      </c>
      <c r="CQ161" s="701">
        <f>IF('2 M-A +'!E19='2 M-A +'!$B$44,IF('2 M-A +'!E$43=90,IF('2 M-A +'!E18=20,1,0)))*'2 M-A +'!E$33</f>
        <v>0</v>
      </c>
      <c r="CR161" s="701">
        <f>IF('2 M-A +'!F19='2 M-A +'!$B$44,IF('2 M-A +'!F$43=90,IF('2 M-A +'!F18=20,1,0)))*'2 M-A +'!F$33</f>
        <v>0</v>
      </c>
      <c r="CS161" s="701">
        <f>IF('2 M-A +'!G19='2 M-A +'!$B$44,IF('2 M-A +'!G$43=90,IF('2 M-A +'!G18=20,1,0)))*'2 M-A +'!G$33</f>
        <v>0</v>
      </c>
      <c r="CT161" s="701">
        <f>IF('2 M-A +'!H19='2 M-A +'!$B$44,IF('2 M-A +'!H$43=90,IF('2 M-A +'!H18=20,1,0)))*'2 M-A +'!H$33</f>
        <v>0</v>
      </c>
      <c r="CU161" s="701">
        <f>IF('2 M-A +'!I19='2 M-A +'!$B$44,IF('2 M-A +'!I$43=90,IF('2 M-A +'!I18=20,1,0)))*'2 M-A +'!I$33</f>
        <v>0</v>
      </c>
      <c r="CV161" s="701">
        <f>IF('2 M-A +'!J19='2 M-A +'!$B$44,IF('2 M-A +'!J$43=90,IF('2 M-A +'!J18=20,1,0)))*'2 M-A +'!J$33</f>
        <v>0</v>
      </c>
      <c r="CW161" s="701">
        <f>IF('2 M-A +'!K19='2 M-A +'!$B$44,IF('2 M-A +'!K$43=90,IF('2 M-A +'!K18=20,1,0)))*'2 M-A +'!K$33</f>
        <v>0</v>
      </c>
      <c r="CX161" s="701">
        <f>IF('2 M-A +'!L19='2 M-A +'!$B$44,IF('2 M-A +'!L$43=90,IF('2 M-A +'!L18=20,1,0)))*'2 M-A +'!L$33</f>
        <v>0</v>
      </c>
      <c r="CY161" s="701">
        <f>IF('2 M-A +'!M19='2 M-A +'!$B$44,IF('2 M-A +'!M$43=90,IF('2 M-A +'!M18=20,1,0)))*'2 M-A +'!M$33</f>
        <v>0</v>
      </c>
      <c r="CZ161" s="701">
        <f>IF('2 M-A +'!N19='2 M-A +'!$B$44,IF('2 M-A +'!N$43=90,IF('2 M-A +'!N18=20,1,0)))*'2 M-A +'!N$33</f>
        <v>0</v>
      </c>
      <c r="DA161" s="706">
        <f>SUM(CO161:CZ169)</f>
        <v>0</v>
      </c>
      <c r="DB161" s="701">
        <f>IF('2 M-A +'!C19='2 M-A +'!$B$44,IF('2 M-A +'!C$32=112,IF('2 M-A +'!C18=20,1,0)))*'2 M-A +'!C$33</f>
        <v>0</v>
      </c>
      <c r="DC161" s="701">
        <f>IF('2 M-A +'!D19='2 M-A +'!$B$44,IF('2 M-A +'!D$32=112,IF('2 M-A +'!D18=20,1,0)))*'2 M-A +'!D$33</f>
        <v>0</v>
      </c>
      <c r="DD161" s="701">
        <f>IF('2 M-A +'!E19='2 M-A +'!$B$44,IF('2 M-A +'!E$32=112,IF('2 M-A +'!E18=20,1,0)))*'2 M-A +'!E$33</f>
        <v>0</v>
      </c>
      <c r="DE161" s="701">
        <f>IF('2 M-A +'!F19='2 M-A +'!$B$44,IF('2 M-A +'!F$32=112,IF('2 M-A +'!F18=20,1,0)))*'2 M-A +'!F$33</f>
        <v>0</v>
      </c>
      <c r="DF161" s="701">
        <f>IF('2 M-A +'!G19='2 M-A +'!$B$44,IF('2 M-A +'!G$32=112,IF('2 M-A +'!G18=20,1,0)))*'2 M-A +'!G$33</f>
        <v>0</v>
      </c>
      <c r="DG161" s="701">
        <f>IF('2 M-A +'!H19='2 M-A +'!$B$44,IF('2 M-A +'!H$32=112,IF('2 M-A +'!H18=20,1,0)))*'2 M-A +'!H$33</f>
        <v>0</v>
      </c>
      <c r="DH161" s="701">
        <f>IF('2 M-A +'!I19='2 M-A +'!$B$44,IF('2 M-A +'!I$32=112,IF('2 M-A +'!I18=20,1,0)))*'2 M-A +'!I$33</f>
        <v>0</v>
      </c>
      <c r="DI161" s="701">
        <f>IF('2 M-A +'!J19='2 M-A +'!$B$44,IF('2 M-A +'!J$32=112,IF('2 M-A +'!J18=20,1,0)))*'2 M-A +'!J$33</f>
        <v>0</v>
      </c>
      <c r="DJ161" s="701">
        <f>IF('2 M-A +'!K19='2 M-A +'!$B$44,IF('2 M-A +'!K$32=112,IF('2 M-A +'!K18=20,1,0)))*'2 M-A +'!K$33</f>
        <v>0</v>
      </c>
      <c r="DK161" s="701">
        <f>IF('2 M-A +'!L19='2 M-A +'!$B$44,IF('2 M-A +'!L$32=112,IF('2 M-A +'!L18=20,1,0)))*'2 M-A +'!L$33</f>
        <v>0</v>
      </c>
      <c r="DL161" s="701">
        <f>IF('2 M-A +'!M19='2 M-A +'!$B$44,IF('2 M-A +'!M$32=112,IF('2 M-A +'!M18=20,1,0)))*'2 M-A +'!M$33</f>
        <v>0</v>
      </c>
      <c r="DM161" s="701">
        <f>IF('2 M-A +'!N19='2 M-A +'!$B$44,IF('2 M-A +'!N$32=112,IF('2 M-A +'!N18=20,1,0)))*'2 M-A +'!N$33</f>
        <v>0</v>
      </c>
      <c r="DN161" s="706">
        <f>SUM(DB161:DM169)</f>
        <v>0</v>
      </c>
      <c r="DO161" s="701">
        <f>IF('2 M-A +'!C19='2 M-A +'!$B$44,IF('2 M-A +'!C$32=120,IF('2 M-A +'!C18=20,1,0)))*'2 M-A +'!C$33</f>
        <v>0</v>
      </c>
      <c r="DP161" s="701">
        <f>IF('2 M-A +'!D19='2 M-A +'!$B$44,IF('2 M-A +'!D$32=120,IF('2 M-A +'!D18=20,1,0)))*'2 M-A +'!D$33</f>
        <v>0</v>
      </c>
      <c r="DQ161" s="701">
        <f>IF('2 M-A +'!E19='2 M-A +'!$B$44,IF('2 M-A +'!E$32=120,IF('2 M-A +'!E18=20,1,0)))*'2 M-A +'!E$33</f>
        <v>0</v>
      </c>
      <c r="DR161" s="701">
        <f>IF('2 M-A +'!F19='2 M-A +'!$B$44,IF('2 M-A +'!F$32=120,IF('2 M-A +'!F18=20,1,0)))*'2 M-A +'!F$33</f>
        <v>0</v>
      </c>
      <c r="DS161" s="701">
        <f>IF('2 M-A +'!G19='2 M-A +'!$B$44,IF('2 M-A +'!G$32=120,IF('2 M-A +'!G18=20,1,0)))*'2 M-A +'!G$33</f>
        <v>0</v>
      </c>
      <c r="DT161" s="701">
        <f>IF('2 M-A +'!H19='2 M-A +'!$B$44,IF('2 M-A +'!H$32=120,IF('2 M-A +'!H18=20,1,0)))*'2 M-A +'!H$33</f>
        <v>0</v>
      </c>
      <c r="DU161" s="701">
        <f>IF('2 M-A +'!I19='2 M-A +'!$B$44,IF('2 M-A +'!I$32=120,IF('2 M-A +'!I18=20,1,0)))*'2 M-A +'!I$33</f>
        <v>0</v>
      </c>
      <c r="DV161" s="701">
        <f>IF('2 M-A +'!J19='2 M-A +'!$B$44,IF('2 M-A +'!J$32=120,IF('2 M-A +'!J18=20,1,0)))*'2 M-A +'!J$33</f>
        <v>0</v>
      </c>
      <c r="DW161" s="701">
        <f>IF('2 M-A +'!K19='2 M-A +'!$B$44,IF('2 M-A +'!K$32=120,IF('2 M-A +'!K18=20,1,0)))*'2 M-A +'!K$33</f>
        <v>0</v>
      </c>
      <c r="DX161" s="701">
        <f>IF('2 M-A +'!L19='2 M-A +'!$B$44,IF('2 M-A +'!L$32=120,IF('2 M-A +'!L18=20,1,0)))*'2 M-A +'!L$33</f>
        <v>0</v>
      </c>
      <c r="DY161" s="701">
        <f>IF('2 M-A +'!M19='2 M-A +'!$B$44,IF('2 M-A +'!M$32=120,IF('2 M-A +'!M18=20,1,0)))*'2 M-A +'!M$33</f>
        <v>0</v>
      </c>
      <c r="DZ161" s="701">
        <f>IF('2 M-A +'!N19='2 M-A +'!$B$44,IF('2 M-A +'!N$32=120,IF('2 M-A +'!N18=20,1,0)))*'2 M-A +'!N$33</f>
        <v>0</v>
      </c>
      <c r="EA161" s="706">
        <f>SUM(DO161:DZ169)</f>
        <v>0</v>
      </c>
      <c r="EB161" s="701">
        <f>IF('2 M-A +'!C19='2 M-A +'!$B$44,IF('2 M-A +'!C$32=140,IF('2 M-A +'!C18=20,1,0)))*'2 M-A +'!C$33</f>
        <v>0</v>
      </c>
      <c r="EC161" s="701">
        <f>IF('2 M-A +'!D19='2 M-A +'!$B$44,IF('2 M-A +'!D$32=140,IF('2 M-A +'!D18=20,1,0)))*'2 M-A +'!D$33</f>
        <v>0</v>
      </c>
      <c r="ED161" s="701">
        <f>IF('2 M-A +'!E19='2 M-A +'!$B$44,IF('2 M-A +'!E$32=140,IF('2 M-A +'!E18=20,1,0)))*'2 M-A +'!E$33</f>
        <v>0</v>
      </c>
      <c r="EE161" s="701">
        <f>IF('2 M-A +'!F19='2 M-A +'!$B$44,IF('2 M-A +'!F$32=140,IF('2 M-A +'!F18=20,1,0)))*'2 M-A +'!F$33</f>
        <v>0</v>
      </c>
      <c r="EF161" s="701">
        <f>IF('2 M-A +'!G19='2 M-A +'!$B$44,IF('2 M-A +'!G$32=140,IF('2 M-A +'!G18=20,1,0)))*'2 M-A +'!G$33</f>
        <v>0</v>
      </c>
      <c r="EG161" s="701">
        <f>IF('2 M-A +'!H19='2 M-A +'!$B$44,IF('2 M-A +'!H$32=140,IF('2 M-A +'!H18=20,1,0)))*'2 M-A +'!H$33</f>
        <v>0</v>
      </c>
      <c r="EH161" s="701">
        <f>IF('2 M-A +'!I19='2 M-A +'!$B$44,IF('2 M-A +'!I$32=140,IF('2 M-A +'!I18=20,1,0)))*'2 M-A +'!I$33</f>
        <v>0</v>
      </c>
      <c r="EI161" s="701">
        <f>IF('2 M-A +'!J19='2 M-A +'!$B$44,IF('2 M-A +'!J$32=140,IF('2 M-A +'!J18=20,1,0)))*'2 M-A +'!J$33</f>
        <v>0</v>
      </c>
      <c r="EJ161" s="701">
        <f>IF('2 M-A +'!K19='2 M-A +'!$B$44,IF('2 M-A +'!K$32=140,IF('2 M-A +'!K18=20,1,0)))*'2 M-A +'!K$33</f>
        <v>0</v>
      </c>
      <c r="EK161" s="701">
        <f>IF('2 M-A +'!L19='2 M-A +'!$B$44,IF('2 M-A +'!L$32=140,IF('2 M-A +'!L18=20,1,0)))*'2 M-A +'!L$33</f>
        <v>0</v>
      </c>
      <c r="EL161" s="701">
        <f>IF('2 M-A +'!M19='2 M-A +'!$B$44,IF('2 M-A +'!M$32=140,IF('2 M-A +'!M18=20,1,0)))*'2 M-A +'!M$33</f>
        <v>0</v>
      </c>
      <c r="EM161" s="701">
        <f>IF('2 M-A +'!N19='2 M-A +'!$B$44,IF('2 M-A +'!N$32=140,IF('2 M-A +'!N18=20,1,0)))*'2 M-A +'!N$33</f>
        <v>0</v>
      </c>
      <c r="EN161" s="706">
        <f>SUM(EB161:EM169)</f>
        <v>0</v>
      </c>
      <c r="EO161" s="701">
        <f>IF('2 M-A +'!C19='2 M-A +'!$B$44,IF('2 M-A +'!C$32=150,IF('2 M-A +'!C18=40,1,0)))*'2 M-A +'!C$33</f>
        <v>0</v>
      </c>
      <c r="EP161" s="701">
        <f>IF('2 M-A +'!D19='2 M-A +'!$B$44,IF('2 M-A +'!D$32=150,IF('2 M-A +'!D18=40,1,0)))*'2 M-A +'!D$33</f>
        <v>0</v>
      </c>
      <c r="EQ161" s="701">
        <f>IF('2 M-A +'!E19='2 M-A +'!$B$44,IF('2 M-A +'!E$32=150,IF('2 M-A +'!E18=40,1,0)))*'2 M-A +'!E$33</f>
        <v>0</v>
      </c>
      <c r="ER161" s="701">
        <f>IF('2 M-A +'!F19='2 M-A +'!$B$44,IF('2 M-A +'!F$32=150,IF('2 M-A +'!F18=40,1,0)))*'2 M-A +'!F$33</f>
        <v>0</v>
      </c>
      <c r="ES161" s="701">
        <f>IF('2 M-A +'!G19='2 M-A +'!$B$44,IF('2 M-A +'!G$32=150,IF('2 M-A +'!G18=40,1,0)))*'2 M-A +'!G$33</f>
        <v>0</v>
      </c>
      <c r="ET161" s="701">
        <f>IF('2 M-A +'!H19='2 M-A +'!$B$44,IF('2 M-A +'!H$32=150,IF('2 M-A +'!H18=40,1,0)))*'2 M-A +'!H$33</f>
        <v>0</v>
      </c>
      <c r="EU161" s="701">
        <f>IF('2 M-A +'!I19='2 M-A +'!$B$44,IF('2 M-A +'!I$32=150,IF('2 M-A +'!I18=40,1,0)))*'2 M-A +'!I$33</f>
        <v>0</v>
      </c>
      <c r="EV161" s="701">
        <f>IF('2 M-A +'!J19='2 M-A +'!$B$44,IF('2 M-A +'!J$32=150,IF('2 M-A +'!J18=40,1,0)))*'2 M-A +'!J$33</f>
        <v>0</v>
      </c>
      <c r="EW161" s="701">
        <f>IF('2 M-A +'!K19='2 M-A +'!$B$44,IF('2 M-A +'!K$32=150,IF('2 M-A +'!K18=40,1,0)))*'2 M-A +'!K$33</f>
        <v>0</v>
      </c>
      <c r="EX161" s="701">
        <f>IF('2 M-A +'!L19='2 M-A +'!$B$44,IF('2 M-A +'!L$32=150,IF('2 M-A +'!L18=40,1,0)))*'2 M-A +'!L$33</f>
        <v>0</v>
      </c>
      <c r="EY161" s="701">
        <f>IF('2 M-A +'!M19='2 M-A +'!$B$44,IF('2 M-A +'!M$32=150,IF('2 M-A +'!M18=40,1,0)))*'2 M-A +'!M$33</f>
        <v>0</v>
      </c>
      <c r="EZ161" s="701">
        <f>IF('2 M-A +'!N19='2 M-A +'!$B$44,IF('2 M-A +'!N$32=150,IF('2 M-A +'!N18=40,1,0)))*'2 M-A +'!N$33</f>
        <v>0</v>
      </c>
      <c r="FA161" s="706">
        <f>SUM(EO161:EZ169)</f>
        <v>0</v>
      </c>
      <c r="FB161" s="855"/>
      <c r="FC161" s="838"/>
      <c r="FD161" s="855"/>
      <c r="FE161" s="838"/>
      <c r="FF161" s="855"/>
      <c r="FG161" s="838"/>
      <c r="FH161" s="855"/>
      <c r="FI161" s="838"/>
      <c r="FJ161" s="855"/>
      <c r="FK161" s="838"/>
      <c r="FL161" s="855"/>
      <c r="FM161" s="838"/>
      <c r="FN161" s="855"/>
      <c r="FO161" s="838"/>
      <c r="FP161" s="855"/>
      <c r="FQ161" s="838"/>
      <c r="FR161" s="855"/>
      <c r="FS161" s="838"/>
      <c r="FT161" s="855"/>
      <c r="FU161" s="838"/>
      <c r="FV161" s="855"/>
      <c r="FW161" s="838"/>
      <c r="FX161" s="855"/>
      <c r="FY161" s="838"/>
      <c r="FZ161" s="855"/>
      <c r="GA161" s="838"/>
      <c r="GB161" s="855"/>
      <c r="GC161" s="838"/>
      <c r="GD161" s="855"/>
      <c r="GE161" s="838"/>
      <c r="GF161" s="855"/>
      <c r="GG161" s="838"/>
      <c r="GH161" s="855"/>
      <c r="GI161" s="838"/>
      <c r="GJ161" s="855"/>
      <c r="GK161" s="855"/>
      <c r="GL161" s="838"/>
    </row>
    <row r="162" spans="2:196" x14ac:dyDescent="0.35">
      <c r="B162" s="701"/>
      <c r="C162" s="701"/>
      <c r="D162" s="701"/>
      <c r="E162" s="701"/>
      <c r="F162" s="701"/>
      <c r="G162" s="701"/>
      <c r="H162" s="701"/>
      <c r="I162" s="701"/>
      <c r="J162" s="701"/>
      <c r="K162" s="701"/>
      <c r="L162" s="701"/>
      <c r="M162" s="701"/>
      <c r="N162" s="706"/>
      <c r="O162" s="702"/>
      <c r="P162" s="702"/>
      <c r="Q162" s="702"/>
      <c r="R162" s="702"/>
      <c r="S162" s="702"/>
      <c r="T162" s="702"/>
      <c r="U162" s="702"/>
      <c r="V162" s="702"/>
      <c r="W162" s="702"/>
      <c r="X162" s="702"/>
      <c r="Y162" s="702"/>
      <c r="Z162" s="702"/>
      <c r="AA162" s="706"/>
      <c r="AB162" s="702"/>
      <c r="AC162" s="702"/>
      <c r="AD162" s="702"/>
      <c r="AE162" s="702"/>
      <c r="AF162" s="702"/>
      <c r="AG162" s="702"/>
      <c r="AH162" s="702"/>
      <c r="AI162" s="702"/>
      <c r="AJ162" s="702"/>
      <c r="AK162" s="702"/>
      <c r="AL162" s="702"/>
      <c r="AM162" s="702"/>
      <c r="AN162" s="706"/>
      <c r="AO162" s="702"/>
      <c r="AP162" s="702"/>
      <c r="AQ162" s="702"/>
      <c r="AR162" s="702"/>
      <c r="AS162" s="702"/>
      <c r="AT162" s="702"/>
      <c r="AU162" s="702"/>
      <c r="AV162" s="702"/>
      <c r="AW162" s="702"/>
      <c r="AX162" s="702"/>
      <c r="AY162" s="702"/>
      <c r="AZ162" s="702"/>
      <c r="BA162" s="706"/>
      <c r="BB162" s="702"/>
      <c r="BC162" s="702"/>
      <c r="BD162" s="702"/>
      <c r="BE162" s="702"/>
      <c r="BF162" s="702"/>
      <c r="BG162" s="702"/>
      <c r="BH162" s="702"/>
      <c r="BI162" s="702"/>
      <c r="BJ162" s="702"/>
      <c r="BK162" s="702"/>
      <c r="BL162" s="702"/>
      <c r="BM162" s="702"/>
      <c r="BN162" s="706"/>
      <c r="BO162" s="702"/>
      <c r="BP162" s="702"/>
      <c r="BQ162" s="702"/>
      <c r="BR162" s="702"/>
      <c r="BS162" s="702"/>
      <c r="BT162" s="702"/>
      <c r="BU162" s="702"/>
      <c r="BV162" s="702"/>
      <c r="BW162" s="702"/>
      <c r="BX162" s="702"/>
      <c r="BY162" s="702"/>
      <c r="BZ162" s="702"/>
      <c r="CA162" s="706"/>
      <c r="CB162" s="702"/>
      <c r="CC162" s="702"/>
      <c r="CD162" s="702"/>
      <c r="CE162" s="702"/>
      <c r="CF162" s="702"/>
      <c r="CG162" s="702"/>
      <c r="CH162" s="702"/>
      <c r="CI162" s="702"/>
      <c r="CJ162" s="702"/>
      <c r="CK162" s="702"/>
      <c r="CL162" s="702"/>
      <c r="CM162" s="702"/>
      <c r="CN162" s="706"/>
      <c r="CO162" s="702"/>
      <c r="CP162" s="702"/>
      <c r="CQ162" s="702"/>
      <c r="CR162" s="702"/>
      <c r="CS162" s="702"/>
      <c r="CT162" s="702"/>
      <c r="CU162" s="702"/>
      <c r="CV162" s="702"/>
      <c r="CW162" s="702"/>
      <c r="CX162" s="702"/>
      <c r="CY162" s="702"/>
      <c r="CZ162" s="702"/>
      <c r="DA162" s="706"/>
      <c r="DB162" s="702"/>
      <c r="DC162" s="702"/>
      <c r="DD162" s="702"/>
      <c r="DE162" s="702"/>
      <c r="DF162" s="702"/>
      <c r="DG162" s="702"/>
      <c r="DH162" s="702"/>
      <c r="DI162" s="702"/>
      <c r="DJ162" s="702"/>
      <c r="DK162" s="702"/>
      <c r="DL162" s="702"/>
      <c r="DM162" s="702"/>
      <c r="DN162" s="706"/>
      <c r="DO162" s="702"/>
      <c r="DP162" s="702"/>
      <c r="DQ162" s="702"/>
      <c r="DR162" s="702"/>
      <c r="DS162" s="702"/>
      <c r="DT162" s="702"/>
      <c r="DU162" s="702"/>
      <c r="DV162" s="702"/>
      <c r="DW162" s="702"/>
      <c r="DX162" s="702"/>
      <c r="DY162" s="702"/>
      <c r="DZ162" s="702"/>
      <c r="EA162" s="706"/>
      <c r="EB162" s="702"/>
      <c r="EC162" s="702"/>
      <c r="ED162" s="702"/>
      <c r="EE162" s="702"/>
      <c r="EF162" s="702"/>
      <c r="EG162" s="702"/>
      <c r="EH162" s="702"/>
      <c r="EI162" s="702"/>
      <c r="EJ162" s="702"/>
      <c r="EK162" s="702"/>
      <c r="EL162" s="702"/>
      <c r="EM162" s="702"/>
      <c r="EN162" s="706"/>
      <c r="EO162" s="702"/>
      <c r="EP162" s="702"/>
      <c r="EQ162" s="702"/>
      <c r="ER162" s="702"/>
      <c r="ES162" s="702"/>
      <c r="ET162" s="702"/>
      <c r="EU162" s="702"/>
      <c r="EV162" s="702"/>
      <c r="EW162" s="702"/>
      <c r="EX162" s="702"/>
      <c r="EY162" s="702"/>
      <c r="EZ162" s="702"/>
      <c r="FA162" s="706"/>
      <c r="FB162" s="855"/>
      <c r="FC162" s="855"/>
      <c r="FD162" s="855"/>
      <c r="FE162" s="855"/>
      <c r="FF162" s="855"/>
      <c r="FG162" s="855"/>
      <c r="FH162" s="855"/>
      <c r="FI162" s="855"/>
      <c r="FJ162" s="855"/>
      <c r="FK162" s="855"/>
      <c r="FL162" s="855"/>
      <c r="FM162" s="855"/>
      <c r="FN162" s="855"/>
      <c r="FO162" s="838"/>
      <c r="FP162" s="855"/>
      <c r="FQ162" s="838"/>
      <c r="FR162" s="855"/>
      <c r="FS162" s="838"/>
      <c r="FT162" s="855"/>
      <c r="FU162" s="838"/>
      <c r="FV162" s="855"/>
      <c r="FW162" s="838"/>
      <c r="FX162" s="855"/>
      <c r="FY162" s="838"/>
      <c r="FZ162" s="855"/>
      <c r="GA162" s="838"/>
      <c r="GB162" s="855"/>
      <c r="GC162" s="838"/>
      <c r="GD162" s="855"/>
      <c r="GE162" s="838"/>
      <c r="GF162" s="855"/>
      <c r="GG162" s="838"/>
      <c r="GH162" s="855"/>
      <c r="GI162" s="838"/>
      <c r="GJ162" s="855"/>
      <c r="GK162" s="855"/>
      <c r="GL162" s="838"/>
      <c r="GM162" s="838"/>
      <c r="GN162" s="838"/>
    </row>
    <row r="163" spans="2:196" x14ac:dyDescent="0.35">
      <c r="B163" s="701">
        <f>IF('2 M-A +'!C21='2 M-A +'!$B$44,IF('2 M-A +'!C$32=28,IF('2 M-A +'!C20=20,1,0)))*'2 M-A +'!C$33</f>
        <v>0</v>
      </c>
      <c r="C163" s="701">
        <f>IF('2 M-A +'!D21='2 M-A +'!$B$44,IF('2 M-A +'!D$32=28,IF('2 M-A +'!D20=20,1,0)))*'2 M-A +'!D$33</f>
        <v>0</v>
      </c>
      <c r="D163" s="701">
        <f>IF('2 M-A +'!E21='2 M-A +'!$B$44,IF('2 M-A +'!E$32=28,IF('2 M-A +'!E20=20,1,0)))*'2 M-A +'!E$33</f>
        <v>0</v>
      </c>
      <c r="E163" s="701">
        <f>IF('2 M-A +'!F21='2 M-A +'!$B$44,IF('2 M-A +'!F$32=28,IF('2 M-A +'!F20=20,1,0)))*'2 M-A +'!F$33</f>
        <v>0</v>
      </c>
      <c r="F163" s="701">
        <f>IF('2 M-A +'!G21='2 M-A +'!$B$44,IF('2 M-A +'!G$32=28,IF('2 M-A +'!G20=20,1,0)))*'2 M-A +'!G$33</f>
        <v>0</v>
      </c>
      <c r="G163" s="701">
        <f>IF('2 M-A +'!H21='2 M-A +'!$B$44,IF('2 M-A +'!H$32=28,IF('2 M-A +'!H20=20,1,0)))*'2 M-A +'!H$33</f>
        <v>0</v>
      </c>
      <c r="H163" s="701">
        <f>IF('2 M-A +'!I21='2 M-A +'!$B$44,IF('2 M-A +'!I$32=28,IF('2 M-A +'!I20=20,1,0)))*'2 M-A +'!I$33</f>
        <v>0</v>
      </c>
      <c r="I163" s="701">
        <f>IF('2 M-A +'!J21='2 M-A +'!$B$44,IF('2 M-A +'!J$32=28,IF('2 M-A +'!J20=20,1,0)))*'2 M-A +'!J$33</f>
        <v>0</v>
      </c>
      <c r="J163" s="701">
        <f>IF('2 M-A +'!K21='2 M-A +'!$B$44,IF('2 M-A +'!K$32=28,IF('2 M-A +'!K20=20,1,0)))*'2 M-A +'!K$33</f>
        <v>0</v>
      </c>
      <c r="K163" s="701">
        <f>IF('2 M-A +'!L21='2 M-A +'!$B$44,IF('2 M-A +'!L$32=28,IF('2 M-A +'!L20=20,1,0)))*'2 M-A +'!L$33</f>
        <v>0</v>
      </c>
      <c r="L163" s="701">
        <f>IF('2 M-A +'!M21='2 M-A +'!$B$44,IF('2 M-A +'!M$32=28,IF('2 M-A +'!M20=20,1,0)))*'2 M-A +'!M$33</f>
        <v>0</v>
      </c>
      <c r="M163" s="701">
        <f>IF('2 M-A +'!N21='2 M-A +'!$B$44,IF('2 M-A +'!N$32=28,IF('2 M-A +'!N20=20,1,0)))*'2 M-A +'!N$33</f>
        <v>0</v>
      </c>
      <c r="N163" s="706"/>
      <c r="O163" s="701">
        <f>IF('2 M-A +'!C21='2 M-A +'!$B$44,IF('2 M-A +'!C$32=30,IF('2 M-A +'!C20=20,1,0)))*'2 M-A +'!C$33</f>
        <v>0</v>
      </c>
      <c r="P163" s="701">
        <f>IF('2 M-A +'!D21='2 M-A +'!$B$44,IF('2 M-A +'!D$32=30,IF('2 M-A +'!D20=20,1,0)))*'2 M-A +'!D$33</f>
        <v>0</v>
      </c>
      <c r="Q163" s="701">
        <f>IF('2 M-A +'!E21='2 M-A +'!$B$44,IF('2 M-A +'!E$32=30,IF('2 M-A +'!E20=20,1,0)))*'2 M-A +'!E$33</f>
        <v>0</v>
      </c>
      <c r="R163" s="701">
        <f>IF('2 M-A +'!F21='2 M-A +'!$B$44,IF('2 M-A +'!F$32=30,IF('2 M-A +'!F20=20,1,0)))*'2 M-A +'!F$33</f>
        <v>0</v>
      </c>
      <c r="S163" s="701">
        <f>IF('2 M-A +'!G21='2 M-A +'!$B$44,IF('2 M-A +'!G$32=30,IF('2 M-A +'!G20=20,1,0)))*'2 M-A +'!G$33</f>
        <v>0</v>
      </c>
      <c r="T163" s="701">
        <f>IF('2 M-A +'!H21='2 M-A +'!$B$44,IF('2 M-A +'!H$32=30,IF('2 M-A +'!H20=20,1,0)))*'2 M-A +'!H$33</f>
        <v>0</v>
      </c>
      <c r="U163" s="701">
        <f>IF('2 M-A +'!I21='2 M-A +'!$B$44,IF('2 M-A +'!I$32=30,IF('2 M-A +'!I20=20,1,0)))*'2 M-A +'!I$33</f>
        <v>0</v>
      </c>
      <c r="V163" s="701">
        <f>IF('2 M-A +'!J21='2 M-A +'!$B$44,IF('2 M-A +'!J$32=30,IF('2 M-A +'!J20=20,1,0)))*'2 M-A +'!J$33</f>
        <v>0</v>
      </c>
      <c r="W163" s="701">
        <f>IF('2 M-A +'!K21='2 M-A +'!$B$44,IF('2 M-A +'!K$32=30,IF('2 M-A +'!K20=20,1,0)))*'2 M-A +'!K$33</f>
        <v>0</v>
      </c>
      <c r="X163" s="701">
        <f>IF('2 M-A +'!L21='2 M-A +'!$B$44,IF('2 M-A +'!L$32=30,IF('2 M-A +'!L20=20,1,0)))*'2 M-A +'!L$33</f>
        <v>0</v>
      </c>
      <c r="Y163" s="701">
        <f>IF('2 M-A +'!M21='2 M-A +'!$B$44,IF('2 M-A +'!M$32=30,IF('2 M-A +'!M20=20,1,0)))*'2 M-A +'!M$33</f>
        <v>0</v>
      </c>
      <c r="Z163" s="701">
        <f>IF('2 M-A +'!N21='2 M-A +'!$B$44,IF('2 M-A +'!N$32=30,IF('2 M-A +'!N20=20,1,0)))*'2 M-A +'!N$33</f>
        <v>0</v>
      </c>
      <c r="AA163" s="706"/>
      <c r="AB163" s="701">
        <f>IF('2 M-A +'!C21='2 M-A +'!$B$44,IF('2 M-A +'!C$32=56,IF('2 M-A +'!C20=20,1,0)))*'2 M-A +'!C$33</f>
        <v>0</v>
      </c>
      <c r="AC163" s="701">
        <f>IF('2 M-A +'!D21='2 M-A +'!$B$44,IF('2 M-A +'!D$32=56,IF('2 M-A +'!D20=20,1,0)))*'2 M-A +'!D$33</f>
        <v>0</v>
      </c>
      <c r="AD163" s="701">
        <f>IF('2 M-A +'!E21='2 M-A +'!$B$44,IF('2 M-A +'!E$32=56,IF('2 M-A +'!E20=20,1,0)))*'2 M-A +'!E$33</f>
        <v>0</v>
      </c>
      <c r="AE163" s="701">
        <f>IF('2 M-A +'!F21='2 M-A +'!$B$44,IF('2 M-A +'!F$32=56,IF('2 M-A +'!F20=20,1,0)))*'2 M-A +'!F$33</f>
        <v>0</v>
      </c>
      <c r="AF163" s="701">
        <f>IF('2 M-A +'!G21='2 M-A +'!$B$44,IF('2 M-A +'!G$32=56,IF('2 M-A +'!G20=20,1,0)))*'2 M-A +'!G$33</f>
        <v>0</v>
      </c>
      <c r="AG163" s="701">
        <f>IF('2 M-A +'!H21='2 M-A +'!$B$44,IF('2 M-A +'!H$32=56,IF('2 M-A +'!H20=20,1,0)))*'2 M-A +'!H$33</f>
        <v>0</v>
      </c>
      <c r="AH163" s="701">
        <f>IF('2 M-A +'!I21='2 M-A +'!$B$44,IF('2 M-A +'!I$32=56,IF('2 M-A +'!I20=20,1,0)))*'2 M-A +'!I$33</f>
        <v>0</v>
      </c>
      <c r="AI163" s="701">
        <f>IF('2 M-A +'!J21='2 M-A +'!$B$44,IF('2 M-A +'!J$32=56,IF('2 M-A +'!J20=20,1,0)))*'2 M-A +'!J$33</f>
        <v>0</v>
      </c>
      <c r="AJ163" s="701">
        <f>IF('2 M-A +'!K21='2 M-A +'!$B$44,IF('2 M-A +'!K$32=56,IF('2 M-A +'!K20=20,1,0)))*'2 M-A +'!K$33</f>
        <v>0</v>
      </c>
      <c r="AK163" s="701">
        <f>IF('2 M-A +'!L21='2 M-A +'!$B$44,IF('2 M-A +'!L$32=56,IF('2 M-A +'!L20=20,1,0)))*'2 M-A +'!L$33</f>
        <v>0</v>
      </c>
      <c r="AL163" s="701">
        <f>IF('2 M-A +'!M21='2 M-A +'!$B$44,IF('2 M-A +'!M$32=56,IF('2 M-A +'!M20=20,1,0)))*'2 M-A +'!M$33</f>
        <v>0</v>
      </c>
      <c r="AM163" s="701">
        <f>IF('2 M-A +'!N21='2 M-A +'!$B$44,IF('2 M-A +'!N$32=56,IF('2 M-A +'!N20=20,1,0)))*'2 M-A +'!N$33</f>
        <v>0</v>
      </c>
      <c r="AN163" s="706"/>
      <c r="AO163" s="701">
        <f>IF('2 M-A +'!C21='2 M-A +'!$B$44,IF('2 M-A +'!C$32=60,IF('2 M-A +'!C20=20,1,0)))*'2 M-A +'!C$33</f>
        <v>0</v>
      </c>
      <c r="AP163" s="701">
        <f>IF('2 M-A +'!D21='2 M-A +'!$B$44,IF('2 M-A +'!D$32=60,IF('2 M-A +'!D20=20,1,0)))*'2 M-A +'!D$33</f>
        <v>0</v>
      </c>
      <c r="AQ163" s="701">
        <f>IF('2 M-A +'!E21='2 M-A +'!$B$44,IF('2 M-A +'!E$32=60,IF('2 M-A +'!E20=20,1,0)))*'2 M-A +'!E$33</f>
        <v>0</v>
      </c>
      <c r="AR163" s="701">
        <f>IF('2 M-A +'!F21='2 M-A +'!$B$44,IF('2 M-A +'!F$32=60,IF('2 M-A +'!F20=20,1,0)))*'2 M-A +'!F$33</f>
        <v>0</v>
      </c>
      <c r="AS163" s="701">
        <f>IF('2 M-A +'!G21='2 M-A +'!$B$44,IF('2 M-A +'!G$32=60,IF('2 M-A +'!G20=20,1,0)))*'2 M-A +'!G$33</f>
        <v>0</v>
      </c>
      <c r="AT163" s="701">
        <f>IF('2 M-A +'!H21='2 M-A +'!$B$44,IF('2 M-A +'!H$32=60,IF('2 M-A +'!H20=20,1,0)))*'2 M-A +'!H$33</f>
        <v>0</v>
      </c>
      <c r="AU163" s="701">
        <f>IF('2 M-A +'!I21='2 M-A +'!$B$44,IF('2 M-A +'!I$32=60,IF('2 M-A +'!I20=20,1,0)))*'2 M-A +'!I$33</f>
        <v>0</v>
      </c>
      <c r="AV163" s="701">
        <f>IF('2 M-A +'!J21='2 M-A +'!$B$44,IF('2 M-A +'!J$32=60,IF('2 M-A +'!J20=20,1,0)))*'2 M-A +'!J$33</f>
        <v>0</v>
      </c>
      <c r="AW163" s="701">
        <f>IF('2 M-A +'!K21='2 M-A +'!$B$44,IF('2 M-A +'!K$32=60,IF('2 M-A +'!K20=20,1,0)))*'2 M-A +'!K$33</f>
        <v>0</v>
      </c>
      <c r="AX163" s="701">
        <f>IF('2 M-A +'!L21='2 M-A +'!$B$44,IF('2 M-A +'!L$32=60,IF('2 M-A +'!L20=20,1,0)))*'2 M-A +'!L$33</f>
        <v>0</v>
      </c>
      <c r="AY163" s="701">
        <f>IF('2 M-A +'!M21='2 M-A +'!$B$44,IF('2 M-A +'!M$32=60,IF('2 M-A +'!M20=20,1,0)))*'2 M-A +'!M$33</f>
        <v>0</v>
      </c>
      <c r="AZ163" s="701">
        <f>IF('2 M-A +'!N21='2 M-A +'!$B$44,IF('2 M-A +'!N$32=60,IF('2 M-A +'!N20=20,1,0)))*'2 M-A +'!N$33</f>
        <v>0</v>
      </c>
      <c r="BA163" s="706"/>
      <c r="BB163" s="701">
        <f>IF('2 M-A +'!C21='2 M-A +'!$B$44,IF('2 M-A +'!C$32=70,IF('2 M-A +'!C20=20,1,0)))*'2 M-A +'!C$33</f>
        <v>0</v>
      </c>
      <c r="BC163" s="701">
        <f>IF('2 M-A +'!D21='2 M-A +'!$B$44,IF('2 M-A +'!D$32=70,IF('2 M-A +'!D20=20,1,0)))*'2 M-A +'!D$33</f>
        <v>0</v>
      </c>
      <c r="BD163" s="701">
        <f>IF('2 M-A +'!E21='2 M-A +'!$B$44,IF('2 M-A +'!E$32=70,IF('2 M-A +'!E20=20,1,0)))*'2 M-A +'!E$33</f>
        <v>0</v>
      </c>
      <c r="BE163" s="701">
        <f>IF('2 M-A +'!F21='2 M-A +'!$B$44,IF('2 M-A +'!F$32=70,IF('2 M-A +'!F20=20,1,0)))*'2 M-A +'!F$33</f>
        <v>0</v>
      </c>
      <c r="BF163" s="701">
        <f>IF('2 M-A +'!G21='2 M-A +'!$B$44,IF('2 M-A +'!G$32=70,IF('2 M-A +'!G20=20,1,0)))*'2 M-A +'!G$33</f>
        <v>0</v>
      </c>
      <c r="BG163" s="701">
        <f>IF('2 M-A +'!H21='2 M-A +'!$B$44,IF('2 M-A +'!H$32=70,IF('2 M-A +'!H20=20,1,0)))*'2 M-A +'!H$33</f>
        <v>0</v>
      </c>
      <c r="BH163" s="701">
        <f>IF('2 M-A +'!I21='2 M-A +'!$B$44,IF('2 M-A +'!I$32=70,IF('2 M-A +'!I20=20,1,0)))*'2 M-A +'!I$33</f>
        <v>0</v>
      </c>
      <c r="BI163" s="701">
        <f>IF('2 M-A +'!J21='2 M-A +'!$B$44,IF('2 M-A +'!J$32=70,IF('2 M-A +'!J20=20,1,0)))*'2 M-A +'!J$33</f>
        <v>0</v>
      </c>
      <c r="BJ163" s="701">
        <f>IF('2 M-A +'!K21='2 M-A +'!$B$44,IF('2 M-A +'!K$32=70,IF('2 M-A +'!K20=20,1,0)))*'2 M-A +'!K$33</f>
        <v>0</v>
      </c>
      <c r="BK163" s="701">
        <f>IF('2 M-A +'!L21='2 M-A +'!$B$44,IF('2 M-A +'!L$32=70,IF('2 M-A +'!L20=20,1,0)))*'2 M-A +'!L$33</f>
        <v>0</v>
      </c>
      <c r="BL163" s="701">
        <f>IF('2 M-A +'!M21='2 M-A +'!$B$44,IF('2 M-A +'!M$32=70,IF('2 M-A +'!M20=20,1,0)))*'2 M-A +'!M$33</f>
        <v>0</v>
      </c>
      <c r="BM163" s="701">
        <f>IF('2 M-A +'!N21='2 M-A +'!$B$44,IF('2 M-A +'!N$32=70,IF('2 M-A +'!N20=20,1,0)))*'2 M-A +'!N$33</f>
        <v>0</v>
      </c>
      <c r="BN163" s="706"/>
      <c r="BO163" s="701">
        <f>IF('2 M-A +'!C21='2 M-A +'!$B$44,IF('2 M-A +'!C$32=75,IF('2 M-A +'!C20=20,1,0)))*'2 M-A +'!C$33</f>
        <v>0</v>
      </c>
      <c r="BP163" s="701">
        <f>IF('2 M-A +'!D21='2 M-A +'!$B$44,IF('2 M-A +'!D$32=75,IF('2 M-A +'!D20=20,1,0)))*'2 M-A +'!D$33</f>
        <v>0</v>
      </c>
      <c r="BQ163" s="701">
        <f>IF('2 M-A +'!E21='2 M-A +'!$B$44,IF('2 M-A +'!E$32=75,IF('2 M-A +'!E20=20,1,0)))*'2 M-A +'!E$33</f>
        <v>0</v>
      </c>
      <c r="BR163" s="701">
        <f>IF('2 M-A +'!F21='2 M-A +'!$B$44,IF('2 M-A +'!F$32=75,IF('2 M-A +'!F20=20,1,0)))*'2 M-A +'!F$33</f>
        <v>0</v>
      </c>
      <c r="BS163" s="701">
        <f>IF('2 M-A +'!G21='2 M-A +'!$B$44,IF('2 M-A +'!G$32=75,IF('2 M-A +'!G20=20,1,0)))*'2 M-A +'!G$33</f>
        <v>0</v>
      </c>
      <c r="BT163" s="701">
        <f>IF('2 M-A +'!H21='2 M-A +'!$B$44,IF('2 M-A +'!H$32=75,IF('2 M-A +'!H20=20,1,0)))*'2 M-A +'!H$33</f>
        <v>0</v>
      </c>
      <c r="BU163" s="701">
        <f>IF('2 M-A +'!I21='2 M-A +'!$B$44,IF('2 M-A +'!I$32=75,IF('2 M-A +'!I20=20,1,0)))*'2 M-A +'!I$33</f>
        <v>0</v>
      </c>
      <c r="BV163" s="701">
        <f>IF('2 M-A +'!J21='2 M-A +'!$B$44,IF('2 M-A +'!J$32=75,IF('2 M-A +'!J20=20,1,0)))*'2 M-A +'!J$33</f>
        <v>0</v>
      </c>
      <c r="BW163" s="701">
        <f>IF('2 M-A +'!K21='2 M-A +'!$B$44,IF('2 M-A +'!K$32=75,IF('2 M-A +'!K20=20,1,0)))*'2 M-A +'!K$33</f>
        <v>0</v>
      </c>
      <c r="BX163" s="701">
        <f>IF('2 M-A +'!L21='2 M-A +'!$B$44,IF('2 M-A +'!L$32=75,IF('2 M-A +'!L20=20,1,0)))*'2 M-A +'!L$33</f>
        <v>0</v>
      </c>
      <c r="BY163" s="701">
        <f>IF('2 M-A +'!M21='2 M-A +'!$B$44,IF('2 M-A +'!M$32=75,IF('2 M-A +'!M20=20,1,0)))*'2 M-A +'!M$33</f>
        <v>0</v>
      </c>
      <c r="BZ163" s="701">
        <f>IF('2 M-A +'!N21='2 M-A +'!$B$44,IF('2 M-A +'!N$32=75,IF('2 M-A +'!N20=20,1,0)))*'2 M-A +'!N$33</f>
        <v>0</v>
      </c>
      <c r="CA163" s="706"/>
      <c r="CB163" s="701">
        <f>IF('2 M-A +'!C21='2 M-A +'!$B$44,IF('2 M-A +'!C$32=84,IF('2 M-A +'!C20=20,1,0)))*'2 M-A +'!C$33</f>
        <v>0</v>
      </c>
      <c r="CC163" s="701">
        <f>IF('2 M-A +'!D21='2 M-A +'!$B$44,IF('2 M-A +'!D$32=84,IF('2 M-A +'!D20=20,1,0)))*'2 M-A +'!D$33</f>
        <v>0</v>
      </c>
      <c r="CD163" s="701">
        <f>IF('2 M-A +'!E21='2 M-A +'!$B$44,IF('2 M-A +'!E$32=84,IF('2 M-A +'!E20=20,1,0)))*'2 M-A +'!E$33</f>
        <v>0</v>
      </c>
      <c r="CE163" s="701">
        <f>IF('2 M-A +'!F21='2 M-A +'!$B$44,IF('2 M-A +'!F$32=84,IF('2 M-A +'!F20=20,1,0)))*'2 M-A +'!F$33</f>
        <v>0</v>
      </c>
      <c r="CF163" s="701">
        <f>IF('2 M-A +'!G21='2 M-A +'!$B$44,IF('2 M-A +'!G$32=84,IF('2 M-A +'!G20=20,1,0)))*'2 M-A +'!G$33</f>
        <v>0</v>
      </c>
      <c r="CG163" s="701">
        <f>IF('2 M-A +'!H21='2 M-A +'!$B$44,IF('2 M-A +'!H$32=84,IF('2 M-A +'!H20=20,1,0)))*'2 M-A +'!H$33</f>
        <v>0</v>
      </c>
      <c r="CH163" s="701">
        <f>IF('2 M-A +'!I21='2 M-A +'!$B$44,IF('2 M-A +'!I$32=84,IF('2 M-A +'!I20=20,1,0)))*'2 M-A +'!I$33</f>
        <v>0</v>
      </c>
      <c r="CI163" s="701">
        <f>IF('2 M-A +'!J21='2 M-A +'!$B$44,IF('2 M-A +'!J$32=84,IF('2 M-A +'!J20=20,1,0)))*'2 M-A +'!J$33</f>
        <v>0</v>
      </c>
      <c r="CJ163" s="701">
        <f>IF('2 M-A +'!K21='2 M-A +'!$B$44,IF('2 M-A +'!K$32=84,IF('2 M-A +'!K20=20,1,0)))*'2 M-A +'!K$33</f>
        <v>0</v>
      </c>
      <c r="CK163" s="701">
        <f>IF('2 M-A +'!L21='2 M-A +'!$B$44,IF('2 M-A +'!L$32=84,IF('2 M-A +'!L20=20,1,0)))*'2 M-A +'!L$33</f>
        <v>0</v>
      </c>
      <c r="CL163" s="701">
        <f>IF('2 M-A +'!M21='2 M-A +'!$B$44,IF('2 M-A +'!M$32=84,IF('2 M-A +'!M20=20,1,0)))*'2 M-A +'!M$33</f>
        <v>0</v>
      </c>
      <c r="CM163" s="701">
        <f>IF('2 M-A +'!N21='2 M-A +'!$B$44,IF('2 M-A +'!N$32=84,IF('2 M-A +'!N20=20,1,0)))*'2 M-A +'!N$33</f>
        <v>0</v>
      </c>
      <c r="CN163" s="706"/>
      <c r="CO163" s="701">
        <f>IF('2 M-A +'!C21='2 M-A +'!$B$44,IF('2 M-A +'!C$43=90,IF('2 M-A +'!C20=20,1,0)))*'2 M-A +'!C$33</f>
        <v>0</v>
      </c>
      <c r="CP163" s="701">
        <f>IF('2 M-A +'!D21='2 M-A +'!$B$44,IF('2 M-A +'!D$43=90,IF('2 M-A +'!D20=20,1,0)))*'2 M-A +'!D$33</f>
        <v>0</v>
      </c>
      <c r="CQ163" s="701">
        <f>IF('2 M-A +'!E21='2 M-A +'!$B$44,IF('2 M-A +'!E$43=90,IF('2 M-A +'!E20=20,1,0)))*'2 M-A +'!E$33</f>
        <v>0</v>
      </c>
      <c r="CR163" s="701">
        <f>IF('2 M-A +'!F21='2 M-A +'!$B$44,IF('2 M-A +'!F$43=90,IF('2 M-A +'!F20=20,1,0)))*'2 M-A +'!F$33</f>
        <v>0</v>
      </c>
      <c r="CS163" s="701">
        <f>IF('2 M-A +'!G21='2 M-A +'!$B$44,IF('2 M-A +'!G$43=90,IF('2 M-A +'!G20=20,1,0)))*'2 M-A +'!G$33</f>
        <v>0</v>
      </c>
      <c r="CT163" s="701">
        <f>IF('2 M-A +'!H21='2 M-A +'!$B$44,IF('2 M-A +'!H$43=90,IF('2 M-A +'!H20=20,1,0)))*'2 M-A +'!H$33</f>
        <v>0</v>
      </c>
      <c r="CU163" s="701">
        <f>IF('2 M-A +'!I21='2 M-A +'!$B$44,IF('2 M-A +'!I$43=90,IF('2 M-A +'!I20=20,1,0)))*'2 M-A +'!I$33</f>
        <v>0</v>
      </c>
      <c r="CV163" s="701">
        <f>IF('2 M-A +'!J21='2 M-A +'!$B$44,IF('2 M-A +'!J$43=90,IF('2 M-A +'!J20=20,1,0)))*'2 M-A +'!J$33</f>
        <v>0</v>
      </c>
      <c r="CW163" s="701">
        <f>IF('2 M-A +'!K21='2 M-A +'!$B$44,IF('2 M-A +'!K$43=90,IF('2 M-A +'!K20=20,1,0)))*'2 M-A +'!K$33</f>
        <v>0</v>
      </c>
      <c r="CX163" s="701">
        <f>IF('2 M-A +'!L21='2 M-A +'!$B$44,IF('2 M-A +'!L$43=90,IF('2 M-A +'!L20=20,1,0)))*'2 M-A +'!L$33</f>
        <v>0</v>
      </c>
      <c r="CY163" s="701">
        <f>IF('2 M-A +'!M21='2 M-A +'!$B$44,IF('2 M-A +'!M$43=90,IF('2 M-A +'!M20=20,1,0)))*'2 M-A +'!M$33</f>
        <v>0</v>
      </c>
      <c r="CZ163" s="701">
        <f>IF('2 M-A +'!N21='2 M-A +'!$B$44,IF('2 M-A +'!N$43=90,IF('2 M-A +'!N20=20,1,0)))*'2 M-A +'!N$33</f>
        <v>0</v>
      </c>
      <c r="DA163" s="706"/>
      <c r="DB163" s="701">
        <f>IF('2 M-A +'!C21='2 M-A +'!$B$44,IF('2 M-A +'!C$32=112,IF('2 M-A +'!C20=20,1,0)))*'2 M-A +'!C$33</f>
        <v>0</v>
      </c>
      <c r="DC163" s="701">
        <f>IF('2 M-A +'!D21='2 M-A +'!$B$44,IF('2 M-A +'!D$32=112,IF('2 M-A +'!D20=20,1,0)))*'2 M-A +'!D$33</f>
        <v>0</v>
      </c>
      <c r="DD163" s="701">
        <f>IF('2 M-A +'!E21='2 M-A +'!$B$44,IF('2 M-A +'!E$32=112,IF('2 M-A +'!E20=20,1,0)))*'2 M-A +'!E$33</f>
        <v>0</v>
      </c>
      <c r="DE163" s="701">
        <f>IF('2 M-A +'!F21='2 M-A +'!$B$44,IF('2 M-A +'!F$32=112,IF('2 M-A +'!F20=20,1,0)))*'2 M-A +'!F$33</f>
        <v>0</v>
      </c>
      <c r="DF163" s="701">
        <f>IF('2 M-A +'!G21='2 M-A +'!$B$44,IF('2 M-A +'!G$32=112,IF('2 M-A +'!G20=20,1,0)))*'2 M-A +'!G$33</f>
        <v>0</v>
      </c>
      <c r="DG163" s="701">
        <f>IF('2 M-A +'!H21='2 M-A +'!$B$44,IF('2 M-A +'!H$32=112,IF('2 M-A +'!H20=20,1,0)))*'2 M-A +'!H$33</f>
        <v>0</v>
      </c>
      <c r="DH163" s="701">
        <f>IF('2 M-A +'!I21='2 M-A +'!$B$44,IF('2 M-A +'!I$32=112,IF('2 M-A +'!I20=20,1,0)))*'2 M-A +'!I$33</f>
        <v>0</v>
      </c>
      <c r="DI163" s="701">
        <f>IF('2 M-A +'!J21='2 M-A +'!$B$44,IF('2 M-A +'!J$32=112,IF('2 M-A +'!J20=20,1,0)))*'2 M-A +'!J$33</f>
        <v>0</v>
      </c>
      <c r="DJ163" s="701">
        <f>IF('2 M-A +'!K21='2 M-A +'!$B$44,IF('2 M-A +'!K$32=112,IF('2 M-A +'!K20=20,1,0)))*'2 M-A +'!K$33</f>
        <v>0</v>
      </c>
      <c r="DK163" s="701">
        <f>IF('2 M-A +'!L21='2 M-A +'!$B$44,IF('2 M-A +'!L$32=112,IF('2 M-A +'!L20=20,1,0)))*'2 M-A +'!L$33</f>
        <v>0</v>
      </c>
      <c r="DL163" s="701">
        <f>IF('2 M-A +'!M21='2 M-A +'!$B$44,IF('2 M-A +'!M$32=112,IF('2 M-A +'!M20=20,1,0)))*'2 M-A +'!M$33</f>
        <v>0</v>
      </c>
      <c r="DM163" s="701">
        <f>IF('2 M-A +'!N21='2 M-A +'!$B$44,IF('2 M-A +'!N$32=112,IF('2 M-A +'!N20=20,1,0)))*'2 M-A +'!N$33</f>
        <v>0</v>
      </c>
      <c r="DN163" s="706"/>
      <c r="DO163" s="701">
        <f>IF('2 M-A +'!C21='2 M-A +'!$B$44,IF('2 M-A +'!C$32=120,IF('2 M-A +'!C20=20,1,0)))*'2 M-A +'!C$33</f>
        <v>0</v>
      </c>
      <c r="DP163" s="701">
        <f>IF('2 M-A +'!D21='2 M-A +'!$B$44,IF('2 M-A +'!D$32=120,IF('2 M-A +'!D20=20,1,0)))*'2 M-A +'!D$33</f>
        <v>0</v>
      </c>
      <c r="DQ163" s="701">
        <f>IF('2 M-A +'!E21='2 M-A +'!$B$44,IF('2 M-A +'!E$32=120,IF('2 M-A +'!E20=20,1,0)))*'2 M-A +'!E$33</f>
        <v>0</v>
      </c>
      <c r="DR163" s="701">
        <f>IF('2 M-A +'!F21='2 M-A +'!$B$44,IF('2 M-A +'!F$32=120,IF('2 M-A +'!F20=20,1,0)))*'2 M-A +'!F$33</f>
        <v>0</v>
      </c>
      <c r="DS163" s="701">
        <f>IF('2 M-A +'!G21='2 M-A +'!$B$44,IF('2 M-A +'!G$32=120,IF('2 M-A +'!G20=20,1,0)))*'2 M-A +'!G$33</f>
        <v>0</v>
      </c>
      <c r="DT163" s="701">
        <f>IF('2 M-A +'!H21='2 M-A +'!$B$44,IF('2 M-A +'!H$32=120,IF('2 M-A +'!H20=20,1,0)))*'2 M-A +'!H$33</f>
        <v>0</v>
      </c>
      <c r="DU163" s="701">
        <f>IF('2 M-A +'!I21='2 M-A +'!$B$44,IF('2 M-A +'!I$32=120,IF('2 M-A +'!I20=20,1,0)))*'2 M-A +'!I$33</f>
        <v>0</v>
      </c>
      <c r="DV163" s="701">
        <f>IF('2 M-A +'!J21='2 M-A +'!$B$44,IF('2 M-A +'!J$32=120,IF('2 M-A +'!J20=20,1,0)))*'2 M-A +'!J$33</f>
        <v>0</v>
      </c>
      <c r="DW163" s="701">
        <f>IF('2 M-A +'!K21='2 M-A +'!$B$44,IF('2 M-A +'!K$32=120,IF('2 M-A +'!K20=20,1,0)))*'2 M-A +'!K$33</f>
        <v>0</v>
      </c>
      <c r="DX163" s="701">
        <f>IF('2 M-A +'!L21='2 M-A +'!$B$44,IF('2 M-A +'!L$32=120,IF('2 M-A +'!L20=20,1,0)))*'2 M-A +'!L$33</f>
        <v>0</v>
      </c>
      <c r="DY163" s="701">
        <f>IF('2 M-A +'!M21='2 M-A +'!$B$44,IF('2 M-A +'!M$32=120,IF('2 M-A +'!M20=20,1,0)))*'2 M-A +'!M$33</f>
        <v>0</v>
      </c>
      <c r="DZ163" s="701">
        <f>IF('2 M-A +'!N21='2 M-A +'!$B$44,IF('2 M-A +'!N$32=120,IF('2 M-A +'!N20=20,1,0)))*'2 M-A +'!N$33</f>
        <v>0</v>
      </c>
      <c r="EA163" s="706"/>
      <c r="EB163" s="701">
        <f>IF('2 M-A +'!C21='2 M-A +'!$B$44,IF('2 M-A +'!C$32=140,IF('2 M-A +'!C20=20,1,0)))*'2 M-A +'!C$33</f>
        <v>0</v>
      </c>
      <c r="EC163" s="701">
        <f>IF('2 M-A +'!D21='2 M-A +'!$B$44,IF('2 M-A +'!D$32=140,IF('2 M-A +'!D20=20,1,0)))*'2 M-A +'!D$33</f>
        <v>0</v>
      </c>
      <c r="ED163" s="701">
        <f>IF('2 M-A +'!E21='2 M-A +'!$B$44,IF('2 M-A +'!E$32=140,IF('2 M-A +'!E20=20,1,0)))*'2 M-A +'!E$33</f>
        <v>0</v>
      </c>
      <c r="EE163" s="701">
        <f>IF('2 M-A +'!F21='2 M-A +'!$B$44,IF('2 M-A +'!F$32=140,IF('2 M-A +'!F20=20,1,0)))*'2 M-A +'!F$33</f>
        <v>0</v>
      </c>
      <c r="EF163" s="701">
        <f>IF('2 M-A +'!G21='2 M-A +'!$B$44,IF('2 M-A +'!G$32=140,IF('2 M-A +'!G20=20,1,0)))*'2 M-A +'!G$33</f>
        <v>0</v>
      </c>
      <c r="EG163" s="701">
        <f>IF('2 M-A +'!H21='2 M-A +'!$B$44,IF('2 M-A +'!H$32=140,IF('2 M-A +'!H20=20,1,0)))*'2 M-A +'!H$33</f>
        <v>0</v>
      </c>
      <c r="EH163" s="701">
        <f>IF('2 M-A +'!I21='2 M-A +'!$B$44,IF('2 M-A +'!I$32=140,IF('2 M-A +'!I20=20,1,0)))*'2 M-A +'!I$33</f>
        <v>0</v>
      </c>
      <c r="EI163" s="701">
        <f>IF('2 M-A +'!J21='2 M-A +'!$B$44,IF('2 M-A +'!J$32=140,IF('2 M-A +'!J20=20,1,0)))*'2 M-A +'!J$33</f>
        <v>0</v>
      </c>
      <c r="EJ163" s="701">
        <f>IF('2 M-A +'!K21='2 M-A +'!$B$44,IF('2 M-A +'!K$32=140,IF('2 M-A +'!K20=20,1,0)))*'2 M-A +'!K$33</f>
        <v>0</v>
      </c>
      <c r="EK163" s="701">
        <f>IF('2 M-A +'!L21='2 M-A +'!$B$44,IF('2 M-A +'!L$32=140,IF('2 M-A +'!L20=20,1,0)))*'2 M-A +'!L$33</f>
        <v>0</v>
      </c>
      <c r="EL163" s="701">
        <f>IF('2 M-A +'!M21='2 M-A +'!$B$44,IF('2 M-A +'!M$32=140,IF('2 M-A +'!M20=20,1,0)))*'2 M-A +'!M$33</f>
        <v>0</v>
      </c>
      <c r="EM163" s="701">
        <f>IF('2 M-A +'!N21='2 M-A +'!$B$44,IF('2 M-A +'!N$32=140,IF('2 M-A +'!N20=20,1,0)))*'2 M-A +'!N$33</f>
        <v>0</v>
      </c>
      <c r="EN163" s="706"/>
      <c r="EO163" s="701">
        <f>IF('2 M-A +'!C21='2 M-A +'!$B$44,IF('2 M-A +'!C$32=150,IF('2 M-A +'!C20=40,1,0)))*'2 M-A +'!C$33</f>
        <v>0</v>
      </c>
      <c r="EP163" s="701">
        <f>IF('2 M-A +'!D21='2 M-A +'!$B$44,IF('2 M-A +'!D$32=150,IF('2 M-A +'!D20=40,1,0)))*'2 M-A +'!D$33</f>
        <v>0</v>
      </c>
      <c r="EQ163" s="701">
        <f>IF('2 M-A +'!E21='2 M-A +'!$B$44,IF('2 M-A +'!E$32=150,IF('2 M-A +'!E20=40,1,0)))*'2 M-A +'!E$33</f>
        <v>0</v>
      </c>
      <c r="ER163" s="701">
        <f>IF('2 M-A +'!F21='2 M-A +'!$B$44,IF('2 M-A +'!F$32=150,IF('2 M-A +'!F20=40,1,0)))*'2 M-A +'!F$33</f>
        <v>0</v>
      </c>
      <c r="ES163" s="701">
        <f>IF('2 M-A +'!G21='2 M-A +'!$B$44,IF('2 M-A +'!G$32=150,IF('2 M-A +'!G20=40,1,0)))*'2 M-A +'!G$33</f>
        <v>0</v>
      </c>
      <c r="ET163" s="701">
        <f>IF('2 M-A +'!H21='2 M-A +'!$B$44,IF('2 M-A +'!H$32=150,IF('2 M-A +'!H20=40,1,0)))*'2 M-A +'!H$33</f>
        <v>0</v>
      </c>
      <c r="EU163" s="701">
        <f>IF('2 M-A +'!I21='2 M-A +'!$B$44,IF('2 M-A +'!I$32=150,IF('2 M-A +'!I20=40,1,0)))*'2 M-A +'!I$33</f>
        <v>0</v>
      </c>
      <c r="EV163" s="701">
        <f>IF('2 M-A +'!J21='2 M-A +'!$B$44,IF('2 M-A +'!J$32=150,IF('2 M-A +'!J20=40,1,0)))*'2 M-A +'!J$33</f>
        <v>0</v>
      </c>
      <c r="EW163" s="701">
        <f>IF('2 M-A +'!K21='2 M-A +'!$B$44,IF('2 M-A +'!K$32=150,IF('2 M-A +'!K20=40,1,0)))*'2 M-A +'!K$33</f>
        <v>0</v>
      </c>
      <c r="EX163" s="701">
        <f>IF('2 M-A +'!L21='2 M-A +'!$B$44,IF('2 M-A +'!L$32=150,IF('2 M-A +'!L20=40,1,0)))*'2 M-A +'!L$33</f>
        <v>0</v>
      </c>
      <c r="EY163" s="701">
        <f>IF('2 M-A +'!M21='2 M-A +'!$B$44,IF('2 M-A +'!M$32=150,IF('2 M-A +'!M20=40,1,0)))*'2 M-A +'!M$33</f>
        <v>0</v>
      </c>
      <c r="EZ163" s="701">
        <f>IF('2 M-A +'!N21='2 M-A +'!$B$44,IF('2 M-A +'!N$32=150,IF('2 M-A +'!N20=40,1,0)))*'2 M-A +'!N$33</f>
        <v>0</v>
      </c>
      <c r="FA163" s="706"/>
      <c r="FB163" s="855"/>
      <c r="FC163" s="838"/>
      <c r="FD163" s="855"/>
      <c r="FE163" s="838"/>
      <c r="FF163" s="855"/>
      <c r="FG163" s="838"/>
      <c r="FH163" s="855"/>
      <c r="FI163" s="838"/>
      <c r="FJ163" s="855"/>
      <c r="FK163" s="838"/>
      <c r="FL163" s="855"/>
      <c r="FM163" s="838"/>
      <c r="FN163" s="855"/>
      <c r="FO163" s="838"/>
      <c r="FP163" s="855"/>
      <c r="FQ163" s="838"/>
      <c r="FR163" s="855"/>
      <c r="FS163" s="838"/>
      <c r="FT163" s="855"/>
      <c r="FU163" s="838"/>
      <c r="FV163" s="855"/>
      <c r="FW163" s="838"/>
      <c r="FX163" s="855"/>
      <c r="FY163" s="838"/>
      <c r="FZ163" s="855"/>
      <c r="GA163" s="838"/>
      <c r="GB163" s="855"/>
      <c r="GC163" s="838"/>
      <c r="GD163" s="855"/>
      <c r="GE163" s="838"/>
      <c r="GF163" s="855"/>
      <c r="GG163" s="838"/>
      <c r="GH163" s="855"/>
      <c r="GI163" s="838"/>
      <c r="GJ163" s="855"/>
      <c r="GK163" s="855"/>
      <c r="GL163" s="838"/>
      <c r="GM163" s="838"/>
      <c r="GN163" s="838"/>
    </row>
    <row r="164" spans="2:196" x14ac:dyDescent="0.35">
      <c r="B164" s="702"/>
      <c r="C164" s="702"/>
      <c r="D164" s="702"/>
      <c r="E164" s="702"/>
      <c r="F164" s="702"/>
      <c r="G164" s="702"/>
      <c r="H164" s="702"/>
      <c r="I164" s="702"/>
      <c r="J164" s="702"/>
      <c r="K164" s="702"/>
      <c r="L164" s="702"/>
      <c r="M164" s="702"/>
      <c r="N164" s="706"/>
      <c r="O164" s="702"/>
      <c r="P164" s="702"/>
      <c r="Q164" s="702"/>
      <c r="R164" s="702"/>
      <c r="S164" s="702"/>
      <c r="T164" s="702"/>
      <c r="U164" s="702"/>
      <c r="V164" s="702"/>
      <c r="W164" s="702"/>
      <c r="X164" s="702"/>
      <c r="Y164" s="702"/>
      <c r="Z164" s="702"/>
      <c r="AA164" s="706"/>
      <c r="AB164" s="702"/>
      <c r="AC164" s="702"/>
      <c r="AD164" s="702"/>
      <c r="AE164" s="702"/>
      <c r="AF164" s="702"/>
      <c r="AG164" s="702"/>
      <c r="AH164" s="702"/>
      <c r="AI164" s="702"/>
      <c r="AJ164" s="702"/>
      <c r="AK164" s="702"/>
      <c r="AL164" s="702"/>
      <c r="AM164" s="702"/>
      <c r="AN164" s="706"/>
      <c r="AO164" s="702"/>
      <c r="AP164" s="702"/>
      <c r="AQ164" s="702"/>
      <c r="AR164" s="702"/>
      <c r="AS164" s="702"/>
      <c r="AT164" s="702"/>
      <c r="AU164" s="702"/>
      <c r="AV164" s="702"/>
      <c r="AW164" s="702"/>
      <c r="AX164" s="702"/>
      <c r="AY164" s="702"/>
      <c r="AZ164" s="702"/>
      <c r="BA164" s="706"/>
      <c r="BB164" s="702"/>
      <c r="BC164" s="702"/>
      <c r="BD164" s="702"/>
      <c r="BE164" s="702"/>
      <c r="BF164" s="702"/>
      <c r="BG164" s="702"/>
      <c r="BH164" s="702"/>
      <c r="BI164" s="702"/>
      <c r="BJ164" s="702"/>
      <c r="BK164" s="702"/>
      <c r="BL164" s="702"/>
      <c r="BM164" s="702"/>
      <c r="BN164" s="706"/>
      <c r="BO164" s="702"/>
      <c r="BP164" s="702"/>
      <c r="BQ164" s="702"/>
      <c r="BR164" s="702"/>
      <c r="BS164" s="702"/>
      <c r="BT164" s="702"/>
      <c r="BU164" s="702"/>
      <c r="BV164" s="702"/>
      <c r="BW164" s="702"/>
      <c r="BX164" s="702"/>
      <c r="BY164" s="702"/>
      <c r="BZ164" s="702"/>
      <c r="CA164" s="706"/>
      <c r="CB164" s="702"/>
      <c r="CC164" s="702"/>
      <c r="CD164" s="702"/>
      <c r="CE164" s="702"/>
      <c r="CF164" s="702"/>
      <c r="CG164" s="702"/>
      <c r="CH164" s="702"/>
      <c r="CI164" s="702"/>
      <c r="CJ164" s="702"/>
      <c r="CK164" s="702"/>
      <c r="CL164" s="702"/>
      <c r="CM164" s="702"/>
      <c r="CN164" s="706"/>
      <c r="CO164" s="702"/>
      <c r="CP164" s="702"/>
      <c r="CQ164" s="702"/>
      <c r="CR164" s="702"/>
      <c r="CS164" s="702"/>
      <c r="CT164" s="702"/>
      <c r="CU164" s="702"/>
      <c r="CV164" s="702"/>
      <c r="CW164" s="702"/>
      <c r="CX164" s="702"/>
      <c r="CY164" s="702"/>
      <c r="CZ164" s="702"/>
      <c r="DA164" s="706"/>
      <c r="DB164" s="702"/>
      <c r="DC164" s="702"/>
      <c r="DD164" s="702"/>
      <c r="DE164" s="702"/>
      <c r="DF164" s="702"/>
      <c r="DG164" s="702"/>
      <c r="DH164" s="702"/>
      <c r="DI164" s="702"/>
      <c r="DJ164" s="702"/>
      <c r="DK164" s="702"/>
      <c r="DL164" s="702"/>
      <c r="DM164" s="702"/>
      <c r="DN164" s="706"/>
      <c r="DO164" s="702"/>
      <c r="DP164" s="702"/>
      <c r="DQ164" s="702"/>
      <c r="DR164" s="702"/>
      <c r="DS164" s="702"/>
      <c r="DT164" s="702"/>
      <c r="DU164" s="702"/>
      <c r="DV164" s="702"/>
      <c r="DW164" s="702"/>
      <c r="DX164" s="702"/>
      <c r="DY164" s="702"/>
      <c r="DZ164" s="702"/>
      <c r="EA164" s="706"/>
      <c r="EB164" s="702"/>
      <c r="EC164" s="702"/>
      <c r="ED164" s="702"/>
      <c r="EE164" s="702"/>
      <c r="EF164" s="702"/>
      <c r="EG164" s="702"/>
      <c r="EH164" s="702"/>
      <c r="EI164" s="702"/>
      <c r="EJ164" s="702"/>
      <c r="EK164" s="702"/>
      <c r="EL164" s="702"/>
      <c r="EM164" s="702"/>
      <c r="EN164" s="706"/>
      <c r="EO164" s="702"/>
      <c r="EP164" s="702"/>
      <c r="EQ164" s="702"/>
      <c r="ER164" s="702"/>
      <c r="ES164" s="702"/>
      <c r="ET164" s="702"/>
      <c r="EU164" s="702"/>
      <c r="EV164" s="702"/>
      <c r="EW164" s="702"/>
      <c r="EX164" s="702"/>
      <c r="EY164" s="702"/>
      <c r="EZ164" s="702"/>
      <c r="FA164" s="706"/>
      <c r="FB164" s="838"/>
      <c r="FC164" s="838"/>
      <c r="FD164" s="838"/>
      <c r="FE164" s="838"/>
      <c r="FF164" s="838"/>
      <c r="FG164" s="838"/>
      <c r="FH164" s="838"/>
      <c r="FI164" s="838"/>
      <c r="FJ164" s="838"/>
      <c r="FK164" s="838"/>
      <c r="FL164" s="838"/>
      <c r="FM164" s="838"/>
      <c r="FN164" s="838"/>
      <c r="FO164" s="838"/>
      <c r="FP164" s="838"/>
      <c r="FQ164" s="838"/>
      <c r="FR164" s="838"/>
      <c r="FS164" s="838"/>
      <c r="FT164" s="838"/>
      <c r="FU164" s="838"/>
      <c r="FV164" s="838"/>
      <c r="FW164" s="838"/>
      <c r="FX164" s="838"/>
      <c r="FY164" s="838"/>
      <c r="FZ164" s="838"/>
      <c r="GA164" s="838"/>
      <c r="GB164" s="838"/>
      <c r="GC164" s="838"/>
      <c r="GD164" s="838"/>
      <c r="GE164" s="838"/>
      <c r="GF164" s="838"/>
      <c r="GG164" s="838"/>
      <c r="GH164" s="838"/>
      <c r="GI164" s="838"/>
      <c r="GJ164" s="838"/>
      <c r="GK164" s="838"/>
      <c r="GL164" s="838"/>
      <c r="GM164" s="838"/>
      <c r="GN164" s="838"/>
    </row>
    <row r="165" spans="2:196" x14ac:dyDescent="0.35">
      <c r="B165" s="701">
        <f>IF('2 M-A +'!C23='2 M-A +'!$B$44,IF('2 M-A +'!C$32=28,IF('2 M-A +'!C22=20,1,0)))*'2 M-A +'!C$33</f>
        <v>0</v>
      </c>
      <c r="C165" s="701">
        <f>IF('2 M-A +'!D23='2 M-A +'!$B$44,IF('2 M-A +'!D$32=28,IF('2 M-A +'!D22=20,1,0)))*'2 M-A +'!D$33</f>
        <v>0</v>
      </c>
      <c r="D165" s="701">
        <f>IF('2 M-A +'!E23='2 M-A +'!$B$44,IF('2 M-A +'!E$32=28,IF('2 M-A +'!E22=20,1,0)))*'2 M-A +'!E$33</f>
        <v>0</v>
      </c>
      <c r="E165" s="701">
        <f>IF('2 M-A +'!F23='2 M-A +'!$B$44,IF('2 M-A +'!F$32=28,IF('2 M-A +'!F22=20,1,0)))*'2 M-A +'!F$33</f>
        <v>0</v>
      </c>
      <c r="F165" s="701">
        <f>IF('2 M-A +'!G23='2 M-A +'!$B$44,IF('2 M-A +'!G$32=28,IF('2 M-A +'!G22=20,1,0)))*'2 M-A +'!G$33</f>
        <v>0</v>
      </c>
      <c r="G165" s="701">
        <f>IF('2 M-A +'!H23='2 M-A +'!$B$44,IF('2 M-A +'!H$32=28,IF('2 M-A +'!H22=20,1,0)))*'2 M-A +'!H$33</f>
        <v>0</v>
      </c>
      <c r="H165" s="701">
        <f>IF('2 M-A +'!I23='2 M-A +'!$B$44,IF('2 M-A +'!I$32=28,IF('2 M-A +'!I22=20,1,0)))*'2 M-A +'!I$33</f>
        <v>0</v>
      </c>
      <c r="I165" s="701">
        <f>IF('2 M-A +'!J23='2 M-A +'!$B$44,IF('2 M-A +'!J$32=28,IF('2 M-A +'!J22=20,1,0)))*'2 M-A +'!J$33</f>
        <v>0</v>
      </c>
      <c r="J165" s="701">
        <f>IF('2 M-A +'!K23='2 M-A +'!$B$44,IF('2 M-A +'!K$32=28,IF('2 M-A +'!K22=20,1,0)))*'2 M-A +'!K$33</f>
        <v>0</v>
      </c>
      <c r="K165" s="701">
        <f>IF('2 M-A +'!L23='2 M-A +'!$B$44,IF('2 M-A +'!L$32=28,IF('2 M-A +'!L22=20,1,0)))*'2 M-A +'!L$33</f>
        <v>0</v>
      </c>
      <c r="L165" s="701">
        <f>IF('2 M-A +'!M23='2 M-A +'!$B$44,IF('2 M-A +'!M$32=28,IF('2 M-A +'!M22=20,1,0)))*'2 M-A +'!M$33</f>
        <v>0</v>
      </c>
      <c r="M165" s="701">
        <f>IF('2 M-A +'!N23='2 M-A +'!$B$44,IF('2 M-A +'!N$32=28,IF('2 M-A +'!N22=20,1,0)))*'2 M-A +'!N$33</f>
        <v>0</v>
      </c>
      <c r="N165" s="706"/>
      <c r="O165" s="701">
        <f>IF('2 M-A +'!C23='2 M-A +'!$B$44,IF('2 M-A +'!C$32=30,IF('2 M-A +'!C22=20,1,0)))*'2 M-A +'!C$33</f>
        <v>0</v>
      </c>
      <c r="P165" s="701">
        <f>IF('2 M-A +'!D23='2 M-A +'!$B$44,IF('2 M-A +'!D$32=30,IF('2 M-A +'!D22=20,1,0)))*'2 M-A +'!D$33</f>
        <v>0</v>
      </c>
      <c r="Q165" s="701">
        <f>IF('2 M-A +'!E23='2 M-A +'!$B$44,IF('2 M-A +'!E$32=30,IF('2 M-A +'!E22=20,1,0)))*'2 M-A +'!E$33</f>
        <v>0</v>
      </c>
      <c r="R165" s="701">
        <f>IF('2 M-A +'!F23='2 M-A +'!$B$44,IF('2 M-A +'!F$32=30,IF('2 M-A +'!F22=20,1,0)))*'2 M-A +'!F$33</f>
        <v>0</v>
      </c>
      <c r="S165" s="701">
        <f>IF('2 M-A +'!G23='2 M-A +'!$B$44,IF('2 M-A +'!G$32=30,IF('2 M-A +'!G22=20,1,0)))*'2 M-A +'!G$33</f>
        <v>0</v>
      </c>
      <c r="T165" s="701">
        <f>IF('2 M-A +'!H23='2 M-A +'!$B$44,IF('2 M-A +'!H$32=30,IF('2 M-A +'!H22=20,1,0)))*'2 M-A +'!H$33</f>
        <v>0</v>
      </c>
      <c r="U165" s="701">
        <f>IF('2 M-A +'!I23='2 M-A +'!$B$44,IF('2 M-A +'!I$32=30,IF('2 M-A +'!I22=20,1,0)))*'2 M-A +'!I$33</f>
        <v>0</v>
      </c>
      <c r="V165" s="701">
        <f>IF('2 M-A +'!J23='2 M-A +'!$B$44,IF('2 M-A +'!J$32=30,IF('2 M-A +'!J22=20,1,0)))*'2 M-A +'!J$33</f>
        <v>0</v>
      </c>
      <c r="W165" s="701">
        <f>IF('2 M-A +'!K23='2 M-A +'!$B$44,IF('2 M-A +'!K$32=30,IF('2 M-A +'!K22=20,1,0)))*'2 M-A +'!K$33</f>
        <v>0</v>
      </c>
      <c r="X165" s="701">
        <f>IF('2 M-A +'!L23='2 M-A +'!$B$44,IF('2 M-A +'!L$32=30,IF('2 M-A +'!L22=20,1,0)))*'2 M-A +'!L$33</f>
        <v>0</v>
      </c>
      <c r="Y165" s="701">
        <f>IF('2 M-A +'!M23='2 M-A +'!$B$44,IF('2 M-A +'!M$32=30,IF('2 M-A +'!M22=20,1,0)))*'2 M-A +'!M$33</f>
        <v>0</v>
      </c>
      <c r="Z165" s="701">
        <f>IF('2 M-A +'!N23='2 M-A +'!$B$44,IF('2 M-A +'!N$32=30,IF('2 M-A +'!N22=20,1,0)))*'2 M-A +'!N$33</f>
        <v>0</v>
      </c>
      <c r="AA165" s="706"/>
      <c r="AB165" s="701">
        <f>IF('2 M-A +'!C23='2 M-A +'!$B$44,IF('2 M-A +'!C$32=56,IF('2 M-A +'!C22=20,1,0)))*'2 M-A +'!C$33</f>
        <v>0</v>
      </c>
      <c r="AC165" s="701">
        <f>IF('2 M-A +'!D23='2 M-A +'!$B$44,IF('2 M-A +'!D$32=56,IF('2 M-A +'!D22=20,1,0)))*'2 M-A +'!D$33</f>
        <v>0</v>
      </c>
      <c r="AD165" s="701">
        <f>IF('2 M-A +'!E23='2 M-A +'!$B$44,IF('2 M-A +'!E$32=56,IF('2 M-A +'!E22=20,1,0)))*'2 M-A +'!E$33</f>
        <v>0</v>
      </c>
      <c r="AE165" s="701">
        <f>IF('2 M-A +'!F23='2 M-A +'!$B$44,IF('2 M-A +'!F$32=56,IF('2 M-A +'!F22=20,1,0)))*'2 M-A +'!F$33</f>
        <v>0</v>
      </c>
      <c r="AF165" s="701">
        <f>IF('2 M-A +'!G23='2 M-A +'!$B$44,IF('2 M-A +'!G$32=56,IF('2 M-A +'!G22=20,1,0)))*'2 M-A +'!G$33</f>
        <v>0</v>
      </c>
      <c r="AG165" s="701">
        <f>IF('2 M-A +'!H23='2 M-A +'!$B$44,IF('2 M-A +'!H$32=56,IF('2 M-A +'!H22=20,1,0)))*'2 M-A +'!H$33</f>
        <v>0</v>
      </c>
      <c r="AH165" s="701">
        <f>IF('2 M-A +'!I23='2 M-A +'!$B$44,IF('2 M-A +'!I$32=56,IF('2 M-A +'!I22=20,1,0)))*'2 M-A +'!I$33</f>
        <v>0</v>
      </c>
      <c r="AI165" s="701">
        <f>IF('2 M-A +'!J23='2 M-A +'!$B$44,IF('2 M-A +'!J$32=56,IF('2 M-A +'!J22=20,1,0)))*'2 M-A +'!J$33</f>
        <v>0</v>
      </c>
      <c r="AJ165" s="701">
        <f>IF('2 M-A +'!K23='2 M-A +'!$B$44,IF('2 M-A +'!K$32=56,IF('2 M-A +'!K22=20,1,0)))*'2 M-A +'!K$33</f>
        <v>0</v>
      </c>
      <c r="AK165" s="701">
        <f>IF('2 M-A +'!L23='2 M-A +'!$B$44,IF('2 M-A +'!L$32=56,IF('2 M-A +'!L22=20,1,0)))*'2 M-A +'!L$33</f>
        <v>0</v>
      </c>
      <c r="AL165" s="701">
        <f>IF('2 M-A +'!M23='2 M-A +'!$B$44,IF('2 M-A +'!M$32=56,IF('2 M-A +'!M22=20,1,0)))*'2 M-A +'!M$33</f>
        <v>0</v>
      </c>
      <c r="AM165" s="701">
        <f>IF('2 M-A +'!N23='2 M-A +'!$B$44,IF('2 M-A +'!N$32=56,IF('2 M-A +'!N22=20,1,0)))*'2 M-A +'!N$33</f>
        <v>0</v>
      </c>
      <c r="AN165" s="706"/>
      <c r="AO165" s="701">
        <f>IF('2 M-A +'!C23='2 M-A +'!$B$44,IF('2 M-A +'!C$32=60,IF('2 M-A +'!C22=20,1,0)))*'2 M-A +'!C$33</f>
        <v>0</v>
      </c>
      <c r="AP165" s="701">
        <f>IF('2 M-A +'!D23='2 M-A +'!$B$44,IF('2 M-A +'!D$32=60,IF('2 M-A +'!D22=20,1,0)))*'2 M-A +'!D$33</f>
        <v>0</v>
      </c>
      <c r="AQ165" s="701">
        <f>IF('2 M-A +'!E23='2 M-A +'!$B$44,IF('2 M-A +'!E$32=60,IF('2 M-A +'!E22=20,1,0)))*'2 M-A +'!E$33</f>
        <v>0</v>
      </c>
      <c r="AR165" s="701">
        <f>IF('2 M-A +'!F23='2 M-A +'!$B$44,IF('2 M-A +'!F$32=60,IF('2 M-A +'!F22=20,1,0)))*'2 M-A +'!F$33</f>
        <v>0</v>
      </c>
      <c r="AS165" s="701">
        <f>IF('2 M-A +'!G23='2 M-A +'!$B$44,IF('2 M-A +'!G$32=60,IF('2 M-A +'!G22=20,1,0)))*'2 M-A +'!G$33</f>
        <v>0</v>
      </c>
      <c r="AT165" s="701">
        <f>IF('2 M-A +'!H23='2 M-A +'!$B$44,IF('2 M-A +'!H$32=60,IF('2 M-A +'!H22=20,1,0)))*'2 M-A +'!H$33</f>
        <v>0</v>
      </c>
      <c r="AU165" s="701">
        <f>IF('2 M-A +'!I23='2 M-A +'!$B$44,IF('2 M-A +'!I$32=60,IF('2 M-A +'!I22=20,1,0)))*'2 M-A +'!I$33</f>
        <v>0</v>
      </c>
      <c r="AV165" s="701">
        <f>IF('2 M-A +'!J23='2 M-A +'!$B$44,IF('2 M-A +'!J$32=60,IF('2 M-A +'!J22=20,1,0)))*'2 M-A +'!J$33</f>
        <v>0</v>
      </c>
      <c r="AW165" s="701">
        <f>IF('2 M-A +'!K23='2 M-A +'!$B$44,IF('2 M-A +'!K$32=60,IF('2 M-A +'!K22=20,1,0)))*'2 M-A +'!K$33</f>
        <v>0</v>
      </c>
      <c r="AX165" s="701">
        <f>IF('2 M-A +'!L23='2 M-A +'!$B$44,IF('2 M-A +'!L$32=60,IF('2 M-A +'!L22=20,1,0)))*'2 M-A +'!L$33</f>
        <v>0</v>
      </c>
      <c r="AY165" s="701">
        <f>IF('2 M-A +'!M23='2 M-A +'!$B$44,IF('2 M-A +'!M$32=60,IF('2 M-A +'!M22=20,1,0)))*'2 M-A +'!M$33</f>
        <v>0</v>
      </c>
      <c r="AZ165" s="701">
        <f>IF('2 M-A +'!N23='2 M-A +'!$B$44,IF('2 M-A +'!N$32=60,IF('2 M-A +'!N22=20,1,0)))*'2 M-A +'!N$33</f>
        <v>0</v>
      </c>
      <c r="BA165" s="706"/>
      <c r="BB165" s="701">
        <f>IF('2 M-A +'!C23='2 M-A +'!$B$44,IF('2 M-A +'!C$32=70,IF('2 M-A +'!C22=20,1,0)))*'2 M-A +'!C$33</f>
        <v>0</v>
      </c>
      <c r="BC165" s="701">
        <f>IF('2 M-A +'!D23='2 M-A +'!$B$44,IF('2 M-A +'!D$32=70,IF('2 M-A +'!D22=20,1,0)))*'2 M-A +'!D$33</f>
        <v>0</v>
      </c>
      <c r="BD165" s="701">
        <f>IF('2 M-A +'!E23='2 M-A +'!$B$44,IF('2 M-A +'!E$32=70,IF('2 M-A +'!E22=20,1,0)))*'2 M-A +'!E$33</f>
        <v>0</v>
      </c>
      <c r="BE165" s="701">
        <f>IF('2 M-A +'!F23='2 M-A +'!$B$44,IF('2 M-A +'!F$32=70,IF('2 M-A +'!F22=20,1,0)))*'2 M-A +'!F$33</f>
        <v>0</v>
      </c>
      <c r="BF165" s="701">
        <f>IF('2 M-A +'!G23='2 M-A +'!$B$44,IF('2 M-A +'!G$32=70,IF('2 M-A +'!G22=20,1,0)))*'2 M-A +'!G$33</f>
        <v>0</v>
      </c>
      <c r="BG165" s="701">
        <f>IF('2 M-A +'!H23='2 M-A +'!$B$44,IF('2 M-A +'!H$32=70,IF('2 M-A +'!H22=20,1,0)))*'2 M-A +'!H$33</f>
        <v>0</v>
      </c>
      <c r="BH165" s="701">
        <f>IF('2 M-A +'!I23='2 M-A +'!$B$44,IF('2 M-A +'!I$32=70,IF('2 M-A +'!I22=20,1,0)))*'2 M-A +'!I$33</f>
        <v>0</v>
      </c>
      <c r="BI165" s="701">
        <f>IF('2 M-A +'!J23='2 M-A +'!$B$44,IF('2 M-A +'!J$32=70,IF('2 M-A +'!J22=20,1,0)))*'2 M-A +'!J$33</f>
        <v>0</v>
      </c>
      <c r="BJ165" s="701">
        <f>IF('2 M-A +'!K23='2 M-A +'!$B$44,IF('2 M-A +'!K$32=70,IF('2 M-A +'!K22=20,1,0)))*'2 M-A +'!K$33</f>
        <v>0</v>
      </c>
      <c r="BK165" s="701">
        <f>IF('2 M-A +'!L23='2 M-A +'!$B$44,IF('2 M-A +'!L$32=70,IF('2 M-A +'!L22=20,1,0)))*'2 M-A +'!L$33</f>
        <v>0</v>
      </c>
      <c r="BL165" s="701">
        <f>IF('2 M-A +'!M23='2 M-A +'!$B$44,IF('2 M-A +'!M$32=70,IF('2 M-A +'!M22=20,1,0)))*'2 M-A +'!M$33</f>
        <v>0</v>
      </c>
      <c r="BM165" s="701">
        <f>IF('2 M-A +'!N23='2 M-A +'!$B$44,IF('2 M-A +'!N$32=70,IF('2 M-A +'!N22=20,1,0)))*'2 M-A +'!N$33</f>
        <v>0</v>
      </c>
      <c r="BN165" s="706"/>
      <c r="BO165" s="701">
        <f>IF('2 M-A +'!C23='2 M-A +'!$B$44,IF('2 M-A +'!C$32=75,IF('2 M-A +'!C22=20,1,0)))*'2 M-A +'!C$33</f>
        <v>0</v>
      </c>
      <c r="BP165" s="701">
        <f>IF('2 M-A +'!D23='2 M-A +'!$B$44,IF('2 M-A +'!D$32=75,IF('2 M-A +'!D22=20,1,0)))*'2 M-A +'!D$33</f>
        <v>0</v>
      </c>
      <c r="BQ165" s="701">
        <f>IF('2 M-A +'!E23='2 M-A +'!$B$44,IF('2 M-A +'!E$32=75,IF('2 M-A +'!E22=20,1,0)))*'2 M-A +'!E$33</f>
        <v>0</v>
      </c>
      <c r="BR165" s="701">
        <f>IF('2 M-A +'!F23='2 M-A +'!$B$44,IF('2 M-A +'!F$32=75,IF('2 M-A +'!F22=20,1,0)))*'2 M-A +'!F$33</f>
        <v>0</v>
      </c>
      <c r="BS165" s="701">
        <f>IF('2 M-A +'!G23='2 M-A +'!$B$44,IF('2 M-A +'!G$32=75,IF('2 M-A +'!G22=20,1,0)))*'2 M-A +'!G$33</f>
        <v>0</v>
      </c>
      <c r="BT165" s="701">
        <f>IF('2 M-A +'!H23='2 M-A +'!$B$44,IF('2 M-A +'!H$32=75,IF('2 M-A +'!H22=20,1,0)))*'2 M-A +'!H$33</f>
        <v>0</v>
      </c>
      <c r="BU165" s="701">
        <f>IF('2 M-A +'!I23='2 M-A +'!$B$44,IF('2 M-A +'!I$32=75,IF('2 M-A +'!I22=20,1,0)))*'2 M-A +'!I$33</f>
        <v>0</v>
      </c>
      <c r="BV165" s="701">
        <f>IF('2 M-A +'!J23='2 M-A +'!$B$44,IF('2 M-A +'!J$32=75,IF('2 M-A +'!J22=20,1,0)))*'2 M-A +'!J$33</f>
        <v>0</v>
      </c>
      <c r="BW165" s="701">
        <f>IF('2 M-A +'!K23='2 M-A +'!$B$44,IF('2 M-A +'!K$32=75,IF('2 M-A +'!K22=20,1,0)))*'2 M-A +'!K$33</f>
        <v>0</v>
      </c>
      <c r="BX165" s="701">
        <f>IF('2 M-A +'!L23='2 M-A +'!$B$44,IF('2 M-A +'!L$32=75,IF('2 M-A +'!L22=20,1,0)))*'2 M-A +'!L$33</f>
        <v>0</v>
      </c>
      <c r="BY165" s="701">
        <f>IF('2 M-A +'!M23='2 M-A +'!$B$44,IF('2 M-A +'!M$32=75,IF('2 M-A +'!M22=20,1,0)))*'2 M-A +'!M$33</f>
        <v>0</v>
      </c>
      <c r="BZ165" s="701">
        <f>IF('2 M-A +'!N23='2 M-A +'!$B$44,IF('2 M-A +'!N$32=75,IF('2 M-A +'!N22=20,1,0)))*'2 M-A +'!N$33</f>
        <v>0</v>
      </c>
      <c r="CA165" s="706"/>
      <c r="CB165" s="701">
        <f>IF('2 M-A +'!C23='2 M-A +'!$B$44,IF('2 M-A +'!C$32=84,IF('2 M-A +'!C22=20,1,0)))*'2 M-A +'!C$33</f>
        <v>0</v>
      </c>
      <c r="CC165" s="701">
        <f>IF('2 M-A +'!D23='2 M-A +'!$B$44,IF('2 M-A +'!D$32=84,IF('2 M-A +'!D22=20,1,0)))*'2 M-A +'!D$33</f>
        <v>0</v>
      </c>
      <c r="CD165" s="701">
        <f>IF('2 M-A +'!E23='2 M-A +'!$B$44,IF('2 M-A +'!E$32=84,IF('2 M-A +'!E22=20,1,0)))*'2 M-A +'!E$33</f>
        <v>0</v>
      </c>
      <c r="CE165" s="701">
        <f>IF('2 M-A +'!F23='2 M-A +'!$B$44,IF('2 M-A +'!F$32=84,IF('2 M-A +'!F22=20,1,0)))*'2 M-A +'!F$33</f>
        <v>0</v>
      </c>
      <c r="CF165" s="701">
        <f>IF('2 M-A +'!G23='2 M-A +'!$B$44,IF('2 M-A +'!G$32=84,IF('2 M-A +'!G22=20,1,0)))*'2 M-A +'!G$33</f>
        <v>0</v>
      </c>
      <c r="CG165" s="701">
        <f>IF('2 M-A +'!H23='2 M-A +'!$B$44,IF('2 M-A +'!H$32=84,IF('2 M-A +'!H22=20,1,0)))*'2 M-A +'!H$33</f>
        <v>0</v>
      </c>
      <c r="CH165" s="701">
        <f>IF('2 M-A +'!I23='2 M-A +'!$B$44,IF('2 M-A +'!I$32=84,IF('2 M-A +'!I22=20,1,0)))*'2 M-A +'!I$33</f>
        <v>0</v>
      </c>
      <c r="CI165" s="701">
        <f>IF('2 M-A +'!J23='2 M-A +'!$B$44,IF('2 M-A +'!J$32=84,IF('2 M-A +'!J22=20,1,0)))*'2 M-A +'!J$33</f>
        <v>0</v>
      </c>
      <c r="CJ165" s="701">
        <f>IF('2 M-A +'!K23='2 M-A +'!$B$44,IF('2 M-A +'!K$32=84,IF('2 M-A +'!K22=20,1,0)))*'2 M-A +'!K$33</f>
        <v>0</v>
      </c>
      <c r="CK165" s="701">
        <f>IF('2 M-A +'!L23='2 M-A +'!$B$44,IF('2 M-A +'!L$32=84,IF('2 M-A +'!L22=20,1,0)))*'2 M-A +'!L$33</f>
        <v>0</v>
      </c>
      <c r="CL165" s="701">
        <f>IF('2 M-A +'!M23='2 M-A +'!$B$44,IF('2 M-A +'!M$32=84,IF('2 M-A +'!M22=20,1,0)))*'2 M-A +'!M$33</f>
        <v>0</v>
      </c>
      <c r="CM165" s="701">
        <f>IF('2 M-A +'!N23='2 M-A +'!$B$44,IF('2 M-A +'!N$32=84,IF('2 M-A +'!N22=20,1,0)))*'2 M-A +'!N$33</f>
        <v>0</v>
      </c>
      <c r="CN165" s="706"/>
      <c r="CO165" s="701">
        <f>IF('2 M-A +'!C23='2 M-A +'!$B$44,IF('2 M-A +'!C$43=90,IF('2 M-A +'!C22=20,1,0)))*'2 M-A +'!C$33</f>
        <v>0</v>
      </c>
      <c r="CP165" s="701">
        <f>IF('2 M-A +'!D23='2 M-A +'!$B$44,IF('2 M-A +'!D$43=90,IF('2 M-A +'!D22=20,1,0)))*'2 M-A +'!D$33</f>
        <v>0</v>
      </c>
      <c r="CQ165" s="701">
        <f>IF('2 M-A +'!E23='2 M-A +'!$B$44,IF('2 M-A +'!E$43=90,IF('2 M-A +'!E22=20,1,0)))*'2 M-A +'!E$33</f>
        <v>0</v>
      </c>
      <c r="CR165" s="701">
        <f>IF('2 M-A +'!F23='2 M-A +'!$B$44,IF('2 M-A +'!F$43=90,IF('2 M-A +'!F22=20,1,0)))*'2 M-A +'!F$33</f>
        <v>0</v>
      </c>
      <c r="CS165" s="701">
        <f>IF('2 M-A +'!G23='2 M-A +'!$B$44,IF('2 M-A +'!G$43=90,IF('2 M-A +'!G22=20,1,0)))*'2 M-A +'!G$33</f>
        <v>0</v>
      </c>
      <c r="CT165" s="701">
        <f>IF('2 M-A +'!H23='2 M-A +'!$B$44,IF('2 M-A +'!H$43=90,IF('2 M-A +'!H22=20,1,0)))*'2 M-A +'!H$33</f>
        <v>0</v>
      </c>
      <c r="CU165" s="701">
        <f>IF('2 M-A +'!I23='2 M-A +'!$B$44,IF('2 M-A +'!I$43=90,IF('2 M-A +'!I22=20,1,0)))*'2 M-A +'!I$33</f>
        <v>0</v>
      </c>
      <c r="CV165" s="701">
        <f>IF('2 M-A +'!J23='2 M-A +'!$B$44,IF('2 M-A +'!J$43=90,IF('2 M-A +'!J22=20,1,0)))*'2 M-A +'!J$33</f>
        <v>0</v>
      </c>
      <c r="CW165" s="701">
        <f>IF('2 M-A +'!K23='2 M-A +'!$B$44,IF('2 M-A +'!K$43=90,IF('2 M-A +'!K22=20,1,0)))*'2 M-A +'!K$33</f>
        <v>0</v>
      </c>
      <c r="CX165" s="701">
        <f>IF('2 M-A +'!L23='2 M-A +'!$B$44,IF('2 M-A +'!L$43=90,IF('2 M-A +'!L22=20,1,0)))*'2 M-A +'!L$33</f>
        <v>0</v>
      </c>
      <c r="CY165" s="701">
        <f>IF('2 M-A +'!M23='2 M-A +'!$B$44,IF('2 M-A +'!M$43=90,IF('2 M-A +'!M22=20,1,0)))*'2 M-A +'!M$33</f>
        <v>0</v>
      </c>
      <c r="CZ165" s="701">
        <f>IF('2 M-A +'!N23='2 M-A +'!$B$44,IF('2 M-A +'!N$43=90,IF('2 M-A +'!N22=20,1,0)))*'2 M-A +'!N$33</f>
        <v>0</v>
      </c>
      <c r="DA165" s="706"/>
      <c r="DB165" s="701">
        <f>IF('2 M-A +'!C23='2 M-A +'!$B$44,IF('2 M-A +'!C$32=112,IF('2 M-A +'!C22=20,1,0)))*'2 M-A +'!C$33</f>
        <v>0</v>
      </c>
      <c r="DC165" s="701">
        <f>IF('2 M-A +'!D23='2 M-A +'!$B$44,IF('2 M-A +'!D$32=112,IF('2 M-A +'!D22=20,1,0)))*'2 M-A +'!D$33</f>
        <v>0</v>
      </c>
      <c r="DD165" s="701">
        <f>IF('2 M-A +'!E23='2 M-A +'!$B$44,IF('2 M-A +'!E$32=112,IF('2 M-A +'!E22=20,1,0)))*'2 M-A +'!E$33</f>
        <v>0</v>
      </c>
      <c r="DE165" s="701">
        <f>IF('2 M-A +'!F23='2 M-A +'!$B$44,IF('2 M-A +'!F$32=112,IF('2 M-A +'!F22=20,1,0)))*'2 M-A +'!F$33</f>
        <v>0</v>
      </c>
      <c r="DF165" s="701">
        <f>IF('2 M-A +'!G23='2 M-A +'!$B$44,IF('2 M-A +'!G$32=112,IF('2 M-A +'!G22=20,1,0)))*'2 M-A +'!G$33</f>
        <v>0</v>
      </c>
      <c r="DG165" s="701">
        <f>IF('2 M-A +'!H23='2 M-A +'!$B$44,IF('2 M-A +'!H$32=112,IF('2 M-A +'!H22=20,1,0)))*'2 M-A +'!H$33</f>
        <v>0</v>
      </c>
      <c r="DH165" s="701">
        <f>IF('2 M-A +'!I23='2 M-A +'!$B$44,IF('2 M-A +'!I$32=112,IF('2 M-A +'!I22=20,1,0)))*'2 M-A +'!I$33</f>
        <v>0</v>
      </c>
      <c r="DI165" s="701">
        <f>IF('2 M-A +'!J23='2 M-A +'!$B$44,IF('2 M-A +'!J$32=112,IF('2 M-A +'!J22=20,1,0)))*'2 M-A +'!J$33</f>
        <v>0</v>
      </c>
      <c r="DJ165" s="701">
        <f>IF('2 M-A +'!K23='2 M-A +'!$B$44,IF('2 M-A +'!K$32=112,IF('2 M-A +'!K22=20,1,0)))*'2 M-A +'!K$33</f>
        <v>0</v>
      </c>
      <c r="DK165" s="701">
        <f>IF('2 M-A +'!L23='2 M-A +'!$B$44,IF('2 M-A +'!L$32=112,IF('2 M-A +'!L22=20,1,0)))*'2 M-A +'!L$33</f>
        <v>0</v>
      </c>
      <c r="DL165" s="701">
        <f>IF('2 M-A +'!M23='2 M-A +'!$B$44,IF('2 M-A +'!M$32=112,IF('2 M-A +'!M22=20,1,0)))*'2 M-A +'!M$33</f>
        <v>0</v>
      </c>
      <c r="DM165" s="701">
        <f>IF('2 M-A +'!N23='2 M-A +'!$B$44,IF('2 M-A +'!N$32=112,IF('2 M-A +'!N22=20,1,0)))*'2 M-A +'!N$33</f>
        <v>0</v>
      </c>
      <c r="DN165" s="706"/>
      <c r="DO165" s="701">
        <f>IF('2 M-A +'!C23='2 M-A +'!$B$44,IF('2 M-A +'!C$32=120,IF('2 M-A +'!C22=20,1,0)))*'2 M-A +'!C$33</f>
        <v>0</v>
      </c>
      <c r="DP165" s="701">
        <f>IF('2 M-A +'!D23='2 M-A +'!$B$44,IF('2 M-A +'!D$32=120,IF('2 M-A +'!D22=20,1,0)))*'2 M-A +'!D$33</f>
        <v>0</v>
      </c>
      <c r="DQ165" s="701">
        <f>IF('2 M-A +'!E23='2 M-A +'!$B$44,IF('2 M-A +'!E$32=120,IF('2 M-A +'!E22=20,1,0)))*'2 M-A +'!E$33</f>
        <v>0</v>
      </c>
      <c r="DR165" s="701">
        <f>IF('2 M-A +'!F23='2 M-A +'!$B$44,IF('2 M-A +'!F$32=120,IF('2 M-A +'!F22=20,1,0)))*'2 M-A +'!F$33</f>
        <v>0</v>
      </c>
      <c r="DS165" s="701">
        <f>IF('2 M-A +'!G23='2 M-A +'!$B$44,IF('2 M-A +'!G$32=120,IF('2 M-A +'!G22=20,1,0)))*'2 M-A +'!G$33</f>
        <v>0</v>
      </c>
      <c r="DT165" s="701">
        <f>IF('2 M-A +'!H23='2 M-A +'!$B$44,IF('2 M-A +'!H$32=120,IF('2 M-A +'!H22=20,1,0)))*'2 M-A +'!H$33</f>
        <v>0</v>
      </c>
      <c r="DU165" s="701">
        <f>IF('2 M-A +'!I23='2 M-A +'!$B$44,IF('2 M-A +'!I$32=120,IF('2 M-A +'!I22=20,1,0)))*'2 M-A +'!I$33</f>
        <v>0</v>
      </c>
      <c r="DV165" s="701">
        <f>IF('2 M-A +'!J23='2 M-A +'!$B$44,IF('2 M-A +'!J$32=120,IF('2 M-A +'!J22=20,1,0)))*'2 M-A +'!J$33</f>
        <v>0</v>
      </c>
      <c r="DW165" s="701">
        <f>IF('2 M-A +'!K23='2 M-A +'!$B$44,IF('2 M-A +'!K$32=120,IF('2 M-A +'!K22=20,1,0)))*'2 M-A +'!K$33</f>
        <v>0</v>
      </c>
      <c r="DX165" s="701">
        <f>IF('2 M-A +'!L23='2 M-A +'!$B$44,IF('2 M-A +'!L$32=120,IF('2 M-A +'!L22=20,1,0)))*'2 M-A +'!L$33</f>
        <v>0</v>
      </c>
      <c r="DY165" s="701">
        <f>IF('2 M-A +'!M23='2 M-A +'!$B$44,IF('2 M-A +'!M$32=120,IF('2 M-A +'!M22=20,1,0)))*'2 M-A +'!M$33</f>
        <v>0</v>
      </c>
      <c r="DZ165" s="701">
        <f>IF('2 M-A +'!N23='2 M-A +'!$B$44,IF('2 M-A +'!N$32=120,IF('2 M-A +'!N22=20,1,0)))*'2 M-A +'!N$33</f>
        <v>0</v>
      </c>
      <c r="EA165" s="706"/>
      <c r="EB165" s="701">
        <f>IF('2 M-A +'!C23='2 M-A +'!$B$44,IF('2 M-A +'!C$32=140,IF('2 M-A +'!C22=20,1,0)))*'2 M-A +'!C$33</f>
        <v>0</v>
      </c>
      <c r="EC165" s="701">
        <f>IF('2 M-A +'!D23='2 M-A +'!$B$44,IF('2 M-A +'!D$32=140,IF('2 M-A +'!D22=20,1,0)))*'2 M-A +'!D$33</f>
        <v>0</v>
      </c>
      <c r="ED165" s="701">
        <f>IF('2 M-A +'!E23='2 M-A +'!$B$44,IF('2 M-A +'!E$32=140,IF('2 M-A +'!E22=20,1,0)))*'2 M-A +'!E$33</f>
        <v>0</v>
      </c>
      <c r="EE165" s="701">
        <f>IF('2 M-A +'!F23='2 M-A +'!$B$44,IF('2 M-A +'!F$32=140,IF('2 M-A +'!F22=20,1,0)))*'2 M-A +'!F$33</f>
        <v>0</v>
      </c>
      <c r="EF165" s="701">
        <f>IF('2 M-A +'!G23='2 M-A +'!$B$44,IF('2 M-A +'!G$32=140,IF('2 M-A +'!G22=20,1,0)))*'2 M-A +'!G$33</f>
        <v>0</v>
      </c>
      <c r="EG165" s="701">
        <f>IF('2 M-A +'!H23='2 M-A +'!$B$44,IF('2 M-A +'!H$32=140,IF('2 M-A +'!H22=20,1,0)))*'2 M-A +'!H$33</f>
        <v>0</v>
      </c>
      <c r="EH165" s="701">
        <f>IF('2 M-A +'!I23='2 M-A +'!$B$44,IF('2 M-A +'!I$32=140,IF('2 M-A +'!I22=20,1,0)))*'2 M-A +'!I$33</f>
        <v>0</v>
      </c>
      <c r="EI165" s="701">
        <f>IF('2 M-A +'!J23='2 M-A +'!$B$44,IF('2 M-A +'!J$32=140,IF('2 M-A +'!J22=20,1,0)))*'2 M-A +'!J$33</f>
        <v>0</v>
      </c>
      <c r="EJ165" s="701">
        <f>IF('2 M-A +'!K23='2 M-A +'!$B$44,IF('2 M-A +'!K$32=140,IF('2 M-A +'!K22=20,1,0)))*'2 M-A +'!K$33</f>
        <v>0</v>
      </c>
      <c r="EK165" s="701">
        <f>IF('2 M-A +'!L23='2 M-A +'!$B$44,IF('2 M-A +'!L$32=140,IF('2 M-A +'!L22=20,1,0)))*'2 M-A +'!L$33</f>
        <v>0</v>
      </c>
      <c r="EL165" s="701">
        <f>IF('2 M-A +'!M23='2 M-A +'!$B$44,IF('2 M-A +'!M$32=140,IF('2 M-A +'!M22=20,1,0)))*'2 M-A +'!M$33</f>
        <v>0</v>
      </c>
      <c r="EM165" s="701">
        <f>IF('2 M-A +'!N23='2 M-A +'!$B$44,IF('2 M-A +'!N$32=140,IF('2 M-A +'!N22=20,1,0)))*'2 M-A +'!N$33</f>
        <v>0</v>
      </c>
      <c r="EN165" s="706"/>
      <c r="EO165" s="701">
        <f>IF('2 M-A +'!C23='2 M-A +'!$B$44,IF('2 M-A +'!C$32=150,IF('2 M-A +'!C22=40,1,0)))*'2 M-A +'!C$33</f>
        <v>0</v>
      </c>
      <c r="EP165" s="701">
        <f>IF('2 M-A +'!D23='2 M-A +'!$B$44,IF('2 M-A +'!D$32=150,IF('2 M-A +'!D22=40,1,0)))*'2 M-A +'!D$33</f>
        <v>0</v>
      </c>
      <c r="EQ165" s="701">
        <f>IF('2 M-A +'!E23='2 M-A +'!$B$44,IF('2 M-A +'!E$32=150,IF('2 M-A +'!E22=40,1,0)))*'2 M-A +'!E$33</f>
        <v>0</v>
      </c>
      <c r="ER165" s="701">
        <f>IF('2 M-A +'!F23='2 M-A +'!$B$44,IF('2 M-A +'!F$32=150,IF('2 M-A +'!F22=40,1,0)))*'2 M-A +'!F$33</f>
        <v>0</v>
      </c>
      <c r="ES165" s="701">
        <f>IF('2 M-A +'!G23='2 M-A +'!$B$44,IF('2 M-A +'!G$32=150,IF('2 M-A +'!G22=40,1,0)))*'2 M-A +'!G$33</f>
        <v>0</v>
      </c>
      <c r="ET165" s="701">
        <f>IF('2 M-A +'!H23='2 M-A +'!$B$44,IF('2 M-A +'!H$32=150,IF('2 M-A +'!H22=40,1,0)))*'2 M-A +'!H$33</f>
        <v>0</v>
      </c>
      <c r="EU165" s="701">
        <f>IF('2 M-A +'!I23='2 M-A +'!$B$44,IF('2 M-A +'!I$32=150,IF('2 M-A +'!I22=40,1,0)))*'2 M-A +'!I$33</f>
        <v>0</v>
      </c>
      <c r="EV165" s="701">
        <f>IF('2 M-A +'!J23='2 M-A +'!$B$44,IF('2 M-A +'!J$32=150,IF('2 M-A +'!J22=40,1,0)))*'2 M-A +'!J$33</f>
        <v>0</v>
      </c>
      <c r="EW165" s="701">
        <f>IF('2 M-A +'!K23='2 M-A +'!$B$44,IF('2 M-A +'!K$32=150,IF('2 M-A +'!K22=40,1,0)))*'2 M-A +'!K$33</f>
        <v>0</v>
      </c>
      <c r="EX165" s="701">
        <f>IF('2 M-A +'!L23='2 M-A +'!$B$44,IF('2 M-A +'!L$32=150,IF('2 M-A +'!L22=40,1,0)))*'2 M-A +'!L$33</f>
        <v>0</v>
      </c>
      <c r="EY165" s="701">
        <f>IF('2 M-A +'!M23='2 M-A +'!$B$44,IF('2 M-A +'!M$32=150,IF('2 M-A +'!M22=40,1,0)))*'2 M-A +'!M$33</f>
        <v>0</v>
      </c>
      <c r="EZ165" s="701">
        <f>IF('2 M-A +'!N23='2 M-A +'!$B$44,IF('2 M-A +'!N$32=150,IF('2 M-A +'!N22=40,1,0)))*'2 M-A +'!N$33</f>
        <v>0</v>
      </c>
      <c r="FA165" s="706"/>
      <c r="FB165" s="855"/>
      <c r="FC165" s="838"/>
      <c r="FD165" s="855"/>
      <c r="FE165" s="838"/>
      <c r="FF165" s="855"/>
      <c r="FG165" s="838"/>
      <c r="FH165" s="855"/>
      <c r="FI165" s="838"/>
      <c r="FJ165" s="855"/>
      <c r="FK165" s="838"/>
      <c r="FL165" s="855"/>
      <c r="FM165" s="838"/>
      <c r="FN165" s="855"/>
      <c r="FO165" s="838"/>
      <c r="FP165" s="855"/>
      <c r="FQ165" s="838"/>
      <c r="FR165" s="855"/>
      <c r="FS165" s="838"/>
      <c r="FT165" s="855"/>
      <c r="FU165" s="838"/>
      <c r="FV165" s="855"/>
      <c r="FW165" s="838"/>
      <c r="FX165" s="855"/>
      <c r="FY165" s="838"/>
      <c r="FZ165" s="855"/>
      <c r="GA165" s="838"/>
      <c r="GB165" s="855"/>
      <c r="GC165" s="838"/>
      <c r="GD165" s="855"/>
      <c r="GE165" s="838"/>
      <c r="GF165" s="855"/>
      <c r="GG165" s="838"/>
      <c r="GH165" s="855"/>
      <c r="GI165" s="838"/>
      <c r="GJ165" s="855"/>
      <c r="GK165" s="855"/>
      <c r="GL165" s="838"/>
      <c r="GM165" s="838"/>
      <c r="GN165" s="838"/>
    </row>
    <row r="166" spans="2:196" x14ac:dyDescent="0.35">
      <c r="B166" s="702"/>
      <c r="C166" s="702"/>
      <c r="D166" s="702"/>
      <c r="E166" s="702"/>
      <c r="F166" s="702"/>
      <c r="G166" s="702"/>
      <c r="H166" s="702"/>
      <c r="I166" s="702"/>
      <c r="J166" s="702"/>
      <c r="K166" s="702"/>
      <c r="L166" s="702"/>
      <c r="M166" s="702"/>
      <c r="N166" s="706"/>
      <c r="O166" s="702"/>
      <c r="P166" s="702"/>
      <c r="Q166" s="702"/>
      <c r="R166" s="702"/>
      <c r="S166" s="702"/>
      <c r="T166" s="702"/>
      <c r="U166" s="702"/>
      <c r="V166" s="702"/>
      <c r="W166" s="702"/>
      <c r="X166" s="702"/>
      <c r="Y166" s="702"/>
      <c r="Z166" s="702"/>
      <c r="AA166" s="706"/>
      <c r="AB166" s="702"/>
      <c r="AC166" s="702"/>
      <c r="AD166" s="702"/>
      <c r="AE166" s="702"/>
      <c r="AF166" s="702"/>
      <c r="AG166" s="702"/>
      <c r="AH166" s="702"/>
      <c r="AI166" s="702"/>
      <c r="AJ166" s="702"/>
      <c r="AK166" s="702"/>
      <c r="AL166" s="702"/>
      <c r="AM166" s="702"/>
      <c r="AN166" s="706"/>
      <c r="AO166" s="702"/>
      <c r="AP166" s="702"/>
      <c r="AQ166" s="702"/>
      <c r="AR166" s="702"/>
      <c r="AS166" s="702"/>
      <c r="AT166" s="702"/>
      <c r="AU166" s="702"/>
      <c r="AV166" s="702"/>
      <c r="AW166" s="702"/>
      <c r="AX166" s="702"/>
      <c r="AY166" s="702"/>
      <c r="AZ166" s="702"/>
      <c r="BA166" s="706"/>
      <c r="BB166" s="702"/>
      <c r="BC166" s="702"/>
      <c r="BD166" s="702"/>
      <c r="BE166" s="702"/>
      <c r="BF166" s="702"/>
      <c r="BG166" s="702"/>
      <c r="BH166" s="702"/>
      <c r="BI166" s="702"/>
      <c r="BJ166" s="702"/>
      <c r="BK166" s="702"/>
      <c r="BL166" s="702"/>
      <c r="BM166" s="702"/>
      <c r="BN166" s="706"/>
      <c r="BO166" s="702"/>
      <c r="BP166" s="702"/>
      <c r="BQ166" s="702"/>
      <c r="BR166" s="702"/>
      <c r="BS166" s="702"/>
      <c r="BT166" s="702"/>
      <c r="BU166" s="702"/>
      <c r="BV166" s="702"/>
      <c r="BW166" s="702"/>
      <c r="BX166" s="702"/>
      <c r="BY166" s="702"/>
      <c r="BZ166" s="702"/>
      <c r="CA166" s="706"/>
      <c r="CB166" s="702"/>
      <c r="CC166" s="702"/>
      <c r="CD166" s="702"/>
      <c r="CE166" s="702"/>
      <c r="CF166" s="702"/>
      <c r="CG166" s="702"/>
      <c r="CH166" s="702"/>
      <c r="CI166" s="702"/>
      <c r="CJ166" s="702"/>
      <c r="CK166" s="702"/>
      <c r="CL166" s="702"/>
      <c r="CM166" s="702"/>
      <c r="CN166" s="706"/>
      <c r="CO166" s="702"/>
      <c r="CP166" s="702"/>
      <c r="CQ166" s="702"/>
      <c r="CR166" s="702"/>
      <c r="CS166" s="702"/>
      <c r="CT166" s="702"/>
      <c r="CU166" s="702"/>
      <c r="CV166" s="702"/>
      <c r="CW166" s="702"/>
      <c r="CX166" s="702"/>
      <c r="CY166" s="702"/>
      <c r="CZ166" s="702"/>
      <c r="DA166" s="706"/>
      <c r="DB166" s="702"/>
      <c r="DC166" s="702"/>
      <c r="DD166" s="702"/>
      <c r="DE166" s="702"/>
      <c r="DF166" s="702"/>
      <c r="DG166" s="702"/>
      <c r="DH166" s="702"/>
      <c r="DI166" s="702"/>
      <c r="DJ166" s="702"/>
      <c r="DK166" s="702"/>
      <c r="DL166" s="702"/>
      <c r="DM166" s="702"/>
      <c r="DN166" s="706"/>
      <c r="DO166" s="702"/>
      <c r="DP166" s="702"/>
      <c r="DQ166" s="702"/>
      <c r="DR166" s="702"/>
      <c r="DS166" s="702"/>
      <c r="DT166" s="702"/>
      <c r="DU166" s="702"/>
      <c r="DV166" s="702"/>
      <c r="DW166" s="702"/>
      <c r="DX166" s="702"/>
      <c r="DY166" s="702"/>
      <c r="DZ166" s="702"/>
      <c r="EA166" s="706"/>
      <c r="EB166" s="702"/>
      <c r="EC166" s="702"/>
      <c r="ED166" s="702"/>
      <c r="EE166" s="702"/>
      <c r="EF166" s="702"/>
      <c r="EG166" s="702"/>
      <c r="EH166" s="702"/>
      <c r="EI166" s="702"/>
      <c r="EJ166" s="702"/>
      <c r="EK166" s="702"/>
      <c r="EL166" s="702"/>
      <c r="EM166" s="702"/>
      <c r="EN166" s="706"/>
      <c r="EO166" s="702"/>
      <c r="EP166" s="702"/>
      <c r="EQ166" s="702"/>
      <c r="ER166" s="702"/>
      <c r="ES166" s="702"/>
      <c r="ET166" s="702"/>
      <c r="EU166" s="702"/>
      <c r="EV166" s="702"/>
      <c r="EW166" s="702"/>
      <c r="EX166" s="702"/>
      <c r="EY166" s="702"/>
      <c r="EZ166" s="702"/>
      <c r="FA166" s="706"/>
      <c r="FB166" s="838"/>
      <c r="FC166" s="838"/>
      <c r="FD166" s="838"/>
      <c r="FE166" s="838"/>
      <c r="FF166" s="838"/>
      <c r="FG166" s="838"/>
      <c r="FH166" s="838"/>
      <c r="FI166" s="838"/>
      <c r="FJ166" s="838"/>
      <c r="FK166" s="838"/>
      <c r="FL166" s="838"/>
      <c r="FM166" s="838"/>
      <c r="FN166" s="838"/>
      <c r="FO166" s="838"/>
      <c r="FP166" s="838"/>
      <c r="FQ166" s="838"/>
      <c r="FR166" s="838"/>
      <c r="FS166" s="838"/>
      <c r="FT166" s="838"/>
      <c r="FU166" s="838"/>
      <c r="FV166" s="838"/>
      <c r="FW166" s="838"/>
      <c r="FX166" s="838"/>
      <c r="FY166" s="838"/>
      <c r="FZ166" s="838"/>
      <c r="GA166" s="838"/>
      <c r="GB166" s="838"/>
      <c r="GC166" s="838"/>
      <c r="GD166" s="838"/>
      <c r="GE166" s="838"/>
      <c r="GF166" s="838"/>
      <c r="GG166" s="838"/>
      <c r="GH166" s="838"/>
      <c r="GI166" s="838"/>
      <c r="GJ166" s="838"/>
      <c r="GK166" s="838"/>
      <c r="GL166" s="838"/>
      <c r="GM166" s="838"/>
      <c r="GN166" s="838"/>
    </row>
    <row r="167" spans="2:196" x14ac:dyDescent="0.35">
      <c r="B167" s="701">
        <f>IF('2 M-A +'!C25='2 M-A +'!$B$44,IF('2 M-A +'!C$32=28,IF('2 M-A +'!C24=20,1,0)))*'2 M-A +'!C$33</f>
        <v>0</v>
      </c>
      <c r="C167" s="701">
        <f>IF('2 M-A +'!D25='2 M-A +'!$B$44,IF('2 M-A +'!D$32=28,IF('2 M-A +'!D24=20,1,0)))*'2 M-A +'!D$33</f>
        <v>0</v>
      </c>
      <c r="D167" s="701">
        <f>IF('2 M-A +'!E25='2 M-A +'!$B$44,IF('2 M-A +'!E$32=28,IF('2 M-A +'!E24=20,1,0)))*'2 M-A +'!E$33</f>
        <v>0</v>
      </c>
      <c r="E167" s="701">
        <f>IF('2 M-A +'!F25='2 M-A +'!$B$44,IF('2 M-A +'!F$32=28,IF('2 M-A +'!F24=20,1,0)))*'2 M-A +'!F$33</f>
        <v>0</v>
      </c>
      <c r="F167" s="701">
        <f>IF('2 M-A +'!G25='2 M-A +'!$B$44,IF('2 M-A +'!G$32=28,IF('2 M-A +'!G24=20,1,0)))*'2 M-A +'!G$33</f>
        <v>0</v>
      </c>
      <c r="G167" s="701">
        <f>IF('2 M-A +'!H25='2 M-A +'!$B$44,IF('2 M-A +'!H$32=28,IF('2 M-A +'!H24=20,1,0)))*'2 M-A +'!H$33</f>
        <v>0</v>
      </c>
      <c r="H167" s="701">
        <f>IF('2 M-A +'!I25='2 M-A +'!$B$44,IF('2 M-A +'!I$32=28,IF('2 M-A +'!I24=20,1,0)))*'2 M-A +'!I$33</f>
        <v>0</v>
      </c>
      <c r="I167" s="701">
        <f>IF('2 M-A +'!J25='2 M-A +'!$B$44,IF('2 M-A +'!J$32=28,IF('2 M-A +'!J24=20,1,0)))*'2 M-A +'!J$33</f>
        <v>0</v>
      </c>
      <c r="J167" s="701">
        <f>IF('2 M-A +'!K25='2 M-A +'!$B$44,IF('2 M-A +'!K$32=28,IF('2 M-A +'!K24=20,1,0)))*'2 M-A +'!K$33</f>
        <v>0</v>
      </c>
      <c r="K167" s="701">
        <f>IF('2 M-A +'!L25='2 M-A +'!$B$44,IF('2 M-A +'!L$32=28,IF('2 M-A +'!L24=20,1,0)))*'2 M-A +'!L$33</f>
        <v>0</v>
      </c>
      <c r="L167" s="701">
        <f>IF('2 M-A +'!M25='2 M-A +'!$B$44,IF('2 M-A +'!M$32=28,IF('2 M-A +'!M24=20,1,0)))*'2 M-A +'!M$33</f>
        <v>0</v>
      </c>
      <c r="M167" s="701">
        <f>IF('2 M-A +'!N25='2 M-A +'!$B$44,IF('2 M-A +'!N$32=28,IF('2 M-A +'!N24=20,1,0)))*'2 M-A +'!N$33</f>
        <v>0</v>
      </c>
      <c r="N167" s="706"/>
      <c r="O167" s="701">
        <f>IF('2 M-A +'!C25='2 M-A +'!$B$44,IF('2 M-A +'!C$32=30,IF('2 M-A +'!C24=20,1,0)))*'2 M-A +'!C$33</f>
        <v>0</v>
      </c>
      <c r="P167" s="701">
        <f>IF('2 M-A +'!D25='2 M-A +'!$B$44,IF('2 M-A +'!D$32=30,IF('2 M-A +'!D24=20,1,0)))*'2 M-A +'!D$33</f>
        <v>0</v>
      </c>
      <c r="Q167" s="701">
        <f>IF('2 M-A +'!E25='2 M-A +'!$B$44,IF('2 M-A +'!E$32=30,IF('2 M-A +'!E24=20,1,0)))*'2 M-A +'!E$33</f>
        <v>0</v>
      </c>
      <c r="R167" s="701">
        <f>IF('2 M-A +'!F25='2 M-A +'!$B$44,IF('2 M-A +'!F$32=30,IF('2 M-A +'!F24=20,1,0)))*'2 M-A +'!F$33</f>
        <v>0</v>
      </c>
      <c r="S167" s="701">
        <f>IF('2 M-A +'!G25='2 M-A +'!$B$44,IF('2 M-A +'!G$32=30,IF('2 M-A +'!G24=20,1,0)))*'2 M-A +'!G$33</f>
        <v>0</v>
      </c>
      <c r="T167" s="701">
        <f>IF('2 M-A +'!H25='2 M-A +'!$B$44,IF('2 M-A +'!H$32=30,IF('2 M-A +'!H24=20,1,0)))*'2 M-A +'!H$33</f>
        <v>0</v>
      </c>
      <c r="U167" s="701">
        <f>IF('2 M-A +'!I25='2 M-A +'!$B$44,IF('2 M-A +'!I$32=30,IF('2 M-A +'!I24=20,1,0)))*'2 M-A +'!I$33</f>
        <v>0</v>
      </c>
      <c r="V167" s="701">
        <f>IF('2 M-A +'!J25='2 M-A +'!$B$44,IF('2 M-A +'!J$32=30,IF('2 M-A +'!J24=20,1,0)))*'2 M-A +'!J$33</f>
        <v>0</v>
      </c>
      <c r="W167" s="701">
        <f>IF('2 M-A +'!K25='2 M-A +'!$B$44,IF('2 M-A +'!K$32=30,IF('2 M-A +'!K24=20,1,0)))*'2 M-A +'!K$33</f>
        <v>0</v>
      </c>
      <c r="X167" s="701">
        <f>IF('2 M-A +'!L25='2 M-A +'!$B$44,IF('2 M-A +'!L$32=30,IF('2 M-A +'!L24=20,1,0)))*'2 M-A +'!L$33</f>
        <v>0</v>
      </c>
      <c r="Y167" s="701">
        <f>IF('2 M-A +'!M25='2 M-A +'!$B$44,IF('2 M-A +'!M$32=30,IF('2 M-A +'!M24=20,1,0)))*'2 M-A +'!M$33</f>
        <v>0</v>
      </c>
      <c r="Z167" s="701">
        <f>IF('2 M-A +'!N25='2 M-A +'!$B$44,IF('2 M-A +'!N$32=30,IF('2 M-A +'!N24=20,1,0)))*'2 M-A +'!N$33</f>
        <v>0</v>
      </c>
      <c r="AA167" s="706"/>
      <c r="AB167" s="701">
        <f>IF('2 M-A +'!C25='2 M-A +'!$B$44,IF('2 M-A +'!C$32=56,IF('2 M-A +'!C24=20,1,0)))*'2 M-A +'!C$33</f>
        <v>0</v>
      </c>
      <c r="AC167" s="701">
        <f>IF('2 M-A +'!D25='2 M-A +'!$B$44,IF('2 M-A +'!D$32=56,IF('2 M-A +'!D24=20,1,0)))*'2 M-A +'!D$33</f>
        <v>0</v>
      </c>
      <c r="AD167" s="701">
        <f>IF('2 M-A +'!E25='2 M-A +'!$B$44,IF('2 M-A +'!E$32=56,IF('2 M-A +'!E24=20,1,0)))*'2 M-A +'!E$33</f>
        <v>0</v>
      </c>
      <c r="AE167" s="701">
        <f>IF('2 M-A +'!F25='2 M-A +'!$B$44,IF('2 M-A +'!F$32=56,IF('2 M-A +'!F24=20,1,0)))*'2 M-A +'!F$33</f>
        <v>0</v>
      </c>
      <c r="AF167" s="701">
        <f>IF('2 M-A +'!G25='2 M-A +'!$B$44,IF('2 M-A +'!G$32=56,IF('2 M-A +'!G24=20,1,0)))*'2 M-A +'!G$33</f>
        <v>0</v>
      </c>
      <c r="AG167" s="701">
        <f>IF('2 M-A +'!H25='2 M-A +'!$B$44,IF('2 M-A +'!H$32=56,IF('2 M-A +'!H24=20,1,0)))*'2 M-A +'!H$33</f>
        <v>0</v>
      </c>
      <c r="AH167" s="701">
        <f>IF('2 M-A +'!I25='2 M-A +'!$B$44,IF('2 M-A +'!I$32=56,IF('2 M-A +'!I24=20,1,0)))*'2 M-A +'!I$33</f>
        <v>0</v>
      </c>
      <c r="AI167" s="701">
        <f>IF('2 M-A +'!J25='2 M-A +'!$B$44,IF('2 M-A +'!J$32=56,IF('2 M-A +'!J24=20,1,0)))*'2 M-A +'!J$33</f>
        <v>0</v>
      </c>
      <c r="AJ167" s="701">
        <f>IF('2 M-A +'!K25='2 M-A +'!$B$44,IF('2 M-A +'!K$32=56,IF('2 M-A +'!K24=20,1,0)))*'2 M-A +'!K$33</f>
        <v>0</v>
      </c>
      <c r="AK167" s="701">
        <f>IF('2 M-A +'!L25='2 M-A +'!$B$44,IF('2 M-A +'!L$32=56,IF('2 M-A +'!L24=20,1,0)))*'2 M-A +'!L$33</f>
        <v>0</v>
      </c>
      <c r="AL167" s="701">
        <f>IF('2 M-A +'!M25='2 M-A +'!$B$44,IF('2 M-A +'!M$32=56,IF('2 M-A +'!M24=20,1,0)))*'2 M-A +'!M$33</f>
        <v>0</v>
      </c>
      <c r="AM167" s="701">
        <f>IF('2 M-A +'!N25='2 M-A +'!$B$44,IF('2 M-A +'!N$32=56,IF('2 M-A +'!N24=20,1,0)))*'2 M-A +'!N$33</f>
        <v>0</v>
      </c>
      <c r="AN167" s="706"/>
      <c r="AO167" s="701">
        <f>IF('2 M-A +'!C25='2 M-A +'!$B$44,IF('2 M-A +'!C$32=60,IF('2 M-A +'!C24=20,1,0)))*'2 M-A +'!C$33</f>
        <v>0</v>
      </c>
      <c r="AP167" s="701">
        <f>IF('2 M-A +'!D25='2 M-A +'!$B$44,IF('2 M-A +'!D$32=60,IF('2 M-A +'!D24=20,1,0)))*'2 M-A +'!D$33</f>
        <v>0</v>
      </c>
      <c r="AQ167" s="701">
        <f>IF('2 M-A +'!E25='2 M-A +'!$B$44,IF('2 M-A +'!E$32=60,IF('2 M-A +'!E24=20,1,0)))*'2 M-A +'!E$33</f>
        <v>0</v>
      </c>
      <c r="AR167" s="701">
        <f>IF('2 M-A +'!F25='2 M-A +'!$B$44,IF('2 M-A +'!F$32=60,IF('2 M-A +'!F24=20,1,0)))*'2 M-A +'!F$33</f>
        <v>0</v>
      </c>
      <c r="AS167" s="701">
        <f>IF('2 M-A +'!G25='2 M-A +'!$B$44,IF('2 M-A +'!G$32=60,IF('2 M-A +'!G24=20,1,0)))*'2 M-A +'!G$33</f>
        <v>0</v>
      </c>
      <c r="AT167" s="701">
        <f>IF('2 M-A +'!H25='2 M-A +'!$B$44,IF('2 M-A +'!H$32=60,IF('2 M-A +'!H24=20,1,0)))*'2 M-A +'!H$33</f>
        <v>0</v>
      </c>
      <c r="AU167" s="701">
        <f>IF('2 M-A +'!I25='2 M-A +'!$B$44,IF('2 M-A +'!I$32=60,IF('2 M-A +'!I24=20,1,0)))*'2 M-A +'!I$33</f>
        <v>0</v>
      </c>
      <c r="AV167" s="701">
        <f>IF('2 M-A +'!J25='2 M-A +'!$B$44,IF('2 M-A +'!J$32=60,IF('2 M-A +'!J24=20,1,0)))*'2 M-A +'!J$33</f>
        <v>0</v>
      </c>
      <c r="AW167" s="701">
        <f>IF('2 M-A +'!K25='2 M-A +'!$B$44,IF('2 M-A +'!K$32=60,IF('2 M-A +'!K24=20,1,0)))*'2 M-A +'!K$33</f>
        <v>0</v>
      </c>
      <c r="AX167" s="701">
        <f>IF('2 M-A +'!L25='2 M-A +'!$B$44,IF('2 M-A +'!L$32=60,IF('2 M-A +'!L24=20,1,0)))*'2 M-A +'!L$33</f>
        <v>0</v>
      </c>
      <c r="AY167" s="701">
        <f>IF('2 M-A +'!M25='2 M-A +'!$B$44,IF('2 M-A +'!M$32=60,IF('2 M-A +'!M24=20,1,0)))*'2 M-A +'!M$33</f>
        <v>0</v>
      </c>
      <c r="AZ167" s="701">
        <f>IF('2 M-A +'!N25='2 M-A +'!$B$44,IF('2 M-A +'!N$32=60,IF('2 M-A +'!N24=20,1,0)))*'2 M-A +'!N$33</f>
        <v>0</v>
      </c>
      <c r="BA167" s="706"/>
      <c r="BB167" s="701">
        <f>IF('2 M-A +'!C25='2 M-A +'!$B$44,IF('2 M-A +'!C$32=70,IF('2 M-A +'!C24=20,1,0)))*'2 M-A +'!C$33</f>
        <v>0</v>
      </c>
      <c r="BC167" s="701">
        <f>IF('2 M-A +'!D25='2 M-A +'!$B$44,IF('2 M-A +'!D$32=70,IF('2 M-A +'!D24=20,1,0)))*'2 M-A +'!D$33</f>
        <v>0</v>
      </c>
      <c r="BD167" s="701">
        <f>IF('2 M-A +'!E25='2 M-A +'!$B$44,IF('2 M-A +'!E$32=70,IF('2 M-A +'!E24=20,1,0)))*'2 M-A +'!E$33</f>
        <v>0</v>
      </c>
      <c r="BE167" s="701">
        <f>IF('2 M-A +'!F25='2 M-A +'!$B$44,IF('2 M-A +'!F$32=70,IF('2 M-A +'!F24=20,1,0)))*'2 M-A +'!F$33</f>
        <v>0</v>
      </c>
      <c r="BF167" s="701">
        <f>IF('2 M-A +'!G25='2 M-A +'!$B$44,IF('2 M-A +'!G$32=70,IF('2 M-A +'!G24=20,1,0)))*'2 M-A +'!G$33</f>
        <v>0</v>
      </c>
      <c r="BG167" s="701">
        <f>IF('2 M-A +'!H25='2 M-A +'!$B$44,IF('2 M-A +'!H$32=70,IF('2 M-A +'!H24=20,1,0)))*'2 M-A +'!H$33</f>
        <v>0</v>
      </c>
      <c r="BH167" s="701">
        <f>IF('2 M-A +'!I25='2 M-A +'!$B$44,IF('2 M-A +'!I$32=70,IF('2 M-A +'!I24=20,1,0)))*'2 M-A +'!I$33</f>
        <v>0</v>
      </c>
      <c r="BI167" s="701">
        <f>IF('2 M-A +'!J25='2 M-A +'!$B$44,IF('2 M-A +'!J$32=70,IF('2 M-A +'!J24=20,1,0)))*'2 M-A +'!J$33</f>
        <v>0</v>
      </c>
      <c r="BJ167" s="701">
        <f>IF('2 M-A +'!K25='2 M-A +'!$B$44,IF('2 M-A +'!K$32=70,IF('2 M-A +'!K24=20,1,0)))*'2 M-A +'!K$33</f>
        <v>0</v>
      </c>
      <c r="BK167" s="701">
        <f>IF('2 M-A +'!L25='2 M-A +'!$B$44,IF('2 M-A +'!L$32=70,IF('2 M-A +'!L24=20,1,0)))*'2 M-A +'!L$33</f>
        <v>0</v>
      </c>
      <c r="BL167" s="701">
        <f>IF('2 M-A +'!M25='2 M-A +'!$B$44,IF('2 M-A +'!M$32=70,IF('2 M-A +'!M24=20,1,0)))*'2 M-A +'!M$33</f>
        <v>0</v>
      </c>
      <c r="BM167" s="701">
        <f>IF('2 M-A +'!N25='2 M-A +'!$B$44,IF('2 M-A +'!N$32=70,IF('2 M-A +'!N24=20,1,0)))*'2 M-A +'!N$33</f>
        <v>0</v>
      </c>
      <c r="BN167" s="706"/>
      <c r="BO167" s="701">
        <f>IF('2 M-A +'!C25='2 M-A +'!$B$44,IF('2 M-A +'!C$32=75,IF('2 M-A +'!C24=20,1,0)))*'2 M-A +'!C$33</f>
        <v>0</v>
      </c>
      <c r="BP167" s="701">
        <f>IF('2 M-A +'!D25='2 M-A +'!$B$44,IF('2 M-A +'!D$32=75,IF('2 M-A +'!D24=20,1,0)))*'2 M-A +'!D$33</f>
        <v>0</v>
      </c>
      <c r="BQ167" s="701">
        <f>IF('2 M-A +'!E25='2 M-A +'!$B$44,IF('2 M-A +'!E$32=75,IF('2 M-A +'!E24=20,1,0)))*'2 M-A +'!E$33</f>
        <v>0</v>
      </c>
      <c r="BR167" s="701">
        <f>IF('2 M-A +'!F25='2 M-A +'!$B$44,IF('2 M-A +'!F$32=75,IF('2 M-A +'!F24=20,1,0)))*'2 M-A +'!F$33</f>
        <v>0</v>
      </c>
      <c r="BS167" s="701">
        <f>IF('2 M-A +'!G25='2 M-A +'!$B$44,IF('2 M-A +'!G$32=75,IF('2 M-A +'!G24=20,1,0)))*'2 M-A +'!G$33</f>
        <v>0</v>
      </c>
      <c r="BT167" s="701">
        <f>IF('2 M-A +'!H25='2 M-A +'!$B$44,IF('2 M-A +'!H$32=75,IF('2 M-A +'!H24=20,1,0)))*'2 M-A +'!H$33</f>
        <v>0</v>
      </c>
      <c r="BU167" s="701">
        <f>IF('2 M-A +'!I25='2 M-A +'!$B$44,IF('2 M-A +'!I$32=75,IF('2 M-A +'!I24=20,1,0)))*'2 M-A +'!I$33</f>
        <v>0</v>
      </c>
      <c r="BV167" s="701">
        <f>IF('2 M-A +'!J25='2 M-A +'!$B$44,IF('2 M-A +'!J$32=75,IF('2 M-A +'!J24=20,1,0)))*'2 M-A +'!J$33</f>
        <v>0</v>
      </c>
      <c r="BW167" s="701">
        <f>IF('2 M-A +'!K25='2 M-A +'!$B$44,IF('2 M-A +'!K$32=75,IF('2 M-A +'!K24=20,1,0)))*'2 M-A +'!K$33</f>
        <v>0</v>
      </c>
      <c r="BX167" s="701">
        <f>IF('2 M-A +'!L25='2 M-A +'!$B$44,IF('2 M-A +'!L$32=75,IF('2 M-A +'!L24=20,1,0)))*'2 M-A +'!L$33</f>
        <v>0</v>
      </c>
      <c r="BY167" s="701">
        <f>IF('2 M-A +'!M25='2 M-A +'!$B$44,IF('2 M-A +'!M$32=75,IF('2 M-A +'!M24=20,1,0)))*'2 M-A +'!M$33</f>
        <v>0</v>
      </c>
      <c r="BZ167" s="701">
        <f>IF('2 M-A +'!N25='2 M-A +'!$B$44,IF('2 M-A +'!N$32=75,IF('2 M-A +'!N24=20,1,0)))*'2 M-A +'!N$33</f>
        <v>0</v>
      </c>
      <c r="CA167" s="706"/>
      <c r="CB167" s="701">
        <f>IF('2 M-A +'!C25='2 M-A +'!$B$44,IF('2 M-A +'!C$32=84,IF('2 M-A +'!C24=20,1,0)))*'2 M-A +'!C$33</f>
        <v>0</v>
      </c>
      <c r="CC167" s="701">
        <f>IF('2 M-A +'!D25='2 M-A +'!$B$44,IF('2 M-A +'!D$32=84,IF('2 M-A +'!D24=20,1,0)))*'2 M-A +'!D$33</f>
        <v>0</v>
      </c>
      <c r="CD167" s="701">
        <f>IF('2 M-A +'!E25='2 M-A +'!$B$44,IF('2 M-A +'!E$32=84,IF('2 M-A +'!E24=20,1,0)))*'2 M-A +'!E$33</f>
        <v>0</v>
      </c>
      <c r="CE167" s="701">
        <f>IF('2 M-A +'!F25='2 M-A +'!$B$44,IF('2 M-A +'!F$32=84,IF('2 M-A +'!F24=20,1,0)))*'2 M-A +'!F$33</f>
        <v>0</v>
      </c>
      <c r="CF167" s="701">
        <f>IF('2 M-A +'!G25='2 M-A +'!$B$44,IF('2 M-A +'!G$32=84,IF('2 M-A +'!G24=20,1,0)))*'2 M-A +'!G$33</f>
        <v>0</v>
      </c>
      <c r="CG167" s="701">
        <f>IF('2 M-A +'!H25='2 M-A +'!$B$44,IF('2 M-A +'!H$32=84,IF('2 M-A +'!H24=20,1,0)))*'2 M-A +'!H$33</f>
        <v>0</v>
      </c>
      <c r="CH167" s="701">
        <f>IF('2 M-A +'!I25='2 M-A +'!$B$44,IF('2 M-A +'!I$32=84,IF('2 M-A +'!I24=20,1,0)))*'2 M-A +'!I$33</f>
        <v>0</v>
      </c>
      <c r="CI167" s="701">
        <f>IF('2 M-A +'!J25='2 M-A +'!$B$44,IF('2 M-A +'!J$32=84,IF('2 M-A +'!J24=20,1,0)))*'2 M-A +'!J$33</f>
        <v>0</v>
      </c>
      <c r="CJ167" s="701">
        <f>IF('2 M-A +'!K25='2 M-A +'!$B$44,IF('2 M-A +'!K$32=84,IF('2 M-A +'!K24=20,1,0)))*'2 M-A +'!K$33</f>
        <v>0</v>
      </c>
      <c r="CK167" s="701">
        <f>IF('2 M-A +'!L25='2 M-A +'!$B$44,IF('2 M-A +'!L$32=84,IF('2 M-A +'!L24=20,1,0)))*'2 M-A +'!L$33</f>
        <v>0</v>
      </c>
      <c r="CL167" s="701">
        <f>IF('2 M-A +'!M25='2 M-A +'!$B$44,IF('2 M-A +'!M$32=84,IF('2 M-A +'!M24=20,1,0)))*'2 M-A +'!M$33</f>
        <v>0</v>
      </c>
      <c r="CM167" s="701">
        <f>IF('2 M-A +'!N25='2 M-A +'!$B$44,IF('2 M-A +'!N$32=84,IF('2 M-A +'!N24=20,1,0)))*'2 M-A +'!N$33</f>
        <v>0</v>
      </c>
      <c r="CN167" s="706"/>
      <c r="CO167" s="701">
        <f>IF('2 M-A +'!C25='2 M-A +'!$B$44,IF('2 M-A +'!C$43=90,IF('2 M-A +'!C24=20,1,0)))*'2 M-A +'!C$33</f>
        <v>0</v>
      </c>
      <c r="CP167" s="701">
        <f>IF('2 M-A +'!D25='2 M-A +'!$B$44,IF('2 M-A +'!D$43=90,IF('2 M-A +'!D24=20,1,0)))*'2 M-A +'!D$33</f>
        <v>0</v>
      </c>
      <c r="CQ167" s="701">
        <f>IF('2 M-A +'!E25='2 M-A +'!$B$44,IF('2 M-A +'!E$43=90,IF('2 M-A +'!E24=20,1,0)))*'2 M-A +'!E$33</f>
        <v>0</v>
      </c>
      <c r="CR167" s="701">
        <f>IF('2 M-A +'!F25='2 M-A +'!$B$44,IF('2 M-A +'!F$43=90,IF('2 M-A +'!F24=20,1,0)))*'2 M-A +'!F$33</f>
        <v>0</v>
      </c>
      <c r="CS167" s="701">
        <f>IF('2 M-A +'!G25='2 M-A +'!$B$44,IF('2 M-A +'!G$43=90,IF('2 M-A +'!G24=20,1,0)))*'2 M-A +'!G$33</f>
        <v>0</v>
      </c>
      <c r="CT167" s="701">
        <f>IF('2 M-A +'!H25='2 M-A +'!$B$44,IF('2 M-A +'!H$43=90,IF('2 M-A +'!H24=20,1,0)))*'2 M-A +'!H$33</f>
        <v>0</v>
      </c>
      <c r="CU167" s="701">
        <f>IF('2 M-A +'!I25='2 M-A +'!$B$44,IF('2 M-A +'!I$43=90,IF('2 M-A +'!I24=20,1,0)))*'2 M-A +'!I$33</f>
        <v>0</v>
      </c>
      <c r="CV167" s="701">
        <f>IF('2 M-A +'!J25='2 M-A +'!$B$44,IF('2 M-A +'!J$43=90,IF('2 M-A +'!J24=20,1,0)))*'2 M-A +'!J$33</f>
        <v>0</v>
      </c>
      <c r="CW167" s="701">
        <f>IF('2 M-A +'!K25='2 M-A +'!$B$44,IF('2 M-A +'!K$43=90,IF('2 M-A +'!K24=20,1,0)))*'2 M-A +'!K$33</f>
        <v>0</v>
      </c>
      <c r="CX167" s="701">
        <f>IF('2 M-A +'!L25='2 M-A +'!$B$44,IF('2 M-A +'!L$43=90,IF('2 M-A +'!L24=20,1,0)))*'2 M-A +'!L$33</f>
        <v>0</v>
      </c>
      <c r="CY167" s="701">
        <f>IF('2 M-A +'!M25='2 M-A +'!$B$44,IF('2 M-A +'!M$43=90,IF('2 M-A +'!M24=20,1,0)))*'2 M-A +'!M$33</f>
        <v>0</v>
      </c>
      <c r="CZ167" s="701">
        <f>IF('2 M-A +'!N25='2 M-A +'!$B$44,IF('2 M-A +'!N$43=90,IF('2 M-A +'!N24=20,1,0)))*'2 M-A +'!N$33</f>
        <v>0</v>
      </c>
      <c r="DA167" s="706"/>
      <c r="DB167" s="701">
        <f>IF('2 M-A +'!C25='2 M-A +'!$B$44,IF('2 M-A +'!C$32=112,IF('2 M-A +'!C24=20,1,0)))*'2 M-A +'!C$33</f>
        <v>0</v>
      </c>
      <c r="DC167" s="701">
        <f>IF('2 M-A +'!D25='2 M-A +'!$B$44,IF('2 M-A +'!D$32=112,IF('2 M-A +'!D24=20,1,0)))*'2 M-A +'!D$33</f>
        <v>0</v>
      </c>
      <c r="DD167" s="701">
        <f>IF('2 M-A +'!E25='2 M-A +'!$B$44,IF('2 M-A +'!E$32=112,IF('2 M-A +'!E24=20,1,0)))*'2 M-A +'!E$33</f>
        <v>0</v>
      </c>
      <c r="DE167" s="701">
        <f>IF('2 M-A +'!F25='2 M-A +'!$B$44,IF('2 M-A +'!F$32=112,IF('2 M-A +'!F24=20,1,0)))*'2 M-A +'!F$33</f>
        <v>0</v>
      </c>
      <c r="DF167" s="701">
        <f>IF('2 M-A +'!G25='2 M-A +'!$B$44,IF('2 M-A +'!G$32=112,IF('2 M-A +'!G24=20,1,0)))*'2 M-A +'!G$33</f>
        <v>0</v>
      </c>
      <c r="DG167" s="701">
        <f>IF('2 M-A +'!H25='2 M-A +'!$B$44,IF('2 M-A +'!H$32=112,IF('2 M-A +'!H24=20,1,0)))*'2 M-A +'!H$33</f>
        <v>0</v>
      </c>
      <c r="DH167" s="701">
        <f>IF('2 M-A +'!I25='2 M-A +'!$B$44,IF('2 M-A +'!I$32=112,IF('2 M-A +'!I24=20,1,0)))*'2 M-A +'!I$33</f>
        <v>0</v>
      </c>
      <c r="DI167" s="701">
        <f>IF('2 M-A +'!J25='2 M-A +'!$B$44,IF('2 M-A +'!J$32=112,IF('2 M-A +'!J24=20,1,0)))*'2 M-A +'!J$33</f>
        <v>0</v>
      </c>
      <c r="DJ167" s="701">
        <f>IF('2 M-A +'!K25='2 M-A +'!$B$44,IF('2 M-A +'!K$32=112,IF('2 M-A +'!K24=20,1,0)))*'2 M-A +'!K$33</f>
        <v>0</v>
      </c>
      <c r="DK167" s="701">
        <f>IF('2 M-A +'!L25='2 M-A +'!$B$44,IF('2 M-A +'!L$32=112,IF('2 M-A +'!L24=20,1,0)))*'2 M-A +'!L$33</f>
        <v>0</v>
      </c>
      <c r="DL167" s="701">
        <f>IF('2 M-A +'!M25='2 M-A +'!$B$44,IF('2 M-A +'!M$32=112,IF('2 M-A +'!M24=20,1,0)))*'2 M-A +'!M$33</f>
        <v>0</v>
      </c>
      <c r="DM167" s="701">
        <f>IF('2 M-A +'!N25='2 M-A +'!$B$44,IF('2 M-A +'!N$32=112,IF('2 M-A +'!N24=20,1,0)))*'2 M-A +'!N$33</f>
        <v>0</v>
      </c>
      <c r="DN167" s="706"/>
      <c r="DO167" s="701">
        <f>IF('2 M-A +'!C25='2 M-A +'!$B$44,IF('2 M-A +'!C$32=120,IF('2 M-A +'!C24=20,1,0)))*'2 M-A +'!C$33</f>
        <v>0</v>
      </c>
      <c r="DP167" s="701">
        <f>IF('2 M-A +'!D25='2 M-A +'!$B$44,IF('2 M-A +'!D$32=120,IF('2 M-A +'!D24=20,1,0)))*'2 M-A +'!D$33</f>
        <v>0</v>
      </c>
      <c r="DQ167" s="701">
        <f>IF('2 M-A +'!E25='2 M-A +'!$B$44,IF('2 M-A +'!E$32=120,IF('2 M-A +'!E24=20,1,0)))*'2 M-A +'!E$33</f>
        <v>0</v>
      </c>
      <c r="DR167" s="701">
        <f>IF('2 M-A +'!F25='2 M-A +'!$B$44,IF('2 M-A +'!F$32=120,IF('2 M-A +'!F24=20,1,0)))*'2 M-A +'!F$33</f>
        <v>0</v>
      </c>
      <c r="DS167" s="701">
        <f>IF('2 M-A +'!G25='2 M-A +'!$B$44,IF('2 M-A +'!G$32=120,IF('2 M-A +'!G24=20,1,0)))*'2 M-A +'!G$33</f>
        <v>0</v>
      </c>
      <c r="DT167" s="701">
        <f>IF('2 M-A +'!H25='2 M-A +'!$B$44,IF('2 M-A +'!H$32=120,IF('2 M-A +'!H24=20,1,0)))*'2 M-A +'!H$33</f>
        <v>0</v>
      </c>
      <c r="DU167" s="701">
        <f>IF('2 M-A +'!I25='2 M-A +'!$B$44,IF('2 M-A +'!I$32=120,IF('2 M-A +'!I24=20,1,0)))*'2 M-A +'!I$33</f>
        <v>0</v>
      </c>
      <c r="DV167" s="701">
        <f>IF('2 M-A +'!J25='2 M-A +'!$B$44,IF('2 M-A +'!J$32=120,IF('2 M-A +'!J24=20,1,0)))*'2 M-A +'!J$33</f>
        <v>0</v>
      </c>
      <c r="DW167" s="701">
        <f>IF('2 M-A +'!K25='2 M-A +'!$B$44,IF('2 M-A +'!K$32=120,IF('2 M-A +'!K24=20,1,0)))*'2 M-A +'!K$33</f>
        <v>0</v>
      </c>
      <c r="DX167" s="701">
        <f>IF('2 M-A +'!L25='2 M-A +'!$B$44,IF('2 M-A +'!L$32=120,IF('2 M-A +'!L24=20,1,0)))*'2 M-A +'!L$33</f>
        <v>0</v>
      </c>
      <c r="DY167" s="701">
        <f>IF('2 M-A +'!M25='2 M-A +'!$B$44,IF('2 M-A +'!M$32=120,IF('2 M-A +'!M24=20,1,0)))*'2 M-A +'!M$33</f>
        <v>0</v>
      </c>
      <c r="DZ167" s="701">
        <f>IF('2 M-A +'!N25='2 M-A +'!$B$44,IF('2 M-A +'!N$32=120,IF('2 M-A +'!N24=20,1,0)))*'2 M-A +'!N$33</f>
        <v>0</v>
      </c>
      <c r="EA167" s="706"/>
      <c r="EB167" s="701">
        <f>IF('2 M-A +'!C25='2 M-A +'!$B$44,IF('2 M-A +'!C$32=140,IF('2 M-A +'!C24=20,1,0)))*'2 M-A +'!C$33</f>
        <v>0</v>
      </c>
      <c r="EC167" s="701">
        <f>IF('2 M-A +'!D25='2 M-A +'!$B$44,IF('2 M-A +'!D$32=140,IF('2 M-A +'!D24=20,1,0)))*'2 M-A +'!D$33</f>
        <v>0</v>
      </c>
      <c r="ED167" s="701">
        <f>IF('2 M-A +'!E25='2 M-A +'!$B$44,IF('2 M-A +'!E$32=140,IF('2 M-A +'!E24=20,1,0)))*'2 M-A +'!E$33</f>
        <v>0</v>
      </c>
      <c r="EE167" s="701">
        <f>IF('2 M-A +'!F25='2 M-A +'!$B$44,IF('2 M-A +'!F$32=140,IF('2 M-A +'!F24=20,1,0)))*'2 M-A +'!F$33</f>
        <v>0</v>
      </c>
      <c r="EF167" s="701">
        <f>IF('2 M-A +'!G25='2 M-A +'!$B$44,IF('2 M-A +'!G$32=140,IF('2 M-A +'!G24=20,1,0)))*'2 M-A +'!G$33</f>
        <v>0</v>
      </c>
      <c r="EG167" s="701">
        <f>IF('2 M-A +'!H25='2 M-A +'!$B$44,IF('2 M-A +'!H$32=140,IF('2 M-A +'!H24=20,1,0)))*'2 M-A +'!H$33</f>
        <v>0</v>
      </c>
      <c r="EH167" s="701">
        <f>IF('2 M-A +'!I25='2 M-A +'!$B$44,IF('2 M-A +'!I$32=140,IF('2 M-A +'!I24=20,1,0)))*'2 M-A +'!I$33</f>
        <v>0</v>
      </c>
      <c r="EI167" s="701">
        <f>IF('2 M-A +'!J25='2 M-A +'!$B$44,IF('2 M-A +'!J$32=140,IF('2 M-A +'!J24=20,1,0)))*'2 M-A +'!J$33</f>
        <v>0</v>
      </c>
      <c r="EJ167" s="701">
        <f>IF('2 M-A +'!K25='2 M-A +'!$B$44,IF('2 M-A +'!K$32=140,IF('2 M-A +'!K24=20,1,0)))*'2 M-A +'!K$33</f>
        <v>0</v>
      </c>
      <c r="EK167" s="701">
        <f>IF('2 M-A +'!L25='2 M-A +'!$B$44,IF('2 M-A +'!L$32=140,IF('2 M-A +'!L24=20,1,0)))*'2 M-A +'!L$33</f>
        <v>0</v>
      </c>
      <c r="EL167" s="701">
        <f>IF('2 M-A +'!M25='2 M-A +'!$B$44,IF('2 M-A +'!M$32=140,IF('2 M-A +'!M24=20,1,0)))*'2 M-A +'!M$33</f>
        <v>0</v>
      </c>
      <c r="EM167" s="701">
        <f>IF('2 M-A +'!N25='2 M-A +'!$B$44,IF('2 M-A +'!N$32=140,IF('2 M-A +'!N24=20,1,0)))*'2 M-A +'!N$33</f>
        <v>0</v>
      </c>
      <c r="EN167" s="706"/>
      <c r="EO167" s="701">
        <f>IF('2 M-A +'!C25='2 M-A +'!$B$44,IF('2 M-A +'!C$32=150,IF('2 M-A +'!C24=40,1,0)))*'2 M-A +'!C$33</f>
        <v>0</v>
      </c>
      <c r="EP167" s="701">
        <f>IF('2 M-A +'!D25='2 M-A +'!$B$44,IF('2 M-A +'!D$32=150,IF('2 M-A +'!D24=40,1,0)))*'2 M-A +'!D$33</f>
        <v>0</v>
      </c>
      <c r="EQ167" s="701">
        <f>IF('2 M-A +'!E25='2 M-A +'!$B$44,IF('2 M-A +'!E$32=150,IF('2 M-A +'!E24=40,1,0)))*'2 M-A +'!E$33</f>
        <v>0</v>
      </c>
      <c r="ER167" s="701">
        <f>IF('2 M-A +'!F25='2 M-A +'!$B$44,IF('2 M-A +'!F$32=150,IF('2 M-A +'!F24=40,1,0)))*'2 M-A +'!F$33</f>
        <v>0</v>
      </c>
      <c r="ES167" s="701">
        <f>IF('2 M-A +'!G25='2 M-A +'!$B$44,IF('2 M-A +'!G$32=150,IF('2 M-A +'!G24=40,1,0)))*'2 M-A +'!G$33</f>
        <v>0</v>
      </c>
      <c r="ET167" s="701">
        <f>IF('2 M-A +'!H25='2 M-A +'!$B$44,IF('2 M-A +'!H$32=150,IF('2 M-A +'!H24=40,1,0)))*'2 M-A +'!H$33</f>
        <v>0</v>
      </c>
      <c r="EU167" s="701">
        <f>IF('2 M-A +'!I25='2 M-A +'!$B$44,IF('2 M-A +'!I$32=150,IF('2 M-A +'!I24=40,1,0)))*'2 M-A +'!I$33</f>
        <v>0</v>
      </c>
      <c r="EV167" s="701">
        <f>IF('2 M-A +'!J25='2 M-A +'!$B$44,IF('2 M-A +'!J$32=150,IF('2 M-A +'!J24=40,1,0)))*'2 M-A +'!J$33</f>
        <v>0</v>
      </c>
      <c r="EW167" s="701">
        <f>IF('2 M-A +'!K25='2 M-A +'!$B$44,IF('2 M-A +'!K$32=150,IF('2 M-A +'!K24=40,1,0)))*'2 M-A +'!K$33</f>
        <v>0</v>
      </c>
      <c r="EX167" s="701">
        <f>IF('2 M-A +'!L25='2 M-A +'!$B$44,IF('2 M-A +'!L$32=150,IF('2 M-A +'!L24=40,1,0)))*'2 M-A +'!L$33</f>
        <v>0</v>
      </c>
      <c r="EY167" s="701">
        <f>IF('2 M-A +'!M25='2 M-A +'!$B$44,IF('2 M-A +'!M$32=150,IF('2 M-A +'!M24=40,1,0)))*'2 M-A +'!M$33</f>
        <v>0</v>
      </c>
      <c r="EZ167" s="701">
        <f>IF('2 M-A +'!N25='2 M-A +'!$B$44,IF('2 M-A +'!N$32=150,IF('2 M-A +'!N24=40,1,0)))*'2 M-A +'!N$33</f>
        <v>0</v>
      </c>
      <c r="FA167" s="706"/>
      <c r="FB167" s="855"/>
      <c r="FC167" s="838"/>
      <c r="FD167" s="855"/>
      <c r="FE167" s="838"/>
      <c r="FF167" s="855"/>
      <c r="FG167" s="838"/>
      <c r="FH167" s="855"/>
      <c r="FI167" s="838"/>
      <c r="FJ167" s="855"/>
      <c r="FK167" s="838"/>
      <c r="FL167" s="855"/>
      <c r="FM167" s="838"/>
      <c r="FN167" s="855"/>
      <c r="FO167" s="838"/>
      <c r="FP167" s="855"/>
      <c r="FQ167" s="838"/>
      <c r="FR167" s="855"/>
      <c r="FS167" s="838"/>
      <c r="FT167" s="855"/>
      <c r="FU167" s="838"/>
      <c r="FV167" s="855"/>
      <c r="FW167" s="838"/>
      <c r="FX167" s="855"/>
      <c r="FY167" s="838"/>
      <c r="FZ167" s="855"/>
      <c r="GA167" s="838"/>
      <c r="GB167" s="855"/>
      <c r="GC167" s="838"/>
      <c r="GD167" s="855"/>
      <c r="GE167" s="838"/>
      <c r="GF167" s="855"/>
      <c r="GG167" s="838"/>
      <c r="GH167" s="855"/>
      <c r="GI167" s="838"/>
      <c r="GJ167" s="855"/>
      <c r="GK167" s="855"/>
      <c r="GL167" s="838"/>
      <c r="GM167" s="838"/>
      <c r="GN167" s="838"/>
    </row>
    <row r="168" spans="2:196" x14ac:dyDescent="0.35">
      <c r="B168" s="702"/>
      <c r="C168" s="702"/>
      <c r="D168" s="702"/>
      <c r="E168" s="702"/>
      <c r="F168" s="702"/>
      <c r="G168" s="702"/>
      <c r="H168" s="702"/>
      <c r="I168" s="702"/>
      <c r="J168" s="702"/>
      <c r="K168" s="702"/>
      <c r="L168" s="702"/>
      <c r="M168" s="702"/>
      <c r="N168" s="706"/>
      <c r="O168" s="702"/>
      <c r="P168" s="702"/>
      <c r="Q168" s="702"/>
      <c r="R168" s="702"/>
      <c r="S168" s="702"/>
      <c r="T168" s="702"/>
      <c r="U168" s="702"/>
      <c r="V168" s="702"/>
      <c r="W168" s="702"/>
      <c r="X168" s="702"/>
      <c r="Y168" s="702"/>
      <c r="Z168" s="702"/>
      <c r="AA168" s="706"/>
      <c r="AB168" s="702"/>
      <c r="AC168" s="702"/>
      <c r="AD168" s="702"/>
      <c r="AE168" s="702"/>
      <c r="AF168" s="702"/>
      <c r="AG168" s="702"/>
      <c r="AH168" s="702"/>
      <c r="AI168" s="702"/>
      <c r="AJ168" s="702"/>
      <c r="AK168" s="702"/>
      <c r="AL168" s="702"/>
      <c r="AM168" s="702"/>
      <c r="AN168" s="706"/>
      <c r="AO168" s="702"/>
      <c r="AP168" s="702"/>
      <c r="AQ168" s="702"/>
      <c r="AR168" s="702"/>
      <c r="AS168" s="702"/>
      <c r="AT168" s="702"/>
      <c r="AU168" s="702"/>
      <c r="AV168" s="702"/>
      <c r="AW168" s="702"/>
      <c r="AX168" s="702"/>
      <c r="AY168" s="702"/>
      <c r="AZ168" s="702"/>
      <c r="BA168" s="706"/>
      <c r="BB168" s="702"/>
      <c r="BC168" s="702"/>
      <c r="BD168" s="702"/>
      <c r="BE168" s="702"/>
      <c r="BF168" s="702"/>
      <c r="BG168" s="702"/>
      <c r="BH168" s="702"/>
      <c r="BI168" s="702"/>
      <c r="BJ168" s="702"/>
      <c r="BK168" s="702"/>
      <c r="BL168" s="702"/>
      <c r="BM168" s="702"/>
      <c r="BN168" s="706"/>
      <c r="BO168" s="702"/>
      <c r="BP168" s="702"/>
      <c r="BQ168" s="702"/>
      <c r="BR168" s="702"/>
      <c r="BS168" s="702"/>
      <c r="BT168" s="702"/>
      <c r="BU168" s="702"/>
      <c r="BV168" s="702"/>
      <c r="BW168" s="702"/>
      <c r="BX168" s="702"/>
      <c r="BY168" s="702"/>
      <c r="BZ168" s="702"/>
      <c r="CA168" s="706"/>
      <c r="CB168" s="702"/>
      <c r="CC168" s="702"/>
      <c r="CD168" s="702"/>
      <c r="CE168" s="702"/>
      <c r="CF168" s="702"/>
      <c r="CG168" s="702"/>
      <c r="CH168" s="702"/>
      <c r="CI168" s="702"/>
      <c r="CJ168" s="702"/>
      <c r="CK168" s="702"/>
      <c r="CL168" s="702"/>
      <c r="CM168" s="702"/>
      <c r="CN168" s="706"/>
      <c r="CO168" s="702"/>
      <c r="CP168" s="702"/>
      <c r="CQ168" s="702"/>
      <c r="CR168" s="702"/>
      <c r="CS168" s="702"/>
      <c r="CT168" s="702"/>
      <c r="CU168" s="702"/>
      <c r="CV168" s="702"/>
      <c r="CW168" s="702"/>
      <c r="CX168" s="702"/>
      <c r="CY168" s="702"/>
      <c r="CZ168" s="702"/>
      <c r="DA168" s="706"/>
      <c r="DB168" s="702"/>
      <c r="DC168" s="702"/>
      <c r="DD168" s="702"/>
      <c r="DE168" s="702"/>
      <c r="DF168" s="702"/>
      <c r="DG168" s="702"/>
      <c r="DH168" s="702"/>
      <c r="DI168" s="702"/>
      <c r="DJ168" s="702"/>
      <c r="DK168" s="702"/>
      <c r="DL168" s="702"/>
      <c r="DM168" s="702"/>
      <c r="DN168" s="706"/>
      <c r="DO168" s="702"/>
      <c r="DP168" s="702"/>
      <c r="DQ168" s="702"/>
      <c r="DR168" s="702"/>
      <c r="DS168" s="702"/>
      <c r="DT168" s="702"/>
      <c r="DU168" s="702"/>
      <c r="DV168" s="702"/>
      <c r="DW168" s="702"/>
      <c r="DX168" s="702"/>
      <c r="DY168" s="702"/>
      <c r="DZ168" s="702"/>
      <c r="EA168" s="706"/>
      <c r="EB168" s="702"/>
      <c r="EC168" s="702"/>
      <c r="ED168" s="702"/>
      <c r="EE168" s="702"/>
      <c r="EF168" s="702"/>
      <c r="EG168" s="702"/>
      <c r="EH168" s="702"/>
      <c r="EI168" s="702"/>
      <c r="EJ168" s="702"/>
      <c r="EK168" s="702"/>
      <c r="EL168" s="702"/>
      <c r="EM168" s="702"/>
      <c r="EN168" s="706"/>
      <c r="EO168" s="702"/>
      <c r="EP168" s="702"/>
      <c r="EQ168" s="702"/>
      <c r="ER168" s="702"/>
      <c r="ES168" s="702"/>
      <c r="ET168" s="702"/>
      <c r="EU168" s="702"/>
      <c r="EV168" s="702"/>
      <c r="EW168" s="702"/>
      <c r="EX168" s="702"/>
      <c r="EY168" s="702"/>
      <c r="EZ168" s="702"/>
      <c r="FA168" s="706"/>
      <c r="FB168" s="838"/>
      <c r="FC168" s="838"/>
      <c r="FD168" s="838"/>
      <c r="FE168" s="838"/>
      <c r="FF168" s="838"/>
      <c r="FG168" s="838"/>
      <c r="FH168" s="838"/>
      <c r="FI168" s="838"/>
      <c r="FJ168" s="838"/>
      <c r="FK168" s="838"/>
      <c r="FL168" s="838"/>
      <c r="FM168" s="838"/>
      <c r="FN168" s="838"/>
      <c r="FO168" s="838"/>
      <c r="FP168" s="838"/>
      <c r="FQ168" s="838"/>
      <c r="FR168" s="838"/>
      <c r="FS168" s="838"/>
      <c r="FT168" s="838"/>
      <c r="FU168" s="838"/>
      <c r="FV168" s="838"/>
      <c r="FW168" s="838"/>
      <c r="FX168" s="838"/>
      <c r="FY168" s="838"/>
      <c r="FZ168" s="838"/>
      <c r="GA168" s="838"/>
      <c r="GB168" s="838"/>
      <c r="GC168" s="838"/>
      <c r="GD168" s="838"/>
      <c r="GE168" s="838"/>
      <c r="GF168" s="838"/>
      <c r="GG168" s="838"/>
      <c r="GH168" s="838"/>
      <c r="GI168" s="838"/>
      <c r="GJ168" s="838"/>
      <c r="GK168" s="838"/>
      <c r="GL168" s="838"/>
      <c r="GM168" s="838"/>
      <c r="GN168" s="838"/>
    </row>
    <row r="169" spans="2:196" x14ac:dyDescent="0.35">
      <c r="B169" s="701">
        <f>IF('2 M-A +'!C27='2 M-A +'!$B$44,IF('2 M-A +'!C$32=28,IF('2 M-A +'!C26=20,1,0)))*'2 M-A +'!C$33</f>
        <v>0</v>
      </c>
      <c r="C169" s="701">
        <f>IF('2 M-A +'!D27='2 M-A +'!$B$44,IF('2 M-A +'!D$32=28,IF('2 M-A +'!D26=20,1,0)))*'2 M-A +'!D$33</f>
        <v>0</v>
      </c>
      <c r="D169" s="701">
        <f>IF('2 M-A +'!E27='2 M-A +'!$B$44,IF('2 M-A +'!E$32=28,IF('2 M-A +'!E26=20,1,0)))*'2 M-A +'!E$33</f>
        <v>0</v>
      </c>
      <c r="E169" s="701">
        <f>IF('2 M-A +'!F27='2 M-A +'!$B$44,IF('2 M-A +'!F$32=28,IF('2 M-A +'!F26=20,1,0)))*'2 M-A +'!F$33</f>
        <v>0</v>
      </c>
      <c r="F169" s="701">
        <f>IF('2 M-A +'!G27='2 M-A +'!$B$44,IF('2 M-A +'!G$32=28,IF('2 M-A +'!G26=20,1,0)))*'2 M-A +'!G$33</f>
        <v>0</v>
      </c>
      <c r="G169" s="701">
        <f>IF('2 M-A +'!H27='2 M-A +'!$B$44,IF('2 M-A +'!H$32=28,IF('2 M-A +'!H26=20,1,0)))*'2 M-A +'!H$33</f>
        <v>0</v>
      </c>
      <c r="H169" s="701">
        <f>IF('2 M-A +'!I27='2 M-A +'!$B$44,IF('2 M-A +'!I$32=28,IF('2 M-A +'!I26=20,1,0)))*'2 M-A +'!I$33</f>
        <v>0</v>
      </c>
      <c r="I169" s="701">
        <f>IF('2 M-A +'!J27='2 M-A +'!$B$44,IF('2 M-A +'!J$32=28,IF('2 M-A +'!J26=20,1,0)))*'2 M-A +'!J$33</f>
        <v>0</v>
      </c>
      <c r="J169" s="701">
        <f>IF('2 M-A +'!K27='2 M-A +'!$B$44,IF('2 M-A +'!K$32=28,IF('2 M-A +'!K26=20,1,0)))*'2 M-A +'!K$33</f>
        <v>0</v>
      </c>
      <c r="K169" s="701">
        <f>IF('2 M-A +'!L27='2 M-A +'!$B$44,IF('2 M-A +'!L$32=28,IF('2 M-A +'!L26=20,1,0)))*'2 M-A +'!L$33</f>
        <v>0</v>
      </c>
      <c r="L169" s="701">
        <f>IF('2 M-A +'!M27='2 M-A +'!$B$44,IF('2 M-A +'!M$32=28,IF('2 M-A +'!M26=20,1,0)))*'2 M-A +'!M$33</f>
        <v>0</v>
      </c>
      <c r="M169" s="701">
        <f>IF('2 M-A +'!N27='2 M-A +'!$B$44,IF('2 M-A +'!N$32=28,IF('2 M-A +'!N26=20,1,0)))*'2 M-A +'!N$33</f>
        <v>0</v>
      </c>
      <c r="N169" s="706"/>
      <c r="O169" s="701">
        <f>IF('2 M-A +'!C27='2 M-A +'!$B$44,IF('2 M-A +'!C$32=30,IF('2 M-A +'!C26=20,1,0)))*'2 M-A +'!C$33</f>
        <v>0</v>
      </c>
      <c r="P169" s="701">
        <f>IF('2 M-A +'!D27='2 M-A +'!$B$44,IF('2 M-A +'!D$32=30,IF('2 M-A +'!D26=20,1,0)))*'2 M-A +'!D$33</f>
        <v>0</v>
      </c>
      <c r="Q169" s="701">
        <f>IF('2 M-A +'!E27='2 M-A +'!$B$44,IF('2 M-A +'!E$32=30,IF('2 M-A +'!E26=20,1,0)))*'2 M-A +'!E$33</f>
        <v>0</v>
      </c>
      <c r="R169" s="701">
        <f>IF('2 M-A +'!F27='2 M-A +'!$B$44,IF('2 M-A +'!F$32=30,IF('2 M-A +'!F26=20,1,0)))*'2 M-A +'!F$33</f>
        <v>0</v>
      </c>
      <c r="S169" s="701">
        <f>IF('2 M-A +'!G27='2 M-A +'!$B$44,IF('2 M-A +'!G$32=30,IF('2 M-A +'!G26=20,1,0)))*'2 M-A +'!G$33</f>
        <v>0</v>
      </c>
      <c r="T169" s="701">
        <f>IF('2 M-A +'!H27='2 M-A +'!$B$44,IF('2 M-A +'!H$32=30,IF('2 M-A +'!H26=20,1,0)))*'2 M-A +'!H$33</f>
        <v>0</v>
      </c>
      <c r="U169" s="701">
        <f>IF('2 M-A +'!I27='2 M-A +'!$B$44,IF('2 M-A +'!I$32=30,IF('2 M-A +'!I26=20,1,0)))*'2 M-A +'!I$33</f>
        <v>0</v>
      </c>
      <c r="V169" s="701">
        <f>IF('2 M-A +'!J27='2 M-A +'!$B$44,IF('2 M-A +'!J$32=30,IF('2 M-A +'!J26=20,1,0)))*'2 M-A +'!J$33</f>
        <v>0</v>
      </c>
      <c r="W169" s="701">
        <f>IF('2 M-A +'!K27='2 M-A +'!$B$44,IF('2 M-A +'!K$32=30,IF('2 M-A +'!K26=20,1,0)))*'2 M-A +'!K$33</f>
        <v>0</v>
      </c>
      <c r="X169" s="701">
        <f>IF('2 M-A +'!L27='2 M-A +'!$B$44,IF('2 M-A +'!L$32=30,IF('2 M-A +'!L26=20,1,0)))*'2 M-A +'!L$33</f>
        <v>0</v>
      </c>
      <c r="Y169" s="701">
        <f>IF('2 M-A +'!M27='2 M-A +'!$B$44,IF('2 M-A +'!M$32=30,IF('2 M-A +'!M26=20,1,0)))*'2 M-A +'!M$33</f>
        <v>0</v>
      </c>
      <c r="Z169" s="701">
        <f>IF('2 M-A +'!N27='2 M-A +'!$B$44,IF('2 M-A +'!N$32=30,IF('2 M-A +'!N26=20,1,0)))*'2 M-A +'!N$33</f>
        <v>0</v>
      </c>
      <c r="AA169" s="702"/>
      <c r="AB169" s="701">
        <f>IF('2 M-A +'!C27='2 M-A +'!$B$44,IF('2 M-A +'!C$32=56,IF('2 M-A +'!C26=20,1,0)))*'2 M-A +'!C$33</f>
        <v>0</v>
      </c>
      <c r="AC169" s="701">
        <f>IF('2 M-A +'!D27='2 M-A +'!$B$44,IF('2 M-A +'!D$32=56,IF('2 M-A +'!D26=20,1,0)))*'2 M-A +'!D$33</f>
        <v>0</v>
      </c>
      <c r="AD169" s="701">
        <f>IF('2 M-A +'!E27='2 M-A +'!$B$44,IF('2 M-A +'!E$32=56,IF('2 M-A +'!E26=20,1,0)))*'2 M-A +'!E$33</f>
        <v>0</v>
      </c>
      <c r="AE169" s="701">
        <f>IF('2 M-A +'!F27='2 M-A +'!$B$44,IF('2 M-A +'!F$32=56,IF('2 M-A +'!F26=20,1,0)))*'2 M-A +'!F$33</f>
        <v>0</v>
      </c>
      <c r="AF169" s="701">
        <f>IF('2 M-A +'!G27='2 M-A +'!$B$44,IF('2 M-A +'!G$32=56,IF('2 M-A +'!G26=20,1,0)))*'2 M-A +'!G$33</f>
        <v>0</v>
      </c>
      <c r="AG169" s="701">
        <f>IF('2 M-A +'!H27='2 M-A +'!$B$44,IF('2 M-A +'!H$32=56,IF('2 M-A +'!H26=20,1,0)))*'2 M-A +'!H$33</f>
        <v>0</v>
      </c>
      <c r="AH169" s="701">
        <f>IF('2 M-A +'!I27='2 M-A +'!$B$44,IF('2 M-A +'!I$32=56,IF('2 M-A +'!I26=20,1,0)))*'2 M-A +'!I$33</f>
        <v>0</v>
      </c>
      <c r="AI169" s="701">
        <f>IF('2 M-A +'!J27='2 M-A +'!$B$44,IF('2 M-A +'!J$32=56,IF('2 M-A +'!J26=20,1,0)))*'2 M-A +'!J$33</f>
        <v>0</v>
      </c>
      <c r="AJ169" s="701">
        <f>IF('2 M-A +'!K27='2 M-A +'!$B$44,IF('2 M-A +'!K$32=56,IF('2 M-A +'!K26=20,1,0)))*'2 M-A +'!K$33</f>
        <v>0</v>
      </c>
      <c r="AK169" s="701">
        <f>IF('2 M-A +'!L27='2 M-A +'!$B$44,IF('2 M-A +'!L$32=56,IF('2 M-A +'!L26=20,1,0)))*'2 M-A +'!L$33</f>
        <v>0</v>
      </c>
      <c r="AL169" s="701">
        <f>IF('2 M-A +'!M27='2 M-A +'!$B$44,IF('2 M-A +'!M$32=56,IF('2 M-A +'!M26=20,1,0)))*'2 M-A +'!M$33</f>
        <v>0</v>
      </c>
      <c r="AM169" s="701">
        <f>IF('2 M-A +'!N27='2 M-A +'!$B$44,IF('2 M-A +'!N$32=56,IF('2 M-A +'!N26=20,1,0)))*'2 M-A +'!N$33</f>
        <v>0</v>
      </c>
      <c r="AN169" s="702"/>
      <c r="AO169" s="701">
        <f>IF('2 M-A +'!C27='2 M-A +'!$B$44,IF('2 M-A +'!C$32=60,IF('2 M-A +'!C26=20,1,0)))*'2 M-A +'!C$33</f>
        <v>0</v>
      </c>
      <c r="AP169" s="701">
        <f>IF('2 M-A +'!D27='2 M-A +'!$B$44,IF('2 M-A +'!D$32=60,IF('2 M-A +'!D26=20,1,0)))*'2 M-A +'!D$33</f>
        <v>0</v>
      </c>
      <c r="AQ169" s="701">
        <f>IF('2 M-A +'!E27='2 M-A +'!$B$44,IF('2 M-A +'!E$32=60,IF('2 M-A +'!E26=20,1,0)))*'2 M-A +'!E$33</f>
        <v>0</v>
      </c>
      <c r="AR169" s="701">
        <f>IF('2 M-A +'!F27='2 M-A +'!$B$44,IF('2 M-A +'!F$32=60,IF('2 M-A +'!F26=20,1,0)))*'2 M-A +'!F$33</f>
        <v>0</v>
      </c>
      <c r="AS169" s="701">
        <f>IF('2 M-A +'!G27='2 M-A +'!$B$44,IF('2 M-A +'!G$32=60,IF('2 M-A +'!G26=20,1,0)))*'2 M-A +'!G$33</f>
        <v>0</v>
      </c>
      <c r="AT169" s="701">
        <f>IF('2 M-A +'!H27='2 M-A +'!$B$44,IF('2 M-A +'!H$32=60,IF('2 M-A +'!H26=20,1,0)))*'2 M-A +'!H$33</f>
        <v>0</v>
      </c>
      <c r="AU169" s="701">
        <f>IF('2 M-A +'!I27='2 M-A +'!$B$44,IF('2 M-A +'!I$32=60,IF('2 M-A +'!I26=20,1,0)))*'2 M-A +'!I$33</f>
        <v>0</v>
      </c>
      <c r="AV169" s="701">
        <f>IF('2 M-A +'!J27='2 M-A +'!$B$44,IF('2 M-A +'!J$32=60,IF('2 M-A +'!J26=20,1,0)))*'2 M-A +'!J$33</f>
        <v>0</v>
      </c>
      <c r="AW169" s="701">
        <f>IF('2 M-A +'!K27='2 M-A +'!$B$44,IF('2 M-A +'!K$32=60,IF('2 M-A +'!K26=20,1,0)))*'2 M-A +'!K$33</f>
        <v>0</v>
      </c>
      <c r="AX169" s="701">
        <f>IF('2 M-A +'!L27='2 M-A +'!$B$44,IF('2 M-A +'!L$32=60,IF('2 M-A +'!L26=20,1,0)))*'2 M-A +'!L$33</f>
        <v>0</v>
      </c>
      <c r="AY169" s="701">
        <f>IF('2 M-A +'!M27='2 M-A +'!$B$44,IF('2 M-A +'!M$32=60,IF('2 M-A +'!M26=20,1,0)))*'2 M-A +'!M$33</f>
        <v>0</v>
      </c>
      <c r="AZ169" s="701">
        <f>IF('2 M-A +'!N27='2 M-A +'!$B$44,IF('2 M-A +'!N$32=60,IF('2 M-A +'!N26=20,1,0)))*'2 M-A +'!N$33</f>
        <v>0</v>
      </c>
      <c r="BA169" s="706"/>
      <c r="BB169" s="701">
        <f>IF('2 M-A +'!C27='2 M-A +'!$B$44,IF('2 M-A +'!C$32=70,IF('2 M-A +'!C26=20,1,0)))*'2 M-A +'!C$33</f>
        <v>0</v>
      </c>
      <c r="BC169" s="701">
        <f>IF('2 M-A +'!D27='2 M-A +'!$B$44,IF('2 M-A +'!D$32=70,IF('2 M-A +'!D26=20,1,0)))*'2 M-A +'!D$33</f>
        <v>0</v>
      </c>
      <c r="BD169" s="701">
        <f>IF('2 M-A +'!E27='2 M-A +'!$B$44,IF('2 M-A +'!E$32=70,IF('2 M-A +'!E26=20,1,0)))*'2 M-A +'!E$33</f>
        <v>0</v>
      </c>
      <c r="BE169" s="701">
        <f>IF('2 M-A +'!F27='2 M-A +'!$B$44,IF('2 M-A +'!F$32=70,IF('2 M-A +'!F26=20,1,0)))*'2 M-A +'!F$33</f>
        <v>0</v>
      </c>
      <c r="BF169" s="701">
        <f>IF('2 M-A +'!G27='2 M-A +'!$B$44,IF('2 M-A +'!G$32=70,IF('2 M-A +'!G26=20,1,0)))*'2 M-A +'!G$33</f>
        <v>0</v>
      </c>
      <c r="BG169" s="701">
        <f>IF('2 M-A +'!H27='2 M-A +'!$B$44,IF('2 M-A +'!H$32=70,IF('2 M-A +'!H26=20,1,0)))*'2 M-A +'!H$33</f>
        <v>0</v>
      </c>
      <c r="BH169" s="701">
        <f>IF('2 M-A +'!I27='2 M-A +'!$B$44,IF('2 M-A +'!I$32=70,IF('2 M-A +'!I26=20,1,0)))*'2 M-A +'!I$33</f>
        <v>0</v>
      </c>
      <c r="BI169" s="701">
        <f>IF('2 M-A +'!J27='2 M-A +'!$B$44,IF('2 M-A +'!J$32=70,IF('2 M-A +'!J26=20,1,0)))*'2 M-A +'!J$33</f>
        <v>0</v>
      </c>
      <c r="BJ169" s="701">
        <f>IF('2 M-A +'!K27='2 M-A +'!$B$44,IF('2 M-A +'!K$32=70,IF('2 M-A +'!K26=20,1,0)))*'2 M-A +'!K$33</f>
        <v>0</v>
      </c>
      <c r="BK169" s="701">
        <f>IF('2 M-A +'!L27='2 M-A +'!$B$44,IF('2 M-A +'!L$32=70,IF('2 M-A +'!L26=20,1,0)))*'2 M-A +'!L$33</f>
        <v>0</v>
      </c>
      <c r="BL169" s="701">
        <f>IF('2 M-A +'!M27='2 M-A +'!$B$44,IF('2 M-A +'!M$32=70,IF('2 M-A +'!M26=20,1,0)))*'2 M-A +'!M$33</f>
        <v>0</v>
      </c>
      <c r="BM169" s="701">
        <f>IF('2 M-A +'!N27='2 M-A +'!$B$44,IF('2 M-A +'!N$32=70,IF('2 M-A +'!N26=20,1,0)))*'2 M-A +'!N$33</f>
        <v>0</v>
      </c>
      <c r="BN169" s="706"/>
      <c r="BO169" s="701">
        <f>IF('2 M-A +'!C27='2 M-A +'!$B$44,IF('2 M-A +'!C$32=75,IF('2 M-A +'!C26=20,1,0)))*'2 M-A +'!C$33</f>
        <v>0</v>
      </c>
      <c r="BP169" s="701">
        <f>IF('2 M-A +'!D27='2 M-A +'!$B$44,IF('2 M-A +'!D$32=75,IF('2 M-A +'!D26=20,1,0)))*'2 M-A +'!D$33</f>
        <v>0</v>
      </c>
      <c r="BQ169" s="701">
        <f>IF('2 M-A +'!E27='2 M-A +'!$B$44,IF('2 M-A +'!E$32=75,IF('2 M-A +'!E26=20,1,0)))*'2 M-A +'!E$33</f>
        <v>0</v>
      </c>
      <c r="BR169" s="701">
        <f>IF('2 M-A +'!F27='2 M-A +'!$B$44,IF('2 M-A +'!F$32=75,IF('2 M-A +'!F26=20,1,0)))*'2 M-A +'!F$33</f>
        <v>0</v>
      </c>
      <c r="BS169" s="701">
        <f>IF('2 M-A +'!G27='2 M-A +'!$B$44,IF('2 M-A +'!G$32=75,IF('2 M-A +'!G26=20,1,0)))*'2 M-A +'!G$33</f>
        <v>0</v>
      </c>
      <c r="BT169" s="701">
        <f>IF('2 M-A +'!H27='2 M-A +'!$B$44,IF('2 M-A +'!H$32=75,IF('2 M-A +'!H26=20,1,0)))*'2 M-A +'!H$33</f>
        <v>0</v>
      </c>
      <c r="BU169" s="701">
        <f>IF('2 M-A +'!I27='2 M-A +'!$B$44,IF('2 M-A +'!I$32=75,IF('2 M-A +'!I26=20,1,0)))*'2 M-A +'!I$33</f>
        <v>0</v>
      </c>
      <c r="BV169" s="701">
        <f>IF('2 M-A +'!J27='2 M-A +'!$B$44,IF('2 M-A +'!J$32=75,IF('2 M-A +'!J26=20,1,0)))*'2 M-A +'!J$33</f>
        <v>0</v>
      </c>
      <c r="BW169" s="701">
        <f>IF('2 M-A +'!K27='2 M-A +'!$B$44,IF('2 M-A +'!K$32=75,IF('2 M-A +'!K26=20,1,0)))*'2 M-A +'!K$33</f>
        <v>0</v>
      </c>
      <c r="BX169" s="701">
        <f>IF('2 M-A +'!L27='2 M-A +'!$B$44,IF('2 M-A +'!L$32=75,IF('2 M-A +'!L26=20,1,0)))*'2 M-A +'!L$33</f>
        <v>0</v>
      </c>
      <c r="BY169" s="701">
        <f>IF('2 M-A +'!M27='2 M-A +'!$B$44,IF('2 M-A +'!M$32=75,IF('2 M-A +'!M26=20,1,0)))*'2 M-A +'!M$33</f>
        <v>0</v>
      </c>
      <c r="BZ169" s="701">
        <f>IF('2 M-A +'!N27='2 M-A +'!$B$44,IF('2 M-A +'!N$32=75,IF('2 M-A +'!N26=20,1,0)))*'2 M-A +'!N$33</f>
        <v>0</v>
      </c>
      <c r="CA169" s="706"/>
      <c r="CB169" s="701">
        <f>IF('2 M-A +'!C27='2 M-A +'!$B$44,IF('2 M-A +'!C$32=84,IF('2 M-A +'!C26=20,1,0)))*'2 M-A +'!C$33</f>
        <v>0</v>
      </c>
      <c r="CC169" s="701">
        <f>IF('2 M-A +'!D27='2 M-A +'!$B$44,IF('2 M-A +'!D$32=84,IF('2 M-A +'!D26=20,1,0)))*'2 M-A +'!D$33</f>
        <v>0</v>
      </c>
      <c r="CD169" s="701">
        <f>IF('2 M-A +'!E27='2 M-A +'!$B$44,IF('2 M-A +'!E$32=84,IF('2 M-A +'!E26=20,1,0)))*'2 M-A +'!E$33</f>
        <v>0</v>
      </c>
      <c r="CE169" s="701">
        <f>IF('2 M-A +'!F27='2 M-A +'!$B$44,IF('2 M-A +'!F$32=84,IF('2 M-A +'!F26=20,1,0)))*'2 M-A +'!F$33</f>
        <v>0</v>
      </c>
      <c r="CF169" s="701">
        <f>IF('2 M-A +'!G27='2 M-A +'!$B$44,IF('2 M-A +'!G$32=84,IF('2 M-A +'!G26=20,1,0)))*'2 M-A +'!G$33</f>
        <v>0</v>
      </c>
      <c r="CG169" s="701">
        <f>IF('2 M-A +'!H27='2 M-A +'!$B$44,IF('2 M-A +'!H$32=84,IF('2 M-A +'!H26=20,1,0)))*'2 M-A +'!H$33</f>
        <v>0</v>
      </c>
      <c r="CH169" s="701">
        <f>IF('2 M-A +'!I27='2 M-A +'!$B$44,IF('2 M-A +'!I$32=84,IF('2 M-A +'!I26=20,1,0)))*'2 M-A +'!I$33</f>
        <v>0</v>
      </c>
      <c r="CI169" s="701">
        <f>IF('2 M-A +'!J27='2 M-A +'!$B$44,IF('2 M-A +'!J$32=84,IF('2 M-A +'!J26=20,1,0)))*'2 M-A +'!J$33</f>
        <v>0</v>
      </c>
      <c r="CJ169" s="701">
        <f>IF('2 M-A +'!K27='2 M-A +'!$B$44,IF('2 M-A +'!K$32=84,IF('2 M-A +'!K26=20,1,0)))*'2 M-A +'!K$33</f>
        <v>0</v>
      </c>
      <c r="CK169" s="701">
        <f>IF('2 M-A +'!L27='2 M-A +'!$B$44,IF('2 M-A +'!L$32=84,IF('2 M-A +'!L26=20,1,0)))*'2 M-A +'!L$33</f>
        <v>0</v>
      </c>
      <c r="CL169" s="701">
        <f>IF('2 M-A +'!M27='2 M-A +'!$B$44,IF('2 M-A +'!M$32=84,IF('2 M-A +'!M26=20,1,0)))*'2 M-A +'!M$33</f>
        <v>0</v>
      </c>
      <c r="CM169" s="701">
        <f>IF('2 M-A +'!N27='2 M-A +'!$B$44,IF('2 M-A +'!N$32=84,IF('2 M-A +'!N26=20,1,0)))*'2 M-A +'!N$33</f>
        <v>0</v>
      </c>
      <c r="CN169" s="706"/>
      <c r="CO169" s="701">
        <f>IF('2 M-A +'!C27='2 M-A +'!$B$44,IF('2 M-A +'!C$43=90,IF('2 M-A +'!C26=20,1,0)))*'2 M-A +'!C$33</f>
        <v>0</v>
      </c>
      <c r="CP169" s="701">
        <f>IF('2 M-A +'!D27='2 M-A +'!$B$44,IF('2 M-A +'!D$43=90,IF('2 M-A +'!D26=20,1,0)))*'2 M-A +'!D$33</f>
        <v>0</v>
      </c>
      <c r="CQ169" s="701">
        <f>IF('2 M-A +'!E27='2 M-A +'!$B$44,IF('2 M-A +'!E$43=90,IF('2 M-A +'!E26=20,1,0)))*'2 M-A +'!E$33</f>
        <v>0</v>
      </c>
      <c r="CR169" s="701">
        <f>IF('2 M-A +'!F27='2 M-A +'!$B$44,IF('2 M-A +'!F$43=90,IF('2 M-A +'!F26=20,1,0)))*'2 M-A +'!F$33</f>
        <v>0</v>
      </c>
      <c r="CS169" s="701">
        <f>IF('2 M-A +'!G27='2 M-A +'!$B$44,IF('2 M-A +'!G$43=90,IF('2 M-A +'!G26=20,1,0)))*'2 M-A +'!G$33</f>
        <v>0</v>
      </c>
      <c r="CT169" s="701">
        <f>IF('2 M-A +'!H27='2 M-A +'!$B$44,IF('2 M-A +'!H$43=90,IF('2 M-A +'!H26=20,1,0)))*'2 M-A +'!H$33</f>
        <v>0</v>
      </c>
      <c r="CU169" s="701">
        <f>IF('2 M-A +'!I27='2 M-A +'!$B$44,IF('2 M-A +'!I$43=90,IF('2 M-A +'!I26=20,1,0)))*'2 M-A +'!I$33</f>
        <v>0</v>
      </c>
      <c r="CV169" s="701">
        <f>IF('2 M-A +'!J27='2 M-A +'!$B$44,IF('2 M-A +'!J$43=90,IF('2 M-A +'!J26=20,1,0)))*'2 M-A +'!J$33</f>
        <v>0</v>
      </c>
      <c r="CW169" s="701">
        <f>IF('2 M-A +'!K27='2 M-A +'!$B$44,IF('2 M-A +'!K$43=90,IF('2 M-A +'!K26=20,1,0)))*'2 M-A +'!K$33</f>
        <v>0</v>
      </c>
      <c r="CX169" s="701">
        <f>IF('2 M-A +'!L27='2 M-A +'!$B$44,IF('2 M-A +'!L$43=90,IF('2 M-A +'!L26=20,1,0)))*'2 M-A +'!L$33</f>
        <v>0</v>
      </c>
      <c r="CY169" s="701">
        <f>IF('2 M-A +'!M27='2 M-A +'!$B$44,IF('2 M-A +'!M$43=90,IF('2 M-A +'!M26=20,1,0)))*'2 M-A +'!M$33</f>
        <v>0</v>
      </c>
      <c r="CZ169" s="701">
        <f>IF('2 M-A +'!N27='2 M-A +'!$B$44,IF('2 M-A +'!N$43=90,IF('2 M-A +'!N26=20,1,0)))*'2 M-A +'!N$33</f>
        <v>0</v>
      </c>
      <c r="DA169" s="706"/>
      <c r="DB169" s="701">
        <f>IF('2 M-A +'!C27='2 M-A +'!$B$44,IF('2 M-A +'!C$32=112,IF('2 M-A +'!C26=20,1,0)))*'2 M-A +'!C$33</f>
        <v>0</v>
      </c>
      <c r="DC169" s="701">
        <f>IF('2 M-A +'!D27='2 M-A +'!$B$44,IF('2 M-A +'!D$32=112,IF('2 M-A +'!D26=20,1,0)))*'2 M-A +'!D$33</f>
        <v>0</v>
      </c>
      <c r="DD169" s="701">
        <f>IF('2 M-A +'!E27='2 M-A +'!$B$44,IF('2 M-A +'!E$32=112,IF('2 M-A +'!E26=20,1,0)))*'2 M-A +'!E$33</f>
        <v>0</v>
      </c>
      <c r="DE169" s="701">
        <f>IF('2 M-A +'!F27='2 M-A +'!$B$44,IF('2 M-A +'!F$32=112,IF('2 M-A +'!F26=20,1,0)))*'2 M-A +'!F$33</f>
        <v>0</v>
      </c>
      <c r="DF169" s="701">
        <f>IF('2 M-A +'!G27='2 M-A +'!$B$44,IF('2 M-A +'!G$32=112,IF('2 M-A +'!G26=20,1,0)))*'2 M-A +'!G$33</f>
        <v>0</v>
      </c>
      <c r="DG169" s="701">
        <f>IF('2 M-A +'!H27='2 M-A +'!$B$44,IF('2 M-A +'!H$32=112,IF('2 M-A +'!H26=20,1,0)))*'2 M-A +'!H$33</f>
        <v>0</v>
      </c>
      <c r="DH169" s="701">
        <f>IF('2 M-A +'!I27='2 M-A +'!$B$44,IF('2 M-A +'!I$32=112,IF('2 M-A +'!I26=20,1,0)))*'2 M-A +'!I$33</f>
        <v>0</v>
      </c>
      <c r="DI169" s="701">
        <f>IF('2 M-A +'!J27='2 M-A +'!$B$44,IF('2 M-A +'!J$32=112,IF('2 M-A +'!J26=20,1,0)))*'2 M-A +'!J$33</f>
        <v>0</v>
      </c>
      <c r="DJ169" s="701">
        <f>IF('2 M-A +'!K27='2 M-A +'!$B$44,IF('2 M-A +'!K$32=112,IF('2 M-A +'!K26=20,1,0)))*'2 M-A +'!K$33</f>
        <v>0</v>
      </c>
      <c r="DK169" s="701">
        <f>IF('2 M-A +'!L27='2 M-A +'!$B$44,IF('2 M-A +'!L$32=112,IF('2 M-A +'!L26=20,1,0)))*'2 M-A +'!L$33</f>
        <v>0</v>
      </c>
      <c r="DL169" s="701">
        <f>IF('2 M-A +'!M27='2 M-A +'!$B$44,IF('2 M-A +'!M$32=112,IF('2 M-A +'!M26=20,1,0)))*'2 M-A +'!M$33</f>
        <v>0</v>
      </c>
      <c r="DM169" s="701">
        <f>IF('2 M-A +'!N27='2 M-A +'!$B$44,IF('2 M-A +'!N$32=112,IF('2 M-A +'!N26=20,1,0)))*'2 M-A +'!N$33</f>
        <v>0</v>
      </c>
      <c r="DN169" s="706"/>
      <c r="DO169" s="701">
        <f>IF('2 M-A +'!C27='2 M-A +'!$B$44,IF('2 M-A +'!C$32=120,IF('2 M-A +'!C26=20,1,0)))*'2 M-A +'!C$33</f>
        <v>0</v>
      </c>
      <c r="DP169" s="701">
        <f>IF('2 M-A +'!D27='2 M-A +'!$B$44,IF('2 M-A +'!D$32=120,IF('2 M-A +'!D26=20,1,0)))*'2 M-A +'!D$33</f>
        <v>0</v>
      </c>
      <c r="DQ169" s="701">
        <f>IF('2 M-A +'!E27='2 M-A +'!$B$44,IF('2 M-A +'!E$32=120,IF('2 M-A +'!E26=20,1,0)))*'2 M-A +'!E$33</f>
        <v>0</v>
      </c>
      <c r="DR169" s="701">
        <f>IF('2 M-A +'!F27='2 M-A +'!$B$44,IF('2 M-A +'!F$32=120,IF('2 M-A +'!F26=20,1,0)))*'2 M-A +'!F$33</f>
        <v>0</v>
      </c>
      <c r="DS169" s="701">
        <f>IF('2 M-A +'!G27='2 M-A +'!$B$44,IF('2 M-A +'!G$32=120,IF('2 M-A +'!G26=20,1,0)))*'2 M-A +'!G$33</f>
        <v>0</v>
      </c>
      <c r="DT169" s="701">
        <f>IF('2 M-A +'!H27='2 M-A +'!$B$44,IF('2 M-A +'!H$32=120,IF('2 M-A +'!H26=20,1,0)))*'2 M-A +'!H$33</f>
        <v>0</v>
      </c>
      <c r="DU169" s="701">
        <f>IF('2 M-A +'!I27='2 M-A +'!$B$44,IF('2 M-A +'!I$32=120,IF('2 M-A +'!I26=20,1,0)))*'2 M-A +'!I$33</f>
        <v>0</v>
      </c>
      <c r="DV169" s="701">
        <f>IF('2 M-A +'!J27='2 M-A +'!$B$44,IF('2 M-A +'!J$32=120,IF('2 M-A +'!J26=20,1,0)))*'2 M-A +'!J$33</f>
        <v>0</v>
      </c>
      <c r="DW169" s="701">
        <f>IF('2 M-A +'!K27='2 M-A +'!$B$44,IF('2 M-A +'!K$32=120,IF('2 M-A +'!K26=20,1,0)))*'2 M-A +'!K$33</f>
        <v>0</v>
      </c>
      <c r="DX169" s="701">
        <f>IF('2 M-A +'!L27='2 M-A +'!$B$44,IF('2 M-A +'!L$32=120,IF('2 M-A +'!L26=20,1,0)))*'2 M-A +'!L$33</f>
        <v>0</v>
      </c>
      <c r="DY169" s="701">
        <f>IF('2 M-A +'!M27='2 M-A +'!$B$44,IF('2 M-A +'!M$32=120,IF('2 M-A +'!M26=20,1,0)))*'2 M-A +'!M$33</f>
        <v>0</v>
      </c>
      <c r="DZ169" s="701">
        <f>IF('2 M-A +'!N27='2 M-A +'!$B$44,IF('2 M-A +'!N$32=120,IF('2 M-A +'!N26=20,1,0)))*'2 M-A +'!N$33</f>
        <v>0</v>
      </c>
      <c r="EA169" s="706"/>
      <c r="EB169" s="701">
        <f>IF('2 M-A +'!C27='2 M-A +'!$B$44,IF('2 M-A +'!C$32=140,IF('2 M-A +'!C26=20,1,0)))*'2 M-A +'!C$33</f>
        <v>0</v>
      </c>
      <c r="EC169" s="701">
        <f>IF('2 M-A +'!D27='2 M-A +'!$B$44,IF('2 M-A +'!D$32=140,IF('2 M-A +'!D26=20,1,0)))*'2 M-A +'!D$33</f>
        <v>0</v>
      </c>
      <c r="ED169" s="701">
        <f>IF('2 M-A +'!E27='2 M-A +'!$B$44,IF('2 M-A +'!E$32=140,IF('2 M-A +'!E26=20,1,0)))*'2 M-A +'!E$33</f>
        <v>0</v>
      </c>
      <c r="EE169" s="701">
        <f>IF('2 M-A +'!F27='2 M-A +'!$B$44,IF('2 M-A +'!F$32=140,IF('2 M-A +'!F26=20,1,0)))*'2 M-A +'!F$33</f>
        <v>0</v>
      </c>
      <c r="EF169" s="701">
        <f>IF('2 M-A +'!G27='2 M-A +'!$B$44,IF('2 M-A +'!G$32=140,IF('2 M-A +'!G26=20,1,0)))*'2 M-A +'!G$33</f>
        <v>0</v>
      </c>
      <c r="EG169" s="701">
        <f>IF('2 M-A +'!H27='2 M-A +'!$B$44,IF('2 M-A +'!H$32=140,IF('2 M-A +'!H26=20,1,0)))*'2 M-A +'!H$33</f>
        <v>0</v>
      </c>
      <c r="EH169" s="701">
        <f>IF('2 M-A +'!I27='2 M-A +'!$B$44,IF('2 M-A +'!I$32=140,IF('2 M-A +'!I26=20,1,0)))*'2 M-A +'!I$33</f>
        <v>0</v>
      </c>
      <c r="EI169" s="701">
        <f>IF('2 M-A +'!J27='2 M-A +'!$B$44,IF('2 M-A +'!J$32=140,IF('2 M-A +'!J26=20,1,0)))*'2 M-A +'!J$33</f>
        <v>0</v>
      </c>
      <c r="EJ169" s="701">
        <f>IF('2 M-A +'!K27='2 M-A +'!$B$44,IF('2 M-A +'!K$32=140,IF('2 M-A +'!K26=20,1,0)))*'2 M-A +'!K$33</f>
        <v>0</v>
      </c>
      <c r="EK169" s="701">
        <f>IF('2 M-A +'!L27='2 M-A +'!$B$44,IF('2 M-A +'!L$32=140,IF('2 M-A +'!L26=20,1,0)))*'2 M-A +'!L$33</f>
        <v>0</v>
      </c>
      <c r="EL169" s="701">
        <f>IF('2 M-A +'!M27='2 M-A +'!$B$44,IF('2 M-A +'!M$32=140,IF('2 M-A +'!M26=20,1,0)))*'2 M-A +'!M$33</f>
        <v>0</v>
      </c>
      <c r="EM169" s="701">
        <f>IF('2 M-A +'!N27='2 M-A +'!$B$44,IF('2 M-A +'!N$32=140,IF('2 M-A +'!N26=20,1,0)))*'2 M-A +'!N$33</f>
        <v>0</v>
      </c>
      <c r="EN169" s="706"/>
      <c r="EO169" s="701">
        <f>IF('2 M-A +'!C27='2 M-A +'!$B$44,IF('2 M-A +'!C$32=150,IF('2 M-A +'!C26=40,1,0)))*'2 M-A +'!C$33</f>
        <v>0</v>
      </c>
      <c r="EP169" s="701">
        <f>IF('2 M-A +'!D27='2 M-A +'!$B$44,IF('2 M-A +'!D$32=150,IF('2 M-A +'!D26=40,1,0)))*'2 M-A +'!D$33</f>
        <v>0</v>
      </c>
      <c r="EQ169" s="701">
        <f>IF('2 M-A +'!E27='2 M-A +'!$B$44,IF('2 M-A +'!E$32=150,IF('2 M-A +'!E26=40,1,0)))*'2 M-A +'!E$33</f>
        <v>0</v>
      </c>
      <c r="ER169" s="701">
        <f>IF('2 M-A +'!F27='2 M-A +'!$B$44,IF('2 M-A +'!F$32=150,IF('2 M-A +'!F26=40,1,0)))*'2 M-A +'!F$33</f>
        <v>0</v>
      </c>
      <c r="ES169" s="701">
        <f>IF('2 M-A +'!G27='2 M-A +'!$B$44,IF('2 M-A +'!G$32=150,IF('2 M-A +'!G26=40,1,0)))*'2 M-A +'!G$33</f>
        <v>0</v>
      </c>
      <c r="ET169" s="701">
        <f>IF('2 M-A +'!H27='2 M-A +'!$B$44,IF('2 M-A +'!H$32=150,IF('2 M-A +'!H26=40,1,0)))*'2 M-A +'!H$33</f>
        <v>0</v>
      </c>
      <c r="EU169" s="701">
        <f>IF('2 M-A +'!I27='2 M-A +'!$B$44,IF('2 M-A +'!I$32=150,IF('2 M-A +'!I26=40,1,0)))*'2 M-A +'!I$33</f>
        <v>0</v>
      </c>
      <c r="EV169" s="701">
        <f>IF('2 M-A +'!J27='2 M-A +'!$B$44,IF('2 M-A +'!J$32=150,IF('2 M-A +'!J26=40,1,0)))*'2 M-A +'!J$33</f>
        <v>0</v>
      </c>
      <c r="EW169" s="701">
        <f>IF('2 M-A +'!K27='2 M-A +'!$B$44,IF('2 M-A +'!K$32=150,IF('2 M-A +'!K26=40,1,0)))*'2 M-A +'!K$33</f>
        <v>0</v>
      </c>
      <c r="EX169" s="701">
        <f>IF('2 M-A +'!L27='2 M-A +'!$B$44,IF('2 M-A +'!L$32=150,IF('2 M-A +'!L26=40,1,0)))*'2 M-A +'!L$33</f>
        <v>0</v>
      </c>
      <c r="EY169" s="701">
        <f>IF('2 M-A +'!M27='2 M-A +'!$B$44,IF('2 M-A +'!M$32=150,IF('2 M-A +'!M26=40,1,0)))*'2 M-A +'!M$33</f>
        <v>0</v>
      </c>
      <c r="EZ169" s="701">
        <f>IF('2 M-A +'!N27='2 M-A +'!$B$44,IF('2 M-A +'!N$32=150,IF('2 M-A +'!N26=40,1,0)))*'2 M-A +'!N$33</f>
        <v>0</v>
      </c>
      <c r="FA169" s="706"/>
      <c r="FB169" s="855"/>
      <c r="FC169" s="838"/>
      <c r="FD169" s="855"/>
      <c r="FE169" s="838"/>
      <c r="FF169" s="855"/>
      <c r="FG169" s="838"/>
      <c r="FH169" s="855"/>
      <c r="FI169" s="838"/>
      <c r="FJ169" s="855"/>
      <c r="FK169" s="838"/>
      <c r="FL169" s="855"/>
      <c r="FM169" s="838"/>
      <c r="FN169" s="855"/>
      <c r="FO169" s="855"/>
      <c r="FP169" s="855"/>
      <c r="FQ169" s="838"/>
      <c r="FR169" s="855"/>
      <c r="FS169" s="838"/>
      <c r="FT169" s="855"/>
      <c r="FU169" s="838"/>
      <c r="FV169" s="855"/>
      <c r="FW169" s="838"/>
      <c r="FX169" s="855"/>
      <c r="FY169" s="838"/>
      <c r="FZ169" s="855"/>
      <c r="GA169" s="838"/>
      <c r="GB169" s="855"/>
      <c r="GC169" s="838"/>
      <c r="GD169" s="855"/>
      <c r="GE169" s="838"/>
      <c r="GF169" s="855"/>
      <c r="GG169" s="838"/>
      <c r="GH169" s="855"/>
      <c r="GI169" s="838"/>
      <c r="GJ169" s="855"/>
      <c r="GK169" s="855"/>
      <c r="GL169" s="855"/>
      <c r="GM169" s="838"/>
      <c r="GN169" s="838"/>
    </row>
    <row r="170" spans="2:196" x14ac:dyDescent="0.35">
      <c r="C170" s="838"/>
      <c r="D170" s="838"/>
      <c r="E170" s="838"/>
      <c r="F170" s="838"/>
      <c r="G170" s="838"/>
      <c r="H170" s="838"/>
      <c r="I170" s="838"/>
      <c r="J170" s="838"/>
      <c r="K170" s="838"/>
      <c r="L170" s="838"/>
      <c r="M170" s="838"/>
      <c r="N170" s="838"/>
      <c r="O170" s="838"/>
      <c r="P170" s="838"/>
      <c r="Q170" s="838"/>
      <c r="R170" s="838"/>
      <c r="S170" s="838"/>
      <c r="T170" s="838"/>
      <c r="U170" s="838"/>
      <c r="V170" s="838"/>
      <c r="W170" s="838"/>
      <c r="X170" s="838"/>
      <c r="Y170" s="838"/>
      <c r="Z170" s="838"/>
      <c r="AA170" s="838"/>
      <c r="AB170" s="838"/>
      <c r="AC170" s="838"/>
      <c r="AD170" s="838"/>
      <c r="AE170" s="838"/>
      <c r="AF170" s="838"/>
      <c r="AG170" s="838"/>
      <c r="AH170" s="838"/>
      <c r="AI170" s="838"/>
      <c r="AJ170" s="838"/>
      <c r="AK170" s="838"/>
      <c r="AL170" s="838"/>
      <c r="AM170" s="838"/>
      <c r="AN170" s="838"/>
      <c r="AO170" s="838"/>
      <c r="AP170" s="838"/>
      <c r="AQ170" s="838"/>
      <c r="AR170" s="838"/>
      <c r="AS170" s="838"/>
      <c r="AT170" s="838"/>
      <c r="AU170" s="838"/>
      <c r="AV170" s="838"/>
      <c r="AW170" s="838"/>
      <c r="AX170" s="838"/>
      <c r="AY170" s="838"/>
      <c r="AZ170" s="838"/>
      <c r="BA170" s="838"/>
      <c r="BB170" s="838"/>
      <c r="BC170" s="838"/>
      <c r="BD170" s="838"/>
      <c r="BE170" s="838"/>
      <c r="BF170" s="838"/>
      <c r="BG170" s="838"/>
      <c r="BH170" s="838"/>
      <c r="BI170" s="838"/>
      <c r="BJ170" s="838"/>
      <c r="BK170" s="838"/>
      <c r="BL170" s="838"/>
      <c r="BM170" s="838"/>
      <c r="BN170" s="838"/>
      <c r="BO170" s="838"/>
      <c r="BP170" s="838"/>
      <c r="BQ170" s="838"/>
      <c r="BR170" s="838"/>
      <c r="BS170" s="838"/>
      <c r="BT170" s="838"/>
      <c r="BU170" s="838"/>
      <c r="BV170" s="838"/>
      <c r="BW170" s="838"/>
      <c r="BX170" s="838"/>
      <c r="BY170" s="838"/>
      <c r="BZ170" s="838"/>
      <c r="CA170" s="838"/>
      <c r="CB170" s="838"/>
      <c r="CC170" s="838"/>
      <c r="CD170" s="838"/>
      <c r="CE170" s="838"/>
      <c r="CF170" s="838"/>
      <c r="CG170" s="838"/>
      <c r="CH170" s="838"/>
      <c r="CI170" s="838"/>
      <c r="CJ170" s="838"/>
      <c r="CK170" s="838"/>
      <c r="CL170" s="838"/>
      <c r="CM170" s="838"/>
      <c r="CN170" s="838"/>
      <c r="CO170" s="838"/>
      <c r="CP170" s="838"/>
      <c r="CQ170" s="838"/>
      <c r="CR170" s="838"/>
      <c r="CS170" s="838"/>
      <c r="CT170" s="838"/>
      <c r="CU170" s="838"/>
      <c r="CV170" s="838"/>
      <c r="CW170" s="838"/>
      <c r="CX170" s="838"/>
      <c r="CY170" s="838"/>
      <c r="CZ170" s="838"/>
      <c r="DA170" s="838"/>
      <c r="DB170" s="838"/>
      <c r="DC170" s="838"/>
      <c r="DD170" s="838"/>
      <c r="DE170" s="838"/>
      <c r="DF170" s="838"/>
      <c r="DG170" s="838"/>
      <c r="DH170" s="838"/>
      <c r="DI170" s="838"/>
      <c r="DJ170" s="838"/>
      <c r="DK170" s="838"/>
      <c r="DL170" s="838"/>
      <c r="DM170" s="838"/>
      <c r="DN170" s="838"/>
      <c r="DO170" s="838"/>
      <c r="DP170" s="838"/>
      <c r="DQ170" s="838"/>
      <c r="DR170" s="838"/>
      <c r="DS170" s="838"/>
      <c r="DT170" s="838"/>
      <c r="DU170" s="838"/>
      <c r="DV170" s="838"/>
      <c r="DW170" s="838"/>
      <c r="DX170" s="838"/>
      <c r="DY170" s="838"/>
      <c r="DZ170" s="838"/>
      <c r="EA170" s="838"/>
      <c r="EB170" s="838"/>
      <c r="EC170" s="838"/>
      <c r="ED170" s="838"/>
      <c r="EE170" s="838"/>
      <c r="EF170" s="838"/>
      <c r="EG170" s="838"/>
      <c r="EH170" s="838"/>
      <c r="EI170" s="838"/>
      <c r="EJ170" s="838"/>
      <c r="EK170" s="838"/>
      <c r="EL170" s="838"/>
      <c r="EM170" s="838"/>
      <c r="EN170" s="838"/>
      <c r="EO170" s="838"/>
      <c r="EP170" s="838"/>
      <c r="EQ170" s="838"/>
      <c r="ER170" s="838"/>
      <c r="ES170" s="838"/>
      <c r="ET170" s="838"/>
      <c r="EU170" s="838"/>
      <c r="EV170" s="838"/>
      <c r="EW170" s="838"/>
      <c r="EX170" s="838"/>
      <c r="EY170" s="838"/>
      <c r="EZ170" s="838"/>
      <c r="FA170" s="838"/>
      <c r="FB170" s="838"/>
      <c r="FC170" s="838"/>
      <c r="FD170" s="838"/>
      <c r="FE170" s="838"/>
      <c r="FF170" s="838"/>
      <c r="FG170" s="838"/>
      <c r="FH170" s="838"/>
      <c r="FI170" s="838"/>
      <c r="FJ170" s="838"/>
      <c r="FK170" s="838"/>
      <c r="FL170" s="838"/>
      <c r="FM170" s="838"/>
      <c r="FN170" s="838"/>
      <c r="FO170" s="838"/>
      <c r="FP170" s="838"/>
      <c r="FQ170" s="838"/>
      <c r="FR170" s="838"/>
      <c r="FS170" s="838"/>
      <c r="FT170" s="838"/>
      <c r="FU170" s="838"/>
      <c r="FV170" s="838"/>
      <c r="FW170" s="838"/>
      <c r="FX170" s="838"/>
      <c r="FY170" s="838"/>
      <c r="FZ170" s="838"/>
      <c r="GA170" s="838"/>
      <c r="GB170" s="838"/>
      <c r="GC170" s="838"/>
      <c r="GD170" s="838"/>
      <c r="GE170" s="838"/>
      <c r="GF170" s="838"/>
      <c r="GG170" s="838"/>
      <c r="GH170" s="838"/>
      <c r="GI170" s="838"/>
      <c r="GJ170" s="838"/>
      <c r="GK170" s="838"/>
      <c r="GL170" s="838"/>
      <c r="GM170" s="838"/>
      <c r="GN170" s="838"/>
    </row>
    <row r="171" spans="2:196" x14ac:dyDescent="0.35">
      <c r="C171" s="838"/>
      <c r="D171" s="838"/>
      <c r="E171" s="838"/>
      <c r="F171" s="838"/>
      <c r="G171" s="838"/>
      <c r="H171" s="838"/>
      <c r="I171" s="838"/>
      <c r="J171" s="838"/>
      <c r="K171" s="838"/>
      <c r="L171" s="838"/>
      <c r="M171" s="838"/>
      <c r="N171" s="838"/>
      <c r="O171" s="838"/>
      <c r="P171" s="838"/>
      <c r="Q171" s="838"/>
      <c r="R171" s="838"/>
      <c r="S171" s="838"/>
      <c r="T171" s="838"/>
      <c r="U171" s="838"/>
      <c r="V171" s="838"/>
      <c r="W171" s="838"/>
      <c r="X171" s="838"/>
      <c r="Y171" s="838"/>
      <c r="Z171" s="838"/>
      <c r="AA171" s="838"/>
      <c r="AB171" s="838"/>
      <c r="AC171" s="838"/>
      <c r="AD171" s="838"/>
      <c r="AE171" s="838"/>
      <c r="AF171" s="838"/>
      <c r="AG171" s="838"/>
      <c r="AH171" s="838"/>
      <c r="AI171" s="838"/>
      <c r="AJ171" s="838"/>
      <c r="AK171" s="838"/>
      <c r="AL171" s="838"/>
      <c r="AM171" s="838"/>
      <c r="AN171" s="838"/>
      <c r="AO171" s="838"/>
      <c r="AP171" s="838"/>
      <c r="AQ171" s="838"/>
      <c r="AR171" s="838"/>
      <c r="AS171" s="838"/>
      <c r="AT171" s="838"/>
      <c r="AU171" s="838"/>
      <c r="AV171" s="838"/>
      <c r="AW171" s="838"/>
      <c r="AX171" s="838"/>
      <c r="AY171" s="838"/>
      <c r="AZ171" s="838"/>
      <c r="BA171" s="838"/>
      <c r="BB171" s="838"/>
      <c r="BC171" s="838"/>
      <c r="BD171" s="838"/>
      <c r="BE171" s="838"/>
      <c r="BF171" s="838"/>
      <c r="BG171" s="838"/>
      <c r="BH171" s="838"/>
      <c r="BI171" s="838"/>
      <c r="BJ171" s="838"/>
      <c r="BK171" s="838"/>
      <c r="BL171" s="838"/>
      <c r="BM171" s="838"/>
      <c r="BN171" s="838"/>
      <c r="BO171" s="838"/>
      <c r="BP171" s="838"/>
      <c r="BQ171" s="838"/>
      <c r="BR171" s="838"/>
      <c r="BS171" s="838"/>
      <c r="BT171" s="838"/>
      <c r="BU171" s="838"/>
      <c r="BV171" s="838"/>
      <c r="BW171" s="838"/>
      <c r="BX171" s="855"/>
      <c r="BY171" s="838"/>
      <c r="BZ171" s="855"/>
      <c r="CA171" s="838"/>
      <c r="CB171" s="855"/>
      <c r="CC171" s="838"/>
      <c r="CD171" s="855"/>
      <c r="CE171" s="838"/>
      <c r="CF171" s="855"/>
      <c r="CG171" s="838"/>
      <c r="CH171" s="855"/>
      <c r="CI171" s="838"/>
      <c r="CJ171" s="855"/>
      <c r="CK171" s="838"/>
      <c r="CL171" s="855"/>
      <c r="CM171" s="838"/>
      <c r="CN171" s="855"/>
      <c r="CO171" s="838"/>
      <c r="CP171" s="855"/>
      <c r="CQ171" s="838"/>
      <c r="CR171" s="855"/>
      <c r="CS171" s="838"/>
      <c r="CT171" s="855"/>
      <c r="CU171" s="838"/>
      <c r="CV171" s="855"/>
      <c r="CW171" s="838"/>
      <c r="CX171" s="855"/>
      <c r="CY171" s="838"/>
      <c r="CZ171" s="855"/>
      <c r="DA171" s="838"/>
      <c r="DB171" s="855"/>
      <c r="DC171" s="838"/>
      <c r="DD171" s="855"/>
      <c r="DE171" s="838"/>
      <c r="DF171" s="855"/>
      <c r="DG171" s="838"/>
      <c r="DH171" s="855"/>
      <c r="DI171" s="838"/>
      <c r="DJ171" s="855"/>
      <c r="DK171" s="838"/>
      <c r="DL171" s="855"/>
      <c r="DM171" s="838"/>
      <c r="DN171" s="855"/>
      <c r="DO171" s="838"/>
      <c r="DP171" s="855"/>
      <c r="DQ171" s="838"/>
      <c r="DR171" s="855"/>
      <c r="DS171" s="838"/>
      <c r="DT171" s="855"/>
      <c r="DU171" s="838"/>
      <c r="DV171" s="855"/>
      <c r="DW171" s="838"/>
      <c r="DX171" s="855"/>
      <c r="DY171" s="838"/>
      <c r="DZ171" s="855"/>
      <c r="EA171" s="838"/>
      <c r="EB171" s="855"/>
      <c r="EC171" s="838"/>
      <c r="ED171" s="855"/>
      <c r="EE171" s="838"/>
      <c r="EF171" s="855"/>
      <c r="EG171" s="838"/>
      <c r="EH171" s="855"/>
      <c r="EI171" s="838"/>
      <c r="EJ171" s="855"/>
      <c r="EK171" s="838"/>
      <c r="EL171" s="855"/>
      <c r="EM171" s="838"/>
      <c r="EN171" s="855"/>
      <c r="EO171" s="838"/>
      <c r="EP171" s="855"/>
      <c r="EQ171" s="838"/>
      <c r="ER171" s="855"/>
      <c r="ES171" s="838"/>
      <c r="ET171" s="855"/>
      <c r="EU171" s="838"/>
      <c r="EV171" s="855"/>
      <c r="EW171" s="838"/>
      <c r="EX171" s="855"/>
      <c r="EY171" s="838"/>
      <c r="EZ171" s="855"/>
      <c r="FA171" s="838"/>
      <c r="FB171" s="855"/>
      <c r="FC171" s="838"/>
      <c r="FD171" s="855"/>
      <c r="FE171" s="838"/>
      <c r="FF171" s="855"/>
      <c r="FG171" s="838"/>
      <c r="FH171" s="855"/>
      <c r="FI171" s="838"/>
      <c r="FJ171" s="855"/>
      <c r="FK171" s="838"/>
      <c r="FL171" s="855"/>
      <c r="FM171" s="838"/>
      <c r="FN171" s="855"/>
      <c r="FO171" s="838"/>
      <c r="FP171" s="855"/>
      <c r="FQ171" s="838"/>
      <c r="FR171" s="855"/>
      <c r="FS171" s="838"/>
      <c r="FT171" s="855"/>
      <c r="FU171" s="838"/>
      <c r="FV171" s="855"/>
      <c r="FW171" s="838"/>
      <c r="FX171" s="855"/>
      <c r="FY171" s="838"/>
      <c r="FZ171" s="855"/>
      <c r="GA171" s="838"/>
      <c r="GB171" s="855"/>
      <c r="GC171" s="838"/>
      <c r="GD171" s="855"/>
      <c r="GE171" s="838"/>
      <c r="GF171" s="855"/>
      <c r="GG171" s="838"/>
      <c r="GH171" s="855"/>
      <c r="GI171" s="838"/>
      <c r="GJ171" s="855"/>
      <c r="GK171" s="855"/>
      <c r="GL171" s="838"/>
    </row>
    <row r="172" spans="2:196" x14ac:dyDescent="0.35">
      <c r="I172" s="1468" t="s">
        <v>228</v>
      </c>
      <c r="J172" s="1468"/>
      <c r="K172" s="1468"/>
      <c r="L172" s="1468"/>
      <c r="M172" s="1468"/>
      <c r="N172" s="1468"/>
      <c r="O172" s="1468"/>
      <c r="P172" s="1468"/>
      <c r="Q172" s="1468"/>
      <c r="R172" s="1468"/>
      <c r="S172" s="1468"/>
      <c r="T172" s="1468"/>
      <c r="U172" s="1468"/>
      <c r="V172" s="1468"/>
      <c r="W172" s="1468"/>
      <c r="X172" s="1468"/>
      <c r="Y172" s="1468"/>
      <c r="AB172" s="838"/>
      <c r="AC172" s="838"/>
      <c r="AD172" s="838"/>
      <c r="AE172" s="838"/>
      <c r="AF172" s="838"/>
      <c r="AG172" s="838"/>
      <c r="AH172" s="838"/>
      <c r="AI172" s="838"/>
      <c r="AJ172" s="838"/>
      <c r="AK172" s="838"/>
      <c r="AL172" s="838"/>
      <c r="AM172" s="838"/>
      <c r="AN172" s="838"/>
      <c r="AO172" s="838"/>
      <c r="AP172" s="838"/>
      <c r="AQ172" s="838"/>
      <c r="AR172" s="838"/>
      <c r="AS172" s="838"/>
      <c r="AT172" s="838"/>
      <c r="AU172" s="838"/>
      <c r="AV172" s="838"/>
      <c r="AW172" s="838"/>
      <c r="AX172" s="838"/>
      <c r="AY172" s="838"/>
      <c r="AZ172" s="838"/>
      <c r="BA172" s="838"/>
      <c r="BB172" s="838"/>
      <c r="BC172" s="838"/>
      <c r="BD172" s="838"/>
      <c r="BE172" s="838"/>
      <c r="BF172" s="838"/>
      <c r="BG172" s="838"/>
      <c r="BH172" s="838"/>
      <c r="BI172" s="838"/>
      <c r="BJ172" s="838"/>
      <c r="BK172" s="838"/>
      <c r="BL172" s="838"/>
      <c r="BM172" s="838"/>
      <c r="BN172" s="838"/>
      <c r="BO172" s="838"/>
      <c r="BP172" s="838"/>
      <c r="BQ172" s="838"/>
      <c r="BR172" s="838"/>
      <c r="BS172" s="838"/>
      <c r="BT172" s="838"/>
      <c r="BU172" s="838"/>
      <c r="BV172" s="838"/>
      <c r="BW172" s="838"/>
      <c r="BX172" s="855"/>
      <c r="BY172" s="855"/>
      <c r="BZ172" s="855"/>
      <c r="CA172" s="855"/>
      <c r="CB172" s="855"/>
      <c r="CC172" s="855"/>
      <c r="CD172" s="855"/>
      <c r="CE172" s="855"/>
      <c r="CF172" s="855"/>
      <c r="CG172" s="855"/>
      <c r="CH172" s="855"/>
      <c r="CI172" s="855"/>
      <c r="CJ172" s="855"/>
      <c r="CK172" s="855"/>
      <c r="CL172" s="855"/>
      <c r="CM172" s="855"/>
      <c r="CN172" s="855"/>
      <c r="CO172" s="855"/>
      <c r="CP172" s="855"/>
      <c r="CQ172" s="855"/>
      <c r="CR172" s="855"/>
      <c r="CS172" s="855"/>
      <c r="CT172" s="855"/>
      <c r="CU172" s="838"/>
      <c r="CV172" s="855"/>
      <c r="CW172" s="855"/>
      <c r="CX172" s="855"/>
      <c r="CY172" s="855"/>
      <c r="CZ172" s="855"/>
      <c r="DA172" s="855"/>
      <c r="DB172" s="855"/>
      <c r="DC172" s="855"/>
      <c r="DD172" s="855"/>
      <c r="DE172" s="855"/>
      <c r="DF172" s="855"/>
      <c r="DG172" s="855"/>
      <c r="DH172" s="855"/>
      <c r="DI172" s="855"/>
      <c r="DJ172" s="855"/>
      <c r="DK172" s="855"/>
      <c r="DL172" s="855"/>
      <c r="DM172" s="855"/>
      <c r="DN172" s="855"/>
      <c r="DO172" s="855"/>
      <c r="DP172" s="855"/>
      <c r="DQ172" s="855"/>
      <c r="DR172" s="855"/>
      <c r="DS172" s="838"/>
      <c r="DT172" s="855"/>
      <c r="DU172" s="855"/>
      <c r="DV172" s="855"/>
      <c r="DW172" s="855"/>
      <c r="DX172" s="855"/>
      <c r="DY172" s="855"/>
      <c r="DZ172" s="855"/>
      <c r="EA172" s="855"/>
      <c r="EB172" s="855"/>
      <c r="EC172" s="855"/>
      <c r="ED172" s="855"/>
      <c r="EE172" s="855"/>
      <c r="EF172" s="855"/>
      <c r="EG172" s="855"/>
      <c r="EH172" s="855"/>
      <c r="EI172" s="855"/>
      <c r="EJ172" s="855"/>
      <c r="EK172" s="855"/>
      <c r="EL172" s="855"/>
      <c r="EM172" s="855"/>
      <c r="EN172" s="855"/>
      <c r="EO172" s="855"/>
      <c r="EP172" s="855"/>
      <c r="EQ172" s="838"/>
      <c r="ER172" s="855"/>
      <c r="ES172" s="855"/>
      <c r="ET172" s="855"/>
      <c r="EU172" s="855"/>
      <c r="EV172" s="855"/>
      <c r="EW172" s="855"/>
      <c r="EX172" s="855"/>
      <c r="EY172" s="855"/>
      <c r="EZ172" s="855"/>
      <c r="FA172" s="855"/>
      <c r="FB172" s="855"/>
      <c r="FC172" s="855"/>
      <c r="FD172" s="855"/>
      <c r="FE172" s="855"/>
      <c r="FF172" s="855"/>
      <c r="FG172" s="855"/>
      <c r="FH172" s="855"/>
      <c r="FI172" s="855"/>
      <c r="FJ172" s="855"/>
      <c r="FK172" s="855"/>
      <c r="FL172" s="855"/>
      <c r="FM172" s="855"/>
      <c r="FN172" s="855"/>
      <c r="FO172" s="838"/>
      <c r="FP172" s="855"/>
      <c r="FQ172" s="838"/>
      <c r="FR172" s="855"/>
      <c r="FS172" s="838"/>
      <c r="FT172" s="855"/>
      <c r="FU172" s="838"/>
      <c r="FV172" s="855"/>
      <c r="FW172" s="838"/>
      <c r="FX172" s="855"/>
      <c r="FY172" s="838"/>
      <c r="FZ172" s="855"/>
      <c r="GA172" s="838"/>
      <c r="GB172" s="855"/>
      <c r="GC172" s="838"/>
      <c r="GD172" s="855"/>
      <c r="GE172" s="838"/>
      <c r="GF172" s="855"/>
      <c r="GG172" s="838"/>
      <c r="GH172" s="855"/>
      <c r="GI172" s="838"/>
      <c r="GJ172" s="855"/>
      <c r="GK172" s="855"/>
      <c r="GL172" s="838"/>
    </row>
    <row r="173" spans="2:196" x14ac:dyDescent="0.35">
      <c r="I173" s="1468"/>
      <c r="J173" s="1468"/>
      <c r="K173" s="1468"/>
      <c r="L173" s="1468"/>
      <c r="M173" s="1468"/>
      <c r="N173" s="1468"/>
      <c r="O173" s="1468"/>
      <c r="P173" s="1468"/>
      <c r="Q173" s="1468"/>
      <c r="R173" s="1468"/>
      <c r="S173" s="1468"/>
      <c r="T173" s="1468"/>
      <c r="U173" s="1468"/>
      <c r="V173" s="1468"/>
      <c r="W173" s="1468"/>
      <c r="X173" s="1468"/>
      <c r="Y173" s="1468"/>
      <c r="AB173" s="838"/>
      <c r="AC173" s="838"/>
      <c r="AD173" s="838"/>
      <c r="AE173" s="838"/>
      <c r="AF173" s="838"/>
      <c r="AG173" s="838"/>
      <c r="AH173" s="838"/>
      <c r="AI173" s="838"/>
      <c r="AJ173" s="838"/>
      <c r="AK173" s="838"/>
      <c r="AL173" s="838"/>
      <c r="AM173" s="838"/>
      <c r="AN173" s="838"/>
      <c r="AO173" s="838"/>
      <c r="AP173" s="838"/>
      <c r="AQ173" s="838"/>
      <c r="AR173" s="838"/>
      <c r="AS173" s="838"/>
      <c r="AT173" s="838"/>
      <c r="AU173" s="838"/>
      <c r="AV173" s="838"/>
      <c r="AW173" s="838"/>
      <c r="AX173" s="838"/>
      <c r="AY173" s="838"/>
      <c r="AZ173" s="838"/>
      <c r="BA173" s="838"/>
      <c r="BB173" s="838"/>
      <c r="BC173" s="838"/>
      <c r="BD173" s="838"/>
      <c r="BE173" s="838"/>
      <c r="BF173" s="838"/>
      <c r="BG173" s="838"/>
      <c r="BH173" s="838"/>
      <c r="BI173" s="838"/>
      <c r="BJ173" s="838"/>
      <c r="BK173" s="838"/>
      <c r="BL173" s="838"/>
      <c r="BM173" s="838"/>
      <c r="BN173" s="838"/>
      <c r="BO173" s="838"/>
      <c r="BP173" s="838"/>
      <c r="BQ173" s="838"/>
      <c r="BR173" s="838"/>
      <c r="BS173" s="838"/>
      <c r="BT173" s="838"/>
      <c r="BU173" s="838"/>
      <c r="BV173" s="838"/>
      <c r="BW173" s="838"/>
      <c r="BX173" s="855"/>
      <c r="BY173" s="838"/>
      <c r="BZ173" s="855"/>
      <c r="CA173" s="838"/>
      <c r="CB173" s="855"/>
      <c r="CC173" s="838"/>
      <c r="CD173" s="855"/>
      <c r="CE173" s="838"/>
      <c r="CF173" s="855"/>
      <c r="CG173" s="838"/>
      <c r="CH173" s="855"/>
      <c r="CI173" s="838"/>
      <c r="CJ173" s="855"/>
      <c r="CK173" s="838"/>
      <c r="CL173" s="855"/>
      <c r="CM173" s="838"/>
      <c r="CN173" s="855"/>
      <c r="CO173" s="838"/>
      <c r="CP173" s="855"/>
      <c r="CQ173" s="838"/>
      <c r="CR173" s="855"/>
      <c r="CS173" s="838"/>
      <c r="CT173" s="855"/>
      <c r="CU173" s="838"/>
      <c r="CV173" s="855"/>
      <c r="CW173" s="838"/>
      <c r="CX173" s="855"/>
      <c r="CY173" s="838"/>
      <c r="CZ173" s="855"/>
      <c r="DA173" s="838"/>
      <c r="DB173" s="855"/>
      <c r="DC173" s="838"/>
      <c r="DD173" s="855"/>
      <c r="DE173" s="838"/>
      <c r="DF173" s="855"/>
      <c r="DG173" s="838"/>
      <c r="DH173" s="855"/>
      <c r="DI173" s="838"/>
      <c r="DJ173" s="855"/>
      <c r="DK173" s="838"/>
      <c r="DL173" s="855"/>
      <c r="DM173" s="838"/>
      <c r="DN173" s="855"/>
      <c r="DO173" s="838"/>
      <c r="DP173" s="855"/>
      <c r="DQ173" s="838"/>
      <c r="DR173" s="855"/>
      <c r="DS173" s="855"/>
      <c r="DT173" s="855"/>
      <c r="DU173" s="838"/>
      <c r="DV173" s="855"/>
      <c r="DW173" s="838"/>
      <c r="DX173" s="855"/>
      <c r="DY173" s="838"/>
      <c r="DZ173" s="855"/>
      <c r="EA173" s="838"/>
      <c r="EB173" s="855"/>
      <c r="EC173" s="838"/>
      <c r="ED173" s="855"/>
      <c r="EE173" s="838"/>
      <c r="EF173" s="855"/>
      <c r="EG173" s="838"/>
      <c r="EH173" s="855"/>
      <c r="EI173" s="838"/>
      <c r="EJ173" s="855"/>
      <c r="EK173" s="838"/>
      <c r="EL173" s="855"/>
      <c r="EM173" s="838"/>
      <c r="EN173" s="855"/>
      <c r="EO173" s="838"/>
      <c r="EP173" s="855"/>
      <c r="EQ173" s="855"/>
      <c r="ER173" s="855"/>
      <c r="ES173" s="838"/>
      <c r="ET173" s="855"/>
      <c r="EU173" s="838"/>
      <c r="EV173" s="855"/>
      <c r="EW173" s="838"/>
      <c r="EX173" s="855"/>
      <c r="EY173" s="838"/>
      <c r="EZ173" s="855"/>
      <c r="FA173" s="838"/>
      <c r="FB173" s="855"/>
      <c r="FC173" s="838"/>
      <c r="FD173" s="855"/>
      <c r="FE173" s="838"/>
      <c r="FF173" s="855"/>
      <c r="FG173" s="838"/>
      <c r="FH173" s="855"/>
      <c r="FI173" s="838"/>
      <c r="FJ173" s="855"/>
      <c r="FK173" s="838"/>
      <c r="FL173" s="855"/>
      <c r="FM173" s="838"/>
      <c r="FN173" s="855"/>
      <c r="FO173" s="855"/>
      <c r="FP173" s="855"/>
      <c r="FQ173" s="838"/>
      <c r="FR173" s="855"/>
      <c r="FS173" s="838"/>
      <c r="FT173" s="855"/>
      <c r="FU173" s="838"/>
      <c r="FV173" s="855"/>
      <c r="FW173" s="838"/>
      <c r="FX173" s="855"/>
      <c r="FY173" s="838"/>
      <c r="FZ173" s="855"/>
      <c r="GA173" s="838"/>
      <c r="GB173" s="855"/>
      <c r="GC173" s="838"/>
      <c r="GD173" s="855"/>
      <c r="GE173" s="838"/>
      <c r="GF173" s="855"/>
      <c r="GG173" s="838"/>
      <c r="GH173" s="855"/>
      <c r="GI173" s="838"/>
      <c r="GJ173" s="855"/>
      <c r="GK173" s="855"/>
      <c r="GL173" s="855"/>
    </row>
    <row r="174" spans="2:196" x14ac:dyDescent="0.35">
      <c r="AB174" s="838"/>
      <c r="AC174" s="838"/>
      <c r="AD174" s="838"/>
      <c r="AE174" s="838"/>
      <c r="AF174" s="838"/>
      <c r="AG174" s="838"/>
      <c r="AH174" s="838"/>
      <c r="AI174" s="838"/>
      <c r="AJ174" s="838"/>
      <c r="AK174" s="838"/>
      <c r="AL174" s="838"/>
      <c r="AM174" s="838"/>
      <c r="AN174" s="838"/>
      <c r="AO174" s="838"/>
      <c r="AP174" s="838"/>
      <c r="AQ174" s="838"/>
      <c r="AR174" s="838"/>
      <c r="AS174" s="838"/>
      <c r="AT174" s="838"/>
      <c r="AU174" s="838"/>
      <c r="AV174" s="838"/>
      <c r="AW174" s="838"/>
      <c r="AX174" s="838"/>
      <c r="AY174" s="838"/>
      <c r="AZ174" s="838"/>
      <c r="BA174" s="838"/>
      <c r="BB174" s="838"/>
      <c r="BC174" s="838"/>
      <c r="BD174" s="838"/>
      <c r="BE174" s="838"/>
      <c r="BF174" s="838"/>
      <c r="BG174" s="838"/>
      <c r="BH174" s="838"/>
      <c r="BI174" s="838"/>
      <c r="BJ174" s="838"/>
      <c r="BK174" s="838"/>
      <c r="BL174" s="838"/>
      <c r="BM174" s="838"/>
      <c r="BN174" s="838"/>
      <c r="BO174" s="838"/>
      <c r="BP174" s="838"/>
      <c r="BQ174" s="838"/>
      <c r="BR174" s="838"/>
      <c r="BS174" s="838"/>
      <c r="BT174" s="838"/>
      <c r="BU174" s="838"/>
      <c r="BV174" s="838"/>
      <c r="BW174" s="838"/>
      <c r="BX174" s="855"/>
      <c r="BY174" s="855"/>
      <c r="BZ174" s="855"/>
      <c r="CA174" s="855"/>
      <c r="CB174" s="855"/>
      <c r="CC174" s="855"/>
      <c r="CD174" s="855"/>
      <c r="CE174" s="855"/>
      <c r="CF174" s="855"/>
      <c r="CG174" s="855"/>
      <c r="CH174" s="855"/>
      <c r="CI174" s="855"/>
      <c r="CJ174" s="855"/>
      <c r="CK174" s="855"/>
      <c r="CL174" s="855"/>
      <c r="CM174" s="855"/>
      <c r="CN174" s="855"/>
      <c r="CO174" s="855"/>
      <c r="CP174" s="855"/>
      <c r="CQ174" s="855"/>
      <c r="CR174" s="855"/>
      <c r="CS174" s="855"/>
      <c r="CT174" s="855"/>
      <c r="CU174" s="838"/>
      <c r="CV174" s="855"/>
      <c r="CW174" s="855"/>
      <c r="CX174" s="855"/>
      <c r="CY174" s="855"/>
      <c r="CZ174" s="855"/>
      <c r="DA174" s="855"/>
      <c r="DB174" s="855"/>
      <c r="DC174" s="855"/>
      <c r="DD174" s="855"/>
      <c r="DE174" s="855"/>
      <c r="DF174" s="855"/>
      <c r="DG174" s="855"/>
      <c r="DH174" s="855"/>
      <c r="DI174" s="855"/>
      <c r="DJ174" s="855"/>
      <c r="DK174" s="855"/>
      <c r="DL174" s="855"/>
      <c r="DM174" s="855"/>
      <c r="DN174" s="855"/>
      <c r="DO174" s="855"/>
      <c r="DP174" s="855"/>
      <c r="DQ174" s="855"/>
      <c r="DR174" s="855"/>
      <c r="DS174" s="855"/>
      <c r="DT174" s="855"/>
      <c r="DU174" s="855"/>
      <c r="DV174" s="855"/>
      <c r="DW174" s="855"/>
      <c r="DX174" s="855"/>
      <c r="DY174" s="855"/>
      <c r="DZ174" s="855"/>
      <c r="EA174" s="855"/>
      <c r="EB174" s="855"/>
      <c r="EC174" s="855"/>
      <c r="ED174" s="855"/>
      <c r="EE174" s="855"/>
      <c r="EF174" s="855"/>
      <c r="EG174" s="855"/>
      <c r="EH174" s="855"/>
      <c r="EI174" s="855"/>
      <c r="EJ174" s="855"/>
      <c r="EK174" s="855"/>
      <c r="EL174" s="855"/>
      <c r="EM174" s="855"/>
      <c r="EN174" s="855"/>
      <c r="EO174" s="855"/>
      <c r="EP174" s="855"/>
      <c r="EQ174" s="855"/>
      <c r="ER174" s="855"/>
      <c r="ES174" s="855"/>
      <c r="ET174" s="855"/>
      <c r="EU174" s="855"/>
      <c r="EV174" s="855"/>
      <c r="EW174" s="855"/>
      <c r="EX174" s="855"/>
      <c r="EY174" s="855"/>
      <c r="EZ174" s="855"/>
      <c r="FA174" s="855"/>
      <c r="FB174" s="855"/>
      <c r="FC174" s="855"/>
      <c r="FD174" s="855"/>
      <c r="FE174" s="855"/>
      <c r="FF174" s="855"/>
      <c r="FG174" s="855"/>
      <c r="FH174" s="855"/>
      <c r="FI174" s="855"/>
      <c r="FJ174" s="855"/>
      <c r="FK174" s="855"/>
      <c r="FL174" s="855"/>
      <c r="FM174" s="855"/>
      <c r="FN174" s="855"/>
      <c r="FO174" s="855"/>
      <c r="FP174" s="855"/>
      <c r="FQ174" s="838"/>
      <c r="FR174" s="855"/>
      <c r="FS174" s="838"/>
      <c r="FT174" s="855"/>
      <c r="FU174" s="838"/>
      <c r="FV174" s="855"/>
      <c r="FW174" s="838"/>
      <c r="FX174" s="855"/>
      <c r="FY174" s="838"/>
      <c r="FZ174" s="855"/>
      <c r="GA174" s="838"/>
      <c r="GB174" s="855"/>
      <c r="GC174" s="838"/>
      <c r="GD174" s="855"/>
      <c r="GE174" s="838"/>
      <c r="GF174" s="855"/>
      <c r="GG174" s="838"/>
      <c r="GH174" s="855"/>
      <c r="GI174" s="838"/>
      <c r="GJ174" s="855"/>
      <c r="GK174" s="855"/>
      <c r="GL174" s="855"/>
    </row>
    <row r="175" spans="2:196" x14ac:dyDescent="0.35">
      <c r="C175" s="777" t="s">
        <v>63</v>
      </c>
      <c r="I175" s="683"/>
      <c r="J175" s="683"/>
      <c r="K175" s="683"/>
      <c r="L175" s="683"/>
      <c r="M175" s="683"/>
      <c r="N175" s="683"/>
      <c r="O175" s="862"/>
      <c r="P175" s="862"/>
      <c r="Q175" s="863"/>
      <c r="R175" s="770" t="s">
        <v>403</v>
      </c>
      <c r="S175" s="683" t="s">
        <v>405</v>
      </c>
      <c r="T175" s="683"/>
      <c r="U175" s="683"/>
      <c r="V175" s="683" t="s">
        <v>232</v>
      </c>
      <c r="W175" s="683"/>
      <c r="X175" s="683"/>
      <c r="Y175" s="683" t="s">
        <v>87</v>
      </c>
      <c r="AB175" s="838"/>
      <c r="AC175" s="838"/>
      <c r="DU175" s="838"/>
      <c r="DV175" s="855"/>
      <c r="DW175" s="838"/>
      <c r="DX175" s="855"/>
      <c r="DY175" s="838"/>
      <c r="DZ175" s="855"/>
      <c r="EA175" s="838"/>
      <c r="EB175" s="855"/>
      <c r="EC175" s="838"/>
      <c r="ED175" s="855"/>
      <c r="EE175" s="838"/>
      <c r="EF175" s="855"/>
      <c r="EG175" s="838"/>
      <c r="EH175" s="855"/>
      <c r="EI175" s="838"/>
      <c r="EJ175" s="855"/>
      <c r="EK175" s="838"/>
      <c r="EL175" s="855"/>
      <c r="EM175" s="838"/>
      <c r="EN175" s="855"/>
      <c r="EO175" s="838"/>
      <c r="EP175" s="855"/>
      <c r="EQ175" s="838"/>
      <c r="ER175" s="855"/>
      <c r="ES175" s="838"/>
      <c r="ET175" s="855"/>
      <c r="EU175" s="838"/>
      <c r="EV175" s="855"/>
      <c r="EW175" s="838"/>
      <c r="EX175" s="855"/>
      <c r="EY175" s="838"/>
      <c r="EZ175" s="855"/>
      <c r="FA175" s="838"/>
      <c r="FB175" s="855"/>
      <c r="FC175" s="838"/>
      <c r="FD175" s="855"/>
      <c r="FE175" s="838"/>
      <c r="FF175" s="855"/>
      <c r="FG175" s="838"/>
      <c r="FH175" s="855"/>
      <c r="FI175" s="838"/>
      <c r="FJ175" s="855"/>
      <c r="FK175" s="838"/>
      <c r="FL175" s="855"/>
      <c r="FM175" s="838"/>
      <c r="FN175" s="855"/>
      <c r="FO175" s="838"/>
      <c r="FP175" s="855"/>
      <c r="FQ175" s="838"/>
      <c r="FR175" s="855"/>
      <c r="FS175" s="838"/>
      <c r="FT175" s="855"/>
      <c r="FU175" s="838"/>
      <c r="FV175" s="855"/>
      <c r="FW175" s="838"/>
      <c r="FX175" s="855"/>
      <c r="FY175" s="838"/>
      <c r="FZ175" s="855"/>
      <c r="GA175" s="838"/>
      <c r="GB175" s="855"/>
      <c r="GC175" s="838"/>
      <c r="GD175" s="855"/>
      <c r="GE175" s="838"/>
      <c r="GF175" s="855"/>
      <c r="GG175" s="838"/>
      <c r="GH175" s="855"/>
      <c r="GI175" s="838"/>
      <c r="GJ175" s="855"/>
      <c r="GK175" s="855"/>
      <c r="GL175" s="838"/>
    </row>
    <row r="176" spans="2:196" x14ac:dyDescent="0.35">
      <c r="C176" s="864">
        <f>+'3 ALUMINIOS'!B13*'3 ALUMINIOS'!B7</f>
        <v>0</v>
      </c>
      <c r="G176" s="777" t="s">
        <v>229</v>
      </c>
      <c r="I176" s="769">
        <f>+'3 ALUMINIOS'!B8*'3 ALUMINIOS'!B7</f>
        <v>0</v>
      </c>
      <c r="J176" s="769">
        <f>+'3 ALUMINIOS'!C8*'3 ALUMINIOS'!C7</f>
        <v>0</v>
      </c>
      <c r="K176" s="769">
        <f>+'3 ALUMINIOS'!D8*'3 ALUMINIOS'!D7</f>
        <v>0</v>
      </c>
      <c r="L176" s="769">
        <f>+'3 ALUMINIOS'!E8*'3 ALUMINIOS'!E7</f>
        <v>0</v>
      </c>
      <c r="M176" s="769">
        <f>+'3 ALUMINIOS'!F8*'3 ALUMINIOS'!F7</f>
        <v>0</v>
      </c>
      <c r="N176" s="769">
        <f>+'3 ALUMINIOS'!H8*'3 ALUMINIOS'!H7</f>
        <v>0</v>
      </c>
      <c r="O176" s="769">
        <f>+'3 ALUMINIOS'!I8*'3 ALUMINIOS'!I7</f>
        <v>0</v>
      </c>
      <c r="P176" s="769">
        <f>+'3 ALUMINIOS'!J8*'3 ALUMINIOS'!J7</f>
        <v>0</v>
      </c>
      <c r="Q176" s="682">
        <f t="shared" ref="Q176:Q188" si="45">SUM(I176:P176)</f>
        <v>0</v>
      </c>
      <c r="R176" s="682">
        <f>+'3 ALUMINIOS'!L8*'3 ALUMINIOS'!M8</f>
        <v>0</v>
      </c>
      <c r="S176" s="682">
        <f>+'3 ALUMINIOS'!O8*'3 ALUMINIOS'!P8</f>
        <v>0</v>
      </c>
      <c r="T176" s="769"/>
      <c r="U176" s="769"/>
      <c r="V176" s="682">
        <f>+'3 ALUMINIOS'!R8*'3 ALUMINIOS'!S8</f>
        <v>0</v>
      </c>
      <c r="W176" s="682"/>
      <c r="X176" s="682"/>
      <c r="Y176" s="682">
        <f>+'3 ALUMINIOS'!U8*'3 ALUMINIOS'!V8</f>
        <v>0</v>
      </c>
      <c r="AB176" s="838"/>
      <c r="AC176" s="838"/>
      <c r="DU176" s="855"/>
      <c r="DV176" s="855"/>
      <c r="DW176" s="855"/>
      <c r="DX176" s="855"/>
      <c r="DY176" s="855"/>
      <c r="DZ176" s="855"/>
      <c r="EA176" s="855"/>
      <c r="EB176" s="855"/>
      <c r="EC176" s="855"/>
      <c r="ED176" s="855"/>
      <c r="EE176" s="855"/>
      <c r="EF176" s="855"/>
      <c r="EG176" s="855"/>
      <c r="EH176" s="855"/>
      <c r="EI176" s="855"/>
      <c r="EJ176" s="855"/>
      <c r="EK176" s="855"/>
      <c r="EL176" s="855"/>
      <c r="EM176" s="855"/>
      <c r="EN176" s="855"/>
      <c r="EO176" s="855"/>
      <c r="EP176" s="855"/>
      <c r="EQ176" s="838"/>
      <c r="ER176" s="855"/>
      <c r="ES176" s="855"/>
      <c r="ET176" s="855"/>
      <c r="EU176" s="855"/>
      <c r="EV176" s="855"/>
      <c r="EW176" s="855"/>
      <c r="EX176" s="855"/>
      <c r="EY176" s="855"/>
      <c r="EZ176" s="855"/>
      <c r="FA176" s="855"/>
      <c r="FB176" s="855"/>
      <c r="FC176" s="855"/>
      <c r="FD176" s="855"/>
      <c r="FE176" s="855"/>
      <c r="FF176" s="855"/>
      <c r="FG176" s="855"/>
      <c r="FH176" s="855"/>
      <c r="FI176" s="855"/>
      <c r="FJ176" s="855"/>
      <c r="FK176" s="855"/>
      <c r="FL176" s="855"/>
      <c r="FM176" s="855"/>
      <c r="FN176" s="855"/>
      <c r="FO176" s="838"/>
      <c r="FP176" s="855"/>
      <c r="FQ176" s="838"/>
      <c r="FR176" s="855"/>
      <c r="FS176" s="838"/>
      <c r="FT176" s="855"/>
      <c r="FU176" s="838"/>
      <c r="FV176" s="855"/>
      <c r="FW176" s="838"/>
      <c r="FX176" s="855"/>
      <c r="FY176" s="838"/>
      <c r="FZ176" s="855"/>
      <c r="GA176" s="838"/>
      <c r="GB176" s="855"/>
      <c r="GC176" s="838"/>
      <c r="GD176" s="855"/>
      <c r="GE176" s="838"/>
      <c r="GF176" s="855"/>
      <c r="GG176" s="838"/>
      <c r="GH176" s="855"/>
      <c r="GI176" s="838"/>
      <c r="GJ176" s="855"/>
      <c r="GK176" s="855"/>
      <c r="GL176" s="838"/>
    </row>
    <row r="177" spans="3:194" x14ac:dyDescent="0.35">
      <c r="C177" s="864">
        <f>+'3 ALUMINIOS'!C13*'3 ALUMINIOS'!C7</f>
        <v>0</v>
      </c>
      <c r="G177" s="777" t="s">
        <v>230</v>
      </c>
      <c r="I177" s="769">
        <f>+'3 ALUMINIOS'!B9*'3 ALUMINIOS'!B7</f>
        <v>0</v>
      </c>
      <c r="J177" s="769">
        <f>+'3 ALUMINIOS'!C9*'3 ALUMINIOS'!C7</f>
        <v>0</v>
      </c>
      <c r="K177" s="769">
        <f>+'3 ALUMINIOS'!D9*'3 ALUMINIOS'!D7</f>
        <v>0</v>
      </c>
      <c r="L177" s="769">
        <f>+'3 ALUMINIOS'!E9*'3 ALUMINIOS'!E7</f>
        <v>0</v>
      </c>
      <c r="M177" s="769">
        <f>+'3 ALUMINIOS'!F9*'3 ALUMINIOS'!F7</f>
        <v>0</v>
      </c>
      <c r="N177" s="769">
        <f>+'3 ALUMINIOS'!H9*'3 ALUMINIOS'!H7</f>
        <v>0</v>
      </c>
      <c r="O177" s="769">
        <f>+'3 ALUMINIOS'!I9*'3 ALUMINIOS'!I7</f>
        <v>0</v>
      </c>
      <c r="P177" s="769">
        <f>+'3 ALUMINIOS'!J9*'3 ALUMINIOS'!J7</f>
        <v>0</v>
      </c>
      <c r="Q177" s="682">
        <f t="shared" si="45"/>
        <v>0</v>
      </c>
      <c r="R177" s="682">
        <f>+'3 ALUMINIOS'!L10*'3 ALUMINIOS'!M10</f>
        <v>0</v>
      </c>
      <c r="S177" s="682">
        <f>+'3 ALUMINIOS'!O10*'3 ALUMINIOS'!P10</f>
        <v>0</v>
      </c>
      <c r="T177" s="769"/>
      <c r="U177" s="769"/>
      <c r="V177" s="682">
        <f>+'3 ALUMINIOS'!R9*'3 ALUMINIOS'!S9</f>
        <v>0</v>
      </c>
      <c r="W177" s="682"/>
      <c r="X177" s="682"/>
      <c r="Y177" s="682">
        <f>+'3 ALUMINIOS'!U9*'3 ALUMINIOS'!V9</f>
        <v>0</v>
      </c>
      <c r="AB177" s="838"/>
      <c r="AC177" s="838"/>
      <c r="DU177" s="838"/>
      <c r="DV177" s="855"/>
      <c r="DW177" s="838"/>
      <c r="DX177" s="855"/>
      <c r="DY177" s="838"/>
      <c r="DZ177" s="855"/>
      <c r="EA177" s="838"/>
      <c r="EB177" s="855"/>
      <c r="EC177" s="838"/>
      <c r="ED177" s="855"/>
      <c r="EE177" s="838"/>
      <c r="EF177" s="855"/>
      <c r="EG177" s="838"/>
      <c r="EH177" s="855"/>
      <c r="EI177" s="838"/>
      <c r="EJ177" s="855"/>
      <c r="EK177" s="838"/>
      <c r="EL177" s="855"/>
      <c r="EM177" s="838"/>
      <c r="EN177" s="855"/>
      <c r="EO177" s="838"/>
      <c r="EP177" s="855"/>
      <c r="EQ177" s="838"/>
      <c r="ER177" s="855"/>
      <c r="ES177" s="838"/>
      <c r="ET177" s="855"/>
      <c r="EU177" s="838"/>
      <c r="EV177" s="855"/>
      <c r="EW177" s="838"/>
      <c r="EX177" s="855"/>
      <c r="EY177" s="838"/>
      <c r="EZ177" s="855"/>
      <c r="FA177" s="838"/>
      <c r="FB177" s="855"/>
      <c r="FC177" s="838"/>
      <c r="FD177" s="855"/>
      <c r="FE177" s="838"/>
      <c r="FF177" s="855"/>
      <c r="FG177" s="838"/>
      <c r="FH177" s="855"/>
      <c r="FI177" s="838"/>
      <c r="FJ177" s="855"/>
      <c r="FK177" s="838"/>
      <c r="FL177" s="855"/>
      <c r="FM177" s="838"/>
      <c r="FN177" s="855"/>
      <c r="FO177" s="838"/>
      <c r="FP177" s="855"/>
      <c r="FQ177" s="838"/>
      <c r="FR177" s="855"/>
      <c r="FS177" s="838"/>
      <c r="FT177" s="855"/>
      <c r="FU177" s="838"/>
      <c r="FV177" s="855"/>
      <c r="FW177" s="838"/>
      <c r="FX177" s="855"/>
      <c r="FY177" s="838"/>
      <c r="FZ177" s="855"/>
      <c r="GA177" s="838"/>
      <c r="GB177" s="855"/>
      <c r="GC177" s="838"/>
      <c r="GD177" s="855"/>
      <c r="GE177" s="838"/>
      <c r="GF177" s="855"/>
      <c r="GG177" s="838"/>
      <c r="GH177" s="855"/>
      <c r="GI177" s="838"/>
      <c r="GJ177" s="855"/>
      <c r="GK177" s="855"/>
      <c r="GL177" s="838"/>
    </row>
    <row r="178" spans="3:194" x14ac:dyDescent="0.35">
      <c r="C178" s="864">
        <f>+'3 ALUMINIOS'!D13*'3 ALUMINIOS'!D7</f>
        <v>0</v>
      </c>
      <c r="G178" s="777" t="s">
        <v>634</v>
      </c>
      <c r="I178" s="769">
        <f>+'3 ALUMINIOS'!B10*'3 ALUMINIOS'!B7</f>
        <v>0</v>
      </c>
      <c r="J178" s="769">
        <f>+'3 ALUMINIOS'!C10*'3 ALUMINIOS'!C7</f>
        <v>0</v>
      </c>
      <c r="K178" s="769">
        <f>+'3 ALUMINIOS'!D10*'3 ALUMINIOS'!D7</f>
        <v>0</v>
      </c>
      <c r="L178" s="769">
        <f>+'3 ALUMINIOS'!E10*'3 ALUMINIOS'!E7</f>
        <v>0</v>
      </c>
      <c r="M178" s="769">
        <f>+'3 ALUMINIOS'!F10*'3 ALUMINIOS'!F7</f>
        <v>0</v>
      </c>
      <c r="N178" s="769">
        <f>+'3 ALUMINIOS'!H10*'3 ALUMINIOS'!H7</f>
        <v>0</v>
      </c>
      <c r="O178" s="769">
        <f>+'3 ALUMINIOS'!I10*'3 ALUMINIOS'!I7</f>
        <v>0</v>
      </c>
      <c r="P178" s="769">
        <f>+'3 ALUMINIOS'!J10*'3 ALUMINIOS'!J7</f>
        <v>0</v>
      </c>
      <c r="Q178" s="682">
        <f t="shared" si="45"/>
        <v>0</v>
      </c>
      <c r="R178" s="682">
        <f>+'3 ALUMINIOS'!L12*'3 ALUMINIOS'!M12</f>
        <v>0</v>
      </c>
      <c r="S178" s="682">
        <f>+'3 ALUMINIOS'!O12*'3 ALUMINIOS'!P12</f>
        <v>0</v>
      </c>
      <c r="T178" s="769"/>
      <c r="U178" s="769"/>
      <c r="V178" s="682">
        <f>+'3 ALUMINIOS'!R10*'3 ALUMINIOS'!S10</f>
        <v>0</v>
      </c>
      <c r="W178" s="682"/>
      <c r="X178" s="682"/>
      <c r="Y178" s="682">
        <f>+'3 ALUMINIOS'!U10*'3 ALUMINIOS'!V10</f>
        <v>0</v>
      </c>
      <c r="AB178" s="838"/>
      <c r="AC178" s="838"/>
      <c r="DU178" s="838"/>
      <c r="DV178" s="838"/>
      <c r="DW178" s="838"/>
      <c r="DX178" s="838"/>
      <c r="DY178" s="838"/>
      <c r="DZ178" s="838"/>
      <c r="EA178" s="838"/>
      <c r="EB178" s="838"/>
      <c r="EC178" s="838"/>
      <c r="ED178" s="838"/>
      <c r="EE178" s="838"/>
      <c r="EF178" s="838"/>
      <c r="EG178" s="838"/>
      <c r="EH178" s="838"/>
      <c r="EI178" s="838"/>
      <c r="EJ178" s="838"/>
      <c r="EK178" s="838"/>
      <c r="EL178" s="838"/>
      <c r="EM178" s="838"/>
      <c r="EN178" s="838"/>
      <c r="EO178" s="838"/>
      <c r="EP178" s="838"/>
      <c r="EQ178" s="838"/>
      <c r="ER178" s="838"/>
      <c r="ES178" s="838"/>
      <c r="ET178" s="838"/>
      <c r="EU178" s="838"/>
      <c r="EV178" s="838"/>
      <c r="EW178" s="838"/>
      <c r="EX178" s="838"/>
      <c r="EY178" s="838"/>
      <c r="EZ178" s="838"/>
      <c r="FA178" s="838"/>
      <c r="FB178" s="838"/>
      <c r="FC178" s="838"/>
      <c r="FD178" s="838"/>
      <c r="FE178" s="838"/>
      <c r="FF178" s="838"/>
      <c r="FG178" s="838"/>
      <c r="FH178" s="838"/>
      <c r="FI178" s="838"/>
      <c r="FJ178" s="838"/>
      <c r="FK178" s="838"/>
      <c r="FL178" s="838"/>
      <c r="FM178" s="838"/>
      <c r="FN178" s="838"/>
      <c r="FO178" s="838"/>
      <c r="FP178" s="838"/>
      <c r="FQ178" s="838"/>
      <c r="FR178" s="838"/>
      <c r="FS178" s="838"/>
      <c r="FT178" s="838"/>
      <c r="FU178" s="838"/>
      <c r="FV178" s="838"/>
      <c r="FW178" s="838"/>
      <c r="FX178" s="838"/>
      <c r="FY178" s="838"/>
      <c r="FZ178" s="838"/>
      <c r="GA178" s="838"/>
      <c r="GB178" s="838"/>
      <c r="GC178" s="838"/>
      <c r="GD178" s="838"/>
      <c r="GE178" s="838"/>
      <c r="GF178" s="838"/>
      <c r="GG178" s="838"/>
      <c r="GH178" s="838"/>
      <c r="GI178" s="838"/>
      <c r="GJ178" s="838"/>
      <c r="GK178" s="838"/>
      <c r="GL178" s="838"/>
    </row>
    <row r="179" spans="3:194" x14ac:dyDescent="0.35">
      <c r="C179" s="864">
        <f>+'3 ALUMINIOS'!E13*'3 ALUMINIOS'!E7</f>
        <v>0</v>
      </c>
      <c r="G179" s="777" t="s">
        <v>403</v>
      </c>
      <c r="I179" s="769">
        <f>+'3 ALUMINIOS'!B11*'3 ALUMINIOS'!B7</f>
        <v>0</v>
      </c>
      <c r="J179" s="769">
        <f>+'3 ALUMINIOS'!C11*'3 ALUMINIOS'!C7</f>
        <v>0</v>
      </c>
      <c r="K179" s="769">
        <f>+'3 ALUMINIOS'!D11*'3 ALUMINIOS'!D7</f>
        <v>0</v>
      </c>
      <c r="L179" s="769">
        <f>+'3 ALUMINIOS'!E11*'3 ALUMINIOS'!E7</f>
        <v>0</v>
      </c>
      <c r="M179" s="769">
        <f>+'3 ALUMINIOS'!F11*'3 ALUMINIOS'!F7</f>
        <v>0</v>
      </c>
      <c r="N179" s="769">
        <f>+'3 ALUMINIOS'!H11*'3 ALUMINIOS'!H7</f>
        <v>0</v>
      </c>
      <c r="O179" s="769">
        <f>+'3 ALUMINIOS'!I11*'3 ALUMINIOS'!I7</f>
        <v>0</v>
      </c>
      <c r="P179" s="769">
        <f>+'3 ALUMINIOS'!J11*'3 ALUMINIOS'!J7</f>
        <v>0</v>
      </c>
      <c r="Q179" s="682">
        <f t="shared" si="45"/>
        <v>0</v>
      </c>
      <c r="R179" s="682">
        <f>+'3 ALUMINIOS'!L14*'3 ALUMINIOS'!M14</f>
        <v>0</v>
      </c>
      <c r="S179" s="682">
        <f>+'3 ALUMINIOS'!O14*'3 ALUMINIOS'!P14</f>
        <v>0</v>
      </c>
      <c r="T179" s="769"/>
      <c r="U179" s="769"/>
      <c r="V179" s="682">
        <f>+'3 ALUMINIOS'!R11*'3 ALUMINIOS'!S11</f>
        <v>0</v>
      </c>
      <c r="W179" s="682"/>
      <c r="X179" s="682"/>
      <c r="Y179" s="682">
        <f>+'3 ALUMINIOS'!U11*'3 ALUMINIOS'!V11</f>
        <v>0</v>
      </c>
      <c r="AB179" s="838"/>
      <c r="AC179" s="838"/>
      <c r="DU179" s="838"/>
      <c r="DV179" s="855"/>
      <c r="DW179" s="838"/>
      <c r="DX179" s="855"/>
      <c r="DY179" s="838"/>
      <c r="DZ179" s="855"/>
      <c r="EA179" s="838"/>
      <c r="EB179" s="855"/>
      <c r="EC179" s="838"/>
      <c r="ED179" s="855"/>
      <c r="EE179" s="838"/>
      <c r="EF179" s="855"/>
      <c r="EG179" s="838"/>
      <c r="EH179" s="855"/>
      <c r="EI179" s="838"/>
      <c r="EJ179" s="855"/>
      <c r="EK179" s="838"/>
      <c r="EL179" s="855"/>
      <c r="EM179" s="838"/>
      <c r="EN179" s="855"/>
      <c r="EO179" s="838"/>
      <c r="EP179" s="855"/>
      <c r="EQ179" s="838"/>
      <c r="ER179" s="855"/>
      <c r="ES179" s="838"/>
      <c r="ET179" s="855"/>
      <c r="EU179" s="838"/>
      <c r="EV179" s="855"/>
      <c r="EW179" s="838"/>
      <c r="EX179" s="855"/>
      <c r="EY179" s="838"/>
      <c r="EZ179" s="855"/>
      <c r="FA179" s="838"/>
      <c r="FB179" s="855"/>
      <c r="FC179" s="838"/>
      <c r="FD179" s="855"/>
      <c r="FE179" s="838"/>
      <c r="FF179" s="855"/>
      <c r="FG179" s="838"/>
      <c r="FH179" s="855"/>
      <c r="FI179" s="838"/>
      <c r="FJ179" s="855"/>
      <c r="FK179" s="838"/>
      <c r="FL179" s="855"/>
      <c r="FM179" s="838"/>
      <c r="FN179" s="855"/>
      <c r="FO179" s="838"/>
      <c r="FP179" s="855"/>
      <c r="FQ179" s="838"/>
      <c r="FR179" s="855"/>
      <c r="FS179" s="838"/>
      <c r="FT179" s="855"/>
      <c r="FU179" s="838"/>
      <c r="FV179" s="855"/>
      <c r="FW179" s="838"/>
      <c r="FX179" s="855"/>
      <c r="FY179" s="838"/>
      <c r="FZ179" s="855"/>
      <c r="GA179" s="838"/>
      <c r="GB179" s="855"/>
      <c r="GC179" s="838"/>
      <c r="GD179" s="855"/>
      <c r="GE179" s="838"/>
      <c r="GF179" s="855"/>
      <c r="GG179" s="838"/>
      <c r="GH179" s="855"/>
      <c r="GI179" s="838"/>
      <c r="GJ179" s="855"/>
      <c r="GK179" s="855"/>
      <c r="GL179" s="838"/>
    </row>
    <row r="180" spans="3:194" x14ac:dyDescent="0.35">
      <c r="C180" s="864">
        <f>+'3 ALUMINIOS'!F13*'3 ALUMINIOS'!F7</f>
        <v>0</v>
      </c>
      <c r="G180" s="777" t="s">
        <v>77</v>
      </c>
      <c r="I180" s="769">
        <f>+'3 ALUMINIOS'!B12*'3 ALUMINIOS'!B7</f>
        <v>0</v>
      </c>
      <c r="J180" s="769">
        <f>+'3 ALUMINIOS'!C12*'3 ALUMINIOS'!C7</f>
        <v>0</v>
      </c>
      <c r="K180" s="769">
        <f>+'3 ALUMINIOS'!D12*'3 ALUMINIOS'!D7</f>
        <v>0</v>
      </c>
      <c r="L180" s="769">
        <f>+'3 ALUMINIOS'!E12*'3 ALUMINIOS'!E7</f>
        <v>0</v>
      </c>
      <c r="M180" s="769">
        <f>+'3 ALUMINIOS'!F12*'3 ALUMINIOS'!F7</f>
        <v>0</v>
      </c>
      <c r="N180" s="769">
        <f>+'3 ALUMINIOS'!H12*'3 ALUMINIOS'!H7</f>
        <v>0</v>
      </c>
      <c r="O180" s="769">
        <f>+'3 ALUMINIOS'!I12*'3 ALUMINIOS'!I7</f>
        <v>0</v>
      </c>
      <c r="P180" s="769">
        <f>+'3 ALUMINIOS'!J12*'3 ALUMINIOS'!J7</f>
        <v>0</v>
      </c>
      <c r="Q180" s="682">
        <f t="shared" si="45"/>
        <v>0</v>
      </c>
      <c r="R180" s="682">
        <f>+'3 ALUMINIOS'!L16*'3 ALUMINIOS'!M16</f>
        <v>0</v>
      </c>
      <c r="S180" s="682">
        <f>+'3 ALUMINIOS'!O16*'3 ALUMINIOS'!P16</f>
        <v>0</v>
      </c>
      <c r="T180" s="769"/>
      <c r="U180" s="769"/>
      <c r="V180" s="682">
        <f>+'3 ALUMINIOS'!R12*'3 ALUMINIOS'!S12</f>
        <v>0</v>
      </c>
      <c r="W180" s="682"/>
      <c r="X180" s="682"/>
      <c r="Y180" s="682">
        <f>+'3 ALUMINIOS'!U12*'3 ALUMINIOS'!V12</f>
        <v>0</v>
      </c>
      <c r="AB180" s="838"/>
      <c r="AC180" s="838"/>
      <c r="DU180" s="838"/>
      <c r="DV180" s="838"/>
      <c r="DW180" s="838"/>
      <c r="DX180" s="838"/>
      <c r="DY180" s="838"/>
      <c r="DZ180" s="838"/>
      <c r="EA180" s="838"/>
      <c r="EB180" s="838"/>
      <c r="EC180" s="838"/>
      <c r="ED180" s="838"/>
      <c r="EE180" s="838"/>
      <c r="EF180" s="838"/>
      <c r="EG180" s="838"/>
      <c r="EH180" s="838"/>
      <c r="EI180" s="838"/>
      <c r="EJ180" s="838"/>
      <c r="EK180" s="838"/>
      <c r="EL180" s="838"/>
      <c r="EM180" s="838"/>
      <c r="EN180" s="838"/>
      <c r="EO180" s="838"/>
      <c r="EP180" s="838"/>
      <c r="EQ180" s="838"/>
      <c r="ER180" s="838"/>
      <c r="ES180" s="838"/>
      <c r="ET180" s="838"/>
      <c r="EU180" s="838"/>
      <c r="EV180" s="838"/>
      <c r="EW180" s="838"/>
      <c r="EX180" s="838"/>
      <c r="EY180" s="838"/>
      <c r="EZ180" s="838"/>
      <c r="FA180" s="838"/>
      <c r="FB180" s="838"/>
      <c r="FC180" s="838"/>
      <c r="FD180" s="838"/>
      <c r="FE180" s="838"/>
      <c r="FF180" s="838"/>
      <c r="FG180" s="838"/>
      <c r="FH180" s="838"/>
      <c r="FI180" s="838"/>
      <c r="FJ180" s="838"/>
      <c r="FK180" s="838"/>
      <c r="FL180" s="838"/>
      <c r="FM180" s="838"/>
      <c r="FN180" s="838"/>
      <c r="FO180" s="838"/>
      <c r="FP180" s="838"/>
      <c r="FQ180" s="838"/>
      <c r="FR180" s="838"/>
      <c r="FS180" s="838"/>
      <c r="FT180" s="838"/>
      <c r="FU180" s="838"/>
      <c r="FV180" s="838"/>
      <c r="FW180" s="838"/>
      <c r="FX180" s="838"/>
      <c r="FY180" s="838"/>
      <c r="FZ180" s="838"/>
      <c r="GA180" s="838"/>
      <c r="GB180" s="838"/>
      <c r="GC180" s="838"/>
      <c r="GD180" s="838"/>
      <c r="GE180" s="838"/>
      <c r="GF180" s="838"/>
      <c r="GG180" s="838"/>
      <c r="GH180" s="838"/>
      <c r="GI180" s="838"/>
      <c r="GJ180" s="838"/>
      <c r="GK180" s="838"/>
      <c r="GL180" s="838"/>
    </row>
    <row r="181" spans="3:194" x14ac:dyDescent="0.35">
      <c r="G181" s="777" t="s">
        <v>231</v>
      </c>
      <c r="I181" s="769">
        <f>+'3 ALUMINIOS'!B13*'3 ALUMINIOS'!B7</f>
        <v>0</v>
      </c>
      <c r="J181" s="769">
        <f>+'3 ALUMINIOS'!C13*'3 ALUMINIOS'!C7</f>
        <v>0</v>
      </c>
      <c r="K181" s="769">
        <f>+'3 ALUMINIOS'!D13*'3 ALUMINIOS'!D7</f>
        <v>0</v>
      </c>
      <c r="L181" s="769">
        <f>+'3 ALUMINIOS'!E13*'3 ALUMINIOS'!E7</f>
        <v>0</v>
      </c>
      <c r="M181" s="769">
        <f>+'3 ALUMINIOS'!F13*'3 ALUMINIOS'!F7</f>
        <v>0</v>
      </c>
      <c r="N181" s="769">
        <f>+'3 ALUMINIOS'!H13*'3 ALUMINIOS'!H7</f>
        <v>0</v>
      </c>
      <c r="O181" s="769">
        <f>+'3 ALUMINIOS'!I13*'3 ALUMINIOS'!I7</f>
        <v>0</v>
      </c>
      <c r="P181" s="769">
        <f>+'3 ALUMINIOS'!J13*'3 ALUMINIOS'!J7</f>
        <v>0</v>
      </c>
      <c r="Q181" s="682">
        <f t="shared" si="45"/>
        <v>0</v>
      </c>
      <c r="R181" s="682">
        <f>+'3 ALUMINIOS'!L18*'3 ALUMINIOS'!M18</f>
        <v>0</v>
      </c>
      <c r="S181" s="682">
        <f>+'3 ALUMINIOS'!O18*'3 ALUMINIOS'!P18</f>
        <v>0</v>
      </c>
      <c r="T181" s="769"/>
      <c r="U181" s="769"/>
      <c r="V181" s="682">
        <f>+'3 ALUMINIOS'!R13*'3 ALUMINIOS'!S13</f>
        <v>0</v>
      </c>
      <c r="W181" s="682"/>
      <c r="X181" s="682"/>
      <c r="Y181" s="682">
        <f>+'3 ALUMINIOS'!U13*'3 ALUMINIOS'!V13</f>
        <v>0</v>
      </c>
      <c r="AB181" s="838"/>
      <c r="AC181" s="855"/>
      <c r="DU181" s="838"/>
      <c r="DV181" s="855"/>
      <c r="DW181" s="838"/>
      <c r="DX181" s="855"/>
      <c r="DY181" s="838"/>
      <c r="DZ181" s="855"/>
      <c r="EA181" s="838"/>
      <c r="EB181" s="855"/>
      <c r="EC181" s="838"/>
      <c r="ED181" s="855"/>
      <c r="EE181" s="838"/>
      <c r="EF181" s="855"/>
      <c r="EG181" s="838"/>
      <c r="EH181" s="855"/>
      <c r="EI181" s="838"/>
      <c r="EJ181" s="855"/>
      <c r="EK181" s="838"/>
      <c r="EL181" s="855"/>
      <c r="EM181" s="838"/>
      <c r="EN181" s="855"/>
      <c r="EO181" s="838"/>
      <c r="EP181" s="855"/>
      <c r="EQ181" s="838"/>
      <c r="ER181" s="855"/>
      <c r="ES181" s="838"/>
      <c r="ET181" s="855"/>
      <c r="EU181" s="838"/>
      <c r="EV181" s="855"/>
      <c r="EW181" s="838"/>
      <c r="EX181" s="855"/>
      <c r="EY181" s="838"/>
      <c r="EZ181" s="855"/>
      <c r="FA181" s="838"/>
      <c r="FB181" s="855"/>
      <c r="FC181" s="838"/>
      <c r="FD181" s="855"/>
      <c r="FE181" s="838"/>
      <c r="FF181" s="855"/>
      <c r="FG181" s="838"/>
      <c r="FH181" s="855"/>
      <c r="FI181" s="838"/>
      <c r="FJ181" s="855"/>
      <c r="FK181" s="838"/>
      <c r="FL181" s="855"/>
      <c r="FM181" s="838"/>
      <c r="FN181" s="855"/>
      <c r="FO181" s="702"/>
      <c r="FP181" s="855"/>
      <c r="FQ181" s="838"/>
      <c r="FR181" s="855"/>
      <c r="FS181" s="838"/>
      <c r="FT181" s="855"/>
      <c r="FU181" s="838"/>
      <c r="FV181" s="855"/>
      <c r="FW181" s="838"/>
      <c r="FX181" s="855"/>
      <c r="FY181" s="838"/>
      <c r="FZ181" s="855"/>
      <c r="GA181" s="838"/>
      <c r="GB181" s="855"/>
      <c r="GC181" s="838"/>
      <c r="GD181" s="855"/>
      <c r="GE181" s="838"/>
      <c r="GF181" s="855"/>
      <c r="GG181" s="838"/>
      <c r="GH181" s="855"/>
      <c r="GI181" s="838"/>
      <c r="GJ181" s="855"/>
      <c r="GK181" s="855"/>
      <c r="GL181" s="702"/>
    </row>
    <row r="182" spans="3:194" x14ac:dyDescent="0.35">
      <c r="I182" s="769">
        <f>+'3 ALUMINIOS'!B14*'3 ALUMINIOS'!B7</f>
        <v>0</v>
      </c>
      <c r="J182" s="769">
        <f>+'3 ALUMINIOS'!C14*'3 ALUMINIOS'!C7</f>
        <v>0</v>
      </c>
      <c r="K182" s="769">
        <f>+'3 ALUMINIOS'!D14*'3 ALUMINIOS'!D7</f>
        <v>0</v>
      </c>
      <c r="L182" s="769">
        <f>+'3 ALUMINIOS'!E14*'3 ALUMINIOS'!E7</f>
        <v>0</v>
      </c>
      <c r="M182" s="769">
        <f>+'3 ALUMINIOS'!F14*'3 ALUMINIOS'!F7</f>
        <v>0</v>
      </c>
      <c r="N182" s="769">
        <f>+'3 ALUMINIOS'!H14*'3 ALUMINIOS'!H7</f>
        <v>0</v>
      </c>
      <c r="O182" s="769">
        <f>+'3 ALUMINIOS'!I14*'3 ALUMINIOS'!I7</f>
        <v>0</v>
      </c>
      <c r="P182" s="769">
        <f>+'3 ALUMINIOS'!J14*'3 ALUMINIOS'!J7</f>
        <v>0</v>
      </c>
      <c r="Q182" s="682">
        <f t="shared" si="45"/>
        <v>0</v>
      </c>
      <c r="R182" s="682">
        <f>+'3 ALUMINIOS'!L14*'3 ALUMINIOS'!M14</f>
        <v>0</v>
      </c>
      <c r="S182" s="682">
        <f>+'3 ALUMINIOS'!O14*'3 ALUMINIOS'!P14</f>
        <v>0</v>
      </c>
      <c r="T182" s="769"/>
      <c r="U182" s="769"/>
      <c r="V182" s="682">
        <f>+'3 ALUMINIOS'!R14*'3 ALUMINIOS'!S14</f>
        <v>0</v>
      </c>
      <c r="W182" s="682"/>
      <c r="X182" s="682"/>
      <c r="Y182" s="682">
        <f>+'3 ALUMINIOS'!U14*'3 ALUMINIOS'!V14</f>
        <v>0</v>
      </c>
      <c r="AB182" s="838"/>
      <c r="AC182" s="838"/>
      <c r="AD182" s="838"/>
      <c r="AE182" s="838"/>
      <c r="AF182" s="838"/>
      <c r="AG182" s="838"/>
      <c r="AH182" s="838"/>
      <c r="AI182" s="838"/>
      <c r="AJ182" s="838"/>
      <c r="AK182" s="838"/>
      <c r="AL182" s="838"/>
      <c r="AM182" s="838"/>
      <c r="AN182" s="838"/>
      <c r="AO182" s="838"/>
      <c r="AP182" s="838"/>
      <c r="AQ182" s="838"/>
      <c r="AR182" s="838"/>
      <c r="AS182" s="838"/>
      <c r="AT182" s="838"/>
      <c r="AU182" s="838"/>
      <c r="AV182" s="838"/>
      <c r="AW182" s="838"/>
      <c r="AX182" s="838"/>
      <c r="AY182" s="838"/>
      <c r="AZ182" s="838"/>
      <c r="BA182" s="838"/>
      <c r="BB182" s="838"/>
      <c r="BC182" s="838"/>
      <c r="BD182" s="838"/>
      <c r="BE182" s="838"/>
      <c r="BF182" s="838"/>
      <c r="BG182" s="838"/>
      <c r="BH182" s="838"/>
      <c r="BI182" s="838"/>
      <c r="BJ182" s="838"/>
      <c r="BK182" s="838"/>
      <c r="BL182" s="838"/>
      <c r="BM182" s="838"/>
      <c r="BN182" s="838"/>
      <c r="BO182" s="838"/>
      <c r="BP182" s="838"/>
      <c r="BQ182" s="838"/>
      <c r="BR182" s="838"/>
      <c r="BS182" s="838"/>
      <c r="BT182" s="838"/>
      <c r="BU182" s="838"/>
      <c r="BV182" s="838"/>
      <c r="BW182" s="838"/>
      <c r="BX182" s="838"/>
      <c r="BY182" s="838"/>
      <c r="BZ182" s="838"/>
      <c r="CA182" s="838"/>
      <c r="CB182" s="838"/>
      <c r="CC182" s="838"/>
      <c r="CD182" s="838"/>
      <c r="CE182" s="838"/>
      <c r="CF182" s="838"/>
      <c r="CG182" s="838"/>
      <c r="CH182" s="838"/>
      <c r="CI182" s="838"/>
      <c r="CJ182" s="838"/>
      <c r="CK182" s="838"/>
      <c r="CL182" s="838"/>
      <c r="CM182" s="838"/>
      <c r="CN182" s="838"/>
      <c r="CO182" s="838"/>
      <c r="CP182" s="838"/>
      <c r="CQ182" s="838"/>
      <c r="CR182" s="838"/>
      <c r="CS182" s="838"/>
      <c r="CT182" s="838"/>
      <c r="CU182" s="838"/>
      <c r="CV182" s="838"/>
      <c r="CW182" s="838"/>
      <c r="CX182" s="838"/>
      <c r="CY182" s="838"/>
      <c r="CZ182" s="838"/>
      <c r="DA182" s="838"/>
      <c r="DB182" s="838"/>
      <c r="DC182" s="838"/>
      <c r="DD182" s="838"/>
      <c r="DE182" s="838"/>
      <c r="DF182" s="838"/>
      <c r="DG182" s="838"/>
      <c r="DH182" s="838"/>
      <c r="DI182" s="838"/>
      <c r="DJ182" s="838"/>
      <c r="DK182" s="838"/>
      <c r="DL182" s="838"/>
      <c r="DM182" s="838"/>
      <c r="DN182" s="838"/>
      <c r="DO182" s="838"/>
      <c r="DP182" s="838"/>
      <c r="DQ182" s="838"/>
      <c r="DR182" s="838"/>
      <c r="DS182" s="838"/>
      <c r="DT182" s="838"/>
      <c r="DU182" s="838"/>
      <c r="DV182" s="838"/>
      <c r="DW182" s="838"/>
      <c r="DX182" s="838"/>
      <c r="DY182" s="838"/>
      <c r="DZ182" s="838"/>
      <c r="EA182" s="838"/>
      <c r="EB182" s="838"/>
      <c r="EC182" s="838"/>
      <c r="ED182" s="838"/>
      <c r="EE182" s="838"/>
      <c r="EF182" s="838"/>
      <c r="EG182" s="838"/>
      <c r="EH182" s="838"/>
      <c r="EI182" s="838"/>
      <c r="EJ182" s="838"/>
      <c r="EK182" s="838"/>
      <c r="EL182" s="838"/>
      <c r="EM182" s="838"/>
      <c r="EN182" s="838"/>
      <c r="EO182" s="838"/>
      <c r="EP182" s="838"/>
      <c r="EQ182" s="838"/>
      <c r="ER182" s="838"/>
      <c r="ES182" s="838"/>
      <c r="ET182" s="838"/>
      <c r="EU182" s="838"/>
      <c r="EV182" s="838"/>
      <c r="EW182" s="838"/>
      <c r="EX182" s="838"/>
      <c r="EY182" s="838"/>
      <c r="EZ182" s="838"/>
      <c r="FA182" s="838"/>
      <c r="FB182" s="838"/>
      <c r="FC182" s="838"/>
      <c r="FD182" s="838"/>
      <c r="FE182" s="838"/>
      <c r="FF182" s="838"/>
      <c r="FG182" s="838"/>
      <c r="FH182" s="838"/>
      <c r="FI182" s="838"/>
      <c r="FJ182" s="838"/>
      <c r="FK182" s="838"/>
      <c r="FL182" s="838"/>
      <c r="FM182" s="838"/>
      <c r="FN182" s="838"/>
      <c r="FO182" s="838"/>
      <c r="FP182" s="838"/>
      <c r="FQ182" s="838"/>
      <c r="FR182" s="838"/>
      <c r="FS182" s="838"/>
      <c r="FT182" s="838"/>
      <c r="FU182" s="838"/>
      <c r="FV182" s="838"/>
      <c r="FW182" s="838"/>
      <c r="FX182" s="838"/>
      <c r="FY182" s="838"/>
      <c r="FZ182" s="838"/>
      <c r="GA182" s="838"/>
      <c r="GB182" s="838"/>
      <c r="GC182" s="838"/>
      <c r="GD182" s="838"/>
      <c r="GE182" s="838"/>
      <c r="GF182" s="838"/>
      <c r="GG182" s="838"/>
      <c r="GH182" s="838"/>
      <c r="GI182" s="838"/>
      <c r="GJ182" s="838"/>
      <c r="GK182" s="838"/>
      <c r="GL182" s="838"/>
    </row>
    <row r="183" spans="3:194" x14ac:dyDescent="0.35">
      <c r="I183" s="769">
        <f>+'3 ALUMINIOS'!B15*'3 ALUMINIOS'!B7</f>
        <v>0</v>
      </c>
      <c r="J183" s="769">
        <f>+'3 ALUMINIOS'!C15*'3 ALUMINIOS'!C7</f>
        <v>0</v>
      </c>
      <c r="K183" s="769">
        <f>+'3 ALUMINIOS'!D15*'3 ALUMINIOS'!D7</f>
        <v>0</v>
      </c>
      <c r="L183" s="769">
        <f>+'3 ALUMINIOS'!E15*'3 ALUMINIOS'!E7</f>
        <v>0</v>
      </c>
      <c r="M183" s="769">
        <f>+'3 ALUMINIOS'!F15*'3 ALUMINIOS'!F7</f>
        <v>0</v>
      </c>
      <c r="N183" s="769">
        <f>+'3 ALUMINIOS'!H15*'3 ALUMINIOS'!H7</f>
        <v>0</v>
      </c>
      <c r="O183" s="769">
        <f>+'3 ALUMINIOS'!I15*'3 ALUMINIOS'!I7</f>
        <v>0</v>
      </c>
      <c r="P183" s="769">
        <f>+'3 ALUMINIOS'!J15*'3 ALUMINIOS'!J7</f>
        <v>0</v>
      </c>
      <c r="Q183" s="682">
        <f t="shared" si="45"/>
        <v>0</v>
      </c>
      <c r="R183" s="682">
        <f>+'3 ALUMINIOS'!L15*'3 ALUMINIOS'!M15</f>
        <v>0</v>
      </c>
      <c r="S183" s="682">
        <f>+'3 ALUMINIOS'!O15*'3 ALUMINIOS'!P15</f>
        <v>0</v>
      </c>
      <c r="T183" s="769"/>
      <c r="U183" s="769"/>
      <c r="V183" s="682">
        <f>+'3 ALUMINIOS'!R15*'3 ALUMINIOS'!S15</f>
        <v>0</v>
      </c>
      <c r="W183" s="682"/>
      <c r="X183" s="682"/>
      <c r="Y183" s="682">
        <f>+'3 ALUMINIOS'!U15*'3 ALUMINIOS'!V15</f>
        <v>0</v>
      </c>
      <c r="AB183" s="838"/>
      <c r="AC183" s="838"/>
      <c r="AD183" s="838"/>
      <c r="AE183" s="838"/>
      <c r="AF183" s="838"/>
      <c r="AG183" s="838"/>
      <c r="AH183" s="838"/>
      <c r="AI183" s="838"/>
      <c r="AJ183" s="838"/>
      <c r="AK183" s="838"/>
      <c r="AL183" s="838"/>
      <c r="AM183" s="838"/>
      <c r="AN183" s="838"/>
      <c r="AO183" s="838"/>
      <c r="AP183" s="838"/>
      <c r="AQ183" s="838"/>
      <c r="AR183" s="838"/>
      <c r="AS183" s="838"/>
      <c r="AT183" s="838"/>
      <c r="AU183" s="838"/>
      <c r="AV183" s="838"/>
      <c r="AW183" s="838"/>
      <c r="AX183" s="838"/>
      <c r="AY183" s="838"/>
      <c r="AZ183" s="838"/>
      <c r="BA183" s="838"/>
      <c r="BB183" s="838"/>
      <c r="BC183" s="838"/>
      <c r="BD183" s="838"/>
      <c r="BE183" s="838"/>
      <c r="BF183" s="838"/>
      <c r="BG183" s="838"/>
      <c r="BH183" s="838"/>
      <c r="BI183" s="838"/>
      <c r="BJ183" s="838"/>
      <c r="BK183" s="838"/>
      <c r="BL183" s="838"/>
      <c r="BM183" s="838"/>
      <c r="BN183" s="838"/>
      <c r="BO183" s="838"/>
      <c r="BP183" s="838"/>
      <c r="BQ183" s="838"/>
      <c r="BR183" s="838"/>
      <c r="BS183" s="838"/>
      <c r="BT183" s="838"/>
      <c r="BU183" s="838"/>
      <c r="BV183" s="838"/>
      <c r="BW183" s="838"/>
      <c r="BX183" s="855"/>
      <c r="BY183" s="838"/>
      <c r="BZ183" s="855"/>
      <c r="CA183" s="838"/>
      <c r="CB183" s="855"/>
      <c r="CC183" s="838"/>
      <c r="CD183" s="855"/>
      <c r="CE183" s="838"/>
      <c r="CF183" s="855"/>
      <c r="CG183" s="838"/>
      <c r="CH183" s="855"/>
      <c r="CI183" s="838"/>
      <c r="CJ183" s="855"/>
      <c r="CK183" s="838"/>
      <c r="CL183" s="855"/>
      <c r="CM183" s="838"/>
      <c r="CN183" s="855"/>
      <c r="CO183" s="838"/>
      <c r="CP183" s="855"/>
      <c r="CQ183" s="838"/>
      <c r="CR183" s="855"/>
      <c r="CS183" s="838"/>
      <c r="CT183" s="855"/>
      <c r="CU183" s="838"/>
      <c r="CV183" s="855"/>
      <c r="CW183" s="838"/>
      <c r="CX183" s="855"/>
      <c r="CY183" s="838"/>
      <c r="CZ183" s="855"/>
      <c r="DA183" s="838"/>
      <c r="DB183" s="855"/>
      <c r="DC183" s="838"/>
      <c r="DD183" s="855"/>
      <c r="DE183" s="838"/>
      <c r="DF183" s="855"/>
      <c r="DG183" s="838"/>
      <c r="DH183" s="855"/>
      <c r="DI183" s="838"/>
      <c r="DJ183" s="855"/>
      <c r="DK183" s="838"/>
      <c r="DL183" s="855"/>
      <c r="DM183" s="838"/>
      <c r="DN183" s="855"/>
      <c r="DO183" s="838"/>
      <c r="DP183" s="855"/>
      <c r="DQ183" s="838"/>
      <c r="DR183" s="855"/>
      <c r="DS183" s="838"/>
      <c r="DT183" s="855"/>
      <c r="DU183" s="838"/>
      <c r="DV183" s="855"/>
      <c r="DW183" s="838"/>
      <c r="DX183" s="855"/>
      <c r="DY183" s="838"/>
      <c r="DZ183" s="855"/>
      <c r="EA183" s="838"/>
      <c r="EB183" s="855"/>
      <c r="EC183" s="838"/>
      <c r="ED183" s="855"/>
      <c r="EE183" s="838"/>
      <c r="EF183" s="855"/>
      <c r="EG183" s="838"/>
      <c r="EH183" s="855"/>
      <c r="EI183" s="838"/>
      <c r="EJ183" s="855"/>
      <c r="EK183" s="838"/>
      <c r="EL183" s="855"/>
      <c r="EM183" s="838"/>
      <c r="EN183" s="855"/>
      <c r="EO183" s="838"/>
      <c r="EP183" s="855"/>
      <c r="EQ183" s="838"/>
      <c r="ER183" s="855"/>
      <c r="ES183" s="838"/>
      <c r="ET183" s="855"/>
      <c r="EU183" s="838"/>
      <c r="EV183" s="855"/>
      <c r="EW183" s="838"/>
      <c r="EX183" s="855"/>
      <c r="EY183" s="838"/>
      <c r="EZ183" s="855"/>
      <c r="FA183" s="838"/>
      <c r="FB183" s="855"/>
      <c r="FC183" s="838"/>
      <c r="FD183" s="855"/>
      <c r="FE183" s="838"/>
      <c r="FF183" s="855"/>
      <c r="FG183" s="838"/>
      <c r="FH183" s="855"/>
      <c r="FI183" s="838"/>
      <c r="FJ183" s="855"/>
      <c r="FK183" s="838"/>
      <c r="FL183" s="855"/>
      <c r="FM183" s="838"/>
      <c r="FN183" s="855"/>
      <c r="FO183" s="838"/>
      <c r="FP183" s="855"/>
      <c r="FQ183" s="838"/>
      <c r="FR183" s="855"/>
      <c r="FS183" s="838"/>
      <c r="FT183" s="855"/>
      <c r="FU183" s="838"/>
      <c r="FV183" s="855"/>
      <c r="FW183" s="838"/>
      <c r="FX183" s="855"/>
      <c r="FY183" s="838"/>
      <c r="FZ183" s="855"/>
      <c r="GA183" s="838"/>
      <c r="GB183" s="855"/>
      <c r="GC183" s="838"/>
      <c r="GD183" s="855"/>
      <c r="GE183" s="838"/>
      <c r="GF183" s="855"/>
      <c r="GG183" s="838"/>
      <c r="GH183" s="855"/>
      <c r="GI183" s="838"/>
      <c r="GJ183" s="855"/>
      <c r="GK183" s="855"/>
      <c r="GL183" s="838"/>
    </row>
    <row r="184" spans="3:194" x14ac:dyDescent="0.35">
      <c r="I184" s="769">
        <f>+'3 ALUMINIOS'!B16*'3 ALUMINIOS'!B7</f>
        <v>0</v>
      </c>
      <c r="J184" s="769">
        <f>+'3 ALUMINIOS'!C16*'3 ALUMINIOS'!C7</f>
        <v>0</v>
      </c>
      <c r="K184" s="769">
        <f>+'3 ALUMINIOS'!D16*'3 ALUMINIOS'!D7</f>
        <v>0</v>
      </c>
      <c r="L184" s="769">
        <f>+'3 ALUMINIOS'!E16*'3 ALUMINIOS'!E7</f>
        <v>0</v>
      </c>
      <c r="M184" s="769">
        <f>+'3 ALUMINIOS'!F16*'3 ALUMINIOS'!F7</f>
        <v>0</v>
      </c>
      <c r="N184" s="769">
        <f>+'3 ALUMINIOS'!H16*'3 ALUMINIOS'!H7</f>
        <v>0</v>
      </c>
      <c r="O184" s="769">
        <f>+'3 ALUMINIOS'!I16*'3 ALUMINIOS'!I7</f>
        <v>0</v>
      </c>
      <c r="P184" s="769">
        <f>+'3 ALUMINIOS'!J16*'3 ALUMINIOS'!J7</f>
        <v>0</v>
      </c>
      <c r="Q184" s="682">
        <f t="shared" si="45"/>
        <v>0</v>
      </c>
      <c r="R184" s="682">
        <f>+'3 ALUMINIOS'!L16*'3 ALUMINIOS'!M16</f>
        <v>0</v>
      </c>
      <c r="S184" s="682">
        <f>+'3 ALUMINIOS'!O16*'3 ALUMINIOS'!P16</f>
        <v>0</v>
      </c>
      <c r="T184" s="769"/>
      <c r="U184" s="769"/>
      <c r="V184" s="682">
        <f>+'3 ALUMINIOS'!R16*'3 ALUMINIOS'!S16</f>
        <v>0</v>
      </c>
      <c r="W184" s="682"/>
      <c r="X184" s="682"/>
      <c r="Y184" s="682">
        <f>+'3 ALUMINIOS'!U16*'3 ALUMINIOS'!V16</f>
        <v>0</v>
      </c>
      <c r="AB184" s="838"/>
      <c r="AC184" s="838"/>
      <c r="AD184" s="838"/>
      <c r="AE184" s="838"/>
      <c r="AF184" s="838"/>
      <c r="AG184" s="838"/>
      <c r="AH184" s="838"/>
      <c r="AI184" s="838"/>
      <c r="AJ184" s="838"/>
      <c r="AK184" s="838"/>
      <c r="AL184" s="838"/>
      <c r="AM184" s="838"/>
      <c r="AN184" s="838"/>
      <c r="AO184" s="838"/>
      <c r="AP184" s="838"/>
      <c r="AQ184" s="838"/>
      <c r="AR184" s="838"/>
      <c r="AS184" s="838"/>
      <c r="AT184" s="838"/>
      <c r="AU184" s="838"/>
      <c r="AV184" s="838"/>
      <c r="AW184" s="838"/>
      <c r="AX184" s="838"/>
      <c r="AY184" s="838"/>
      <c r="AZ184" s="838"/>
      <c r="BA184" s="838"/>
      <c r="BB184" s="838"/>
      <c r="BC184" s="838"/>
      <c r="BD184" s="838"/>
      <c r="BE184" s="838"/>
      <c r="BF184" s="838"/>
      <c r="BG184" s="838"/>
      <c r="BH184" s="838"/>
      <c r="BI184" s="838"/>
      <c r="BJ184" s="838"/>
      <c r="BK184" s="838"/>
      <c r="BL184" s="838"/>
      <c r="BM184" s="838"/>
      <c r="BN184" s="838"/>
      <c r="BO184" s="838"/>
      <c r="BP184" s="838"/>
      <c r="BQ184" s="838"/>
      <c r="BR184" s="838"/>
      <c r="BS184" s="838"/>
      <c r="BT184" s="838"/>
      <c r="BU184" s="838"/>
      <c r="BV184" s="838"/>
    </row>
    <row r="185" spans="3:194" x14ac:dyDescent="0.35">
      <c r="I185" s="769">
        <f>+'3 ALUMINIOS'!B17*'3 ALUMINIOS'!B7</f>
        <v>0</v>
      </c>
      <c r="J185" s="769">
        <f>+'3 ALUMINIOS'!C17*'3 ALUMINIOS'!C7</f>
        <v>0</v>
      </c>
      <c r="K185" s="769">
        <f>+'3 ALUMINIOS'!D17*'3 ALUMINIOS'!D7</f>
        <v>0</v>
      </c>
      <c r="L185" s="769">
        <f>+'3 ALUMINIOS'!E17*'3 ALUMINIOS'!E7</f>
        <v>0</v>
      </c>
      <c r="M185" s="769">
        <f>+'3 ALUMINIOS'!F17*'3 ALUMINIOS'!F7</f>
        <v>0</v>
      </c>
      <c r="N185" s="769">
        <f>+'3 ALUMINIOS'!H17*'3 ALUMINIOS'!H7</f>
        <v>0</v>
      </c>
      <c r="O185" s="769">
        <f>+'3 ALUMINIOS'!I17*'3 ALUMINIOS'!I7</f>
        <v>0</v>
      </c>
      <c r="P185" s="769">
        <f>+'3 ALUMINIOS'!J17*'3 ALUMINIOS'!J7</f>
        <v>0</v>
      </c>
      <c r="Q185" s="682">
        <f t="shared" si="45"/>
        <v>0</v>
      </c>
      <c r="R185" s="682">
        <f>+'3 ALUMINIOS'!L17*'3 ALUMINIOS'!M17</f>
        <v>0</v>
      </c>
      <c r="S185" s="682">
        <f>+'3 ALUMINIOS'!O17*'3 ALUMINIOS'!P17</f>
        <v>0</v>
      </c>
      <c r="T185" s="769"/>
      <c r="U185" s="769"/>
      <c r="V185" s="682">
        <f>+'3 ALUMINIOS'!R17*'3 ALUMINIOS'!S17</f>
        <v>0</v>
      </c>
      <c r="W185" s="682"/>
      <c r="X185" s="682"/>
      <c r="Y185" s="682">
        <f>+'3 ALUMINIOS'!U17*'3 ALUMINIOS'!V17</f>
        <v>0</v>
      </c>
      <c r="AB185" s="838"/>
      <c r="AC185" s="838"/>
      <c r="AD185" s="838"/>
      <c r="AE185" s="838"/>
      <c r="AF185" s="838"/>
      <c r="AG185" s="838"/>
      <c r="AH185" s="838"/>
      <c r="AI185" s="838"/>
      <c r="AJ185" s="838"/>
      <c r="AK185" s="838"/>
      <c r="AL185" s="838"/>
      <c r="AM185" s="838"/>
      <c r="AN185" s="838"/>
      <c r="AO185" s="838"/>
      <c r="AP185" s="838"/>
      <c r="AQ185" s="838"/>
      <c r="AR185" s="838"/>
      <c r="AS185" s="838"/>
      <c r="AT185" s="838"/>
      <c r="AU185" s="838"/>
      <c r="AV185" s="838"/>
      <c r="AW185" s="838"/>
      <c r="AX185" s="838"/>
      <c r="AY185" s="838"/>
      <c r="AZ185" s="838"/>
      <c r="BA185" s="838"/>
      <c r="BB185" s="838"/>
      <c r="BC185" s="838"/>
      <c r="BD185" s="838"/>
      <c r="BE185" s="838"/>
      <c r="BF185" s="838"/>
      <c r="BG185" s="838"/>
      <c r="BH185" s="838"/>
      <c r="BI185" s="838"/>
      <c r="BJ185" s="838"/>
      <c r="BK185" s="838"/>
      <c r="BL185" s="838"/>
      <c r="BM185" s="838"/>
      <c r="BN185" s="838"/>
      <c r="BO185" s="838"/>
      <c r="BP185" s="838"/>
      <c r="BQ185" s="838"/>
      <c r="BR185" s="838"/>
      <c r="BS185" s="838"/>
      <c r="BT185" s="838"/>
      <c r="BU185" s="838"/>
      <c r="BV185" s="838"/>
    </row>
    <row r="186" spans="3:194" x14ac:dyDescent="0.35">
      <c r="I186" s="769"/>
      <c r="J186" s="769"/>
      <c r="K186" s="769"/>
      <c r="L186" s="769"/>
      <c r="M186" s="769"/>
      <c r="N186" s="769"/>
      <c r="O186" s="895"/>
      <c r="P186" s="769"/>
      <c r="Q186" s="682">
        <f t="shared" si="45"/>
        <v>0</v>
      </c>
      <c r="R186" s="682">
        <f>+'3 ALUMINIOS'!L18*'3 ALUMINIOS'!M18</f>
        <v>0</v>
      </c>
      <c r="S186" s="682">
        <f>+'3 ALUMINIOS'!O18*'3 ALUMINIOS'!P18</f>
        <v>0</v>
      </c>
      <c r="T186" s="769"/>
      <c r="U186" s="769"/>
      <c r="V186" s="682">
        <f>+'3 ALUMINIOS'!R18*'3 ALUMINIOS'!S18</f>
        <v>0</v>
      </c>
      <c r="W186" s="682"/>
      <c r="X186" s="682"/>
      <c r="Y186" s="682">
        <f>+'3 ALUMINIOS'!U18*'3 ALUMINIOS'!V18</f>
        <v>0</v>
      </c>
      <c r="AB186" s="838"/>
      <c r="AC186" s="838"/>
      <c r="AD186" s="838"/>
      <c r="AE186" s="838"/>
      <c r="AF186" s="838"/>
      <c r="AG186" s="838"/>
      <c r="AH186" s="838"/>
      <c r="AI186" s="838"/>
      <c r="AJ186" s="838"/>
      <c r="AK186" s="838"/>
      <c r="AL186" s="838"/>
      <c r="AM186" s="838"/>
      <c r="AN186" s="838"/>
      <c r="AO186" s="838"/>
      <c r="AP186" s="838"/>
      <c r="AQ186" s="838"/>
      <c r="AR186" s="838"/>
      <c r="AS186" s="838"/>
      <c r="AT186" s="838"/>
      <c r="AU186" s="838"/>
      <c r="AV186" s="838"/>
      <c r="AW186" s="838"/>
      <c r="AX186" s="838"/>
      <c r="AY186" s="838"/>
      <c r="AZ186" s="838"/>
      <c r="BA186" s="838"/>
      <c r="BB186" s="838"/>
      <c r="BC186" s="838"/>
      <c r="BD186" s="838"/>
      <c r="BE186" s="838"/>
      <c r="BF186" s="838"/>
      <c r="BG186" s="838"/>
      <c r="BH186" s="838"/>
      <c r="BI186" s="838"/>
      <c r="BJ186" s="838"/>
      <c r="BK186" s="838"/>
      <c r="BL186" s="838"/>
      <c r="BM186" s="838"/>
      <c r="BN186" s="838"/>
      <c r="BO186" s="838"/>
      <c r="BP186" s="838"/>
      <c r="BQ186" s="838"/>
      <c r="BR186" s="838"/>
      <c r="BS186" s="838"/>
      <c r="BT186" s="838"/>
      <c r="BU186" s="838"/>
      <c r="BV186" s="838"/>
    </row>
    <row r="187" spans="3:194" x14ac:dyDescent="0.35">
      <c r="I187" s="769"/>
      <c r="J187" s="769"/>
      <c r="K187" s="769"/>
      <c r="L187" s="769"/>
      <c r="M187" s="769"/>
      <c r="N187" s="769"/>
      <c r="O187" s="895"/>
      <c r="P187" s="769"/>
      <c r="Q187" s="682">
        <f t="shared" si="45"/>
        <v>0</v>
      </c>
      <c r="R187" s="682">
        <f>+'3 ALUMINIOS'!L19*'3 ALUMINIOS'!M19</f>
        <v>0</v>
      </c>
      <c r="S187" s="682">
        <f>+'3 ALUMINIOS'!O19*'3 ALUMINIOS'!P19</f>
        <v>0</v>
      </c>
      <c r="T187" s="769"/>
      <c r="U187" s="769"/>
      <c r="V187" s="682">
        <f>+'3 ALUMINIOS'!R19*'3 ALUMINIOS'!S19</f>
        <v>0</v>
      </c>
      <c r="W187" s="682"/>
      <c r="X187" s="682"/>
      <c r="Y187" s="682">
        <f>+'3 ALUMINIOS'!U19*'3 ALUMINIOS'!V19</f>
        <v>0</v>
      </c>
      <c r="AB187" s="838"/>
      <c r="AC187" s="838"/>
      <c r="AD187" s="838"/>
      <c r="AE187" s="838"/>
      <c r="AF187" s="838"/>
      <c r="AG187" s="838"/>
      <c r="AH187" s="838"/>
      <c r="AI187" s="838"/>
      <c r="AJ187" s="838"/>
      <c r="AK187" s="838"/>
      <c r="AL187" s="838"/>
      <c r="AM187" s="838"/>
      <c r="AN187" s="838"/>
      <c r="AO187" s="838"/>
      <c r="AP187" s="838"/>
      <c r="AQ187" s="838"/>
      <c r="AR187" s="838"/>
      <c r="AS187" s="838"/>
      <c r="AT187" s="838"/>
      <c r="AU187" s="838"/>
      <c r="AV187" s="838"/>
      <c r="AW187" s="838"/>
      <c r="AX187" s="838"/>
      <c r="AY187" s="838"/>
      <c r="AZ187" s="838"/>
      <c r="BA187" s="838"/>
      <c r="BB187" s="838"/>
      <c r="BC187" s="838"/>
      <c r="BD187" s="838"/>
      <c r="BE187" s="838"/>
      <c r="BF187" s="838"/>
      <c r="BG187" s="838"/>
      <c r="BH187" s="838"/>
      <c r="BI187" s="838"/>
      <c r="BJ187" s="838"/>
      <c r="BK187" s="838"/>
      <c r="BL187" s="838"/>
      <c r="BM187" s="838"/>
      <c r="BN187" s="838"/>
      <c r="BO187" s="838"/>
      <c r="BP187" s="838"/>
      <c r="BQ187" s="838"/>
      <c r="BR187" s="838"/>
      <c r="BS187" s="838"/>
      <c r="BT187" s="838"/>
      <c r="BU187" s="838"/>
      <c r="BV187" s="838"/>
    </row>
    <row r="188" spans="3:194" x14ac:dyDescent="0.35">
      <c r="I188" s="769">
        <f>+'3 ALUMINIOS'!B20*'3 ALUMINIOS'!B7</f>
        <v>0</v>
      </c>
      <c r="J188" s="769">
        <f>+'3 ALUMINIOS'!C20*'3 ALUMINIOS'!C7</f>
        <v>0</v>
      </c>
      <c r="K188" s="769">
        <f>+'3 ALUMINIOS'!D20*'3 ALUMINIOS'!D7</f>
        <v>0</v>
      </c>
      <c r="L188" s="769">
        <f>+'3 ALUMINIOS'!E20*'3 ALUMINIOS'!E7</f>
        <v>0</v>
      </c>
      <c r="M188" s="769">
        <f>+'3 ALUMINIOS'!F20*'3 ALUMINIOS'!F7</f>
        <v>0</v>
      </c>
      <c r="N188" s="769">
        <f>+'3 ALUMINIOS'!H20*'3 ALUMINIOS'!H7</f>
        <v>0</v>
      </c>
      <c r="O188" s="769">
        <f>+'3 ALUMINIOS'!I20*'3 ALUMINIOS'!I7</f>
        <v>0</v>
      </c>
      <c r="P188" s="769">
        <f>+'3 ALUMINIOS'!J20*'3 ALUMINIOS'!J7</f>
        <v>0</v>
      </c>
      <c r="Q188" s="682">
        <f t="shared" si="45"/>
        <v>0</v>
      </c>
      <c r="R188" s="682">
        <f>+'3 ALUMINIOS'!L20*'3 ALUMINIOS'!M20</f>
        <v>0</v>
      </c>
      <c r="S188" s="682">
        <f>+'3 ALUMINIOS'!O20*'3 ALUMINIOS'!P20</f>
        <v>0</v>
      </c>
      <c r="T188" s="769"/>
      <c r="U188" s="769"/>
      <c r="V188" s="682">
        <f>+'3 ALUMINIOS'!R20*'3 ALUMINIOS'!S20</f>
        <v>0</v>
      </c>
      <c r="W188" s="682"/>
      <c r="X188" s="682"/>
      <c r="Y188" s="682">
        <f>+'3 ALUMINIOS'!U20*'3 ALUMINIOS'!V20</f>
        <v>0</v>
      </c>
      <c r="AB188" s="838"/>
      <c r="AC188" s="838"/>
      <c r="AD188" s="838"/>
      <c r="AE188" s="838"/>
      <c r="AF188" s="838"/>
      <c r="AG188" s="838"/>
      <c r="AH188" s="838"/>
      <c r="AI188" s="838"/>
      <c r="AJ188" s="838"/>
      <c r="AK188" s="838"/>
      <c r="AL188" s="838"/>
      <c r="AM188" s="838"/>
      <c r="AN188" s="838"/>
      <c r="AO188" s="838"/>
      <c r="AP188" s="838"/>
      <c r="AQ188" s="838"/>
      <c r="AR188" s="838"/>
      <c r="AS188" s="838"/>
      <c r="AT188" s="838"/>
      <c r="AU188" s="838"/>
      <c r="AV188" s="838"/>
      <c r="AW188" s="838"/>
      <c r="AX188" s="838"/>
      <c r="AY188" s="838"/>
      <c r="AZ188" s="838"/>
      <c r="BA188" s="838"/>
      <c r="BB188" s="838"/>
      <c r="BC188" s="838"/>
      <c r="BD188" s="838"/>
      <c r="BE188" s="838"/>
      <c r="BF188" s="838"/>
      <c r="BG188" s="838"/>
      <c r="BH188" s="838"/>
      <c r="BI188" s="838"/>
      <c r="BJ188" s="838"/>
      <c r="BK188" s="838"/>
      <c r="BL188" s="838"/>
      <c r="BM188" s="838"/>
      <c r="BN188" s="838"/>
      <c r="BO188" s="838"/>
      <c r="BP188" s="838"/>
      <c r="BQ188" s="838"/>
      <c r="BR188" s="838"/>
      <c r="BS188" s="838"/>
      <c r="BT188" s="838"/>
      <c r="BU188" s="838"/>
      <c r="BV188" s="838"/>
    </row>
    <row r="189" spans="3:194" x14ac:dyDescent="0.35">
      <c r="I189" s="769"/>
      <c r="J189" s="769"/>
      <c r="K189" s="769"/>
      <c r="L189" s="769"/>
      <c r="M189" s="769"/>
      <c r="N189" s="769"/>
      <c r="O189" s="769">
        <f>+Q181+Q180+Q179+Q178</f>
        <v>0</v>
      </c>
      <c r="P189" s="769">
        <f>+R181+R180+R179+R178</f>
        <v>0</v>
      </c>
      <c r="Q189" s="770"/>
      <c r="R189" s="682">
        <f>+'3 ALUMINIOS'!L21*'3 ALUMINIOS'!M21</f>
        <v>0</v>
      </c>
      <c r="S189" s="682">
        <f>+'3 ALUMINIOS'!O21*'3 ALUMINIOS'!P21</f>
        <v>0</v>
      </c>
      <c r="T189" s="769"/>
      <c r="U189" s="769"/>
      <c r="V189" s="682">
        <f>+'3 ALUMINIOS'!R21*'3 ALUMINIOS'!S21</f>
        <v>0</v>
      </c>
      <c r="W189" s="682"/>
      <c r="X189" s="682"/>
      <c r="Y189" s="682">
        <f>+'3 ALUMINIOS'!U21*'3 ALUMINIOS'!V21</f>
        <v>0</v>
      </c>
      <c r="AB189" s="838"/>
      <c r="AC189" s="838"/>
      <c r="AD189" s="838"/>
      <c r="AE189" s="838"/>
      <c r="AF189" s="838"/>
      <c r="AG189" s="838"/>
      <c r="AH189" s="838"/>
      <c r="AI189" s="838"/>
      <c r="AJ189" s="838"/>
      <c r="AK189" s="838"/>
      <c r="AL189" s="838"/>
      <c r="AM189" s="838"/>
      <c r="AN189" s="838"/>
      <c r="AO189" s="838"/>
      <c r="AP189" s="838"/>
      <c r="AQ189" s="838"/>
      <c r="AR189" s="838"/>
      <c r="AS189" s="838"/>
      <c r="AT189" s="838"/>
      <c r="AU189" s="838"/>
      <c r="AV189" s="838"/>
      <c r="AW189" s="838"/>
      <c r="AX189" s="838"/>
      <c r="AY189" s="838"/>
      <c r="AZ189" s="838"/>
      <c r="BA189" s="838"/>
      <c r="BB189" s="838"/>
      <c r="BC189" s="838"/>
      <c r="BD189" s="838"/>
      <c r="BE189" s="838"/>
      <c r="BF189" s="838"/>
      <c r="BG189" s="838"/>
      <c r="BH189" s="838"/>
      <c r="BI189" s="838"/>
      <c r="BJ189" s="838"/>
      <c r="BK189" s="838"/>
      <c r="BL189" s="838"/>
      <c r="BM189" s="838"/>
      <c r="BN189" s="838"/>
      <c r="BO189" s="838"/>
      <c r="BP189" s="838"/>
      <c r="BQ189" s="838"/>
      <c r="BR189" s="838"/>
      <c r="BS189" s="838"/>
      <c r="BT189" s="838"/>
      <c r="BU189" s="838"/>
      <c r="BV189" s="838"/>
    </row>
    <row r="190" spans="3:194" x14ac:dyDescent="0.35">
      <c r="I190" s="769"/>
      <c r="J190" s="769"/>
      <c r="K190" s="769"/>
      <c r="L190" s="769"/>
      <c r="M190" s="769"/>
      <c r="N190" s="769"/>
      <c r="O190" s="769"/>
      <c r="P190" s="769"/>
      <c r="Q190" s="770"/>
      <c r="R190" s="682">
        <f>+'3 ALUMINIOS'!L22*'3 ALUMINIOS'!M22</f>
        <v>0</v>
      </c>
      <c r="S190" s="682">
        <f>+'3 ALUMINIOS'!O22*'3 ALUMINIOS'!P22</f>
        <v>0</v>
      </c>
      <c r="T190" s="769"/>
      <c r="U190" s="769"/>
      <c r="V190" s="682">
        <f>+'3 ALUMINIOS'!R22*'3 ALUMINIOS'!S22</f>
        <v>0</v>
      </c>
      <c r="W190" s="682"/>
      <c r="X190" s="682"/>
      <c r="Y190" s="682">
        <f>+'3 ALUMINIOS'!U22*'3 ALUMINIOS'!V22</f>
        <v>0</v>
      </c>
      <c r="AB190" s="838"/>
      <c r="AC190" s="838"/>
      <c r="AD190" s="838"/>
      <c r="AE190" s="838"/>
      <c r="AF190" s="838"/>
      <c r="AG190" s="838"/>
      <c r="AH190" s="838"/>
      <c r="AI190" s="838"/>
      <c r="AJ190" s="838"/>
      <c r="AK190" s="838"/>
      <c r="AL190" s="838"/>
      <c r="AM190" s="838"/>
      <c r="AN190" s="838"/>
      <c r="AO190" s="838"/>
      <c r="AP190" s="838"/>
      <c r="AQ190" s="838"/>
      <c r="AR190" s="838"/>
      <c r="AS190" s="838"/>
      <c r="AT190" s="838"/>
      <c r="AU190" s="838"/>
      <c r="AV190" s="838"/>
      <c r="AW190" s="838"/>
      <c r="AX190" s="838"/>
      <c r="AY190" s="838"/>
      <c r="AZ190" s="838"/>
      <c r="BA190" s="838"/>
      <c r="BB190" s="838"/>
      <c r="BC190" s="838"/>
      <c r="BD190" s="838"/>
      <c r="BE190" s="838"/>
      <c r="BF190" s="838"/>
      <c r="BG190" s="838"/>
      <c r="BH190" s="838"/>
      <c r="BI190" s="838"/>
      <c r="BJ190" s="838"/>
      <c r="BK190" s="838"/>
      <c r="BL190" s="838"/>
      <c r="BM190" s="838"/>
      <c r="BN190" s="859"/>
      <c r="BO190" s="838"/>
      <c r="BP190" s="838"/>
      <c r="BQ190" s="838"/>
      <c r="BR190" s="838"/>
      <c r="BS190" s="838"/>
      <c r="BT190" s="838"/>
      <c r="BU190" s="838"/>
      <c r="BV190" s="838"/>
    </row>
    <row r="191" spans="3:194" x14ac:dyDescent="0.35">
      <c r="R191" s="682">
        <f>+'3 ALUMINIOS'!L23*'3 ALUMINIOS'!M23</f>
        <v>0</v>
      </c>
      <c r="S191" s="682">
        <f>+'3 ALUMINIOS'!O23*'3 ALUMINIOS'!P23</f>
        <v>0</v>
      </c>
      <c r="T191" s="769"/>
      <c r="U191" s="769"/>
      <c r="V191" s="682">
        <f>+'3 ALUMINIOS'!R23*'3 ALUMINIOS'!S23</f>
        <v>0</v>
      </c>
      <c r="W191" s="682"/>
      <c r="X191" s="682"/>
      <c r="Y191" s="682">
        <f>+'3 ALUMINIOS'!U23*'3 ALUMINIOS'!V23</f>
        <v>0</v>
      </c>
      <c r="AB191" s="838"/>
      <c r="AC191" s="838"/>
      <c r="AD191" s="838"/>
      <c r="AE191" s="838"/>
      <c r="AF191" s="838"/>
      <c r="AG191" s="838"/>
      <c r="AH191" s="838"/>
      <c r="AI191" s="838"/>
      <c r="AJ191" s="838"/>
      <c r="AK191" s="838"/>
      <c r="AL191" s="838"/>
      <c r="AM191" s="838"/>
      <c r="AN191" s="838"/>
      <c r="AO191" s="838"/>
      <c r="AP191" s="838"/>
      <c r="AQ191" s="838"/>
      <c r="AR191" s="838"/>
      <c r="AS191" s="838"/>
      <c r="AT191" s="838"/>
      <c r="AU191" s="838"/>
      <c r="AV191" s="838"/>
      <c r="AW191" s="838"/>
      <c r="AX191" s="838"/>
      <c r="AY191" s="838"/>
      <c r="AZ191" s="838"/>
      <c r="BA191" s="838"/>
      <c r="BB191" s="838"/>
      <c r="BC191" s="838"/>
      <c r="BD191" s="838"/>
      <c r="BE191" s="838"/>
      <c r="BF191" s="838"/>
      <c r="BG191" s="838"/>
      <c r="BH191" s="838"/>
      <c r="BI191" s="838"/>
      <c r="BJ191" s="838"/>
      <c r="BK191" s="838"/>
      <c r="BL191" s="838"/>
      <c r="BM191" s="838"/>
      <c r="BN191" s="838"/>
      <c r="BO191" s="838"/>
      <c r="BP191" s="838"/>
      <c r="BQ191" s="838"/>
      <c r="BR191" s="838"/>
      <c r="BS191" s="838"/>
      <c r="BT191" s="838"/>
      <c r="BU191" s="838"/>
      <c r="BV191" s="838"/>
    </row>
    <row r="192" spans="3:194" x14ac:dyDescent="0.35">
      <c r="R192" s="682">
        <f>+'3 ALUMINIOS'!L24*'3 ALUMINIOS'!M24</f>
        <v>0</v>
      </c>
      <c r="S192" s="682">
        <f>+'3 ALUMINIOS'!O24*'3 ALUMINIOS'!P24</f>
        <v>0</v>
      </c>
      <c r="T192" s="769"/>
      <c r="U192" s="769"/>
      <c r="V192" s="682">
        <f>+'3 ALUMINIOS'!R24*'3 ALUMINIOS'!S24</f>
        <v>0</v>
      </c>
      <c r="W192" s="682"/>
      <c r="X192" s="682"/>
      <c r="Y192" s="682">
        <f>+'3 ALUMINIOS'!U24*'3 ALUMINIOS'!V24</f>
        <v>0</v>
      </c>
      <c r="AB192" s="838"/>
      <c r="AC192" s="838"/>
      <c r="AD192" s="838"/>
      <c r="AE192" s="838"/>
      <c r="AF192" s="838"/>
      <c r="AG192" s="838"/>
      <c r="AH192" s="838"/>
      <c r="AI192" s="838"/>
      <c r="AJ192" s="838"/>
      <c r="AK192" s="838"/>
      <c r="AL192" s="838"/>
      <c r="AM192" s="838"/>
      <c r="AN192" s="838"/>
      <c r="AO192" s="838"/>
      <c r="AP192" s="838"/>
      <c r="AQ192" s="838"/>
      <c r="AR192" s="838"/>
      <c r="AS192" s="838"/>
      <c r="AT192" s="838"/>
      <c r="AU192" s="838"/>
      <c r="AV192" s="838"/>
      <c r="AW192" s="838"/>
      <c r="AX192" s="838"/>
      <c r="AY192" s="838"/>
      <c r="AZ192" s="838"/>
      <c r="BA192" s="838"/>
      <c r="BB192" s="838"/>
      <c r="BC192" s="838"/>
      <c r="BD192" s="838"/>
      <c r="BE192" s="838"/>
      <c r="BF192" s="838"/>
      <c r="BG192" s="838"/>
      <c r="BH192" s="838"/>
      <c r="BI192" s="838"/>
      <c r="BJ192" s="838"/>
      <c r="BK192" s="838"/>
      <c r="BL192" s="838"/>
      <c r="BM192" s="838"/>
      <c r="BN192" s="838"/>
      <c r="BO192" s="838"/>
      <c r="BP192" s="838"/>
      <c r="BQ192" s="838"/>
      <c r="BR192" s="838"/>
      <c r="BS192" s="838"/>
      <c r="BT192" s="838"/>
      <c r="BU192" s="838"/>
      <c r="BV192" s="838"/>
    </row>
    <row r="193" spans="3:216" x14ac:dyDescent="0.35">
      <c r="R193" s="682">
        <f>+'3 ALUMINIOS'!L25*'3 ALUMINIOS'!M25</f>
        <v>0</v>
      </c>
      <c r="S193" s="682">
        <f>+'3 ALUMINIOS'!O25*'3 ALUMINIOS'!P25</f>
        <v>0</v>
      </c>
      <c r="T193" s="769"/>
      <c r="U193" s="769"/>
      <c r="V193" s="682">
        <f>+'3 ALUMINIOS'!R25*'3 ALUMINIOS'!S25</f>
        <v>0</v>
      </c>
      <c r="W193" s="682"/>
      <c r="X193" s="682"/>
      <c r="Y193" s="682">
        <f>+'3 ALUMINIOS'!U25*'3 ALUMINIOS'!V25</f>
        <v>0</v>
      </c>
      <c r="AB193" s="838"/>
      <c r="AC193" s="838"/>
      <c r="AD193" s="838"/>
      <c r="AE193" s="838"/>
      <c r="AF193" s="838"/>
      <c r="AG193" s="838"/>
      <c r="AH193" s="838"/>
      <c r="AI193" s="838"/>
      <c r="AJ193" s="838"/>
      <c r="AK193" s="838"/>
      <c r="AL193" s="838"/>
      <c r="AM193" s="838"/>
      <c r="AN193" s="838"/>
      <c r="AO193" s="838"/>
      <c r="AP193" s="838"/>
      <c r="AQ193" s="838"/>
      <c r="AR193" s="838"/>
      <c r="AS193" s="838"/>
      <c r="AT193" s="838"/>
      <c r="AU193" s="838"/>
      <c r="AV193" s="838"/>
      <c r="AW193" s="838"/>
      <c r="AX193" s="838"/>
      <c r="AY193" s="838"/>
      <c r="AZ193" s="838"/>
      <c r="BA193" s="838"/>
      <c r="BB193" s="838"/>
      <c r="BC193" s="838"/>
      <c r="BD193" s="838"/>
      <c r="BE193" s="838"/>
      <c r="BF193" s="838"/>
      <c r="BG193" s="838"/>
      <c r="BH193" s="838"/>
      <c r="BI193" s="838"/>
      <c r="BJ193" s="838"/>
      <c r="BK193" s="838"/>
      <c r="BL193" s="838"/>
      <c r="BM193" s="838"/>
      <c r="BN193" s="838"/>
      <c r="BO193" s="838"/>
      <c r="BP193" s="838"/>
      <c r="BQ193" s="838"/>
      <c r="BR193" s="838"/>
      <c r="BS193" s="838"/>
      <c r="BT193" s="838"/>
      <c r="BU193" s="838"/>
      <c r="BV193" s="838"/>
    </row>
    <row r="194" spans="3:216" x14ac:dyDescent="0.35">
      <c r="R194" s="682">
        <f>+'3 ALUMINIOS'!L26*'3 ALUMINIOS'!M26</f>
        <v>0</v>
      </c>
      <c r="S194" s="682">
        <f>+'3 ALUMINIOS'!O26*'3 ALUMINIOS'!P26</f>
        <v>0</v>
      </c>
      <c r="T194" s="769"/>
      <c r="U194" s="769"/>
      <c r="V194" s="682">
        <f>+'3 ALUMINIOS'!R26*'3 ALUMINIOS'!S26</f>
        <v>0</v>
      </c>
      <c r="W194" s="682"/>
      <c r="X194" s="682"/>
      <c r="Y194" s="682">
        <f>+'3 ALUMINIOS'!U26*'3 ALUMINIOS'!V26</f>
        <v>0</v>
      </c>
      <c r="AB194" s="838"/>
      <c r="AC194" s="838"/>
      <c r="AD194" s="838"/>
      <c r="AE194" s="838"/>
      <c r="AF194" s="838"/>
      <c r="AG194" s="838"/>
      <c r="AH194" s="838"/>
      <c r="AI194" s="838"/>
      <c r="AJ194" s="838"/>
      <c r="AK194" s="838"/>
      <c r="AL194" s="838"/>
      <c r="AM194" s="838"/>
      <c r="AN194" s="838"/>
      <c r="AO194" s="838"/>
      <c r="AP194" s="838"/>
      <c r="AQ194" s="838"/>
      <c r="AR194" s="838"/>
      <c r="AS194" s="838"/>
      <c r="AT194" s="838"/>
      <c r="AU194" s="838"/>
      <c r="AV194" s="838"/>
      <c r="AW194" s="838"/>
      <c r="AX194" s="838"/>
      <c r="AY194" s="838"/>
      <c r="AZ194" s="838"/>
      <c r="BA194" s="838"/>
      <c r="BB194" s="838"/>
      <c r="BC194" s="838"/>
      <c r="BD194" s="838"/>
      <c r="BE194" s="838"/>
      <c r="BF194" s="838"/>
      <c r="BG194" s="838"/>
      <c r="BH194" s="838"/>
      <c r="BI194" s="838"/>
      <c r="BJ194" s="838"/>
      <c r="BK194" s="838"/>
      <c r="BL194" s="838"/>
      <c r="BM194" s="838"/>
      <c r="BN194" s="838"/>
      <c r="BO194" s="838"/>
      <c r="BP194" s="838"/>
      <c r="BQ194" s="838"/>
      <c r="BR194" s="838"/>
      <c r="BS194" s="838"/>
      <c r="BT194" s="838"/>
      <c r="BU194" s="838"/>
      <c r="BV194" s="838"/>
      <c r="HH194" s="777" t="s">
        <v>418</v>
      </c>
    </row>
    <row r="195" spans="3:216" x14ac:dyDescent="0.35">
      <c r="C195" s="838"/>
      <c r="D195" s="838"/>
      <c r="E195" s="838"/>
      <c r="F195" s="838"/>
      <c r="G195" s="838"/>
      <c r="H195" s="838"/>
      <c r="I195" s="838"/>
      <c r="J195" s="838"/>
      <c r="K195" s="838"/>
      <c r="L195" s="838"/>
      <c r="M195" s="838"/>
      <c r="N195" s="838"/>
      <c r="O195" s="838"/>
      <c r="P195" s="838"/>
      <c r="Q195" s="838"/>
      <c r="R195" s="682">
        <f>+'3 ALUMINIOS'!L27*'3 ALUMINIOS'!M27</f>
        <v>0</v>
      </c>
      <c r="S195" s="682">
        <f>+'3 ALUMINIOS'!O27*'3 ALUMINIOS'!P27</f>
        <v>0</v>
      </c>
      <c r="T195" s="769"/>
      <c r="U195" s="769"/>
      <c r="V195" s="682">
        <f>+'3 ALUMINIOS'!R27*'3 ALUMINIOS'!S27</f>
        <v>0</v>
      </c>
      <c r="W195" s="682"/>
      <c r="X195" s="682"/>
      <c r="Y195" s="682">
        <f>+'3 ALUMINIOS'!U27*'3 ALUMINIOS'!V27</f>
        <v>0</v>
      </c>
      <c r="Z195" s="838"/>
      <c r="AA195" s="838"/>
      <c r="AB195" s="838"/>
      <c r="AC195" s="838"/>
      <c r="AD195" s="838"/>
      <c r="AE195" s="838"/>
      <c r="AF195" s="838"/>
      <c r="AG195" s="838"/>
      <c r="AH195" s="838"/>
      <c r="AI195" s="838"/>
      <c r="AJ195" s="838"/>
      <c r="AK195" s="838"/>
      <c r="AL195" s="838"/>
      <c r="AM195" s="838"/>
      <c r="AN195" s="838"/>
      <c r="AO195" s="838"/>
      <c r="AP195" s="838"/>
      <c r="AQ195" s="838"/>
      <c r="AR195" s="838"/>
      <c r="AS195" s="838"/>
      <c r="AT195" s="838"/>
      <c r="AU195" s="838"/>
      <c r="AV195" s="838"/>
      <c r="AW195" s="838"/>
      <c r="AX195" s="838"/>
      <c r="AY195" s="838"/>
      <c r="AZ195" s="838"/>
      <c r="BA195" s="838"/>
      <c r="BB195" s="838"/>
      <c r="BC195" s="838"/>
      <c r="BD195" s="838"/>
      <c r="BE195" s="838"/>
      <c r="BF195" s="838"/>
      <c r="BG195" s="838"/>
      <c r="BH195" s="838"/>
      <c r="BI195" s="838"/>
      <c r="BJ195" s="838"/>
      <c r="BK195" s="838"/>
      <c r="BL195" s="838"/>
      <c r="BM195" s="838"/>
      <c r="BN195" s="838"/>
      <c r="BO195" s="838"/>
      <c r="BP195" s="838"/>
      <c r="BQ195" s="838"/>
      <c r="BR195" s="838"/>
      <c r="BS195" s="838"/>
      <c r="BT195" s="838"/>
      <c r="BU195" s="838"/>
      <c r="BV195" s="838"/>
      <c r="HH195" s="700" t="s">
        <v>783</v>
      </c>
    </row>
    <row r="196" spans="3:216" x14ac:dyDescent="0.35">
      <c r="C196" s="838"/>
      <c r="D196" s="838"/>
      <c r="E196" s="838"/>
      <c r="F196" s="838"/>
      <c r="G196" s="838"/>
      <c r="H196" s="838"/>
      <c r="I196" s="838"/>
      <c r="J196" s="838"/>
      <c r="K196" s="838"/>
      <c r="L196" s="838"/>
      <c r="M196" s="838"/>
      <c r="N196" s="838"/>
      <c r="O196" s="838"/>
      <c r="P196" s="838"/>
      <c r="Q196" s="838"/>
      <c r="R196" s="682">
        <f>+'3 ALUMINIOS'!L28*'3 ALUMINIOS'!M28</f>
        <v>0</v>
      </c>
      <c r="S196" s="682">
        <f>+'3 ALUMINIOS'!O28*'3 ALUMINIOS'!P28</f>
        <v>0</v>
      </c>
      <c r="T196" s="769"/>
      <c r="U196" s="769"/>
      <c r="V196" s="682">
        <f>+'3 ALUMINIOS'!R28*'3 ALUMINIOS'!S28</f>
        <v>0</v>
      </c>
      <c r="W196" s="682"/>
      <c r="X196" s="682"/>
      <c r="Y196" s="682">
        <f>+'3 ALUMINIOS'!U28*'3 ALUMINIOS'!V28</f>
        <v>0</v>
      </c>
      <c r="Z196" s="838"/>
      <c r="AA196" s="838"/>
      <c r="AB196" s="838"/>
      <c r="AC196" s="838"/>
      <c r="AD196" s="838"/>
      <c r="AE196" s="838"/>
      <c r="AF196" s="838"/>
      <c r="AG196" s="838"/>
      <c r="AH196" s="838"/>
      <c r="AI196" s="838"/>
      <c r="AJ196" s="838"/>
      <c r="AK196" s="838"/>
      <c r="AL196" s="838"/>
      <c r="AM196" s="838"/>
      <c r="AN196" s="838"/>
      <c r="AO196" s="838"/>
      <c r="AP196" s="838"/>
      <c r="AQ196" s="838"/>
      <c r="AR196" s="838"/>
      <c r="AS196" s="838"/>
      <c r="AT196" s="838"/>
      <c r="AU196" s="838"/>
      <c r="AV196" s="838"/>
      <c r="AW196" s="838"/>
      <c r="AX196" s="838"/>
      <c r="AY196" s="838"/>
      <c r="AZ196" s="838"/>
      <c r="BA196" s="838"/>
      <c r="BB196" s="838"/>
      <c r="BC196" s="838"/>
      <c r="BD196" s="838"/>
      <c r="BE196" s="838"/>
      <c r="BF196" s="838"/>
      <c r="BG196" s="838"/>
      <c r="BH196" s="838"/>
      <c r="BI196" s="838"/>
      <c r="BJ196" s="838"/>
      <c r="BK196" s="838"/>
      <c r="BL196" s="838"/>
      <c r="BM196" s="838"/>
      <c r="BN196" s="838"/>
      <c r="BO196" s="838"/>
      <c r="BP196" s="838"/>
      <c r="BQ196" s="838"/>
      <c r="BR196" s="838"/>
      <c r="BS196" s="838"/>
      <c r="BT196" s="838"/>
      <c r="BU196" s="838"/>
      <c r="BV196" s="838"/>
      <c r="HH196" s="700" t="s">
        <v>784</v>
      </c>
    </row>
    <row r="197" spans="3:216" x14ac:dyDescent="0.35">
      <c r="C197" s="838"/>
      <c r="D197" s="838"/>
      <c r="E197" s="838"/>
      <c r="F197" s="838"/>
      <c r="G197" s="838"/>
      <c r="H197" s="838"/>
      <c r="I197" s="838"/>
      <c r="J197" s="838"/>
      <c r="K197" s="838"/>
      <c r="L197" s="838"/>
      <c r="M197" s="838"/>
      <c r="N197" s="838"/>
      <c r="O197" s="838"/>
      <c r="P197" s="838"/>
      <c r="Q197" s="838"/>
      <c r="R197" s="682">
        <f>+'3 ALUMINIOS'!L29*'3 ALUMINIOS'!M29</f>
        <v>0</v>
      </c>
      <c r="S197" s="682">
        <f>+'3 ALUMINIOS'!O29*'3 ALUMINIOS'!P29</f>
        <v>0</v>
      </c>
      <c r="T197" s="769"/>
      <c r="U197" s="769"/>
      <c r="V197" s="682">
        <f>+'3 ALUMINIOS'!R29*'3 ALUMINIOS'!S29</f>
        <v>0</v>
      </c>
      <c r="W197" s="682"/>
      <c r="X197" s="682"/>
      <c r="Y197" s="682">
        <f>+'3 ALUMINIOS'!U29*'3 ALUMINIOS'!V29</f>
        <v>0</v>
      </c>
      <c r="Z197" s="838"/>
      <c r="AA197" s="838"/>
      <c r="AB197" s="838"/>
      <c r="AC197" s="838"/>
      <c r="AD197" s="838"/>
      <c r="AE197" s="838"/>
      <c r="AF197" s="838"/>
      <c r="AG197" s="838"/>
      <c r="AH197" s="838"/>
      <c r="AI197" s="838"/>
      <c r="AJ197" s="838"/>
      <c r="AK197" s="838"/>
      <c r="AL197" s="838"/>
      <c r="AM197" s="838"/>
      <c r="AN197" s="838"/>
      <c r="AO197" s="838"/>
      <c r="AP197" s="838"/>
      <c r="AQ197" s="838"/>
      <c r="AR197" s="838"/>
      <c r="AS197" s="838"/>
      <c r="AT197" s="838"/>
      <c r="AU197" s="838"/>
      <c r="AV197" s="838"/>
      <c r="AW197" s="838"/>
      <c r="AX197" s="838"/>
      <c r="AY197" s="838"/>
      <c r="AZ197" s="838"/>
      <c r="BA197" s="838"/>
      <c r="BB197" s="838"/>
      <c r="BC197" s="838"/>
      <c r="BD197" s="838"/>
      <c r="BE197" s="838"/>
      <c r="BF197" s="838"/>
      <c r="BG197" s="838"/>
      <c r="BH197" s="838"/>
      <c r="BI197" s="838"/>
      <c r="BJ197" s="838"/>
      <c r="BK197" s="838"/>
      <c r="BL197" s="838"/>
      <c r="BM197" s="838"/>
      <c r="BN197" s="838"/>
      <c r="BO197" s="838"/>
      <c r="BP197" s="838"/>
      <c r="BQ197" s="838"/>
      <c r="BR197" s="838"/>
      <c r="BS197" s="838"/>
      <c r="BT197" s="838"/>
      <c r="BU197" s="838"/>
      <c r="BV197" s="838"/>
      <c r="HH197" s="700" t="s">
        <v>1074</v>
      </c>
    </row>
    <row r="198" spans="3:216" x14ac:dyDescent="0.35">
      <c r="R198" s="682">
        <f>+'3 ALUMINIOS'!L30*'3 ALUMINIOS'!M30</f>
        <v>0</v>
      </c>
      <c r="S198" s="682">
        <f>+'3 ALUMINIOS'!O30*'3 ALUMINIOS'!P30</f>
        <v>0</v>
      </c>
      <c r="T198" s="769"/>
      <c r="U198" s="769"/>
      <c r="V198" s="682">
        <f>+'3 ALUMINIOS'!R30*'3 ALUMINIOS'!S30</f>
        <v>0</v>
      </c>
      <c r="W198" s="682"/>
      <c r="X198" s="682"/>
      <c r="Y198" s="682">
        <f>+'3 ALUMINIOS'!U30*'3 ALUMINIOS'!V30</f>
        <v>0</v>
      </c>
      <c r="DN198" s="838"/>
      <c r="HH198" s="700" t="s">
        <v>785</v>
      </c>
    </row>
    <row r="199" spans="3:216" x14ac:dyDescent="0.35">
      <c r="R199" s="682">
        <f>+'3 ALUMINIOS'!L31*'3 ALUMINIOS'!M31</f>
        <v>0</v>
      </c>
      <c r="S199" s="682">
        <f>+'3 ALUMINIOS'!O31*'3 ALUMINIOS'!P31</f>
        <v>0</v>
      </c>
      <c r="T199" s="769"/>
      <c r="U199" s="769"/>
      <c r="V199" s="682">
        <f>+'3 ALUMINIOS'!R31*'3 ALUMINIOS'!S31</f>
        <v>0</v>
      </c>
      <c r="W199" s="682"/>
      <c r="X199" s="682"/>
      <c r="Y199" s="682">
        <f>+'3 ALUMINIOS'!U31*'3 ALUMINIOS'!V31</f>
        <v>0</v>
      </c>
      <c r="AK199" s="837" t="s">
        <v>836</v>
      </c>
      <c r="AL199" s="837"/>
      <c r="AM199" s="837"/>
      <c r="AN199" s="837"/>
      <c r="AO199" s="837"/>
      <c r="AP199" s="837"/>
      <c r="AQ199" s="837"/>
      <c r="AR199" s="837"/>
      <c r="AS199" s="837"/>
      <c r="AT199" s="837"/>
      <c r="AU199" s="837"/>
      <c r="AV199" s="837"/>
      <c r="AW199" s="837" t="s">
        <v>836</v>
      </c>
      <c r="AX199" s="837"/>
      <c r="AY199" s="837"/>
      <c r="AZ199" s="837"/>
      <c r="BA199" s="837"/>
      <c r="BB199" s="837"/>
      <c r="BC199" s="837"/>
      <c r="BD199" s="837"/>
      <c r="BE199" s="837"/>
      <c r="BF199" s="837"/>
      <c r="BG199" s="837"/>
      <c r="BH199" s="837"/>
      <c r="BI199" s="837" t="s">
        <v>836</v>
      </c>
      <c r="BJ199" s="837"/>
      <c r="BK199" s="837"/>
      <c r="BL199" s="837"/>
      <c r="BM199" s="837"/>
      <c r="BN199" s="837"/>
      <c r="BO199" s="837"/>
      <c r="BP199" s="837"/>
      <c r="BQ199" s="837"/>
      <c r="BR199" s="837"/>
      <c r="BS199" s="837"/>
      <c r="BT199" s="837"/>
      <c r="BU199" s="837" t="s">
        <v>836</v>
      </c>
      <c r="BV199" s="837"/>
      <c r="BY199" s="837"/>
      <c r="BZ199" s="837"/>
      <c r="CA199" s="837"/>
      <c r="CB199" s="837"/>
      <c r="CC199" s="837"/>
      <c r="CD199" s="837"/>
      <c r="CE199" s="837"/>
      <c r="CF199" s="837"/>
      <c r="CG199" s="837" t="s">
        <v>836</v>
      </c>
      <c r="CH199" s="837"/>
      <c r="CI199" s="837"/>
      <c r="CJ199" s="837"/>
      <c r="CK199" s="837"/>
      <c r="CL199" s="837"/>
      <c r="CM199" s="837"/>
      <c r="CN199" s="837"/>
      <c r="CO199" s="837"/>
      <c r="CP199" s="837"/>
      <c r="CQ199" s="837"/>
      <c r="CR199" s="837"/>
      <c r="CS199" s="837" t="s">
        <v>836</v>
      </c>
      <c r="CT199" s="837"/>
      <c r="CU199" s="837"/>
      <c r="CV199" s="837"/>
      <c r="CW199" s="837"/>
      <c r="CX199" s="837"/>
      <c r="CY199" s="837"/>
      <c r="CZ199" s="837"/>
      <c r="DA199" s="837"/>
      <c r="DB199" s="837"/>
      <c r="DC199" s="837"/>
      <c r="DD199" s="837"/>
      <c r="DE199" s="837" t="s">
        <v>769</v>
      </c>
      <c r="DF199" s="837"/>
      <c r="DG199" s="837"/>
      <c r="DH199" s="837"/>
      <c r="DI199" s="837"/>
      <c r="DJ199" s="837"/>
      <c r="DK199" s="837"/>
      <c r="DL199" s="837"/>
      <c r="DM199" s="678"/>
      <c r="DN199" s="859"/>
      <c r="DO199" s="838"/>
      <c r="DP199" s="838"/>
      <c r="DQ199" s="838"/>
      <c r="DR199" s="838"/>
      <c r="DS199" s="838"/>
      <c r="DT199" s="838"/>
      <c r="HH199" s="700" t="s">
        <v>1075</v>
      </c>
    </row>
    <row r="200" spans="3:216" x14ac:dyDescent="0.35">
      <c r="R200" s="682">
        <f>+'3 ALUMINIOS'!L32*'3 ALUMINIOS'!M32</f>
        <v>0</v>
      </c>
      <c r="S200" s="682">
        <f>+'3 ALUMINIOS'!O32*'3 ALUMINIOS'!P32</f>
        <v>0</v>
      </c>
      <c r="T200" s="769"/>
      <c r="U200" s="769"/>
      <c r="V200" s="682">
        <f>+'3 ALUMINIOS'!R32*'3 ALUMINIOS'!S32</f>
        <v>0</v>
      </c>
      <c r="W200" s="682"/>
      <c r="X200" s="682"/>
      <c r="Y200" s="682">
        <f>+'3 ALUMINIOS'!U32*'3 ALUMINIOS'!V32</f>
        <v>0</v>
      </c>
      <c r="AK200" s="837" t="s">
        <v>779</v>
      </c>
      <c r="AL200" s="837"/>
      <c r="AM200" s="837"/>
      <c r="AN200" s="837"/>
      <c r="AO200" s="837"/>
      <c r="AP200" s="837"/>
      <c r="AQ200" s="837"/>
      <c r="AS200" s="837" t="s">
        <v>782</v>
      </c>
      <c r="AT200" s="837"/>
      <c r="AU200" s="837"/>
      <c r="AV200" s="837"/>
      <c r="AW200" s="837"/>
      <c r="AX200" s="837"/>
      <c r="AY200" s="837"/>
      <c r="AZ200" s="837"/>
      <c r="BA200" s="837" t="s">
        <v>780</v>
      </c>
      <c r="BB200" s="837"/>
      <c r="BC200" s="837"/>
      <c r="BD200" s="837"/>
      <c r="BE200" s="837"/>
      <c r="BF200" s="837"/>
      <c r="BG200" s="837"/>
      <c r="BH200" s="837"/>
      <c r="BI200" s="837"/>
      <c r="BJ200" s="837"/>
      <c r="BK200" s="837"/>
      <c r="BL200" s="837"/>
      <c r="BM200" s="837"/>
      <c r="BO200" s="837" t="s">
        <v>769</v>
      </c>
      <c r="BP200" s="837"/>
      <c r="BQ200" s="837"/>
      <c r="BR200" s="678"/>
      <c r="BS200" s="837" t="s">
        <v>770</v>
      </c>
      <c r="BT200" s="837"/>
      <c r="BV200" s="837" t="s">
        <v>781</v>
      </c>
      <c r="BY200" s="837"/>
      <c r="BZ200" s="837"/>
      <c r="CA200" s="837"/>
      <c r="CB200" s="837"/>
      <c r="CC200" s="837"/>
      <c r="CD200" s="837"/>
      <c r="CF200" s="837">
        <v>120</v>
      </c>
      <c r="CG200" s="837"/>
      <c r="CH200" s="837"/>
      <c r="CI200" s="837"/>
      <c r="CJ200" s="837"/>
      <c r="CK200" s="837"/>
      <c r="CL200" s="837"/>
      <c r="CN200" s="971"/>
      <c r="CO200" s="971"/>
      <c r="CP200" s="971"/>
      <c r="CQ200" s="865"/>
      <c r="CR200" s="971"/>
      <c r="CS200" s="971"/>
      <c r="CT200" s="971"/>
      <c r="DN200" s="838"/>
      <c r="DO200" s="838"/>
      <c r="DP200" s="838"/>
      <c r="DQ200" s="838"/>
      <c r="DR200" s="838"/>
      <c r="DS200" s="838"/>
      <c r="DT200" s="838"/>
      <c r="EG200" s="678" t="s">
        <v>234</v>
      </c>
      <c r="EH200" s="678"/>
      <c r="EI200" s="678"/>
      <c r="EJ200" s="678"/>
      <c r="EK200" s="678"/>
      <c r="EL200" s="678"/>
      <c r="EM200" s="678"/>
      <c r="HH200" s="700" t="s">
        <v>1076</v>
      </c>
    </row>
    <row r="201" spans="3:216" ht="26.25" x14ac:dyDescent="0.4">
      <c r="R201" s="682">
        <f>+'3 ALUMINIOS'!L33*'3 ALUMINIOS'!M33</f>
        <v>0</v>
      </c>
      <c r="S201" s="682">
        <f>+'3 ALUMINIOS'!O33*'3 ALUMINIOS'!P33</f>
        <v>0</v>
      </c>
      <c r="T201" s="769"/>
      <c r="U201" s="769"/>
      <c r="V201" s="682">
        <f>+'3 ALUMINIOS'!R33*'3 ALUMINIOS'!S33</f>
        <v>0</v>
      </c>
      <c r="W201" s="682"/>
      <c r="X201" s="682"/>
      <c r="Y201" s="682">
        <f>+'3 ALUMINIOS'!U33*'3 ALUMINIOS'!V33</f>
        <v>0</v>
      </c>
      <c r="AK201" s="777">
        <v>57.5</v>
      </c>
      <c r="AL201" s="845">
        <v>71.5</v>
      </c>
      <c r="AM201" s="777">
        <v>85.5</v>
      </c>
      <c r="AN201" s="866">
        <v>113.5</v>
      </c>
      <c r="AO201" s="866">
        <v>141.5</v>
      </c>
      <c r="AP201" s="777">
        <v>180.5</v>
      </c>
      <c r="AQ201" s="849">
        <v>240</v>
      </c>
      <c r="AS201" s="777">
        <v>57.5</v>
      </c>
      <c r="AT201" s="845">
        <v>71.5</v>
      </c>
      <c r="AU201" s="777">
        <v>85.5</v>
      </c>
      <c r="AV201" s="866">
        <v>113.5</v>
      </c>
      <c r="AW201" s="866">
        <v>141.5</v>
      </c>
      <c r="AX201" s="777">
        <v>180.5</v>
      </c>
      <c r="AY201" s="849">
        <v>240</v>
      </c>
      <c r="AZ201" s="849"/>
      <c r="BA201" s="777">
        <v>57.5</v>
      </c>
      <c r="BB201" s="845">
        <v>71.5</v>
      </c>
      <c r="BC201" s="777">
        <v>85.5</v>
      </c>
      <c r="BD201" s="866">
        <v>113.5</v>
      </c>
      <c r="BE201" s="866">
        <v>121.5</v>
      </c>
      <c r="BF201" s="866">
        <v>127.5</v>
      </c>
      <c r="BG201" s="866">
        <v>135</v>
      </c>
      <c r="BH201" s="866">
        <v>141.5</v>
      </c>
      <c r="BI201" s="866">
        <v>149</v>
      </c>
      <c r="BJ201" s="866">
        <v>155.5</v>
      </c>
      <c r="BK201" s="866">
        <v>163</v>
      </c>
      <c r="BL201" s="777">
        <v>180.5</v>
      </c>
      <c r="BM201" s="849">
        <v>240</v>
      </c>
      <c r="BP201" s="845"/>
      <c r="BR201" s="866"/>
      <c r="BS201" s="866"/>
      <c r="BT201" s="849"/>
      <c r="BV201" s="777">
        <v>57.5</v>
      </c>
      <c r="BW201" s="845">
        <v>71.5</v>
      </c>
      <c r="BX201" s="777">
        <v>85.5</v>
      </c>
      <c r="BY201" s="866">
        <v>113.5</v>
      </c>
      <c r="BZ201" s="866">
        <v>141.5</v>
      </c>
      <c r="CA201" s="866">
        <v>149</v>
      </c>
      <c r="CB201" s="866">
        <v>163</v>
      </c>
      <c r="CC201" s="777">
        <v>180.5</v>
      </c>
      <c r="CD201" s="849">
        <v>240</v>
      </c>
      <c r="CF201" s="777">
        <v>57.5</v>
      </c>
      <c r="CG201" s="845">
        <v>71.5</v>
      </c>
      <c r="CH201" s="777">
        <v>85.5</v>
      </c>
      <c r="CI201" s="866">
        <v>113.5</v>
      </c>
      <c r="CJ201" s="866">
        <v>141.5</v>
      </c>
      <c r="CK201" s="777">
        <v>180.5</v>
      </c>
      <c r="CL201" s="849">
        <v>240</v>
      </c>
      <c r="CN201" s="1001" t="s">
        <v>783</v>
      </c>
      <c r="CO201" s="1001"/>
      <c r="CP201" s="865"/>
      <c r="CQ201" s="1001" t="s">
        <v>784</v>
      </c>
      <c r="CR201" s="1001"/>
      <c r="CS201" s="845"/>
      <c r="CT201" s="867" t="s">
        <v>785</v>
      </c>
      <c r="CU201" s="867"/>
      <c r="CV201" s="867" t="s">
        <v>786</v>
      </c>
      <c r="CW201" s="845"/>
      <c r="CX201" s="1098"/>
      <c r="CY201" s="845"/>
      <c r="CZ201" s="867" t="s">
        <v>787</v>
      </c>
      <c r="DA201" s="845"/>
      <c r="DB201" s="867" t="s">
        <v>788</v>
      </c>
      <c r="DC201" s="845"/>
      <c r="DD201" s="867" t="s">
        <v>789</v>
      </c>
      <c r="DE201" s="867"/>
      <c r="DF201" s="868" t="s">
        <v>790</v>
      </c>
      <c r="DG201" s="845"/>
      <c r="DH201" s="868" t="s">
        <v>791</v>
      </c>
      <c r="DI201" s="845"/>
      <c r="DJ201" s="1098"/>
      <c r="DK201" s="845"/>
      <c r="DL201" s="867" t="s">
        <v>792</v>
      </c>
      <c r="DN201" s="838"/>
      <c r="DO201" s="838"/>
      <c r="DP201" s="838"/>
      <c r="DQ201" s="838"/>
      <c r="DR201" s="838"/>
      <c r="DS201" s="838"/>
      <c r="DT201" s="838"/>
      <c r="EG201" s="837" t="s">
        <v>233</v>
      </c>
      <c r="EH201" s="837"/>
      <c r="EI201" s="837"/>
      <c r="EK201" s="777" t="s">
        <v>1178</v>
      </c>
      <c r="EM201" s="777" t="s">
        <v>1179</v>
      </c>
      <c r="EO201" s="777" t="s">
        <v>1180</v>
      </c>
      <c r="EQ201" s="777" t="s">
        <v>1181</v>
      </c>
      <c r="HF201" s="777" t="s">
        <v>1080</v>
      </c>
      <c r="HH201" s="591" t="s">
        <v>1077</v>
      </c>
    </row>
    <row r="202" spans="3:216" ht="26.25" x14ac:dyDescent="0.4">
      <c r="R202" s="682">
        <f>+'3 ALUMINIOS'!L34*'3 ALUMINIOS'!M34</f>
        <v>0</v>
      </c>
      <c r="S202" s="682">
        <f>+'3 ALUMINIOS'!O34*'3 ALUMINIOS'!P34</f>
        <v>0</v>
      </c>
      <c r="T202" s="769"/>
      <c r="U202" s="769"/>
      <c r="V202" s="682">
        <f>+'3 ALUMINIOS'!R34*'3 ALUMINIOS'!S34</f>
        <v>0</v>
      </c>
      <c r="W202" s="682"/>
      <c r="X202" s="682"/>
      <c r="Y202" s="682">
        <f>+'3 ALUMINIOS'!U34*'3 ALUMINIOS'!V34</f>
        <v>0</v>
      </c>
      <c r="AK202" s="777" t="b">
        <f>IF('4 SUPERFICIES'!$A11&gt;10,IF('4 SUPERFICIES'!$A11&lt;31.1,IF('4 SUPERFICIES'!$C11&gt;10,IF('4 SUPERFICIES'!$C11&lt;57.6,'4 SUPERFICIES'!$AB11,0))))</f>
        <v>0</v>
      </c>
      <c r="AL202" s="777" t="b">
        <f>IF('4 SUPERFICIES'!$A11&gt;10,IF('4 SUPERFICIES'!$A11&lt;31.1,IF('4 SUPERFICIES'!$C11&gt;57.6,IF('4 SUPERFICIES'!$C11&lt;71.6,'4 SUPERFICIES'!$AB11,0))))</f>
        <v>0</v>
      </c>
      <c r="AM202" s="777" t="b">
        <f>IF('4 SUPERFICIES'!$A11&gt;10,IF('4 SUPERFICIES'!$A11&lt;31.1,IF('4 SUPERFICIES'!$C11&gt;71.5,IF('4 SUPERFICIES'!$C11&lt;85.6,'4 SUPERFICIES'!$AB11,0))))</f>
        <v>0</v>
      </c>
      <c r="AN202" s="777" t="b">
        <f>IF('4 SUPERFICIES'!$A11&gt;10,IF('4 SUPERFICIES'!$A11&lt;31.1,IF('4 SUPERFICIES'!$C11&gt;85.5,IF('4 SUPERFICIES'!$C11&lt;113.6,'4 SUPERFICIES'!$AB11,0))))</f>
        <v>0</v>
      </c>
      <c r="AO202" s="777" t="b">
        <f>IF('4 SUPERFICIES'!$A11&gt;10,IF('4 SUPERFICIES'!$A11&lt;31.1,IF('4 SUPERFICIES'!$C11&gt;113.5,IF('4 SUPERFICIES'!$C11&lt;141.6,'4 SUPERFICIES'!$AB11,0))))</f>
        <v>0</v>
      </c>
      <c r="AP202" s="777" t="b">
        <f>IF('4 SUPERFICIES'!$A11&gt;10,IF('4 SUPERFICIES'!$A11&lt;31.1,IF('4 SUPERFICIES'!$C11&gt;141.5,IF('4 SUPERFICIES'!$C11&lt;180.6,'4 SUPERFICIES'!$AB11,0))))</f>
        <v>0</v>
      </c>
      <c r="AQ202" s="777" t="b">
        <f>IF('4 SUPERFICIES'!$A11&gt;10,IF('4 SUPERFICIES'!$A11&lt;31.1,IF('4 SUPERFICIES'!$C11&gt;180.5,IF('4 SUPERFICIES'!$C11&lt;240.1,'4 SUPERFICIES'!$AB11,0))))</f>
        <v>0</v>
      </c>
      <c r="AS202" s="777" t="b">
        <f>IF('4 SUPERFICIES'!$A11&gt;31,IF('4 SUPERFICIES'!$A11&lt;45.5,IF('4 SUPERFICIES'!$C11&gt;10,IF('4 SUPERFICIES'!$C11&lt;57.6,'4 SUPERFICIES'!$AB11,0))))</f>
        <v>0</v>
      </c>
      <c r="AT202" s="777" t="b">
        <f>IF('4 SUPERFICIES'!$A11&gt;31,IF('4 SUPERFICIES'!$A11&lt;45.5,IF('4 SUPERFICIES'!$C11&gt;57.6,IF('4 SUPERFICIES'!$C11&lt;71.6,'4 SUPERFICIES'!$AB11,0))))</f>
        <v>0</v>
      </c>
      <c r="AU202" s="777" t="b">
        <f>IF('4 SUPERFICIES'!$A11&gt;31,IF('4 SUPERFICIES'!$A11&lt;45.5,IF('4 SUPERFICIES'!$C11&gt;71.5,IF('4 SUPERFICIES'!$C11&lt;85.6,'4 SUPERFICIES'!$AB11,0))))</f>
        <v>0</v>
      </c>
      <c r="AV202" s="777" t="b">
        <f>IF('4 SUPERFICIES'!$A11&gt;31,IF('4 SUPERFICIES'!$A11&lt;45.5,IF('4 SUPERFICIES'!$C11&gt;85.5,IF('4 SUPERFICIES'!$C11&lt;113.6,'4 SUPERFICIES'!$AB11,0))))</f>
        <v>0</v>
      </c>
      <c r="AW202" s="777" t="b">
        <f>IF('4 SUPERFICIES'!$A11&gt;31,IF('4 SUPERFICIES'!$A11&lt;45.5,IF('4 SUPERFICIES'!$C11&gt;113.5,IF('4 SUPERFICIES'!$C11&lt;141.6,'4 SUPERFICIES'!$AB11,0))))</f>
        <v>0</v>
      </c>
      <c r="AX202" s="777" t="b">
        <f>IF('4 SUPERFICIES'!$A11&gt;31,IF('4 SUPERFICIES'!$A11&lt;45.5,IF('4 SUPERFICIES'!$C11&gt;141.5,IF('4 SUPERFICIES'!$C11&lt;180.6,'4 SUPERFICIES'!$AB11,0))))</f>
        <v>0</v>
      </c>
      <c r="AY202" s="777" t="b">
        <f>IF('4 SUPERFICIES'!$A11&gt;31,IF('4 SUPERFICIES'!$A11&lt;45.5,IF('4 SUPERFICIES'!$C11&gt;180.5,IF('4 SUPERFICIES'!$C11&lt;240.1,'4 SUPERFICIES'!$AB11,0))))</f>
        <v>0</v>
      </c>
      <c r="BA202" s="777" t="b">
        <f>IF('4 SUPERFICIES'!$A11&gt;45.4,IF('4 SUPERFICIES'!$A11&lt;61.6,IF('4 SUPERFICIES'!$C11&gt;10,IF('4 SUPERFICIES'!$C11&lt;61.5,'4 SUPERFICIES'!$AB11,0))))</f>
        <v>0</v>
      </c>
      <c r="BB202" s="777" t="b">
        <f>IF('4 SUPERFICIES'!$A11&gt;45.4,IF('4 SUPERFICIES'!$A11&lt;61.6,IF('4 SUPERFICIES'!$C11&gt;61.1,IF('4 SUPERFICIES'!$C11&lt;71.6,'4 SUPERFICIES'!$AB11,0))))</f>
        <v>0</v>
      </c>
      <c r="BC202" s="777" t="b">
        <f>IF('4 SUPERFICIES'!$A11&gt;45.4,IF('4 SUPERFICIES'!$A11&lt;61.6,IF('4 SUPERFICIES'!$C11&gt;71.5,IF('4 SUPERFICIES'!$C11&lt;85.6,'4 SUPERFICIES'!$AB11,0))))</f>
        <v>0</v>
      </c>
      <c r="BD202" s="777" t="b">
        <f>IF('4 SUPERFICIES'!$A11&gt;45.4,IF('4 SUPERFICIES'!$A11&lt;61.6,IF('4 SUPERFICIES'!$C11&gt;85.5,IF('4 SUPERFICIES'!$C11&lt;113.6,'4 SUPERFICIES'!$AB11,0))))</f>
        <v>0</v>
      </c>
      <c r="BE202" s="777" t="b">
        <f>IF('4 SUPERFICIES'!$A11&gt;45.4,IF('4 SUPERFICIES'!$A11&lt;61.6,IF('4 SUPERFICIES'!$C11&gt;113.5,IF('4 SUPERFICIES'!$C11&lt;121.6,'4 SUPERFICIES'!$AB11,0))))</f>
        <v>0</v>
      </c>
      <c r="BF202" s="777" t="b">
        <f>IF('4 SUPERFICIES'!$A11&gt;45.4,IF('4 SUPERFICIES'!$A11&lt;61.6,IF('4 SUPERFICIES'!$C11&gt;121.5,IF('4 SUPERFICIES'!$C11&lt;127.6,'4 SUPERFICIES'!$AB11,0))))</f>
        <v>0</v>
      </c>
      <c r="BG202" s="777" t="b">
        <f>IF('4 SUPERFICIES'!$A11&gt;45.4,IF('4 SUPERFICIES'!$A11&lt;61.6,IF('4 SUPERFICIES'!$C11&gt;127.5,IF('4 SUPERFICIES'!$C11&lt;135.1,'4 SUPERFICIES'!$AB11,0))))</f>
        <v>0</v>
      </c>
      <c r="BH202" s="777" t="b">
        <f>IF('4 SUPERFICIES'!$A11&gt;45.4,IF('4 SUPERFICIES'!$A11&lt;61.6,IF('4 SUPERFICIES'!$C11&gt;135,IF('4 SUPERFICIES'!$C11&lt;141.6,'4 SUPERFICIES'!$AB11,0))))</f>
        <v>0</v>
      </c>
      <c r="BI202" s="777" t="b">
        <f>IF('4 SUPERFICIES'!$A11&gt;45.4,IF('4 SUPERFICIES'!$A11&lt;61.6,IF('4 SUPERFICIES'!$C11&gt;141.5,IF('4 SUPERFICIES'!$C11&lt;149.1,'4 SUPERFICIES'!$AB11,0))))</f>
        <v>0</v>
      </c>
      <c r="BJ202" s="777" t="b">
        <f>IF('4 SUPERFICIES'!$A11&gt;45.4,IF('4 SUPERFICIES'!$A11&lt;61.6,IF('4 SUPERFICIES'!$C11&gt;149,IF('4 SUPERFICIES'!$C11&lt;155.6,'4 SUPERFICIES'!$AB11,0))))</f>
        <v>0</v>
      </c>
      <c r="BK202" s="777" t="b">
        <f>IF('4 SUPERFICIES'!$A11&gt;45.4,IF('4 SUPERFICIES'!$A11&lt;61.6,IF('4 SUPERFICIES'!$C11&gt;155.5,IF('4 SUPERFICIES'!$C11&lt;163.1,'4 SUPERFICIES'!$AB11,0))))</f>
        <v>0</v>
      </c>
      <c r="BL202" s="777" t="b">
        <f>IF('4 SUPERFICIES'!$A11&gt;45.4,IF('4 SUPERFICIES'!$A11&lt;61.6,IF('4 SUPERFICIES'!$C11&gt;163,IF('4 SUPERFICIES'!$C11&lt;180.6,'4 SUPERFICIES'!$AB11,0))))</f>
        <v>0</v>
      </c>
      <c r="BM202" s="777" t="b">
        <f>IF('4 SUPERFICIES'!$A11&gt;45.4,IF('4 SUPERFICIES'!$A11&lt;61.6,IF('4 SUPERFICIES'!$C11&gt;180.5,IF('4 SUPERFICIES'!$C11&lt;240.1,'4 SUPERFICIES'!$AB11,0))))</f>
        <v>0</v>
      </c>
      <c r="BO202" s="869" t="s">
        <v>508</v>
      </c>
      <c r="BQ202" s="870">
        <f>+$AK$250</f>
        <v>0</v>
      </c>
      <c r="BS202" s="869"/>
      <c r="BT202" s="870">
        <f>+$AK$251</f>
        <v>0</v>
      </c>
      <c r="BV202" s="777" t="b">
        <f>IF('4 SUPERFICIES'!$A11&gt;61.5,IF('4 SUPERFICIES'!$A11&lt;71.6,IF('4 SUPERFICIES'!$C11&gt;10,IF('4 SUPERFICIES'!$C11&lt;57.6,'4 SUPERFICIES'!$AB11,0))))</f>
        <v>0</v>
      </c>
      <c r="BW202" s="777" t="b">
        <f>IF('4 SUPERFICIES'!$A11&gt;61.5,IF('4 SUPERFICIES'!$A11&lt;71.6,IF('4 SUPERFICIES'!$C11&gt;57.6,IF('4 SUPERFICIES'!$C11&lt;71.6,'4 SUPERFICIES'!$AB11,0))))</f>
        <v>0</v>
      </c>
      <c r="BX202" s="777" t="b">
        <f>IF('4 SUPERFICIES'!$A11&gt;61.5,IF('4 SUPERFICIES'!$A11&lt;71.6,IF('4 SUPERFICIES'!$C11&gt;71.5,IF('4 SUPERFICIES'!$C11&lt;85.6,'4 SUPERFICIES'!$AB11,0))))</f>
        <v>0</v>
      </c>
      <c r="BY202" s="777" t="b">
        <f>IF('4 SUPERFICIES'!$A11&gt;61.5,IF('4 SUPERFICIES'!$A11&lt;71.6,IF('4 SUPERFICIES'!$C11&gt;85.5,IF('4 SUPERFICIES'!$C11&lt;113.6,'4 SUPERFICIES'!$AB11,0))))</f>
        <v>0</v>
      </c>
      <c r="BZ202" s="777" t="b">
        <f>IF('4 SUPERFICIES'!$A11&gt;61.5,IF('4 SUPERFICIES'!$A11&lt;71.6,IF('4 SUPERFICIES'!$C11&gt;113.5,IF('4 SUPERFICIES'!$C11&lt;141.6,'4 SUPERFICIES'!$AB11,0))))</f>
        <v>0</v>
      </c>
      <c r="CA202" s="777" t="b">
        <f>IF('4 SUPERFICIES'!$A11&gt;61.5,IF('4 SUPERFICIES'!$A11&lt;71.6,IF('4 SUPERFICIES'!$C11&gt;141.5,IF('4 SUPERFICIES'!$C11&lt;149.1,'4 SUPERFICIES'!$AB11,0))))</f>
        <v>0</v>
      </c>
      <c r="CB202" s="777" t="b">
        <f>IF('4 SUPERFICIES'!$A11&gt;61.5,IF('4 SUPERFICIES'!$A11&lt;71.6,IF('4 SUPERFICIES'!$C11&gt;149,IF('4 SUPERFICIES'!$C11&lt;163.1,'4 SUPERFICIES'!$AB11,0))))</f>
        <v>0</v>
      </c>
      <c r="CC202" s="777" t="b">
        <f>IF('4 SUPERFICIES'!$A11&gt;61.5,IF('4 SUPERFICIES'!$A11&lt;71.6,IF('4 SUPERFICIES'!$C11&gt;163,IF('4 SUPERFICIES'!$C11&lt;180.6,'4 SUPERFICIES'!$AB11,0))))</f>
        <v>0</v>
      </c>
      <c r="CD202" s="777" t="b">
        <f>IF('4 SUPERFICIES'!$A11&gt;61.5,IF('4 SUPERFICIES'!$A11&lt;71.6,IF('4 SUPERFICIES'!$C11&gt;180.5,IF('4 SUPERFICIES'!$C11&lt;240.1,'4 SUPERFICIES'!$AB11,0))))</f>
        <v>0</v>
      </c>
      <c r="CF202" s="777" t="b">
        <f>IF('4 SUPERFICIES'!$A11&gt;71.5,IF('4 SUPERFICIES'!$A11&lt;120.6,IF('4 SUPERFICIES'!$C11&gt;10,IF('4 SUPERFICIES'!$C11&lt;57.6,'4 SUPERFICIES'!$AB11,0))))</f>
        <v>0</v>
      </c>
      <c r="CG202" s="777" t="b">
        <f>IF('4 SUPERFICIES'!$A11&gt;71.5,IF('4 SUPERFICIES'!$A11&lt;120.6,IF('4 SUPERFICIES'!$C11&gt;57.6,IF('4 SUPERFICIES'!$C11&lt;71.6,'4 SUPERFICIES'!$AB11,0))))</f>
        <v>0</v>
      </c>
      <c r="CH202" s="777" t="b">
        <f>IF('4 SUPERFICIES'!$A11&gt;71.5,IF('4 SUPERFICIES'!$A11&lt;120.6,IF('4 SUPERFICIES'!$C11&gt;71.5,IF('4 SUPERFICIES'!$C11&lt;85.6,'4 SUPERFICIES'!$AB11,0))))</f>
        <v>0</v>
      </c>
      <c r="CI202" s="777" t="b">
        <f>IF('4 SUPERFICIES'!$A11&gt;71.5,IF('4 SUPERFICIES'!$A11&lt;120.6,IF('4 SUPERFICIES'!$C11&gt;85.5,IF('4 SUPERFICIES'!$C11&lt;113.6,'4 SUPERFICIES'!$AB11,0))))</f>
        <v>0</v>
      </c>
      <c r="CJ202" s="777" t="b">
        <f>IF('4 SUPERFICIES'!$A11&gt;71.5,IF('4 SUPERFICIES'!$A11&lt;120.6,IF('4 SUPERFICIES'!$C11&gt;113.5,IF('4 SUPERFICIES'!$C11&lt;141.6,'4 SUPERFICIES'!$AB11,0))))</f>
        <v>0</v>
      </c>
      <c r="CK202" s="777" t="b">
        <f>IF('4 SUPERFICIES'!$A11&gt;71.5,IF('4 SUPERFICIES'!$A11&lt;120.6,IF('4 SUPERFICIES'!$C11&gt;141.5,IF('4 SUPERFICIES'!$C11&lt;180.6,'4 SUPERFICIES'!$AB11,0))))</f>
        <v>0</v>
      </c>
      <c r="CL202" s="777" t="b">
        <f>IF('4 SUPERFICIES'!$A11&gt;71.5,IF('4 SUPERFICIES'!$A11&lt;120.6,IF('4 SUPERFICIES'!$C11&gt;180.5,IF('4 SUPERFICIES'!$C11&lt;240.1,'4 SUPERFICIES'!$AB11,0))))</f>
        <v>0</v>
      </c>
      <c r="CN202" s="777">
        <f>IF('4 SUPERFICIES'!$C11&lt;150,IF(OR('4 SUPERFICIES'!$A11="MICRODER",'4 SUPERFICIES'!$A11="MICRO DER",),'4 SUPERFICIES'!$AB11,0))</f>
        <v>0</v>
      </c>
      <c r="CO202" s="777" t="b">
        <f>IF('4 SUPERFICIES'!$C11&gt;149.5,IF(OR('4 SUPERFICIES'!$A11="MICRODER",'4 SUPERFICIES'!$A11="MICRO DER",),'4 SUPERFICIES'!$AB11,0))</f>
        <v>0</v>
      </c>
      <c r="CP202" s="847"/>
      <c r="CQ202" s="777">
        <f>IF('4 SUPERFICIES'!$C11&lt;150,IF(OR('4 SUPERFICIES'!$A11="MICROIZQ",'4 SUPERFICIES'!$A11="MICRO IZQ",),'4 SUPERFICIES'!$AB11,0))</f>
        <v>0</v>
      </c>
      <c r="CR202" s="777" t="b">
        <f>IF('4 SUPERFICIES'!$C11&gt;149.5,IF(OR('4 SUPERFICIES'!$A11="MICROIZQ",'4 SUPERFICIES'!$A11="MICRO IZQ",),'4 SUPERFICIES'!$AB11,0))</f>
        <v>0</v>
      </c>
      <c r="CT202" s="837">
        <f>IF(OR('4 SUPERFICIES'!$A11="MICRO SEN",'4 SUPERFICIES'!$A11="MICROSEN",),'4 SUPERFICIES'!$AB11,0)</f>
        <v>0</v>
      </c>
      <c r="CV202" s="837" t="b">
        <f>IF('4 SUPERFICIES'!$A11="DIAMETRO",IF('4 SUPERFICIES'!$C11&lt;121.1,'4 SUPERFICIES'!$AB11,0))</f>
        <v>0</v>
      </c>
      <c r="CX202" s="858"/>
      <c r="CZ202" s="837" t="b">
        <f>IF('4 SUPERFICIES'!$A11="MOSTRADOR",IF('4 SUPERFICIES'!$C11="R60",'4 SUPERFICIES'!$AB11,0))</f>
        <v>0</v>
      </c>
      <c r="DB202" s="837">
        <f>IF(OR('4 SUPERFICIES'!$A11="PORTA PRIN",'4 SUPERFICIES'!$A11="PORTAPRIN",),'4 SUPERFICIES'!$AB11,0)</f>
        <v>0</v>
      </c>
      <c r="DD202" s="837">
        <f>IF(OR('4 SUPERFICIES'!$A11="PORTA BADE",'4 SUPERFICIES'!$A11="PORTABADE",),'4 SUPERFICIES'!$AB11,0)</f>
        <v>0</v>
      </c>
      <c r="DE202" s="837"/>
      <c r="DF202" s="837">
        <f>IF(OR('4 SUPERFICIES'!$A11="RETORNO IZQ",'4 SUPERFICIES'!$A11="RETORNO DER",),'4 SUPERFICIES'!$AB111,0)</f>
        <v>0</v>
      </c>
      <c r="DG202" s="837"/>
      <c r="DH202" s="837">
        <f>IF(OR('4 SUPERFICIES'!$A11="PITO Q",'4 SUPERFICIES'!$A11="PITO P",'4 SUPERFICIES'!$A11="DIAMETRO INTEGRADA",),'4 SUPERFICIES'!$AB11,0)</f>
        <v>0</v>
      </c>
      <c r="DJ202" s="858"/>
      <c r="DK202" s="837"/>
      <c r="DL202" s="837">
        <f>IF('4 SUPERFICIES'!$A11="SUPERFICIE OVAL",'4 SUPERFICIES'!$AB11,0)</f>
        <v>0</v>
      </c>
      <c r="DN202" s="838"/>
      <c r="DO202" s="838"/>
      <c r="DP202" s="838"/>
      <c r="DQ202" s="838"/>
      <c r="DR202" s="838"/>
      <c r="DS202" s="838"/>
      <c r="DT202" s="838"/>
      <c r="EA202" s="837"/>
      <c r="EG202" s="682">
        <f>IF('4 SUPERFICIES'!A11="MICRO DER",85,IF('4 SUPERFICIES'!A11="MICRO IZQ",85,IF('4 SUPERFICIES'!A11="MICRO SEN",170,IF('4 SUPERFICIES'!A11="DIAMETRO",3.14*'4 SUPERFICIES'!C11/2,IF('4 SUPERFICIES'!A11="MOSTRADOR",136,IF('4 SUPERFICIES'!A11="PORTA",65,IF('4 SUPERFICIES'!A11="PITO Q",90,IF('4 SUPERFICIES'!A11="PITO P",90,'4 SUPERFICIES'!A11))))))))</f>
        <v>0</v>
      </c>
      <c r="EH202" s="682"/>
      <c r="EI202" s="682">
        <f>IF('4 SUPERFICIES'!A11="DIAMETRO",0,IF('4 SUPERFICIES'!C11="PRINCIPAL",160,IF('4 SUPERFICIES'!C11="BADE",190,IF('4 SUPERFICIES'!C11="RETORNO",100,IF('4 SUPERFICIES'!C11="R 60",100,IF('4 SUPERFICIES'!C11="R60",100,'4 SUPERFICIES'!C11))))))</f>
        <v>0</v>
      </c>
      <c r="EJ202" s="682"/>
      <c r="EK202" s="682">
        <f>IF('4 SUPERFICIES'!$F11='4 SUPERFICIES'!$AG$15,((EG202*2)+(EI202*2))*'4 SUPERFICIES'!AB11,0)</f>
        <v>0</v>
      </c>
      <c r="EL202" s="682"/>
      <c r="EM202" s="682">
        <f>IF('4 SUPERFICIES'!$F11='4 SUPERFICIES'!$AG$16,((EG202*2)+(EI202*2))*'4 SUPERFICIES'!AB11,0)</f>
        <v>0</v>
      </c>
      <c r="EO202" s="682">
        <f>IF('4 SUPERFICIES'!$F11='4 SUPERFICIES'!$AG$17,((EG202*2)+(EI202*2))*'4 SUPERFICIES'!AB11,0)</f>
        <v>0</v>
      </c>
      <c r="EQ202" s="682">
        <f>IF('4 SUPERFICIES'!$F11='4 SUPERFICIES'!$AG$18,((EG202*2)+(EI202*2))*'4 SUPERFICIES'!AB11,0)</f>
        <v>0</v>
      </c>
      <c r="HF202" s="700">
        <v>10</v>
      </c>
      <c r="HH202" s="591">
        <v>10</v>
      </c>
    </row>
    <row r="203" spans="3:216" ht="26.25" x14ac:dyDescent="0.4">
      <c r="R203" s="682">
        <f>+'3 ALUMINIOS'!L35*'3 ALUMINIOS'!M35</f>
        <v>0</v>
      </c>
      <c r="S203" s="682">
        <f>+'3 ALUMINIOS'!O35*'3 ALUMINIOS'!P35</f>
        <v>0</v>
      </c>
      <c r="T203" s="769"/>
      <c r="U203" s="769"/>
      <c r="V203" s="682">
        <f>+'3 ALUMINIOS'!R35*'3 ALUMINIOS'!S35</f>
        <v>0</v>
      </c>
      <c r="W203" s="682"/>
      <c r="X203" s="682"/>
      <c r="Y203" s="682">
        <f>+'3 ALUMINIOS'!U35*'3 ALUMINIOS'!V35</f>
        <v>0</v>
      </c>
      <c r="AK203" s="777" t="b">
        <f>IF('4 SUPERFICIES'!$A12&gt;10,IF('4 SUPERFICIES'!$A12&lt;31.1,IF('4 SUPERFICIES'!$C12&gt;10,IF('4 SUPERFICIES'!$C12&lt;57.6,'4 SUPERFICIES'!$AB12,0))))</f>
        <v>0</v>
      </c>
      <c r="AL203" s="777" t="b">
        <f>IF('4 SUPERFICIES'!$A12&gt;10,IF('4 SUPERFICIES'!$A12&lt;31.1,IF('4 SUPERFICIES'!$C12&gt;57.6,IF('4 SUPERFICIES'!$C12&lt;71.6,'4 SUPERFICIES'!$AB12,0))))</f>
        <v>0</v>
      </c>
      <c r="AM203" s="777" t="b">
        <f>IF('4 SUPERFICIES'!$A12&gt;10,IF('4 SUPERFICIES'!$A12&lt;31.1,IF('4 SUPERFICIES'!$C12&gt;71.5,IF('4 SUPERFICIES'!$C12&lt;85.6,'4 SUPERFICIES'!$AB12,0))))</f>
        <v>0</v>
      </c>
      <c r="AN203" s="777" t="b">
        <f>IF('4 SUPERFICIES'!$A12&gt;10,IF('4 SUPERFICIES'!$A12&lt;31.1,IF('4 SUPERFICIES'!$C12&gt;85.5,IF('4 SUPERFICIES'!$C12&lt;113.6,'4 SUPERFICIES'!$AB12,0))))</f>
        <v>0</v>
      </c>
      <c r="AO203" s="777" t="b">
        <f>IF('4 SUPERFICIES'!$A12&gt;10,IF('4 SUPERFICIES'!$A12&lt;31.1,IF('4 SUPERFICIES'!$C12&gt;113.5,IF('4 SUPERFICIES'!$C12&lt;141.6,'4 SUPERFICIES'!$AB12,0))))</f>
        <v>0</v>
      </c>
      <c r="AP203" s="777" t="b">
        <f>IF('4 SUPERFICIES'!$A12&gt;10,IF('4 SUPERFICIES'!$A12&lt;31.1,IF('4 SUPERFICIES'!$C12&gt;141.5,IF('4 SUPERFICIES'!$C12&lt;180.6,'4 SUPERFICIES'!$AB12,0))))</f>
        <v>0</v>
      </c>
      <c r="AQ203" s="777" t="b">
        <f>IF('4 SUPERFICIES'!$A12&gt;10,IF('4 SUPERFICIES'!$A12&lt;31.1,IF('4 SUPERFICIES'!$C12&gt;180.5,IF('4 SUPERFICIES'!$C12&lt;240.1,'4 SUPERFICIES'!$AB12,0))))</f>
        <v>0</v>
      </c>
      <c r="AS203" s="777" t="b">
        <f>IF('4 SUPERFICIES'!$A12&gt;31,IF('4 SUPERFICIES'!$A12&lt;45.5,IF('4 SUPERFICIES'!$C12&gt;10,IF('4 SUPERFICIES'!$C12&lt;57.6,'4 SUPERFICIES'!$AB12,0))))</f>
        <v>0</v>
      </c>
      <c r="AT203" s="777" t="b">
        <f>IF('4 SUPERFICIES'!$A12&gt;31,IF('4 SUPERFICIES'!$A12&lt;45.5,IF('4 SUPERFICIES'!$C12&gt;57.6,IF('4 SUPERFICIES'!$C12&lt;71.6,'4 SUPERFICIES'!$AB12,0))))</f>
        <v>0</v>
      </c>
      <c r="AU203" s="777" t="b">
        <f>IF('4 SUPERFICIES'!$A12&gt;31,IF('4 SUPERFICIES'!$A12&lt;45.5,IF('4 SUPERFICIES'!$C12&gt;71.5,IF('4 SUPERFICIES'!$C12&lt;85.6,'4 SUPERFICIES'!$AB12,0))))</f>
        <v>0</v>
      </c>
      <c r="AV203" s="777" t="b">
        <f>IF('4 SUPERFICIES'!$A12&gt;31,IF('4 SUPERFICIES'!$A12&lt;45.5,IF('4 SUPERFICIES'!$C12&gt;85.5,IF('4 SUPERFICIES'!$C12&lt;113.6,'4 SUPERFICIES'!$AB12,0))))</f>
        <v>0</v>
      </c>
      <c r="AW203" s="777" t="b">
        <f>IF('4 SUPERFICIES'!$A12&gt;31,IF('4 SUPERFICIES'!$A12&lt;45.5,IF('4 SUPERFICIES'!$C12&gt;113.5,IF('4 SUPERFICIES'!$C12&lt;141.6,'4 SUPERFICIES'!$AB12,0))))</f>
        <v>0</v>
      </c>
      <c r="AX203" s="777" t="b">
        <f>IF('4 SUPERFICIES'!$A12&gt;31,IF('4 SUPERFICIES'!$A12&lt;45.5,IF('4 SUPERFICIES'!$C12&gt;141.5,IF('4 SUPERFICIES'!$C12&lt;180.6,'4 SUPERFICIES'!$AB12,0))))</f>
        <v>0</v>
      </c>
      <c r="AY203" s="777" t="b">
        <f>IF('4 SUPERFICIES'!$A12&gt;31,IF('4 SUPERFICIES'!$A12&lt;45.5,IF('4 SUPERFICIES'!$C12&gt;180.5,IF('4 SUPERFICIES'!$C12&lt;240.1,'4 SUPERFICIES'!$AB12,0))))</f>
        <v>0</v>
      </c>
      <c r="BA203" s="777" t="b">
        <f>IF('4 SUPERFICIES'!$A12&gt;45.4,IF('4 SUPERFICIES'!$A12&lt;61.6,IF('4 SUPERFICIES'!$C12&gt;10,IF('4 SUPERFICIES'!$C12&lt;61.5,'4 SUPERFICIES'!$AB12,0))))</f>
        <v>0</v>
      </c>
      <c r="BB203" s="777" t="b">
        <f>IF('4 SUPERFICIES'!$A12&gt;45.4,IF('4 SUPERFICIES'!$A12&lt;61.6,IF('4 SUPERFICIES'!$C12&gt;61.1,IF('4 SUPERFICIES'!$C12&lt;71.6,'4 SUPERFICIES'!$AB12,0))))</f>
        <v>0</v>
      </c>
      <c r="BC203" s="777" t="b">
        <f>IF('4 SUPERFICIES'!$A12&gt;45.4,IF('4 SUPERFICIES'!$A12&lt;61.6,IF('4 SUPERFICIES'!$C12&gt;71.5,IF('4 SUPERFICIES'!$C12&lt;85.6,'4 SUPERFICIES'!$AB12,0))))</f>
        <v>0</v>
      </c>
      <c r="BD203" s="777" t="b">
        <f>IF('4 SUPERFICIES'!$A12&gt;45.4,IF('4 SUPERFICIES'!$A12&lt;61.6,IF('4 SUPERFICIES'!$C12&gt;85.5,IF('4 SUPERFICIES'!$C12&lt;113.6,'4 SUPERFICIES'!$AB12,0))))</f>
        <v>0</v>
      </c>
      <c r="BE203" s="777" t="b">
        <f>IF('4 SUPERFICIES'!$A12&gt;45.4,IF('4 SUPERFICIES'!$A12&lt;61.6,IF('4 SUPERFICIES'!$C12&gt;113.5,IF('4 SUPERFICIES'!$C12&lt;121.6,'4 SUPERFICIES'!$AB12,0))))</f>
        <v>0</v>
      </c>
      <c r="BF203" s="777" t="b">
        <f>IF('4 SUPERFICIES'!$A12&gt;45.4,IF('4 SUPERFICIES'!$A12&lt;61.6,IF('4 SUPERFICIES'!$C12&gt;121.5,IF('4 SUPERFICIES'!$C12&lt;127.6,'4 SUPERFICIES'!$AB12,0))))</f>
        <v>0</v>
      </c>
      <c r="BG203" s="777" t="b">
        <f>IF('4 SUPERFICIES'!$A12&gt;45.4,IF('4 SUPERFICIES'!$A12&lt;61.6,IF('4 SUPERFICIES'!$C12&gt;127.5,IF('4 SUPERFICIES'!$C12&lt;135.1,'4 SUPERFICIES'!$AB12,0))))</f>
        <v>0</v>
      </c>
      <c r="BH203" s="777" t="b">
        <f>IF('4 SUPERFICIES'!$A12&gt;45.4,IF('4 SUPERFICIES'!$A12&lt;61.6,IF('4 SUPERFICIES'!$C12&gt;135,IF('4 SUPERFICIES'!$C12&lt;141.6,'4 SUPERFICIES'!$AB12,0))))</f>
        <v>0</v>
      </c>
      <c r="BI203" s="777" t="b">
        <f>IF('4 SUPERFICIES'!$A12&gt;45.4,IF('4 SUPERFICIES'!$A12&lt;61.6,IF('4 SUPERFICIES'!$C12&gt;141.5,IF('4 SUPERFICIES'!$C12&lt;149.1,'4 SUPERFICIES'!$AB12,0))))</f>
        <v>0</v>
      </c>
      <c r="BJ203" s="777" t="b">
        <f>IF('4 SUPERFICIES'!$A12&gt;45.4,IF('4 SUPERFICIES'!$A12&lt;61.6,IF('4 SUPERFICIES'!$C12&gt;149,IF('4 SUPERFICIES'!$C12&lt;155.6,'4 SUPERFICIES'!$AB12,0))))</f>
        <v>0</v>
      </c>
      <c r="BK203" s="777" t="b">
        <f>IF('4 SUPERFICIES'!$A12&gt;45.4,IF('4 SUPERFICIES'!$A12&lt;61.6,IF('4 SUPERFICIES'!$C12&gt;155.5,IF('4 SUPERFICIES'!$C12&lt;163.1,'4 SUPERFICIES'!$AB12,0))))</f>
        <v>0</v>
      </c>
      <c r="BL203" s="777" t="b">
        <f>IF('4 SUPERFICIES'!$A12&gt;45.4,IF('4 SUPERFICIES'!$A12&lt;61.6,IF('4 SUPERFICIES'!$C12&gt;163,IF('4 SUPERFICIES'!$C12&lt;180.6,'4 SUPERFICIES'!$AB12,0))))</f>
        <v>0</v>
      </c>
      <c r="BM203" s="777" t="b">
        <f>IF('4 SUPERFICIES'!$A12&gt;45.4,IF('4 SUPERFICIES'!$A12&lt;61.6,IF('4 SUPERFICIES'!$C12&gt;180.5,IF('4 SUPERFICIES'!$C12&lt;240.1,'4 SUPERFICIES'!$AB12,0))))</f>
        <v>0</v>
      </c>
      <c r="BO203" s="869" t="s">
        <v>510</v>
      </c>
      <c r="BQ203" s="870">
        <f>+$AL$250</f>
        <v>0</v>
      </c>
      <c r="BS203" s="869"/>
      <c r="BT203" s="870">
        <f>+$AL$251</f>
        <v>0</v>
      </c>
      <c r="BV203" s="777" t="b">
        <f>IF('4 SUPERFICIES'!$A12&gt;61.5,IF('4 SUPERFICIES'!$A12&lt;71.6,IF('4 SUPERFICIES'!$C12&gt;10,IF('4 SUPERFICIES'!$C12&lt;57.6,'4 SUPERFICIES'!$AB12,0))))</f>
        <v>0</v>
      </c>
      <c r="BW203" s="777" t="b">
        <f>IF('4 SUPERFICIES'!$A12&gt;61.5,IF('4 SUPERFICIES'!$A12&lt;71.6,IF('4 SUPERFICIES'!$C12&gt;57.6,IF('4 SUPERFICIES'!$C12&lt;71.6,'4 SUPERFICIES'!$AB12,0))))</f>
        <v>0</v>
      </c>
      <c r="BX203" s="777" t="b">
        <f>IF('4 SUPERFICIES'!$A12&gt;61.5,IF('4 SUPERFICIES'!$A12&lt;71.6,IF('4 SUPERFICIES'!$C12&gt;71.5,IF('4 SUPERFICIES'!$C12&lt;85.6,'4 SUPERFICIES'!$AB12,0))))</f>
        <v>0</v>
      </c>
      <c r="BY203" s="777" t="b">
        <f>IF('4 SUPERFICIES'!$A12&gt;61.5,IF('4 SUPERFICIES'!$A12&lt;71.6,IF('4 SUPERFICIES'!$C12&gt;85.5,IF('4 SUPERFICIES'!$C12&lt;113.6,'4 SUPERFICIES'!$AB12,0))))</f>
        <v>0</v>
      </c>
      <c r="BZ203" s="777" t="b">
        <f>IF('4 SUPERFICIES'!$A12&gt;61.5,IF('4 SUPERFICIES'!$A12&lt;71.6,IF('4 SUPERFICIES'!$C12&gt;113.5,IF('4 SUPERFICIES'!$C12&lt;141.6,'4 SUPERFICIES'!$AB12,0))))</f>
        <v>0</v>
      </c>
      <c r="CA203" s="777" t="b">
        <f>IF('4 SUPERFICIES'!$A12&gt;61.5,IF('4 SUPERFICIES'!$A12&lt;71.6,IF('4 SUPERFICIES'!$C12&gt;141.5,IF('4 SUPERFICIES'!$C12&lt;149.1,'4 SUPERFICIES'!$AB12,0))))</f>
        <v>0</v>
      </c>
      <c r="CB203" s="777" t="b">
        <f>IF('4 SUPERFICIES'!$A12&gt;61.5,IF('4 SUPERFICIES'!$A12&lt;71.6,IF('4 SUPERFICIES'!$C12&gt;149,IF('4 SUPERFICIES'!$C12&lt;163.1,'4 SUPERFICIES'!$AB12,0))))</f>
        <v>0</v>
      </c>
      <c r="CC203" s="777" t="b">
        <f>IF('4 SUPERFICIES'!$A12&gt;61.5,IF('4 SUPERFICIES'!$A12&lt;71.6,IF('4 SUPERFICIES'!$C12&gt;163,IF('4 SUPERFICIES'!$C12&lt;180.6,'4 SUPERFICIES'!$AB12,0))))</f>
        <v>0</v>
      </c>
      <c r="CD203" s="777" t="b">
        <f>IF('4 SUPERFICIES'!$A12&gt;61.5,IF('4 SUPERFICIES'!$A12&lt;71.6,IF('4 SUPERFICIES'!$C12&gt;180.5,IF('4 SUPERFICIES'!$C12&lt;240.1,'4 SUPERFICIES'!$AB12,0))))</f>
        <v>0</v>
      </c>
      <c r="CF203" s="777" t="b">
        <f>IF('4 SUPERFICIES'!$A12&gt;71.5,IF('4 SUPERFICIES'!$A12&lt;120.6,IF('4 SUPERFICIES'!$C12&gt;10,IF('4 SUPERFICIES'!$C12&lt;57.6,'4 SUPERFICIES'!$AB12,0))))</f>
        <v>0</v>
      </c>
      <c r="CG203" s="777" t="b">
        <f>IF('4 SUPERFICIES'!$A12&gt;71.5,IF('4 SUPERFICIES'!$A12&lt;120.6,IF('4 SUPERFICIES'!$C12&gt;57.6,IF('4 SUPERFICIES'!$C12&lt;71.6,'4 SUPERFICIES'!$AB12,0))))</f>
        <v>0</v>
      </c>
      <c r="CH203" s="777" t="b">
        <f>IF('4 SUPERFICIES'!$A12&gt;71.5,IF('4 SUPERFICIES'!$A12&lt;120.6,IF('4 SUPERFICIES'!$C12&gt;71.5,IF('4 SUPERFICIES'!$C12&lt;85.6,'4 SUPERFICIES'!$AB12,0))))</f>
        <v>0</v>
      </c>
      <c r="CI203" s="777" t="b">
        <f>IF('4 SUPERFICIES'!$A12&gt;71.5,IF('4 SUPERFICIES'!$A12&lt;120.6,IF('4 SUPERFICIES'!$C12&gt;85.5,IF('4 SUPERFICIES'!$C12&lt;113.6,'4 SUPERFICIES'!$AB12,0))))</f>
        <v>0</v>
      </c>
      <c r="CJ203" s="777" t="b">
        <f>IF('4 SUPERFICIES'!$A12&gt;71.5,IF('4 SUPERFICIES'!$A12&lt;120.6,IF('4 SUPERFICIES'!$C12&gt;113.5,IF('4 SUPERFICIES'!$C12&lt;141.6,'4 SUPERFICIES'!$AB12,0))))</f>
        <v>0</v>
      </c>
      <c r="CK203" s="777" t="b">
        <f>IF('4 SUPERFICIES'!$A12&gt;71.5,IF('4 SUPERFICIES'!$A12&lt;120.6,IF('4 SUPERFICIES'!$C12&gt;141.5,IF('4 SUPERFICIES'!$C12&lt;180.6,'4 SUPERFICIES'!$AB12,0))))</f>
        <v>0</v>
      </c>
      <c r="CL203" s="777" t="b">
        <f>IF('4 SUPERFICIES'!$A12&gt;71.5,IF('4 SUPERFICIES'!$A12&lt;120.6,IF('4 SUPERFICIES'!$C12&gt;180.5,IF('4 SUPERFICIES'!$C12&lt;240.1,'4 SUPERFICIES'!$AB12,0))))</f>
        <v>0</v>
      </c>
      <c r="CN203" s="777">
        <f>IF('4 SUPERFICIES'!$C12&lt;150,IF(OR('4 SUPERFICIES'!$A12="MICRODER",'4 SUPERFICIES'!$A12="MICRO DER",),'4 SUPERFICIES'!$AB12,0))</f>
        <v>0</v>
      </c>
      <c r="CO203" s="777" t="b">
        <f>IF('4 SUPERFICIES'!$C12&gt;149.5,IF(OR('4 SUPERFICIES'!$A12="MICRODER",'4 SUPERFICIES'!$A12="MICRO DER",),'4 SUPERFICIES'!$AB12,0))</f>
        <v>0</v>
      </c>
      <c r="CP203" s="847"/>
      <c r="CQ203" s="777">
        <f>IF('4 SUPERFICIES'!$C12&lt;150,IF(OR('4 SUPERFICIES'!$A12="MICROIZQ",'4 SUPERFICIES'!$A12="MICRO IZQ",),'4 SUPERFICIES'!$AB12,0))</f>
        <v>0</v>
      </c>
      <c r="CR203" s="777" t="b">
        <f>IF('4 SUPERFICIES'!$C12&gt;149.5,IF(OR('4 SUPERFICIES'!$A12="MICROIZQ",'4 SUPERFICIES'!$A12="MICRO IZQ",),'4 SUPERFICIES'!$AB12,0))</f>
        <v>0</v>
      </c>
      <c r="CT203" s="837">
        <f>IF(OR('4 SUPERFICIES'!$A12="MICRO SEN",'4 SUPERFICIES'!$A12="MICROSEN",),'4 SUPERFICIES'!$AB12,0)</f>
        <v>0</v>
      </c>
      <c r="CV203" s="837" t="b">
        <f>IF('4 SUPERFICIES'!$A12="DIAMETRO",IF('4 SUPERFICIES'!$C12&lt;121.1,'4 SUPERFICIES'!$AB12,0))</f>
        <v>0</v>
      </c>
      <c r="CX203" s="858"/>
      <c r="CZ203" s="837" t="b">
        <f>IF('4 SUPERFICIES'!$A12="MOSTRADOR",IF('4 SUPERFICIES'!$C12="R60",'4 SUPERFICIES'!$AB12,0))</f>
        <v>0</v>
      </c>
      <c r="DB203" s="837">
        <f>IF(OR('4 SUPERFICIES'!$A12="PORTA PRIN",'4 SUPERFICIES'!$A12="PORTAPRIN",),'4 SUPERFICIES'!$AB12,0)</f>
        <v>0</v>
      </c>
      <c r="DD203" s="837">
        <f>IF(OR('4 SUPERFICIES'!$A12="PORTA BADE",'4 SUPERFICIES'!$A12="PORTABADE",),'4 SUPERFICIES'!$AB12,0)</f>
        <v>0</v>
      </c>
      <c r="DE203" s="837"/>
      <c r="DF203" s="837">
        <f>IF(OR('4 SUPERFICIES'!$A12="RETORNO IZQ",'4 SUPERFICIES'!$A12="RETORNO DER",),'4 SUPERFICIES'!$AB112,0)</f>
        <v>0</v>
      </c>
      <c r="DG203" s="837"/>
      <c r="DH203" s="837">
        <f>IF(OR('4 SUPERFICIES'!$A12="PITO Q",'4 SUPERFICIES'!$A12="PITO P",'4 SUPERFICIES'!$A12="DIAMETRO INTEGRADA",),'4 SUPERFICIES'!$AB12,0)</f>
        <v>0</v>
      </c>
      <c r="DJ203" s="858"/>
      <c r="DK203" s="837"/>
      <c r="DL203" s="837">
        <f>IF('4 SUPERFICIES'!$A12="SUPERFICIE OVAL",'4 SUPERFICIES'!$AB12,0)</f>
        <v>0</v>
      </c>
      <c r="DN203" s="838"/>
      <c r="DO203" s="838"/>
      <c r="DP203" s="838"/>
      <c r="DQ203" s="838"/>
      <c r="DR203" s="838"/>
      <c r="DS203" s="838"/>
      <c r="DT203" s="838"/>
      <c r="EG203" s="682">
        <f>IF('4 SUPERFICIES'!A12="MICRO DER",85,IF('4 SUPERFICIES'!A12="MICRO IZQ",85,IF('4 SUPERFICIES'!A12="MICRO SEN",170,IF('4 SUPERFICIES'!A12="DIAMETRO",3.14*'4 SUPERFICIES'!C12/2,IF('4 SUPERFICIES'!A12="MOSTRADOR",136,IF('4 SUPERFICIES'!A12="PORTA",65,IF('4 SUPERFICIES'!A12="PITO Q",90,IF('4 SUPERFICIES'!A12="PITO P",90,'4 SUPERFICIES'!A12))))))))</f>
        <v>0</v>
      </c>
      <c r="EH203" s="682"/>
      <c r="EI203" s="682">
        <f>IF('4 SUPERFICIES'!A12="DIAMETRO",0,IF('4 SUPERFICIES'!C12="PRINCIPAL",160,IF('4 SUPERFICIES'!C12="BADE",190,IF('4 SUPERFICIES'!C12="RETORNO",100,IF('4 SUPERFICIES'!C12="R 60",100,IF('4 SUPERFICIES'!C12="R60",100,'4 SUPERFICIES'!C12))))))</f>
        <v>0</v>
      </c>
      <c r="EJ203" s="682"/>
      <c r="EK203" s="682">
        <f>IF('4 SUPERFICIES'!$F12='4 SUPERFICIES'!$AG$15,((EG203*2)+(EI203*2))*'4 SUPERFICIES'!AB12,0)</f>
        <v>0</v>
      </c>
      <c r="EL203" s="682"/>
      <c r="EM203" s="682">
        <f>IF('4 SUPERFICIES'!$F12='4 SUPERFICIES'!$AG$16,((EG203*2)+(EI203*2))*'4 SUPERFICIES'!AB12,0)</f>
        <v>0</v>
      </c>
      <c r="EO203" s="682">
        <f>IF('4 SUPERFICIES'!$F12='4 SUPERFICIES'!$AG$17,((EG203*2)+(EI203*2))*'4 SUPERFICIES'!AB12,0)</f>
        <v>0</v>
      </c>
      <c r="EQ203" s="682">
        <f>IF('4 SUPERFICIES'!$F12='4 SUPERFICIES'!$AG$18,((EG203*2)+(EI203*2))*'4 SUPERFICIES'!AB12,0)</f>
        <v>0</v>
      </c>
      <c r="HF203" s="700">
        <v>10.5</v>
      </c>
      <c r="HH203" s="591">
        <v>10.5</v>
      </c>
    </row>
    <row r="204" spans="3:216" ht="26.25" x14ac:dyDescent="0.4">
      <c r="R204" s="682">
        <f>+'3 ALUMINIOS'!L36*'3 ALUMINIOS'!M36</f>
        <v>0</v>
      </c>
      <c r="S204" s="682">
        <f>+'3 ALUMINIOS'!O36*'3 ALUMINIOS'!P36</f>
        <v>0</v>
      </c>
      <c r="T204" s="769"/>
      <c r="U204" s="769"/>
      <c r="V204" s="682">
        <f>+'3 ALUMINIOS'!R36*'3 ALUMINIOS'!S36</f>
        <v>0</v>
      </c>
      <c r="W204" s="682"/>
      <c r="X204" s="682"/>
      <c r="Y204" s="682">
        <f>+'3 ALUMINIOS'!U36*'3 ALUMINIOS'!V36</f>
        <v>0</v>
      </c>
      <c r="AK204" s="777" t="b">
        <f>IF('4 SUPERFICIES'!$A13&gt;10,IF('4 SUPERFICIES'!$A13&lt;31.1,IF('4 SUPERFICIES'!$C13&gt;10,IF('4 SUPERFICIES'!$C13&lt;57.6,'4 SUPERFICIES'!$AB13,0))))</f>
        <v>0</v>
      </c>
      <c r="AL204" s="777" t="b">
        <f>IF('4 SUPERFICIES'!$A13&gt;10,IF('4 SUPERFICIES'!$A13&lt;31.1,IF('4 SUPERFICIES'!$C13&gt;57.6,IF('4 SUPERFICIES'!$C13&lt;71.6,'4 SUPERFICIES'!$AB13,0))))</f>
        <v>0</v>
      </c>
      <c r="AM204" s="777" t="b">
        <f>IF('4 SUPERFICIES'!$A13&gt;10,IF('4 SUPERFICIES'!$A13&lt;31.1,IF('4 SUPERFICIES'!$C13&gt;71.5,IF('4 SUPERFICIES'!$C13&lt;85.6,'4 SUPERFICIES'!$AB13,0))))</f>
        <v>0</v>
      </c>
      <c r="AN204" s="777" t="b">
        <f>IF('4 SUPERFICIES'!$A13&gt;10,IF('4 SUPERFICIES'!$A13&lt;31.1,IF('4 SUPERFICIES'!$C13&gt;85.5,IF('4 SUPERFICIES'!$C13&lt;113.6,'4 SUPERFICIES'!$AB13,0))))</f>
        <v>0</v>
      </c>
      <c r="AO204" s="777" t="b">
        <f>IF('4 SUPERFICIES'!$A13&gt;10,IF('4 SUPERFICIES'!$A13&lt;31.1,IF('4 SUPERFICIES'!$C13&gt;113.5,IF('4 SUPERFICIES'!$C13&lt;141.6,'4 SUPERFICIES'!$AB13,0))))</f>
        <v>0</v>
      </c>
      <c r="AP204" s="777" t="b">
        <f>IF('4 SUPERFICIES'!$A13&gt;10,IF('4 SUPERFICIES'!$A13&lt;31.1,IF('4 SUPERFICIES'!$C13&gt;141.5,IF('4 SUPERFICIES'!$C13&lt;180.6,'4 SUPERFICIES'!$AB13,0))))</f>
        <v>0</v>
      </c>
      <c r="AQ204" s="777" t="b">
        <f>IF('4 SUPERFICIES'!$A13&gt;10,IF('4 SUPERFICIES'!$A13&lt;31.1,IF('4 SUPERFICIES'!$C13&gt;180.5,IF('4 SUPERFICIES'!$C13&lt;240.1,'4 SUPERFICIES'!$AB13,0))))</f>
        <v>0</v>
      </c>
      <c r="AS204" s="777" t="b">
        <f>IF('4 SUPERFICIES'!$A13&gt;31,IF('4 SUPERFICIES'!$A13&lt;45.5,IF('4 SUPERFICIES'!$C13&gt;10,IF('4 SUPERFICIES'!$C13&lt;57.6,'4 SUPERFICIES'!$AB13,0))))</f>
        <v>0</v>
      </c>
      <c r="AT204" s="777" t="b">
        <f>IF('4 SUPERFICIES'!$A13&gt;31,IF('4 SUPERFICIES'!$A13&lt;45.5,IF('4 SUPERFICIES'!$C13&gt;57.6,IF('4 SUPERFICIES'!$C13&lt;71.6,'4 SUPERFICIES'!$AB13,0))))</f>
        <v>0</v>
      </c>
      <c r="AU204" s="777" t="b">
        <f>IF('4 SUPERFICIES'!$A13&gt;31,IF('4 SUPERFICIES'!$A13&lt;45.5,IF('4 SUPERFICIES'!$C13&gt;71.5,IF('4 SUPERFICIES'!$C13&lt;85.6,'4 SUPERFICIES'!$AB13,0))))</f>
        <v>0</v>
      </c>
      <c r="AV204" s="777" t="b">
        <f>IF('4 SUPERFICIES'!$A13&gt;31,IF('4 SUPERFICIES'!$A13&lt;45.5,IF('4 SUPERFICIES'!$C13&gt;85.5,IF('4 SUPERFICIES'!$C13&lt;113.6,'4 SUPERFICIES'!$AB13,0))))</f>
        <v>0</v>
      </c>
      <c r="AW204" s="777" t="b">
        <f>IF('4 SUPERFICIES'!$A13&gt;31,IF('4 SUPERFICIES'!$A13&lt;45.5,IF('4 SUPERFICIES'!$C13&gt;113.5,IF('4 SUPERFICIES'!$C13&lt;141.6,'4 SUPERFICIES'!$AB13,0))))</f>
        <v>0</v>
      </c>
      <c r="AX204" s="777" t="b">
        <f>IF('4 SUPERFICIES'!$A13&gt;31,IF('4 SUPERFICIES'!$A13&lt;45.5,IF('4 SUPERFICIES'!$C13&gt;141.5,IF('4 SUPERFICIES'!$C13&lt;180.6,'4 SUPERFICIES'!$AB13,0))))</f>
        <v>0</v>
      </c>
      <c r="AY204" s="777" t="b">
        <f>IF('4 SUPERFICIES'!$A13&gt;31,IF('4 SUPERFICIES'!$A13&lt;45.5,IF('4 SUPERFICIES'!$C13&gt;180.5,IF('4 SUPERFICIES'!$C13&lt;240.1,'4 SUPERFICIES'!$AB13,0))))</f>
        <v>0</v>
      </c>
      <c r="BA204" s="777" t="b">
        <f>IF('4 SUPERFICIES'!$A13&gt;45.4,IF('4 SUPERFICIES'!$A13&lt;61.6,IF('4 SUPERFICIES'!$C13&gt;10,IF('4 SUPERFICIES'!$C13&lt;61.5,'4 SUPERFICIES'!$AB13,0))))</f>
        <v>0</v>
      </c>
      <c r="BB204" s="777" t="b">
        <f>IF('4 SUPERFICIES'!$A13&gt;45.4,IF('4 SUPERFICIES'!$A13&lt;61.6,IF('4 SUPERFICIES'!$C13&gt;61.1,IF('4 SUPERFICIES'!$C13&lt;71.6,'4 SUPERFICIES'!$AB13,0))))</f>
        <v>0</v>
      </c>
      <c r="BC204" s="777" t="b">
        <f>IF('4 SUPERFICIES'!$A13&gt;45.4,IF('4 SUPERFICIES'!$A13&lt;61.6,IF('4 SUPERFICIES'!$C13&gt;71.5,IF('4 SUPERFICIES'!$C13&lt;85.6,'4 SUPERFICIES'!$AB13,0))))</f>
        <v>0</v>
      </c>
      <c r="BD204" s="777" t="b">
        <f>IF('4 SUPERFICIES'!$A13&gt;45.4,IF('4 SUPERFICIES'!$A13&lt;61.6,IF('4 SUPERFICIES'!$C13&gt;85.5,IF('4 SUPERFICIES'!$C13&lt;113.6,'4 SUPERFICIES'!$AB13,0))))</f>
        <v>0</v>
      </c>
      <c r="BE204" s="777" t="b">
        <f>IF('4 SUPERFICIES'!$A13&gt;45.4,IF('4 SUPERFICIES'!$A13&lt;61.6,IF('4 SUPERFICIES'!$C13&gt;113.5,IF('4 SUPERFICIES'!$C13&lt;121.6,'4 SUPERFICIES'!$AB13,0))))</f>
        <v>0</v>
      </c>
      <c r="BF204" s="777" t="b">
        <f>IF('4 SUPERFICIES'!$A13&gt;45.4,IF('4 SUPERFICIES'!$A13&lt;61.6,IF('4 SUPERFICIES'!$C13&gt;121.5,IF('4 SUPERFICIES'!$C13&lt;127.6,'4 SUPERFICIES'!$AB13,0))))</f>
        <v>0</v>
      </c>
      <c r="BG204" s="777" t="b">
        <f>IF('4 SUPERFICIES'!$A13&gt;45.4,IF('4 SUPERFICIES'!$A13&lt;61.6,IF('4 SUPERFICIES'!$C13&gt;127.5,IF('4 SUPERFICIES'!$C13&lt;135.1,'4 SUPERFICIES'!$AB13,0))))</f>
        <v>0</v>
      </c>
      <c r="BH204" s="777" t="b">
        <f>IF('4 SUPERFICIES'!$A13&gt;45.4,IF('4 SUPERFICIES'!$A13&lt;61.6,IF('4 SUPERFICIES'!$C13&gt;135,IF('4 SUPERFICIES'!$C13&lt;141.6,'4 SUPERFICIES'!$AB13,0))))</f>
        <v>0</v>
      </c>
      <c r="BI204" s="777" t="b">
        <f>IF('4 SUPERFICIES'!$A13&gt;45.4,IF('4 SUPERFICIES'!$A13&lt;61.6,IF('4 SUPERFICIES'!$C13&gt;141.5,IF('4 SUPERFICIES'!$C13&lt;149.1,'4 SUPERFICIES'!$AB13,0))))</f>
        <v>0</v>
      </c>
      <c r="BJ204" s="777" t="b">
        <f>IF('4 SUPERFICIES'!$A13&gt;45.4,IF('4 SUPERFICIES'!$A13&lt;61.6,IF('4 SUPERFICIES'!$C13&gt;149,IF('4 SUPERFICIES'!$C13&lt;155.6,'4 SUPERFICIES'!$AB13,0))))</f>
        <v>0</v>
      </c>
      <c r="BK204" s="777" t="b">
        <f>IF('4 SUPERFICIES'!$A13&gt;45.4,IF('4 SUPERFICIES'!$A13&lt;61.6,IF('4 SUPERFICIES'!$C13&gt;155.5,IF('4 SUPERFICIES'!$C13&lt;163.1,'4 SUPERFICIES'!$AB13,0))))</f>
        <v>0</v>
      </c>
      <c r="BL204" s="777" t="b">
        <f>IF('4 SUPERFICIES'!$A13&gt;45.4,IF('4 SUPERFICIES'!$A13&lt;61.6,IF('4 SUPERFICIES'!$C13&gt;163,IF('4 SUPERFICIES'!$C13&lt;180.6,'4 SUPERFICIES'!$AB13,0))))</f>
        <v>0</v>
      </c>
      <c r="BM204" s="777" t="b">
        <f>IF('4 SUPERFICIES'!$A13&gt;45.4,IF('4 SUPERFICIES'!$A13&lt;61.6,IF('4 SUPERFICIES'!$C13&gt;180.5,IF('4 SUPERFICIES'!$C13&lt;240.1,'4 SUPERFICIES'!$AB13,0))))</f>
        <v>0</v>
      </c>
      <c r="BO204" s="869" t="s">
        <v>512</v>
      </c>
      <c r="BQ204" s="870">
        <f>+$AM$250</f>
        <v>0</v>
      </c>
      <c r="BS204" s="869"/>
      <c r="BT204" s="870">
        <f>+$AM$251</f>
        <v>0</v>
      </c>
      <c r="BV204" s="777" t="b">
        <f>IF('4 SUPERFICIES'!$A13&gt;61.5,IF('4 SUPERFICIES'!$A13&lt;71.6,IF('4 SUPERFICIES'!$C13&gt;10,IF('4 SUPERFICIES'!$C13&lt;57.6,'4 SUPERFICIES'!$AB13,0))))</f>
        <v>0</v>
      </c>
      <c r="BW204" s="777" t="b">
        <f>IF('4 SUPERFICIES'!$A13&gt;61.5,IF('4 SUPERFICIES'!$A13&lt;71.6,IF('4 SUPERFICIES'!$C13&gt;57.6,IF('4 SUPERFICIES'!$C13&lt;71.6,'4 SUPERFICIES'!$AB13,0))))</f>
        <v>0</v>
      </c>
      <c r="BX204" s="777" t="b">
        <f>IF('4 SUPERFICIES'!$A13&gt;61.5,IF('4 SUPERFICIES'!$A13&lt;71.6,IF('4 SUPERFICIES'!$C13&gt;71.5,IF('4 SUPERFICIES'!$C13&lt;85.6,'4 SUPERFICIES'!$AB13,0))))</f>
        <v>0</v>
      </c>
      <c r="BY204" s="777" t="b">
        <f>IF('4 SUPERFICIES'!$A13&gt;61.5,IF('4 SUPERFICIES'!$A13&lt;71.6,IF('4 SUPERFICIES'!$C13&gt;85.5,IF('4 SUPERFICIES'!$C13&lt;113.6,'4 SUPERFICIES'!$AB13,0))))</f>
        <v>0</v>
      </c>
      <c r="BZ204" s="777" t="b">
        <f>IF('4 SUPERFICIES'!$A13&gt;61.5,IF('4 SUPERFICIES'!$A13&lt;71.6,IF('4 SUPERFICIES'!$C13&gt;113.5,IF('4 SUPERFICIES'!$C13&lt;141.6,'4 SUPERFICIES'!$AB13,0))))</f>
        <v>0</v>
      </c>
      <c r="CA204" s="777" t="b">
        <f>IF('4 SUPERFICIES'!$A13&gt;61.5,IF('4 SUPERFICIES'!$A13&lt;71.6,IF('4 SUPERFICIES'!$C13&gt;141.5,IF('4 SUPERFICIES'!$C13&lt;149.1,'4 SUPERFICIES'!$AB13,0))))</f>
        <v>0</v>
      </c>
      <c r="CB204" s="777" t="b">
        <f>IF('4 SUPERFICIES'!$A13&gt;61.5,IF('4 SUPERFICIES'!$A13&lt;71.6,IF('4 SUPERFICIES'!$C13&gt;149,IF('4 SUPERFICIES'!$C13&lt;163.1,'4 SUPERFICIES'!$AB13,0))))</f>
        <v>0</v>
      </c>
      <c r="CC204" s="777" t="b">
        <f>IF('4 SUPERFICIES'!$A13&gt;61.5,IF('4 SUPERFICIES'!$A13&lt;71.6,IF('4 SUPERFICIES'!$C13&gt;163,IF('4 SUPERFICIES'!$C13&lt;180.6,'4 SUPERFICIES'!$AB13,0))))</f>
        <v>0</v>
      </c>
      <c r="CD204" s="777" t="b">
        <f>IF('4 SUPERFICIES'!$A13&gt;61.5,IF('4 SUPERFICIES'!$A13&lt;71.6,IF('4 SUPERFICIES'!$C13&gt;180.5,IF('4 SUPERFICIES'!$C13&lt;240.1,'4 SUPERFICIES'!$AB13,0))))</f>
        <v>0</v>
      </c>
      <c r="CF204" s="777" t="b">
        <f>IF('4 SUPERFICIES'!$A13&gt;71.5,IF('4 SUPERFICIES'!$A13&lt;120.6,IF('4 SUPERFICIES'!$C13&gt;10,IF('4 SUPERFICIES'!$C13&lt;57.6,'4 SUPERFICIES'!$AB13,0))))</f>
        <v>0</v>
      </c>
      <c r="CG204" s="777" t="b">
        <f>IF('4 SUPERFICIES'!$A13&gt;71.5,IF('4 SUPERFICIES'!$A13&lt;120.6,IF('4 SUPERFICIES'!$C13&gt;57.6,IF('4 SUPERFICIES'!$C13&lt;71.6,'4 SUPERFICIES'!$AB13,0))))</f>
        <v>0</v>
      </c>
      <c r="CH204" s="777" t="b">
        <f>IF('4 SUPERFICIES'!$A13&gt;71.5,IF('4 SUPERFICIES'!$A13&lt;120.6,IF('4 SUPERFICIES'!$C13&gt;71.5,IF('4 SUPERFICIES'!$C13&lt;85.6,'4 SUPERFICIES'!$AB13,0))))</f>
        <v>0</v>
      </c>
      <c r="CI204" s="777" t="b">
        <f>IF('4 SUPERFICIES'!$A13&gt;71.5,IF('4 SUPERFICIES'!$A13&lt;120.6,IF('4 SUPERFICIES'!$C13&gt;85.5,IF('4 SUPERFICIES'!$C13&lt;113.6,'4 SUPERFICIES'!$AB13,0))))</f>
        <v>0</v>
      </c>
      <c r="CJ204" s="777" t="b">
        <f>IF('4 SUPERFICIES'!$A13&gt;71.5,IF('4 SUPERFICIES'!$A13&lt;120.6,IF('4 SUPERFICIES'!$C13&gt;113.5,IF('4 SUPERFICIES'!$C13&lt;141.6,'4 SUPERFICIES'!$AB13,0))))</f>
        <v>0</v>
      </c>
      <c r="CK204" s="777" t="b">
        <f>IF('4 SUPERFICIES'!$A13&gt;71.5,IF('4 SUPERFICIES'!$A13&lt;120.6,IF('4 SUPERFICIES'!$C13&gt;141.5,IF('4 SUPERFICIES'!$C13&lt;180.6,'4 SUPERFICIES'!$AB13,0))))</f>
        <v>0</v>
      </c>
      <c r="CL204" s="777" t="b">
        <f>IF('4 SUPERFICIES'!$A13&gt;71.5,IF('4 SUPERFICIES'!$A13&lt;120.6,IF('4 SUPERFICIES'!$C13&gt;180.5,IF('4 SUPERFICIES'!$C13&lt;240.1,'4 SUPERFICIES'!$AB13,0))))</f>
        <v>0</v>
      </c>
      <c r="CN204" s="777">
        <f>IF('4 SUPERFICIES'!$C13&lt;150,IF(OR('4 SUPERFICIES'!$A13="MICRODER",'4 SUPERFICIES'!$A13="MICRO DER",),'4 SUPERFICIES'!$AB13,0))</f>
        <v>0</v>
      </c>
      <c r="CO204" s="777" t="b">
        <f>IF('4 SUPERFICIES'!$C13&gt;149.5,IF(OR('4 SUPERFICIES'!$A13="MICRODER",'4 SUPERFICIES'!$A13="MICRO DER",),'4 SUPERFICIES'!$AB13,0))</f>
        <v>0</v>
      </c>
      <c r="CP204" s="847"/>
      <c r="CQ204" s="777">
        <f>IF('4 SUPERFICIES'!$C13&lt;150,IF(OR('4 SUPERFICIES'!$A13="MICROIZQ",'4 SUPERFICIES'!$A13="MICRO IZQ",),'4 SUPERFICIES'!$AB13,0))</f>
        <v>0</v>
      </c>
      <c r="CR204" s="777" t="b">
        <f>IF('4 SUPERFICIES'!$C13&gt;149.5,IF(OR('4 SUPERFICIES'!$A13="MICROIZQ",'4 SUPERFICIES'!$A13="MICRO IZQ",),'4 SUPERFICIES'!$AB13,0))</f>
        <v>0</v>
      </c>
      <c r="CT204" s="837">
        <f>IF(OR('4 SUPERFICIES'!$A13="MICRO SEN",'4 SUPERFICIES'!$A13="MICROSEN",),'4 SUPERFICIES'!$AB13,0)</f>
        <v>0</v>
      </c>
      <c r="CV204" s="837" t="b">
        <f>IF('4 SUPERFICIES'!$A13="DIAMETRO",IF('4 SUPERFICIES'!$C13&lt;121.1,'4 SUPERFICIES'!$AB13,0))</f>
        <v>0</v>
      </c>
      <c r="CX204" s="858"/>
      <c r="CZ204" s="837" t="b">
        <f>IF('4 SUPERFICIES'!$A13="MOSTRADOR",IF('4 SUPERFICIES'!$C13="R60",'4 SUPERFICIES'!$AB13,0))</f>
        <v>0</v>
      </c>
      <c r="DB204" s="837">
        <f>IF(OR('4 SUPERFICIES'!$A13="PORTA PRIN",'4 SUPERFICIES'!$A13="PORTAPRIN",),'4 SUPERFICIES'!$AB13,0)</f>
        <v>0</v>
      </c>
      <c r="DD204" s="837">
        <f>IF(OR('4 SUPERFICIES'!$A13="PORTA BADE",'4 SUPERFICIES'!$A13="PORTABADE",),'4 SUPERFICIES'!$AB13,0)</f>
        <v>0</v>
      </c>
      <c r="DE204" s="837"/>
      <c r="DF204" s="837">
        <f>IF(OR('4 SUPERFICIES'!$A13="RETORNO IZQ",'4 SUPERFICIES'!$A13="RETORNO DER",),'4 SUPERFICIES'!$AB113,0)</f>
        <v>0</v>
      </c>
      <c r="DG204" s="837"/>
      <c r="DH204" s="837">
        <f>IF(OR('4 SUPERFICIES'!$A13="PITO Q",'4 SUPERFICIES'!$A13="PITO P",'4 SUPERFICIES'!$A13="DIAMETRO INTEGRADA",),'4 SUPERFICIES'!$AB13,0)</f>
        <v>0</v>
      </c>
      <c r="DJ204" s="858"/>
      <c r="DK204" s="837"/>
      <c r="DL204" s="837">
        <f>IF('4 SUPERFICIES'!$A13="SUPERFICIE OVAL",'4 SUPERFICIES'!$AB13,0)</f>
        <v>0</v>
      </c>
      <c r="DN204" s="838"/>
      <c r="DO204" s="838"/>
      <c r="DP204" s="838"/>
      <c r="DQ204" s="838"/>
      <c r="DR204" s="838"/>
      <c r="DS204" s="838"/>
      <c r="DT204" s="838"/>
      <c r="EG204" s="682">
        <f>IF('4 SUPERFICIES'!A13="MICRO DER",85,IF('4 SUPERFICIES'!A13="MICRO IZQ",85,IF('4 SUPERFICIES'!A13="MICRO SEN",170,IF('4 SUPERFICIES'!A13="DIAMETRO",3.14*'4 SUPERFICIES'!C13/2,IF('4 SUPERFICIES'!A13="MOSTRADOR",136,IF('4 SUPERFICIES'!A13="PORTA",65,IF('4 SUPERFICIES'!A13="PITO Q",90,IF('4 SUPERFICIES'!A13="PITO P",90,'4 SUPERFICIES'!A13))))))))</f>
        <v>0</v>
      </c>
      <c r="EH204" s="682"/>
      <c r="EI204" s="682">
        <f>IF('4 SUPERFICIES'!A13="DIAMETRO",0,IF('4 SUPERFICIES'!C13="PRINCIPAL",160,IF('4 SUPERFICIES'!C13="BADE",190,IF('4 SUPERFICIES'!C13="RETORNO",100,IF('4 SUPERFICIES'!C13="R 60",100,IF('4 SUPERFICIES'!C13="R60",100,'4 SUPERFICIES'!C13))))))</f>
        <v>0</v>
      </c>
      <c r="EJ204" s="682"/>
      <c r="EK204" s="682">
        <f>IF('4 SUPERFICIES'!$F13='4 SUPERFICIES'!$AG$15,((EG204*2)+(EI204*2))*'4 SUPERFICIES'!AB13,0)</f>
        <v>0</v>
      </c>
      <c r="EL204" s="682"/>
      <c r="EM204" s="682">
        <f>IF('4 SUPERFICIES'!$F13='4 SUPERFICIES'!$AG$16,((EG204*2)+(EI204*2))*'4 SUPERFICIES'!AB13,0)</f>
        <v>0</v>
      </c>
      <c r="EO204" s="682">
        <f>IF('4 SUPERFICIES'!$F13='4 SUPERFICIES'!$AG$17,((EG204*2)+(EI204*2))*'4 SUPERFICIES'!AB13,0)</f>
        <v>0</v>
      </c>
      <c r="EQ204" s="682">
        <f>IF('4 SUPERFICIES'!$F13='4 SUPERFICIES'!$AG$18,((EG204*2)+(EI204*2))*'4 SUPERFICIES'!AB13,0)</f>
        <v>0</v>
      </c>
      <c r="FP204" s="837"/>
      <c r="HF204" s="700">
        <v>11</v>
      </c>
      <c r="HH204" s="591">
        <v>11</v>
      </c>
    </row>
    <row r="205" spans="3:216" ht="26.25" x14ac:dyDescent="0.4">
      <c r="R205" s="682">
        <f>+'3 ALUMINIOS'!L37*'3 ALUMINIOS'!M37</f>
        <v>0</v>
      </c>
      <c r="S205" s="682">
        <f>+'3 ALUMINIOS'!O37*'3 ALUMINIOS'!P37</f>
        <v>0</v>
      </c>
      <c r="T205" s="769"/>
      <c r="U205" s="769"/>
      <c r="V205" s="682">
        <f>+'3 ALUMINIOS'!R37*'3 ALUMINIOS'!S37</f>
        <v>0</v>
      </c>
      <c r="W205" s="682"/>
      <c r="X205" s="682"/>
      <c r="Y205" s="682">
        <f>+'3 ALUMINIOS'!U37*'3 ALUMINIOS'!V37</f>
        <v>0</v>
      </c>
      <c r="AK205" s="777" t="b">
        <f>IF('4 SUPERFICIES'!$A14&gt;10,IF('4 SUPERFICIES'!$A14&lt;31.1,IF('4 SUPERFICIES'!$C14&gt;10,IF('4 SUPERFICIES'!$C14&lt;57.6,'4 SUPERFICIES'!$AB14,0))))</f>
        <v>0</v>
      </c>
      <c r="AL205" s="777" t="b">
        <f>IF('4 SUPERFICIES'!$A14&gt;10,IF('4 SUPERFICIES'!$A14&lt;31.1,IF('4 SUPERFICIES'!$C14&gt;57.6,IF('4 SUPERFICIES'!$C14&lt;71.6,'4 SUPERFICIES'!$AB14,0))))</f>
        <v>0</v>
      </c>
      <c r="AM205" s="777" t="b">
        <f>IF('4 SUPERFICIES'!$A14&gt;10,IF('4 SUPERFICIES'!$A14&lt;31.1,IF('4 SUPERFICIES'!$C14&gt;71.5,IF('4 SUPERFICIES'!$C14&lt;85.6,'4 SUPERFICIES'!$AB14,0))))</f>
        <v>0</v>
      </c>
      <c r="AN205" s="777" t="b">
        <f>IF('4 SUPERFICIES'!$A14&gt;10,IF('4 SUPERFICIES'!$A14&lt;31.1,IF('4 SUPERFICIES'!$C14&gt;85.5,IF('4 SUPERFICIES'!$C14&lt;113.6,'4 SUPERFICIES'!$AB14,0))))</f>
        <v>0</v>
      </c>
      <c r="AO205" s="777" t="b">
        <f>IF('4 SUPERFICIES'!$A14&gt;10,IF('4 SUPERFICIES'!$A14&lt;31.1,IF('4 SUPERFICIES'!$C14&gt;113.5,IF('4 SUPERFICIES'!$C14&lt;141.6,'4 SUPERFICIES'!$AB14,0))))</f>
        <v>0</v>
      </c>
      <c r="AP205" s="777" t="b">
        <f>IF('4 SUPERFICIES'!$A14&gt;10,IF('4 SUPERFICIES'!$A14&lt;31.1,IF('4 SUPERFICIES'!$C14&gt;141.5,IF('4 SUPERFICIES'!$C14&lt;180.6,'4 SUPERFICIES'!$AB14,0))))</f>
        <v>0</v>
      </c>
      <c r="AQ205" s="777" t="b">
        <f>IF('4 SUPERFICIES'!$A14&gt;10,IF('4 SUPERFICIES'!$A14&lt;31.1,IF('4 SUPERFICIES'!$C14&gt;180.5,IF('4 SUPERFICIES'!$C14&lt;240.1,'4 SUPERFICIES'!$AB14,0))))</f>
        <v>0</v>
      </c>
      <c r="AS205" s="777" t="b">
        <f>IF('4 SUPERFICIES'!$A14&gt;31,IF('4 SUPERFICIES'!$A14&lt;45.5,IF('4 SUPERFICIES'!$C14&gt;10,IF('4 SUPERFICIES'!$C14&lt;57.6,'4 SUPERFICIES'!$AB14,0))))</f>
        <v>0</v>
      </c>
      <c r="AT205" s="777" t="b">
        <f>IF('4 SUPERFICIES'!$A14&gt;31,IF('4 SUPERFICIES'!$A14&lt;45.5,IF('4 SUPERFICIES'!$C14&gt;57.6,IF('4 SUPERFICIES'!$C14&lt;71.6,'4 SUPERFICIES'!$AB14,0))))</f>
        <v>0</v>
      </c>
      <c r="AU205" s="777" t="b">
        <f>IF('4 SUPERFICIES'!$A14&gt;31,IF('4 SUPERFICIES'!$A14&lt;45.5,IF('4 SUPERFICIES'!$C14&gt;71.5,IF('4 SUPERFICIES'!$C14&lt;85.6,'4 SUPERFICIES'!$AB14,0))))</f>
        <v>0</v>
      </c>
      <c r="AV205" s="777" t="b">
        <f>IF('4 SUPERFICIES'!$A14&gt;31,IF('4 SUPERFICIES'!$A14&lt;45.5,IF('4 SUPERFICIES'!$C14&gt;85.5,IF('4 SUPERFICIES'!$C14&lt;113.6,'4 SUPERFICIES'!$AB14,0))))</f>
        <v>0</v>
      </c>
      <c r="AW205" s="777" t="b">
        <f>IF('4 SUPERFICIES'!$A14&gt;31,IF('4 SUPERFICIES'!$A14&lt;45.5,IF('4 SUPERFICIES'!$C14&gt;113.5,IF('4 SUPERFICIES'!$C14&lt;141.6,'4 SUPERFICIES'!$AB14,0))))</f>
        <v>0</v>
      </c>
      <c r="AX205" s="777" t="b">
        <f>IF('4 SUPERFICIES'!$A14&gt;31,IF('4 SUPERFICIES'!$A14&lt;45.5,IF('4 SUPERFICIES'!$C14&gt;141.5,IF('4 SUPERFICIES'!$C14&lt;180.6,'4 SUPERFICIES'!$AB14,0))))</f>
        <v>0</v>
      </c>
      <c r="AY205" s="777" t="b">
        <f>IF('4 SUPERFICIES'!$A14&gt;31,IF('4 SUPERFICIES'!$A14&lt;45.5,IF('4 SUPERFICIES'!$C14&gt;180.5,IF('4 SUPERFICIES'!$C14&lt;240.1,'4 SUPERFICIES'!$AB14,0))))</f>
        <v>0</v>
      </c>
      <c r="BA205" s="777" t="b">
        <f>IF('4 SUPERFICIES'!$A14&gt;45.4,IF('4 SUPERFICIES'!$A14&lt;61.6,IF('4 SUPERFICIES'!$C14&gt;10,IF('4 SUPERFICIES'!$C14&lt;61.5,'4 SUPERFICIES'!$AB14,0))))</f>
        <v>0</v>
      </c>
      <c r="BB205" s="777" t="b">
        <f>IF('4 SUPERFICIES'!$A14&gt;45.4,IF('4 SUPERFICIES'!$A14&lt;61.6,IF('4 SUPERFICIES'!$C14&gt;61.1,IF('4 SUPERFICIES'!$C14&lt;71.6,'4 SUPERFICIES'!$AB14,0))))</f>
        <v>0</v>
      </c>
      <c r="BC205" s="777" t="b">
        <f>IF('4 SUPERFICIES'!$A14&gt;45.4,IF('4 SUPERFICIES'!$A14&lt;61.6,IF('4 SUPERFICIES'!$C14&gt;71.5,IF('4 SUPERFICIES'!$C14&lt;85.6,'4 SUPERFICIES'!$AB14,0))))</f>
        <v>0</v>
      </c>
      <c r="BD205" s="777" t="b">
        <f>IF('4 SUPERFICIES'!$A14&gt;45.4,IF('4 SUPERFICIES'!$A14&lt;61.6,IF('4 SUPERFICIES'!$C14&gt;85.5,IF('4 SUPERFICIES'!$C14&lt;113.6,'4 SUPERFICIES'!$AB14,0))))</f>
        <v>0</v>
      </c>
      <c r="BE205" s="777" t="b">
        <f>IF('4 SUPERFICIES'!$A14&gt;45.4,IF('4 SUPERFICIES'!$A14&lt;61.6,IF('4 SUPERFICIES'!$C14&gt;113.5,IF('4 SUPERFICIES'!$C14&lt;121.6,'4 SUPERFICIES'!$AB14,0))))</f>
        <v>0</v>
      </c>
      <c r="BF205" s="777" t="b">
        <f>IF('4 SUPERFICIES'!$A14&gt;45.4,IF('4 SUPERFICIES'!$A14&lt;61.6,IF('4 SUPERFICIES'!$C14&gt;121.5,IF('4 SUPERFICIES'!$C14&lt;127.6,'4 SUPERFICIES'!$AB14,0))))</f>
        <v>0</v>
      </c>
      <c r="BG205" s="777" t="b">
        <f>IF('4 SUPERFICIES'!$A14&gt;45.4,IF('4 SUPERFICIES'!$A14&lt;61.6,IF('4 SUPERFICIES'!$C14&gt;127.5,IF('4 SUPERFICIES'!$C14&lt;135.1,'4 SUPERFICIES'!$AB14,0))))</f>
        <v>0</v>
      </c>
      <c r="BH205" s="777" t="b">
        <f>IF('4 SUPERFICIES'!$A14&gt;45.4,IF('4 SUPERFICIES'!$A14&lt;61.6,IF('4 SUPERFICIES'!$C14&gt;135,IF('4 SUPERFICIES'!$C14&lt;141.6,'4 SUPERFICIES'!$AB14,0))))</f>
        <v>0</v>
      </c>
      <c r="BI205" s="777" t="b">
        <f>IF('4 SUPERFICIES'!$A14&gt;45.4,IF('4 SUPERFICIES'!$A14&lt;61.6,IF('4 SUPERFICIES'!$C14&gt;141.5,IF('4 SUPERFICIES'!$C14&lt;149.1,'4 SUPERFICIES'!$AB14,0))))</f>
        <v>0</v>
      </c>
      <c r="BJ205" s="777" t="b">
        <f>IF('4 SUPERFICIES'!$A14&gt;45.4,IF('4 SUPERFICIES'!$A14&lt;61.6,IF('4 SUPERFICIES'!$C14&gt;149,IF('4 SUPERFICIES'!$C14&lt;155.6,'4 SUPERFICIES'!$AB14,0))))</f>
        <v>0</v>
      </c>
      <c r="BK205" s="777" t="b">
        <f>IF('4 SUPERFICIES'!$A14&gt;45.4,IF('4 SUPERFICIES'!$A14&lt;61.6,IF('4 SUPERFICIES'!$C14&gt;155.5,IF('4 SUPERFICIES'!$C14&lt;163.1,'4 SUPERFICIES'!$AB14,0))))</f>
        <v>0</v>
      </c>
      <c r="BL205" s="777" t="b">
        <f>IF('4 SUPERFICIES'!$A14&gt;45.4,IF('4 SUPERFICIES'!$A14&lt;61.6,IF('4 SUPERFICIES'!$C14&gt;163,IF('4 SUPERFICIES'!$C14&lt;180.6,'4 SUPERFICIES'!$AB14,0))))</f>
        <v>0</v>
      </c>
      <c r="BM205" s="777" t="b">
        <f>IF('4 SUPERFICIES'!$A14&gt;45.4,IF('4 SUPERFICIES'!$A14&lt;61.6,IF('4 SUPERFICIES'!$C14&gt;180.5,IF('4 SUPERFICIES'!$C14&lt;240.1,'4 SUPERFICIES'!$AB14,0))))</f>
        <v>0</v>
      </c>
      <c r="BO205" s="869" t="s">
        <v>515</v>
      </c>
      <c r="BQ205" s="870">
        <f>+$AN$250</f>
        <v>0</v>
      </c>
      <c r="BS205" s="869"/>
      <c r="BT205" s="870">
        <f>+$AN$251</f>
        <v>0</v>
      </c>
      <c r="BV205" s="777" t="b">
        <f>IF('4 SUPERFICIES'!$A14&gt;61.5,IF('4 SUPERFICIES'!$A14&lt;71.6,IF('4 SUPERFICIES'!$C14&gt;10,IF('4 SUPERFICIES'!$C14&lt;57.6,'4 SUPERFICIES'!$AB14,0))))</f>
        <v>0</v>
      </c>
      <c r="BW205" s="777" t="b">
        <f>IF('4 SUPERFICIES'!$A14&gt;61.5,IF('4 SUPERFICIES'!$A14&lt;71.6,IF('4 SUPERFICIES'!$C14&gt;57.6,IF('4 SUPERFICIES'!$C14&lt;71.6,'4 SUPERFICIES'!$AB14,0))))</f>
        <v>0</v>
      </c>
      <c r="BX205" s="777" t="b">
        <f>IF('4 SUPERFICIES'!$A14&gt;61.5,IF('4 SUPERFICIES'!$A14&lt;71.6,IF('4 SUPERFICIES'!$C14&gt;71.5,IF('4 SUPERFICIES'!$C14&lt;85.6,'4 SUPERFICIES'!$AB14,0))))</f>
        <v>0</v>
      </c>
      <c r="BY205" s="777" t="b">
        <f>IF('4 SUPERFICIES'!$A14&gt;61.5,IF('4 SUPERFICIES'!$A14&lt;71.6,IF('4 SUPERFICIES'!$C14&gt;85.5,IF('4 SUPERFICIES'!$C14&lt;113.6,'4 SUPERFICIES'!$AB14,0))))</f>
        <v>0</v>
      </c>
      <c r="BZ205" s="777" t="b">
        <f>IF('4 SUPERFICIES'!$A14&gt;61.5,IF('4 SUPERFICIES'!$A14&lt;71.6,IF('4 SUPERFICIES'!$C14&gt;113.5,IF('4 SUPERFICIES'!$C14&lt;141.6,'4 SUPERFICIES'!$AB14,0))))</f>
        <v>0</v>
      </c>
      <c r="CA205" s="777" t="b">
        <f>IF('4 SUPERFICIES'!$A14&gt;61.5,IF('4 SUPERFICIES'!$A14&lt;71.6,IF('4 SUPERFICIES'!$C14&gt;141.5,IF('4 SUPERFICIES'!$C14&lt;149.1,'4 SUPERFICIES'!$AB14,0))))</f>
        <v>0</v>
      </c>
      <c r="CB205" s="777" t="b">
        <f>IF('4 SUPERFICIES'!$A14&gt;61.5,IF('4 SUPERFICIES'!$A14&lt;71.6,IF('4 SUPERFICIES'!$C14&gt;149,IF('4 SUPERFICIES'!$C14&lt;163.1,'4 SUPERFICIES'!$AB14,0))))</f>
        <v>0</v>
      </c>
      <c r="CC205" s="777" t="b">
        <f>IF('4 SUPERFICIES'!$A14&gt;61.5,IF('4 SUPERFICIES'!$A14&lt;71.6,IF('4 SUPERFICIES'!$C14&gt;163,IF('4 SUPERFICIES'!$C14&lt;180.6,'4 SUPERFICIES'!$AB14,0))))</f>
        <v>0</v>
      </c>
      <c r="CD205" s="777" t="b">
        <f>IF('4 SUPERFICIES'!$A14&gt;61.5,IF('4 SUPERFICIES'!$A14&lt;71.6,IF('4 SUPERFICIES'!$C14&gt;180.5,IF('4 SUPERFICIES'!$C14&lt;240.1,'4 SUPERFICIES'!$AB14,0))))</f>
        <v>0</v>
      </c>
      <c r="CF205" s="777" t="b">
        <f>IF('4 SUPERFICIES'!$A14&gt;71.5,IF('4 SUPERFICIES'!$A14&lt;120.6,IF('4 SUPERFICIES'!$C14&gt;10,IF('4 SUPERFICIES'!$C14&lt;57.6,'4 SUPERFICIES'!$AB14,0))))</f>
        <v>0</v>
      </c>
      <c r="CG205" s="777" t="b">
        <f>IF('4 SUPERFICIES'!$A14&gt;71.5,IF('4 SUPERFICIES'!$A14&lt;120.6,IF('4 SUPERFICIES'!$C14&gt;57.6,IF('4 SUPERFICIES'!$C14&lt;71.6,'4 SUPERFICIES'!$AB14,0))))</f>
        <v>0</v>
      </c>
      <c r="CH205" s="777" t="b">
        <f>IF('4 SUPERFICIES'!$A14&gt;71.5,IF('4 SUPERFICIES'!$A14&lt;120.6,IF('4 SUPERFICIES'!$C14&gt;71.5,IF('4 SUPERFICIES'!$C14&lt;85.6,'4 SUPERFICIES'!$AB14,0))))</f>
        <v>0</v>
      </c>
      <c r="CI205" s="777" t="b">
        <f>IF('4 SUPERFICIES'!$A14&gt;71.5,IF('4 SUPERFICIES'!$A14&lt;120.6,IF('4 SUPERFICIES'!$C14&gt;85.5,IF('4 SUPERFICIES'!$C14&lt;113.6,'4 SUPERFICIES'!$AB14,0))))</f>
        <v>0</v>
      </c>
      <c r="CJ205" s="777" t="b">
        <f>IF('4 SUPERFICIES'!$A14&gt;71.5,IF('4 SUPERFICIES'!$A14&lt;120.6,IF('4 SUPERFICIES'!$C14&gt;113.5,IF('4 SUPERFICIES'!$C14&lt;141.6,'4 SUPERFICIES'!$AB14,0))))</f>
        <v>0</v>
      </c>
      <c r="CK205" s="777" t="b">
        <f>IF('4 SUPERFICIES'!$A14&gt;71.5,IF('4 SUPERFICIES'!$A14&lt;120.6,IF('4 SUPERFICIES'!$C14&gt;141.5,IF('4 SUPERFICIES'!$C14&lt;180.6,'4 SUPERFICIES'!$AB14,0))))</f>
        <v>0</v>
      </c>
      <c r="CL205" s="777" t="b">
        <f>IF('4 SUPERFICIES'!$A14&gt;71.5,IF('4 SUPERFICIES'!$A14&lt;120.6,IF('4 SUPERFICIES'!$C14&gt;180.5,IF('4 SUPERFICIES'!$C14&lt;240.1,'4 SUPERFICIES'!$AB14,0))))</f>
        <v>0</v>
      </c>
      <c r="CN205" s="777">
        <f>IF('4 SUPERFICIES'!$C14&lt;150,IF(OR('4 SUPERFICIES'!$A14="MICRODER",'4 SUPERFICIES'!$A14="MICRO DER",),'4 SUPERFICIES'!$AB14,0))</f>
        <v>0</v>
      </c>
      <c r="CO205" s="777" t="b">
        <f>IF('4 SUPERFICIES'!$C14&gt;149.5,IF(OR('4 SUPERFICIES'!$A14="MICRODER",'4 SUPERFICIES'!$A14="MICRO DER",),'4 SUPERFICIES'!$AB14,0))</f>
        <v>0</v>
      </c>
      <c r="CP205" s="847"/>
      <c r="CQ205" s="777">
        <f>IF('4 SUPERFICIES'!$C14&lt;150,IF(OR('4 SUPERFICIES'!$A14="MICROIZQ",'4 SUPERFICIES'!$A14="MICRO IZQ",),'4 SUPERFICIES'!$AB14,0))</f>
        <v>0</v>
      </c>
      <c r="CR205" s="777" t="b">
        <f>IF('4 SUPERFICIES'!$C14&gt;149.5,IF(OR('4 SUPERFICIES'!$A14="MICROIZQ",'4 SUPERFICIES'!$A14="MICRO IZQ",),'4 SUPERFICIES'!$AB14,0))</f>
        <v>0</v>
      </c>
      <c r="CT205" s="837">
        <f>IF(OR('4 SUPERFICIES'!$A14="MICRO SEN",'4 SUPERFICIES'!$A14="MICROSEN",),'4 SUPERFICIES'!$AB14,0)</f>
        <v>0</v>
      </c>
      <c r="CV205" s="837" t="b">
        <f>IF('4 SUPERFICIES'!$A14="DIAMETRO",IF('4 SUPERFICIES'!$C14&lt;121.1,'4 SUPERFICIES'!$AB14,0))</f>
        <v>0</v>
      </c>
      <c r="CX205" s="858"/>
      <c r="CZ205" s="837" t="b">
        <f>IF('4 SUPERFICIES'!$A14="MOSTRADOR",IF('4 SUPERFICIES'!$C14="R60",'4 SUPERFICIES'!$AB14,0))</f>
        <v>0</v>
      </c>
      <c r="DB205" s="837">
        <f>IF(OR('4 SUPERFICIES'!$A14="PORTA PRIN",'4 SUPERFICIES'!$A14="PORTAPRIN",),'4 SUPERFICIES'!$AB14,0)</f>
        <v>0</v>
      </c>
      <c r="DD205" s="837">
        <f>IF(OR('4 SUPERFICIES'!$A14="PORTA BADE",'4 SUPERFICIES'!$A14="PORTABADE",),'4 SUPERFICIES'!$AB14,0)</f>
        <v>0</v>
      </c>
      <c r="DE205" s="837"/>
      <c r="DF205" s="837">
        <f>IF(OR('4 SUPERFICIES'!$A14="RETORNO IZQ",'4 SUPERFICIES'!$A14="RETORNO DER",),'4 SUPERFICIES'!$AB114,0)</f>
        <v>0</v>
      </c>
      <c r="DG205" s="837"/>
      <c r="DH205" s="837">
        <f>IF(OR('4 SUPERFICIES'!$A14="PITO Q",'4 SUPERFICIES'!$A14="PITO P",'4 SUPERFICIES'!$A14="DIAMETRO INTEGRADA",),'4 SUPERFICIES'!$AB14,0)</f>
        <v>0</v>
      </c>
      <c r="DJ205" s="858"/>
      <c r="DK205" s="837"/>
      <c r="DL205" s="837">
        <f>IF('4 SUPERFICIES'!$A14="SUPERFICIE OVAL",'4 SUPERFICIES'!$AB14,0)</f>
        <v>0</v>
      </c>
      <c r="DN205" s="838"/>
      <c r="DO205" s="838"/>
      <c r="DP205" s="838"/>
      <c r="DQ205" s="838"/>
      <c r="DR205" s="838"/>
      <c r="DS205" s="838"/>
      <c r="DT205" s="838"/>
      <c r="EG205" s="682">
        <f>IF('4 SUPERFICIES'!A14="MICRO DER",85,IF('4 SUPERFICIES'!A14="MICRO IZQ",85,IF('4 SUPERFICIES'!A14="MICRO SEN",170,IF('4 SUPERFICIES'!A14="DIAMETRO",3.14*'4 SUPERFICIES'!C14/2,IF('4 SUPERFICIES'!A14="MOSTRADOR",136,IF('4 SUPERFICIES'!A14="PORTA",65,IF('4 SUPERFICIES'!A14="PITO Q",90,IF('4 SUPERFICIES'!A14="PITO P",90,'4 SUPERFICIES'!A14))))))))</f>
        <v>0</v>
      </c>
      <c r="EH205" s="682"/>
      <c r="EI205" s="682">
        <f>IF('4 SUPERFICIES'!A14="DIAMETRO",0,IF('4 SUPERFICIES'!C14="PRINCIPAL",160,IF('4 SUPERFICIES'!C14="BADE",190,IF('4 SUPERFICIES'!C14="RETORNO",100,IF('4 SUPERFICIES'!C14="R 60",100,IF('4 SUPERFICIES'!C14="R60",100,'4 SUPERFICIES'!C14))))))</f>
        <v>0</v>
      </c>
      <c r="EJ205" s="682"/>
      <c r="EK205" s="682">
        <f>IF('4 SUPERFICIES'!$F14='4 SUPERFICIES'!$AG$15,((EG205*2)+(EI205*2))*'4 SUPERFICIES'!AB14,0)</f>
        <v>0</v>
      </c>
      <c r="EL205" s="682"/>
      <c r="EM205" s="682">
        <f>IF('4 SUPERFICIES'!$F14='4 SUPERFICIES'!$AG$16,((EG205*2)+(EI205*2))*'4 SUPERFICIES'!AB14,0)</f>
        <v>0</v>
      </c>
      <c r="EO205" s="682">
        <f>IF('4 SUPERFICIES'!$F14='4 SUPERFICIES'!$AG$17,((EG205*2)+(EI205*2))*'4 SUPERFICIES'!AB14,0)</f>
        <v>0</v>
      </c>
      <c r="EQ205" s="682">
        <f>IF('4 SUPERFICIES'!$F14='4 SUPERFICIES'!$AG$18,((EG205*2)+(EI205*2))*'4 SUPERFICIES'!AB14,0)</f>
        <v>0</v>
      </c>
      <c r="FP205" s="837"/>
      <c r="HF205" s="700">
        <v>11.5</v>
      </c>
      <c r="HH205" s="591">
        <v>11.5</v>
      </c>
    </row>
    <row r="206" spans="3:216" ht="26.25" x14ac:dyDescent="0.4">
      <c r="R206" s="682">
        <f>+'3 ALUMINIOS'!L38*'3 ALUMINIOS'!M38</f>
        <v>0</v>
      </c>
      <c r="S206" s="682">
        <f>+'3 ALUMINIOS'!O38*'3 ALUMINIOS'!P38</f>
        <v>0</v>
      </c>
      <c r="T206" s="769"/>
      <c r="U206" s="769"/>
      <c r="V206" s="682">
        <f>+'3 ALUMINIOS'!R38*'3 ALUMINIOS'!S38</f>
        <v>0</v>
      </c>
      <c r="W206" s="682"/>
      <c r="X206" s="682"/>
      <c r="Y206" s="682">
        <f>+'3 ALUMINIOS'!U38*'3 ALUMINIOS'!V38</f>
        <v>0</v>
      </c>
      <c r="AK206" s="777" t="b">
        <f>IF('4 SUPERFICIES'!$A15&gt;10,IF('4 SUPERFICIES'!$A15&lt;31.1,IF('4 SUPERFICIES'!$C15&gt;10,IF('4 SUPERFICIES'!$C15&lt;57.6,'4 SUPERFICIES'!$AB15,0))))</f>
        <v>0</v>
      </c>
      <c r="AL206" s="777" t="b">
        <f>IF('4 SUPERFICIES'!$A15&gt;10,IF('4 SUPERFICIES'!$A15&lt;31.1,IF('4 SUPERFICIES'!$C15&gt;57.6,IF('4 SUPERFICIES'!$C15&lt;71.6,'4 SUPERFICIES'!$AB15,0))))</f>
        <v>0</v>
      </c>
      <c r="AM206" s="777" t="b">
        <f>IF('4 SUPERFICIES'!$A15&gt;10,IF('4 SUPERFICIES'!$A15&lt;31.1,IF('4 SUPERFICIES'!$C15&gt;71.5,IF('4 SUPERFICIES'!$C15&lt;85.6,'4 SUPERFICIES'!$AB15,0))))</f>
        <v>0</v>
      </c>
      <c r="AN206" s="777" t="b">
        <f>IF('4 SUPERFICIES'!$A15&gt;10,IF('4 SUPERFICIES'!$A15&lt;31.1,IF('4 SUPERFICIES'!$C15&gt;85.5,IF('4 SUPERFICIES'!$C15&lt;113.6,'4 SUPERFICIES'!$AB15,0))))</f>
        <v>0</v>
      </c>
      <c r="AO206" s="777" t="b">
        <f>IF('4 SUPERFICIES'!$A15&gt;10,IF('4 SUPERFICIES'!$A15&lt;31.1,IF('4 SUPERFICIES'!$C15&gt;113.5,IF('4 SUPERFICIES'!$C15&lt;141.6,'4 SUPERFICIES'!$AB15,0))))</f>
        <v>0</v>
      </c>
      <c r="AP206" s="777" t="b">
        <f>IF('4 SUPERFICIES'!$A15&gt;10,IF('4 SUPERFICIES'!$A15&lt;31.1,IF('4 SUPERFICIES'!$C15&gt;141.5,IF('4 SUPERFICIES'!$C15&lt;180.6,'4 SUPERFICIES'!$AB15,0))))</f>
        <v>0</v>
      </c>
      <c r="AQ206" s="777" t="b">
        <f>IF('4 SUPERFICIES'!$A15&gt;10,IF('4 SUPERFICIES'!$A15&lt;31.1,IF('4 SUPERFICIES'!$C15&gt;180.5,IF('4 SUPERFICIES'!$C15&lt;240.1,'4 SUPERFICIES'!$AB15,0))))</f>
        <v>0</v>
      </c>
      <c r="AS206" s="777" t="b">
        <f>IF('4 SUPERFICIES'!$A15&gt;31,IF('4 SUPERFICIES'!$A15&lt;45.5,IF('4 SUPERFICIES'!$C15&gt;10,IF('4 SUPERFICIES'!$C15&lt;57.6,'4 SUPERFICIES'!$AB15,0))))</f>
        <v>0</v>
      </c>
      <c r="AT206" s="777" t="b">
        <f>IF('4 SUPERFICIES'!$A15&gt;31,IF('4 SUPERFICIES'!$A15&lt;45.5,IF('4 SUPERFICIES'!$C15&gt;57.6,IF('4 SUPERFICIES'!$C15&lt;71.6,'4 SUPERFICIES'!$AB15,0))))</f>
        <v>0</v>
      </c>
      <c r="AU206" s="777" t="b">
        <f>IF('4 SUPERFICIES'!$A15&gt;31,IF('4 SUPERFICIES'!$A15&lt;45.5,IF('4 SUPERFICIES'!$C15&gt;71.5,IF('4 SUPERFICIES'!$C15&lt;85.6,'4 SUPERFICIES'!$AB15,0))))</f>
        <v>0</v>
      </c>
      <c r="AV206" s="777" t="b">
        <f>IF('4 SUPERFICIES'!$A15&gt;31,IF('4 SUPERFICIES'!$A15&lt;45.5,IF('4 SUPERFICIES'!$C15&gt;85.5,IF('4 SUPERFICIES'!$C15&lt;113.6,'4 SUPERFICIES'!$AB15,0))))</f>
        <v>0</v>
      </c>
      <c r="AW206" s="777" t="b">
        <f>IF('4 SUPERFICIES'!$A15&gt;31,IF('4 SUPERFICIES'!$A15&lt;45.5,IF('4 SUPERFICIES'!$C15&gt;113.5,IF('4 SUPERFICIES'!$C15&lt;141.6,'4 SUPERFICIES'!$AB15,0))))</f>
        <v>0</v>
      </c>
      <c r="AX206" s="777" t="b">
        <f>IF('4 SUPERFICIES'!$A15&gt;31,IF('4 SUPERFICIES'!$A15&lt;45.5,IF('4 SUPERFICIES'!$C15&gt;141.5,IF('4 SUPERFICIES'!$C15&lt;180.6,'4 SUPERFICIES'!$AB15,0))))</f>
        <v>0</v>
      </c>
      <c r="AY206" s="777" t="b">
        <f>IF('4 SUPERFICIES'!$A15&gt;31,IF('4 SUPERFICIES'!$A15&lt;45.5,IF('4 SUPERFICIES'!$C15&gt;180.5,IF('4 SUPERFICIES'!$C15&lt;240.1,'4 SUPERFICIES'!$AB15,0))))</f>
        <v>0</v>
      </c>
      <c r="BA206" s="777" t="b">
        <f>IF('4 SUPERFICIES'!$A15&gt;45.4,IF('4 SUPERFICIES'!$A15&lt;61.6,IF('4 SUPERFICIES'!$C15&gt;10,IF('4 SUPERFICIES'!$C15&lt;61.5,'4 SUPERFICIES'!$AB15,0))))</f>
        <v>0</v>
      </c>
      <c r="BB206" s="777" t="b">
        <f>IF('4 SUPERFICIES'!$A15&gt;45.4,IF('4 SUPERFICIES'!$A15&lt;61.6,IF('4 SUPERFICIES'!$C15&gt;61.1,IF('4 SUPERFICIES'!$C15&lt;71.6,'4 SUPERFICIES'!$AB15,0))))</f>
        <v>0</v>
      </c>
      <c r="BC206" s="777" t="b">
        <f>IF('4 SUPERFICIES'!$A15&gt;45.4,IF('4 SUPERFICIES'!$A15&lt;61.6,IF('4 SUPERFICIES'!$C15&gt;71.5,IF('4 SUPERFICIES'!$C15&lt;85.6,'4 SUPERFICIES'!$AB15,0))))</f>
        <v>0</v>
      </c>
      <c r="BD206" s="777" t="b">
        <f>IF('4 SUPERFICIES'!$A15&gt;45.4,IF('4 SUPERFICIES'!$A15&lt;61.6,IF('4 SUPERFICIES'!$C15&gt;85.5,IF('4 SUPERFICIES'!$C15&lt;113.6,'4 SUPERFICIES'!$AB15,0))))</f>
        <v>0</v>
      </c>
      <c r="BE206" s="777" t="b">
        <f>IF('4 SUPERFICIES'!$A15&gt;45.4,IF('4 SUPERFICIES'!$A15&lt;61.6,IF('4 SUPERFICIES'!$C15&gt;113.5,IF('4 SUPERFICIES'!$C15&lt;121.6,'4 SUPERFICIES'!$AB15,0))))</f>
        <v>0</v>
      </c>
      <c r="BF206" s="777" t="b">
        <f>IF('4 SUPERFICIES'!$A15&gt;45.4,IF('4 SUPERFICIES'!$A15&lt;61.6,IF('4 SUPERFICIES'!$C15&gt;121.5,IF('4 SUPERFICIES'!$C15&lt;127.6,'4 SUPERFICIES'!$AB15,0))))</f>
        <v>0</v>
      </c>
      <c r="BG206" s="777" t="b">
        <f>IF('4 SUPERFICIES'!$A15&gt;45.4,IF('4 SUPERFICIES'!$A15&lt;61.6,IF('4 SUPERFICIES'!$C15&gt;127.5,IF('4 SUPERFICIES'!$C15&lt;135.1,'4 SUPERFICIES'!$AB15,0))))</f>
        <v>0</v>
      </c>
      <c r="BH206" s="777" t="b">
        <f>IF('4 SUPERFICIES'!$A15&gt;45.4,IF('4 SUPERFICIES'!$A15&lt;61.6,IF('4 SUPERFICIES'!$C15&gt;135,IF('4 SUPERFICIES'!$C15&lt;141.6,'4 SUPERFICIES'!$AB15,0))))</f>
        <v>0</v>
      </c>
      <c r="BI206" s="777" t="b">
        <f>IF('4 SUPERFICIES'!$A15&gt;45.4,IF('4 SUPERFICIES'!$A15&lt;61.6,IF('4 SUPERFICIES'!$C15&gt;141.5,IF('4 SUPERFICIES'!$C15&lt;149.1,'4 SUPERFICIES'!$AB15,0))))</f>
        <v>0</v>
      </c>
      <c r="BJ206" s="777" t="b">
        <f>IF('4 SUPERFICIES'!$A15&gt;45.4,IF('4 SUPERFICIES'!$A15&lt;61.6,IF('4 SUPERFICIES'!$C15&gt;149,IF('4 SUPERFICIES'!$C15&lt;155.6,'4 SUPERFICIES'!$AB15,0))))</f>
        <v>0</v>
      </c>
      <c r="BK206" s="777" t="b">
        <f>IF('4 SUPERFICIES'!$A15&gt;45.4,IF('4 SUPERFICIES'!$A15&lt;61.6,IF('4 SUPERFICIES'!$C15&gt;155.5,IF('4 SUPERFICIES'!$C15&lt;163.1,'4 SUPERFICIES'!$AB15,0))))</f>
        <v>0</v>
      </c>
      <c r="BL206" s="777" t="b">
        <f>IF('4 SUPERFICIES'!$A15&gt;45.4,IF('4 SUPERFICIES'!$A15&lt;61.6,IF('4 SUPERFICIES'!$C15&gt;163,IF('4 SUPERFICIES'!$C15&lt;180.6,'4 SUPERFICIES'!$AB15,0))))</f>
        <v>0</v>
      </c>
      <c r="BM206" s="777" t="b">
        <f>IF('4 SUPERFICIES'!$A15&gt;45.4,IF('4 SUPERFICIES'!$A15&lt;61.6,IF('4 SUPERFICIES'!$C15&gt;180.5,IF('4 SUPERFICIES'!$C15&lt;240.1,'4 SUPERFICIES'!$AB15,0))))</f>
        <v>0</v>
      </c>
      <c r="BO206" s="869" t="s">
        <v>516</v>
      </c>
      <c r="BQ206" s="870">
        <f>+$AO$250</f>
        <v>0</v>
      </c>
      <c r="BS206" s="869"/>
      <c r="BT206" s="870">
        <f>+$AO$251</f>
        <v>0</v>
      </c>
      <c r="BV206" s="777" t="b">
        <f>IF('4 SUPERFICIES'!$A15&gt;61.5,IF('4 SUPERFICIES'!$A15&lt;71.6,IF('4 SUPERFICIES'!$C15&gt;10,IF('4 SUPERFICIES'!$C15&lt;57.6,'4 SUPERFICIES'!$AB15,0))))</f>
        <v>0</v>
      </c>
      <c r="BW206" s="777" t="b">
        <f>IF('4 SUPERFICIES'!$A15&gt;61.5,IF('4 SUPERFICIES'!$A15&lt;71.6,IF('4 SUPERFICIES'!$C15&gt;57.6,IF('4 SUPERFICIES'!$C15&lt;71.6,'4 SUPERFICIES'!$AB15,0))))</f>
        <v>0</v>
      </c>
      <c r="BX206" s="777" t="b">
        <f>IF('4 SUPERFICIES'!$A15&gt;61.5,IF('4 SUPERFICIES'!$A15&lt;71.6,IF('4 SUPERFICIES'!$C15&gt;71.5,IF('4 SUPERFICIES'!$C15&lt;85.6,'4 SUPERFICIES'!$AB15,0))))</f>
        <v>0</v>
      </c>
      <c r="BY206" s="777" t="b">
        <f>IF('4 SUPERFICIES'!$A15&gt;61.5,IF('4 SUPERFICIES'!$A15&lt;71.6,IF('4 SUPERFICIES'!$C15&gt;85.5,IF('4 SUPERFICIES'!$C15&lt;113.6,'4 SUPERFICIES'!$AB15,0))))</f>
        <v>0</v>
      </c>
      <c r="BZ206" s="777" t="b">
        <f>IF('4 SUPERFICIES'!$A15&gt;61.5,IF('4 SUPERFICIES'!$A15&lt;71.6,IF('4 SUPERFICIES'!$C15&gt;113.5,IF('4 SUPERFICIES'!$C15&lt;141.6,'4 SUPERFICIES'!$AB15,0))))</f>
        <v>0</v>
      </c>
      <c r="CA206" s="777" t="b">
        <f>IF('4 SUPERFICIES'!$A15&gt;61.5,IF('4 SUPERFICIES'!$A15&lt;71.6,IF('4 SUPERFICIES'!$C15&gt;141.5,IF('4 SUPERFICIES'!$C15&lt;149.1,'4 SUPERFICIES'!$AB15,0))))</f>
        <v>0</v>
      </c>
      <c r="CB206" s="777" t="b">
        <f>IF('4 SUPERFICIES'!$A15&gt;61.5,IF('4 SUPERFICIES'!$A15&lt;71.6,IF('4 SUPERFICIES'!$C15&gt;149,IF('4 SUPERFICIES'!$C15&lt;163.1,'4 SUPERFICIES'!$AB15,0))))</f>
        <v>0</v>
      </c>
      <c r="CC206" s="777" t="b">
        <f>IF('4 SUPERFICIES'!$A15&gt;61.5,IF('4 SUPERFICIES'!$A15&lt;71.6,IF('4 SUPERFICIES'!$C15&gt;163,IF('4 SUPERFICIES'!$C15&lt;180.6,'4 SUPERFICIES'!$AB15,0))))</f>
        <v>0</v>
      </c>
      <c r="CD206" s="777" t="b">
        <f>IF('4 SUPERFICIES'!$A15&gt;61.5,IF('4 SUPERFICIES'!$A15&lt;71.6,IF('4 SUPERFICIES'!$C15&gt;180.5,IF('4 SUPERFICIES'!$C15&lt;240.1,'4 SUPERFICIES'!$AB15,0))))</f>
        <v>0</v>
      </c>
      <c r="CF206" s="777" t="b">
        <f>IF('4 SUPERFICIES'!$A15&gt;71.5,IF('4 SUPERFICIES'!$A15&lt;120.6,IF('4 SUPERFICIES'!$C15&gt;10,IF('4 SUPERFICIES'!$C15&lt;57.6,'4 SUPERFICIES'!$AB15,0))))</f>
        <v>0</v>
      </c>
      <c r="CG206" s="777" t="b">
        <f>IF('4 SUPERFICIES'!$A15&gt;71.5,IF('4 SUPERFICIES'!$A15&lt;120.6,IF('4 SUPERFICIES'!$C15&gt;57.6,IF('4 SUPERFICIES'!$C15&lt;71.6,'4 SUPERFICIES'!$AB15,0))))</f>
        <v>0</v>
      </c>
      <c r="CH206" s="777" t="b">
        <f>IF('4 SUPERFICIES'!$A15&gt;71.5,IF('4 SUPERFICIES'!$A15&lt;120.6,IF('4 SUPERFICIES'!$C15&gt;71.5,IF('4 SUPERFICIES'!$C15&lt;85.6,'4 SUPERFICIES'!$AB15,0))))</f>
        <v>0</v>
      </c>
      <c r="CI206" s="777" t="b">
        <f>IF('4 SUPERFICIES'!$A15&gt;71.5,IF('4 SUPERFICIES'!$A15&lt;120.6,IF('4 SUPERFICIES'!$C15&gt;85.5,IF('4 SUPERFICIES'!$C15&lt;113.6,'4 SUPERFICIES'!$AB15,0))))</f>
        <v>0</v>
      </c>
      <c r="CJ206" s="777" t="b">
        <f>IF('4 SUPERFICIES'!$A15&gt;71.5,IF('4 SUPERFICIES'!$A15&lt;120.6,IF('4 SUPERFICIES'!$C15&gt;113.5,IF('4 SUPERFICIES'!$C15&lt;141.6,'4 SUPERFICIES'!$AB15,0))))</f>
        <v>0</v>
      </c>
      <c r="CK206" s="777" t="b">
        <f>IF('4 SUPERFICIES'!$A15&gt;71.5,IF('4 SUPERFICIES'!$A15&lt;120.6,IF('4 SUPERFICIES'!$C15&gt;141.5,IF('4 SUPERFICIES'!$C15&lt;180.6,'4 SUPERFICIES'!$AB15,0))))</f>
        <v>0</v>
      </c>
      <c r="CL206" s="777" t="b">
        <f>IF('4 SUPERFICIES'!$A15&gt;71.5,IF('4 SUPERFICIES'!$A15&lt;120.6,IF('4 SUPERFICIES'!$C15&gt;180.5,IF('4 SUPERFICIES'!$C15&lt;240.1,'4 SUPERFICIES'!$AB15,0))))</f>
        <v>0</v>
      </c>
      <c r="CN206" s="777">
        <f>IF('4 SUPERFICIES'!$C15&lt;150,IF(OR('4 SUPERFICIES'!$A15="MICRODER",'4 SUPERFICIES'!$A15="MICRO DER",),'4 SUPERFICIES'!$AB15,0))</f>
        <v>0</v>
      </c>
      <c r="CO206" s="777" t="b">
        <f>IF('4 SUPERFICIES'!$C15&gt;149.5,IF(OR('4 SUPERFICIES'!$A15="MICRODER",'4 SUPERFICIES'!$A15="MICRO DER",),'4 SUPERFICIES'!$AB15,0))</f>
        <v>0</v>
      </c>
      <c r="CP206" s="847"/>
      <c r="CQ206" s="777">
        <f>IF('4 SUPERFICIES'!$C15&lt;150,IF(OR('4 SUPERFICIES'!$A15="MICROIZQ",'4 SUPERFICIES'!$A15="MICRO IZQ",),'4 SUPERFICIES'!$AB15,0))</f>
        <v>0</v>
      </c>
      <c r="CR206" s="777" t="b">
        <f>IF('4 SUPERFICIES'!$C15&gt;149.5,IF(OR('4 SUPERFICIES'!$A15="MICROIZQ",'4 SUPERFICIES'!$A15="MICRO IZQ",),'4 SUPERFICIES'!$AB15,0))</f>
        <v>0</v>
      </c>
      <c r="CT206" s="837">
        <f>IF(OR('4 SUPERFICIES'!$A15="MICRO SEN",'4 SUPERFICIES'!$A15="MICROSEN",),'4 SUPERFICIES'!$AB15,0)</f>
        <v>0</v>
      </c>
      <c r="CV206" s="837" t="b">
        <f>IF('4 SUPERFICIES'!$A15="DIAMETRO",IF('4 SUPERFICIES'!$C15&lt;121.1,'4 SUPERFICIES'!$AB15,0))</f>
        <v>0</v>
      </c>
      <c r="CX206" s="858"/>
      <c r="CZ206" s="837" t="b">
        <f>IF('4 SUPERFICIES'!$A15="MOSTRADOR",IF('4 SUPERFICIES'!$C15="R60",'4 SUPERFICIES'!$AB15,0))</f>
        <v>0</v>
      </c>
      <c r="DB206" s="837">
        <f>IF(OR('4 SUPERFICIES'!$A15="PORTA PRIN",'4 SUPERFICIES'!$A15="PORTAPRIN",),'4 SUPERFICIES'!$AB15,0)</f>
        <v>0</v>
      </c>
      <c r="DD206" s="837">
        <f>IF(OR('4 SUPERFICIES'!$A15="PORTA BADE",'4 SUPERFICIES'!$A15="PORTABADE",),'4 SUPERFICIES'!$AB15,0)</f>
        <v>0</v>
      </c>
      <c r="DE206" s="837"/>
      <c r="DF206" s="837">
        <f>IF(OR('4 SUPERFICIES'!$A15="RETORNO IZQ",'4 SUPERFICIES'!$A15="RETORNO DER",),'4 SUPERFICIES'!$AB115,0)</f>
        <v>0</v>
      </c>
      <c r="DG206" s="837"/>
      <c r="DH206" s="837">
        <f>IF(OR('4 SUPERFICIES'!$A15="PITO Q",'4 SUPERFICIES'!$A15="PITO P",'4 SUPERFICIES'!$A15="DIAMETRO INTEGRADA",),'4 SUPERFICIES'!$AB15,0)</f>
        <v>0</v>
      </c>
      <c r="DJ206" s="858"/>
      <c r="DK206" s="837"/>
      <c r="DL206" s="837">
        <f>IF('4 SUPERFICIES'!$A15="SUPERFICIE OVAL",'4 SUPERFICIES'!$AB15,0)</f>
        <v>0</v>
      </c>
      <c r="DN206" s="838"/>
      <c r="DO206" s="838"/>
      <c r="DP206" s="838"/>
      <c r="DQ206" s="838"/>
      <c r="DR206" s="838"/>
      <c r="DS206" s="838"/>
      <c r="DT206" s="838"/>
      <c r="EG206" s="682">
        <f>IF('4 SUPERFICIES'!A15="MICRO DER",85,IF('4 SUPERFICIES'!A15="MICRO IZQ",85,IF('4 SUPERFICIES'!A15="MICRO SEN",170,IF('4 SUPERFICIES'!A15="DIAMETRO",3.14*'4 SUPERFICIES'!C15/2,IF('4 SUPERFICIES'!A15="MOSTRADOR",136,IF('4 SUPERFICIES'!A15="PORTA",65,IF('4 SUPERFICIES'!A15="PITO Q",90,IF('4 SUPERFICIES'!A15="PITO P",90,'4 SUPERFICIES'!A15))))))))</f>
        <v>0</v>
      </c>
      <c r="EH206" s="682"/>
      <c r="EI206" s="682">
        <f>IF('4 SUPERFICIES'!A15="DIAMETRO",0,IF('4 SUPERFICIES'!C15="PRINCIPAL",160,IF('4 SUPERFICIES'!C15="BADE",190,IF('4 SUPERFICIES'!C15="RETORNO",100,IF('4 SUPERFICIES'!C15="R 60",100,IF('4 SUPERFICIES'!C15="R60",100,'4 SUPERFICIES'!C15))))))</f>
        <v>0</v>
      </c>
      <c r="EJ206" s="682"/>
      <c r="EK206" s="682">
        <f>IF('4 SUPERFICIES'!$F15='4 SUPERFICIES'!$AG$15,((EG206*2)+(EI206*2))*'4 SUPERFICIES'!AB15,0)</f>
        <v>0</v>
      </c>
      <c r="EL206" s="682"/>
      <c r="EM206" s="682">
        <f>IF('4 SUPERFICIES'!$F15='4 SUPERFICIES'!$AG$16,((EG206*2)+(EI206*2))*'4 SUPERFICIES'!AB15,0)</f>
        <v>0</v>
      </c>
      <c r="EO206" s="682">
        <f>IF('4 SUPERFICIES'!$F15='4 SUPERFICIES'!$AG$17,((EG206*2)+(EI206*2))*'4 SUPERFICIES'!AB15,0)</f>
        <v>0</v>
      </c>
      <c r="EQ206" s="682">
        <f>IF('4 SUPERFICIES'!$F15='4 SUPERFICIES'!$AG$18,((EG206*2)+(EI206*2))*'4 SUPERFICIES'!AB15,0)</f>
        <v>0</v>
      </c>
      <c r="HF206" s="700">
        <v>12</v>
      </c>
      <c r="HH206" s="591">
        <v>12</v>
      </c>
    </row>
    <row r="207" spans="3:216" ht="26.25" x14ac:dyDescent="0.4">
      <c r="R207" s="1124">
        <f>SUM(FORMULAS!R176:R206)</f>
        <v>0</v>
      </c>
      <c r="S207" s="1124">
        <f>SUM(FORMULAS!S176:S206)</f>
        <v>0</v>
      </c>
      <c r="T207" s="685"/>
      <c r="U207" s="684"/>
      <c r="V207" s="1124">
        <f>SUM(FORMULAS!V176:V206)</f>
        <v>0</v>
      </c>
      <c r="W207" s="684"/>
      <c r="X207" s="684"/>
      <c r="Y207" s="1124">
        <f>SUM(FORMULAS!Y176:Y206)</f>
        <v>0</v>
      </c>
      <c r="AK207" s="777" t="b">
        <f>IF('4 SUPERFICIES'!$A16&gt;10,IF('4 SUPERFICIES'!$A16&lt;31.1,IF('4 SUPERFICIES'!$C16&gt;10,IF('4 SUPERFICIES'!$C16&lt;57.6,'4 SUPERFICIES'!$AB16,0))))</f>
        <v>0</v>
      </c>
      <c r="AL207" s="777" t="b">
        <f>IF('4 SUPERFICIES'!$A16&gt;10,IF('4 SUPERFICIES'!$A16&lt;31.1,IF('4 SUPERFICIES'!$C16&gt;57.6,IF('4 SUPERFICIES'!$C16&lt;71.6,'4 SUPERFICIES'!$AB16,0))))</f>
        <v>0</v>
      </c>
      <c r="AM207" s="777" t="b">
        <f>IF('4 SUPERFICIES'!$A16&gt;10,IF('4 SUPERFICIES'!$A16&lt;31.1,IF('4 SUPERFICIES'!$C16&gt;71.5,IF('4 SUPERFICIES'!$C16&lt;85.6,'4 SUPERFICIES'!$AB16,0))))</f>
        <v>0</v>
      </c>
      <c r="AN207" s="777" t="b">
        <f>IF('4 SUPERFICIES'!$A16&gt;10,IF('4 SUPERFICIES'!$A16&lt;31.1,IF('4 SUPERFICIES'!$C16&gt;85.5,IF('4 SUPERFICIES'!$C16&lt;113.6,'4 SUPERFICIES'!$AB16,0))))</f>
        <v>0</v>
      </c>
      <c r="AO207" s="777" t="b">
        <f>IF('4 SUPERFICIES'!$A16&gt;10,IF('4 SUPERFICIES'!$A16&lt;31.1,IF('4 SUPERFICIES'!$C16&gt;113.5,IF('4 SUPERFICIES'!$C16&lt;141.6,'4 SUPERFICIES'!$AB16,0))))</f>
        <v>0</v>
      </c>
      <c r="AP207" s="777" t="b">
        <f>IF('4 SUPERFICIES'!$A16&gt;10,IF('4 SUPERFICIES'!$A16&lt;31.1,IF('4 SUPERFICIES'!$C16&gt;141.5,IF('4 SUPERFICIES'!$C16&lt;180.6,'4 SUPERFICIES'!$AB16,0))))</f>
        <v>0</v>
      </c>
      <c r="AQ207" s="777" t="b">
        <f>IF('4 SUPERFICIES'!$A16&gt;10,IF('4 SUPERFICIES'!$A16&lt;31.1,IF('4 SUPERFICIES'!$C16&gt;180.5,IF('4 SUPERFICIES'!$C16&lt;240.1,'4 SUPERFICIES'!$AB16,0))))</f>
        <v>0</v>
      </c>
      <c r="AS207" s="777" t="b">
        <f>IF('4 SUPERFICIES'!$A16&gt;31,IF('4 SUPERFICIES'!$A16&lt;45.5,IF('4 SUPERFICIES'!$C16&gt;10,IF('4 SUPERFICIES'!$C16&lt;57.6,'4 SUPERFICIES'!$AB16,0))))</f>
        <v>0</v>
      </c>
      <c r="AT207" s="777" t="b">
        <f>IF('4 SUPERFICIES'!$A16&gt;31,IF('4 SUPERFICIES'!$A16&lt;45.5,IF('4 SUPERFICIES'!$C16&gt;57.6,IF('4 SUPERFICIES'!$C16&lt;71.6,'4 SUPERFICIES'!$AB16,0))))</f>
        <v>0</v>
      </c>
      <c r="AU207" s="777" t="b">
        <f>IF('4 SUPERFICIES'!$A16&gt;31,IF('4 SUPERFICIES'!$A16&lt;45.5,IF('4 SUPERFICIES'!$C16&gt;71.5,IF('4 SUPERFICIES'!$C16&lt;85.6,'4 SUPERFICIES'!$AB16,0))))</f>
        <v>0</v>
      </c>
      <c r="AV207" s="777" t="b">
        <f>IF('4 SUPERFICIES'!$A16&gt;31,IF('4 SUPERFICIES'!$A16&lt;45.5,IF('4 SUPERFICIES'!$C16&gt;85.5,IF('4 SUPERFICIES'!$C16&lt;113.6,'4 SUPERFICIES'!$AB16,0))))</f>
        <v>0</v>
      </c>
      <c r="AW207" s="777" t="b">
        <f>IF('4 SUPERFICIES'!$A16&gt;31,IF('4 SUPERFICIES'!$A16&lt;45.5,IF('4 SUPERFICIES'!$C16&gt;113.5,IF('4 SUPERFICIES'!$C16&lt;141.6,'4 SUPERFICIES'!$AB16,0))))</f>
        <v>0</v>
      </c>
      <c r="AX207" s="777" t="b">
        <f>IF('4 SUPERFICIES'!$A16&gt;31,IF('4 SUPERFICIES'!$A16&lt;45.5,IF('4 SUPERFICIES'!$C16&gt;141.5,IF('4 SUPERFICIES'!$C16&lt;180.6,'4 SUPERFICIES'!$AB16,0))))</f>
        <v>0</v>
      </c>
      <c r="AY207" s="777" t="b">
        <f>IF('4 SUPERFICIES'!$A16&gt;31,IF('4 SUPERFICIES'!$A16&lt;45.5,IF('4 SUPERFICIES'!$C16&gt;180.5,IF('4 SUPERFICIES'!$C16&lt;240.1,'4 SUPERFICIES'!$AB16,0))))</f>
        <v>0</v>
      </c>
      <c r="BA207" s="777" t="b">
        <f>IF('4 SUPERFICIES'!$A16&gt;45.4,IF('4 SUPERFICIES'!$A16&lt;61.6,IF('4 SUPERFICIES'!$C16&gt;10,IF('4 SUPERFICIES'!$C16&lt;61.5,'4 SUPERFICIES'!$AB16,0))))</f>
        <v>0</v>
      </c>
      <c r="BB207" s="777" t="b">
        <f>IF('4 SUPERFICIES'!$A16&gt;45.4,IF('4 SUPERFICIES'!$A16&lt;61.6,IF('4 SUPERFICIES'!$C16&gt;61.1,IF('4 SUPERFICIES'!$C16&lt;71.6,'4 SUPERFICIES'!$AB16,0))))</f>
        <v>0</v>
      </c>
      <c r="BC207" s="777" t="b">
        <f>IF('4 SUPERFICIES'!$A16&gt;45.4,IF('4 SUPERFICIES'!$A16&lt;61.6,IF('4 SUPERFICIES'!$C16&gt;71.5,IF('4 SUPERFICIES'!$C16&lt;85.6,'4 SUPERFICIES'!$AB16,0))))</f>
        <v>0</v>
      </c>
      <c r="BD207" s="777" t="b">
        <f>IF('4 SUPERFICIES'!$A16&gt;45.4,IF('4 SUPERFICIES'!$A16&lt;61.6,IF('4 SUPERFICIES'!$C16&gt;85.5,IF('4 SUPERFICIES'!$C16&lt;113.6,'4 SUPERFICIES'!$AB16,0))))</f>
        <v>0</v>
      </c>
      <c r="BE207" s="777" t="b">
        <f>IF('4 SUPERFICIES'!$A16&gt;45.4,IF('4 SUPERFICIES'!$A16&lt;61.6,IF('4 SUPERFICIES'!$C16&gt;113.5,IF('4 SUPERFICIES'!$C16&lt;121.6,'4 SUPERFICIES'!$AB16,0))))</f>
        <v>0</v>
      </c>
      <c r="BF207" s="777" t="b">
        <f>IF('4 SUPERFICIES'!$A16&gt;45.4,IF('4 SUPERFICIES'!$A16&lt;61.6,IF('4 SUPERFICIES'!$C16&gt;121.5,IF('4 SUPERFICIES'!$C16&lt;127.6,'4 SUPERFICIES'!$AB16,0))))</f>
        <v>0</v>
      </c>
      <c r="BG207" s="777" t="b">
        <f>IF('4 SUPERFICIES'!$A16&gt;45.4,IF('4 SUPERFICIES'!$A16&lt;61.6,IF('4 SUPERFICIES'!$C16&gt;127.5,IF('4 SUPERFICIES'!$C16&lt;135.1,'4 SUPERFICIES'!$AB16,0))))</f>
        <v>0</v>
      </c>
      <c r="BH207" s="777" t="b">
        <f>IF('4 SUPERFICIES'!$A16&gt;45.4,IF('4 SUPERFICIES'!$A16&lt;61.6,IF('4 SUPERFICIES'!$C16&gt;135,IF('4 SUPERFICIES'!$C16&lt;141.6,'4 SUPERFICIES'!$AB16,0))))</f>
        <v>0</v>
      </c>
      <c r="BI207" s="777" t="b">
        <f>IF('4 SUPERFICIES'!$A16&gt;45.4,IF('4 SUPERFICIES'!$A16&lt;61.6,IF('4 SUPERFICIES'!$C16&gt;141.5,IF('4 SUPERFICIES'!$C16&lt;149.1,'4 SUPERFICIES'!$AB16,0))))</f>
        <v>0</v>
      </c>
      <c r="BJ207" s="777" t="b">
        <f>IF('4 SUPERFICIES'!$A16&gt;45.4,IF('4 SUPERFICIES'!$A16&lt;61.6,IF('4 SUPERFICIES'!$C16&gt;149,IF('4 SUPERFICIES'!$C16&lt;155.6,'4 SUPERFICIES'!$AB16,0))))</f>
        <v>0</v>
      </c>
      <c r="BK207" s="777" t="b">
        <f>IF('4 SUPERFICIES'!$A16&gt;45.4,IF('4 SUPERFICIES'!$A16&lt;61.6,IF('4 SUPERFICIES'!$C16&gt;155.5,IF('4 SUPERFICIES'!$C16&lt;163.1,'4 SUPERFICIES'!$AB16,0))))</f>
        <v>0</v>
      </c>
      <c r="BL207" s="777" t="b">
        <f>IF('4 SUPERFICIES'!$A16&gt;45.4,IF('4 SUPERFICIES'!$A16&lt;61.6,IF('4 SUPERFICIES'!$C16&gt;163,IF('4 SUPERFICIES'!$C16&lt;180.6,'4 SUPERFICIES'!$AB16,0))))</f>
        <v>0</v>
      </c>
      <c r="BM207" s="777" t="b">
        <f>IF('4 SUPERFICIES'!$A16&gt;45.4,IF('4 SUPERFICIES'!$A16&lt;61.6,IF('4 SUPERFICIES'!$C16&gt;180.5,IF('4 SUPERFICIES'!$C16&lt;240.1,'4 SUPERFICIES'!$AB16,0))))</f>
        <v>0</v>
      </c>
      <c r="BO207" s="869" t="s">
        <v>517</v>
      </c>
      <c r="BQ207" s="870">
        <f>+$AS$250</f>
        <v>0</v>
      </c>
      <c r="BS207" s="869"/>
      <c r="BT207" s="870">
        <f>+$AS$251</f>
        <v>0</v>
      </c>
      <c r="BV207" s="777" t="b">
        <f>IF('4 SUPERFICIES'!$A16&gt;61.5,IF('4 SUPERFICIES'!$A16&lt;71.6,IF('4 SUPERFICIES'!$C16&gt;10,IF('4 SUPERFICIES'!$C16&lt;57.6,'4 SUPERFICIES'!$AB16,0))))</f>
        <v>0</v>
      </c>
      <c r="BW207" s="777" t="b">
        <f>IF('4 SUPERFICIES'!$A16&gt;61.5,IF('4 SUPERFICIES'!$A16&lt;71.6,IF('4 SUPERFICIES'!$C16&gt;57.6,IF('4 SUPERFICIES'!$C16&lt;71.6,'4 SUPERFICIES'!$AB16,0))))</f>
        <v>0</v>
      </c>
      <c r="BX207" s="777" t="b">
        <f>IF('4 SUPERFICIES'!$A16&gt;61.5,IF('4 SUPERFICIES'!$A16&lt;71.6,IF('4 SUPERFICIES'!$C16&gt;71.5,IF('4 SUPERFICIES'!$C16&lt;85.6,'4 SUPERFICIES'!$AB16,0))))</f>
        <v>0</v>
      </c>
      <c r="BY207" s="777" t="b">
        <f>IF('4 SUPERFICIES'!$A16&gt;61.5,IF('4 SUPERFICIES'!$A16&lt;71.6,IF('4 SUPERFICIES'!$C16&gt;85.5,IF('4 SUPERFICIES'!$C16&lt;113.6,'4 SUPERFICIES'!$AB16,0))))</f>
        <v>0</v>
      </c>
      <c r="BZ207" s="777" t="b">
        <f>IF('4 SUPERFICIES'!$A16&gt;61.5,IF('4 SUPERFICIES'!$A16&lt;71.6,IF('4 SUPERFICIES'!$C16&gt;113.5,IF('4 SUPERFICIES'!$C16&lt;141.6,'4 SUPERFICIES'!$AB16,0))))</f>
        <v>0</v>
      </c>
      <c r="CA207" s="777" t="b">
        <f>IF('4 SUPERFICIES'!$A16&gt;61.5,IF('4 SUPERFICIES'!$A16&lt;71.6,IF('4 SUPERFICIES'!$C16&gt;141.5,IF('4 SUPERFICIES'!$C16&lt;149.1,'4 SUPERFICIES'!$AB16,0))))</f>
        <v>0</v>
      </c>
      <c r="CB207" s="777" t="b">
        <f>IF('4 SUPERFICIES'!$A16&gt;61.5,IF('4 SUPERFICIES'!$A16&lt;71.6,IF('4 SUPERFICIES'!$C16&gt;149,IF('4 SUPERFICIES'!$C16&lt;163.1,'4 SUPERFICIES'!$AB16,0))))</f>
        <v>0</v>
      </c>
      <c r="CC207" s="777" t="b">
        <f>IF('4 SUPERFICIES'!$A16&gt;61.5,IF('4 SUPERFICIES'!$A16&lt;71.6,IF('4 SUPERFICIES'!$C16&gt;163,IF('4 SUPERFICIES'!$C16&lt;180.6,'4 SUPERFICIES'!$AB16,0))))</f>
        <v>0</v>
      </c>
      <c r="CD207" s="777" t="b">
        <f>IF('4 SUPERFICIES'!$A16&gt;61.5,IF('4 SUPERFICIES'!$A16&lt;71.6,IF('4 SUPERFICIES'!$C16&gt;180.5,IF('4 SUPERFICIES'!$C16&lt;240.1,'4 SUPERFICIES'!$AB16,0))))</f>
        <v>0</v>
      </c>
      <c r="CF207" s="777" t="b">
        <f>IF('4 SUPERFICIES'!$A16&gt;71.5,IF('4 SUPERFICIES'!$A16&lt;120.6,IF('4 SUPERFICIES'!$C16&gt;10,IF('4 SUPERFICIES'!$C16&lt;57.6,'4 SUPERFICIES'!$AB16,0))))</f>
        <v>0</v>
      </c>
      <c r="CG207" s="777" t="b">
        <f>IF('4 SUPERFICIES'!$A16&gt;71.5,IF('4 SUPERFICIES'!$A16&lt;120.6,IF('4 SUPERFICIES'!$C16&gt;57.6,IF('4 SUPERFICIES'!$C16&lt;71.6,'4 SUPERFICIES'!$AB16,0))))</f>
        <v>0</v>
      </c>
      <c r="CH207" s="777" t="b">
        <f>IF('4 SUPERFICIES'!$A16&gt;71.5,IF('4 SUPERFICIES'!$A16&lt;120.6,IF('4 SUPERFICIES'!$C16&gt;71.5,IF('4 SUPERFICIES'!$C16&lt;85.6,'4 SUPERFICIES'!$AB16,0))))</f>
        <v>0</v>
      </c>
      <c r="CI207" s="777" t="b">
        <f>IF('4 SUPERFICIES'!$A16&gt;71.5,IF('4 SUPERFICIES'!$A16&lt;120.6,IF('4 SUPERFICIES'!$C16&gt;85.5,IF('4 SUPERFICIES'!$C16&lt;113.6,'4 SUPERFICIES'!$AB16,0))))</f>
        <v>0</v>
      </c>
      <c r="CJ207" s="777" t="b">
        <f>IF('4 SUPERFICIES'!$A16&gt;71.5,IF('4 SUPERFICIES'!$A16&lt;120.6,IF('4 SUPERFICIES'!$C16&gt;113.5,IF('4 SUPERFICIES'!$C16&lt;141.6,'4 SUPERFICIES'!$AB16,0))))</f>
        <v>0</v>
      </c>
      <c r="CK207" s="777" t="b">
        <f>IF('4 SUPERFICIES'!$A16&gt;71.5,IF('4 SUPERFICIES'!$A16&lt;120.6,IF('4 SUPERFICIES'!$C16&gt;141.5,IF('4 SUPERFICIES'!$C16&lt;180.6,'4 SUPERFICIES'!$AB16,0))))</f>
        <v>0</v>
      </c>
      <c r="CL207" s="777" t="b">
        <f>IF('4 SUPERFICIES'!$A16&gt;71.5,IF('4 SUPERFICIES'!$A16&lt;120.6,IF('4 SUPERFICIES'!$C16&gt;180.5,IF('4 SUPERFICIES'!$C16&lt;240.1,'4 SUPERFICIES'!$AB16,0))))</f>
        <v>0</v>
      </c>
      <c r="CN207" s="777">
        <f>IF('4 SUPERFICIES'!$C16&lt;150,IF(OR('4 SUPERFICIES'!$A16="MICRODER",'4 SUPERFICIES'!$A16="MICRO DER",),'4 SUPERFICIES'!$AB16,0))</f>
        <v>0</v>
      </c>
      <c r="CO207" s="777" t="b">
        <f>IF('4 SUPERFICIES'!$C16&gt;149.5,IF(OR('4 SUPERFICIES'!$A16="MICRODER",'4 SUPERFICIES'!$A16="MICRO DER",),'4 SUPERFICIES'!$AB16,0))</f>
        <v>0</v>
      </c>
      <c r="CP207" s="847"/>
      <c r="CQ207" s="777">
        <f>IF('4 SUPERFICIES'!$C16&lt;150,IF(OR('4 SUPERFICIES'!$A16="MICROIZQ",'4 SUPERFICIES'!$A16="MICRO IZQ",),'4 SUPERFICIES'!$AB16,0))</f>
        <v>0</v>
      </c>
      <c r="CR207" s="777" t="b">
        <f>IF('4 SUPERFICIES'!$C16&gt;149.5,IF(OR('4 SUPERFICIES'!$A16="MICROIZQ",'4 SUPERFICIES'!$A16="MICRO IZQ",),'4 SUPERFICIES'!$AB16,0))</f>
        <v>0</v>
      </c>
      <c r="CT207" s="837">
        <f>IF(OR('4 SUPERFICIES'!$A16="MICRO SEN",'4 SUPERFICIES'!$A16="MICROSEN",),'4 SUPERFICIES'!$AB16,0)</f>
        <v>0</v>
      </c>
      <c r="CV207" s="837" t="b">
        <f>IF('4 SUPERFICIES'!$A16="DIAMETRO",IF('4 SUPERFICIES'!$C16&lt;121.1,'4 SUPERFICIES'!$AB16,0))</f>
        <v>0</v>
      </c>
      <c r="CX207" s="858"/>
      <c r="CZ207" s="837" t="b">
        <f>IF('4 SUPERFICIES'!$A16="MOSTRADOR",IF('4 SUPERFICIES'!$C16="R60",'4 SUPERFICIES'!$AB16,0))</f>
        <v>0</v>
      </c>
      <c r="DB207" s="837">
        <f>IF(OR('4 SUPERFICIES'!$A16="PORTA PRIN",'4 SUPERFICIES'!$A16="PORTAPRIN",),'4 SUPERFICIES'!$AB16,0)</f>
        <v>0</v>
      </c>
      <c r="DD207" s="837">
        <f>IF(OR('4 SUPERFICIES'!$A16="PORTA BADE",'4 SUPERFICIES'!$A16="PORTABADE",),'4 SUPERFICIES'!$AB16,0)</f>
        <v>0</v>
      </c>
      <c r="DE207" s="837"/>
      <c r="DF207" s="837">
        <f>IF(OR('4 SUPERFICIES'!$A16="RETORNO IZQ",'4 SUPERFICIES'!$A16="RETORNO DER",),'4 SUPERFICIES'!$AB116,0)</f>
        <v>0</v>
      </c>
      <c r="DG207" s="837"/>
      <c r="DH207" s="837">
        <f>IF(OR('4 SUPERFICIES'!$A16="PITO Q",'4 SUPERFICIES'!$A16="PITO P",'4 SUPERFICIES'!$A16="DIAMETRO INTEGRADA",),'4 SUPERFICIES'!$AB16,0)</f>
        <v>0</v>
      </c>
      <c r="DJ207" s="858"/>
      <c r="DK207" s="837"/>
      <c r="DL207" s="837">
        <f>IF('4 SUPERFICIES'!$A16="SUPERFICIE OVAL",'4 SUPERFICIES'!$AB16,0)</f>
        <v>0</v>
      </c>
      <c r="DN207" s="838"/>
      <c r="DO207" s="838"/>
      <c r="DP207" s="838"/>
      <c r="DQ207" s="838"/>
      <c r="DR207" s="838"/>
      <c r="DS207" s="838"/>
      <c r="DT207" s="838"/>
      <c r="EG207" s="682">
        <f>IF('4 SUPERFICIES'!A16="MICRO DER",85,IF('4 SUPERFICIES'!A16="MICRO IZQ",85,IF('4 SUPERFICIES'!A16="MICRO SEN",170,IF('4 SUPERFICIES'!A16="DIAMETRO",3.14*'4 SUPERFICIES'!C16/2,IF('4 SUPERFICIES'!A16="MOSTRADOR",136,IF('4 SUPERFICIES'!A16="PORTA",65,IF('4 SUPERFICIES'!A16="PITO Q",90,IF('4 SUPERFICIES'!A16="PITO P",90,'4 SUPERFICIES'!A16))))))))</f>
        <v>0</v>
      </c>
      <c r="EH207" s="682"/>
      <c r="EI207" s="682">
        <f>IF('4 SUPERFICIES'!A16="DIAMETRO",0,IF('4 SUPERFICIES'!C16="PRINCIPAL",160,IF('4 SUPERFICIES'!C16="BADE",190,IF('4 SUPERFICIES'!C16="RETORNO",100,IF('4 SUPERFICIES'!C16="R 60",100,IF('4 SUPERFICIES'!C16="R60",100,'4 SUPERFICIES'!C16))))))</f>
        <v>0</v>
      </c>
      <c r="EJ207" s="682"/>
      <c r="EK207" s="682">
        <f>IF('4 SUPERFICIES'!$F16='4 SUPERFICIES'!$AG$15,((EG207*2)+(EI207*2))*'4 SUPERFICIES'!AB16,0)</f>
        <v>0</v>
      </c>
      <c r="EL207" s="682"/>
      <c r="EM207" s="682">
        <f>IF('4 SUPERFICIES'!$F16='4 SUPERFICIES'!$AG$16,((EG207*2)+(EI207*2))*'4 SUPERFICIES'!AB16,0)</f>
        <v>0</v>
      </c>
      <c r="EO207" s="682">
        <f>IF('4 SUPERFICIES'!$F16='4 SUPERFICIES'!$AG$17,((EG207*2)+(EI207*2))*'4 SUPERFICIES'!AB16,0)</f>
        <v>0</v>
      </c>
      <c r="EQ207" s="682">
        <f>IF('4 SUPERFICIES'!$F16='4 SUPERFICIES'!$AG$18,((EG207*2)+(EI207*2))*'4 SUPERFICIES'!AB16,0)</f>
        <v>0</v>
      </c>
      <c r="HF207" s="700">
        <v>12.5</v>
      </c>
      <c r="HH207" s="591">
        <v>12.5</v>
      </c>
    </row>
    <row r="208" spans="3:216" ht="26.25" x14ac:dyDescent="0.4">
      <c r="AK208" s="777" t="b">
        <f>IF('4 SUPERFICIES'!$A17&gt;10,IF('4 SUPERFICIES'!$A17&lt;31.1,IF('4 SUPERFICIES'!$C17&gt;10,IF('4 SUPERFICIES'!$C17&lt;57.6,'4 SUPERFICIES'!$AB17,0))))</f>
        <v>0</v>
      </c>
      <c r="AL208" s="777" t="b">
        <f>IF('4 SUPERFICIES'!$A17&gt;10,IF('4 SUPERFICIES'!$A17&lt;31.1,IF('4 SUPERFICIES'!$C17&gt;57.6,IF('4 SUPERFICIES'!$C17&lt;71.6,'4 SUPERFICIES'!$AB17,0))))</f>
        <v>0</v>
      </c>
      <c r="AM208" s="777" t="b">
        <f>IF('4 SUPERFICIES'!$A17&gt;10,IF('4 SUPERFICIES'!$A17&lt;31.1,IF('4 SUPERFICIES'!$C17&gt;71.5,IF('4 SUPERFICIES'!$C17&lt;85.6,'4 SUPERFICIES'!$AB17,0))))</f>
        <v>0</v>
      </c>
      <c r="AN208" s="777" t="b">
        <f>IF('4 SUPERFICIES'!$A17&gt;10,IF('4 SUPERFICIES'!$A17&lt;31.1,IF('4 SUPERFICIES'!$C17&gt;85.5,IF('4 SUPERFICIES'!$C17&lt;113.6,'4 SUPERFICIES'!$AB17,0))))</f>
        <v>0</v>
      </c>
      <c r="AO208" s="777" t="b">
        <f>IF('4 SUPERFICIES'!$A17&gt;10,IF('4 SUPERFICIES'!$A17&lt;31.1,IF('4 SUPERFICIES'!$C17&gt;113.5,IF('4 SUPERFICIES'!$C17&lt;141.6,'4 SUPERFICIES'!$AB17,0))))</f>
        <v>0</v>
      </c>
      <c r="AP208" s="777" t="b">
        <f>IF('4 SUPERFICIES'!$A17&gt;10,IF('4 SUPERFICIES'!$A17&lt;31.1,IF('4 SUPERFICIES'!$C17&gt;141.5,IF('4 SUPERFICIES'!$C17&lt;180.6,'4 SUPERFICIES'!$AB17,0))))</f>
        <v>0</v>
      </c>
      <c r="AQ208" s="777" t="b">
        <f>IF('4 SUPERFICIES'!$A17&gt;10,IF('4 SUPERFICIES'!$A17&lt;31.1,IF('4 SUPERFICIES'!$C17&gt;180.5,IF('4 SUPERFICIES'!$C17&lt;240.1,'4 SUPERFICIES'!$AB17,0))))</f>
        <v>0</v>
      </c>
      <c r="AS208" s="777" t="b">
        <f>IF('4 SUPERFICIES'!$A17&gt;31,IF('4 SUPERFICIES'!$A17&lt;45.5,IF('4 SUPERFICIES'!$C17&gt;10,IF('4 SUPERFICIES'!$C17&lt;57.6,'4 SUPERFICIES'!$AB17,0))))</f>
        <v>0</v>
      </c>
      <c r="AT208" s="777" t="b">
        <f>IF('4 SUPERFICIES'!$A17&gt;31,IF('4 SUPERFICIES'!$A17&lt;45.5,IF('4 SUPERFICIES'!$C17&gt;57.6,IF('4 SUPERFICIES'!$C17&lt;71.6,'4 SUPERFICIES'!$AB17,0))))</f>
        <v>0</v>
      </c>
      <c r="AU208" s="777" t="b">
        <f>IF('4 SUPERFICIES'!$A17&gt;31,IF('4 SUPERFICIES'!$A17&lt;45.5,IF('4 SUPERFICIES'!$C17&gt;71.5,IF('4 SUPERFICIES'!$C17&lt;85.6,'4 SUPERFICIES'!$AB17,0))))</f>
        <v>0</v>
      </c>
      <c r="AV208" s="777" t="b">
        <f>IF('4 SUPERFICIES'!$A17&gt;31,IF('4 SUPERFICIES'!$A17&lt;45.5,IF('4 SUPERFICIES'!$C17&gt;85.5,IF('4 SUPERFICIES'!$C17&lt;113.6,'4 SUPERFICIES'!$AB17,0))))</f>
        <v>0</v>
      </c>
      <c r="AW208" s="777" t="b">
        <f>IF('4 SUPERFICIES'!$A17&gt;31,IF('4 SUPERFICIES'!$A17&lt;45.5,IF('4 SUPERFICIES'!$C17&gt;113.5,IF('4 SUPERFICIES'!$C17&lt;141.6,'4 SUPERFICIES'!$AB17,0))))</f>
        <v>0</v>
      </c>
      <c r="AX208" s="777" t="b">
        <f>IF('4 SUPERFICIES'!$A17&gt;31,IF('4 SUPERFICIES'!$A17&lt;45.5,IF('4 SUPERFICIES'!$C17&gt;141.5,IF('4 SUPERFICIES'!$C17&lt;180.6,'4 SUPERFICIES'!$AB17,0))))</f>
        <v>0</v>
      </c>
      <c r="AY208" s="777" t="b">
        <f>IF('4 SUPERFICIES'!$A17&gt;31,IF('4 SUPERFICIES'!$A17&lt;45.5,IF('4 SUPERFICIES'!$C17&gt;180.5,IF('4 SUPERFICIES'!$C17&lt;240.1,'4 SUPERFICIES'!$AB17,0))))</f>
        <v>0</v>
      </c>
      <c r="BA208" s="777" t="b">
        <f>IF('4 SUPERFICIES'!$A17&gt;45.4,IF('4 SUPERFICIES'!$A17&lt;61.6,IF('4 SUPERFICIES'!$C17&gt;10,IF('4 SUPERFICIES'!$C17&lt;61.5,'4 SUPERFICIES'!$AB17,0))))</f>
        <v>0</v>
      </c>
      <c r="BB208" s="777" t="b">
        <f>IF('4 SUPERFICIES'!$A17&gt;45.4,IF('4 SUPERFICIES'!$A17&lt;61.6,IF('4 SUPERFICIES'!$C17&gt;61.1,IF('4 SUPERFICIES'!$C17&lt;71.6,'4 SUPERFICIES'!$AB17,0))))</f>
        <v>0</v>
      </c>
      <c r="BC208" s="777" t="b">
        <f>IF('4 SUPERFICIES'!$A17&gt;45.4,IF('4 SUPERFICIES'!$A17&lt;61.6,IF('4 SUPERFICIES'!$C17&gt;71.5,IF('4 SUPERFICIES'!$C17&lt;85.6,'4 SUPERFICIES'!$AB17,0))))</f>
        <v>0</v>
      </c>
      <c r="BD208" s="777" t="b">
        <f>IF('4 SUPERFICIES'!$A17&gt;45.4,IF('4 SUPERFICIES'!$A17&lt;61.6,IF('4 SUPERFICIES'!$C17&gt;85.5,IF('4 SUPERFICIES'!$C17&lt;113.6,'4 SUPERFICIES'!$AB17,0))))</f>
        <v>0</v>
      </c>
      <c r="BE208" s="777" t="b">
        <f>IF('4 SUPERFICIES'!$A17&gt;45.4,IF('4 SUPERFICIES'!$A17&lt;61.6,IF('4 SUPERFICIES'!$C17&gt;113.5,IF('4 SUPERFICIES'!$C17&lt;121.6,'4 SUPERFICIES'!$AB17,0))))</f>
        <v>0</v>
      </c>
      <c r="BF208" s="777" t="b">
        <f>IF('4 SUPERFICIES'!$A17&gt;45.4,IF('4 SUPERFICIES'!$A17&lt;61.6,IF('4 SUPERFICIES'!$C17&gt;121.5,IF('4 SUPERFICIES'!$C17&lt;127.6,'4 SUPERFICIES'!$AB17,0))))</f>
        <v>0</v>
      </c>
      <c r="BG208" s="777" t="b">
        <f>IF('4 SUPERFICIES'!$A17&gt;45.4,IF('4 SUPERFICIES'!$A17&lt;61.6,IF('4 SUPERFICIES'!$C17&gt;127.5,IF('4 SUPERFICIES'!$C17&lt;135.1,'4 SUPERFICIES'!$AB17,0))))</f>
        <v>0</v>
      </c>
      <c r="BH208" s="777" t="b">
        <f>IF('4 SUPERFICIES'!$A17&gt;45.4,IF('4 SUPERFICIES'!$A17&lt;61.6,IF('4 SUPERFICIES'!$C17&gt;135,IF('4 SUPERFICIES'!$C17&lt;141.6,'4 SUPERFICIES'!$AB17,0))))</f>
        <v>0</v>
      </c>
      <c r="BI208" s="777" t="b">
        <f>IF('4 SUPERFICIES'!$A17&gt;45.4,IF('4 SUPERFICIES'!$A17&lt;61.6,IF('4 SUPERFICIES'!$C17&gt;141.5,IF('4 SUPERFICIES'!$C17&lt;149.1,'4 SUPERFICIES'!$AB17,0))))</f>
        <v>0</v>
      </c>
      <c r="BJ208" s="777" t="b">
        <f>IF('4 SUPERFICIES'!$A17&gt;45.4,IF('4 SUPERFICIES'!$A17&lt;61.6,IF('4 SUPERFICIES'!$C17&gt;149,IF('4 SUPERFICIES'!$C17&lt;155.6,'4 SUPERFICIES'!$AB17,0))))</f>
        <v>0</v>
      </c>
      <c r="BK208" s="777" t="b">
        <f>IF('4 SUPERFICIES'!$A17&gt;45.4,IF('4 SUPERFICIES'!$A17&lt;61.6,IF('4 SUPERFICIES'!$C17&gt;155.5,IF('4 SUPERFICIES'!$C17&lt;163.1,'4 SUPERFICIES'!$AB17,0))))</f>
        <v>0</v>
      </c>
      <c r="BL208" s="777" t="b">
        <f>IF('4 SUPERFICIES'!$A17&gt;45.4,IF('4 SUPERFICIES'!$A17&lt;61.6,IF('4 SUPERFICIES'!$C17&gt;163,IF('4 SUPERFICIES'!$C17&lt;180.6,'4 SUPERFICIES'!$AB17,0))))</f>
        <v>0</v>
      </c>
      <c r="BM208" s="777" t="b">
        <f>IF('4 SUPERFICIES'!$A17&gt;45.4,IF('4 SUPERFICIES'!$A17&lt;61.6,IF('4 SUPERFICIES'!$C17&gt;180.5,IF('4 SUPERFICIES'!$C17&lt;240.1,'4 SUPERFICIES'!$AB17,0))))</f>
        <v>0</v>
      </c>
      <c r="BO208" s="869" t="s">
        <v>518</v>
      </c>
      <c r="BQ208" s="870">
        <f>+$AT$250</f>
        <v>0</v>
      </c>
      <c r="BS208" s="869"/>
      <c r="BT208" s="870">
        <f>+$AT$251</f>
        <v>0</v>
      </c>
      <c r="BV208" s="777" t="b">
        <f>IF('4 SUPERFICIES'!$A17&gt;61.5,IF('4 SUPERFICIES'!$A17&lt;71.6,IF('4 SUPERFICIES'!$C17&gt;10,IF('4 SUPERFICIES'!$C17&lt;57.6,'4 SUPERFICIES'!$AB17,0))))</f>
        <v>0</v>
      </c>
      <c r="BW208" s="777" t="b">
        <f>IF('4 SUPERFICIES'!$A17&gt;61.5,IF('4 SUPERFICIES'!$A17&lt;71.6,IF('4 SUPERFICIES'!$C17&gt;57.6,IF('4 SUPERFICIES'!$C17&lt;71.6,'4 SUPERFICIES'!$AB17,0))))</f>
        <v>0</v>
      </c>
      <c r="BX208" s="777" t="b">
        <f>IF('4 SUPERFICIES'!$A17&gt;61.5,IF('4 SUPERFICIES'!$A17&lt;71.6,IF('4 SUPERFICIES'!$C17&gt;71.5,IF('4 SUPERFICIES'!$C17&lt;85.6,'4 SUPERFICIES'!$AB17,0))))</f>
        <v>0</v>
      </c>
      <c r="BY208" s="777" t="b">
        <f>IF('4 SUPERFICIES'!$A17&gt;61.5,IF('4 SUPERFICIES'!$A17&lt;71.6,IF('4 SUPERFICIES'!$C17&gt;85.5,IF('4 SUPERFICIES'!$C17&lt;113.6,'4 SUPERFICIES'!$AB17,0))))</f>
        <v>0</v>
      </c>
      <c r="BZ208" s="777" t="b">
        <f>IF('4 SUPERFICIES'!$A17&gt;61.5,IF('4 SUPERFICIES'!$A17&lt;71.6,IF('4 SUPERFICIES'!$C17&gt;113.5,IF('4 SUPERFICIES'!$C17&lt;141.6,'4 SUPERFICIES'!$AB17,0))))</f>
        <v>0</v>
      </c>
      <c r="CA208" s="777" t="b">
        <f>IF('4 SUPERFICIES'!$A17&gt;61.5,IF('4 SUPERFICIES'!$A17&lt;71.6,IF('4 SUPERFICIES'!$C17&gt;141.5,IF('4 SUPERFICIES'!$C17&lt;149.1,'4 SUPERFICIES'!$AB17,0))))</f>
        <v>0</v>
      </c>
      <c r="CB208" s="777" t="b">
        <f>IF('4 SUPERFICIES'!$A17&gt;61.5,IF('4 SUPERFICIES'!$A17&lt;71.6,IF('4 SUPERFICIES'!$C17&gt;149,IF('4 SUPERFICIES'!$C17&lt;163.1,'4 SUPERFICIES'!$AB17,0))))</f>
        <v>0</v>
      </c>
      <c r="CC208" s="777" t="b">
        <f>IF('4 SUPERFICIES'!$A17&gt;61.5,IF('4 SUPERFICIES'!$A17&lt;71.6,IF('4 SUPERFICIES'!$C17&gt;163,IF('4 SUPERFICIES'!$C17&lt;180.6,'4 SUPERFICIES'!$AB17,0))))</f>
        <v>0</v>
      </c>
      <c r="CD208" s="777" t="b">
        <f>IF('4 SUPERFICIES'!$A17&gt;61.5,IF('4 SUPERFICIES'!$A17&lt;71.6,IF('4 SUPERFICIES'!$C17&gt;180.5,IF('4 SUPERFICIES'!$C17&lt;240.1,'4 SUPERFICIES'!$AB17,0))))</f>
        <v>0</v>
      </c>
      <c r="CF208" s="777" t="b">
        <f>IF('4 SUPERFICIES'!$A17&gt;71.5,IF('4 SUPERFICIES'!$A17&lt;120.6,IF('4 SUPERFICIES'!$C17&gt;10,IF('4 SUPERFICIES'!$C17&lt;57.6,'4 SUPERFICIES'!$AB17,0))))</f>
        <v>0</v>
      </c>
      <c r="CG208" s="777" t="b">
        <f>IF('4 SUPERFICIES'!$A17&gt;71.5,IF('4 SUPERFICIES'!$A17&lt;120.6,IF('4 SUPERFICIES'!$C17&gt;57.6,IF('4 SUPERFICIES'!$C17&lt;71.6,'4 SUPERFICIES'!$AB17,0))))</f>
        <v>0</v>
      </c>
      <c r="CH208" s="777" t="b">
        <f>IF('4 SUPERFICIES'!$A17&gt;71.5,IF('4 SUPERFICIES'!$A17&lt;120.6,IF('4 SUPERFICIES'!$C17&gt;71.5,IF('4 SUPERFICIES'!$C17&lt;85.6,'4 SUPERFICIES'!$AB17,0))))</f>
        <v>0</v>
      </c>
      <c r="CI208" s="777" t="b">
        <f>IF('4 SUPERFICIES'!$A17&gt;71.5,IF('4 SUPERFICIES'!$A17&lt;120.6,IF('4 SUPERFICIES'!$C17&gt;85.5,IF('4 SUPERFICIES'!$C17&lt;113.6,'4 SUPERFICIES'!$AB17,0))))</f>
        <v>0</v>
      </c>
      <c r="CJ208" s="777" t="b">
        <f>IF('4 SUPERFICIES'!$A17&gt;71.5,IF('4 SUPERFICIES'!$A17&lt;120.6,IF('4 SUPERFICIES'!$C17&gt;113.5,IF('4 SUPERFICIES'!$C17&lt;141.6,'4 SUPERFICIES'!$AB17,0))))</f>
        <v>0</v>
      </c>
      <c r="CK208" s="777" t="b">
        <f>IF('4 SUPERFICIES'!$A17&gt;71.5,IF('4 SUPERFICIES'!$A17&lt;120.6,IF('4 SUPERFICIES'!$C17&gt;141.5,IF('4 SUPERFICIES'!$C17&lt;180.6,'4 SUPERFICIES'!$AB17,0))))</f>
        <v>0</v>
      </c>
      <c r="CL208" s="777" t="b">
        <f>IF('4 SUPERFICIES'!$A17&gt;71.5,IF('4 SUPERFICIES'!$A17&lt;120.6,IF('4 SUPERFICIES'!$C17&gt;180.5,IF('4 SUPERFICIES'!$C17&lt;240.1,'4 SUPERFICIES'!$AB17,0))))</f>
        <v>0</v>
      </c>
      <c r="CN208" s="777">
        <f>IF('4 SUPERFICIES'!$C17&lt;150,IF(OR('4 SUPERFICIES'!$A17="MICRODER",'4 SUPERFICIES'!$A17="MICRO DER",),'4 SUPERFICIES'!$AB17,0))</f>
        <v>0</v>
      </c>
      <c r="CO208" s="777" t="b">
        <f>IF('4 SUPERFICIES'!$C17&gt;149.5,IF(OR('4 SUPERFICIES'!$A17="MICRODER",'4 SUPERFICIES'!$A17="MICRO DER",),'4 SUPERFICIES'!$AB17,0))</f>
        <v>0</v>
      </c>
      <c r="CP208" s="847"/>
      <c r="CQ208" s="777">
        <f>IF('4 SUPERFICIES'!$C17&lt;150,IF(OR('4 SUPERFICIES'!$A17="MICROIZQ",'4 SUPERFICIES'!$A17="MICRO IZQ",),'4 SUPERFICIES'!$AB17,0))</f>
        <v>0</v>
      </c>
      <c r="CR208" s="777" t="b">
        <f>IF('4 SUPERFICIES'!$C17&gt;149.5,IF(OR('4 SUPERFICIES'!$A17="MICROIZQ",'4 SUPERFICIES'!$A17="MICRO IZQ",),'4 SUPERFICIES'!$AB17,0))</f>
        <v>0</v>
      </c>
      <c r="CT208" s="837">
        <f>IF(OR('4 SUPERFICIES'!$A17="MICRO SEN",'4 SUPERFICIES'!$A17="MICROSEN",),'4 SUPERFICIES'!$AB17,0)</f>
        <v>0</v>
      </c>
      <c r="CV208" s="837" t="b">
        <f>IF('4 SUPERFICIES'!$A17="DIAMETRO",IF('4 SUPERFICIES'!$C17&lt;121.1,'4 SUPERFICIES'!$AB17,0))</f>
        <v>0</v>
      </c>
      <c r="CX208" s="858"/>
      <c r="CZ208" s="837" t="b">
        <f>IF('4 SUPERFICIES'!$A17="MOSTRADOR",IF('4 SUPERFICIES'!$C17="R60",'4 SUPERFICIES'!$AB17,0))</f>
        <v>0</v>
      </c>
      <c r="DB208" s="837">
        <f>IF(OR('4 SUPERFICIES'!$A17="PORTA PRIN",'4 SUPERFICIES'!$A17="PORTAPRIN",),'4 SUPERFICIES'!$AB17,0)</f>
        <v>0</v>
      </c>
      <c r="DD208" s="837">
        <f>IF(OR('4 SUPERFICIES'!$A17="PORTA BADE",'4 SUPERFICIES'!$A17="PORTABADE",),'4 SUPERFICIES'!$AB17,0)</f>
        <v>0</v>
      </c>
      <c r="DE208" s="837"/>
      <c r="DF208" s="837">
        <f>IF(OR('4 SUPERFICIES'!$A17="RETORNO IZQ",'4 SUPERFICIES'!$A17="RETORNO DER",),'4 SUPERFICIES'!$AB117,0)</f>
        <v>0</v>
      </c>
      <c r="DG208" s="837"/>
      <c r="DH208" s="837">
        <f>IF(OR('4 SUPERFICIES'!$A17="PITO Q",'4 SUPERFICIES'!$A17="PITO P",'4 SUPERFICIES'!$A17="DIAMETRO INTEGRADA",),'4 SUPERFICIES'!$AB17,0)</f>
        <v>0</v>
      </c>
      <c r="DJ208" s="858"/>
      <c r="DK208" s="837"/>
      <c r="DL208" s="837">
        <f>IF('4 SUPERFICIES'!$A17="SUPERFICIE OVAL",'4 SUPERFICIES'!$AB17,0)</f>
        <v>0</v>
      </c>
      <c r="DN208" s="838"/>
      <c r="EG208" s="682">
        <f>IF('4 SUPERFICIES'!A17="MICRO DER",85,IF('4 SUPERFICIES'!A17="MICRO IZQ",85,IF('4 SUPERFICIES'!A17="MICRO SEN",170,IF('4 SUPERFICIES'!A17="DIAMETRO",3.14*'4 SUPERFICIES'!C17/2,IF('4 SUPERFICIES'!A17="MOSTRADOR",136,IF('4 SUPERFICIES'!A17="PORTA",65,IF('4 SUPERFICIES'!A17="PITO Q",90,IF('4 SUPERFICIES'!A17="PITO P",90,'4 SUPERFICIES'!A17))))))))</f>
        <v>0</v>
      </c>
      <c r="EH208" s="682"/>
      <c r="EI208" s="682">
        <f>IF('4 SUPERFICIES'!A17="DIAMETRO",0,IF('4 SUPERFICIES'!C17="PRINCIPAL",160,IF('4 SUPERFICIES'!C17="BADE",190,IF('4 SUPERFICIES'!C17="RETORNO",100,IF('4 SUPERFICIES'!C17="R 60",100,IF('4 SUPERFICIES'!C17="R60",100,'4 SUPERFICIES'!C17))))))</f>
        <v>0</v>
      </c>
      <c r="EJ208" s="682"/>
      <c r="EK208" s="682">
        <f>IF('4 SUPERFICIES'!$F17='4 SUPERFICIES'!$AG$15,((EG208*2)+(EI208*2))*'4 SUPERFICIES'!AB17,0)</f>
        <v>0</v>
      </c>
      <c r="EL208" s="682"/>
      <c r="EM208" s="682">
        <f>IF('4 SUPERFICIES'!$F17='4 SUPERFICIES'!$AG$16,((EG208*2)+(EI208*2))*'4 SUPERFICIES'!AB17,0)</f>
        <v>0</v>
      </c>
      <c r="EO208" s="682">
        <f>IF('4 SUPERFICIES'!$F17='4 SUPERFICIES'!$AG$17,((EG208*2)+(EI208*2))*'4 SUPERFICIES'!AB17,0)</f>
        <v>0</v>
      </c>
      <c r="EQ208" s="682">
        <f>IF('4 SUPERFICIES'!$F17='4 SUPERFICIES'!$AG$18,((EG208*2)+(EI208*2))*'4 SUPERFICIES'!AB17,0)</f>
        <v>0</v>
      </c>
      <c r="HF208" s="700">
        <v>13</v>
      </c>
      <c r="HH208" s="591">
        <v>13</v>
      </c>
    </row>
    <row r="209" spans="1:216" ht="26.25" x14ac:dyDescent="0.4">
      <c r="D209" s="1086" t="s">
        <v>995</v>
      </c>
      <c r="E209" s="1087"/>
      <c r="F209" s="1087"/>
      <c r="G209" s="1088"/>
      <c r="AK209" s="777" t="b">
        <f>IF('4 SUPERFICIES'!$A18&gt;10,IF('4 SUPERFICIES'!$A18&lt;31.1,IF('4 SUPERFICIES'!$C18&gt;10,IF('4 SUPERFICIES'!$C18&lt;57.6,'4 SUPERFICIES'!$AB18,0))))</f>
        <v>0</v>
      </c>
      <c r="AL209" s="777" t="b">
        <f>IF('4 SUPERFICIES'!$A18&gt;10,IF('4 SUPERFICIES'!$A18&lt;31.1,IF('4 SUPERFICIES'!$C18&gt;57.6,IF('4 SUPERFICIES'!$C18&lt;71.6,'4 SUPERFICIES'!$AB18,0))))</f>
        <v>0</v>
      </c>
      <c r="AM209" s="777" t="b">
        <f>IF('4 SUPERFICIES'!$A18&gt;10,IF('4 SUPERFICIES'!$A18&lt;31.1,IF('4 SUPERFICIES'!$C18&gt;71.5,IF('4 SUPERFICIES'!$C18&lt;85.6,'4 SUPERFICIES'!$AB18,0))))</f>
        <v>0</v>
      </c>
      <c r="AN209" s="777" t="b">
        <f>IF('4 SUPERFICIES'!$A18&gt;10,IF('4 SUPERFICIES'!$A18&lt;31.1,IF('4 SUPERFICIES'!$C18&gt;85.5,IF('4 SUPERFICIES'!$C18&lt;113.6,'4 SUPERFICIES'!$AB18,0))))</f>
        <v>0</v>
      </c>
      <c r="AO209" s="777" t="b">
        <f>IF('4 SUPERFICIES'!$A18&gt;10,IF('4 SUPERFICIES'!$A18&lt;31.1,IF('4 SUPERFICIES'!$C18&gt;113.5,IF('4 SUPERFICIES'!$C18&lt;141.6,'4 SUPERFICIES'!$AB18,0))))</f>
        <v>0</v>
      </c>
      <c r="AP209" s="777" t="b">
        <f>IF('4 SUPERFICIES'!$A18&gt;10,IF('4 SUPERFICIES'!$A18&lt;31.1,IF('4 SUPERFICIES'!$C18&gt;141.5,IF('4 SUPERFICIES'!$C18&lt;180.6,'4 SUPERFICIES'!$AB18,0))))</f>
        <v>0</v>
      </c>
      <c r="AQ209" s="777" t="b">
        <f>IF('4 SUPERFICIES'!$A18&gt;10,IF('4 SUPERFICIES'!$A18&lt;31.1,IF('4 SUPERFICIES'!$C18&gt;180.5,IF('4 SUPERFICIES'!$C18&lt;240.1,'4 SUPERFICIES'!$AB18,0))))</f>
        <v>0</v>
      </c>
      <c r="AS209" s="777" t="b">
        <f>IF('4 SUPERFICIES'!$A18&gt;31,IF('4 SUPERFICIES'!$A18&lt;45.5,IF('4 SUPERFICIES'!$C18&gt;10,IF('4 SUPERFICIES'!$C18&lt;57.6,'4 SUPERFICIES'!$AB18,0))))</f>
        <v>0</v>
      </c>
      <c r="AT209" s="777" t="b">
        <f>IF('4 SUPERFICIES'!$A18&gt;31,IF('4 SUPERFICIES'!$A18&lt;45.5,IF('4 SUPERFICIES'!$C18&gt;57.6,IF('4 SUPERFICIES'!$C18&lt;71.6,'4 SUPERFICIES'!$AB18,0))))</f>
        <v>0</v>
      </c>
      <c r="AU209" s="777" t="b">
        <f>IF('4 SUPERFICIES'!$A18&gt;31,IF('4 SUPERFICIES'!$A18&lt;45.5,IF('4 SUPERFICIES'!$C18&gt;71.5,IF('4 SUPERFICIES'!$C18&lt;85.6,'4 SUPERFICIES'!$AB18,0))))</f>
        <v>0</v>
      </c>
      <c r="AV209" s="777" t="b">
        <f>IF('4 SUPERFICIES'!$A18&gt;31,IF('4 SUPERFICIES'!$A18&lt;45.5,IF('4 SUPERFICIES'!$C18&gt;85.5,IF('4 SUPERFICIES'!$C18&lt;113.6,'4 SUPERFICIES'!$AB18,0))))</f>
        <v>0</v>
      </c>
      <c r="AW209" s="777" t="b">
        <f>IF('4 SUPERFICIES'!$A18&gt;31,IF('4 SUPERFICIES'!$A18&lt;45.5,IF('4 SUPERFICIES'!$C18&gt;113.5,IF('4 SUPERFICIES'!$C18&lt;141.6,'4 SUPERFICIES'!$AB18,0))))</f>
        <v>0</v>
      </c>
      <c r="AX209" s="777" t="b">
        <f>IF('4 SUPERFICIES'!$A18&gt;31,IF('4 SUPERFICIES'!$A18&lt;45.5,IF('4 SUPERFICIES'!$C18&gt;141.5,IF('4 SUPERFICIES'!$C18&lt;180.6,'4 SUPERFICIES'!$AB18,0))))</f>
        <v>0</v>
      </c>
      <c r="AY209" s="777" t="b">
        <f>IF('4 SUPERFICIES'!$A18&gt;31,IF('4 SUPERFICIES'!$A18&lt;45.5,IF('4 SUPERFICIES'!$C18&gt;180.5,IF('4 SUPERFICIES'!$C18&lt;240.1,'4 SUPERFICIES'!$AB18,0))))</f>
        <v>0</v>
      </c>
      <c r="BA209" s="777" t="b">
        <f>IF('4 SUPERFICIES'!$A18&gt;45.4,IF('4 SUPERFICIES'!$A18&lt;61.6,IF('4 SUPERFICIES'!$C18&gt;10,IF('4 SUPERFICIES'!$C18&lt;61.5,'4 SUPERFICIES'!$AB18,0))))</f>
        <v>0</v>
      </c>
      <c r="BB209" s="777" t="b">
        <f>IF('4 SUPERFICIES'!$A18&gt;45.4,IF('4 SUPERFICIES'!$A18&lt;61.6,IF('4 SUPERFICIES'!$C18&gt;61.1,IF('4 SUPERFICIES'!$C18&lt;71.6,'4 SUPERFICIES'!$AB18,0))))</f>
        <v>0</v>
      </c>
      <c r="BC209" s="777" t="b">
        <f>IF('4 SUPERFICIES'!$A18&gt;45.4,IF('4 SUPERFICIES'!$A18&lt;61.6,IF('4 SUPERFICIES'!$C18&gt;71.5,IF('4 SUPERFICIES'!$C18&lt;85.6,'4 SUPERFICIES'!$AB18,0))))</f>
        <v>0</v>
      </c>
      <c r="BD209" s="777" t="b">
        <f>IF('4 SUPERFICIES'!$A18&gt;45.4,IF('4 SUPERFICIES'!$A18&lt;61.6,IF('4 SUPERFICIES'!$C18&gt;85.5,IF('4 SUPERFICIES'!$C18&lt;113.6,'4 SUPERFICIES'!$AB18,0))))</f>
        <v>0</v>
      </c>
      <c r="BE209" s="777" t="b">
        <f>IF('4 SUPERFICIES'!$A18&gt;45.4,IF('4 SUPERFICIES'!$A18&lt;61.6,IF('4 SUPERFICIES'!$C18&gt;113.5,IF('4 SUPERFICIES'!$C18&lt;121.6,'4 SUPERFICIES'!$AB18,0))))</f>
        <v>0</v>
      </c>
      <c r="BF209" s="777" t="b">
        <f>IF('4 SUPERFICIES'!$A18&gt;45.4,IF('4 SUPERFICIES'!$A18&lt;61.6,IF('4 SUPERFICIES'!$C18&gt;121.5,IF('4 SUPERFICIES'!$C18&lt;127.6,'4 SUPERFICIES'!$AB18,0))))</f>
        <v>0</v>
      </c>
      <c r="BG209" s="777" t="b">
        <f>IF('4 SUPERFICIES'!$A18&gt;45.4,IF('4 SUPERFICIES'!$A18&lt;61.6,IF('4 SUPERFICIES'!$C18&gt;127.5,IF('4 SUPERFICIES'!$C18&lt;135.1,'4 SUPERFICIES'!$AB18,0))))</f>
        <v>0</v>
      </c>
      <c r="BH209" s="777" t="b">
        <f>IF('4 SUPERFICIES'!$A18&gt;45.4,IF('4 SUPERFICIES'!$A18&lt;61.6,IF('4 SUPERFICIES'!$C18&gt;135,IF('4 SUPERFICIES'!$C18&lt;141.6,'4 SUPERFICIES'!$AB18,0))))</f>
        <v>0</v>
      </c>
      <c r="BI209" s="777" t="b">
        <f>IF('4 SUPERFICIES'!$A18&gt;45.4,IF('4 SUPERFICIES'!$A18&lt;61.6,IF('4 SUPERFICIES'!$C18&gt;141.5,IF('4 SUPERFICIES'!$C18&lt;149.1,'4 SUPERFICIES'!$AB18,0))))</f>
        <v>0</v>
      </c>
      <c r="BJ209" s="777" t="b">
        <f>IF('4 SUPERFICIES'!$A18&gt;45.4,IF('4 SUPERFICIES'!$A18&lt;61.6,IF('4 SUPERFICIES'!$C18&gt;149,IF('4 SUPERFICIES'!$C18&lt;155.6,'4 SUPERFICIES'!$AB18,0))))</f>
        <v>0</v>
      </c>
      <c r="BK209" s="777" t="b">
        <f>IF('4 SUPERFICIES'!$A18&gt;45.4,IF('4 SUPERFICIES'!$A18&lt;61.6,IF('4 SUPERFICIES'!$C18&gt;155.5,IF('4 SUPERFICIES'!$C18&lt;163.1,'4 SUPERFICIES'!$AB18,0))))</f>
        <v>0</v>
      </c>
      <c r="BL209" s="777" t="b">
        <f>IF('4 SUPERFICIES'!$A18&gt;45.4,IF('4 SUPERFICIES'!$A18&lt;61.6,IF('4 SUPERFICIES'!$C18&gt;163,IF('4 SUPERFICIES'!$C18&lt;180.6,'4 SUPERFICIES'!$AB18,0))))</f>
        <v>0</v>
      </c>
      <c r="BM209" s="777" t="b">
        <f>IF('4 SUPERFICIES'!$A18&gt;45.4,IF('4 SUPERFICIES'!$A18&lt;61.6,IF('4 SUPERFICIES'!$C18&gt;180.5,IF('4 SUPERFICIES'!$C18&lt;240.1,'4 SUPERFICIES'!$AB18,0))))</f>
        <v>0</v>
      </c>
      <c r="BO209" s="869" t="s">
        <v>519</v>
      </c>
      <c r="BQ209" s="870">
        <f>+$AU$250</f>
        <v>0</v>
      </c>
      <c r="BS209" s="869"/>
      <c r="BT209" s="870">
        <f>+$AU$251</f>
        <v>0</v>
      </c>
      <c r="BV209" s="777" t="b">
        <f>IF('4 SUPERFICIES'!$A18&gt;61.5,IF('4 SUPERFICIES'!$A18&lt;71.6,IF('4 SUPERFICIES'!$C18&gt;10,IF('4 SUPERFICIES'!$C18&lt;57.6,'4 SUPERFICIES'!$AB18,0))))</f>
        <v>0</v>
      </c>
      <c r="BW209" s="777" t="b">
        <f>IF('4 SUPERFICIES'!$A18&gt;61.5,IF('4 SUPERFICIES'!$A18&lt;71.6,IF('4 SUPERFICIES'!$C18&gt;57.6,IF('4 SUPERFICIES'!$C18&lt;71.6,'4 SUPERFICIES'!$AB18,0))))</f>
        <v>0</v>
      </c>
      <c r="BX209" s="777" t="b">
        <f>IF('4 SUPERFICIES'!$A18&gt;61.5,IF('4 SUPERFICIES'!$A18&lt;71.6,IF('4 SUPERFICIES'!$C18&gt;71.5,IF('4 SUPERFICIES'!$C18&lt;85.6,'4 SUPERFICIES'!$AB18,0))))</f>
        <v>0</v>
      </c>
      <c r="BY209" s="777" t="b">
        <f>IF('4 SUPERFICIES'!$A18&gt;61.5,IF('4 SUPERFICIES'!$A18&lt;71.6,IF('4 SUPERFICIES'!$C18&gt;85.5,IF('4 SUPERFICIES'!$C18&lt;113.6,'4 SUPERFICIES'!$AB18,0))))</f>
        <v>0</v>
      </c>
      <c r="BZ209" s="777" t="b">
        <f>IF('4 SUPERFICIES'!$A18&gt;61.5,IF('4 SUPERFICIES'!$A18&lt;71.6,IF('4 SUPERFICIES'!$C18&gt;113.5,IF('4 SUPERFICIES'!$C18&lt;141.6,'4 SUPERFICIES'!$AB18,0))))</f>
        <v>0</v>
      </c>
      <c r="CA209" s="777" t="b">
        <f>IF('4 SUPERFICIES'!$A18&gt;61.5,IF('4 SUPERFICIES'!$A18&lt;71.6,IF('4 SUPERFICIES'!$C18&gt;141.5,IF('4 SUPERFICIES'!$C18&lt;149.1,'4 SUPERFICIES'!$AB18,0))))</f>
        <v>0</v>
      </c>
      <c r="CB209" s="777" t="b">
        <f>IF('4 SUPERFICIES'!$A18&gt;61.5,IF('4 SUPERFICIES'!$A18&lt;71.6,IF('4 SUPERFICIES'!$C18&gt;149,IF('4 SUPERFICIES'!$C18&lt;163.1,'4 SUPERFICIES'!$AB18,0))))</f>
        <v>0</v>
      </c>
      <c r="CC209" s="777" t="b">
        <f>IF('4 SUPERFICIES'!$A18&gt;61.5,IF('4 SUPERFICIES'!$A18&lt;71.6,IF('4 SUPERFICIES'!$C18&gt;163,IF('4 SUPERFICIES'!$C18&lt;180.6,'4 SUPERFICIES'!$AB18,0))))</f>
        <v>0</v>
      </c>
      <c r="CD209" s="777" t="b">
        <f>IF('4 SUPERFICIES'!$A18&gt;61.5,IF('4 SUPERFICIES'!$A18&lt;71.6,IF('4 SUPERFICIES'!$C18&gt;180.5,IF('4 SUPERFICIES'!$C18&lt;240.1,'4 SUPERFICIES'!$AB18,0))))</f>
        <v>0</v>
      </c>
      <c r="CF209" s="777" t="b">
        <f>IF('4 SUPERFICIES'!$A18&gt;71.5,IF('4 SUPERFICIES'!$A18&lt;120.6,IF('4 SUPERFICIES'!$C18&gt;10,IF('4 SUPERFICIES'!$C18&lt;57.6,'4 SUPERFICIES'!$AB18,0))))</f>
        <v>0</v>
      </c>
      <c r="CG209" s="777" t="b">
        <f>IF('4 SUPERFICIES'!$A18&gt;71.5,IF('4 SUPERFICIES'!$A18&lt;120.6,IF('4 SUPERFICIES'!$C18&gt;57.6,IF('4 SUPERFICIES'!$C18&lt;71.6,'4 SUPERFICIES'!$AB18,0))))</f>
        <v>0</v>
      </c>
      <c r="CH209" s="777" t="b">
        <f>IF('4 SUPERFICIES'!$A18&gt;71.5,IF('4 SUPERFICIES'!$A18&lt;120.6,IF('4 SUPERFICIES'!$C18&gt;71.5,IF('4 SUPERFICIES'!$C18&lt;85.6,'4 SUPERFICIES'!$AB18,0))))</f>
        <v>0</v>
      </c>
      <c r="CI209" s="777" t="b">
        <f>IF('4 SUPERFICIES'!$A18&gt;71.5,IF('4 SUPERFICIES'!$A18&lt;120.6,IF('4 SUPERFICIES'!$C18&gt;85.5,IF('4 SUPERFICIES'!$C18&lt;113.6,'4 SUPERFICIES'!$AB18,0))))</f>
        <v>0</v>
      </c>
      <c r="CJ209" s="777" t="b">
        <f>IF('4 SUPERFICIES'!$A18&gt;71.5,IF('4 SUPERFICIES'!$A18&lt;120.6,IF('4 SUPERFICIES'!$C18&gt;113.5,IF('4 SUPERFICIES'!$C18&lt;141.6,'4 SUPERFICIES'!$AB18,0))))</f>
        <v>0</v>
      </c>
      <c r="CK209" s="777" t="b">
        <f>IF('4 SUPERFICIES'!$A18&gt;71.5,IF('4 SUPERFICIES'!$A18&lt;120.6,IF('4 SUPERFICIES'!$C18&gt;141.5,IF('4 SUPERFICIES'!$C18&lt;180.6,'4 SUPERFICIES'!$AB18,0))))</f>
        <v>0</v>
      </c>
      <c r="CL209" s="777" t="b">
        <f>IF('4 SUPERFICIES'!$A18&gt;71.5,IF('4 SUPERFICIES'!$A18&lt;120.6,IF('4 SUPERFICIES'!$C18&gt;180.5,IF('4 SUPERFICIES'!$C18&lt;240.1,'4 SUPERFICIES'!$AB18,0))))</f>
        <v>0</v>
      </c>
      <c r="CN209" s="777">
        <f>IF('4 SUPERFICIES'!$C18&lt;150,IF(OR('4 SUPERFICIES'!$A18="MICRODER",'4 SUPERFICIES'!$A18="MICRO DER",),'4 SUPERFICIES'!$AB18,0))</f>
        <v>0</v>
      </c>
      <c r="CO209" s="777" t="b">
        <f>IF('4 SUPERFICIES'!$C18&gt;149.5,IF(OR('4 SUPERFICIES'!$A18="MICRODER",'4 SUPERFICIES'!$A18="MICRO DER",),'4 SUPERFICIES'!$AB18,0))</f>
        <v>0</v>
      </c>
      <c r="CP209" s="847"/>
      <c r="CQ209" s="777">
        <f>IF('4 SUPERFICIES'!$C18&lt;150,IF(OR('4 SUPERFICIES'!$A18="MICROIZQ",'4 SUPERFICIES'!$A18="MICRO IZQ",),'4 SUPERFICIES'!$AB18,0))</f>
        <v>0</v>
      </c>
      <c r="CR209" s="777" t="b">
        <f>IF('4 SUPERFICIES'!$C18&gt;149.5,IF(OR('4 SUPERFICIES'!$A18="MICROIZQ",'4 SUPERFICIES'!$A18="MICRO IZQ",),'4 SUPERFICIES'!$AB18,0))</f>
        <v>0</v>
      </c>
      <c r="CT209" s="837">
        <f>IF(OR('4 SUPERFICIES'!$A18="MICRO SEN",'4 SUPERFICIES'!$A18="MICROSEN",),'4 SUPERFICIES'!$AB18,0)</f>
        <v>0</v>
      </c>
      <c r="CV209" s="837" t="b">
        <f>IF('4 SUPERFICIES'!$A18="DIAMETRO",IF('4 SUPERFICIES'!$C18&lt;121.1,'4 SUPERFICIES'!$AB18,0))</f>
        <v>0</v>
      </c>
      <c r="CX209" s="858"/>
      <c r="CZ209" s="837" t="b">
        <f>IF('4 SUPERFICIES'!$A18="MOSTRADOR",IF('4 SUPERFICIES'!$C18="R60",'4 SUPERFICIES'!$AB18,0))</f>
        <v>0</v>
      </c>
      <c r="DB209" s="837">
        <f>IF(OR('4 SUPERFICIES'!$A18="PORTA PRIN",'4 SUPERFICIES'!$A18="PORTAPRIN",),'4 SUPERFICIES'!$AB18,0)</f>
        <v>0</v>
      </c>
      <c r="DD209" s="837">
        <f>IF(OR('4 SUPERFICIES'!$A18="PORTA BADE",'4 SUPERFICIES'!$A18="PORTABADE",),'4 SUPERFICIES'!$AB18,0)</f>
        <v>0</v>
      </c>
      <c r="DE209" s="837"/>
      <c r="DF209" s="837">
        <f>IF(OR('4 SUPERFICIES'!$A18="RETORNO IZQ",'4 SUPERFICIES'!$A18="RETORNO DER",),'4 SUPERFICIES'!$AB118,0)</f>
        <v>0</v>
      </c>
      <c r="DG209" s="837"/>
      <c r="DH209" s="837">
        <f>IF(OR('4 SUPERFICIES'!$A18="PITO Q",'4 SUPERFICIES'!$A18="PITO P",'4 SUPERFICIES'!$A18="DIAMETRO INTEGRADA",),'4 SUPERFICIES'!$AB18,0)</f>
        <v>0</v>
      </c>
      <c r="DJ209" s="858"/>
      <c r="DK209" s="837"/>
      <c r="DL209" s="837">
        <f>IF('4 SUPERFICIES'!$A18="SUPERFICIE OVAL",'4 SUPERFICIES'!$AB18,0)</f>
        <v>0</v>
      </c>
      <c r="DN209" s="838"/>
      <c r="EG209" s="682">
        <f>IF('4 SUPERFICIES'!A18="MICRO DER",85,IF('4 SUPERFICIES'!A18="MICRO IZQ",85,IF('4 SUPERFICIES'!A18="MICRO SEN",170,IF('4 SUPERFICIES'!A18="DIAMETRO",3.14*'4 SUPERFICIES'!C18/2,IF('4 SUPERFICIES'!A18="MOSTRADOR",136,IF('4 SUPERFICIES'!A18="PORTA",65,IF('4 SUPERFICIES'!A18="PITO Q",90,IF('4 SUPERFICIES'!A18="PITO P",90,'4 SUPERFICIES'!A18))))))))</f>
        <v>0</v>
      </c>
      <c r="EH209" s="682"/>
      <c r="EI209" s="682">
        <f>IF('4 SUPERFICIES'!A18="DIAMETRO",0,IF('4 SUPERFICIES'!C18="PRINCIPAL",160,IF('4 SUPERFICIES'!C18="BADE",190,IF('4 SUPERFICIES'!C18="RETORNO",100,IF('4 SUPERFICIES'!C18="R 60",100,IF('4 SUPERFICIES'!C18="R60",100,'4 SUPERFICIES'!C18))))))</f>
        <v>0</v>
      </c>
      <c r="EJ209" s="682"/>
      <c r="EK209" s="682">
        <f>IF('4 SUPERFICIES'!$F18='4 SUPERFICIES'!$AG$15,((EG209*2)+(EI209*2))*'4 SUPERFICIES'!AB18,0)</f>
        <v>0</v>
      </c>
      <c r="EL209" s="682"/>
      <c r="EM209" s="682">
        <f>IF('4 SUPERFICIES'!$F18='4 SUPERFICIES'!$AG$16,((EG209*2)+(EI209*2))*'4 SUPERFICIES'!AB18,0)</f>
        <v>0</v>
      </c>
      <c r="EO209" s="682">
        <f>IF('4 SUPERFICIES'!$F18='4 SUPERFICIES'!$AG$17,((EG209*2)+(EI209*2))*'4 SUPERFICIES'!AB18,0)</f>
        <v>0</v>
      </c>
      <c r="EQ209" s="682">
        <f>IF('4 SUPERFICIES'!$F18='4 SUPERFICIES'!$AG$18,((EG209*2)+(EI209*2))*'4 SUPERFICIES'!AB18,0)</f>
        <v>0</v>
      </c>
      <c r="HF209" s="700">
        <v>13.5</v>
      </c>
      <c r="HH209" s="591">
        <v>13.5</v>
      </c>
    </row>
    <row r="210" spans="1:216" ht="26.25" x14ac:dyDescent="0.4">
      <c r="D210" s="696">
        <f>+(D230+D234+D238+D241)*D211</f>
        <v>0</v>
      </c>
      <c r="E210" s="696">
        <f>+(E230+E234+E238+E241)*E211</f>
        <v>0</v>
      </c>
      <c r="F210" s="696">
        <f>+(F230+F234+F238+F241)*F211</f>
        <v>0</v>
      </c>
      <c r="G210" s="696">
        <f>+(G230+G234+G238+G241)*G211</f>
        <v>0</v>
      </c>
      <c r="H210" s="777">
        <f>+G210+F210+E210+D210</f>
        <v>0</v>
      </c>
      <c r="AK210" s="777" t="b">
        <f>IF('4 SUPERFICIES'!$A19&gt;10,IF('4 SUPERFICIES'!$A19&lt;31.1,IF('4 SUPERFICIES'!$C19&gt;10,IF('4 SUPERFICIES'!$C19&lt;57.6,'4 SUPERFICIES'!$AB19,0))))</f>
        <v>0</v>
      </c>
      <c r="AL210" s="777" t="b">
        <f>IF('4 SUPERFICIES'!$A19&gt;10,IF('4 SUPERFICIES'!$A19&lt;31.1,IF('4 SUPERFICIES'!$C19&gt;57.6,IF('4 SUPERFICIES'!$C19&lt;71.6,'4 SUPERFICIES'!$AB19,0))))</f>
        <v>0</v>
      </c>
      <c r="AM210" s="777" t="b">
        <f>IF('4 SUPERFICIES'!$A19&gt;10,IF('4 SUPERFICIES'!$A19&lt;31.1,IF('4 SUPERFICIES'!$C19&gt;71.5,IF('4 SUPERFICIES'!$C19&lt;85.6,'4 SUPERFICIES'!$AB19,0))))</f>
        <v>0</v>
      </c>
      <c r="AN210" s="777" t="b">
        <f>IF('4 SUPERFICIES'!$A19&gt;10,IF('4 SUPERFICIES'!$A19&lt;31.1,IF('4 SUPERFICIES'!$C19&gt;85.5,IF('4 SUPERFICIES'!$C19&lt;113.6,'4 SUPERFICIES'!$AB19,0))))</f>
        <v>0</v>
      </c>
      <c r="AO210" s="777" t="b">
        <f>IF('4 SUPERFICIES'!$A19&gt;10,IF('4 SUPERFICIES'!$A19&lt;31.1,IF('4 SUPERFICIES'!$C19&gt;113.5,IF('4 SUPERFICIES'!$C19&lt;141.6,'4 SUPERFICIES'!$AB19,0))))</f>
        <v>0</v>
      </c>
      <c r="AP210" s="777" t="b">
        <f>IF('4 SUPERFICIES'!$A19&gt;10,IF('4 SUPERFICIES'!$A19&lt;31.1,IF('4 SUPERFICIES'!$C19&gt;141.5,IF('4 SUPERFICIES'!$C19&lt;180.6,'4 SUPERFICIES'!$AB19,0))))</f>
        <v>0</v>
      </c>
      <c r="AQ210" s="777" t="b">
        <f>IF('4 SUPERFICIES'!$A19&gt;10,IF('4 SUPERFICIES'!$A19&lt;31.1,IF('4 SUPERFICIES'!$C19&gt;180.5,IF('4 SUPERFICIES'!$C19&lt;240.1,'4 SUPERFICIES'!$AB19,0))))</f>
        <v>0</v>
      </c>
      <c r="AS210" s="777" t="b">
        <f>IF('4 SUPERFICIES'!$A19&gt;31,IF('4 SUPERFICIES'!$A19&lt;45.5,IF('4 SUPERFICIES'!$C19&gt;10,IF('4 SUPERFICIES'!$C19&lt;57.6,'4 SUPERFICIES'!$AB19,0))))</f>
        <v>0</v>
      </c>
      <c r="AT210" s="777" t="b">
        <f>IF('4 SUPERFICIES'!$A19&gt;31,IF('4 SUPERFICIES'!$A19&lt;45.5,IF('4 SUPERFICIES'!$C19&gt;57.6,IF('4 SUPERFICIES'!$C19&lt;71.6,'4 SUPERFICIES'!$AB19,0))))</f>
        <v>0</v>
      </c>
      <c r="AU210" s="777" t="b">
        <f>IF('4 SUPERFICIES'!$A19&gt;31,IF('4 SUPERFICIES'!$A19&lt;45.5,IF('4 SUPERFICIES'!$C19&gt;71.5,IF('4 SUPERFICIES'!$C19&lt;85.6,'4 SUPERFICIES'!$AB19,0))))</f>
        <v>0</v>
      </c>
      <c r="AV210" s="777" t="b">
        <f>IF('4 SUPERFICIES'!$A19&gt;31,IF('4 SUPERFICIES'!$A19&lt;45.5,IF('4 SUPERFICIES'!$C19&gt;85.5,IF('4 SUPERFICIES'!$C19&lt;113.6,'4 SUPERFICIES'!$AB19,0))))</f>
        <v>0</v>
      </c>
      <c r="AW210" s="777" t="b">
        <f>IF('4 SUPERFICIES'!$A19&gt;31,IF('4 SUPERFICIES'!$A19&lt;45.5,IF('4 SUPERFICIES'!$C19&gt;113.5,IF('4 SUPERFICIES'!$C19&lt;141.6,'4 SUPERFICIES'!$AB19,0))))</f>
        <v>0</v>
      </c>
      <c r="AX210" s="777" t="b">
        <f>IF('4 SUPERFICIES'!$A19&gt;31,IF('4 SUPERFICIES'!$A19&lt;45.5,IF('4 SUPERFICIES'!$C19&gt;141.5,IF('4 SUPERFICIES'!$C19&lt;180.6,'4 SUPERFICIES'!$AB19,0))))</f>
        <v>0</v>
      </c>
      <c r="AY210" s="777" t="b">
        <f>IF('4 SUPERFICIES'!$A19&gt;31,IF('4 SUPERFICIES'!$A19&lt;45.5,IF('4 SUPERFICIES'!$C19&gt;180.5,IF('4 SUPERFICIES'!$C19&lt;240.1,'4 SUPERFICIES'!$AB19,0))))</f>
        <v>0</v>
      </c>
      <c r="BA210" s="777" t="b">
        <f>IF('4 SUPERFICIES'!$A19&gt;45.4,IF('4 SUPERFICIES'!$A19&lt;61.6,IF('4 SUPERFICIES'!$C19&gt;10,IF('4 SUPERFICIES'!$C19&lt;61.5,'4 SUPERFICIES'!$AB19,0))))</f>
        <v>0</v>
      </c>
      <c r="BB210" s="777" t="b">
        <f>IF('4 SUPERFICIES'!$A19&gt;45.4,IF('4 SUPERFICIES'!$A19&lt;61.6,IF('4 SUPERFICIES'!$C19&gt;61.1,IF('4 SUPERFICIES'!$C19&lt;71.6,'4 SUPERFICIES'!$AB19,0))))</f>
        <v>0</v>
      </c>
      <c r="BC210" s="777" t="b">
        <f>IF('4 SUPERFICIES'!$A19&gt;45.4,IF('4 SUPERFICIES'!$A19&lt;61.6,IF('4 SUPERFICIES'!$C19&gt;71.5,IF('4 SUPERFICIES'!$C19&lt;85.6,'4 SUPERFICIES'!$AB19,0))))</f>
        <v>0</v>
      </c>
      <c r="BD210" s="777" t="b">
        <f>IF('4 SUPERFICIES'!$A19&gt;45.4,IF('4 SUPERFICIES'!$A19&lt;61.6,IF('4 SUPERFICIES'!$C19&gt;85.5,IF('4 SUPERFICIES'!$C19&lt;113.6,'4 SUPERFICIES'!$AB19,0))))</f>
        <v>0</v>
      </c>
      <c r="BE210" s="777" t="b">
        <f>IF('4 SUPERFICIES'!$A19&gt;45.4,IF('4 SUPERFICIES'!$A19&lt;61.6,IF('4 SUPERFICIES'!$C19&gt;113.5,IF('4 SUPERFICIES'!$C19&lt;121.6,'4 SUPERFICIES'!$AB19,0))))</f>
        <v>0</v>
      </c>
      <c r="BF210" s="777" t="b">
        <f>IF('4 SUPERFICIES'!$A19&gt;45.4,IF('4 SUPERFICIES'!$A19&lt;61.6,IF('4 SUPERFICIES'!$C19&gt;121.5,IF('4 SUPERFICIES'!$C19&lt;127.6,'4 SUPERFICIES'!$AB19,0))))</f>
        <v>0</v>
      </c>
      <c r="BG210" s="777" t="b">
        <f>IF('4 SUPERFICIES'!$A19&gt;45.4,IF('4 SUPERFICIES'!$A19&lt;61.6,IF('4 SUPERFICIES'!$C19&gt;127.5,IF('4 SUPERFICIES'!$C19&lt;135.1,'4 SUPERFICIES'!$AB19,0))))</f>
        <v>0</v>
      </c>
      <c r="BH210" s="777" t="b">
        <f>IF('4 SUPERFICIES'!$A19&gt;45.4,IF('4 SUPERFICIES'!$A19&lt;61.6,IF('4 SUPERFICIES'!$C19&gt;135,IF('4 SUPERFICIES'!$C19&lt;141.6,'4 SUPERFICIES'!$AB19,0))))</f>
        <v>0</v>
      </c>
      <c r="BI210" s="777" t="b">
        <f>IF('4 SUPERFICIES'!$A19&gt;45.4,IF('4 SUPERFICIES'!$A19&lt;61.6,IF('4 SUPERFICIES'!$C19&gt;141.5,IF('4 SUPERFICIES'!$C19&lt;149.1,'4 SUPERFICIES'!$AB19,0))))</f>
        <v>0</v>
      </c>
      <c r="BJ210" s="777" t="b">
        <f>IF('4 SUPERFICIES'!$A19&gt;45.4,IF('4 SUPERFICIES'!$A19&lt;61.6,IF('4 SUPERFICIES'!$C19&gt;149,IF('4 SUPERFICIES'!$C19&lt;155.6,'4 SUPERFICIES'!$AB19,0))))</f>
        <v>0</v>
      </c>
      <c r="BK210" s="777" t="b">
        <f>IF('4 SUPERFICIES'!$A19&gt;45.4,IF('4 SUPERFICIES'!$A19&lt;61.6,IF('4 SUPERFICIES'!$C19&gt;155.5,IF('4 SUPERFICIES'!$C19&lt;163.1,'4 SUPERFICIES'!$AB19,0))))</f>
        <v>0</v>
      </c>
      <c r="BL210" s="777" t="b">
        <f>IF('4 SUPERFICIES'!$A19&gt;45.4,IF('4 SUPERFICIES'!$A19&lt;61.6,IF('4 SUPERFICIES'!$C19&gt;163,IF('4 SUPERFICIES'!$C19&lt;180.6,'4 SUPERFICIES'!$AB19,0))))</f>
        <v>0</v>
      </c>
      <c r="BM210" s="777" t="b">
        <f>IF('4 SUPERFICIES'!$A19&gt;45.4,IF('4 SUPERFICIES'!$A19&lt;61.6,IF('4 SUPERFICIES'!$C19&gt;180.5,IF('4 SUPERFICIES'!$C19&lt;240.1,'4 SUPERFICIES'!$AB19,0))))</f>
        <v>0</v>
      </c>
      <c r="BO210" s="869" t="s">
        <v>521</v>
      </c>
      <c r="BQ210" s="870">
        <f>+$AV$250</f>
        <v>0</v>
      </c>
      <c r="BS210" s="869"/>
      <c r="BT210" s="870">
        <f>+$AV$251</f>
        <v>0</v>
      </c>
      <c r="BV210" s="777" t="b">
        <f>IF('4 SUPERFICIES'!$A19&gt;61.5,IF('4 SUPERFICIES'!$A19&lt;71.6,IF('4 SUPERFICIES'!$C19&gt;10,IF('4 SUPERFICIES'!$C19&lt;57.6,'4 SUPERFICIES'!$AB19,0))))</f>
        <v>0</v>
      </c>
      <c r="BW210" s="777" t="b">
        <f>IF('4 SUPERFICIES'!$A19&gt;61.5,IF('4 SUPERFICIES'!$A19&lt;71.6,IF('4 SUPERFICIES'!$C19&gt;57.6,IF('4 SUPERFICIES'!$C19&lt;71.6,'4 SUPERFICIES'!$AB19,0))))</f>
        <v>0</v>
      </c>
      <c r="BX210" s="777" t="b">
        <f>IF('4 SUPERFICIES'!$A19&gt;61.5,IF('4 SUPERFICIES'!$A19&lt;71.6,IF('4 SUPERFICIES'!$C19&gt;71.5,IF('4 SUPERFICIES'!$C19&lt;85.6,'4 SUPERFICIES'!$AB19,0))))</f>
        <v>0</v>
      </c>
      <c r="BY210" s="777" t="b">
        <f>IF('4 SUPERFICIES'!$A19&gt;61.5,IF('4 SUPERFICIES'!$A19&lt;71.6,IF('4 SUPERFICIES'!$C19&gt;85.5,IF('4 SUPERFICIES'!$C19&lt;113.6,'4 SUPERFICIES'!$AB19,0))))</f>
        <v>0</v>
      </c>
      <c r="BZ210" s="777" t="b">
        <f>IF('4 SUPERFICIES'!$A19&gt;61.5,IF('4 SUPERFICIES'!$A19&lt;71.6,IF('4 SUPERFICIES'!$C19&gt;113.5,IF('4 SUPERFICIES'!$C19&lt;141.6,'4 SUPERFICIES'!$AB19,0))))</f>
        <v>0</v>
      </c>
      <c r="CA210" s="777" t="b">
        <f>IF('4 SUPERFICIES'!$A19&gt;61.5,IF('4 SUPERFICIES'!$A19&lt;71.6,IF('4 SUPERFICIES'!$C19&gt;141.5,IF('4 SUPERFICIES'!$C19&lt;149.1,'4 SUPERFICIES'!$AB19,0))))</f>
        <v>0</v>
      </c>
      <c r="CB210" s="777" t="b">
        <f>IF('4 SUPERFICIES'!$A19&gt;61.5,IF('4 SUPERFICIES'!$A19&lt;71.6,IF('4 SUPERFICIES'!$C19&gt;149,IF('4 SUPERFICIES'!$C19&lt;163.1,'4 SUPERFICIES'!$AB19,0))))</f>
        <v>0</v>
      </c>
      <c r="CC210" s="777" t="b">
        <f>IF('4 SUPERFICIES'!$A19&gt;61.5,IF('4 SUPERFICIES'!$A19&lt;71.6,IF('4 SUPERFICIES'!$C19&gt;163,IF('4 SUPERFICIES'!$C19&lt;180.6,'4 SUPERFICIES'!$AB19,0))))</f>
        <v>0</v>
      </c>
      <c r="CD210" s="777" t="b">
        <f>IF('4 SUPERFICIES'!$A19&gt;61.5,IF('4 SUPERFICIES'!$A19&lt;71.6,IF('4 SUPERFICIES'!$C19&gt;180.5,IF('4 SUPERFICIES'!$C19&lt;240.1,'4 SUPERFICIES'!$AB19,0))))</f>
        <v>0</v>
      </c>
      <c r="CF210" s="777" t="b">
        <f>IF('4 SUPERFICIES'!$A19&gt;71.5,IF('4 SUPERFICIES'!$A19&lt;120.6,IF('4 SUPERFICIES'!$C19&gt;10,IF('4 SUPERFICIES'!$C19&lt;57.6,'4 SUPERFICIES'!$AB19,0))))</f>
        <v>0</v>
      </c>
      <c r="CG210" s="777" t="b">
        <f>IF('4 SUPERFICIES'!$A19&gt;71.5,IF('4 SUPERFICIES'!$A19&lt;120.6,IF('4 SUPERFICIES'!$C19&gt;57.6,IF('4 SUPERFICIES'!$C19&lt;71.6,'4 SUPERFICIES'!$AB19,0))))</f>
        <v>0</v>
      </c>
      <c r="CH210" s="777" t="b">
        <f>IF('4 SUPERFICIES'!$A19&gt;71.5,IF('4 SUPERFICIES'!$A19&lt;120.6,IF('4 SUPERFICIES'!$C19&gt;71.5,IF('4 SUPERFICIES'!$C19&lt;85.6,'4 SUPERFICIES'!$AB19,0))))</f>
        <v>0</v>
      </c>
      <c r="CI210" s="777" t="b">
        <f>IF('4 SUPERFICIES'!$A19&gt;71.5,IF('4 SUPERFICIES'!$A19&lt;120.6,IF('4 SUPERFICIES'!$C19&gt;85.5,IF('4 SUPERFICIES'!$C19&lt;113.6,'4 SUPERFICIES'!$AB19,0))))</f>
        <v>0</v>
      </c>
      <c r="CJ210" s="777" t="b">
        <f>IF('4 SUPERFICIES'!$A19&gt;71.5,IF('4 SUPERFICIES'!$A19&lt;120.6,IF('4 SUPERFICIES'!$C19&gt;113.5,IF('4 SUPERFICIES'!$C19&lt;141.6,'4 SUPERFICIES'!$AB19,0))))</f>
        <v>0</v>
      </c>
      <c r="CK210" s="777" t="b">
        <f>IF('4 SUPERFICIES'!$A19&gt;71.5,IF('4 SUPERFICIES'!$A19&lt;120.6,IF('4 SUPERFICIES'!$C19&gt;141.5,IF('4 SUPERFICIES'!$C19&lt;180.6,'4 SUPERFICIES'!$AB19,0))))</f>
        <v>0</v>
      </c>
      <c r="CL210" s="777" t="b">
        <f>IF('4 SUPERFICIES'!$A19&gt;71.5,IF('4 SUPERFICIES'!$A19&lt;120.6,IF('4 SUPERFICIES'!$C19&gt;180.5,IF('4 SUPERFICIES'!$C19&lt;240.1,'4 SUPERFICIES'!$AB19,0))))</f>
        <v>0</v>
      </c>
      <c r="CN210" s="777">
        <f>IF('4 SUPERFICIES'!$C19&lt;150,IF(OR('4 SUPERFICIES'!$A19="MICRODER",'4 SUPERFICIES'!$A19="MICRO DER",),'4 SUPERFICIES'!$AB19,0))</f>
        <v>0</v>
      </c>
      <c r="CO210" s="777" t="b">
        <f>IF('4 SUPERFICIES'!$C19&gt;149.5,IF(OR('4 SUPERFICIES'!$A19="MICRODER",'4 SUPERFICIES'!$A19="MICRO DER",),'4 SUPERFICIES'!$AB19,0))</f>
        <v>0</v>
      </c>
      <c r="CP210" s="847"/>
      <c r="CQ210" s="777">
        <f>IF('4 SUPERFICIES'!$C19&lt;150,IF(OR('4 SUPERFICIES'!$A19="MICROIZQ",'4 SUPERFICIES'!$A19="MICRO IZQ",),'4 SUPERFICIES'!$AB19,0))</f>
        <v>0</v>
      </c>
      <c r="CR210" s="777" t="b">
        <f>IF('4 SUPERFICIES'!$C19&gt;149.5,IF(OR('4 SUPERFICIES'!$A19="MICROIZQ",'4 SUPERFICIES'!$A19="MICRO IZQ",),'4 SUPERFICIES'!$AB19,0))</f>
        <v>0</v>
      </c>
      <c r="CT210" s="837">
        <f>IF(OR('4 SUPERFICIES'!$A19="MICRO SEN",'4 SUPERFICIES'!$A19="MICROSEN",),'4 SUPERFICIES'!$AB19,0)</f>
        <v>0</v>
      </c>
      <c r="CV210" s="837" t="b">
        <f>IF('4 SUPERFICIES'!$A19="DIAMETRO",IF('4 SUPERFICIES'!$C19&lt;121.1,'4 SUPERFICIES'!$AB19,0))</f>
        <v>0</v>
      </c>
      <c r="CX210" s="858"/>
      <c r="CZ210" s="837" t="b">
        <f>IF('4 SUPERFICIES'!$A19="MOSTRADOR",IF('4 SUPERFICIES'!$C19="R60",'4 SUPERFICIES'!$AB19,0))</f>
        <v>0</v>
      </c>
      <c r="DB210" s="837">
        <f>IF(OR('4 SUPERFICIES'!$A19="PORTA PRIN",'4 SUPERFICIES'!$A19="PORTAPRIN",),'4 SUPERFICIES'!$AB19,0)</f>
        <v>0</v>
      </c>
      <c r="DD210" s="837">
        <f>IF(OR('4 SUPERFICIES'!$A19="PORTA BADE",'4 SUPERFICIES'!$A19="PORTABADE",),'4 SUPERFICIES'!$AB19,0)</f>
        <v>0</v>
      </c>
      <c r="DE210" s="837"/>
      <c r="DF210" s="837">
        <f>IF(OR('4 SUPERFICIES'!$A19="RETORNO IZQ",'4 SUPERFICIES'!$A19="RETORNO DER",),'4 SUPERFICIES'!$AB119,0)</f>
        <v>0</v>
      </c>
      <c r="DG210" s="837"/>
      <c r="DH210" s="837">
        <f>IF(OR('4 SUPERFICIES'!$A19="PITO Q",'4 SUPERFICIES'!$A19="PITO P",'4 SUPERFICIES'!$A19="DIAMETRO INTEGRADA",),'4 SUPERFICIES'!$AB19,0)</f>
        <v>0</v>
      </c>
      <c r="DJ210" s="858"/>
      <c r="DK210" s="837"/>
      <c r="DL210" s="837">
        <f>IF('4 SUPERFICIES'!$A19="SUPERFICIE OVAL",'4 SUPERFICIES'!$AB19,0)</f>
        <v>0</v>
      </c>
      <c r="DN210" s="838"/>
      <c r="EG210" s="682">
        <f>IF('4 SUPERFICIES'!A19="MICRO DER",85,IF('4 SUPERFICIES'!A19="MICRO IZQ",85,IF('4 SUPERFICIES'!A19="MICRO SEN",170,IF('4 SUPERFICIES'!A19="DIAMETRO",3.14*'4 SUPERFICIES'!C19/2,IF('4 SUPERFICIES'!A19="MOSTRADOR",136,IF('4 SUPERFICIES'!A19="PORTA",65,IF('4 SUPERFICIES'!A19="PITO Q",90,IF('4 SUPERFICIES'!A19="PITO P",90,'4 SUPERFICIES'!A19))))))))</f>
        <v>0</v>
      </c>
      <c r="EH210" s="682"/>
      <c r="EI210" s="682">
        <f>IF('4 SUPERFICIES'!A19="DIAMETRO",0,IF('4 SUPERFICIES'!C19="PRINCIPAL",160,IF('4 SUPERFICIES'!C19="BADE",190,IF('4 SUPERFICIES'!C19="RETORNO",100,IF('4 SUPERFICIES'!C19="R 60",100,IF('4 SUPERFICIES'!C19="R60",100,'4 SUPERFICIES'!C19))))))</f>
        <v>0</v>
      </c>
      <c r="EJ210" s="682"/>
      <c r="EK210" s="682">
        <f>IF('4 SUPERFICIES'!$F19='4 SUPERFICIES'!$AG$15,((EG210*2)+(EI210*2))*'4 SUPERFICIES'!AB19,0)</f>
        <v>0</v>
      </c>
      <c r="EL210" s="682"/>
      <c r="EM210" s="682">
        <f>IF('4 SUPERFICIES'!$F19='4 SUPERFICIES'!$AG$16,((EG210*2)+(EI210*2))*'4 SUPERFICIES'!AB19,0)</f>
        <v>0</v>
      </c>
      <c r="EO210" s="682">
        <f>IF('4 SUPERFICIES'!$F19='4 SUPERFICIES'!$AG$17,((EG210*2)+(EI210*2))*'4 SUPERFICIES'!AB19,0)</f>
        <v>0</v>
      </c>
      <c r="EQ210" s="682">
        <f>IF('4 SUPERFICIES'!$F19='4 SUPERFICIES'!$AG$18,((EG210*2)+(EI210*2))*'4 SUPERFICIES'!AB19,0)</f>
        <v>0</v>
      </c>
      <c r="HF210" s="700">
        <v>14</v>
      </c>
      <c r="HH210" s="591">
        <v>14</v>
      </c>
    </row>
    <row r="211" spans="1:216" ht="26.25" x14ac:dyDescent="0.4">
      <c r="D211" s="693">
        <f>1/50</f>
        <v>0.02</v>
      </c>
      <c r="E211" s="694">
        <f>1/42</f>
        <v>2.3809523809523808E-2</v>
      </c>
      <c r="F211" s="694">
        <f>1/34</f>
        <v>2.9411764705882353E-2</v>
      </c>
      <c r="G211" s="695">
        <f>1/29</f>
        <v>3.4482758620689655E-2</v>
      </c>
      <c r="AK211" s="777" t="b">
        <f>IF('4 SUPERFICIES'!$A20&gt;10,IF('4 SUPERFICIES'!$A20&lt;31.1,IF('4 SUPERFICIES'!$C20&gt;10,IF('4 SUPERFICIES'!$C20&lt;57.6,'4 SUPERFICIES'!$AB20,0))))</f>
        <v>0</v>
      </c>
      <c r="AL211" s="777" t="b">
        <f>IF('4 SUPERFICIES'!$A20&gt;10,IF('4 SUPERFICIES'!$A20&lt;31.1,IF('4 SUPERFICIES'!$C20&gt;57.6,IF('4 SUPERFICIES'!$C20&lt;71.6,'4 SUPERFICIES'!$AB20,0))))</f>
        <v>0</v>
      </c>
      <c r="AM211" s="777" t="b">
        <f>IF('4 SUPERFICIES'!$A20&gt;10,IF('4 SUPERFICIES'!$A20&lt;31.1,IF('4 SUPERFICIES'!$C20&gt;71.5,IF('4 SUPERFICIES'!$C20&lt;85.6,'4 SUPERFICIES'!$AB20,0))))</f>
        <v>0</v>
      </c>
      <c r="AN211" s="777" t="b">
        <f>IF('4 SUPERFICIES'!$A20&gt;10,IF('4 SUPERFICIES'!$A20&lt;31.1,IF('4 SUPERFICIES'!$C20&gt;85.5,IF('4 SUPERFICIES'!$C20&lt;113.6,'4 SUPERFICIES'!$AB20,0))))</f>
        <v>0</v>
      </c>
      <c r="AO211" s="777" t="b">
        <f>IF('4 SUPERFICIES'!$A20&gt;10,IF('4 SUPERFICIES'!$A20&lt;31.1,IF('4 SUPERFICIES'!$C20&gt;113.5,IF('4 SUPERFICIES'!$C20&lt;141.6,'4 SUPERFICIES'!$AB20,0))))</f>
        <v>0</v>
      </c>
      <c r="AP211" s="777" t="b">
        <f>IF('4 SUPERFICIES'!$A20&gt;10,IF('4 SUPERFICIES'!$A20&lt;31.1,IF('4 SUPERFICIES'!$C20&gt;141.5,IF('4 SUPERFICIES'!$C20&lt;180.6,'4 SUPERFICIES'!$AB20,0))))</f>
        <v>0</v>
      </c>
      <c r="AQ211" s="777" t="b">
        <f>IF('4 SUPERFICIES'!$A20&gt;10,IF('4 SUPERFICIES'!$A20&lt;31.1,IF('4 SUPERFICIES'!$C20&gt;180.5,IF('4 SUPERFICIES'!$C20&lt;240.1,'4 SUPERFICIES'!$AB20,0))))</f>
        <v>0</v>
      </c>
      <c r="AS211" s="777" t="b">
        <f>IF('4 SUPERFICIES'!$A20&gt;31,IF('4 SUPERFICIES'!$A20&lt;45.5,IF('4 SUPERFICIES'!$C20&gt;10,IF('4 SUPERFICIES'!$C20&lt;57.6,'4 SUPERFICIES'!$AB20,0))))</f>
        <v>0</v>
      </c>
      <c r="AT211" s="777" t="b">
        <f>IF('4 SUPERFICIES'!$A20&gt;31,IF('4 SUPERFICIES'!$A20&lt;45.5,IF('4 SUPERFICIES'!$C20&gt;57.6,IF('4 SUPERFICIES'!$C20&lt;71.6,'4 SUPERFICIES'!$AB20,0))))</f>
        <v>0</v>
      </c>
      <c r="AU211" s="777" t="b">
        <f>IF('4 SUPERFICIES'!$A20&gt;31,IF('4 SUPERFICIES'!$A20&lt;45.5,IF('4 SUPERFICIES'!$C20&gt;71.5,IF('4 SUPERFICIES'!$C20&lt;85.6,'4 SUPERFICIES'!$AB20,0))))</f>
        <v>0</v>
      </c>
      <c r="AV211" s="777" t="b">
        <f>IF('4 SUPERFICIES'!$A20&gt;31,IF('4 SUPERFICIES'!$A20&lt;45.5,IF('4 SUPERFICIES'!$C20&gt;85.5,IF('4 SUPERFICIES'!$C20&lt;113.6,'4 SUPERFICIES'!$AB20,0))))</f>
        <v>0</v>
      </c>
      <c r="AW211" s="777" t="b">
        <f>IF('4 SUPERFICIES'!$A20&gt;31,IF('4 SUPERFICIES'!$A20&lt;45.5,IF('4 SUPERFICIES'!$C20&gt;113.5,IF('4 SUPERFICIES'!$C20&lt;141.6,'4 SUPERFICIES'!$AB20,0))))</f>
        <v>0</v>
      </c>
      <c r="AX211" s="777" t="b">
        <f>IF('4 SUPERFICIES'!$A20&gt;31,IF('4 SUPERFICIES'!$A20&lt;45.5,IF('4 SUPERFICIES'!$C20&gt;141.5,IF('4 SUPERFICIES'!$C20&lt;180.6,'4 SUPERFICIES'!$AB20,0))))</f>
        <v>0</v>
      </c>
      <c r="AY211" s="777" t="b">
        <f>IF('4 SUPERFICIES'!$A20&gt;31,IF('4 SUPERFICIES'!$A20&lt;45.5,IF('4 SUPERFICIES'!$C20&gt;180.5,IF('4 SUPERFICIES'!$C20&lt;240.1,'4 SUPERFICIES'!$AB20,0))))</f>
        <v>0</v>
      </c>
      <c r="BA211" s="777" t="b">
        <f>IF('4 SUPERFICIES'!$A20&gt;45.4,IF('4 SUPERFICIES'!$A20&lt;61.6,IF('4 SUPERFICIES'!$C20&gt;10,IF('4 SUPERFICIES'!$C20&lt;61.5,'4 SUPERFICIES'!$AB20,0))))</f>
        <v>0</v>
      </c>
      <c r="BB211" s="777" t="b">
        <f>IF('4 SUPERFICIES'!$A20&gt;45.4,IF('4 SUPERFICIES'!$A20&lt;61.6,IF('4 SUPERFICIES'!$C20&gt;61.1,IF('4 SUPERFICIES'!$C20&lt;71.6,'4 SUPERFICIES'!$AB20,0))))</f>
        <v>0</v>
      </c>
      <c r="BC211" s="777" t="b">
        <f>IF('4 SUPERFICIES'!$A20&gt;45.4,IF('4 SUPERFICIES'!$A20&lt;61.6,IF('4 SUPERFICIES'!$C20&gt;71.5,IF('4 SUPERFICIES'!$C20&lt;85.6,'4 SUPERFICIES'!$AB20,0))))</f>
        <v>0</v>
      </c>
      <c r="BD211" s="777" t="b">
        <f>IF('4 SUPERFICIES'!$A20&gt;45.4,IF('4 SUPERFICIES'!$A20&lt;61.6,IF('4 SUPERFICIES'!$C20&gt;85.5,IF('4 SUPERFICIES'!$C20&lt;113.6,'4 SUPERFICIES'!$AB20,0))))</f>
        <v>0</v>
      </c>
      <c r="BE211" s="777" t="b">
        <f>IF('4 SUPERFICIES'!$A20&gt;45.4,IF('4 SUPERFICIES'!$A20&lt;61.6,IF('4 SUPERFICIES'!$C20&gt;113.5,IF('4 SUPERFICIES'!$C20&lt;121.6,'4 SUPERFICIES'!$AB20,0))))</f>
        <v>0</v>
      </c>
      <c r="BF211" s="777" t="b">
        <f>IF('4 SUPERFICIES'!$A20&gt;45.4,IF('4 SUPERFICIES'!$A20&lt;61.6,IF('4 SUPERFICIES'!$C20&gt;121.5,IF('4 SUPERFICIES'!$C20&lt;127.6,'4 SUPERFICIES'!$AB20,0))))</f>
        <v>0</v>
      </c>
      <c r="BG211" s="777" t="b">
        <f>IF('4 SUPERFICIES'!$A20&gt;45.4,IF('4 SUPERFICIES'!$A20&lt;61.6,IF('4 SUPERFICIES'!$C20&gt;127.5,IF('4 SUPERFICIES'!$C20&lt;135.1,'4 SUPERFICIES'!$AB20,0))))</f>
        <v>0</v>
      </c>
      <c r="BH211" s="777" t="b">
        <f>IF('4 SUPERFICIES'!$A20&gt;45.4,IF('4 SUPERFICIES'!$A20&lt;61.6,IF('4 SUPERFICIES'!$C20&gt;135,IF('4 SUPERFICIES'!$C20&lt;141.6,'4 SUPERFICIES'!$AB20,0))))</f>
        <v>0</v>
      </c>
      <c r="BI211" s="777" t="b">
        <f>IF('4 SUPERFICIES'!$A20&gt;45.4,IF('4 SUPERFICIES'!$A20&lt;61.6,IF('4 SUPERFICIES'!$C20&gt;141.5,IF('4 SUPERFICIES'!$C20&lt;149.1,'4 SUPERFICIES'!$AB20,0))))</f>
        <v>0</v>
      </c>
      <c r="BJ211" s="777" t="b">
        <f>IF('4 SUPERFICIES'!$A20&gt;45.4,IF('4 SUPERFICIES'!$A20&lt;61.6,IF('4 SUPERFICIES'!$C20&gt;149,IF('4 SUPERFICIES'!$C20&lt;155.6,'4 SUPERFICIES'!$AB20,0))))</f>
        <v>0</v>
      </c>
      <c r="BK211" s="777" t="b">
        <f>IF('4 SUPERFICIES'!$A20&gt;45.4,IF('4 SUPERFICIES'!$A20&lt;61.6,IF('4 SUPERFICIES'!$C20&gt;155.5,IF('4 SUPERFICIES'!$C20&lt;163.1,'4 SUPERFICIES'!$AB20,0))))</f>
        <v>0</v>
      </c>
      <c r="BL211" s="777" t="b">
        <f>IF('4 SUPERFICIES'!$A20&gt;45.4,IF('4 SUPERFICIES'!$A20&lt;61.6,IF('4 SUPERFICIES'!$C20&gt;163,IF('4 SUPERFICIES'!$C20&lt;180.6,'4 SUPERFICIES'!$AB20,0))))</f>
        <v>0</v>
      </c>
      <c r="BM211" s="777" t="b">
        <f>IF('4 SUPERFICIES'!$A20&gt;45.4,IF('4 SUPERFICIES'!$A20&lt;61.6,IF('4 SUPERFICIES'!$C20&gt;180.5,IF('4 SUPERFICIES'!$C20&lt;240.1,'4 SUPERFICIES'!$AB20,0))))</f>
        <v>0</v>
      </c>
      <c r="BO211" s="869" t="s">
        <v>523</v>
      </c>
      <c r="BQ211" s="870">
        <f>+$AW$250</f>
        <v>0</v>
      </c>
      <c r="BS211" s="869"/>
      <c r="BT211" s="870">
        <f>+$AW$251</f>
        <v>0</v>
      </c>
      <c r="BV211" s="777" t="b">
        <f>IF('4 SUPERFICIES'!$A20&gt;61.5,IF('4 SUPERFICIES'!$A20&lt;71.6,IF('4 SUPERFICIES'!$C20&gt;10,IF('4 SUPERFICIES'!$C20&lt;57.6,'4 SUPERFICIES'!$AB20,0))))</f>
        <v>0</v>
      </c>
      <c r="BW211" s="777" t="b">
        <f>IF('4 SUPERFICIES'!$A20&gt;61.5,IF('4 SUPERFICIES'!$A20&lt;71.6,IF('4 SUPERFICIES'!$C20&gt;57.6,IF('4 SUPERFICIES'!$C20&lt;71.6,'4 SUPERFICIES'!$AB20,0))))</f>
        <v>0</v>
      </c>
      <c r="BX211" s="777" t="b">
        <f>IF('4 SUPERFICIES'!$A20&gt;61.5,IF('4 SUPERFICIES'!$A20&lt;71.6,IF('4 SUPERFICIES'!$C20&gt;71.5,IF('4 SUPERFICIES'!$C20&lt;85.6,'4 SUPERFICIES'!$AB20,0))))</f>
        <v>0</v>
      </c>
      <c r="BY211" s="777" t="b">
        <f>IF('4 SUPERFICIES'!$A20&gt;61.5,IF('4 SUPERFICIES'!$A20&lt;71.6,IF('4 SUPERFICIES'!$C20&gt;85.5,IF('4 SUPERFICIES'!$C20&lt;113.6,'4 SUPERFICIES'!$AB20,0))))</f>
        <v>0</v>
      </c>
      <c r="BZ211" s="777" t="b">
        <f>IF('4 SUPERFICIES'!$A20&gt;61.5,IF('4 SUPERFICIES'!$A20&lt;71.6,IF('4 SUPERFICIES'!$C20&gt;113.5,IF('4 SUPERFICIES'!$C20&lt;141.6,'4 SUPERFICIES'!$AB20,0))))</f>
        <v>0</v>
      </c>
      <c r="CA211" s="777" t="b">
        <f>IF('4 SUPERFICIES'!$A20&gt;61.5,IF('4 SUPERFICIES'!$A20&lt;71.6,IF('4 SUPERFICIES'!$C20&gt;141.5,IF('4 SUPERFICIES'!$C20&lt;149.1,'4 SUPERFICIES'!$AB20,0))))</f>
        <v>0</v>
      </c>
      <c r="CB211" s="777" t="b">
        <f>IF('4 SUPERFICIES'!$A20&gt;61.5,IF('4 SUPERFICIES'!$A20&lt;71.6,IF('4 SUPERFICIES'!$C20&gt;149,IF('4 SUPERFICIES'!$C20&lt;163.1,'4 SUPERFICIES'!$AB20,0))))</f>
        <v>0</v>
      </c>
      <c r="CC211" s="777" t="b">
        <f>IF('4 SUPERFICIES'!$A20&gt;61.5,IF('4 SUPERFICIES'!$A20&lt;71.6,IF('4 SUPERFICIES'!$C20&gt;163,IF('4 SUPERFICIES'!$C20&lt;180.6,'4 SUPERFICIES'!$AB20,0))))</f>
        <v>0</v>
      </c>
      <c r="CD211" s="777" t="b">
        <f>IF('4 SUPERFICIES'!$A20&gt;61.5,IF('4 SUPERFICIES'!$A20&lt;71.6,IF('4 SUPERFICIES'!$C20&gt;180.5,IF('4 SUPERFICIES'!$C20&lt;240.1,'4 SUPERFICIES'!$AB20,0))))</f>
        <v>0</v>
      </c>
      <c r="CF211" s="777" t="b">
        <f>IF('4 SUPERFICIES'!$A20&gt;71.5,IF('4 SUPERFICIES'!$A20&lt;120.6,IF('4 SUPERFICIES'!$C20&gt;10,IF('4 SUPERFICIES'!$C20&lt;57.6,'4 SUPERFICIES'!$AB20,0))))</f>
        <v>0</v>
      </c>
      <c r="CG211" s="777" t="b">
        <f>IF('4 SUPERFICIES'!$A20&gt;71.5,IF('4 SUPERFICIES'!$A20&lt;120.6,IF('4 SUPERFICIES'!$C20&gt;57.6,IF('4 SUPERFICIES'!$C20&lt;71.6,'4 SUPERFICIES'!$AB20,0))))</f>
        <v>0</v>
      </c>
      <c r="CH211" s="777" t="b">
        <f>IF('4 SUPERFICIES'!$A20&gt;71.5,IF('4 SUPERFICIES'!$A20&lt;120.6,IF('4 SUPERFICIES'!$C20&gt;71.5,IF('4 SUPERFICIES'!$C20&lt;85.6,'4 SUPERFICIES'!$AB20,0))))</f>
        <v>0</v>
      </c>
      <c r="CI211" s="777" t="b">
        <f>IF('4 SUPERFICIES'!$A20&gt;71.5,IF('4 SUPERFICIES'!$A20&lt;120.6,IF('4 SUPERFICIES'!$C20&gt;85.5,IF('4 SUPERFICIES'!$C20&lt;113.6,'4 SUPERFICIES'!$AB20,0))))</f>
        <v>0</v>
      </c>
      <c r="CJ211" s="777" t="b">
        <f>IF('4 SUPERFICIES'!$A20&gt;71.5,IF('4 SUPERFICIES'!$A20&lt;120.6,IF('4 SUPERFICIES'!$C20&gt;113.5,IF('4 SUPERFICIES'!$C20&lt;141.6,'4 SUPERFICIES'!$AB20,0))))</f>
        <v>0</v>
      </c>
      <c r="CK211" s="777" t="b">
        <f>IF('4 SUPERFICIES'!$A20&gt;71.5,IF('4 SUPERFICIES'!$A20&lt;120.6,IF('4 SUPERFICIES'!$C20&gt;141.5,IF('4 SUPERFICIES'!$C20&lt;180.6,'4 SUPERFICIES'!$AB20,0))))</f>
        <v>0</v>
      </c>
      <c r="CL211" s="777" t="b">
        <f>IF('4 SUPERFICIES'!$A20&gt;71.5,IF('4 SUPERFICIES'!$A20&lt;120.6,IF('4 SUPERFICIES'!$C20&gt;180.5,IF('4 SUPERFICIES'!$C20&lt;240.1,'4 SUPERFICIES'!$AB20,0))))</f>
        <v>0</v>
      </c>
      <c r="CN211" s="777">
        <f>IF('4 SUPERFICIES'!$C20&lt;150,IF(OR('4 SUPERFICIES'!$A20="MICRODER",'4 SUPERFICIES'!$A20="MICRO DER",),'4 SUPERFICIES'!$AB20,0))</f>
        <v>0</v>
      </c>
      <c r="CO211" s="777" t="b">
        <f>IF('4 SUPERFICIES'!$C20&gt;149.5,IF(OR('4 SUPERFICIES'!$A20="MICRODER",'4 SUPERFICIES'!$A20="MICRO DER",),'4 SUPERFICIES'!$AB20,0))</f>
        <v>0</v>
      </c>
      <c r="CP211" s="847"/>
      <c r="CQ211" s="777">
        <f>IF('4 SUPERFICIES'!$C20&lt;150,IF(OR('4 SUPERFICIES'!$A20="MICROIZQ",'4 SUPERFICIES'!$A20="MICRO IZQ",),'4 SUPERFICIES'!$AB20,0))</f>
        <v>0</v>
      </c>
      <c r="CR211" s="777" t="b">
        <f>IF('4 SUPERFICIES'!$C20&gt;149.5,IF(OR('4 SUPERFICIES'!$A20="MICROIZQ",'4 SUPERFICIES'!$A20="MICRO IZQ",),'4 SUPERFICIES'!$AB20,0))</f>
        <v>0</v>
      </c>
      <c r="CT211" s="837">
        <f>IF(OR('4 SUPERFICIES'!$A20="MICRO SEN",'4 SUPERFICIES'!$A20="MICROSEN",),'4 SUPERFICIES'!$AB20,0)</f>
        <v>0</v>
      </c>
      <c r="CV211" s="837" t="b">
        <f>IF('4 SUPERFICIES'!$A20="DIAMETRO",IF('4 SUPERFICIES'!$C20&lt;121.1,'4 SUPERFICIES'!$AB20,0))</f>
        <v>0</v>
      </c>
      <c r="CX211" s="858"/>
      <c r="CZ211" s="837" t="b">
        <f>IF('4 SUPERFICIES'!$A20="MOSTRADOR",IF('4 SUPERFICIES'!$C20="R60",'4 SUPERFICIES'!$AB20,0))</f>
        <v>0</v>
      </c>
      <c r="DB211" s="837">
        <f>IF(OR('4 SUPERFICIES'!$A20="PORTA PRIN",'4 SUPERFICIES'!$A20="PORTAPRIN",),'4 SUPERFICIES'!$AB20,0)</f>
        <v>0</v>
      </c>
      <c r="DD211" s="837">
        <f>IF(OR('4 SUPERFICIES'!$A20="PORTA BADE",'4 SUPERFICIES'!$A20="PORTABADE",),'4 SUPERFICIES'!$AB20,0)</f>
        <v>0</v>
      </c>
      <c r="DE211" s="837"/>
      <c r="DF211" s="837">
        <f>IF(OR('4 SUPERFICIES'!$A20="RETORNO IZQ",'4 SUPERFICIES'!$A20="RETORNO DER",),'4 SUPERFICIES'!$AB120,0)</f>
        <v>0</v>
      </c>
      <c r="DG211" s="837"/>
      <c r="DH211" s="837">
        <f>IF(OR('4 SUPERFICIES'!$A20="PITO Q",'4 SUPERFICIES'!$A20="PITO P",'4 SUPERFICIES'!$A20="DIAMETRO INTEGRADA",),'4 SUPERFICIES'!$AB20,0)</f>
        <v>0</v>
      </c>
      <c r="DJ211" s="858"/>
      <c r="DK211" s="837"/>
      <c r="DL211" s="837">
        <f>IF('4 SUPERFICIES'!$A20="SUPERFICIE OVAL",'4 SUPERFICIES'!$AB20,0)</f>
        <v>0</v>
      </c>
      <c r="DN211" s="838"/>
      <c r="EG211" s="682">
        <f>IF('4 SUPERFICIES'!A20="MICRO DER",85,IF('4 SUPERFICIES'!A20="MICRO IZQ",85,IF('4 SUPERFICIES'!A20="MICRO SEN",170,IF('4 SUPERFICIES'!A20="DIAMETRO",3.14*'4 SUPERFICIES'!C20/2,IF('4 SUPERFICIES'!A20="MOSTRADOR",136,IF('4 SUPERFICIES'!A20="PORTA",65,IF('4 SUPERFICIES'!A20="PITO Q",90,IF('4 SUPERFICIES'!A20="PITO P",90,'4 SUPERFICIES'!A20))))))))</f>
        <v>0</v>
      </c>
      <c r="EH211" s="682"/>
      <c r="EI211" s="682">
        <f>IF('4 SUPERFICIES'!A20="DIAMETRO",0,IF('4 SUPERFICIES'!C20="PRINCIPAL",160,IF('4 SUPERFICIES'!C20="BADE",190,IF('4 SUPERFICIES'!C20="RETORNO",100,IF('4 SUPERFICIES'!C20="R 60",100,IF('4 SUPERFICIES'!C20="R60",100,'4 SUPERFICIES'!C20))))))</f>
        <v>0</v>
      </c>
      <c r="EJ211" s="682"/>
      <c r="EK211" s="682">
        <f>IF('4 SUPERFICIES'!$F20='4 SUPERFICIES'!$AG$15,((EG211*2)+(EI211*2))*'4 SUPERFICIES'!AB20,0)</f>
        <v>0</v>
      </c>
      <c r="EL211" s="682"/>
      <c r="EM211" s="682">
        <f>IF('4 SUPERFICIES'!$F20='4 SUPERFICIES'!$AG$16,((EG211*2)+(EI211*2))*'4 SUPERFICIES'!AB20,0)</f>
        <v>0</v>
      </c>
      <c r="EO211" s="682">
        <f>IF('4 SUPERFICIES'!$F20='4 SUPERFICIES'!$AG$17,((EG211*2)+(EI211*2))*'4 SUPERFICIES'!AB20,0)</f>
        <v>0</v>
      </c>
      <c r="EQ211" s="682">
        <f>IF('4 SUPERFICIES'!$F20='4 SUPERFICIES'!$AG$18,((EG211*2)+(EI211*2))*'4 SUPERFICIES'!AB20,0)</f>
        <v>0</v>
      </c>
      <c r="HF211" s="700">
        <v>14.5</v>
      </c>
      <c r="HH211" s="591">
        <v>14.5</v>
      </c>
    </row>
    <row r="212" spans="1:216" ht="26.25" x14ac:dyDescent="0.4">
      <c r="AK212" s="777" t="b">
        <f>IF('4 SUPERFICIES'!$A21&gt;10,IF('4 SUPERFICIES'!$A21&lt;31.1,IF('4 SUPERFICIES'!$C21&gt;10,IF('4 SUPERFICIES'!$C21&lt;57.6,'4 SUPERFICIES'!$AB21,0))))</f>
        <v>0</v>
      </c>
      <c r="AL212" s="777" t="b">
        <f>IF('4 SUPERFICIES'!$A21&gt;10,IF('4 SUPERFICIES'!$A21&lt;31.1,IF('4 SUPERFICIES'!$C21&gt;57.6,IF('4 SUPERFICIES'!$C21&lt;71.6,'4 SUPERFICIES'!$AB21,0))))</f>
        <v>0</v>
      </c>
      <c r="AM212" s="777" t="b">
        <f>IF('4 SUPERFICIES'!$A21&gt;10,IF('4 SUPERFICIES'!$A21&lt;31.1,IF('4 SUPERFICIES'!$C21&gt;71.5,IF('4 SUPERFICIES'!$C21&lt;85.6,'4 SUPERFICIES'!$AB21,0))))</f>
        <v>0</v>
      </c>
      <c r="AN212" s="777" t="b">
        <f>IF('4 SUPERFICIES'!$A21&gt;10,IF('4 SUPERFICIES'!$A21&lt;31.1,IF('4 SUPERFICIES'!$C21&gt;85.5,IF('4 SUPERFICIES'!$C21&lt;113.6,'4 SUPERFICIES'!$AB21,0))))</f>
        <v>0</v>
      </c>
      <c r="AO212" s="777" t="b">
        <f>IF('4 SUPERFICIES'!$A21&gt;10,IF('4 SUPERFICIES'!$A21&lt;31.1,IF('4 SUPERFICIES'!$C21&gt;113.5,IF('4 SUPERFICIES'!$C21&lt;141.6,'4 SUPERFICIES'!$AB21,0))))</f>
        <v>0</v>
      </c>
      <c r="AP212" s="777" t="b">
        <f>IF('4 SUPERFICIES'!$A21&gt;10,IF('4 SUPERFICIES'!$A21&lt;31.1,IF('4 SUPERFICIES'!$C21&gt;141.5,IF('4 SUPERFICIES'!$C21&lt;180.6,'4 SUPERFICIES'!$AB21,0))))</f>
        <v>0</v>
      </c>
      <c r="AQ212" s="777" t="b">
        <f>IF('4 SUPERFICIES'!$A21&gt;10,IF('4 SUPERFICIES'!$A21&lt;31.1,IF('4 SUPERFICIES'!$C21&gt;180.5,IF('4 SUPERFICIES'!$C21&lt;240.1,'4 SUPERFICIES'!$AB21,0))))</f>
        <v>0</v>
      </c>
      <c r="AS212" s="777" t="b">
        <f>IF('4 SUPERFICIES'!$A21&gt;31,IF('4 SUPERFICIES'!$A21&lt;45.5,IF('4 SUPERFICIES'!$C21&gt;10,IF('4 SUPERFICIES'!$C21&lt;57.6,'4 SUPERFICIES'!$AB21,0))))</f>
        <v>0</v>
      </c>
      <c r="AT212" s="777" t="b">
        <f>IF('4 SUPERFICIES'!$A21&gt;31,IF('4 SUPERFICIES'!$A21&lt;45.5,IF('4 SUPERFICIES'!$C21&gt;57.6,IF('4 SUPERFICIES'!$C21&lt;71.6,'4 SUPERFICIES'!$AB21,0))))</f>
        <v>0</v>
      </c>
      <c r="AU212" s="777" t="b">
        <f>IF('4 SUPERFICIES'!$A21&gt;31,IF('4 SUPERFICIES'!$A21&lt;45.5,IF('4 SUPERFICIES'!$C21&gt;71.5,IF('4 SUPERFICIES'!$C21&lt;85.6,'4 SUPERFICIES'!$AB21,0))))</f>
        <v>0</v>
      </c>
      <c r="AV212" s="777" t="b">
        <f>IF('4 SUPERFICIES'!$A21&gt;31,IF('4 SUPERFICIES'!$A21&lt;45.5,IF('4 SUPERFICIES'!$C21&gt;85.5,IF('4 SUPERFICIES'!$C21&lt;113.6,'4 SUPERFICIES'!$AB21,0))))</f>
        <v>0</v>
      </c>
      <c r="AW212" s="777" t="b">
        <f>IF('4 SUPERFICIES'!$A21&gt;31,IF('4 SUPERFICIES'!$A21&lt;45.5,IF('4 SUPERFICIES'!$C21&gt;113.5,IF('4 SUPERFICIES'!$C21&lt;141.6,'4 SUPERFICIES'!$AB21,0))))</f>
        <v>0</v>
      </c>
      <c r="AX212" s="777" t="b">
        <f>IF('4 SUPERFICIES'!$A21&gt;31,IF('4 SUPERFICIES'!$A21&lt;45.5,IF('4 SUPERFICIES'!$C21&gt;141.5,IF('4 SUPERFICIES'!$C21&lt;180.6,'4 SUPERFICIES'!$AB21,0))))</f>
        <v>0</v>
      </c>
      <c r="AY212" s="777" t="b">
        <f>IF('4 SUPERFICIES'!$A21&gt;31,IF('4 SUPERFICIES'!$A21&lt;45.5,IF('4 SUPERFICIES'!$C21&gt;180.5,IF('4 SUPERFICIES'!$C21&lt;240.1,'4 SUPERFICIES'!$AB21,0))))</f>
        <v>0</v>
      </c>
      <c r="BA212" s="777" t="b">
        <f>IF('4 SUPERFICIES'!$A21&gt;45.4,IF('4 SUPERFICIES'!$A21&lt;61.6,IF('4 SUPERFICIES'!$C21&gt;10,IF('4 SUPERFICIES'!$C21&lt;61.5,'4 SUPERFICIES'!$AB21,0))))</f>
        <v>0</v>
      </c>
      <c r="BB212" s="777" t="b">
        <f>IF('4 SUPERFICIES'!$A21&gt;45.4,IF('4 SUPERFICIES'!$A21&lt;61.6,IF('4 SUPERFICIES'!$C21&gt;61.1,IF('4 SUPERFICIES'!$C21&lt;71.6,'4 SUPERFICIES'!$AB21,0))))</f>
        <v>0</v>
      </c>
      <c r="BC212" s="777" t="b">
        <f>IF('4 SUPERFICIES'!$A21&gt;45.4,IF('4 SUPERFICIES'!$A21&lt;61.6,IF('4 SUPERFICIES'!$C21&gt;71.5,IF('4 SUPERFICIES'!$C21&lt;85.6,'4 SUPERFICIES'!$AB21,0))))</f>
        <v>0</v>
      </c>
      <c r="BD212" s="777" t="b">
        <f>IF('4 SUPERFICIES'!$A21&gt;45.4,IF('4 SUPERFICIES'!$A21&lt;61.6,IF('4 SUPERFICIES'!$C21&gt;85.5,IF('4 SUPERFICIES'!$C21&lt;113.6,'4 SUPERFICIES'!$AB21,0))))</f>
        <v>0</v>
      </c>
      <c r="BE212" s="777" t="b">
        <f>IF('4 SUPERFICIES'!$A21&gt;45.4,IF('4 SUPERFICIES'!$A21&lt;61.6,IF('4 SUPERFICIES'!$C21&gt;113.5,IF('4 SUPERFICIES'!$C21&lt;121.6,'4 SUPERFICIES'!$AB21,0))))</f>
        <v>0</v>
      </c>
      <c r="BF212" s="777" t="b">
        <f>IF('4 SUPERFICIES'!$A21&gt;45.4,IF('4 SUPERFICIES'!$A21&lt;61.6,IF('4 SUPERFICIES'!$C21&gt;121.5,IF('4 SUPERFICIES'!$C21&lt;127.6,'4 SUPERFICIES'!$AB21,0))))</f>
        <v>0</v>
      </c>
      <c r="BG212" s="777" t="b">
        <f>IF('4 SUPERFICIES'!$A21&gt;45.4,IF('4 SUPERFICIES'!$A21&lt;61.6,IF('4 SUPERFICIES'!$C21&gt;127.5,IF('4 SUPERFICIES'!$C21&lt;135.1,'4 SUPERFICIES'!$AB21,0))))</f>
        <v>0</v>
      </c>
      <c r="BH212" s="777" t="b">
        <f>IF('4 SUPERFICIES'!$A21&gt;45.4,IF('4 SUPERFICIES'!$A21&lt;61.6,IF('4 SUPERFICIES'!$C21&gt;135,IF('4 SUPERFICIES'!$C21&lt;141.6,'4 SUPERFICIES'!$AB21,0))))</f>
        <v>0</v>
      </c>
      <c r="BI212" s="777" t="b">
        <f>IF('4 SUPERFICIES'!$A21&gt;45.4,IF('4 SUPERFICIES'!$A21&lt;61.6,IF('4 SUPERFICIES'!$C21&gt;141.5,IF('4 SUPERFICIES'!$C21&lt;149.1,'4 SUPERFICIES'!$AB21,0))))</f>
        <v>0</v>
      </c>
      <c r="BJ212" s="777" t="b">
        <f>IF('4 SUPERFICIES'!$A21&gt;45.4,IF('4 SUPERFICIES'!$A21&lt;61.6,IF('4 SUPERFICIES'!$C21&gt;149,IF('4 SUPERFICIES'!$C21&lt;155.6,'4 SUPERFICIES'!$AB21,0))))</f>
        <v>0</v>
      </c>
      <c r="BK212" s="777" t="b">
        <f>IF('4 SUPERFICIES'!$A21&gt;45.4,IF('4 SUPERFICIES'!$A21&lt;61.6,IF('4 SUPERFICIES'!$C21&gt;155.5,IF('4 SUPERFICIES'!$C21&lt;163.1,'4 SUPERFICIES'!$AB21,0))))</f>
        <v>0</v>
      </c>
      <c r="BL212" s="777" t="b">
        <f>IF('4 SUPERFICIES'!$A21&gt;45.4,IF('4 SUPERFICIES'!$A21&lt;61.6,IF('4 SUPERFICIES'!$C21&gt;163,IF('4 SUPERFICIES'!$C21&lt;180.6,'4 SUPERFICIES'!$AB21,0))))</f>
        <v>0</v>
      </c>
      <c r="BM212" s="777" t="b">
        <f>IF('4 SUPERFICIES'!$A21&gt;45.4,IF('4 SUPERFICIES'!$A21&lt;61.6,IF('4 SUPERFICIES'!$C21&gt;180.5,IF('4 SUPERFICIES'!$C21&lt;240.1,'4 SUPERFICIES'!$AB21,0))))</f>
        <v>0</v>
      </c>
      <c r="BO212" s="869" t="s">
        <v>525</v>
      </c>
      <c r="BQ212" s="870">
        <f>+$BA$250</f>
        <v>0</v>
      </c>
      <c r="BS212" s="869"/>
      <c r="BT212" s="870">
        <f>+$BA$251</f>
        <v>0</v>
      </c>
      <c r="BV212" s="777" t="b">
        <f>IF('4 SUPERFICIES'!$A21&gt;61.5,IF('4 SUPERFICIES'!$A21&lt;71.6,IF('4 SUPERFICIES'!$C21&gt;10,IF('4 SUPERFICIES'!$C21&lt;57.6,'4 SUPERFICIES'!$AB21,0))))</f>
        <v>0</v>
      </c>
      <c r="BW212" s="777" t="b">
        <f>IF('4 SUPERFICIES'!$A21&gt;61.5,IF('4 SUPERFICIES'!$A21&lt;71.6,IF('4 SUPERFICIES'!$C21&gt;57.6,IF('4 SUPERFICIES'!$C21&lt;71.6,'4 SUPERFICIES'!$AB21,0))))</f>
        <v>0</v>
      </c>
      <c r="BX212" s="777" t="b">
        <f>IF('4 SUPERFICIES'!$A21&gt;61.5,IF('4 SUPERFICIES'!$A21&lt;71.6,IF('4 SUPERFICIES'!$C21&gt;71.5,IF('4 SUPERFICIES'!$C21&lt;85.6,'4 SUPERFICIES'!$AB21,0))))</f>
        <v>0</v>
      </c>
      <c r="BY212" s="777" t="b">
        <f>IF('4 SUPERFICIES'!$A21&gt;61.5,IF('4 SUPERFICIES'!$A21&lt;71.6,IF('4 SUPERFICIES'!$C21&gt;85.5,IF('4 SUPERFICIES'!$C21&lt;113.6,'4 SUPERFICIES'!$AB21,0))))</f>
        <v>0</v>
      </c>
      <c r="BZ212" s="777" t="b">
        <f>IF('4 SUPERFICIES'!$A21&gt;61.5,IF('4 SUPERFICIES'!$A21&lt;71.6,IF('4 SUPERFICIES'!$C21&gt;113.5,IF('4 SUPERFICIES'!$C21&lt;141.6,'4 SUPERFICIES'!$AB21,0))))</f>
        <v>0</v>
      </c>
      <c r="CA212" s="777" t="b">
        <f>IF('4 SUPERFICIES'!$A21&gt;61.5,IF('4 SUPERFICIES'!$A21&lt;71.6,IF('4 SUPERFICIES'!$C21&gt;141.5,IF('4 SUPERFICIES'!$C21&lt;149.1,'4 SUPERFICIES'!$AB21,0))))</f>
        <v>0</v>
      </c>
      <c r="CB212" s="777" t="b">
        <f>IF('4 SUPERFICIES'!$A21&gt;61.5,IF('4 SUPERFICIES'!$A21&lt;71.6,IF('4 SUPERFICIES'!$C21&gt;149,IF('4 SUPERFICIES'!$C21&lt;163.1,'4 SUPERFICIES'!$AB21,0))))</f>
        <v>0</v>
      </c>
      <c r="CC212" s="777" t="b">
        <f>IF('4 SUPERFICIES'!$A21&gt;61.5,IF('4 SUPERFICIES'!$A21&lt;71.6,IF('4 SUPERFICIES'!$C21&gt;163,IF('4 SUPERFICIES'!$C21&lt;180.6,'4 SUPERFICIES'!$AB21,0))))</f>
        <v>0</v>
      </c>
      <c r="CD212" s="777" t="b">
        <f>IF('4 SUPERFICIES'!$A21&gt;61.5,IF('4 SUPERFICIES'!$A21&lt;71.6,IF('4 SUPERFICIES'!$C21&gt;180.5,IF('4 SUPERFICIES'!$C21&lt;240.1,'4 SUPERFICIES'!$AB21,0))))</f>
        <v>0</v>
      </c>
      <c r="CF212" s="777" t="b">
        <f>IF('4 SUPERFICIES'!$A21&gt;71.5,IF('4 SUPERFICIES'!$A21&lt;120.6,IF('4 SUPERFICIES'!$C21&gt;10,IF('4 SUPERFICIES'!$C21&lt;57.6,'4 SUPERFICIES'!$AB21,0))))</f>
        <v>0</v>
      </c>
      <c r="CG212" s="777" t="b">
        <f>IF('4 SUPERFICIES'!$A21&gt;71.5,IF('4 SUPERFICIES'!$A21&lt;120.6,IF('4 SUPERFICIES'!$C21&gt;57.6,IF('4 SUPERFICIES'!$C21&lt;71.6,'4 SUPERFICIES'!$AB21,0))))</f>
        <v>0</v>
      </c>
      <c r="CH212" s="777" t="b">
        <f>IF('4 SUPERFICIES'!$A21&gt;71.5,IF('4 SUPERFICIES'!$A21&lt;120.6,IF('4 SUPERFICIES'!$C21&gt;71.5,IF('4 SUPERFICIES'!$C21&lt;85.6,'4 SUPERFICIES'!$AB21,0))))</f>
        <v>0</v>
      </c>
      <c r="CI212" s="777" t="b">
        <f>IF('4 SUPERFICIES'!$A21&gt;71.5,IF('4 SUPERFICIES'!$A21&lt;120.6,IF('4 SUPERFICIES'!$C21&gt;85.5,IF('4 SUPERFICIES'!$C21&lt;113.6,'4 SUPERFICIES'!$AB21,0))))</f>
        <v>0</v>
      </c>
      <c r="CJ212" s="777" t="b">
        <f>IF('4 SUPERFICIES'!$A21&gt;71.5,IF('4 SUPERFICIES'!$A21&lt;120.6,IF('4 SUPERFICIES'!$C21&gt;113.5,IF('4 SUPERFICIES'!$C21&lt;141.6,'4 SUPERFICIES'!$AB21,0))))</f>
        <v>0</v>
      </c>
      <c r="CK212" s="777" t="b">
        <f>IF('4 SUPERFICIES'!$A21&gt;71.5,IF('4 SUPERFICIES'!$A21&lt;120.6,IF('4 SUPERFICIES'!$C21&gt;141.5,IF('4 SUPERFICIES'!$C21&lt;180.6,'4 SUPERFICIES'!$AB21,0))))</f>
        <v>0</v>
      </c>
      <c r="CL212" s="777" t="b">
        <f>IF('4 SUPERFICIES'!$A21&gt;71.5,IF('4 SUPERFICIES'!$A21&lt;120.6,IF('4 SUPERFICIES'!$C21&gt;180.5,IF('4 SUPERFICIES'!$C21&lt;240.1,'4 SUPERFICIES'!$AB21,0))))</f>
        <v>0</v>
      </c>
      <c r="CN212" s="777">
        <f>IF('4 SUPERFICIES'!$C21&lt;150,IF(OR('4 SUPERFICIES'!$A21="MICRODER",'4 SUPERFICIES'!$A21="MICRO DER",),'4 SUPERFICIES'!$AB21,0))</f>
        <v>0</v>
      </c>
      <c r="CO212" s="777" t="b">
        <f>IF('4 SUPERFICIES'!$C21&gt;149.5,IF(OR('4 SUPERFICIES'!$A21="MICRODER",'4 SUPERFICIES'!$A21="MICRO DER",),'4 SUPERFICIES'!$AB21,0))</f>
        <v>0</v>
      </c>
      <c r="CP212" s="847"/>
      <c r="CQ212" s="777">
        <f>IF('4 SUPERFICIES'!$C21&lt;150,IF(OR('4 SUPERFICIES'!$A21="MICROIZQ",'4 SUPERFICIES'!$A21="MICRO IZQ",),'4 SUPERFICIES'!$AB21,0))</f>
        <v>0</v>
      </c>
      <c r="CR212" s="777" t="b">
        <f>IF('4 SUPERFICIES'!$C21&gt;149.5,IF(OR('4 SUPERFICIES'!$A21="MICROIZQ",'4 SUPERFICIES'!$A21="MICRO IZQ",),'4 SUPERFICIES'!$AB21,0))</f>
        <v>0</v>
      </c>
      <c r="CT212" s="837">
        <f>IF(OR('4 SUPERFICIES'!$A21="MICRO SEN",'4 SUPERFICIES'!$A21="MICROSEN",),'4 SUPERFICIES'!$AB21,0)</f>
        <v>0</v>
      </c>
      <c r="CV212" s="837" t="b">
        <f>IF('4 SUPERFICIES'!$A21="DIAMETRO",IF('4 SUPERFICIES'!$C21&lt;121.1,'4 SUPERFICIES'!$AB21,0))</f>
        <v>0</v>
      </c>
      <c r="CX212" s="858"/>
      <c r="CZ212" s="837" t="b">
        <f>IF('4 SUPERFICIES'!$A21="MOSTRADOR",IF('4 SUPERFICIES'!$C21="R60",'4 SUPERFICIES'!$AB21,0))</f>
        <v>0</v>
      </c>
      <c r="DB212" s="837">
        <f>IF(OR('4 SUPERFICIES'!$A21="PORTA PRIN",'4 SUPERFICIES'!$A21="PORTAPRIN",),'4 SUPERFICIES'!$AB21,0)</f>
        <v>0</v>
      </c>
      <c r="DD212" s="837">
        <f>IF(OR('4 SUPERFICIES'!$A21="PORTA BADE",'4 SUPERFICIES'!$A21="PORTABADE",),'4 SUPERFICIES'!$AB21,0)</f>
        <v>0</v>
      </c>
      <c r="DE212" s="837"/>
      <c r="DF212" s="837">
        <f>IF(OR('4 SUPERFICIES'!$A21="RETORNO IZQ",'4 SUPERFICIES'!$A21="RETORNO DER",),'4 SUPERFICIES'!$AB121,0)</f>
        <v>0</v>
      </c>
      <c r="DG212" s="837"/>
      <c r="DH212" s="837">
        <f>IF(OR('4 SUPERFICIES'!$A21="PITO Q",'4 SUPERFICIES'!$A21="PITO P",'4 SUPERFICIES'!$A21="DIAMETRO INTEGRADA",),'4 SUPERFICIES'!$AB21,0)</f>
        <v>0</v>
      </c>
      <c r="DJ212" s="858"/>
      <c r="DK212" s="837"/>
      <c r="DL212" s="837">
        <f>IF('4 SUPERFICIES'!$A21="SUPERFICIE OVAL",'4 SUPERFICIES'!$AB21,0)</f>
        <v>0</v>
      </c>
      <c r="DN212" s="838"/>
      <c r="EG212" s="682">
        <f>IF('4 SUPERFICIES'!A21="MICRO DER",85,IF('4 SUPERFICIES'!A21="MICRO IZQ",85,IF('4 SUPERFICIES'!A21="MICRO SEN",170,IF('4 SUPERFICIES'!A21="DIAMETRO",3.14*'4 SUPERFICIES'!C21/2,IF('4 SUPERFICIES'!A21="MOSTRADOR",136,IF('4 SUPERFICIES'!A21="PORTA",65,IF('4 SUPERFICIES'!A21="PITO Q",90,IF('4 SUPERFICIES'!A21="PITO P",90,'4 SUPERFICIES'!A21))))))))</f>
        <v>0</v>
      </c>
      <c r="EH212" s="682"/>
      <c r="EI212" s="682">
        <f>IF('4 SUPERFICIES'!A21="DIAMETRO",0,IF('4 SUPERFICIES'!C21="PRINCIPAL",160,IF('4 SUPERFICIES'!C21="BADE",190,IF('4 SUPERFICIES'!C21="RETORNO",100,IF('4 SUPERFICIES'!C21="R 60",100,IF('4 SUPERFICIES'!C21="R60",100,'4 SUPERFICIES'!C21))))))</f>
        <v>0</v>
      </c>
      <c r="EJ212" s="682"/>
      <c r="EK212" s="682">
        <f>IF('4 SUPERFICIES'!$F21='4 SUPERFICIES'!$AG$15,((EG212*2)+(EI212*2))*'4 SUPERFICIES'!AB21,0)</f>
        <v>0</v>
      </c>
      <c r="EL212" s="682"/>
      <c r="EM212" s="682">
        <f>IF('4 SUPERFICIES'!$F21='4 SUPERFICIES'!$AG$16,((EG212*2)+(EI212*2))*'4 SUPERFICIES'!AB21,0)</f>
        <v>0</v>
      </c>
      <c r="EO212" s="682">
        <f>IF('4 SUPERFICIES'!$F21='4 SUPERFICIES'!$AG$17,((EG212*2)+(EI212*2))*'4 SUPERFICIES'!AB21,0)</f>
        <v>0</v>
      </c>
      <c r="EQ212" s="682">
        <f>IF('4 SUPERFICIES'!$F21='4 SUPERFICIES'!$AG$18,((EG212*2)+(EI212*2))*'4 SUPERFICIES'!AB21,0)</f>
        <v>0</v>
      </c>
      <c r="FO212" s="837"/>
      <c r="HF212" s="700">
        <v>15</v>
      </c>
      <c r="HH212" s="591">
        <v>15</v>
      </c>
    </row>
    <row r="213" spans="1:216" ht="26.25" x14ac:dyDescent="0.4">
      <c r="D213" s="1086" t="s">
        <v>996</v>
      </c>
      <c r="E213" s="1087"/>
      <c r="F213" s="1087"/>
      <c r="G213" s="1088"/>
      <c r="AK213" s="777" t="b">
        <f>IF('4 SUPERFICIES'!$A22&gt;10,IF('4 SUPERFICIES'!$A22&lt;31.1,IF('4 SUPERFICIES'!$C22&gt;10,IF('4 SUPERFICIES'!$C22&lt;57.6,'4 SUPERFICIES'!$AB22,0))))</f>
        <v>0</v>
      </c>
      <c r="AL213" s="777" t="b">
        <f>IF('4 SUPERFICIES'!$A22&gt;10,IF('4 SUPERFICIES'!$A22&lt;31.1,IF('4 SUPERFICIES'!$C22&gt;57.6,IF('4 SUPERFICIES'!$C22&lt;71.6,'4 SUPERFICIES'!$AB22,0))))</f>
        <v>0</v>
      </c>
      <c r="AM213" s="777" t="b">
        <f>IF('4 SUPERFICIES'!$A22&gt;10,IF('4 SUPERFICIES'!$A22&lt;31.1,IF('4 SUPERFICIES'!$C22&gt;71.5,IF('4 SUPERFICIES'!$C22&lt;85.6,'4 SUPERFICIES'!$AB22,0))))</f>
        <v>0</v>
      </c>
      <c r="AN213" s="777" t="b">
        <f>IF('4 SUPERFICIES'!$A22&gt;10,IF('4 SUPERFICIES'!$A22&lt;31.1,IF('4 SUPERFICIES'!$C22&gt;85.5,IF('4 SUPERFICIES'!$C22&lt;113.6,'4 SUPERFICIES'!$AB22,0))))</f>
        <v>0</v>
      </c>
      <c r="AO213" s="777" t="b">
        <f>IF('4 SUPERFICIES'!$A22&gt;10,IF('4 SUPERFICIES'!$A22&lt;31.1,IF('4 SUPERFICIES'!$C22&gt;113.5,IF('4 SUPERFICIES'!$C22&lt;141.6,'4 SUPERFICIES'!$AB22,0))))</f>
        <v>0</v>
      </c>
      <c r="AP213" s="777" t="b">
        <f>IF('4 SUPERFICIES'!$A22&gt;10,IF('4 SUPERFICIES'!$A22&lt;31.1,IF('4 SUPERFICIES'!$C22&gt;141.5,IF('4 SUPERFICIES'!$C22&lt;180.6,'4 SUPERFICIES'!$AB22,0))))</f>
        <v>0</v>
      </c>
      <c r="AQ213" s="777" t="b">
        <f>IF('4 SUPERFICIES'!$A22&gt;10,IF('4 SUPERFICIES'!$A22&lt;31.1,IF('4 SUPERFICIES'!$C22&gt;180.5,IF('4 SUPERFICIES'!$C22&lt;240.1,'4 SUPERFICIES'!$AB22,0))))</f>
        <v>0</v>
      </c>
      <c r="AS213" s="777" t="b">
        <f>IF('4 SUPERFICIES'!$A22&gt;31,IF('4 SUPERFICIES'!$A22&lt;45.5,IF('4 SUPERFICIES'!$C22&gt;10,IF('4 SUPERFICIES'!$C22&lt;57.6,'4 SUPERFICIES'!$AB22,0))))</f>
        <v>0</v>
      </c>
      <c r="AT213" s="777" t="b">
        <f>IF('4 SUPERFICIES'!$A22&gt;31,IF('4 SUPERFICIES'!$A22&lt;45.5,IF('4 SUPERFICIES'!$C22&gt;57.6,IF('4 SUPERFICIES'!$C22&lt;71.6,'4 SUPERFICIES'!$AB22,0))))</f>
        <v>0</v>
      </c>
      <c r="AU213" s="777" t="b">
        <f>IF('4 SUPERFICIES'!$A22&gt;31,IF('4 SUPERFICIES'!$A22&lt;45.5,IF('4 SUPERFICIES'!$C22&gt;71.5,IF('4 SUPERFICIES'!$C22&lt;85.6,'4 SUPERFICIES'!$AB22,0))))</f>
        <v>0</v>
      </c>
      <c r="AV213" s="777" t="b">
        <f>IF('4 SUPERFICIES'!$A22&gt;31,IF('4 SUPERFICIES'!$A22&lt;45.5,IF('4 SUPERFICIES'!$C22&gt;85.5,IF('4 SUPERFICIES'!$C22&lt;113.6,'4 SUPERFICIES'!$AB22,0))))</f>
        <v>0</v>
      </c>
      <c r="AW213" s="777" t="b">
        <f>IF('4 SUPERFICIES'!$A22&gt;31,IF('4 SUPERFICIES'!$A22&lt;45.5,IF('4 SUPERFICIES'!$C22&gt;113.5,IF('4 SUPERFICIES'!$C22&lt;141.6,'4 SUPERFICIES'!$AB22,0))))</f>
        <v>0</v>
      </c>
      <c r="AX213" s="777" t="b">
        <f>IF('4 SUPERFICIES'!$A22&gt;31,IF('4 SUPERFICIES'!$A22&lt;45.5,IF('4 SUPERFICIES'!$C22&gt;141.5,IF('4 SUPERFICIES'!$C22&lt;180.6,'4 SUPERFICIES'!$AB22,0))))</f>
        <v>0</v>
      </c>
      <c r="AY213" s="777" t="b">
        <f>IF('4 SUPERFICIES'!$A22&gt;31,IF('4 SUPERFICIES'!$A22&lt;45.5,IF('4 SUPERFICIES'!$C22&gt;180.5,IF('4 SUPERFICIES'!$C22&lt;240.1,'4 SUPERFICIES'!$AB22,0))))</f>
        <v>0</v>
      </c>
      <c r="BA213" s="777" t="b">
        <f>IF('4 SUPERFICIES'!$A22&gt;45.4,IF('4 SUPERFICIES'!$A22&lt;61.6,IF('4 SUPERFICIES'!$C22&gt;10,IF('4 SUPERFICIES'!$C22&lt;61.5,'4 SUPERFICIES'!$AB22,0))))</f>
        <v>0</v>
      </c>
      <c r="BB213" s="777" t="b">
        <f>IF('4 SUPERFICIES'!$A22&gt;45.4,IF('4 SUPERFICIES'!$A22&lt;61.6,IF('4 SUPERFICIES'!$C22&gt;61.1,IF('4 SUPERFICIES'!$C22&lt;71.6,'4 SUPERFICIES'!$AB22,0))))</f>
        <v>0</v>
      </c>
      <c r="BC213" s="777" t="b">
        <f>IF('4 SUPERFICIES'!$A22&gt;45.4,IF('4 SUPERFICIES'!$A22&lt;61.6,IF('4 SUPERFICIES'!$C22&gt;71.5,IF('4 SUPERFICIES'!$C22&lt;85.6,'4 SUPERFICIES'!$AB22,0))))</f>
        <v>0</v>
      </c>
      <c r="BD213" s="777" t="b">
        <f>IF('4 SUPERFICIES'!$A22&gt;45.4,IF('4 SUPERFICIES'!$A22&lt;61.6,IF('4 SUPERFICIES'!$C22&gt;85.5,IF('4 SUPERFICIES'!$C22&lt;113.6,'4 SUPERFICIES'!$AB22,0))))</f>
        <v>0</v>
      </c>
      <c r="BE213" s="777" t="b">
        <f>IF('4 SUPERFICIES'!$A22&gt;45.4,IF('4 SUPERFICIES'!$A22&lt;61.6,IF('4 SUPERFICIES'!$C22&gt;113.5,IF('4 SUPERFICIES'!$C22&lt;121.6,'4 SUPERFICIES'!$AB22,0))))</f>
        <v>0</v>
      </c>
      <c r="BF213" s="777" t="b">
        <f>IF('4 SUPERFICIES'!$A22&gt;45.4,IF('4 SUPERFICIES'!$A22&lt;61.6,IF('4 SUPERFICIES'!$C22&gt;121.5,IF('4 SUPERFICIES'!$C22&lt;127.6,'4 SUPERFICIES'!$AB22,0))))</f>
        <v>0</v>
      </c>
      <c r="BG213" s="777" t="b">
        <f>IF('4 SUPERFICIES'!$A22&gt;45.4,IF('4 SUPERFICIES'!$A22&lt;61.6,IF('4 SUPERFICIES'!$C22&gt;127.5,IF('4 SUPERFICIES'!$C22&lt;135.1,'4 SUPERFICIES'!$AB22,0))))</f>
        <v>0</v>
      </c>
      <c r="BH213" s="777" t="b">
        <f>IF('4 SUPERFICIES'!$A22&gt;45.4,IF('4 SUPERFICIES'!$A22&lt;61.6,IF('4 SUPERFICIES'!$C22&gt;135,IF('4 SUPERFICIES'!$C22&lt;141.6,'4 SUPERFICIES'!$AB22,0))))</f>
        <v>0</v>
      </c>
      <c r="BI213" s="777" t="b">
        <f>IF('4 SUPERFICIES'!$A22&gt;45.4,IF('4 SUPERFICIES'!$A22&lt;61.6,IF('4 SUPERFICIES'!$C22&gt;141.5,IF('4 SUPERFICIES'!$C22&lt;149.1,'4 SUPERFICIES'!$AB22,0))))</f>
        <v>0</v>
      </c>
      <c r="BJ213" s="777" t="b">
        <f>IF('4 SUPERFICIES'!$A22&gt;45.4,IF('4 SUPERFICIES'!$A22&lt;61.6,IF('4 SUPERFICIES'!$C22&gt;149,IF('4 SUPERFICIES'!$C22&lt;155.6,'4 SUPERFICIES'!$AB22,0))))</f>
        <v>0</v>
      </c>
      <c r="BK213" s="777" t="b">
        <f>IF('4 SUPERFICIES'!$A22&gt;45.4,IF('4 SUPERFICIES'!$A22&lt;61.6,IF('4 SUPERFICIES'!$C22&gt;155.5,IF('4 SUPERFICIES'!$C22&lt;163.1,'4 SUPERFICIES'!$AB22,0))))</f>
        <v>0</v>
      </c>
      <c r="BL213" s="777" t="b">
        <f>IF('4 SUPERFICIES'!$A22&gt;45.4,IF('4 SUPERFICIES'!$A22&lt;61.6,IF('4 SUPERFICIES'!$C22&gt;163,IF('4 SUPERFICIES'!$C22&lt;180.6,'4 SUPERFICIES'!$AB22,0))))</f>
        <v>0</v>
      </c>
      <c r="BM213" s="777" t="b">
        <f>IF('4 SUPERFICIES'!$A22&gt;45.4,IF('4 SUPERFICIES'!$A22&lt;61.6,IF('4 SUPERFICIES'!$C22&gt;180.5,IF('4 SUPERFICIES'!$C22&lt;240.1,'4 SUPERFICIES'!$AB22,0))))</f>
        <v>0</v>
      </c>
      <c r="BO213" s="869" t="s">
        <v>528</v>
      </c>
      <c r="BQ213" s="870">
        <f>+$BB$250+$CG$250*2</f>
        <v>0</v>
      </c>
      <c r="BS213" s="869"/>
      <c r="BT213" s="870">
        <f>+$BB$251+$CG$251*2</f>
        <v>0</v>
      </c>
      <c r="BV213" s="777" t="b">
        <f>IF('4 SUPERFICIES'!$A22&gt;61.5,IF('4 SUPERFICIES'!$A22&lt;71.6,IF('4 SUPERFICIES'!$C22&gt;10,IF('4 SUPERFICIES'!$C22&lt;57.6,'4 SUPERFICIES'!$AB22,0))))</f>
        <v>0</v>
      </c>
      <c r="BW213" s="777" t="b">
        <f>IF('4 SUPERFICIES'!$A22&gt;61.5,IF('4 SUPERFICIES'!$A22&lt;71.6,IF('4 SUPERFICIES'!$C22&gt;57.6,IF('4 SUPERFICIES'!$C22&lt;71.6,'4 SUPERFICIES'!$AB22,0))))</f>
        <v>0</v>
      </c>
      <c r="BX213" s="777" t="b">
        <f>IF('4 SUPERFICIES'!$A22&gt;61.5,IF('4 SUPERFICIES'!$A22&lt;71.6,IF('4 SUPERFICIES'!$C22&gt;71.5,IF('4 SUPERFICIES'!$C22&lt;85.6,'4 SUPERFICIES'!$AB22,0))))</f>
        <v>0</v>
      </c>
      <c r="BY213" s="777" t="b">
        <f>IF('4 SUPERFICIES'!$A22&gt;61.5,IF('4 SUPERFICIES'!$A22&lt;71.6,IF('4 SUPERFICIES'!$C22&gt;85.5,IF('4 SUPERFICIES'!$C22&lt;113.6,'4 SUPERFICIES'!$AB22,0))))</f>
        <v>0</v>
      </c>
      <c r="BZ213" s="777" t="b">
        <f>IF('4 SUPERFICIES'!$A22&gt;61.5,IF('4 SUPERFICIES'!$A22&lt;71.6,IF('4 SUPERFICIES'!$C22&gt;113.5,IF('4 SUPERFICIES'!$C22&lt;141.6,'4 SUPERFICIES'!$AB22,0))))</f>
        <v>0</v>
      </c>
      <c r="CA213" s="777" t="b">
        <f>IF('4 SUPERFICIES'!$A22&gt;61.5,IF('4 SUPERFICIES'!$A22&lt;71.6,IF('4 SUPERFICIES'!$C22&gt;141.5,IF('4 SUPERFICIES'!$C22&lt;149.1,'4 SUPERFICIES'!$AB22,0))))</f>
        <v>0</v>
      </c>
      <c r="CB213" s="777" t="b">
        <f>IF('4 SUPERFICIES'!$A22&gt;61.5,IF('4 SUPERFICIES'!$A22&lt;71.6,IF('4 SUPERFICIES'!$C22&gt;149,IF('4 SUPERFICIES'!$C22&lt;163.1,'4 SUPERFICIES'!$AB22,0))))</f>
        <v>0</v>
      </c>
      <c r="CC213" s="777" t="b">
        <f>IF('4 SUPERFICIES'!$A22&gt;61.5,IF('4 SUPERFICIES'!$A22&lt;71.6,IF('4 SUPERFICIES'!$C22&gt;163,IF('4 SUPERFICIES'!$C22&lt;180.6,'4 SUPERFICIES'!$AB22,0))))</f>
        <v>0</v>
      </c>
      <c r="CD213" s="777" t="b">
        <f>IF('4 SUPERFICIES'!$A22&gt;61.5,IF('4 SUPERFICIES'!$A22&lt;71.6,IF('4 SUPERFICIES'!$C22&gt;180.5,IF('4 SUPERFICIES'!$C22&lt;240.1,'4 SUPERFICIES'!$AB22,0))))</f>
        <v>0</v>
      </c>
      <c r="CF213" s="777" t="b">
        <f>IF('4 SUPERFICIES'!$A22&gt;71.5,IF('4 SUPERFICIES'!$A22&lt;120.6,IF('4 SUPERFICIES'!$C22&gt;10,IF('4 SUPERFICIES'!$C22&lt;57.6,'4 SUPERFICIES'!$AB22,0))))</f>
        <v>0</v>
      </c>
      <c r="CG213" s="777" t="b">
        <f>IF('4 SUPERFICIES'!$A22&gt;71.5,IF('4 SUPERFICIES'!$A22&lt;120.6,IF('4 SUPERFICIES'!$C22&gt;57.6,IF('4 SUPERFICIES'!$C22&lt;71.6,'4 SUPERFICIES'!$AB22,0))))</f>
        <v>0</v>
      </c>
      <c r="CH213" s="777" t="b">
        <f>IF('4 SUPERFICIES'!$A22&gt;71.5,IF('4 SUPERFICIES'!$A22&lt;120.6,IF('4 SUPERFICIES'!$C22&gt;71.5,IF('4 SUPERFICIES'!$C22&lt;85.6,'4 SUPERFICIES'!$AB22,0))))</f>
        <v>0</v>
      </c>
      <c r="CI213" s="777" t="b">
        <f>IF('4 SUPERFICIES'!$A22&gt;71.5,IF('4 SUPERFICIES'!$A22&lt;120.6,IF('4 SUPERFICIES'!$C22&gt;85.5,IF('4 SUPERFICIES'!$C22&lt;113.6,'4 SUPERFICIES'!$AB22,0))))</f>
        <v>0</v>
      </c>
      <c r="CJ213" s="777" t="b">
        <f>IF('4 SUPERFICIES'!$A22&gt;71.5,IF('4 SUPERFICIES'!$A22&lt;120.6,IF('4 SUPERFICIES'!$C22&gt;113.5,IF('4 SUPERFICIES'!$C22&lt;141.6,'4 SUPERFICIES'!$AB22,0))))</f>
        <v>0</v>
      </c>
      <c r="CK213" s="777" t="b">
        <f>IF('4 SUPERFICIES'!$A22&gt;71.5,IF('4 SUPERFICIES'!$A22&lt;120.6,IF('4 SUPERFICIES'!$C22&gt;141.5,IF('4 SUPERFICIES'!$C22&lt;180.6,'4 SUPERFICIES'!$AB22,0))))</f>
        <v>0</v>
      </c>
      <c r="CL213" s="777" t="b">
        <f>IF('4 SUPERFICIES'!$A22&gt;71.5,IF('4 SUPERFICIES'!$A22&lt;120.6,IF('4 SUPERFICIES'!$C22&gt;180.5,IF('4 SUPERFICIES'!$C22&lt;240.1,'4 SUPERFICIES'!$AB22,0))))</f>
        <v>0</v>
      </c>
      <c r="CN213" s="777">
        <f>IF('4 SUPERFICIES'!$C22&lt;150,IF(OR('4 SUPERFICIES'!$A22="MICRODER",'4 SUPERFICIES'!$A22="MICRO DER",),'4 SUPERFICIES'!$AB22,0))</f>
        <v>0</v>
      </c>
      <c r="CO213" s="777" t="b">
        <f>IF('4 SUPERFICIES'!$C22&gt;149.5,IF(OR('4 SUPERFICIES'!$A22="MICRODER",'4 SUPERFICIES'!$A22="MICRO DER",),'4 SUPERFICIES'!$AB22,0))</f>
        <v>0</v>
      </c>
      <c r="CP213" s="847"/>
      <c r="CQ213" s="777">
        <f>IF('4 SUPERFICIES'!$C22&lt;150,IF(OR('4 SUPERFICIES'!$A22="MICROIZQ",'4 SUPERFICIES'!$A22="MICRO IZQ",),'4 SUPERFICIES'!$AB22,0))</f>
        <v>0</v>
      </c>
      <c r="CR213" s="777" t="b">
        <f>IF('4 SUPERFICIES'!$C22&gt;149.5,IF(OR('4 SUPERFICIES'!$A22="MICROIZQ",'4 SUPERFICIES'!$A22="MICRO IZQ",),'4 SUPERFICIES'!$AB22,0))</f>
        <v>0</v>
      </c>
      <c r="CT213" s="837">
        <f>IF(OR('4 SUPERFICIES'!$A22="MICRO SEN",'4 SUPERFICIES'!$A22="MICROSEN",),'4 SUPERFICIES'!$AB22,0)</f>
        <v>0</v>
      </c>
      <c r="CV213" s="837" t="b">
        <f>IF('4 SUPERFICIES'!$A22="DIAMETRO",IF('4 SUPERFICIES'!$C22&lt;121.1,'4 SUPERFICIES'!$AB22,0))</f>
        <v>0</v>
      </c>
      <c r="CX213" s="858"/>
      <c r="CZ213" s="837" t="b">
        <f>IF('4 SUPERFICIES'!$A22="MOSTRADOR",IF('4 SUPERFICIES'!$C22="R60",'4 SUPERFICIES'!$AB22,0))</f>
        <v>0</v>
      </c>
      <c r="DB213" s="837">
        <f>IF(OR('4 SUPERFICIES'!$A22="PORTA PRIN",'4 SUPERFICIES'!$A22="PORTAPRIN",),'4 SUPERFICIES'!$AB22,0)</f>
        <v>0</v>
      </c>
      <c r="DD213" s="837">
        <f>IF(OR('4 SUPERFICIES'!$A22="PORTA BADE",'4 SUPERFICIES'!$A22="PORTABADE",),'4 SUPERFICIES'!$AB22,0)</f>
        <v>0</v>
      </c>
      <c r="DE213" s="837"/>
      <c r="DF213" s="837">
        <f>IF(OR('4 SUPERFICIES'!$A22="RETORNO IZQ",'4 SUPERFICIES'!$A22="RETORNO DER",),'4 SUPERFICIES'!$AB122,0)</f>
        <v>0</v>
      </c>
      <c r="DG213" s="837"/>
      <c r="DH213" s="837">
        <f>IF(OR('4 SUPERFICIES'!$A22="PITO Q",'4 SUPERFICIES'!$A22="PITO P",'4 SUPERFICIES'!$A22="DIAMETRO INTEGRADA",),'4 SUPERFICIES'!$AB22,0)</f>
        <v>0</v>
      </c>
      <c r="DJ213" s="858"/>
      <c r="DK213" s="837"/>
      <c r="DL213" s="837">
        <f>IF('4 SUPERFICIES'!$A22="SUPERFICIE OVAL",'4 SUPERFICIES'!$AB22,0)</f>
        <v>0</v>
      </c>
      <c r="DN213" s="838"/>
      <c r="EG213" s="682">
        <f>IF('4 SUPERFICIES'!A22="MICRO DER",85,IF('4 SUPERFICIES'!A22="MICRO IZQ",85,IF('4 SUPERFICIES'!A22="MICRO SEN",170,IF('4 SUPERFICIES'!A22="DIAMETRO",3.14*'4 SUPERFICIES'!C22/2,IF('4 SUPERFICIES'!A22="MOSTRADOR",136,IF('4 SUPERFICIES'!A22="PORTA",65,IF('4 SUPERFICIES'!A22="PITO Q",90,IF('4 SUPERFICIES'!A22="PITO P",90,'4 SUPERFICIES'!A22))))))))</f>
        <v>0</v>
      </c>
      <c r="EH213" s="682"/>
      <c r="EI213" s="682">
        <f>IF('4 SUPERFICIES'!A22="DIAMETRO",0,IF('4 SUPERFICIES'!C22="PRINCIPAL",160,IF('4 SUPERFICIES'!C22="BADE",190,IF('4 SUPERFICIES'!C22="RETORNO",100,IF('4 SUPERFICIES'!C22="R 60",100,IF('4 SUPERFICIES'!C22="R60",100,'4 SUPERFICIES'!C22))))))</f>
        <v>0</v>
      </c>
      <c r="EJ213" s="682"/>
      <c r="EK213" s="682">
        <f>IF('4 SUPERFICIES'!$F22='4 SUPERFICIES'!$AG$15,((EG213*2)+(EI213*2))*'4 SUPERFICIES'!AB22,0)</f>
        <v>0</v>
      </c>
      <c r="EL213" s="682"/>
      <c r="EM213" s="682">
        <f>IF('4 SUPERFICIES'!$F22='4 SUPERFICIES'!$AG$16,((EG213*2)+(EI213*2))*'4 SUPERFICIES'!AB22,0)</f>
        <v>0</v>
      </c>
      <c r="EO213" s="682">
        <f>IF('4 SUPERFICIES'!$F22='4 SUPERFICIES'!$AG$17,((EG213*2)+(EI213*2))*'4 SUPERFICIES'!AB22,0)</f>
        <v>0</v>
      </c>
      <c r="EQ213" s="682">
        <f>IF('4 SUPERFICIES'!$F22='4 SUPERFICIES'!$AG$18,((EG213*2)+(EI213*2))*'4 SUPERFICIES'!AB22,0)</f>
        <v>0</v>
      </c>
      <c r="FO213" s="837"/>
      <c r="HF213" s="700">
        <v>15.5</v>
      </c>
      <c r="HH213" s="591">
        <v>15.5</v>
      </c>
    </row>
    <row r="214" spans="1:216" ht="26.25" x14ac:dyDescent="0.4">
      <c r="D214" s="696">
        <f>+(D230+D234+D238+D241)*D215</f>
        <v>0</v>
      </c>
      <c r="E214" s="696">
        <f>+(E230+E234+E238+E241)*E215</f>
        <v>0</v>
      </c>
      <c r="F214" s="696">
        <f>+(F230+F234+F238+F241)*F215</f>
        <v>0</v>
      </c>
      <c r="G214" s="696">
        <f>+(G230+G234+G238+G241)*G215</f>
        <v>0</v>
      </c>
      <c r="H214" s="777">
        <f>+G214+F214+E214+D214</f>
        <v>0</v>
      </c>
      <c r="AK214" s="777" t="b">
        <f>IF('4 SUPERFICIES'!$A23&gt;10,IF('4 SUPERFICIES'!$A23&lt;31.1,IF('4 SUPERFICIES'!$C23&gt;10,IF('4 SUPERFICIES'!$C23&lt;57.6,'4 SUPERFICIES'!$AB23,0))))</f>
        <v>0</v>
      </c>
      <c r="AL214" s="777" t="b">
        <f>IF('4 SUPERFICIES'!$A23&gt;10,IF('4 SUPERFICIES'!$A23&lt;31.1,IF('4 SUPERFICIES'!$C23&gt;57.6,IF('4 SUPERFICIES'!$C23&lt;71.6,'4 SUPERFICIES'!$AB23,0))))</f>
        <v>0</v>
      </c>
      <c r="AM214" s="777" t="b">
        <f>IF('4 SUPERFICIES'!$A23&gt;10,IF('4 SUPERFICIES'!$A23&lt;31.1,IF('4 SUPERFICIES'!$C23&gt;71.5,IF('4 SUPERFICIES'!$C23&lt;85.6,'4 SUPERFICIES'!$AB23,0))))</f>
        <v>0</v>
      </c>
      <c r="AN214" s="777" t="b">
        <f>IF('4 SUPERFICIES'!$A23&gt;10,IF('4 SUPERFICIES'!$A23&lt;31.1,IF('4 SUPERFICIES'!$C23&gt;85.5,IF('4 SUPERFICIES'!$C23&lt;113.6,'4 SUPERFICIES'!$AB23,0))))</f>
        <v>0</v>
      </c>
      <c r="AO214" s="777" t="b">
        <f>IF('4 SUPERFICIES'!$A23&gt;10,IF('4 SUPERFICIES'!$A23&lt;31.1,IF('4 SUPERFICIES'!$C23&gt;113.5,IF('4 SUPERFICIES'!$C23&lt;141.6,'4 SUPERFICIES'!$AB23,0))))</f>
        <v>0</v>
      </c>
      <c r="AP214" s="777" t="b">
        <f>IF('4 SUPERFICIES'!$A23&gt;10,IF('4 SUPERFICIES'!$A23&lt;31.1,IF('4 SUPERFICIES'!$C23&gt;141.5,IF('4 SUPERFICIES'!$C23&lt;180.6,'4 SUPERFICIES'!$AB23,0))))</f>
        <v>0</v>
      </c>
      <c r="AQ214" s="777" t="b">
        <f>IF('4 SUPERFICIES'!$A23&gt;10,IF('4 SUPERFICIES'!$A23&lt;31.1,IF('4 SUPERFICIES'!$C23&gt;180.5,IF('4 SUPERFICIES'!$C23&lt;240.1,'4 SUPERFICIES'!$AB23,0))))</f>
        <v>0</v>
      </c>
      <c r="AS214" s="777" t="b">
        <f>IF('4 SUPERFICIES'!$A23&gt;31,IF('4 SUPERFICIES'!$A23&lt;45.5,IF('4 SUPERFICIES'!$C23&gt;10,IF('4 SUPERFICIES'!$C23&lt;57.6,'4 SUPERFICIES'!$AB23,0))))</f>
        <v>0</v>
      </c>
      <c r="AT214" s="777" t="b">
        <f>IF('4 SUPERFICIES'!$A23&gt;31,IF('4 SUPERFICIES'!$A23&lt;45.5,IF('4 SUPERFICIES'!$C23&gt;57.6,IF('4 SUPERFICIES'!$C23&lt;71.6,'4 SUPERFICIES'!$AB23,0))))</f>
        <v>0</v>
      </c>
      <c r="AU214" s="777" t="b">
        <f>IF('4 SUPERFICIES'!$A23&gt;31,IF('4 SUPERFICIES'!$A23&lt;45.5,IF('4 SUPERFICIES'!$C23&gt;71.5,IF('4 SUPERFICIES'!$C23&lt;85.6,'4 SUPERFICIES'!$AB23,0))))</f>
        <v>0</v>
      </c>
      <c r="AV214" s="777" t="b">
        <f>IF('4 SUPERFICIES'!$A23&gt;31,IF('4 SUPERFICIES'!$A23&lt;45.5,IF('4 SUPERFICIES'!$C23&gt;85.5,IF('4 SUPERFICIES'!$C23&lt;113.6,'4 SUPERFICIES'!$AB23,0))))</f>
        <v>0</v>
      </c>
      <c r="AW214" s="777" t="b">
        <f>IF('4 SUPERFICIES'!$A23&gt;31,IF('4 SUPERFICIES'!$A23&lt;45.5,IF('4 SUPERFICIES'!$C23&gt;113.5,IF('4 SUPERFICIES'!$C23&lt;141.6,'4 SUPERFICIES'!$AB23,0))))</f>
        <v>0</v>
      </c>
      <c r="AX214" s="777" t="b">
        <f>IF('4 SUPERFICIES'!$A23&gt;31,IF('4 SUPERFICIES'!$A23&lt;45.5,IF('4 SUPERFICIES'!$C23&gt;141.5,IF('4 SUPERFICIES'!$C23&lt;180.6,'4 SUPERFICIES'!$AB23,0))))</f>
        <v>0</v>
      </c>
      <c r="AY214" s="777" t="b">
        <f>IF('4 SUPERFICIES'!$A23&gt;31,IF('4 SUPERFICIES'!$A23&lt;45.5,IF('4 SUPERFICIES'!$C23&gt;180.5,IF('4 SUPERFICIES'!$C23&lt;240.1,'4 SUPERFICIES'!$AB23,0))))</f>
        <v>0</v>
      </c>
      <c r="BA214" s="777" t="b">
        <f>IF('4 SUPERFICIES'!$A23&gt;45.4,IF('4 SUPERFICIES'!$A23&lt;61.6,IF('4 SUPERFICIES'!$C23&gt;10,IF('4 SUPERFICIES'!$C23&lt;61.5,'4 SUPERFICIES'!$AB23,0))))</f>
        <v>0</v>
      </c>
      <c r="BB214" s="777" t="b">
        <f>IF('4 SUPERFICIES'!$A23&gt;45.4,IF('4 SUPERFICIES'!$A23&lt;61.6,IF('4 SUPERFICIES'!$C23&gt;61.1,IF('4 SUPERFICIES'!$C23&lt;71.6,'4 SUPERFICIES'!$AB23,0))))</f>
        <v>0</v>
      </c>
      <c r="BC214" s="777" t="b">
        <f>IF('4 SUPERFICIES'!$A23&gt;45.4,IF('4 SUPERFICIES'!$A23&lt;61.6,IF('4 SUPERFICIES'!$C23&gt;71.5,IF('4 SUPERFICIES'!$C23&lt;85.6,'4 SUPERFICIES'!$AB23,0))))</f>
        <v>0</v>
      </c>
      <c r="BD214" s="777" t="b">
        <f>IF('4 SUPERFICIES'!$A23&gt;45.4,IF('4 SUPERFICIES'!$A23&lt;61.6,IF('4 SUPERFICIES'!$C23&gt;85.5,IF('4 SUPERFICIES'!$C23&lt;113.6,'4 SUPERFICIES'!$AB23,0))))</f>
        <v>0</v>
      </c>
      <c r="BE214" s="777" t="b">
        <f>IF('4 SUPERFICIES'!$A23&gt;45.4,IF('4 SUPERFICIES'!$A23&lt;61.6,IF('4 SUPERFICIES'!$C23&gt;113.5,IF('4 SUPERFICIES'!$C23&lt;121.6,'4 SUPERFICIES'!$AB23,0))))</f>
        <v>0</v>
      </c>
      <c r="BF214" s="777" t="b">
        <f>IF('4 SUPERFICIES'!$A23&gt;45.4,IF('4 SUPERFICIES'!$A23&lt;61.6,IF('4 SUPERFICIES'!$C23&gt;121.5,IF('4 SUPERFICIES'!$C23&lt;127.6,'4 SUPERFICIES'!$AB23,0))))</f>
        <v>0</v>
      </c>
      <c r="BG214" s="777" t="b">
        <f>IF('4 SUPERFICIES'!$A23&gt;45.4,IF('4 SUPERFICIES'!$A23&lt;61.6,IF('4 SUPERFICIES'!$C23&gt;127.5,IF('4 SUPERFICIES'!$C23&lt;135.1,'4 SUPERFICIES'!$AB23,0))))</f>
        <v>0</v>
      </c>
      <c r="BH214" s="777" t="b">
        <f>IF('4 SUPERFICIES'!$A23&gt;45.4,IF('4 SUPERFICIES'!$A23&lt;61.6,IF('4 SUPERFICIES'!$C23&gt;135,IF('4 SUPERFICIES'!$C23&lt;141.6,'4 SUPERFICIES'!$AB23,0))))</f>
        <v>0</v>
      </c>
      <c r="BI214" s="777" t="b">
        <f>IF('4 SUPERFICIES'!$A23&gt;45.4,IF('4 SUPERFICIES'!$A23&lt;61.6,IF('4 SUPERFICIES'!$C23&gt;141.5,IF('4 SUPERFICIES'!$C23&lt;149.1,'4 SUPERFICIES'!$AB23,0))))</f>
        <v>0</v>
      </c>
      <c r="BJ214" s="777" t="b">
        <f>IF('4 SUPERFICIES'!$A23&gt;45.4,IF('4 SUPERFICIES'!$A23&lt;61.6,IF('4 SUPERFICIES'!$C23&gt;149,IF('4 SUPERFICIES'!$C23&lt;155.6,'4 SUPERFICIES'!$AB23,0))))</f>
        <v>0</v>
      </c>
      <c r="BK214" s="777" t="b">
        <f>IF('4 SUPERFICIES'!$A23&gt;45.4,IF('4 SUPERFICIES'!$A23&lt;61.6,IF('4 SUPERFICIES'!$C23&gt;155.5,IF('4 SUPERFICIES'!$C23&lt;163.1,'4 SUPERFICIES'!$AB23,0))))</f>
        <v>0</v>
      </c>
      <c r="BL214" s="777" t="b">
        <f>IF('4 SUPERFICIES'!$A23&gt;45.4,IF('4 SUPERFICIES'!$A23&lt;61.6,IF('4 SUPERFICIES'!$C23&gt;163,IF('4 SUPERFICIES'!$C23&lt;180.6,'4 SUPERFICIES'!$AB23,0))))</f>
        <v>0</v>
      </c>
      <c r="BM214" s="777" t="b">
        <f>IF('4 SUPERFICIES'!$A23&gt;45.4,IF('4 SUPERFICIES'!$A23&lt;61.6,IF('4 SUPERFICIES'!$C23&gt;180.5,IF('4 SUPERFICIES'!$C23&lt;240.1,'4 SUPERFICIES'!$AB23,0))))</f>
        <v>0</v>
      </c>
      <c r="BO214" s="869" t="s">
        <v>530</v>
      </c>
      <c r="BQ214" s="870">
        <f>+$BC$250+$CH$250*2</f>
        <v>0</v>
      </c>
      <c r="BS214" s="869"/>
      <c r="BT214" s="870">
        <f>+$BC$251+$CH$251*2</f>
        <v>0</v>
      </c>
      <c r="BV214" s="777" t="b">
        <f>IF('4 SUPERFICIES'!$A23&gt;61.5,IF('4 SUPERFICIES'!$A23&lt;71.6,IF('4 SUPERFICIES'!$C23&gt;10,IF('4 SUPERFICIES'!$C23&lt;57.6,'4 SUPERFICIES'!$AB23,0))))</f>
        <v>0</v>
      </c>
      <c r="BW214" s="777" t="b">
        <f>IF('4 SUPERFICIES'!$A23&gt;61.5,IF('4 SUPERFICIES'!$A23&lt;71.6,IF('4 SUPERFICIES'!$C23&gt;57.6,IF('4 SUPERFICIES'!$C23&lt;71.6,'4 SUPERFICIES'!$AB23,0))))</f>
        <v>0</v>
      </c>
      <c r="BX214" s="777" t="b">
        <f>IF('4 SUPERFICIES'!$A23&gt;61.5,IF('4 SUPERFICIES'!$A23&lt;71.6,IF('4 SUPERFICIES'!$C23&gt;71.5,IF('4 SUPERFICIES'!$C23&lt;85.6,'4 SUPERFICIES'!$AB23,0))))</f>
        <v>0</v>
      </c>
      <c r="BY214" s="777" t="b">
        <f>IF('4 SUPERFICIES'!$A23&gt;61.5,IF('4 SUPERFICIES'!$A23&lt;71.6,IF('4 SUPERFICIES'!$C23&gt;85.5,IF('4 SUPERFICIES'!$C23&lt;113.6,'4 SUPERFICIES'!$AB23,0))))</f>
        <v>0</v>
      </c>
      <c r="BZ214" s="777" t="b">
        <f>IF('4 SUPERFICIES'!$A23&gt;61.5,IF('4 SUPERFICIES'!$A23&lt;71.6,IF('4 SUPERFICIES'!$C23&gt;113.5,IF('4 SUPERFICIES'!$C23&lt;141.6,'4 SUPERFICIES'!$AB23,0))))</f>
        <v>0</v>
      </c>
      <c r="CA214" s="777" t="b">
        <f>IF('4 SUPERFICIES'!$A23&gt;61.5,IF('4 SUPERFICIES'!$A23&lt;71.6,IF('4 SUPERFICIES'!$C23&gt;141.5,IF('4 SUPERFICIES'!$C23&lt;149.1,'4 SUPERFICIES'!$AB23,0))))</f>
        <v>0</v>
      </c>
      <c r="CB214" s="777" t="b">
        <f>IF('4 SUPERFICIES'!$A23&gt;61.5,IF('4 SUPERFICIES'!$A23&lt;71.6,IF('4 SUPERFICIES'!$C23&gt;149,IF('4 SUPERFICIES'!$C23&lt;163.1,'4 SUPERFICIES'!$AB23,0))))</f>
        <v>0</v>
      </c>
      <c r="CC214" s="777" t="b">
        <f>IF('4 SUPERFICIES'!$A23&gt;61.5,IF('4 SUPERFICIES'!$A23&lt;71.6,IF('4 SUPERFICIES'!$C23&gt;163,IF('4 SUPERFICIES'!$C23&lt;180.6,'4 SUPERFICIES'!$AB23,0))))</f>
        <v>0</v>
      </c>
      <c r="CD214" s="777" t="b">
        <f>IF('4 SUPERFICIES'!$A23&gt;61.5,IF('4 SUPERFICIES'!$A23&lt;71.6,IF('4 SUPERFICIES'!$C23&gt;180.5,IF('4 SUPERFICIES'!$C23&lt;240.1,'4 SUPERFICIES'!$AB23,0))))</f>
        <v>0</v>
      </c>
      <c r="CF214" s="777" t="b">
        <f>IF('4 SUPERFICIES'!$A23&gt;71.5,IF('4 SUPERFICIES'!$A23&lt;120.6,IF('4 SUPERFICIES'!$C23&gt;10,IF('4 SUPERFICIES'!$C23&lt;57.6,'4 SUPERFICIES'!$AB23,0))))</f>
        <v>0</v>
      </c>
      <c r="CG214" s="777" t="b">
        <f>IF('4 SUPERFICIES'!$A23&gt;71.5,IF('4 SUPERFICIES'!$A23&lt;120.6,IF('4 SUPERFICIES'!$C23&gt;57.6,IF('4 SUPERFICIES'!$C23&lt;71.6,'4 SUPERFICIES'!$AB23,0))))</f>
        <v>0</v>
      </c>
      <c r="CH214" s="777" t="b">
        <f>IF('4 SUPERFICIES'!$A23&gt;71.5,IF('4 SUPERFICIES'!$A23&lt;120.6,IF('4 SUPERFICIES'!$C23&gt;71.5,IF('4 SUPERFICIES'!$C23&lt;85.6,'4 SUPERFICIES'!$AB23,0))))</f>
        <v>0</v>
      </c>
      <c r="CI214" s="777" t="b">
        <f>IF('4 SUPERFICIES'!$A23&gt;71.5,IF('4 SUPERFICIES'!$A23&lt;120.6,IF('4 SUPERFICIES'!$C23&gt;85.5,IF('4 SUPERFICIES'!$C23&lt;113.6,'4 SUPERFICIES'!$AB23,0))))</f>
        <v>0</v>
      </c>
      <c r="CJ214" s="777" t="b">
        <f>IF('4 SUPERFICIES'!$A23&gt;71.5,IF('4 SUPERFICIES'!$A23&lt;120.6,IF('4 SUPERFICIES'!$C23&gt;113.5,IF('4 SUPERFICIES'!$C23&lt;141.6,'4 SUPERFICIES'!$AB23,0))))</f>
        <v>0</v>
      </c>
      <c r="CK214" s="777" t="b">
        <f>IF('4 SUPERFICIES'!$A23&gt;71.5,IF('4 SUPERFICIES'!$A23&lt;120.6,IF('4 SUPERFICIES'!$C23&gt;141.5,IF('4 SUPERFICIES'!$C23&lt;180.6,'4 SUPERFICIES'!$AB23,0))))</f>
        <v>0</v>
      </c>
      <c r="CL214" s="777" t="b">
        <f>IF('4 SUPERFICIES'!$A23&gt;71.5,IF('4 SUPERFICIES'!$A23&lt;120.6,IF('4 SUPERFICIES'!$C23&gt;180.5,IF('4 SUPERFICIES'!$C23&lt;240.1,'4 SUPERFICIES'!$AB23,0))))</f>
        <v>0</v>
      </c>
      <c r="CN214" s="777">
        <f>IF('4 SUPERFICIES'!$C23&lt;150,IF(OR('4 SUPERFICIES'!$A23="MICRODER",'4 SUPERFICIES'!$A23="MICRO DER",),'4 SUPERFICIES'!$AB23,0))</f>
        <v>0</v>
      </c>
      <c r="CO214" s="777" t="b">
        <f>IF('4 SUPERFICIES'!$C23&gt;149.5,IF(OR('4 SUPERFICIES'!$A23="MICRODER",'4 SUPERFICIES'!$A23="MICRO DER",),'4 SUPERFICIES'!$AB23,0))</f>
        <v>0</v>
      </c>
      <c r="CP214" s="847"/>
      <c r="CQ214" s="777">
        <f>IF('4 SUPERFICIES'!$C23&lt;150,IF(OR('4 SUPERFICIES'!$A23="MICROIZQ",'4 SUPERFICIES'!$A23="MICRO IZQ",),'4 SUPERFICIES'!$AB23,0))</f>
        <v>0</v>
      </c>
      <c r="CR214" s="777" t="b">
        <f>IF('4 SUPERFICIES'!$C23&gt;149.5,IF(OR('4 SUPERFICIES'!$A23="MICROIZQ",'4 SUPERFICIES'!$A23="MICRO IZQ",),'4 SUPERFICIES'!$AB23,0))</f>
        <v>0</v>
      </c>
      <c r="CT214" s="837">
        <f>IF(OR('4 SUPERFICIES'!$A23="MICRO SEN",'4 SUPERFICIES'!$A23="MICROSEN",),'4 SUPERFICIES'!$AB23,0)</f>
        <v>0</v>
      </c>
      <c r="CV214" s="837" t="b">
        <f>IF('4 SUPERFICIES'!$A23="DIAMETRO",IF('4 SUPERFICIES'!$C23&lt;121.1,'4 SUPERFICIES'!$AB23,0))</f>
        <v>0</v>
      </c>
      <c r="CX214" s="858"/>
      <c r="CZ214" s="837" t="b">
        <f>IF('4 SUPERFICIES'!$A23="MOSTRADOR",IF('4 SUPERFICIES'!$C23="R60",'4 SUPERFICIES'!$AB23,0))</f>
        <v>0</v>
      </c>
      <c r="DB214" s="837">
        <f>IF(OR('4 SUPERFICIES'!$A23="PORTA PRIN",'4 SUPERFICIES'!$A23="PORTAPRIN",),'4 SUPERFICIES'!$AB23,0)</f>
        <v>0</v>
      </c>
      <c r="DD214" s="837">
        <f>IF(OR('4 SUPERFICIES'!$A23="PORTA BADE",'4 SUPERFICIES'!$A23="PORTABADE",),'4 SUPERFICIES'!$AB23,0)</f>
        <v>0</v>
      </c>
      <c r="DE214" s="837"/>
      <c r="DF214" s="837">
        <f>IF(OR('4 SUPERFICIES'!$A23="RETORNO IZQ",'4 SUPERFICIES'!$A23="RETORNO DER",),'4 SUPERFICIES'!$AB123,0)</f>
        <v>0</v>
      </c>
      <c r="DG214" s="837"/>
      <c r="DH214" s="837">
        <f>IF(OR('4 SUPERFICIES'!$A23="PITO Q",'4 SUPERFICIES'!$A23="PITO P",'4 SUPERFICIES'!$A23="DIAMETRO INTEGRADA",),'4 SUPERFICIES'!$AB23,0)</f>
        <v>0</v>
      </c>
      <c r="DJ214" s="858"/>
      <c r="DK214" s="837"/>
      <c r="DL214" s="837">
        <f>IF('4 SUPERFICIES'!$A23="SUPERFICIE OVAL",'4 SUPERFICIES'!$AB23,0)</f>
        <v>0</v>
      </c>
      <c r="DN214" s="838"/>
      <c r="EG214" s="682">
        <f>IF('4 SUPERFICIES'!A23="MICRO DER",85,IF('4 SUPERFICIES'!A23="MICRO IZQ",85,IF('4 SUPERFICIES'!A23="MICRO SEN",170,IF('4 SUPERFICIES'!A23="DIAMETRO",3.14*'4 SUPERFICIES'!C23/2,IF('4 SUPERFICIES'!A23="MOSTRADOR",136,IF('4 SUPERFICIES'!A23="PORTA",65,IF('4 SUPERFICIES'!A23="PITO Q",90,IF('4 SUPERFICIES'!A23="PITO P",90,'4 SUPERFICIES'!A23))))))))</f>
        <v>0</v>
      </c>
      <c r="EH214" s="682"/>
      <c r="EI214" s="682">
        <f>IF('4 SUPERFICIES'!A23="DIAMETRO",0,IF('4 SUPERFICIES'!C23="PRINCIPAL",160,IF('4 SUPERFICIES'!C23="BADE",190,IF('4 SUPERFICIES'!C23="RETORNO",100,IF('4 SUPERFICIES'!C23="R 60",100,IF('4 SUPERFICIES'!C23="R60",100,'4 SUPERFICIES'!C23))))))</f>
        <v>0</v>
      </c>
      <c r="EJ214" s="682"/>
      <c r="EK214" s="682">
        <f>IF('4 SUPERFICIES'!$F23='4 SUPERFICIES'!$AG$15,((EG214*2)+(EI214*2))*'4 SUPERFICIES'!AB23,0)</f>
        <v>0</v>
      </c>
      <c r="EL214" s="682"/>
      <c r="EM214" s="682">
        <f>IF('4 SUPERFICIES'!$F23='4 SUPERFICIES'!$AG$16,((EG214*2)+(EI214*2))*'4 SUPERFICIES'!AB23,0)</f>
        <v>0</v>
      </c>
      <c r="EO214" s="682">
        <f>IF('4 SUPERFICIES'!$F23='4 SUPERFICIES'!$AG$17,((EG214*2)+(EI214*2))*'4 SUPERFICIES'!AB23,0)</f>
        <v>0</v>
      </c>
      <c r="EQ214" s="682">
        <f>IF('4 SUPERFICIES'!$F23='4 SUPERFICIES'!$AG$18,((EG214*2)+(EI214*2))*'4 SUPERFICIES'!AB23,0)</f>
        <v>0</v>
      </c>
      <c r="HF214" s="700">
        <v>16</v>
      </c>
      <c r="HH214" s="591">
        <v>16</v>
      </c>
    </row>
    <row r="215" spans="1:216" ht="26.25" x14ac:dyDescent="0.4">
      <c r="D215" s="693">
        <f>1/106</f>
        <v>9.433962264150943E-3</v>
      </c>
      <c r="E215" s="694">
        <f>1/85</f>
        <v>1.1764705882352941E-2</v>
      </c>
      <c r="F215" s="694">
        <f>1/72</f>
        <v>1.3888888888888888E-2</v>
      </c>
      <c r="G215" s="695">
        <f>1/53</f>
        <v>1.8867924528301886E-2</v>
      </c>
      <c r="AK215" s="777" t="b">
        <f>IF('4 SUPERFICIES'!$A24&gt;10,IF('4 SUPERFICIES'!$A24&lt;31.1,IF('4 SUPERFICIES'!$C24&gt;10,IF('4 SUPERFICIES'!$C24&lt;57.6,'4 SUPERFICIES'!$AB24,0))))</f>
        <v>0</v>
      </c>
      <c r="AL215" s="777" t="b">
        <f>IF('4 SUPERFICIES'!$A24&gt;10,IF('4 SUPERFICIES'!$A24&lt;31.1,IF('4 SUPERFICIES'!$C24&gt;57.6,IF('4 SUPERFICIES'!$C24&lt;71.6,'4 SUPERFICIES'!$AB24,0))))</f>
        <v>0</v>
      </c>
      <c r="AM215" s="777" t="b">
        <f>IF('4 SUPERFICIES'!$A24&gt;10,IF('4 SUPERFICIES'!$A24&lt;31.1,IF('4 SUPERFICIES'!$C24&gt;71.5,IF('4 SUPERFICIES'!$C24&lt;85.6,'4 SUPERFICIES'!$AB24,0))))</f>
        <v>0</v>
      </c>
      <c r="AN215" s="777" t="b">
        <f>IF('4 SUPERFICIES'!$A24&gt;10,IF('4 SUPERFICIES'!$A24&lt;31.1,IF('4 SUPERFICIES'!$C24&gt;85.5,IF('4 SUPERFICIES'!$C24&lt;113.6,'4 SUPERFICIES'!$AB24,0))))</f>
        <v>0</v>
      </c>
      <c r="AO215" s="777" t="b">
        <f>IF('4 SUPERFICIES'!$A24&gt;10,IF('4 SUPERFICIES'!$A24&lt;31.1,IF('4 SUPERFICIES'!$C24&gt;113.5,IF('4 SUPERFICIES'!$C24&lt;141.6,'4 SUPERFICIES'!$AB24,0))))</f>
        <v>0</v>
      </c>
      <c r="AP215" s="777" t="b">
        <f>IF('4 SUPERFICIES'!$A24&gt;10,IF('4 SUPERFICIES'!$A24&lt;31.1,IF('4 SUPERFICIES'!$C24&gt;141.5,IF('4 SUPERFICIES'!$C24&lt;180.6,'4 SUPERFICIES'!$AB24,0))))</f>
        <v>0</v>
      </c>
      <c r="AQ215" s="777" t="b">
        <f>IF('4 SUPERFICIES'!$A24&gt;10,IF('4 SUPERFICIES'!$A24&lt;31.1,IF('4 SUPERFICIES'!$C24&gt;180.5,IF('4 SUPERFICIES'!$C24&lt;240.1,'4 SUPERFICIES'!$AB24,0))))</f>
        <v>0</v>
      </c>
      <c r="AS215" s="777" t="b">
        <f>IF('4 SUPERFICIES'!$A24&gt;31,IF('4 SUPERFICIES'!$A24&lt;45.5,IF('4 SUPERFICIES'!$C24&gt;10,IF('4 SUPERFICIES'!$C24&lt;57.6,'4 SUPERFICIES'!$AB24,0))))</f>
        <v>0</v>
      </c>
      <c r="AT215" s="777" t="b">
        <f>IF('4 SUPERFICIES'!$A24&gt;31,IF('4 SUPERFICIES'!$A24&lt;45.5,IF('4 SUPERFICIES'!$C24&gt;57.6,IF('4 SUPERFICIES'!$C24&lt;71.6,'4 SUPERFICIES'!$AB24,0))))</f>
        <v>0</v>
      </c>
      <c r="AU215" s="777" t="b">
        <f>IF('4 SUPERFICIES'!$A24&gt;31,IF('4 SUPERFICIES'!$A24&lt;45.5,IF('4 SUPERFICIES'!$C24&gt;71.5,IF('4 SUPERFICIES'!$C24&lt;85.6,'4 SUPERFICIES'!$AB24,0))))</f>
        <v>0</v>
      </c>
      <c r="AV215" s="777" t="b">
        <f>IF('4 SUPERFICIES'!$A24&gt;31,IF('4 SUPERFICIES'!$A24&lt;45.5,IF('4 SUPERFICIES'!$C24&gt;85.5,IF('4 SUPERFICIES'!$C24&lt;113.6,'4 SUPERFICIES'!$AB24,0))))</f>
        <v>0</v>
      </c>
      <c r="AW215" s="777" t="b">
        <f>IF('4 SUPERFICIES'!$A24&gt;31,IF('4 SUPERFICIES'!$A24&lt;45.5,IF('4 SUPERFICIES'!$C24&gt;113.5,IF('4 SUPERFICIES'!$C24&lt;141.6,'4 SUPERFICIES'!$AB24,0))))</f>
        <v>0</v>
      </c>
      <c r="AX215" s="777" t="b">
        <f>IF('4 SUPERFICIES'!$A24&gt;31,IF('4 SUPERFICIES'!$A24&lt;45.5,IF('4 SUPERFICIES'!$C24&gt;141.5,IF('4 SUPERFICIES'!$C24&lt;180.6,'4 SUPERFICIES'!$AB24,0))))</f>
        <v>0</v>
      </c>
      <c r="AY215" s="777" t="b">
        <f>IF('4 SUPERFICIES'!$A24&gt;31,IF('4 SUPERFICIES'!$A24&lt;45.5,IF('4 SUPERFICIES'!$C24&gt;180.5,IF('4 SUPERFICIES'!$C24&lt;240.1,'4 SUPERFICIES'!$AB24,0))))</f>
        <v>0</v>
      </c>
      <c r="BA215" s="777" t="b">
        <f>IF('4 SUPERFICIES'!$A24&gt;45.4,IF('4 SUPERFICIES'!$A24&lt;61.6,IF('4 SUPERFICIES'!$C24&gt;10,IF('4 SUPERFICIES'!$C24&lt;61.5,'4 SUPERFICIES'!$AB24,0))))</f>
        <v>0</v>
      </c>
      <c r="BB215" s="777" t="b">
        <f>IF('4 SUPERFICIES'!$A24&gt;45.4,IF('4 SUPERFICIES'!$A24&lt;61.6,IF('4 SUPERFICIES'!$C24&gt;61.1,IF('4 SUPERFICIES'!$C24&lt;71.6,'4 SUPERFICIES'!$AB24,0))))</f>
        <v>0</v>
      </c>
      <c r="BC215" s="777" t="b">
        <f>IF('4 SUPERFICIES'!$A24&gt;45.4,IF('4 SUPERFICIES'!$A24&lt;61.6,IF('4 SUPERFICIES'!$C24&gt;71.5,IF('4 SUPERFICIES'!$C24&lt;85.6,'4 SUPERFICIES'!$AB24,0))))</f>
        <v>0</v>
      </c>
      <c r="BD215" s="777" t="b">
        <f>IF('4 SUPERFICIES'!$A24&gt;45.4,IF('4 SUPERFICIES'!$A24&lt;61.6,IF('4 SUPERFICIES'!$C24&gt;85.5,IF('4 SUPERFICIES'!$C24&lt;113.6,'4 SUPERFICIES'!$AB24,0))))</f>
        <v>0</v>
      </c>
      <c r="BE215" s="777" t="b">
        <f>IF('4 SUPERFICIES'!$A24&gt;45.4,IF('4 SUPERFICIES'!$A24&lt;61.6,IF('4 SUPERFICIES'!$C24&gt;113.5,IF('4 SUPERFICIES'!$C24&lt;121.6,'4 SUPERFICIES'!$AB24,0))))</f>
        <v>0</v>
      </c>
      <c r="BF215" s="777" t="b">
        <f>IF('4 SUPERFICIES'!$A24&gt;45.4,IF('4 SUPERFICIES'!$A24&lt;61.6,IF('4 SUPERFICIES'!$C24&gt;121.5,IF('4 SUPERFICIES'!$C24&lt;127.6,'4 SUPERFICIES'!$AB24,0))))</f>
        <v>0</v>
      </c>
      <c r="BG215" s="777" t="b">
        <f>IF('4 SUPERFICIES'!$A24&gt;45.4,IF('4 SUPERFICIES'!$A24&lt;61.6,IF('4 SUPERFICIES'!$C24&gt;127.5,IF('4 SUPERFICIES'!$C24&lt;135.1,'4 SUPERFICIES'!$AB24,0))))</f>
        <v>0</v>
      </c>
      <c r="BH215" s="777" t="b">
        <f>IF('4 SUPERFICIES'!$A24&gt;45.4,IF('4 SUPERFICIES'!$A24&lt;61.6,IF('4 SUPERFICIES'!$C24&gt;135,IF('4 SUPERFICIES'!$C24&lt;141.6,'4 SUPERFICIES'!$AB24,0))))</f>
        <v>0</v>
      </c>
      <c r="BI215" s="777" t="b">
        <f>IF('4 SUPERFICIES'!$A24&gt;45.4,IF('4 SUPERFICIES'!$A24&lt;61.6,IF('4 SUPERFICIES'!$C24&gt;141.5,IF('4 SUPERFICIES'!$C24&lt;149.1,'4 SUPERFICIES'!$AB24,0))))</f>
        <v>0</v>
      </c>
      <c r="BJ215" s="777" t="b">
        <f>IF('4 SUPERFICIES'!$A24&gt;45.4,IF('4 SUPERFICIES'!$A24&lt;61.6,IF('4 SUPERFICIES'!$C24&gt;149,IF('4 SUPERFICIES'!$C24&lt;155.6,'4 SUPERFICIES'!$AB24,0))))</f>
        <v>0</v>
      </c>
      <c r="BK215" s="777" t="b">
        <f>IF('4 SUPERFICIES'!$A24&gt;45.4,IF('4 SUPERFICIES'!$A24&lt;61.6,IF('4 SUPERFICIES'!$C24&gt;155.5,IF('4 SUPERFICIES'!$C24&lt;163.1,'4 SUPERFICIES'!$AB24,0))))</f>
        <v>0</v>
      </c>
      <c r="BL215" s="777" t="b">
        <f>IF('4 SUPERFICIES'!$A24&gt;45.4,IF('4 SUPERFICIES'!$A24&lt;61.6,IF('4 SUPERFICIES'!$C24&gt;163,IF('4 SUPERFICIES'!$C24&lt;180.6,'4 SUPERFICIES'!$AB24,0))))</f>
        <v>0</v>
      </c>
      <c r="BM215" s="777" t="b">
        <f>IF('4 SUPERFICIES'!$A24&gt;45.4,IF('4 SUPERFICIES'!$A24&lt;61.6,IF('4 SUPERFICIES'!$C24&gt;180.5,IF('4 SUPERFICIES'!$C24&lt;240.1,'4 SUPERFICIES'!$AB24,0))))</f>
        <v>0</v>
      </c>
      <c r="BO215" s="869" t="s">
        <v>531</v>
      </c>
      <c r="BQ215" s="870">
        <f>+$BD$250+$CI$250*2</f>
        <v>0</v>
      </c>
      <c r="BS215" s="869"/>
      <c r="BT215" s="870">
        <f>+$BD$251+$CI$251*2</f>
        <v>0</v>
      </c>
      <c r="BV215" s="777" t="b">
        <f>IF('4 SUPERFICIES'!$A24&gt;61.5,IF('4 SUPERFICIES'!$A24&lt;71.6,IF('4 SUPERFICIES'!$C24&gt;10,IF('4 SUPERFICIES'!$C24&lt;57.6,'4 SUPERFICIES'!$AB24,0))))</f>
        <v>0</v>
      </c>
      <c r="BW215" s="777" t="b">
        <f>IF('4 SUPERFICIES'!$A24&gt;61.5,IF('4 SUPERFICIES'!$A24&lt;71.6,IF('4 SUPERFICIES'!$C24&gt;57.6,IF('4 SUPERFICIES'!$C24&lt;71.6,'4 SUPERFICIES'!$AB24,0))))</f>
        <v>0</v>
      </c>
      <c r="BX215" s="777" t="b">
        <f>IF('4 SUPERFICIES'!$A24&gt;61.5,IF('4 SUPERFICIES'!$A24&lt;71.6,IF('4 SUPERFICIES'!$C24&gt;71.5,IF('4 SUPERFICIES'!$C24&lt;85.6,'4 SUPERFICIES'!$AB24,0))))</f>
        <v>0</v>
      </c>
      <c r="BY215" s="777" t="b">
        <f>IF('4 SUPERFICIES'!$A24&gt;61.5,IF('4 SUPERFICIES'!$A24&lt;71.6,IF('4 SUPERFICIES'!$C24&gt;85.5,IF('4 SUPERFICIES'!$C24&lt;113.6,'4 SUPERFICIES'!$AB24,0))))</f>
        <v>0</v>
      </c>
      <c r="BZ215" s="777" t="b">
        <f>IF('4 SUPERFICIES'!$A24&gt;61.5,IF('4 SUPERFICIES'!$A24&lt;71.6,IF('4 SUPERFICIES'!$C24&gt;113.5,IF('4 SUPERFICIES'!$C24&lt;141.6,'4 SUPERFICIES'!$AB24,0))))</f>
        <v>0</v>
      </c>
      <c r="CA215" s="777" t="b">
        <f>IF('4 SUPERFICIES'!$A24&gt;61.5,IF('4 SUPERFICIES'!$A24&lt;71.6,IF('4 SUPERFICIES'!$C24&gt;141.5,IF('4 SUPERFICIES'!$C24&lt;149.1,'4 SUPERFICIES'!$AB24,0))))</f>
        <v>0</v>
      </c>
      <c r="CB215" s="777" t="b">
        <f>IF('4 SUPERFICIES'!$A24&gt;61.5,IF('4 SUPERFICIES'!$A24&lt;71.6,IF('4 SUPERFICIES'!$C24&gt;149,IF('4 SUPERFICIES'!$C24&lt;163.1,'4 SUPERFICIES'!$AB24,0))))</f>
        <v>0</v>
      </c>
      <c r="CC215" s="777" t="b">
        <f>IF('4 SUPERFICIES'!$A24&gt;61.5,IF('4 SUPERFICIES'!$A24&lt;71.6,IF('4 SUPERFICIES'!$C24&gt;163,IF('4 SUPERFICIES'!$C24&lt;180.6,'4 SUPERFICIES'!$AB24,0))))</f>
        <v>0</v>
      </c>
      <c r="CD215" s="777" t="b">
        <f>IF('4 SUPERFICIES'!$A24&gt;61.5,IF('4 SUPERFICIES'!$A24&lt;71.6,IF('4 SUPERFICIES'!$C24&gt;180.5,IF('4 SUPERFICIES'!$C24&lt;240.1,'4 SUPERFICIES'!$AB24,0))))</f>
        <v>0</v>
      </c>
      <c r="CF215" s="777" t="b">
        <f>IF('4 SUPERFICIES'!$A24&gt;71.5,IF('4 SUPERFICIES'!$A24&lt;120.6,IF('4 SUPERFICIES'!$C24&gt;10,IF('4 SUPERFICIES'!$C24&lt;57.6,'4 SUPERFICIES'!$AB24,0))))</f>
        <v>0</v>
      </c>
      <c r="CG215" s="777" t="b">
        <f>IF('4 SUPERFICIES'!$A24&gt;71.5,IF('4 SUPERFICIES'!$A24&lt;120.6,IF('4 SUPERFICIES'!$C24&gt;57.6,IF('4 SUPERFICIES'!$C24&lt;71.6,'4 SUPERFICIES'!$AB24,0))))</f>
        <v>0</v>
      </c>
      <c r="CH215" s="777" t="b">
        <f>IF('4 SUPERFICIES'!$A24&gt;71.5,IF('4 SUPERFICIES'!$A24&lt;120.6,IF('4 SUPERFICIES'!$C24&gt;71.5,IF('4 SUPERFICIES'!$C24&lt;85.6,'4 SUPERFICIES'!$AB24,0))))</f>
        <v>0</v>
      </c>
      <c r="CI215" s="777" t="b">
        <f>IF('4 SUPERFICIES'!$A24&gt;71.5,IF('4 SUPERFICIES'!$A24&lt;120.6,IF('4 SUPERFICIES'!$C24&gt;85.5,IF('4 SUPERFICIES'!$C24&lt;113.6,'4 SUPERFICIES'!$AB24,0))))</f>
        <v>0</v>
      </c>
      <c r="CJ215" s="777" t="b">
        <f>IF('4 SUPERFICIES'!$A24&gt;71.5,IF('4 SUPERFICIES'!$A24&lt;120.6,IF('4 SUPERFICIES'!$C24&gt;113.5,IF('4 SUPERFICIES'!$C24&lt;141.6,'4 SUPERFICIES'!$AB24,0))))</f>
        <v>0</v>
      </c>
      <c r="CK215" s="777" t="b">
        <f>IF('4 SUPERFICIES'!$A24&gt;71.5,IF('4 SUPERFICIES'!$A24&lt;120.6,IF('4 SUPERFICIES'!$C24&gt;141.5,IF('4 SUPERFICIES'!$C24&lt;180.6,'4 SUPERFICIES'!$AB24,0))))</f>
        <v>0</v>
      </c>
      <c r="CL215" s="777" t="b">
        <f>IF('4 SUPERFICIES'!$A24&gt;71.5,IF('4 SUPERFICIES'!$A24&lt;120.6,IF('4 SUPERFICIES'!$C24&gt;180.5,IF('4 SUPERFICIES'!$C24&lt;240.1,'4 SUPERFICIES'!$AB24,0))))</f>
        <v>0</v>
      </c>
      <c r="CN215" s="777">
        <f>IF('4 SUPERFICIES'!$C24&lt;150,IF(OR('4 SUPERFICIES'!$A24="MICRODER",'4 SUPERFICIES'!$A24="MICRO DER",),'4 SUPERFICIES'!$AB24,0))</f>
        <v>0</v>
      </c>
      <c r="CO215" s="777" t="b">
        <f>IF('4 SUPERFICIES'!$C24&gt;149.5,IF(OR('4 SUPERFICIES'!$A24="MICRODER",'4 SUPERFICIES'!$A24="MICRO DER",),'4 SUPERFICIES'!$AB24,0))</f>
        <v>0</v>
      </c>
      <c r="CP215" s="847"/>
      <c r="CQ215" s="777">
        <f>IF('4 SUPERFICIES'!$C24&lt;150,IF(OR('4 SUPERFICIES'!$A24="MICROIZQ",'4 SUPERFICIES'!$A24="MICRO IZQ",),'4 SUPERFICIES'!$AB24,0))</f>
        <v>0</v>
      </c>
      <c r="CR215" s="777" t="b">
        <f>IF('4 SUPERFICIES'!$C24&gt;149.5,IF(OR('4 SUPERFICIES'!$A24="MICROIZQ",'4 SUPERFICIES'!$A24="MICRO IZQ",),'4 SUPERFICIES'!$AB24,0))</f>
        <v>0</v>
      </c>
      <c r="CT215" s="837">
        <f>IF(OR('4 SUPERFICIES'!$A24="MICRO SEN",'4 SUPERFICIES'!$A24="MICROSEN",),'4 SUPERFICIES'!$AB24,0)</f>
        <v>0</v>
      </c>
      <c r="CV215" s="837" t="b">
        <f>IF('4 SUPERFICIES'!$A24="DIAMETRO",IF('4 SUPERFICIES'!$C24&lt;121.1,'4 SUPERFICIES'!$AB24,0))</f>
        <v>0</v>
      </c>
      <c r="CX215" s="858"/>
      <c r="CZ215" s="837" t="b">
        <f>IF('4 SUPERFICIES'!$A24="MOSTRADOR",IF('4 SUPERFICIES'!$C24="R60",'4 SUPERFICIES'!$AB24,0))</f>
        <v>0</v>
      </c>
      <c r="DB215" s="837">
        <f>IF(OR('4 SUPERFICIES'!$A24="PORTA PRIN",'4 SUPERFICIES'!$A24="PORTAPRIN",),'4 SUPERFICIES'!$AB24,0)</f>
        <v>0</v>
      </c>
      <c r="DD215" s="837">
        <f>IF(OR('4 SUPERFICIES'!$A24="PORTA BADE",'4 SUPERFICIES'!$A24="PORTABADE",),'4 SUPERFICIES'!$AB24,0)</f>
        <v>0</v>
      </c>
      <c r="DE215" s="837"/>
      <c r="DF215" s="837">
        <f>IF(OR('4 SUPERFICIES'!$A24="RETORNO IZQ",'4 SUPERFICIES'!$A24="RETORNO DER",),'4 SUPERFICIES'!$AB124,0)</f>
        <v>0</v>
      </c>
      <c r="DG215" s="837"/>
      <c r="DH215" s="837">
        <f>IF(OR('4 SUPERFICIES'!$A24="PITO Q",'4 SUPERFICIES'!$A24="PITO P",'4 SUPERFICIES'!$A24="DIAMETRO INTEGRADA",),'4 SUPERFICIES'!$AB24,0)</f>
        <v>0</v>
      </c>
      <c r="DJ215" s="858"/>
      <c r="DK215" s="837"/>
      <c r="DL215" s="837">
        <f>IF('4 SUPERFICIES'!$A24="SUPERFICIE OVAL",'4 SUPERFICIES'!$AB24,0)</f>
        <v>0</v>
      </c>
      <c r="DN215" s="838"/>
      <c r="EG215" s="682">
        <f>IF('4 SUPERFICIES'!A24="MICRO DER",85,IF('4 SUPERFICIES'!A24="MICRO IZQ",85,IF('4 SUPERFICIES'!A24="MICRO SEN",170,IF('4 SUPERFICIES'!A24="DIAMETRO",3.14*'4 SUPERFICIES'!C24/2,IF('4 SUPERFICIES'!A24="MOSTRADOR",136,IF('4 SUPERFICIES'!A24="PORTA",65,IF('4 SUPERFICIES'!A24="PITO Q",90,IF('4 SUPERFICIES'!A24="PITO P",90,'4 SUPERFICIES'!A24))))))))</f>
        <v>0</v>
      </c>
      <c r="EH215" s="682"/>
      <c r="EI215" s="682">
        <f>IF('4 SUPERFICIES'!A24="DIAMETRO",0,IF('4 SUPERFICIES'!C24="PRINCIPAL",160,IF('4 SUPERFICIES'!C24="BADE",190,IF('4 SUPERFICIES'!C24="RETORNO",100,IF('4 SUPERFICIES'!C24="R 60",100,IF('4 SUPERFICIES'!C24="R60",100,'4 SUPERFICIES'!C24))))))</f>
        <v>0</v>
      </c>
      <c r="EJ215" s="682"/>
      <c r="EK215" s="682">
        <f>IF('4 SUPERFICIES'!$F24='4 SUPERFICIES'!$AG$15,((EG215*2)+(EI215*2))*'4 SUPERFICIES'!AB24,0)</f>
        <v>0</v>
      </c>
      <c r="EL215" s="682"/>
      <c r="EM215" s="682">
        <f>IF('4 SUPERFICIES'!$F24='4 SUPERFICIES'!$AG$16,((EG215*2)+(EI215*2))*'4 SUPERFICIES'!AB24,0)</f>
        <v>0</v>
      </c>
      <c r="EO215" s="682">
        <f>IF('4 SUPERFICIES'!$F24='4 SUPERFICIES'!$AG$17,((EG215*2)+(EI215*2))*'4 SUPERFICIES'!AB24,0)</f>
        <v>0</v>
      </c>
      <c r="EQ215" s="682">
        <f>IF('4 SUPERFICIES'!$F24='4 SUPERFICIES'!$AG$18,((EG215*2)+(EI215*2))*'4 SUPERFICIES'!AB24,0)</f>
        <v>0</v>
      </c>
      <c r="HF215" s="700">
        <v>16.5</v>
      </c>
      <c r="HH215" s="591">
        <v>16.5</v>
      </c>
    </row>
    <row r="216" spans="1:216" ht="26.25" x14ac:dyDescent="0.4">
      <c r="AK216" s="777" t="b">
        <f>IF('4 SUPERFICIES'!$A25&gt;10,IF('4 SUPERFICIES'!$A25&lt;31.1,IF('4 SUPERFICIES'!$C25&gt;10,IF('4 SUPERFICIES'!$C25&lt;57.6,'4 SUPERFICIES'!$AB25,0))))</f>
        <v>0</v>
      </c>
      <c r="AL216" s="777" t="b">
        <f>IF('4 SUPERFICIES'!$A25&gt;10,IF('4 SUPERFICIES'!$A25&lt;31.1,IF('4 SUPERFICIES'!$C25&gt;57.6,IF('4 SUPERFICIES'!$C25&lt;71.6,'4 SUPERFICIES'!$AB25,0))))</f>
        <v>0</v>
      </c>
      <c r="AM216" s="777" t="b">
        <f>IF('4 SUPERFICIES'!$A25&gt;10,IF('4 SUPERFICIES'!$A25&lt;31.1,IF('4 SUPERFICIES'!$C25&gt;71.5,IF('4 SUPERFICIES'!$C25&lt;85.6,'4 SUPERFICIES'!$AB25,0))))</f>
        <v>0</v>
      </c>
      <c r="AN216" s="777" t="b">
        <f>IF('4 SUPERFICIES'!$A25&gt;10,IF('4 SUPERFICIES'!$A25&lt;31.1,IF('4 SUPERFICIES'!$C25&gt;85.5,IF('4 SUPERFICIES'!$C25&lt;113.6,'4 SUPERFICIES'!$AB25,0))))</f>
        <v>0</v>
      </c>
      <c r="AO216" s="777" t="b">
        <f>IF('4 SUPERFICIES'!$A25&gt;10,IF('4 SUPERFICIES'!$A25&lt;31.1,IF('4 SUPERFICIES'!$C25&gt;113.5,IF('4 SUPERFICIES'!$C25&lt;141.6,'4 SUPERFICIES'!$AB25,0))))</f>
        <v>0</v>
      </c>
      <c r="AP216" s="777" t="b">
        <f>IF('4 SUPERFICIES'!$A25&gt;10,IF('4 SUPERFICIES'!$A25&lt;31.1,IF('4 SUPERFICIES'!$C25&gt;141.5,IF('4 SUPERFICIES'!$C25&lt;180.6,'4 SUPERFICIES'!$AB25,0))))</f>
        <v>0</v>
      </c>
      <c r="AQ216" s="777" t="b">
        <f>IF('4 SUPERFICIES'!$A25&gt;10,IF('4 SUPERFICIES'!$A25&lt;31.1,IF('4 SUPERFICIES'!$C25&gt;180.5,IF('4 SUPERFICIES'!$C25&lt;240.1,'4 SUPERFICIES'!$AB25,0))))</f>
        <v>0</v>
      </c>
      <c r="AS216" s="777" t="b">
        <f>IF('4 SUPERFICIES'!$A25&gt;31,IF('4 SUPERFICIES'!$A25&lt;45.5,IF('4 SUPERFICIES'!$C25&gt;10,IF('4 SUPERFICIES'!$C25&lt;57.6,'4 SUPERFICIES'!$AB25,0))))</f>
        <v>0</v>
      </c>
      <c r="AT216" s="777" t="b">
        <f>IF('4 SUPERFICIES'!$A25&gt;31,IF('4 SUPERFICIES'!$A25&lt;45.5,IF('4 SUPERFICIES'!$C25&gt;57.6,IF('4 SUPERFICIES'!$C25&lt;71.6,'4 SUPERFICIES'!$AB25,0))))</f>
        <v>0</v>
      </c>
      <c r="AU216" s="777" t="b">
        <f>IF('4 SUPERFICIES'!$A25&gt;31,IF('4 SUPERFICIES'!$A25&lt;45.5,IF('4 SUPERFICIES'!$C25&gt;71.5,IF('4 SUPERFICIES'!$C25&lt;85.6,'4 SUPERFICIES'!$AB25,0))))</f>
        <v>0</v>
      </c>
      <c r="AV216" s="777" t="b">
        <f>IF('4 SUPERFICIES'!$A25&gt;31,IF('4 SUPERFICIES'!$A25&lt;45.5,IF('4 SUPERFICIES'!$C25&gt;85.5,IF('4 SUPERFICIES'!$C25&lt;113.6,'4 SUPERFICIES'!$AB25,0))))</f>
        <v>0</v>
      </c>
      <c r="AW216" s="777" t="b">
        <f>IF('4 SUPERFICIES'!$A25&gt;31,IF('4 SUPERFICIES'!$A25&lt;45.5,IF('4 SUPERFICIES'!$C25&gt;113.5,IF('4 SUPERFICIES'!$C25&lt;141.6,'4 SUPERFICIES'!$AB25,0))))</f>
        <v>0</v>
      </c>
      <c r="AX216" s="777" t="b">
        <f>IF('4 SUPERFICIES'!$A25&gt;31,IF('4 SUPERFICIES'!$A25&lt;45.5,IF('4 SUPERFICIES'!$C25&gt;141.5,IF('4 SUPERFICIES'!$C25&lt;180.6,'4 SUPERFICIES'!$AB25,0))))</f>
        <v>0</v>
      </c>
      <c r="AY216" s="777" t="b">
        <f>IF('4 SUPERFICIES'!$A25&gt;31,IF('4 SUPERFICIES'!$A25&lt;45.5,IF('4 SUPERFICIES'!$C25&gt;180.5,IF('4 SUPERFICIES'!$C25&lt;240.1,'4 SUPERFICIES'!$AB25,0))))</f>
        <v>0</v>
      </c>
      <c r="BA216" s="777" t="b">
        <f>IF('4 SUPERFICIES'!$A25&gt;45.4,IF('4 SUPERFICIES'!$A25&lt;61.6,IF('4 SUPERFICIES'!$C25&gt;10,IF('4 SUPERFICIES'!$C25&lt;61.5,'4 SUPERFICIES'!$AB25,0))))</f>
        <v>0</v>
      </c>
      <c r="BB216" s="777" t="b">
        <f>IF('4 SUPERFICIES'!$A25&gt;45.4,IF('4 SUPERFICIES'!$A25&lt;61.6,IF('4 SUPERFICIES'!$C25&gt;61.1,IF('4 SUPERFICIES'!$C25&lt;71.6,'4 SUPERFICIES'!$AB25,0))))</f>
        <v>0</v>
      </c>
      <c r="BC216" s="777" t="b">
        <f>IF('4 SUPERFICIES'!$A25&gt;45.4,IF('4 SUPERFICIES'!$A25&lt;61.6,IF('4 SUPERFICIES'!$C25&gt;71.5,IF('4 SUPERFICIES'!$C25&lt;85.6,'4 SUPERFICIES'!$AB25,0))))</f>
        <v>0</v>
      </c>
      <c r="BD216" s="777" t="b">
        <f>IF('4 SUPERFICIES'!$A25&gt;45.4,IF('4 SUPERFICIES'!$A25&lt;61.6,IF('4 SUPERFICIES'!$C25&gt;85.5,IF('4 SUPERFICIES'!$C25&lt;113.6,'4 SUPERFICIES'!$AB25,0))))</f>
        <v>0</v>
      </c>
      <c r="BE216" s="777" t="b">
        <f>IF('4 SUPERFICIES'!$A25&gt;45.4,IF('4 SUPERFICIES'!$A25&lt;61.6,IF('4 SUPERFICIES'!$C25&gt;113.5,IF('4 SUPERFICIES'!$C25&lt;121.6,'4 SUPERFICIES'!$AB25,0))))</f>
        <v>0</v>
      </c>
      <c r="BF216" s="777" t="b">
        <f>IF('4 SUPERFICIES'!$A25&gt;45.4,IF('4 SUPERFICIES'!$A25&lt;61.6,IF('4 SUPERFICIES'!$C25&gt;121.5,IF('4 SUPERFICIES'!$C25&lt;127.6,'4 SUPERFICIES'!$AB25,0))))</f>
        <v>0</v>
      </c>
      <c r="BG216" s="777" t="b">
        <f>IF('4 SUPERFICIES'!$A25&gt;45.4,IF('4 SUPERFICIES'!$A25&lt;61.6,IF('4 SUPERFICIES'!$C25&gt;127.5,IF('4 SUPERFICIES'!$C25&lt;135.1,'4 SUPERFICIES'!$AB25,0))))</f>
        <v>0</v>
      </c>
      <c r="BH216" s="777" t="b">
        <f>IF('4 SUPERFICIES'!$A25&gt;45.4,IF('4 SUPERFICIES'!$A25&lt;61.6,IF('4 SUPERFICIES'!$C25&gt;135,IF('4 SUPERFICIES'!$C25&lt;141.6,'4 SUPERFICIES'!$AB25,0))))</f>
        <v>0</v>
      </c>
      <c r="BI216" s="777" t="b">
        <f>IF('4 SUPERFICIES'!$A25&gt;45.4,IF('4 SUPERFICIES'!$A25&lt;61.6,IF('4 SUPERFICIES'!$C25&gt;141.5,IF('4 SUPERFICIES'!$C25&lt;149.1,'4 SUPERFICIES'!$AB25,0))))</f>
        <v>0</v>
      </c>
      <c r="BJ216" s="777" t="b">
        <f>IF('4 SUPERFICIES'!$A25&gt;45.4,IF('4 SUPERFICIES'!$A25&lt;61.6,IF('4 SUPERFICIES'!$C25&gt;149,IF('4 SUPERFICIES'!$C25&lt;155.6,'4 SUPERFICIES'!$AB25,0))))</f>
        <v>0</v>
      </c>
      <c r="BK216" s="777" t="b">
        <f>IF('4 SUPERFICIES'!$A25&gt;45.4,IF('4 SUPERFICIES'!$A25&lt;61.6,IF('4 SUPERFICIES'!$C25&gt;155.5,IF('4 SUPERFICIES'!$C25&lt;163.1,'4 SUPERFICIES'!$AB25,0))))</f>
        <v>0</v>
      </c>
      <c r="BL216" s="777" t="b">
        <f>IF('4 SUPERFICIES'!$A25&gt;45.4,IF('4 SUPERFICIES'!$A25&lt;61.6,IF('4 SUPERFICIES'!$C25&gt;163,IF('4 SUPERFICIES'!$C25&lt;180.6,'4 SUPERFICIES'!$AB25,0))))</f>
        <v>0</v>
      </c>
      <c r="BM216" s="777" t="b">
        <f>IF('4 SUPERFICIES'!$A25&gt;45.4,IF('4 SUPERFICIES'!$A25&lt;61.6,IF('4 SUPERFICIES'!$C25&gt;180.5,IF('4 SUPERFICIES'!$C25&lt;240.1,'4 SUPERFICIES'!$AB25,0))))</f>
        <v>0</v>
      </c>
      <c r="BO216" s="869" t="s">
        <v>533</v>
      </c>
      <c r="BQ216" s="870">
        <f>+$BE$250+$CF$250*2</f>
        <v>0</v>
      </c>
      <c r="BS216" s="869"/>
      <c r="BT216" s="870">
        <f>+$BE$251+$CF$251*2</f>
        <v>0</v>
      </c>
      <c r="BV216" s="777" t="b">
        <f>IF('4 SUPERFICIES'!$A25&gt;61.5,IF('4 SUPERFICIES'!$A25&lt;71.6,IF('4 SUPERFICIES'!$C25&gt;10,IF('4 SUPERFICIES'!$C25&lt;57.6,'4 SUPERFICIES'!$AB25,0))))</f>
        <v>0</v>
      </c>
      <c r="BW216" s="777" t="b">
        <f>IF('4 SUPERFICIES'!$A25&gt;61.5,IF('4 SUPERFICIES'!$A25&lt;71.6,IF('4 SUPERFICIES'!$C25&gt;57.6,IF('4 SUPERFICIES'!$C25&lt;71.6,'4 SUPERFICIES'!$AB25,0))))</f>
        <v>0</v>
      </c>
      <c r="BX216" s="777" t="b">
        <f>IF('4 SUPERFICIES'!$A25&gt;61.5,IF('4 SUPERFICIES'!$A25&lt;71.6,IF('4 SUPERFICIES'!$C25&gt;71.5,IF('4 SUPERFICIES'!$C25&lt;85.6,'4 SUPERFICIES'!$AB25,0))))</f>
        <v>0</v>
      </c>
      <c r="BY216" s="777" t="b">
        <f>IF('4 SUPERFICIES'!$A25&gt;61.5,IF('4 SUPERFICIES'!$A25&lt;71.6,IF('4 SUPERFICIES'!$C25&gt;85.5,IF('4 SUPERFICIES'!$C25&lt;113.6,'4 SUPERFICIES'!$AB25,0))))</f>
        <v>0</v>
      </c>
      <c r="BZ216" s="777" t="b">
        <f>IF('4 SUPERFICIES'!$A25&gt;61.5,IF('4 SUPERFICIES'!$A25&lt;71.6,IF('4 SUPERFICIES'!$C25&gt;113.5,IF('4 SUPERFICIES'!$C25&lt;141.6,'4 SUPERFICIES'!$AB25,0))))</f>
        <v>0</v>
      </c>
      <c r="CA216" s="777" t="b">
        <f>IF('4 SUPERFICIES'!$A25&gt;61.5,IF('4 SUPERFICIES'!$A25&lt;71.6,IF('4 SUPERFICIES'!$C25&gt;141.5,IF('4 SUPERFICIES'!$C25&lt;149.1,'4 SUPERFICIES'!$AB25,0))))</f>
        <v>0</v>
      </c>
      <c r="CB216" s="777" t="b">
        <f>IF('4 SUPERFICIES'!$A25&gt;61.5,IF('4 SUPERFICIES'!$A25&lt;71.6,IF('4 SUPERFICIES'!$C25&gt;149,IF('4 SUPERFICIES'!$C25&lt;163.1,'4 SUPERFICIES'!$AB25,0))))</f>
        <v>0</v>
      </c>
      <c r="CC216" s="777" t="b">
        <f>IF('4 SUPERFICIES'!$A25&gt;61.5,IF('4 SUPERFICIES'!$A25&lt;71.6,IF('4 SUPERFICIES'!$C25&gt;163,IF('4 SUPERFICIES'!$C25&lt;180.6,'4 SUPERFICIES'!$AB25,0))))</f>
        <v>0</v>
      </c>
      <c r="CD216" s="777" t="b">
        <f>IF('4 SUPERFICIES'!$A25&gt;61.5,IF('4 SUPERFICIES'!$A25&lt;71.6,IF('4 SUPERFICIES'!$C25&gt;180.5,IF('4 SUPERFICIES'!$C25&lt;240.1,'4 SUPERFICIES'!$AB25,0))))</f>
        <v>0</v>
      </c>
      <c r="CF216" s="777" t="b">
        <f>IF('4 SUPERFICIES'!$A25&gt;71.5,IF('4 SUPERFICIES'!$A25&lt;120.6,IF('4 SUPERFICIES'!$C25&gt;10,IF('4 SUPERFICIES'!$C25&lt;57.6,'4 SUPERFICIES'!$AB25,0))))</f>
        <v>0</v>
      </c>
      <c r="CG216" s="777" t="b">
        <f>IF('4 SUPERFICIES'!$A25&gt;71.5,IF('4 SUPERFICIES'!$A25&lt;120.6,IF('4 SUPERFICIES'!$C25&gt;57.6,IF('4 SUPERFICIES'!$C25&lt;71.6,'4 SUPERFICIES'!$AB25,0))))</f>
        <v>0</v>
      </c>
      <c r="CH216" s="777" t="b">
        <f>IF('4 SUPERFICIES'!$A25&gt;71.5,IF('4 SUPERFICIES'!$A25&lt;120.6,IF('4 SUPERFICIES'!$C25&gt;71.5,IF('4 SUPERFICIES'!$C25&lt;85.6,'4 SUPERFICIES'!$AB25,0))))</f>
        <v>0</v>
      </c>
      <c r="CI216" s="777" t="b">
        <f>IF('4 SUPERFICIES'!$A25&gt;71.5,IF('4 SUPERFICIES'!$A25&lt;120.6,IF('4 SUPERFICIES'!$C25&gt;85.5,IF('4 SUPERFICIES'!$C25&lt;113.6,'4 SUPERFICIES'!$AB25,0))))</f>
        <v>0</v>
      </c>
      <c r="CJ216" s="777" t="b">
        <f>IF('4 SUPERFICIES'!$A25&gt;71.5,IF('4 SUPERFICIES'!$A25&lt;120.6,IF('4 SUPERFICIES'!$C25&gt;113.5,IF('4 SUPERFICIES'!$C25&lt;141.6,'4 SUPERFICIES'!$AB25,0))))</f>
        <v>0</v>
      </c>
      <c r="CK216" s="777" t="b">
        <f>IF('4 SUPERFICIES'!$A25&gt;71.5,IF('4 SUPERFICIES'!$A25&lt;120.6,IF('4 SUPERFICIES'!$C25&gt;141.5,IF('4 SUPERFICIES'!$C25&lt;180.6,'4 SUPERFICIES'!$AB25,0))))</f>
        <v>0</v>
      </c>
      <c r="CL216" s="777" t="b">
        <f>IF('4 SUPERFICIES'!$A25&gt;71.5,IF('4 SUPERFICIES'!$A25&lt;120.6,IF('4 SUPERFICIES'!$C25&gt;180.5,IF('4 SUPERFICIES'!$C25&lt;240.1,'4 SUPERFICIES'!$AB25,0))))</f>
        <v>0</v>
      </c>
      <c r="CN216" s="777">
        <f>IF('4 SUPERFICIES'!$C25&lt;150,IF(OR('4 SUPERFICIES'!$A25="MICRODER",'4 SUPERFICIES'!$A25="MICRO DER",),'4 SUPERFICIES'!$AB25,0))</f>
        <v>0</v>
      </c>
      <c r="CO216" s="777" t="b">
        <f>IF('4 SUPERFICIES'!$C25&gt;149.5,IF(OR('4 SUPERFICIES'!$A25="MICRODER",'4 SUPERFICIES'!$A25="MICRO DER",),'4 SUPERFICIES'!$AB25,0))</f>
        <v>0</v>
      </c>
      <c r="CP216" s="847"/>
      <c r="CQ216" s="777">
        <f>IF('4 SUPERFICIES'!$C25&lt;150,IF(OR('4 SUPERFICIES'!$A25="MICROIZQ",'4 SUPERFICIES'!$A25="MICRO IZQ",),'4 SUPERFICIES'!$AB25,0))</f>
        <v>0</v>
      </c>
      <c r="CR216" s="777" t="b">
        <f>IF('4 SUPERFICIES'!$C25&gt;149.5,IF(OR('4 SUPERFICIES'!$A25="MICROIZQ",'4 SUPERFICIES'!$A25="MICRO IZQ",),'4 SUPERFICIES'!$AB25,0))</f>
        <v>0</v>
      </c>
      <c r="CT216" s="837">
        <f>IF(OR('4 SUPERFICIES'!$A25="MICRO SEN",'4 SUPERFICIES'!$A25="MICROSEN",),'4 SUPERFICIES'!$AB25,0)</f>
        <v>0</v>
      </c>
      <c r="CV216" s="837" t="b">
        <f>IF('4 SUPERFICIES'!$A25="DIAMETRO",IF('4 SUPERFICIES'!$C25&lt;121.1,'4 SUPERFICIES'!$AB25,0))</f>
        <v>0</v>
      </c>
      <c r="CX216" s="858"/>
      <c r="CZ216" s="837" t="b">
        <f>IF('4 SUPERFICIES'!$A25="MOSTRADOR",IF('4 SUPERFICIES'!$C25="R60",'4 SUPERFICIES'!$AB25,0))</f>
        <v>0</v>
      </c>
      <c r="DB216" s="837">
        <f>IF(OR('4 SUPERFICIES'!$A25="PORTA PRIN",'4 SUPERFICIES'!$A25="PORTAPRIN",),'4 SUPERFICIES'!$AB25,0)</f>
        <v>0</v>
      </c>
      <c r="DD216" s="837">
        <f>IF(OR('4 SUPERFICIES'!$A25="PORTA BADE",'4 SUPERFICIES'!$A25="PORTABADE",),'4 SUPERFICIES'!$AB25,0)</f>
        <v>0</v>
      </c>
      <c r="DE216" s="837"/>
      <c r="DF216" s="837">
        <f>IF(OR('4 SUPERFICIES'!$A25="RETORNO IZQ",'4 SUPERFICIES'!$A25="RETORNO DER",),'4 SUPERFICIES'!$AB125,0)</f>
        <v>0</v>
      </c>
      <c r="DG216" s="837"/>
      <c r="DH216" s="837">
        <f>IF(OR('4 SUPERFICIES'!$A25="PITO Q",'4 SUPERFICIES'!$A25="PITO P",'4 SUPERFICIES'!$A25="DIAMETRO INTEGRADA",),'4 SUPERFICIES'!$AB25,0)</f>
        <v>0</v>
      </c>
      <c r="DJ216" s="858"/>
      <c r="DK216" s="837"/>
      <c r="DL216" s="837">
        <f>IF('4 SUPERFICIES'!$A25="SUPERFICIE OVAL",'4 SUPERFICIES'!$AB25,0)</f>
        <v>0</v>
      </c>
      <c r="DN216" s="838"/>
      <c r="EG216" s="682">
        <f>IF('4 SUPERFICIES'!A25="MICRO DER",85,IF('4 SUPERFICIES'!A25="MICRO IZQ",85,IF('4 SUPERFICIES'!A25="MICRO SEN",170,IF('4 SUPERFICIES'!A25="DIAMETRO",3.14*'4 SUPERFICIES'!C25/2,IF('4 SUPERFICIES'!A25="MOSTRADOR",136,IF('4 SUPERFICIES'!A25="PORTA",65,IF('4 SUPERFICIES'!A25="PITO Q",90,IF('4 SUPERFICIES'!A25="PITO P",90,'4 SUPERFICIES'!A25))))))))</f>
        <v>0</v>
      </c>
      <c r="EH216" s="682"/>
      <c r="EI216" s="682">
        <f>IF('4 SUPERFICIES'!A25="DIAMETRO",0,IF('4 SUPERFICIES'!C25="PRINCIPAL",160,IF('4 SUPERFICIES'!C25="BADE",190,IF('4 SUPERFICIES'!C25="RETORNO",100,IF('4 SUPERFICIES'!C25="R 60",100,IF('4 SUPERFICIES'!C25="R60",100,'4 SUPERFICIES'!C25))))))</f>
        <v>0</v>
      </c>
      <c r="EJ216" s="682"/>
      <c r="EK216" s="682">
        <f>IF('4 SUPERFICIES'!$F25='4 SUPERFICIES'!$AG$15,((EG216*2)+(EI216*2))*'4 SUPERFICIES'!AB25,0)</f>
        <v>0</v>
      </c>
      <c r="EL216" s="682"/>
      <c r="EM216" s="682">
        <f>IF('4 SUPERFICIES'!$F25='4 SUPERFICIES'!$AG$16,((EG216*2)+(EI216*2))*'4 SUPERFICIES'!AB25,0)</f>
        <v>0</v>
      </c>
      <c r="EO216" s="682">
        <f>IF('4 SUPERFICIES'!$F25='4 SUPERFICIES'!$AG$17,((EG216*2)+(EI216*2))*'4 SUPERFICIES'!AB25,0)</f>
        <v>0</v>
      </c>
      <c r="EQ216" s="682">
        <f>IF('4 SUPERFICIES'!$F25='4 SUPERFICIES'!$AG$18,((EG216*2)+(EI216*2))*'4 SUPERFICIES'!AB25,0)</f>
        <v>0</v>
      </c>
      <c r="HF216" s="700">
        <v>17</v>
      </c>
      <c r="HH216" s="591">
        <v>17</v>
      </c>
    </row>
    <row r="217" spans="1:216" ht="26.25" x14ac:dyDescent="0.4">
      <c r="A217" s="1093" t="s">
        <v>119</v>
      </c>
      <c r="B217" s="1095"/>
      <c r="C217" s="845"/>
      <c r="D217" s="1090" t="s">
        <v>996</v>
      </c>
      <c r="E217" s="1091"/>
      <c r="F217" s="1091"/>
      <c r="G217" s="1092"/>
      <c r="AK217" s="777" t="b">
        <f>IF('4 SUPERFICIES'!$A26&gt;10,IF('4 SUPERFICIES'!$A26&lt;31.1,IF('4 SUPERFICIES'!$C26&gt;10,IF('4 SUPERFICIES'!$C26&lt;57.6,'4 SUPERFICIES'!$AB26,0))))</f>
        <v>0</v>
      </c>
      <c r="AL217" s="777" t="b">
        <f>IF('4 SUPERFICIES'!$A26&gt;10,IF('4 SUPERFICIES'!$A26&lt;31.1,IF('4 SUPERFICIES'!$C26&gt;57.6,IF('4 SUPERFICIES'!$C26&lt;71.6,'4 SUPERFICIES'!$AB26,0))))</f>
        <v>0</v>
      </c>
      <c r="AM217" s="777" t="b">
        <f>IF('4 SUPERFICIES'!$A26&gt;10,IF('4 SUPERFICIES'!$A26&lt;31.1,IF('4 SUPERFICIES'!$C26&gt;71.5,IF('4 SUPERFICIES'!$C26&lt;85.6,'4 SUPERFICIES'!$AB26,0))))</f>
        <v>0</v>
      </c>
      <c r="AN217" s="777" t="b">
        <f>IF('4 SUPERFICIES'!$A26&gt;10,IF('4 SUPERFICIES'!$A26&lt;31.1,IF('4 SUPERFICIES'!$C26&gt;85.5,IF('4 SUPERFICIES'!$C26&lt;113.6,'4 SUPERFICIES'!$AB26,0))))</f>
        <v>0</v>
      </c>
      <c r="AO217" s="777" t="b">
        <f>IF('4 SUPERFICIES'!$A26&gt;10,IF('4 SUPERFICIES'!$A26&lt;31.1,IF('4 SUPERFICIES'!$C26&gt;113.5,IF('4 SUPERFICIES'!$C26&lt;141.6,'4 SUPERFICIES'!$AB26,0))))</f>
        <v>0</v>
      </c>
      <c r="AP217" s="777" t="b">
        <f>IF('4 SUPERFICIES'!$A26&gt;10,IF('4 SUPERFICIES'!$A26&lt;31.1,IF('4 SUPERFICIES'!$C26&gt;141.5,IF('4 SUPERFICIES'!$C26&lt;180.6,'4 SUPERFICIES'!$AB26,0))))</f>
        <v>0</v>
      </c>
      <c r="AQ217" s="777" t="b">
        <f>IF('4 SUPERFICIES'!$A26&gt;10,IF('4 SUPERFICIES'!$A26&lt;31.1,IF('4 SUPERFICIES'!$C26&gt;180.5,IF('4 SUPERFICIES'!$C26&lt;240.1,'4 SUPERFICIES'!$AB26,0))))</f>
        <v>0</v>
      </c>
      <c r="AS217" s="777" t="b">
        <f>IF('4 SUPERFICIES'!$A26&gt;31,IF('4 SUPERFICIES'!$A26&lt;45.5,IF('4 SUPERFICIES'!$C26&gt;10,IF('4 SUPERFICIES'!$C26&lt;57.6,'4 SUPERFICIES'!$AB26,0))))</f>
        <v>0</v>
      </c>
      <c r="AT217" s="777" t="b">
        <f>IF('4 SUPERFICIES'!$A26&gt;31,IF('4 SUPERFICIES'!$A26&lt;45.5,IF('4 SUPERFICIES'!$C26&gt;57.6,IF('4 SUPERFICIES'!$C26&lt;71.6,'4 SUPERFICIES'!$AB26,0))))</f>
        <v>0</v>
      </c>
      <c r="AU217" s="777" t="b">
        <f>IF('4 SUPERFICIES'!$A26&gt;31,IF('4 SUPERFICIES'!$A26&lt;45.5,IF('4 SUPERFICIES'!$C26&gt;71.5,IF('4 SUPERFICIES'!$C26&lt;85.6,'4 SUPERFICIES'!$AB26,0))))</f>
        <v>0</v>
      </c>
      <c r="AV217" s="777" t="b">
        <f>IF('4 SUPERFICIES'!$A26&gt;31,IF('4 SUPERFICIES'!$A26&lt;45.5,IF('4 SUPERFICIES'!$C26&gt;85.5,IF('4 SUPERFICIES'!$C26&lt;113.6,'4 SUPERFICIES'!$AB26,0))))</f>
        <v>0</v>
      </c>
      <c r="AW217" s="777" t="b">
        <f>IF('4 SUPERFICIES'!$A26&gt;31,IF('4 SUPERFICIES'!$A26&lt;45.5,IF('4 SUPERFICIES'!$C26&gt;113.5,IF('4 SUPERFICIES'!$C26&lt;141.6,'4 SUPERFICIES'!$AB26,0))))</f>
        <v>0</v>
      </c>
      <c r="AX217" s="777" t="b">
        <f>IF('4 SUPERFICIES'!$A26&gt;31,IF('4 SUPERFICIES'!$A26&lt;45.5,IF('4 SUPERFICIES'!$C26&gt;141.5,IF('4 SUPERFICIES'!$C26&lt;180.6,'4 SUPERFICIES'!$AB26,0))))</f>
        <v>0</v>
      </c>
      <c r="AY217" s="777" t="b">
        <f>IF('4 SUPERFICIES'!$A26&gt;31,IF('4 SUPERFICIES'!$A26&lt;45.5,IF('4 SUPERFICIES'!$C26&gt;180.5,IF('4 SUPERFICIES'!$C26&lt;240.1,'4 SUPERFICIES'!$AB26,0))))</f>
        <v>0</v>
      </c>
      <c r="BA217" s="777" t="b">
        <f>IF('4 SUPERFICIES'!$A26&gt;45.4,IF('4 SUPERFICIES'!$A26&lt;61.6,IF('4 SUPERFICIES'!$C26&gt;10,IF('4 SUPERFICIES'!$C26&lt;61.5,'4 SUPERFICIES'!$AB26,0))))</f>
        <v>0</v>
      </c>
      <c r="BB217" s="777" t="b">
        <f>IF('4 SUPERFICIES'!$A26&gt;45.4,IF('4 SUPERFICIES'!$A26&lt;61.6,IF('4 SUPERFICIES'!$C26&gt;61.1,IF('4 SUPERFICIES'!$C26&lt;71.6,'4 SUPERFICIES'!$AB26,0))))</f>
        <v>0</v>
      </c>
      <c r="BC217" s="777" t="b">
        <f>IF('4 SUPERFICIES'!$A26&gt;45.4,IF('4 SUPERFICIES'!$A26&lt;61.6,IF('4 SUPERFICIES'!$C26&gt;71.5,IF('4 SUPERFICIES'!$C26&lt;85.6,'4 SUPERFICIES'!$AB26,0))))</f>
        <v>0</v>
      </c>
      <c r="BD217" s="777" t="b">
        <f>IF('4 SUPERFICIES'!$A26&gt;45.4,IF('4 SUPERFICIES'!$A26&lt;61.6,IF('4 SUPERFICIES'!$C26&gt;85.5,IF('4 SUPERFICIES'!$C26&lt;113.6,'4 SUPERFICIES'!$AB26,0))))</f>
        <v>0</v>
      </c>
      <c r="BE217" s="777" t="b">
        <f>IF('4 SUPERFICIES'!$A26&gt;45.4,IF('4 SUPERFICIES'!$A26&lt;61.6,IF('4 SUPERFICIES'!$C26&gt;113.5,IF('4 SUPERFICIES'!$C26&lt;121.6,'4 SUPERFICIES'!$AB26,0))))</f>
        <v>0</v>
      </c>
      <c r="BF217" s="777" t="b">
        <f>IF('4 SUPERFICIES'!$A26&gt;45.4,IF('4 SUPERFICIES'!$A26&lt;61.6,IF('4 SUPERFICIES'!$C26&gt;121.5,IF('4 SUPERFICIES'!$C26&lt;127.6,'4 SUPERFICIES'!$AB26,0))))</f>
        <v>0</v>
      </c>
      <c r="BG217" s="777" t="b">
        <f>IF('4 SUPERFICIES'!$A26&gt;45.4,IF('4 SUPERFICIES'!$A26&lt;61.6,IF('4 SUPERFICIES'!$C26&gt;127.5,IF('4 SUPERFICIES'!$C26&lt;135.1,'4 SUPERFICIES'!$AB26,0))))</f>
        <v>0</v>
      </c>
      <c r="BH217" s="777" t="b">
        <f>IF('4 SUPERFICIES'!$A26&gt;45.4,IF('4 SUPERFICIES'!$A26&lt;61.6,IF('4 SUPERFICIES'!$C26&gt;135,IF('4 SUPERFICIES'!$C26&lt;141.6,'4 SUPERFICIES'!$AB26,0))))</f>
        <v>0</v>
      </c>
      <c r="BI217" s="777" t="b">
        <f>IF('4 SUPERFICIES'!$A26&gt;45.4,IF('4 SUPERFICIES'!$A26&lt;61.6,IF('4 SUPERFICIES'!$C26&gt;141.5,IF('4 SUPERFICIES'!$C26&lt;149.1,'4 SUPERFICIES'!$AB26,0))))</f>
        <v>0</v>
      </c>
      <c r="BJ217" s="777" t="b">
        <f>IF('4 SUPERFICIES'!$A26&gt;45.4,IF('4 SUPERFICIES'!$A26&lt;61.6,IF('4 SUPERFICIES'!$C26&gt;149,IF('4 SUPERFICIES'!$C26&lt;155.6,'4 SUPERFICIES'!$AB26,0))))</f>
        <v>0</v>
      </c>
      <c r="BK217" s="777" t="b">
        <f>IF('4 SUPERFICIES'!$A26&gt;45.4,IF('4 SUPERFICIES'!$A26&lt;61.6,IF('4 SUPERFICIES'!$C26&gt;155.5,IF('4 SUPERFICIES'!$C26&lt;163.1,'4 SUPERFICIES'!$AB26,0))))</f>
        <v>0</v>
      </c>
      <c r="BL217" s="777" t="b">
        <f>IF('4 SUPERFICIES'!$A26&gt;45.4,IF('4 SUPERFICIES'!$A26&lt;61.6,IF('4 SUPERFICIES'!$C26&gt;163,IF('4 SUPERFICIES'!$C26&lt;180.6,'4 SUPERFICIES'!$AB26,0))))</f>
        <v>0</v>
      </c>
      <c r="BM217" s="777" t="b">
        <f>IF('4 SUPERFICIES'!$A26&gt;45.4,IF('4 SUPERFICIES'!$A26&lt;61.6,IF('4 SUPERFICIES'!$C26&gt;180.5,IF('4 SUPERFICIES'!$C26&lt;240.1,'4 SUPERFICIES'!$AB26,0))))</f>
        <v>0</v>
      </c>
      <c r="BO217" s="869" t="s">
        <v>535</v>
      </c>
      <c r="BQ217" s="870">
        <f>+$BF$250</f>
        <v>0</v>
      </c>
      <c r="BS217" s="869"/>
      <c r="BT217" s="870">
        <f>+$BF$251</f>
        <v>0</v>
      </c>
      <c r="BV217" s="777" t="b">
        <f>IF('4 SUPERFICIES'!$A26&gt;61.5,IF('4 SUPERFICIES'!$A26&lt;71.6,IF('4 SUPERFICIES'!$C26&gt;10,IF('4 SUPERFICIES'!$C26&lt;57.6,'4 SUPERFICIES'!$AB26,0))))</f>
        <v>0</v>
      </c>
      <c r="BW217" s="777" t="b">
        <f>IF('4 SUPERFICIES'!$A26&gt;61.5,IF('4 SUPERFICIES'!$A26&lt;71.6,IF('4 SUPERFICIES'!$C26&gt;57.6,IF('4 SUPERFICIES'!$C26&lt;71.6,'4 SUPERFICIES'!$AB26,0))))</f>
        <v>0</v>
      </c>
      <c r="BX217" s="777" t="b">
        <f>IF('4 SUPERFICIES'!$A26&gt;61.5,IF('4 SUPERFICIES'!$A26&lt;71.6,IF('4 SUPERFICIES'!$C26&gt;71.5,IF('4 SUPERFICIES'!$C26&lt;85.6,'4 SUPERFICIES'!$AB26,0))))</f>
        <v>0</v>
      </c>
      <c r="BY217" s="777" t="b">
        <f>IF('4 SUPERFICIES'!$A26&gt;61.5,IF('4 SUPERFICIES'!$A26&lt;71.6,IF('4 SUPERFICIES'!$C26&gt;85.5,IF('4 SUPERFICIES'!$C26&lt;113.6,'4 SUPERFICIES'!$AB26,0))))</f>
        <v>0</v>
      </c>
      <c r="BZ217" s="777" t="b">
        <f>IF('4 SUPERFICIES'!$A26&gt;61.5,IF('4 SUPERFICIES'!$A26&lt;71.6,IF('4 SUPERFICIES'!$C26&gt;113.5,IF('4 SUPERFICIES'!$C26&lt;141.6,'4 SUPERFICIES'!$AB26,0))))</f>
        <v>0</v>
      </c>
      <c r="CA217" s="777" t="b">
        <f>IF('4 SUPERFICIES'!$A26&gt;61.5,IF('4 SUPERFICIES'!$A26&lt;71.6,IF('4 SUPERFICIES'!$C26&gt;141.5,IF('4 SUPERFICIES'!$C26&lt;149.1,'4 SUPERFICIES'!$AB26,0))))</f>
        <v>0</v>
      </c>
      <c r="CB217" s="777" t="b">
        <f>IF('4 SUPERFICIES'!$A26&gt;61.5,IF('4 SUPERFICIES'!$A26&lt;71.6,IF('4 SUPERFICIES'!$C26&gt;149,IF('4 SUPERFICIES'!$C26&lt;163.1,'4 SUPERFICIES'!$AB26,0))))</f>
        <v>0</v>
      </c>
      <c r="CC217" s="777" t="b">
        <f>IF('4 SUPERFICIES'!$A26&gt;61.5,IF('4 SUPERFICIES'!$A26&lt;71.6,IF('4 SUPERFICIES'!$C26&gt;163,IF('4 SUPERFICIES'!$C26&lt;180.6,'4 SUPERFICIES'!$AB26,0))))</f>
        <v>0</v>
      </c>
      <c r="CD217" s="777" t="b">
        <f>IF('4 SUPERFICIES'!$A26&gt;61.5,IF('4 SUPERFICIES'!$A26&lt;71.6,IF('4 SUPERFICIES'!$C26&gt;180.5,IF('4 SUPERFICIES'!$C26&lt;240.1,'4 SUPERFICIES'!$AB26,0))))</f>
        <v>0</v>
      </c>
      <c r="CF217" s="777" t="b">
        <f>IF('4 SUPERFICIES'!$A26&gt;71.5,IF('4 SUPERFICIES'!$A26&lt;120.6,IF('4 SUPERFICIES'!$C26&gt;10,IF('4 SUPERFICIES'!$C26&lt;57.6,'4 SUPERFICIES'!$AB26,0))))</f>
        <v>0</v>
      </c>
      <c r="CG217" s="777" t="b">
        <f>IF('4 SUPERFICIES'!$A26&gt;71.5,IF('4 SUPERFICIES'!$A26&lt;120.6,IF('4 SUPERFICIES'!$C26&gt;57.6,IF('4 SUPERFICIES'!$C26&lt;71.6,'4 SUPERFICIES'!$AB26,0))))</f>
        <v>0</v>
      </c>
      <c r="CH217" s="777" t="b">
        <f>IF('4 SUPERFICIES'!$A26&gt;71.5,IF('4 SUPERFICIES'!$A26&lt;120.6,IF('4 SUPERFICIES'!$C26&gt;71.5,IF('4 SUPERFICIES'!$C26&lt;85.6,'4 SUPERFICIES'!$AB26,0))))</f>
        <v>0</v>
      </c>
      <c r="CI217" s="777" t="b">
        <f>IF('4 SUPERFICIES'!$A26&gt;71.5,IF('4 SUPERFICIES'!$A26&lt;120.6,IF('4 SUPERFICIES'!$C26&gt;85.5,IF('4 SUPERFICIES'!$C26&lt;113.6,'4 SUPERFICIES'!$AB26,0))))</f>
        <v>0</v>
      </c>
      <c r="CJ217" s="777" t="b">
        <f>IF('4 SUPERFICIES'!$A26&gt;71.5,IF('4 SUPERFICIES'!$A26&lt;120.6,IF('4 SUPERFICIES'!$C26&gt;113.5,IF('4 SUPERFICIES'!$C26&lt;141.6,'4 SUPERFICIES'!$AB26,0))))</f>
        <v>0</v>
      </c>
      <c r="CK217" s="777" t="b">
        <f>IF('4 SUPERFICIES'!$A26&gt;71.5,IF('4 SUPERFICIES'!$A26&lt;120.6,IF('4 SUPERFICIES'!$C26&gt;141.5,IF('4 SUPERFICIES'!$C26&lt;180.6,'4 SUPERFICIES'!$AB26,0))))</f>
        <v>0</v>
      </c>
      <c r="CL217" s="777" t="b">
        <f>IF('4 SUPERFICIES'!$A26&gt;71.5,IF('4 SUPERFICIES'!$A26&lt;120.6,IF('4 SUPERFICIES'!$C26&gt;180.5,IF('4 SUPERFICIES'!$C26&lt;240.1,'4 SUPERFICIES'!$AB26,0))))</f>
        <v>0</v>
      </c>
      <c r="CN217" s="777">
        <f>IF('4 SUPERFICIES'!$C26&lt;150,IF(OR('4 SUPERFICIES'!$A26="MICRODER",'4 SUPERFICIES'!$A26="MICRO DER",),'4 SUPERFICIES'!$AB26,0))</f>
        <v>0</v>
      </c>
      <c r="CO217" s="777" t="b">
        <f>IF('4 SUPERFICIES'!$C26&gt;149.5,IF(OR('4 SUPERFICIES'!$A26="MICRODER",'4 SUPERFICIES'!$A26="MICRO DER",),'4 SUPERFICIES'!$AB26,0))</f>
        <v>0</v>
      </c>
      <c r="CP217" s="847"/>
      <c r="CQ217" s="777">
        <f>IF('4 SUPERFICIES'!$C26&lt;150,IF(OR('4 SUPERFICIES'!$A26="MICROIZQ",'4 SUPERFICIES'!$A26="MICRO IZQ",),'4 SUPERFICIES'!$AB26,0))</f>
        <v>0</v>
      </c>
      <c r="CR217" s="777" t="b">
        <f>IF('4 SUPERFICIES'!$C26&gt;149.5,IF(OR('4 SUPERFICIES'!$A26="MICROIZQ",'4 SUPERFICIES'!$A26="MICRO IZQ",),'4 SUPERFICIES'!$AB26,0))</f>
        <v>0</v>
      </c>
      <c r="CT217" s="837">
        <f>IF(OR('4 SUPERFICIES'!$A26="MICRO SEN",'4 SUPERFICIES'!$A26="MICROSEN",),'4 SUPERFICIES'!$AB26,0)</f>
        <v>0</v>
      </c>
      <c r="CV217" s="837" t="b">
        <f>IF('4 SUPERFICIES'!$A26="DIAMETRO",IF('4 SUPERFICIES'!$C26&lt;121.1,'4 SUPERFICIES'!$AB26,0))</f>
        <v>0</v>
      </c>
      <c r="CX217" s="858"/>
      <c r="CZ217" s="837" t="b">
        <f>IF('4 SUPERFICIES'!$A26="MOSTRADOR",IF('4 SUPERFICIES'!$C26="R60",'4 SUPERFICIES'!$AB26,0))</f>
        <v>0</v>
      </c>
      <c r="DB217" s="837">
        <f>IF(OR('4 SUPERFICIES'!$A26="PORTA PRIN",'4 SUPERFICIES'!$A26="PORTAPRIN",),'4 SUPERFICIES'!$AB26,0)</f>
        <v>0</v>
      </c>
      <c r="DD217" s="837">
        <f>IF(OR('4 SUPERFICIES'!$A26="PORTA BADE",'4 SUPERFICIES'!$A26="PORTABADE",),'4 SUPERFICIES'!$AB26,0)</f>
        <v>0</v>
      </c>
      <c r="DE217" s="837"/>
      <c r="DF217" s="837">
        <f>IF(OR('4 SUPERFICIES'!$A26="RETORNO IZQ",'4 SUPERFICIES'!$A26="RETORNO DER",),'4 SUPERFICIES'!$AB126,0)</f>
        <v>0</v>
      </c>
      <c r="DG217" s="837"/>
      <c r="DH217" s="837">
        <f>IF(OR('4 SUPERFICIES'!$A26="PITO Q",'4 SUPERFICIES'!$A26="PITO P",'4 SUPERFICIES'!$A26="DIAMETRO INTEGRADA",),'4 SUPERFICIES'!$AB26,0)</f>
        <v>0</v>
      </c>
      <c r="DJ217" s="858"/>
      <c r="DK217" s="837"/>
      <c r="DL217" s="837">
        <f>IF('4 SUPERFICIES'!$A26="SUPERFICIE OVAL",'4 SUPERFICIES'!$AB26,0)</f>
        <v>0</v>
      </c>
      <c r="DN217" s="838"/>
      <c r="EG217" s="682">
        <f>IF('4 SUPERFICIES'!A26="MICRO DER",85,IF('4 SUPERFICIES'!A26="MICRO IZQ",85,IF('4 SUPERFICIES'!A26="MICRO SEN",170,IF('4 SUPERFICIES'!A26="DIAMETRO",3.14*'4 SUPERFICIES'!C26/2,IF('4 SUPERFICIES'!A26="MOSTRADOR",136,IF('4 SUPERFICIES'!A26="PORTA",65,IF('4 SUPERFICIES'!A26="PITO Q",90,IF('4 SUPERFICIES'!A26="PITO P",90,'4 SUPERFICIES'!A26))))))))</f>
        <v>0</v>
      </c>
      <c r="EH217" s="682"/>
      <c r="EI217" s="682">
        <f>IF('4 SUPERFICIES'!A26="DIAMETRO",0,IF('4 SUPERFICIES'!C26="PRINCIPAL",160,IF('4 SUPERFICIES'!C26="BADE",190,IF('4 SUPERFICIES'!C26="RETORNO",100,IF('4 SUPERFICIES'!C26="R 60",100,IF('4 SUPERFICIES'!C26="R60",100,'4 SUPERFICIES'!C26))))))</f>
        <v>0</v>
      </c>
      <c r="EJ217" s="682"/>
      <c r="EK217" s="682">
        <f>IF('4 SUPERFICIES'!$F26='4 SUPERFICIES'!$AG$15,((EG217*2)+(EI217*2))*'4 SUPERFICIES'!AB26,0)</f>
        <v>0</v>
      </c>
      <c r="EL217" s="682"/>
      <c r="EM217" s="682">
        <f>IF('4 SUPERFICIES'!$F26='4 SUPERFICIES'!$AG$16,((EG217*2)+(EI217*2))*'4 SUPERFICIES'!AB26,0)</f>
        <v>0</v>
      </c>
      <c r="EO217" s="682">
        <f>IF('4 SUPERFICIES'!$F26='4 SUPERFICIES'!$AG$17,((EG217*2)+(EI217*2))*'4 SUPERFICIES'!AB26,0)</f>
        <v>0</v>
      </c>
      <c r="EQ217" s="682">
        <f>IF('4 SUPERFICIES'!$F26='4 SUPERFICIES'!$AG$18,((EG217*2)+(EI217*2))*'4 SUPERFICIES'!AB26,0)</f>
        <v>0</v>
      </c>
      <c r="HF217" s="700">
        <v>17.5</v>
      </c>
      <c r="HH217" s="591">
        <v>17.5</v>
      </c>
    </row>
    <row r="218" spans="1:216" ht="26.25" x14ac:dyDescent="0.4">
      <c r="A218" s="843" t="s">
        <v>807</v>
      </c>
      <c r="B218" s="873"/>
      <c r="C218" s="845"/>
      <c r="D218" s="843">
        <f>+((D230+D234+D238+D241)*D219)*2</f>
        <v>0</v>
      </c>
      <c r="E218" s="843">
        <f>+((E230+E234+E238+E241)*E219)*2</f>
        <v>0</v>
      </c>
      <c r="F218" s="843">
        <f>+((F230+F234+F238+F241)*F219)*2</f>
        <v>0</v>
      </c>
      <c r="G218" s="843">
        <f>+((G230+G234+G238+G241)*G219)*2</f>
        <v>0</v>
      </c>
      <c r="H218" s="777">
        <f>+G218+F218+E218+D218</f>
        <v>0</v>
      </c>
      <c r="AK218" s="777" t="b">
        <f>IF('4 SUPERFICIES'!$A27&gt;10,IF('4 SUPERFICIES'!$A27&lt;31.1,IF('4 SUPERFICIES'!$C27&gt;10,IF('4 SUPERFICIES'!$C27&lt;57.6,'4 SUPERFICIES'!$AB27,0))))</f>
        <v>0</v>
      </c>
      <c r="AL218" s="777" t="b">
        <f>IF('4 SUPERFICIES'!$A27&gt;10,IF('4 SUPERFICIES'!$A27&lt;31.1,IF('4 SUPERFICIES'!$C27&gt;57.6,IF('4 SUPERFICIES'!$C27&lt;71.6,'4 SUPERFICIES'!$AB27,0))))</f>
        <v>0</v>
      </c>
      <c r="AM218" s="777" t="b">
        <f>IF('4 SUPERFICIES'!$A27&gt;10,IF('4 SUPERFICIES'!$A27&lt;31.1,IF('4 SUPERFICIES'!$C27&gt;71.5,IF('4 SUPERFICIES'!$C27&lt;85.6,'4 SUPERFICIES'!$AB27,0))))</f>
        <v>0</v>
      </c>
      <c r="AN218" s="777" t="b">
        <f>IF('4 SUPERFICIES'!$A27&gt;10,IF('4 SUPERFICIES'!$A27&lt;31.1,IF('4 SUPERFICIES'!$C27&gt;85.5,IF('4 SUPERFICIES'!$C27&lt;113.6,'4 SUPERFICIES'!$AB27,0))))</f>
        <v>0</v>
      </c>
      <c r="AO218" s="777" t="b">
        <f>IF('4 SUPERFICIES'!$A27&gt;10,IF('4 SUPERFICIES'!$A27&lt;31.1,IF('4 SUPERFICIES'!$C27&gt;113.5,IF('4 SUPERFICIES'!$C27&lt;141.6,'4 SUPERFICIES'!$AB27,0))))</f>
        <v>0</v>
      </c>
      <c r="AP218" s="777" t="b">
        <f>IF('4 SUPERFICIES'!$A27&gt;10,IF('4 SUPERFICIES'!$A27&lt;31.1,IF('4 SUPERFICIES'!$C27&gt;141.5,IF('4 SUPERFICIES'!$C27&lt;180.6,'4 SUPERFICIES'!$AB27,0))))</f>
        <v>0</v>
      </c>
      <c r="AQ218" s="777" t="b">
        <f>IF('4 SUPERFICIES'!$A27&gt;10,IF('4 SUPERFICIES'!$A27&lt;31.1,IF('4 SUPERFICIES'!$C27&gt;180.5,IF('4 SUPERFICIES'!$C27&lt;240.1,'4 SUPERFICIES'!$AB27,0))))</f>
        <v>0</v>
      </c>
      <c r="AS218" s="777" t="b">
        <f>IF('4 SUPERFICIES'!$A27&gt;31,IF('4 SUPERFICIES'!$A27&lt;45.5,IF('4 SUPERFICIES'!$C27&gt;10,IF('4 SUPERFICIES'!$C27&lt;57.6,'4 SUPERFICIES'!$AB27,0))))</f>
        <v>0</v>
      </c>
      <c r="AT218" s="777" t="b">
        <f>IF('4 SUPERFICIES'!$A27&gt;31,IF('4 SUPERFICIES'!$A27&lt;45.5,IF('4 SUPERFICIES'!$C27&gt;57.6,IF('4 SUPERFICIES'!$C27&lt;71.6,'4 SUPERFICIES'!$AB27,0))))</f>
        <v>0</v>
      </c>
      <c r="AU218" s="777" t="b">
        <f>IF('4 SUPERFICIES'!$A27&gt;31,IF('4 SUPERFICIES'!$A27&lt;45.5,IF('4 SUPERFICIES'!$C27&gt;71.5,IF('4 SUPERFICIES'!$C27&lt;85.6,'4 SUPERFICIES'!$AB27,0))))</f>
        <v>0</v>
      </c>
      <c r="AV218" s="777" t="b">
        <f>IF('4 SUPERFICIES'!$A27&gt;31,IF('4 SUPERFICIES'!$A27&lt;45.5,IF('4 SUPERFICIES'!$C27&gt;85.5,IF('4 SUPERFICIES'!$C27&lt;113.6,'4 SUPERFICIES'!$AB27,0))))</f>
        <v>0</v>
      </c>
      <c r="AW218" s="777" t="b">
        <f>IF('4 SUPERFICIES'!$A27&gt;31,IF('4 SUPERFICIES'!$A27&lt;45.5,IF('4 SUPERFICIES'!$C27&gt;113.5,IF('4 SUPERFICIES'!$C27&lt;141.6,'4 SUPERFICIES'!$AB27,0))))</f>
        <v>0</v>
      </c>
      <c r="AX218" s="777" t="b">
        <f>IF('4 SUPERFICIES'!$A27&gt;31,IF('4 SUPERFICIES'!$A27&lt;45.5,IF('4 SUPERFICIES'!$C27&gt;141.5,IF('4 SUPERFICIES'!$C27&lt;180.6,'4 SUPERFICIES'!$AB27,0))))</f>
        <v>0</v>
      </c>
      <c r="AY218" s="777" t="b">
        <f>IF('4 SUPERFICIES'!$A27&gt;31,IF('4 SUPERFICIES'!$A27&lt;45.5,IF('4 SUPERFICIES'!$C27&gt;180.5,IF('4 SUPERFICIES'!$C27&lt;240.1,'4 SUPERFICIES'!$AB27,0))))</f>
        <v>0</v>
      </c>
      <c r="BA218" s="777" t="b">
        <f>IF('4 SUPERFICIES'!$A27&gt;45.4,IF('4 SUPERFICIES'!$A27&lt;61.6,IF('4 SUPERFICIES'!$C27&gt;10,IF('4 SUPERFICIES'!$C27&lt;61.5,'4 SUPERFICIES'!$AB27,0))))</f>
        <v>0</v>
      </c>
      <c r="BB218" s="777" t="b">
        <f>IF('4 SUPERFICIES'!$A27&gt;45.4,IF('4 SUPERFICIES'!$A27&lt;61.6,IF('4 SUPERFICIES'!$C27&gt;61.1,IF('4 SUPERFICIES'!$C27&lt;71.6,'4 SUPERFICIES'!$AB27,0))))</f>
        <v>0</v>
      </c>
      <c r="BC218" s="777" t="b">
        <f>IF('4 SUPERFICIES'!$A27&gt;45.4,IF('4 SUPERFICIES'!$A27&lt;61.6,IF('4 SUPERFICIES'!$C27&gt;71.5,IF('4 SUPERFICIES'!$C27&lt;85.6,'4 SUPERFICIES'!$AB27,0))))</f>
        <v>0</v>
      </c>
      <c r="BD218" s="777" t="b">
        <f>IF('4 SUPERFICIES'!$A27&gt;45.4,IF('4 SUPERFICIES'!$A27&lt;61.6,IF('4 SUPERFICIES'!$C27&gt;85.5,IF('4 SUPERFICIES'!$C27&lt;113.6,'4 SUPERFICIES'!$AB27,0))))</f>
        <v>0</v>
      </c>
      <c r="BE218" s="777" t="b">
        <f>IF('4 SUPERFICIES'!$A27&gt;45.4,IF('4 SUPERFICIES'!$A27&lt;61.6,IF('4 SUPERFICIES'!$C27&gt;113.5,IF('4 SUPERFICIES'!$C27&lt;121.6,'4 SUPERFICIES'!$AB27,0))))</f>
        <v>0</v>
      </c>
      <c r="BF218" s="777" t="b">
        <f>IF('4 SUPERFICIES'!$A27&gt;45.4,IF('4 SUPERFICIES'!$A27&lt;61.6,IF('4 SUPERFICIES'!$C27&gt;121.5,IF('4 SUPERFICIES'!$C27&lt;127.6,'4 SUPERFICIES'!$AB27,0))))</f>
        <v>0</v>
      </c>
      <c r="BG218" s="777" t="b">
        <f>IF('4 SUPERFICIES'!$A27&gt;45.4,IF('4 SUPERFICIES'!$A27&lt;61.6,IF('4 SUPERFICIES'!$C27&gt;127.5,IF('4 SUPERFICIES'!$C27&lt;135.1,'4 SUPERFICIES'!$AB27,0))))</f>
        <v>0</v>
      </c>
      <c r="BH218" s="777" t="b">
        <f>IF('4 SUPERFICIES'!$A27&gt;45.4,IF('4 SUPERFICIES'!$A27&lt;61.6,IF('4 SUPERFICIES'!$C27&gt;135,IF('4 SUPERFICIES'!$C27&lt;141.6,'4 SUPERFICIES'!$AB27,0))))</f>
        <v>0</v>
      </c>
      <c r="BI218" s="777" t="b">
        <f>IF('4 SUPERFICIES'!$A27&gt;45.4,IF('4 SUPERFICIES'!$A27&lt;61.6,IF('4 SUPERFICIES'!$C27&gt;141.5,IF('4 SUPERFICIES'!$C27&lt;149.1,'4 SUPERFICIES'!$AB27,0))))</f>
        <v>0</v>
      </c>
      <c r="BJ218" s="777" t="b">
        <f>IF('4 SUPERFICIES'!$A27&gt;45.4,IF('4 SUPERFICIES'!$A27&lt;61.6,IF('4 SUPERFICIES'!$C27&gt;149,IF('4 SUPERFICIES'!$C27&lt;155.6,'4 SUPERFICIES'!$AB27,0))))</f>
        <v>0</v>
      </c>
      <c r="BK218" s="777" t="b">
        <f>IF('4 SUPERFICIES'!$A27&gt;45.4,IF('4 SUPERFICIES'!$A27&lt;61.6,IF('4 SUPERFICIES'!$C27&gt;155.5,IF('4 SUPERFICIES'!$C27&lt;163.1,'4 SUPERFICIES'!$AB27,0))))</f>
        <v>0</v>
      </c>
      <c r="BL218" s="777" t="b">
        <f>IF('4 SUPERFICIES'!$A27&gt;45.4,IF('4 SUPERFICIES'!$A27&lt;61.6,IF('4 SUPERFICIES'!$C27&gt;163,IF('4 SUPERFICIES'!$C27&lt;180.6,'4 SUPERFICIES'!$AB27,0))))</f>
        <v>0</v>
      </c>
      <c r="BM218" s="777" t="b">
        <f>IF('4 SUPERFICIES'!$A27&gt;45.4,IF('4 SUPERFICIES'!$A27&lt;61.6,IF('4 SUPERFICIES'!$C27&gt;180.5,IF('4 SUPERFICIES'!$C27&lt;240.1,'4 SUPERFICIES'!$AB27,0))))</f>
        <v>0</v>
      </c>
      <c r="BO218" s="869" t="s">
        <v>537</v>
      </c>
      <c r="BQ218" s="870">
        <f>+$BG$250</f>
        <v>0</v>
      </c>
      <c r="BS218" s="869"/>
      <c r="BT218" s="870">
        <f>+$BG$251</f>
        <v>0</v>
      </c>
      <c r="BV218" s="777" t="b">
        <f>IF('4 SUPERFICIES'!$A27&gt;61.5,IF('4 SUPERFICIES'!$A27&lt;71.6,IF('4 SUPERFICIES'!$C27&gt;10,IF('4 SUPERFICIES'!$C27&lt;57.6,'4 SUPERFICIES'!$AB27,0))))</f>
        <v>0</v>
      </c>
      <c r="BW218" s="777" t="b">
        <f>IF('4 SUPERFICIES'!$A27&gt;61.5,IF('4 SUPERFICIES'!$A27&lt;71.6,IF('4 SUPERFICIES'!$C27&gt;57.6,IF('4 SUPERFICIES'!$C27&lt;71.6,'4 SUPERFICIES'!$AB27,0))))</f>
        <v>0</v>
      </c>
      <c r="BX218" s="777" t="b">
        <f>IF('4 SUPERFICIES'!$A27&gt;61.5,IF('4 SUPERFICIES'!$A27&lt;71.6,IF('4 SUPERFICIES'!$C27&gt;71.5,IF('4 SUPERFICIES'!$C27&lt;85.6,'4 SUPERFICIES'!$AB27,0))))</f>
        <v>0</v>
      </c>
      <c r="BY218" s="777" t="b">
        <f>IF('4 SUPERFICIES'!$A27&gt;61.5,IF('4 SUPERFICIES'!$A27&lt;71.6,IF('4 SUPERFICIES'!$C27&gt;85.5,IF('4 SUPERFICIES'!$C27&lt;113.6,'4 SUPERFICIES'!$AB27,0))))</f>
        <v>0</v>
      </c>
      <c r="BZ218" s="777" t="b">
        <f>IF('4 SUPERFICIES'!$A27&gt;61.5,IF('4 SUPERFICIES'!$A27&lt;71.6,IF('4 SUPERFICIES'!$C27&gt;113.5,IF('4 SUPERFICIES'!$C27&lt;141.6,'4 SUPERFICIES'!$AB27,0))))</f>
        <v>0</v>
      </c>
      <c r="CA218" s="777" t="b">
        <f>IF('4 SUPERFICIES'!$A27&gt;61.5,IF('4 SUPERFICIES'!$A27&lt;71.6,IF('4 SUPERFICIES'!$C27&gt;141.5,IF('4 SUPERFICIES'!$C27&lt;149.1,'4 SUPERFICIES'!$AB27,0))))</f>
        <v>0</v>
      </c>
      <c r="CB218" s="777" t="b">
        <f>IF('4 SUPERFICIES'!$A27&gt;61.5,IF('4 SUPERFICIES'!$A27&lt;71.6,IF('4 SUPERFICIES'!$C27&gt;149,IF('4 SUPERFICIES'!$C27&lt;163.1,'4 SUPERFICIES'!$AB27,0))))</f>
        <v>0</v>
      </c>
      <c r="CC218" s="777" t="b">
        <f>IF('4 SUPERFICIES'!$A27&gt;61.5,IF('4 SUPERFICIES'!$A27&lt;71.6,IF('4 SUPERFICIES'!$C27&gt;163,IF('4 SUPERFICIES'!$C27&lt;180.6,'4 SUPERFICIES'!$AB27,0))))</f>
        <v>0</v>
      </c>
      <c r="CD218" s="777" t="b">
        <f>IF('4 SUPERFICIES'!$A27&gt;61.5,IF('4 SUPERFICIES'!$A27&lt;71.6,IF('4 SUPERFICIES'!$C27&gt;180.5,IF('4 SUPERFICIES'!$C27&lt;240.1,'4 SUPERFICIES'!$AB27,0))))</f>
        <v>0</v>
      </c>
      <c r="CF218" s="777" t="b">
        <f>IF('4 SUPERFICIES'!$A27&gt;71.5,IF('4 SUPERFICIES'!$A27&lt;120.6,IF('4 SUPERFICIES'!$C27&gt;10,IF('4 SUPERFICIES'!$C27&lt;57.6,'4 SUPERFICIES'!$AB27,0))))</f>
        <v>0</v>
      </c>
      <c r="CG218" s="777" t="b">
        <f>IF('4 SUPERFICIES'!$A27&gt;71.5,IF('4 SUPERFICIES'!$A27&lt;120.6,IF('4 SUPERFICIES'!$C27&gt;57.6,IF('4 SUPERFICIES'!$C27&lt;71.6,'4 SUPERFICIES'!$AB27,0))))</f>
        <v>0</v>
      </c>
      <c r="CH218" s="777" t="b">
        <f>IF('4 SUPERFICIES'!$A27&gt;71.5,IF('4 SUPERFICIES'!$A27&lt;120.6,IF('4 SUPERFICIES'!$C27&gt;71.5,IF('4 SUPERFICIES'!$C27&lt;85.6,'4 SUPERFICIES'!$AB27,0))))</f>
        <v>0</v>
      </c>
      <c r="CI218" s="777" t="b">
        <f>IF('4 SUPERFICIES'!$A27&gt;71.5,IF('4 SUPERFICIES'!$A27&lt;120.6,IF('4 SUPERFICIES'!$C27&gt;85.5,IF('4 SUPERFICIES'!$C27&lt;113.6,'4 SUPERFICIES'!$AB27,0))))</f>
        <v>0</v>
      </c>
      <c r="CJ218" s="777" t="b">
        <f>IF('4 SUPERFICIES'!$A27&gt;71.5,IF('4 SUPERFICIES'!$A27&lt;120.6,IF('4 SUPERFICIES'!$C27&gt;113.5,IF('4 SUPERFICIES'!$C27&lt;141.6,'4 SUPERFICIES'!$AB27,0))))</f>
        <v>0</v>
      </c>
      <c r="CK218" s="777" t="b">
        <f>IF('4 SUPERFICIES'!$A27&gt;71.5,IF('4 SUPERFICIES'!$A27&lt;120.6,IF('4 SUPERFICIES'!$C27&gt;141.5,IF('4 SUPERFICIES'!$C27&lt;180.6,'4 SUPERFICIES'!$AB27,0))))</f>
        <v>0</v>
      </c>
      <c r="CL218" s="777" t="b">
        <f>IF('4 SUPERFICIES'!$A27&gt;71.5,IF('4 SUPERFICIES'!$A27&lt;120.6,IF('4 SUPERFICIES'!$C27&gt;180.5,IF('4 SUPERFICIES'!$C27&lt;240.1,'4 SUPERFICIES'!$AB27,0))))</f>
        <v>0</v>
      </c>
      <c r="CN218" s="777">
        <f>IF('4 SUPERFICIES'!$C27&lt;150,IF(OR('4 SUPERFICIES'!$A27="MICRODER",'4 SUPERFICIES'!$A27="MICRO DER",),'4 SUPERFICIES'!$AB27,0))</f>
        <v>0</v>
      </c>
      <c r="CO218" s="777" t="b">
        <f>IF('4 SUPERFICIES'!$C27&gt;149.5,IF(OR('4 SUPERFICIES'!$A27="MICRODER",'4 SUPERFICIES'!$A27="MICRO DER",),'4 SUPERFICIES'!$AB27,0))</f>
        <v>0</v>
      </c>
      <c r="CP218" s="847"/>
      <c r="CQ218" s="777">
        <f>IF('4 SUPERFICIES'!$C27&lt;150,IF(OR('4 SUPERFICIES'!$A27="MICROIZQ",'4 SUPERFICIES'!$A27="MICRO IZQ",),'4 SUPERFICIES'!$AB27,0))</f>
        <v>0</v>
      </c>
      <c r="CR218" s="777" t="b">
        <f>IF('4 SUPERFICIES'!$C27&gt;149.5,IF(OR('4 SUPERFICIES'!$A27="MICROIZQ",'4 SUPERFICIES'!$A27="MICRO IZQ",),'4 SUPERFICIES'!$AB27,0))</f>
        <v>0</v>
      </c>
      <c r="CT218" s="837">
        <f>IF(OR('4 SUPERFICIES'!$A27="MICRO SEN",'4 SUPERFICIES'!$A27="MICROSEN",),'4 SUPERFICIES'!$AB27,0)</f>
        <v>0</v>
      </c>
      <c r="CV218" s="837" t="b">
        <f>IF('4 SUPERFICIES'!$A27="DIAMETRO",IF('4 SUPERFICIES'!$C27&lt;121.1,'4 SUPERFICIES'!$AB27,0))</f>
        <v>0</v>
      </c>
      <c r="CX218" s="858"/>
      <c r="CZ218" s="837" t="b">
        <f>IF('4 SUPERFICIES'!$A27="MOSTRADOR",IF('4 SUPERFICIES'!$C27="R60",'4 SUPERFICIES'!$AB27,0))</f>
        <v>0</v>
      </c>
      <c r="DB218" s="837">
        <f>IF(OR('4 SUPERFICIES'!$A27="PORTA PRIN",'4 SUPERFICIES'!$A27="PORTAPRIN",),'4 SUPERFICIES'!$AB27,0)</f>
        <v>0</v>
      </c>
      <c r="DD218" s="837">
        <f>IF(OR('4 SUPERFICIES'!$A27="PORTA BADE",'4 SUPERFICIES'!$A27="PORTABADE",),'4 SUPERFICIES'!$AB27,0)</f>
        <v>0</v>
      </c>
      <c r="DE218" s="837"/>
      <c r="DF218" s="837">
        <f>IF(OR('4 SUPERFICIES'!$A27="RETORNO IZQ",'4 SUPERFICIES'!$A27="RETORNO DER",),'4 SUPERFICIES'!$AB127,0)</f>
        <v>0</v>
      </c>
      <c r="DG218" s="837"/>
      <c r="DH218" s="837">
        <f>IF(OR('4 SUPERFICIES'!$A27="PITO Q",'4 SUPERFICIES'!$A27="PITO P",'4 SUPERFICIES'!$A27="DIAMETRO INTEGRADA",),'4 SUPERFICIES'!$AB27,0)</f>
        <v>0</v>
      </c>
      <c r="DJ218" s="858"/>
      <c r="DK218" s="837"/>
      <c r="DL218" s="837">
        <f>IF('4 SUPERFICIES'!$A27="SUPERFICIE OVAL",'4 SUPERFICIES'!$AB27,0)</f>
        <v>0</v>
      </c>
      <c r="DN218" s="838"/>
      <c r="EG218" s="682">
        <f>IF('4 SUPERFICIES'!A27="MICRO DER",85,IF('4 SUPERFICIES'!A27="MICRO IZQ",85,IF('4 SUPERFICIES'!A27="MICRO SEN",170,IF('4 SUPERFICIES'!A27="DIAMETRO",3.14*'4 SUPERFICIES'!C27/2,IF('4 SUPERFICIES'!A27="MOSTRADOR",136,IF('4 SUPERFICIES'!A27="PORTA",65,IF('4 SUPERFICIES'!A27="PITO Q",90,IF('4 SUPERFICIES'!A27="PITO P",90,'4 SUPERFICIES'!A27))))))))</f>
        <v>0</v>
      </c>
      <c r="EH218" s="682"/>
      <c r="EI218" s="682">
        <f>IF('4 SUPERFICIES'!A27="DIAMETRO",0,IF('4 SUPERFICIES'!C27="PRINCIPAL",160,IF('4 SUPERFICIES'!C27="BADE",190,IF('4 SUPERFICIES'!C27="RETORNO",100,IF('4 SUPERFICIES'!C27="R 60",100,IF('4 SUPERFICIES'!C27="R60",100,'4 SUPERFICIES'!C27))))))</f>
        <v>0</v>
      </c>
      <c r="EJ218" s="682"/>
      <c r="EK218" s="682">
        <f>IF('4 SUPERFICIES'!$F27='4 SUPERFICIES'!$AG$15,((EG218*2)+(EI218*2))*'4 SUPERFICIES'!AB27,0)</f>
        <v>0</v>
      </c>
      <c r="EL218" s="682"/>
      <c r="EM218" s="682">
        <f>IF('4 SUPERFICIES'!$F27='4 SUPERFICIES'!$AG$16,((EG218*2)+(EI218*2))*'4 SUPERFICIES'!AB27,0)</f>
        <v>0</v>
      </c>
      <c r="EO218" s="682">
        <f>IF('4 SUPERFICIES'!$F27='4 SUPERFICIES'!$AG$17,((EG218*2)+(EI218*2))*'4 SUPERFICIES'!AB27,0)</f>
        <v>0</v>
      </c>
      <c r="EQ218" s="682">
        <f>IF('4 SUPERFICIES'!$F27='4 SUPERFICIES'!$AG$18,((EG218*2)+(EI218*2))*'4 SUPERFICIES'!AB27,0)</f>
        <v>0</v>
      </c>
      <c r="HF218" s="700">
        <v>18</v>
      </c>
      <c r="HH218" s="591">
        <v>18</v>
      </c>
    </row>
    <row r="219" spans="1:216" ht="26.25" x14ac:dyDescent="0.4">
      <c r="A219" s="848">
        <f>IF(OR('5 ALMACEN '!$D$37="CURVOS",'5 ALMACEN '!$D$37="CURVO",'5 ALMACEN '!$D$37="CURVOS ",),'5 ALMACEN '!B39+'5 ALMACEN '!C39,0)</f>
        <v>0</v>
      </c>
      <c r="B219" s="874">
        <v>56</v>
      </c>
      <c r="C219" s="845"/>
      <c r="D219" s="850">
        <f>1/153</f>
        <v>6.5359477124183009E-3</v>
      </c>
      <c r="E219" s="851"/>
      <c r="F219" s="851"/>
      <c r="G219" s="875"/>
      <c r="AK219" s="777" t="b">
        <f>IF('4 SUPERFICIES'!$A28&gt;10,IF('4 SUPERFICIES'!$A28&lt;31.1,IF('4 SUPERFICIES'!$C28&gt;10,IF('4 SUPERFICIES'!$C28&lt;57.6,'4 SUPERFICIES'!$AB28,0))))</f>
        <v>0</v>
      </c>
      <c r="AL219" s="777" t="b">
        <f>IF('4 SUPERFICIES'!$A28&gt;10,IF('4 SUPERFICIES'!$A28&lt;31.1,IF('4 SUPERFICIES'!$C28&gt;57.6,IF('4 SUPERFICIES'!$C28&lt;71.6,'4 SUPERFICIES'!$AB28,0))))</f>
        <v>0</v>
      </c>
      <c r="AM219" s="777" t="b">
        <f>IF('4 SUPERFICIES'!$A28&gt;10,IF('4 SUPERFICIES'!$A28&lt;31.1,IF('4 SUPERFICIES'!$C28&gt;71.5,IF('4 SUPERFICIES'!$C28&lt;85.6,'4 SUPERFICIES'!$AB28,0))))</f>
        <v>0</v>
      </c>
      <c r="AN219" s="777" t="b">
        <f>IF('4 SUPERFICIES'!$A28&gt;10,IF('4 SUPERFICIES'!$A28&lt;31.1,IF('4 SUPERFICIES'!$C28&gt;85.5,IF('4 SUPERFICIES'!$C28&lt;113.6,'4 SUPERFICIES'!$AB28,0))))</f>
        <v>0</v>
      </c>
      <c r="AO219" s="777" t="b">
        <f>IF('4 SUPERFICIES'!$A28&gt;10,IF('4 SUPERFICIES'!$A28&lt;31.1,IF('4 SUPERFICIES'!$C28&gt;113.5,IF('4 SUPERFICIES'!$C28&lt;141.6,'4 SUPERFICIES'!$AB28,0))))</f>
        <v>0</v>
      </c>
      <c r="AP219" s="777" t="b">
        <f>IF('4 SUPERFICIES'!$A28&gt;10,IF('4 SUPERFICIES'!$A28&lt;31.1,IF('4 SUPERFICIES'!$C28&gt;141.5,IF('4 SUPERFICIES'!$C28&lt;180.6,'4 SUPERFICIES'!$AB28,0))))</f>
        <v>0</v>
      </c>
      <c r="AQ219" s="777" t="b">
        <f>IF('4 SUPERFICIES'!$A28&gt;10,IF('4 SUPERFICIES'!$A28&lt;31.1,IF('4 SUPERFICIES'!$C28&gt;180.5,IF('4 SUPERFICIES'!$C28&lt;240.1,'4 SUPERFICIES'!$AB28,0))))</f>
        <v>0</v>
      </c>
      <c r="AS219" s="777" t="b">
        <f>IF('4 SUPERFICIES'!$A28&gt;31,IF('4 SUPERFICIES'!$A28&lt;45.5,IF('4 SUPERFICIES'!$C28&gt;10,IF('4 SUPERFICIES'!$C28&lt;57.6,'4 SUPERFICIES'!$AB28,0))))</f>
        <v>0</v>
      </c>
      <c r="AT219" s="777" t="b">
        <f>IF('4 SUPERFICIES'!$A28&gt;31,IF('4 SUPERFICIES'!$A28&lt;45.5,IF('4 SUPERFICIES'!$C28&gt;57.6,IF('4 SUPERFICIES'!$C28&lt;71.6,'4 SUPERFICIES'!$AB28,0))))</f>
        <v>0</v>
      </c>
      <c r="AU219" s="777" t="b">
        <f>IF('4 SUPERFICIES'!$A28&gt;31,IF('4 SUPERFICIES'!$A28&lt;45.5,IF('4 SUPERFICIES'!$C28&gt;71.5,IF('4 SUPERFICIES'!$C28&lt;85.6,'4 SUPERFICIES'!$AB28,0))))</f>
        <v>0</v>
      </c>
      <c r="AV219" s="777" t="b">
        <f>IF('4 SUPERFICIES'!$A28&gt;31,IF('4 SUPERFICIES'!$A28&lt;45.5,IF('4 SUPERFICIES'!$C28&gt;85.5,IF('4 SUPERFICIES'!$C28&lt;113.6,'4 SUPERFICIES'!$AB28,0))))</f>
        <v>0</v>
      </c>
      <c r="AW219" s="777" t="b">
        <f>IF('4 SUPERFICIES'!$A28&gt;31,IF('4 SUPERFICIES'!$A28&lt;45.5,IF('4 SUPERFICIES'!$C28&gt;113.5,IF('4 SUPERFICIES'!$C28&lt;141.6,'4 SUPERFICIES'!$AB28,0))))</f>
        <v>0</v>
      </c>
      <c r="AX219" s="777" t="b">
        <f>IF('4 SUPERFICIES'!$A28&gt;31,IF('4 SUPERFICIES'!$A28&lt;45.5,IF('4 SUPERFICIES'!$C28&gt;141.5,IF('4 SUPERFICIES'!$C28&lt;180.6,'4 SUPERFICIES'!$AB28,0))))</f>
        <v>0</v>
      </c>
      <c r="AY219" s="777" t="b">
        <f>IF('4 SUPERFICIES'!$A28&gt;31,IF('4 SUPERFICIES'!$A28&lt;45.5,IF('4 SUPERFICIES'!$C28&gt;180.5,IF('4 SUPERFICIES'!$C28&lt;240.1,'4 SUPERFICIES'!$AB28,0))))</f>
        <v>0</v>
      </c>
      <c r="BA219" s="777" t="b">
        <f>IF('4 SUPERFICIES'!$A28&gt;45.4,IF('4 SUPERFICIES'!$A28&lt;61.6,IF('4 SUPERFICIES'!$C28&gt;10,IF('4 SUPERFICIES'!$C28&lt;61.5,'4 SUPERFICIES'!$AB28,0))))</f>
        <v>0</v>
      </c>
      <c r="BB219" s="777" t="b">
        <f>IF('4 SUPERFICIES'!$A28&gt;45.4,IF('4 SUPERFICIES'!$A28&lt;61.6,IF('4 SUPERFICIES'!$C28&gt;61.1,IF('4 SUPERFICIES'!$C28&lt;71.6,'4 SUPERFICIES'!$AB28,0))))</f>
        <v>0</v>
      </c>
      <c r="BC219" s="777" t="b">
        <f>IF('4 SUPERFICIES'!$A28&gt;45.4,IF('4 SUPERFICIES'!$A28&lt;61.6,IF('4 SUPERFICIES'!$C28&gt;71.5,IF('4 SUPERFICIES'!$C28&lt;85.6,'4 SUPERFICIES'!$AB28,0))))</f>
        <v>0</v>
      </c>
      <c r="BD219" s="777" t="b">
        <f>IF('4 SUPERFICIES'!$A28&gt;45.4,IF('4 SUPERFICIES'!$A28&lt;61.6,IF('4 SUPERFICIES'!$C28&gt;85.5,IF('4 SUPERFICIES'!$C28&lt;113.6,'4 SUPERFICIES'!$AB28,0))))</f>
        <v>0</v>
      </c>
      <c r="BE219" s="777" t="b">
        <f>IF('4 SUPERFICIES'!$A28&gt;45.4,IF('4 SUPERFICIES'!$A28&lt;61.6,IF('4 SUPERFICIES'!$C28&gt;113.5,IF('4 SUPERFICIES'!$C28&lt;121.6,'4 SUPERFICIES'!$AB28,0))))</f>
        <v>0</v>
      </c>
      <c r="BF219" s="777" t="b">
        <f>IF('4 SUPERFICIES'!$A28&gt;45.4,IF('4 SUPERFICIES'!$A28&lt;61.6,IF('4 SUPERFICIES'!$C28&gt;121.5,IF('4 SUPERFICIES'!$C28&lt;127.6,'4 SUPERFICIES'!$AB28,0))))</f>
        <v>0</v>
      </c>
      <c r="BG219" s="777" t="b">
        <f>IF('4 SUPERFICIES'!$A28&gt;45.4,IF('4 SUPERFICIES'!$A28&lt;61.6,IF('4 SUPERFICIES'!$C28&gt;127.5,IF('4 SUPERFICIES'!$C28&lt;135.1,'4 SUPERFICIES'!$AB28,0))))</f>
        <v>0</v>
      </c>
      <c r="BH219" s="777" t="b">
        <f>IF('4 SUPERFICIES'!$A28&gt;45.4,IF('4 SUPERFICIES'!$A28&lt;61.6,IF('4 SUPERFICIES'!$C28&gt;135,IF('4 SUPERFICIES'!$C28&lt;141.6,'4 SUPERFICIES'!$AB28,0))))</f>
        <v>0</v>
      </c>
      <c r="BI219" s="777" t="b">
        <f>IF('4 SUPERFICIES'!$A28&gt;45.4,IF('4 SUPERFICIES'!$A28&lt;61.6,IF('4 SUPERFICIES'!$C28&gt;141.5,IF('4 SUPERFICIES'!$C28&lt;149.1,'4 SUPERFICIES'!$AB28,0))))</f>
        <v>0</v>
      </c>
      <c r="BJ219" s="777" t="b">
        <f>IF('4 SUPERFICIES'!$A28&gt;45.4,IF('4 SUPERFICIES'!$A28&lt;61.6,IF('4 SUPERFICIES'!$C28&gt;149,IF('4 SUPERFICIES'!$C28&lt;155.6,'4 SUPERFICIES'!$AB28,0))))</f>
        <v>0</v>
      </c>
      <c r="BK219" s="777" t="b">
        <f>IF('4 SUPERFICIES'!$A28&gt;45.4,IF('4 SUPERFICIES'!$A28&lt;61.6,IF('4 SUPERFICIES'!$C28&gt;155.5,IF('4 SUPERFICIES'!$C28&lt;163.1,'4 SUPERFICIES'!$AB28,0))))</f>
        <v>0</v>
      </c>
      <c r="BL219" s="777" t="b">
        <f>IF('4 SUPERFICIES'!$A28&gt;45.4,IF('4 SUPERFICIES'!$A28&lt;61.6,IF('4 SUPERFICIES'!$C28&gt;163,IF('4 SUPERFICIES'!$C28&lt;180.6,'4 SUPERFICIES'!$AB28,0))))</f>
        <v>0</v>
      </c>
      <c r="BM219" s="777" t="b">
        <f>IF('4 SUPERFICIES'!$A28&gt;45.4,IF('4 SUPERFICIES'!$A28&lt;61.6,IF('4 SUPERFICIES'!$C28&gt;180.5,IF('4 SUPERFICIES'!$C28&lt;240.1,'4 SUPERFICIES'!$AB28,0))))</f>
        <v>0</v>
      </c>
      <c r="BO219" s="869" t="s">
        <v>539</v>
      </c>
      <c r="BQ219" s="870">
        <f>+$BH$250+$CJ$250*2</f>
        <v>0</v>
      </c>
      <c r="BS219" s="869"/>
      <c r="BT219" s="870">
        <f>+$BH$251+$CJ$251*2</f>
        <v>0</v>
      </c>
      <c r="BV219" s="777" t="b">
        <f>IF('4 SUPERFICIES'!$A28&gt;61.5,IF('4 SUPERFICIES'!$A28&lt;71.6,IF('4 SUPERFICIES'!$C28&gt;10,IF('4 SUPERFICIES'!$C28&lt;57.6,'4 SUPERFICIES'!$AB28,0))))</f>
        <v>0</v>
      </c>
      <c r="BW219" s="777" t="b">
        <f>IF('4 SUPERFICIES'!$A28&gt;61.5,IF('4 SUPERFICIES'!$A28&lt;71.6,IF('4 SUPERFICIES'!$C28&gt;57.6,IF('4 SUPERFICIES'!$C28&lt;71.6,'4 SUPERFICIES'!$AB28,0))))</f>
        <v>0</v>
      </c>
      <c r="BX219" s="777" t="b">
        <f>IF('4 SUPERFICIES'!$A28&gt;61.5,IF('4 SUPERFICIES'!$A28&lt;71.6,IF('4 SUPERFICIES'!$C28&gt;71.5,IF('4 SUPERFICIES'!$C28&lt;85.6,'4 SUPERFICIES'!$AB28,0))))</f>
        <v>0</v>
      </c>
      <c r="BY219" s="777" t="b">
        <f>IF('4 SUPERFICIES'!$A28&gt;61.5,IF('4 SUPERFICIES'!$A28&lt;71.6,IF('4 SUPERFICIES'!$C28&gt;85.5,IF('4 SUPERFICIES'!$C28&lt;113.6,'4 SUPERFICIES'!$AB28,0))))</f>
        <v>0</v>
      </c>
      <c r="BZ219" s="777" t="b">
        <f>IF('4 SUPERFICIES'!$A28&gt;61.5,IF('4 SUPERFICIES'!$A28&lt;71.6,IF('4 SUPERFICIES'!$C28&gt;113.5,IF('4 SUPERFICIES'!$C28&lt;141.6,'4 SUPERFICIES'!$AB28,0))))</f>
        <v>0</v>
      </c>
      <c r="CA219" s="777" t="b">
        <f>IF('4 SUPERFICIES'!$A28&gt;61.5,IF('4 SUPERFICIES'!$A28&lt;71.6,IF('4 SUPERFICIES'!$C28&gt;141.5,IF('4 SUPERFICIES'!$C28&lt;149.1,'4 SUPERFICIES'!$AB28,0))))</f>
        <v>0</v>
      </c>
      <c r="CB219" s="777" t="b">
        <f>IF('4 SUPERFICIES'!$A28&gt;61.5,IF('4 SUPERFICIES'!$A28&lt;71.6,IF('4 SUPERFICIES'!$C28&gt;149,IF('4 SUPERFICIES'!$C28&lt;163.1,'4 SUPERFICIES'!$AB28,0))))</f>
        <v>0</v>
      </c>
      <c r="CC219" s="777" t="b">
        <f>IF('4 SUPERFICIES'!$A28&gt;61.5,IF('4 SUPERFICIES'!$A28&lt;71.6,IF('4 SUPERFICIES'!$C28&gt;163,IF('4 SUPERFICIES'!$C28&lt;180.6,'4 SUPERFICIES'!$AB28,0))))</f>
        <v>0</v>
      </c>
      <c r="CD219" s="777" t="b">
        <f>IF('4 SUPERFICIES'!$A28&gt;61.5,IF('4 SUPERFICIES'!$A28&lt;71.6,IF('4 SUPERFICIES'!$C28&gt;180.5,IF('4 SUPERFICIES'!$C28&lt;240.1,'4 SUPERFICIES'!$AB28,0))))</f>
        <v>0</v>
      </c>
      <c r="CF219" s="777" t="b">
        <f>IF('4 SUPERFICIES'!$A28&gt;71.5,IF('4 SUPERFICIES'!$A28&lt;120.6,IF('4 SUPERFICIES'!$C28&gt;10,IF('4 SUPERFICIES'!$C28&lt;57.6,'4 SUPERFICIES'!$AB28,0))))</f>
        <v>0</v>
      </c>
      <c r="CG219" s="777" t="b">
        <f>IF('4 SUPERFICIES'!$A28&gt;71.5,IF('4 SUPERFICIES'!$A28&lt;120.6,IF('4 SUPERFICIES'!$C28&gt;57.6,IF('4 SUPERFICIES'!$C28&lt;71.6,'4 SUPERFICIES'!$AB28,0))))</f>
        <v>0</v>
      </c>
      <c r="CH219" s="777" t="b">
        <f>IF('4 SUPERFICIES'!$A28&gt;71.5,IF('4 SUPERFICIES'!$A28&lt;120.6,IF('4 SUPERFICIES'!$C28&gt;71.5,IF('4 SUPERFICIES'!$C28&lt;85.6,'4 SUPERFICIES'!$AB28,0))))</f>
        <v>0</v>
      </c>
      <c r="CI219" s="777" t="b">
        <f>IF('4 SUPERFICIES'!$A28&gt;71.5,IF('4 SUPERFICIES'!$A28&lt;120.6,IF('4 SUPERFICIES'!$C28&gt;85.5,IF('4 SUPERFICIES'!$C28&lt;113.6,'4 SUPERFICIES'!$AB28,0))))</f>
        <v>0</v>
      </c>
      <c r="CJ219" s="777" t="b">
        <f>IF('4 SUPERFICIES'!$A28&gt;71.5,IF('4 SUPERFICIES'!$A28&lt;120.6,IF('4 SUPERFICIES'!$C28&gt;113.5,IF('4 SUPERFICIES'!$C28&lt;141.6,'4 SUPERFICIES'!$AB28,0))))</f>
        <v>0</v>
      </c>
      <c r="CK219" s="777" t="b">
        <f>IF('4 SUPERFICIES'!$A28&gt;71.5,IF('4 SUPERFICIES'!$A28&lt;120.6,IF('4 SUPERFICIES'!$C28&gt;141.5,IF('4 SUPERFICIES'!$C28&lt;180.6,'4 SUPERFICIES'!$AB28,0))))</f>
        <v>0</v>
      </c>
      <c r="CL219" s="777" t="b">
        <f>IF('4 SUPERFICIES'!$A28&gt;71.5,IF('4 SUPERFICIES'!$A28&lt;120.6,IF('4 SUPERFICIES'!$C28&gt;180.5,IF('4 SUPERFICIES'!$C28&lt;240.1,'4 SUPERFICIES'!$AB28,0))))</f>
        <v>0</v>
      </c>
      <c r="CN219" s="777">
        <f>IF('4 SUPERFICIES'!$C28&lt;150,IF(OR('4 SUPERFICIES'!$A28="MICRODER",'4 SUPERFICIES'!$A28="MICRO DER",),'4 SUPERFICIES'!$AB28,0))</f>
        <v>0</v>
      </c>
      <c r="CO219" s="777" t="b">
        <f>IF('4 SUPERFICIES'!$C28&gt;149.5,IF(OR('4 SUPERFICIES'!$A28="MICRODER",'4 SUPERFICIES'!$A28="MICRO DER",),'4 SUPERFICIES'!$AB28,0))</f>
        <v>0</v>
      </c>
      <c r="CP219" s="847"/>
      <c r="CQ219" s="777">
        <f>IF('4 SUPERFICIES'!$C28&lt;150,IF(OR('4 SUPERFICIES'!$A28="MICROIZQ",'4 SUPERFICIES'!$A28="MICRO IZQ",),'4 SUPERFICIES'!$AB28,0))</f>
        <v>0</v>
      </c>
      <c r="CR219" s="777" t="b">
        <f>IF('4 SUPERFICIES'!$C28&gt;149.5,IF(OR('4 SUPERFICIES'!$A28="MICROIZQ",'4 SUPERFICIES'!$A28="MICRO IZQ",),'4 SUPERFICIES'!$AB28,0))</f>
        <v>0</v>
      </c>
      <c r="CT219" s="837">
        <f>IF(OR('4 SUPERFICIES'!$A28="MICRO SEN",'4 SUPERFICIES'!$A28="MICROSEN",),'4 SUPERFICIES'!$AB28,0)</f>
        <v>0</v>
      </c>
      <c r="CV219" s="837" t="b">
        <f>IF('4 SUPERFICIES'!$A28="DIAMETRO",IF('4 SUPERFICIES'!$C28&lt;121.1,'4 SUPERFICIES'!$AB28,0))</f>
        <v>0</v>
      </c>
      <c r="CX219" s="858"/>
      <c r="CZ219" s="837" t="b">
        <f>IF('4 SUPERFICIES'!$A28="MOSTRADOR",IF('4 SUPERFICIES'!$C28="R60",'4 SUPERFICIES'!$AB28,0))</f>
        <v>0</v>
      </c>
      <c r="DB219" s="837">
        <f>IF(OR('4 SUPERFICIES'!$A28="PORTA PRIN",'4 SUPERFICIES'!$A28="PORTAPRIN",),'4 SUPERFICIES'!$AB28,0)</f>
        <v>0</v>
      </c>
      <c r="DD219" s="837">
        <f>IF(OR('4 SUPERFICIES'!$A28="PORTA BADE",'4 SUPERFICIES'!$A28="PORTABADE",),'4 SUPERFICIES'!$AB28,0)</f>
        <v>0</v>
      </c>
      <c r="DE219" s="837"/>
      <c r="DF219" s="837">
        <f>IF(OR('4 SUPERFICIES'!$A28="RETORNO IZQ",'4 SUPERFICIES'!$A28="RETORNO DER",),'4 SUPERFICIES'!$AB128,0)</f>
        <v>0</v>
      </c>
      <c r="DG219" s="837"/>
      <c r="DH219" s="837">
        <f>IF(OR('4 SUPERFICIES'!$A28="PITO Q",'4 SUPERFICIES'!$A28="PITO P",'4 SUPERFICIES'!$A28="DIAMETRO INTEGRADA",),'4 SUPERFICIES'!$AB28,0)</f>
        <v>0</v>
      </c>
      <c r="DJ219" s="858"/>
      <c r="DK219" s="837"/>
      <c r="DL219" s="837">
        <f>IF('4 SUPERFICIES'!$A28="SUPERFICIE OVAL",'4 SUPERFICIES'!$AB28,0)</f>
        <v>0</v>
      </c>
      <c r="DN219" s="838"/>
      <c r="DO219" s="838"/>
      <c r="DP219" s="838"/>
      <c r="DQ219" s="838"/>
      <c r="DR219" s="838"/>
      <c r="DS219" s="838"/>
      <c r="DT219" s="838"/>
      <c r="DU219" s="838"/>
      <c r="DV219" s="838"/>
      <c r="DW219" s="838"/>
      <c r="DX219" s="838"/>
      <c r="DY219" s="838"/>
      <c r="DZ219" s="838"/>
      <c r="EG219" s="682">
        <f>IF('4 SUPERFICIES'!A28="MICRO DER",85,IF('4 SUPERFICIES'!A28="MICRO IZQ",85,IF('4 SUPERFICIES'!A28="MICRO SEN",170,IF('4 SUPERFICIES'!A28="DIAMETRO",3.14*'4 SUPERFICIES'!C28/2,IF('4 SUPERFICIES'!A28="MOSTRADOR",136,IF('4 SUPERFICIES'!A28="PORTA",65,IF('4 SUPERFICIES'!A28="PITO Q",90,IF('4 SUPERFICIES'!A28="PITO P",90,'4 SUPERFICIES'!A28))))))))</f>
        <v>0</v>
      </c>
      <c r="EH219" s="682"/>
      <c r="EI219" s="682">
        <f>IF('4 SUPERFICIES'!A28="DIAMETRO",0,IF('4 SUPERFICIES'!C28="PRINCIPAL",160,IF('4 SUPERFICIES'!C28="BADE",190,IF('4 SUPERFICIES'!C28="RETORNO",100,IF('4 SUPERFICIES'!C28="R 60",100,IF('4 SUPERFICIES'!C28="R60",100,'4 SUPERFICIES'!C28))))))</f>
        <v>0</v>
      </c>
      <c r="EJ219" s="682"/>
      <c r="EK219" s="682">
        <f>IF('4 SUPERFICIES'!$F28='4 SUPERFICIES'!$AG$15,((EG219*2)+(EI219*2))*'4 SUPERFICIES'!AB28,0)</f>
        <v>0</v>
      </c>
      <c r="EL219" s="682"/>
      <c r="EM219" s="682">
        <f>IF('4 SUPERFICIES'!$F28='4 SUPERFICIES'!$AG$16,((EG219*2)+(EI219*2))*'4 SUPERFICIES'!AB28,0)</f>
        <v>0</v>
      </c>
      <c r="EO219" s="682">
        <f>IF('4 SUPERFICIES'!$F28='4 SUPERFICIES'!$AG$17,((EG219*2)+(EI219*2))*'4 SUPERFICIES'!AB28,0)</f>
        <v>0</v>
      </c>
      <c r="EQ219" s="682">
        <f>IF('4 SUPERFICIES'!$F28='4 SUPERFICIES'!$AG$18,((EG219*2)+(EI219*2))*'4 SUPERFICIES'!AB28,0)</f>
        <v>0</v>
      </c>
      <c r="EW219" s="838"/>
      <c r="EX219" s="838"/>
      <c r="EY219" s="838"/>
      <c r="EZ219" s="838"/>
      <c r="FA219" s="838"/>
      <c r="FB219" s="838"/>
      <c r="FC219" s="838"/>
      <c r="FD219" s="838"/>
      <c r="FE219" s="838"/>
      <c r="FF219" s="838"/>
      <c r="FG219" s="838"/>
      <c r="FH219" s="838"/>
      <c r="FI219" s="838"/>
      <c r="FJ219" s="838"/>
      <c r="FK219" s="838"/>
      <c r="FL219" s="838"/>
      <c r="FM219" s="838"/>
      <c r="FN219" s="838"/>
      <c r="FO219" s="838"/>
      <c r="FP219" s="838"/>
      <c r="GM219" s="838"/>
      <c r="GN219" s="838"/>
      <c r="GO219" s="838"/>
      <c r="GP219" s="838"/>
      <c r="GQ219" s="838"/>
      <c r="GR219" s="838"/>
      <c r="GS219" s="838"/>
      <c r="HF219" s="700">
        <v>18.5</v>
      </c>
      <c r="HH219" s="591">
        <v>18.5</v>
      </c>
    </row>
    <row r="220" spans="1:216" ht="26.25" x14ac:dyDescent="0.4">
      <c r="A220" s="848">
        <f>IF(OR('5 ALMACEN '!$D$37="CURVOS",'5 ALMACEN '!$D$37="CURVO",'5 ALMACEN '!$D$37="CURVOS ",),'5 ALMACEN '!B40+'5 ALMACEN '!C40,0)</f>
        <v>0</v>
      </c>
      <c r="B220" s="874">
        <v>70</v>
      </c>
      <c r="C220" s="845"/>
      <c r="D220" s="845"/>
      <c r="E220" s="845"/>
      <c r="F220" s="845"/>
      <c r="G220" s="845"/>
      <c r="AK220" s="777" t="b">
        <f>IF('4 SUPERFICIES'!$A29&gt;10,IF('4 SUPERFICIES'!$A29&lt;31.1,IF('4 SUPERFICIES'!$C29&gt;10,IF('4 SUPERFICIES'!$C29&lt;57.6,'4 SUPERFICIES'!$AB29,0))))</f>
        <v>0</v>
      </c>
      <c r="AL220" s="777" t="b">
        <f>IF('4 SUPERFICIES'!$A29&gt;10,IF('4 SUPERFICIES'!$A29&lt;31.1,IF('4 SUPERFICIES'!$C29&gt;57.6,IF('4 SUPERFICIES'!$C29&lt;71.6,'4 SUPERFICIES'!$AB29,0))))</f>
        <v>0</v>
      </c>
      <c r="AM220" s="777" t="b">
        <f>IF('4 SUPERFICIES'!$A29&gt;10,IF('4 SUPERFICIES'!$A29&lt;31.1,IF('4 SUPERFICIES'!$C29&gt;71.5,IF('4 SUPERFICIES'!$C29&lt;85.6,'4 SUPERFICIES'!$AB29,0))))</f>
        <v>0</v>
      </c>
      <c r="AN220" s="777" t="b">
        <f>IF('4 SUPERFICIES'!$A29&gt;10,IF('4 SUPERFICIES'!$A29&lt;31.1,IF('4 SUPERFICIES'!$C29&gt;85.5,IF('4 SUPERFICIES'!$C29&lt;113.6,'4 SUPERFICIES'!$AB29,0))))</f>
        <v>0</v>
      </c>
      <c r="AO220" s="777" t="b">
        <f>IF('4 SUPERFICIES'!$A29&gt;10,IF('4 SUPERFICIES'!$A29&lt;31.1,IF('4 SUPERFICIES'!$C29&gt;113.5,IF('4 SUPERFICIES'!$C29&lt;141.6,'4 SUPERFICIES'!$AB29,0))))</f>
        <v>0</v>
      </c>
      <c r="AP220" s="777" t="b">
        <f>IF('4 SUPERFICIES'!$A29&gt;10,IF('4 SUPERFICIES'!$A29&lt;31.1,IF('4 SUPERFICIES'!$C29&gt;141.5,IF('4 SUPERFICIES'!$C29&lt;180.6,'4 SUPERFICIES'!$AB29,0))))</f>
        <v>0</v>
      </c>
      <c r="AQ220" s="777" t="b">
        <f>IF('4 SUPERFICIES'!$A29&gt;10,IF('4 SUPERFICIES'!$A29&lt;31.1,IF('4 SUPERFICIES'!$C29&gt;180.5,IF('4 SUPERFICIES'!$C29&lt;240.1,'4 SUPERFICIES'!$AB29,0))))</f>
        <v>0</v>
      </c>
      <c r="AS220" s="777" t="b">
        <f>IF('4 SUPERFICIES'!$A29&gt;31,IF('4 SUPERFICIES'!$A29&lt;45.5,IF('4 SUPERFICIES'!$C29&gt;10,IF('4 SUPERFICIES'!$C29&lt;57.6,'4 SUPERFICIES'!$AB29,0))))</f>
        <v>0</v>
      </c>
      <c r="AT220" s="777" t="b">
        <f>IF('4 SUPERFICIES'!$A29&gt;31,IF('4 SUPERFICIES'!$A29&lt;45.5,IF('4 SUPERFICIES'!$C29&gt;57.6,IF('4 SUPERFICIES'!$C29&lt;71.6,'4 SUPERFICIES'!$AB29,0))))</f>
        <v>0</v>
      </c>
      <c r="AU220" s="777" t="b">
        <f>IF('4 SUPERFICIES'!$A29&gt;31,IF('4 SUPERFICIES'!$A29&lt;45.5,IF('4 SUPERFICIES'!$C29&gt;71.5,IF('4 SUPERFICIES'!$C29&lt;85.6,'4 SUPERFICIES'!$AB29,0))))</f>
        <v>0</v>
      </c>
      <c r="AV220" s="777" t="b">
        <f>IF('4 SUPERFICIES'!$A29&gt;31,IF('4 SUPERFICIES'!$A29&lt;45.5,IF('4 SUPERFICIES'!$C29&gt;85.5,IF('4 SUPERFICIES'!$C29&lt;113.6,'4 SUPERFICIES'!$AB29,0))))</f>
        <v>0</v>
      </c>
      <c r="AW220" s="777" t="b">
        <f>IF('4 SUPERFICIES'!$A29&gt;31,IF('4 SUPERFICIES'!$A29&lt;45.5,IF('4 SUPERFICIES'!$C29&gt;113.5,IF('4 SUPERFICIES'!$C29&lt;141.6,'4 SUPERFICIES'!$AB29,0))))</f>
        <v>0</v>
      </c>
      <c r="AX220" s="777" t="b">
        <f>IF('4 SUPERFICIES'!$A29&gt;31,IF('4 SUPERFICIES'!$A29&lt;45.5,IF('4 SUPERFICIES'!$C29&gt;141.5,IF('4 SUPERFICIES'!$C29&lt;180.6,'4 SUPERFICIES'!$AB29,0))))</f>
        <v>0</v>
      </c>
      <c r="AY220" s="777" t="b">
        <f>IF('4 SUPERFICIES'!$A29&gt;31,IF('4 SUPERFICIES'!$A29&lt;45.5,IF('4 SUPERFICIES'!$C29&gt;180.5,IF('4 SUPERFICIES'!$C29&lt;240.1,'4 SUPERFICIES'!$AB29,0))))</f>
        <v>0</v>
      </c>
      <c r="BA220" s="777" t="b">
        <f>IF('4 SUPERFICIES'!$A29&gt;45.4,IF('4 SUPERFICIES'!$A29&lt;61.6,IF('4 SUPERFICIES'!$C29&gt;10,IF('4 SUPERFICIES'!$C29&lt;61.5,'4 SUPERFICIES'!$AB29,0))))</f>
        <v>0</v>
      </c>
      <c r="BB220" s="777" t="b">
        <f>IF('4 SUPERFICIES'!$A29&gt;45.4,IF('4 SUPERFICIES'!$A29&lt;61.6,IF('4 SUPERFICIES'!$C29&gt;61.1,IF('4 SUPERFICIES'!$C29&lt;71.6,'4 SUPERFICIES'!$AB29,0))))</f>
        <v>0</v>
      </c>
      <c r="BC220" s="777" t="b">
        <f>IF('4 SUPERFICIES'!$A29&gt;45.4,IF('4 SUPERFICIES'!$A29&lt;61.6,IF('4 SUPERFICIES'!$C29&gt;71.5,IF('4 SUPERFICIES'!$C29&lt;85.6,'4 SUPERFICIES'!$AB29,0))))</f>
        <v>0</v>
      </c>
      <c r="BD220" s="777" t="b">
        <f>IF('4 SUPERFICIES'!$A29&gt;45.4,IF('4 SUPERFICIES'!$A29&lt;61.6,IF('4 SUPERFICIES'!$C29&gt;85.5,IF('4 SUPERFICIES'!$C29&lt;113.6,'4 SUPERFICIES'!$AB29,0))))</f>
        <v>0</v>
      </c>
      <c r="BE220" s="777" t="b">
        <f>IF('4 SUPERFICIES'!$A29&gt;45.4,IF('4 SUPERFICIES'!$A29&lt;61.6,IF('4 SUPERFICIES'!$C29&gt;113.5,IF('4 SUPERFICIES'!$C29&lt;121.6,'4 SUPERFICIES'!$AB29,0))))</f>
        <v>0</v>
      </c>
      <c r="BF220" s="777" t="b">
        <f>IF('4 SUPERFICIES'!$A29&gt;45.4,IF('4 SUPERFICIES'!$A29&lt;61.6,IF('4 SUPERFICIES'!$C29&gt;121.5,IF('4 SUPERFICIES'!$C29&lt;127.6,'4 SUPERFICIES'!$AB29,0))))</f>
        <v>0</v>
      </c>
      <c r="BG220" s="777" t="b">
        <f>IF('4 SUPERFICIES'!$A29&gt;45.4,IF('4 SUPERFICIES'!$A29&lt;61.6,IF('4 SUPERFICIES'!$C29&gt;127.5,IF('4 SUPERFICIES'!$C29&lt;135.1,'4 SUPERFICIES'!$AB29,0))))</f>
        <v>0</v>
      </c>
      <c r="BH220" s="777" t="b">
        <f>IF('4 SUPERFICIES'!$A29&gt;45.4,IF('4 SUPERFICIES'!$A29&lt;61.6,IF('4 SUPERFICIES'!$C29&gt;135,IF('4 SUPERFICIES'!$C29&lt;141.6,'4 SUPERFICIES'!$AB29,0))))</f>
        <v>0</v>
      </c>
      <c r="BI220" s="777" t="b">
        <f>IF('4 SUPERFICIES'!$A29&gt;45.4,IF('4 SUPERFICIES'!$A29&lt;61.6,IF('4 SUPERFICIES'!$C29&gt;141.5,IF('4 SUPERFICIES'!$C29&lt;149.1,'4 SUPERFICIES'!$AB29,0))))</f>
        <v>0</v>
      </c>
      <c r="BJ220" s="777" t="b">
        <f>IF('4 SUPERFICIES'!$A29&gt;45.4,IF('4 SUPERFICIES'!$A29&lt;61.6,IF('4 SUPERFICIES'!$C29&gt;149,IF('4 SUPERFICIES'!$C29&lt;155.6,'4 SUPERFICIES'!$AB29,0))))</f>
        <v>0</v>
      </c>
      <c r="BK220" s="777" t="b">
        <f>IF('4 SUPERFICIES'!$A29&gt;45.4,IF('4 SUPERFICIES'!$A29&lt;61.6,IF('4 SUPERFICIES'!$C29&gt;155.5,IF('4 SUPERFICIES'!$C29&lt;163.1,'4 SUPERFICIES'!$AB29,0))))</f>
        <v>0</v>
      </c>
      <c r="BL220" s="777" t="b">
        <f>IF('4 SUPERFICIES'!$A29&gt;45.4,IF('4 SUPERFICIES'!$A29&lt;61.6,IF('4 SUPERFICIES'!$C29&gt;163,IF('4 SUPERFICIES'!$C29&lt;180.6,'4 SUPERFICIES'!$AB29,0))))</f>
        <v>0</v>
      </c>
      <c r="BM220" s="777" t="b">
        <f>IF('4 SUPERFICIES'!$A29&gt;45.4,IF('4 SUPERFICIES'!$A29&lt;61.6,IF('4 SUPERFICIES'!$C29&gt;180.5,IF('4 SUPERFICIES'!$C29&lt;240.1,'4 SUPERFICIES'!$AB29,0))))</f>
        <v>0</v>
      </c>
      <c r="BO220" s="869" t="s">
        <v>540</v>
      </c>
      <c r="BQ220" s="870">
        <f>+$BI$250</f>
        <v>0</v>
      </c>
      <c r="BS220" s="869"/>
      <c r="BT220" s="870">
        <f>+$BI$251</f>
        <v>0</v>
      </c>
      <c r="BV220" s="777" t="b">
        <f>IF('4 SUPERFICIES'!$A29&gt;61.5,IF('4 SUPERFICIES'!$A29&lt;71.6,IF('4 SUPERFICIES'!$C29&gt;10,IF('4 SUPERFICIES'!$C29&lt;57.6,'4 SUPERFICIES'!$AB29,0))))</f>
        <v>0</v>
      </c>
      <c r="BW220" s="777" t="b">
        <f>IF('4 SUPERFICIES'!$A29&gt;61.5,IF('4 SUPERFICIES'!$A29&lt;71.6,IF('4 SUPERFICIES'!$C29&gt;57.6,IF('4 SUPERFICIES'!$C29&lt;71.6,'4 SUPERFICIES'!$AB29,0))))</f>
        <v>0</v>
      </c>
      <c r="BX220" s="777" t="b">
        <f>IF('4 SUPERFICIES'!$A29&gt;61.5,IF('4 SUPERFICIES'!$A29&lt;71.6,IF('4 SUPERFICIES'!$C29&gt;71.5,IF('4 SUPERFICIES'!$C29&lt;85.6,'4 SUPERFICIES'!$AB29,0))))</f>
        <v>0</v>
      </c>
      <c r="BY220" s="777" t="b">
        <f>IF('4 SUPERFICIES'!$A29&gt;61.5,IF('4 SUPERFICIES'!$A29&lt;71.6,IF('4 SUPERFICIES'!$C29&gt;85.5,IF('4 SUPERFICIES'!$C29&lt;113.6,'4 SUPERFICIES'!$AB29,0))))</f>
        <v>0</v>
      </c>
      <c r="BZ220" s="777" t="b">
        <f>IF('4 SUPERFICIES'!$A29&gt;61.5,IF('4 SUPERFICIES'!$A29&lt;71.6,IF('4 SUPERFICIES'!$C29&gt;113.5,IF('4 SUPERFICIES'!$C29&lt;141.6,'4 SUPERFICIES'!$AB29,0))))</f>
        <v>0</v>
      </c>
      <c r="CA220" s="777" t="b">
        <f>IF('4 SUPERFICIES'!$A29&gt;61.5,IF('4 SUPERFICIES'!$A29&lt;71.6,IF('4 SUPERFICIES'!$C29&gt;141.5,IF('4 SUPERFICIES'!$C29&lt;149.1,'4 SUPERFICIES'!$AB29,0))))</f>
        <v>0</v>
      </c>
      <c r="CB220" s="777" t="b">
        <f>IF('4 SUPERFICIES'!$A29&gt;61.5,IF('4 SUPERFICIES'!$A29&lt;71.6,IF('4 SUPERFICIES'!$C29&gt;149,IF('4 SUPERFICIES'!$C29&lt;163.1,'4 SUPERFICIES'!$AB29,0))))</f>
        <v>0</v>
      </c>
      <c r="CC220" s="777" t="b">
        <f>IF('4 SUPERFICIES'!$A29&gt;61.5,IF('4 SUPERFICIES'!$A29&lt;71.6,IF('4 SUPERFICIES'!$C29&gt;163,IF('4 SUPERFICIES'!$C29&lt;180.6,'4 SUPERFICIES'!$AB29,0))))</f>
        <v>0</v>
      </c>
      <c r="CD220" s="777" t="b">
        <f>IF('4 SUPERFICIES'!$A29&gt;61.5,IF('4 SUPERFICIES'!$A29&lt;71.6,IF('4 SUPERFICIES'!$C29&gt;180.5,IF('4 SUPERFICIES'!$C29&lt;240.1,'4 SUPERFICIES'!$AB29,0))))</f>
        <v>0</v>
      </c>
      <c r="CF220" s="777" t="b">
        <f>IF('4 SUPERFICIES'!$A29&gt;71.5,IF('4 SUPERFICIES'!$A29&lt;120.6,IF('4 SUPERFICIES'!$C29&gt;10,IF('4 SUPERFICIES'!$C29&lt;57.6,'4 SUPERFICIES'!$AB29,0))))</f>
        <v>0</v>
      </c>
      <c r="CG220" s="777" t="b">
        <f>IF('4 SUPERFICIES'!$A29&gt;71.5,IF('4 SUPERFICIES'!$A29&lt;120.6,IF('4 SUPERFICIES'!$C29&gt;57.6,IF('4 SUPERFICIES'!$C29&lt;71.6,'4 SUPERFICIES'!$AB29,0))))</f>
        <v>0</v>
      </c>
      <c r="CH220" s="777" t="b">
        <f>IF('4 SUPERFICIES'!$A29&gt;71.5,IF('4 SUPERFICIES'!$A29&lt;120.6,IF('4 SUPERFICIES'!$C29&gt;71.5,IF('4 SUPERFICIES'!$C29&lt;85.6,'4 SUPERFICIES'!$AB29,0))))</f>
        <v>0</v>
      </c>
      <c r="CI220" s="777" t="b">
        <f>IF('4 SUPERFICIES'!$A29&gt;71.5,IF('4 SUPERFICIES'!$A29&lt;120.6,IF('4 SUPERFICIES'!$C29&gt;85.5,IF('4 SUPERFICIES'!$C29&lt;113.6,'4 SUPERFICIES'!$AB29,0))))</f>
        <v>0</v>
      </c>
      <c r="CJ220" s="777" t="b">
        <f>IF('4 SUPERFICIES'!$A29&gt;71.5,IF('4 SUPERFICIES'!$A29&lt;120.6,IF('4 SUPERFICIES'!$C29&gt;113.5,IF('4 SUPERFICIES'!$C29&lt;141.6,'4 SUPERFICIES'!$AB29,0))))</f>
        <v>0</v>
      </c>
      <c r="CK220" s="777" t="b">
        <f>IF('4 SUPERFICIES'!$A29&gt;71.5,IF('4 SUPERFICIES'!$A29&lt;120.6,IF('4 SUPERFICIES'!$C29&gt;141.5,IF('4 SUPERFICIES'!$C29&lt;180.6,'4 SUPERFICIES'!$AB29,0))))</f>
        <v>0</v>
      </c>
      <c r="CL220" s="777" t="b">
        <f>IF('4 SUPERFICIES'!$A29&gt;71.5,IF('4 SUPERFICIES'!$A29&lt;120.6,IF('4 SUPERFICIES'!$C29&gt;180.5,IF('4 SUPERFICIES'!$C29&lt;240.1,'4 SUPERFICIES'!$AB29,0))))</f>
        <v>0</v>
      </c>
      <c r="CN220" s="777">
        <f>IF('4 SUPERFICIES'!$C29&lt;150,IF(OR('4 SUPERFICIES'!$A29="MICRODER",'4 SUPERFICIES'!$A29="MICRO DER",),'4 SUPERFICIES'!$AB29,0))</f>
        <v>0</v>
      </c>
      <c r="CO220" s="777" t="b">
        <f>IF('4 SUPERFICIES'!$C29&gt;149.5,IF(OR('4 SUPERFICIES'!$A29="MICRODER",'4 SUPERFICIES'!$A29="MICRO DER",),'4 SUPERFICIES'!$AB29,0))</f>
        <v>0</v>
      </c>
      <c r="CP220" s="847"/>
      <c r="CQ220" s="777">
        <f>IF('4 SUPERFICIES'!$C29&lt;150,IF(OR('4 SUPERFICIES'!$A29="MICROIZQ",'4 SUPERFICIES'!$A29="MICRO IZQ",),'4 SUPERFICIES'!$AB29,0))</f>
        <v>0</v>
      </c>
      <c r="CR220" s="777" t="b">
        <f>IF('4 SUPERFICIES'!$C29&gt;149.5,IF(OR('4 SUPERFICIES'!$A29="MICROIZQ",'4 SUPERFICIES'!$A29="MICRO IZQ",),'4 SUPERFICIES'!$AB29,0))</f>
        <v>0</v>
      </c>
      <c r="CT220" s="837">
        <f>IF(OR('4 SUPERFICIES'!$A29="MICRO SEN",'4 SUPERFICIES'!$A29="MICROSEN",),'4 SUPERFICIES'!$AB29,0)</f>
        <v>0</v>
      </c>
      <c r="CV220" s="837" t="b">
        <f>IF('4 SUPERFICIES'!$A29="DIAMETRO",IF('4 SUPERFICIES'!$C29&lt;121.1,'4 SUPERFICIES'!$AB29,0))</f>
        <v>0</v>
      </c>
      <c r="CX220" s="858"/>
      <c r="CZ220" s="837" t="b">
        <f>IF('4 SUPERFICIES'!$A29="MOSTRADOR",IF('4 SUPERFICIES'!$C29="R60",'4 SUPERFICIES'!$AB29,0))</f>
        <v>0</v>
      </c>
      <c r="DB220" s="837">
        <f>IF(OR('4 SUPERFICIES'!$A29="PORTA PRIN",'4 SUPERFICIES'!$A29="PORTAPRIN",),'4 SUPERFICIES'!$AB29,0)</f>
        <v>0</v>
      </c>
      <c r="DD220" s="837">
        <f>IF(OR('4 SUPERFICIES'!$A29="PORTA BADE",'4 SUPERFICIES'!$A29="PORTABADE",),'4 SUPERFICIES'!$AB29,0)</f>
        <v>0</v>
      </c>
      <c r="DE220" s="837"/>
      <c r="DF220" s="837">
        <f>IF(OR('4 SUPERFICIES'!$A29="RETORNO IZQ",'4 SUPERFICIES'!$A29="RETORNO DER",),'4 SUPERFICIES'!$AB129,0)</f>
        <v>0</v>
      </c>
      <c r="DG220" s="837"/>
      <c r="DH220" s="837">
        <f>IF(OR('4 SUPERFICIES'!$A29="PITO Q",'4 SUPERFICIES'!$A29="PITO P",'4 SUPERFICIES'!$A29="DIAMETRO INTEGRADA",),'4 SUPERFICIES'!$AB29,0)</f>
        <v>0</v>
      </c>
      <c r="DJ220" s="858"/>
      <c r="DK220" s="837"/>
      <c r="DL220" s="837">
        <f>IF('4 SUPERFICIES'!$A29="SUPERFICIE OVAL",'4 SUPERFICIES'!$AB29,0)</f>
        <v>0</v>
      </c>
      <c r="DN220" s="838"/>
      <c r="DO220" s="859"/>
      <c r="DP220" s="858"/>
      <c r="DQ220" s="858"/>
      <c r="DR220" s="858"/>
      <c r="DS220" s="858"/>
      <c r="DT220" s="858"/>
      <c r="DU220" s="858"/>
      <c r="DV220" s="858"/>
      <c r="DW220" s="858"/>
      <c r="DX220" s="858"/>
      <c r="DY220" s="858"/>
      <c r="DZ220" s="858"/>
      <c r="EG220" s="682">
        <f>IF('4 SUPERFICIES'!A29="MICRO DER",85,IF('4 SUPERFICIES'!A29="MICRO IZQ",85,IF('4 SUPERFICIES'!A29="MICRO SEN",170,IF('4 SUPERFICIES'!A29="DIAMETRO",3.14*'4 SUPERFICIES'!C29/2,IF('4 SUPERFICIES'!A29="MOSTRADOR",136,IF('4 SUPERFICIES'!A29="PORTA",65,IF('4 SUPERFICIES'!A29="PITO Q",90,IF('4 SUPERFICIES'!A29="PITO P",90,'4 SUPERFICIES'!A29))))))))</f>
        <v>0</v>
      </c>
      <c r="EH220" s="682"/>
      <c r="EI220" s="682">
        <f>IF('4 SUPERFICIES'!A29="DIAMETRO",0,IF('4 SUPERFICIES'!C29="PRINCIPAL",160,IF('4 SUPERFICIES'!C29="BADE",190,IF('4 SUPERFICIES'!C29="RETORNO",100,IF('4 SUPERFICIES'!C29="R 60",100,IF('4 SUPERFICIES'!C29="R60",100,'4 SUPERFICIES'!C29))))))</f>
        <v>0</v>
      </c>
      <c r="EJ220" s="682"/>
      <c r="EK220" s="682">
        <f>IF('4 SUPERFICIES'!$F29='4 SUPERFICIES'!$AG$15,((EG220*2)+(EI220*2))*'4 SUPERFICIES'!AB29,0)</f>
        <v>0</v>
      </c>
      <c r="EL220" s="682"/>
      <c r="EM220" s="682">
        <f>IF('4 SUPERFICIES'!$F29='4 SUPERFICIES'!$AG$16,((EG220*2)+(EI220*2))*'4 SUPERFICIES'!AB29,0)</f>
        <v>0</v>
      </c>
      <c r="EO220" s="682">
        <f>IF('4 SUPERFICIES'!$F29='4 SUPERFICIES'!$AG$17,((EG220*2)+(EI220*2))*'4 SUPERFICIES'!AB29,0)</f>
        <v>0</v>
      </c>
      <c r="EQ220" s="682">
        <f>IF('4 SUPERFICIES'!$F29='4 SUPERFICIES'!$AG$18,((EG220*2)+(EI220*2))*'4 SUPERFICIES'!AB29,0)</f>
        <v>0</v>
      </c>
      <c r="EW220" s="858"/>
      <c r="EX220" s="858"/>
      <c r="EY220" s="858"/>
      <c r="EZ220" s="858"/>
      <c r="FA220" s="858"/>
      <c r="FB220" s="858"/>
      <c r="FC220" s="858"/>
      <c r="FD220" s="858"/>
      <c r="FE220" s="858"/>
      <c r="FF220" s="858"/>
      <c r="FG220" s="858"/>
      <c r="FH220" s="858"/>
      <c r="FI220" s="858"/>
      <c r="FJ220" s="858"/>
      <c r="FK220" s="858"/>
      <c r="FL220" s="858"/>
      <c r="FM220" s="858"/>
      <c r="FN220" s="858"/>
      <c r="FO220" s="858"/>
      <c r="FP220" s="838"/>
      <c r="GM220" s="858"/>
      <c r="GN220" s="858"/>
      <c r="GO220" s="858"/>
      <c r="GP220" s="858"/>
      <c r="GQ220" s="858"/>
      <c r="GR220" s="838"/>
      <c r="GS220" s="838"/>
      <c r="HF220" s="700">
        <v>19</v>
      </c>
      <c r="HH220" s="591">
        <v>19</v>
      </c>
    </row>
    <row r="221" spans="1:216" ht="26.25" x14ac:dyDescent="0.4">
      <c r="A221" s="848">
        <f>IF(OR('5 ALMACEN '!$D$37="CURVOS",'5 ALMACEN '!$D$37="CURVO",'5 ALMACEN '!$D$37="CURVOS ",),'5 ALMACEN '!B41+'5 ALMACEN '!C41,0)</f>
        <v>0</v>
      </c>
      <c r="B221" s="874">
        <v>84</v>
      </c>
      <c r="C221" s="845"/>
      <c r="D221" s="1090">
        <f>IF(H222&gt;0,"MDF DE 9 MM * 153 * 244",0)</f>
        <v>0</v>
      </c>
      <c r="E221" s="1091"/>
      <c r="F221" s="1091"/>
      <c r="G221" s="1092"/>
      <c r="AK221" s="777" t="b">
        <f>IF('4 SUPERFICIES'!$A30&gt;10,IF('4 SUPERFICIES'!$A30&lt;31.1,IF('4 SUPERFICIES'!$C30&gt;10,IF('4 SUPERFICIES'!$C30&lt;57.6,'4 SUPERFICIES'!$AB30,0))))</f>
        <v>0</v>
      </c>
      <c r="AL221" s="777" t="b">
        <f>IF('4 SUPERFICIES'!$A30&gt;10,IF('4 SUPERFICIES'!$A30&lt;31.1,IF('4 SUPERFICIES'!$C30&gt;57.6,IF('4 SUPERFICIES'!$C30&lt;71.6,'4 SUPERFICIES'!$AB30,0))))</f>
        <v>0</v>
      </c>
      <c r="AM221" s="777" t="b">
        <f>IF('4 SUPERFICIES'!$A30&gt;10,IF('4 SUPERFICIES'!$A30&lt;31.1,IF('4 SUPERFICIES'!$C30&gt;71.5,IF('4 SUPERFICIES'!$C30&lt;85.6,'4 SUPERFICIES'!$AB30,0))))</f>
        <v>0</v>
      </c>
      <c r="AN221" s="777" t="b">
        <f>IF('4 SUPERFICIES'!$A30&gt;10,IF('4 SUPERFICIES'!$A30&lt;31.1,IF('4 SUPERFICIES'!$C30&gt;85.5,IF('4 SUPERFICIES'!$C30&lt;113.6,'4 SUPERFICIES'!$AB30,0))))</f>
        <v>0</v>
      </c>
      <c r="AO221" s="777" t="b">
        <f>IF('4 SUPERFICIES'!$A30&gt;10,IF('4 SUPERFICIES'!$A30&lt;31.1,IF('4 SUPERFICIES'!$C30&gt;113.5,IF('4 SUPERFICIES'!$C30&lt;141.6,'4 SUPERFICIES'!$AB30,0))))</f>
        <v>0</v>
      </c>
      <c r="AP221" s="777" t="b">
        <f>IF('4 SUPERFICIES'!$A30&gt;10,IF('4 SUPERFICIES'!$A30&lt;31.1,IF('4 SUPERFICIES'!$C30&gt;141.5,IF('4 SUPERFICIES'!$C30&lt;180.6,'4 SUPERFICIES'!$AB30,0))))</f>
        <v>0</v>
      </c>
      <c r="AQ221" s="777" t="b">
        <f>IF('4 SUPERFICIES'!$A30&gt;10,IF('4 SUPERFICIES'!$A30&lt;31.1,IF('4 SUPERFICIES'!$C30&gt;180.5,IF('4 SUPERFICIES'!$C30&lt;240.1,'4 SUPERFICIES'!$AB30,0))))</f>
        <v>0</v>
      </c>
      <c r="AS221" s="777" t="b">
        <f>IF('4 SUPERFICIES'!$A30&gt;31,IF('4 SUPERFICIES'!$A30&lt;45.5,IF('4 SUPERFICIES'!$C30&gt;10,IF('4 SUPERFICIES'!$C30&lt;57.6,'4 SUPERFICIES'!$AB30,0))))</f>
        <v>0</v>
      </c>
      <c r="AT221" s="777" t="b">
        <f>IF('4 SUPERFICIES'!$A30&gt;31,IF('4 SUPERFICIES'!$A30&lt;45.5,IF('4 SUPERFICIES'!$C30&gt;57.6,IF('4 SUPERFICIES'!$C30&lt;71.6,'4 SUPERFICIES'!$AB30,0))))</f>
        <v>0</v>
      </c>
      <c r="AU221" s="777" t="b">
        <f>IF('4 SUPERFICIES'!$A30&gt;31,IF('4 SUPERFICIES'!$A30&lt;45.5,IF('4 SUPERFICIES'!$C30&gt;71.5,IF('4 SUPERFICIES'!$C30&lt;85.6,'4 SUPERFICIES'!$AB30,0))))</f>
        <v>0</v>
      </c>
      <c r="AV221" s="777" t="b">
        <f>IF('4 SUPERFICIES'!$A30&gt;31,IF('4 SUPERFICIES'!$A30&lt;45.5,IF('4 SUPERFICIES'!$C30&gt;85.5,IF('4 SUPERFICIES'!$C30&lt;113.6,'4 SUPERFICIES'!$AB30,0))))</f>
        <v>0</v>
      </c>
      <c r="AW221" s="777" t="b">
        <f>IF('4 SUPERFICIES'!$A30&gt;31,IF('4 SUPERFICIES'!$A30&lt;45.5,IF('4 SUPERFICIES'!$C30&gt;113.5,IF('4 SUPERFICIES'!$C30&lt;141.6,'4 SUPERFICIES'!$AB30,0))))</f>
        <v>0</v>
      </c>
      <c r="AX221" s="777" t="b">
        <f>IF('4 SUPERFICIES'!$A30&gt;31,IF('4 SUPERFICIES'!$A30&lt;45.5,IF('4 SUPERFICIES'!$C30&gt;141.5,IF('4 SUPERFICIES'!$C30&lt;180.6,'4 SUPERFICIES'!$AB30,0))))</f>
        <v>0</v>
      </c>
      <c r="AY221" s="777" t="b">
        <f>IF('4 SUPERFICIES'!$A30&gt;31,IF('4 SUPERFICIES'!$A30&lt;45.5,IF('4 SUPERFICIES'!$C30&gt;180.5,IF('4 SUPERFICIES'!$C30&lt;240.1,'4 SUPERFICIES'!$AB30,0))))</f>
        <v>0</v>
      </c>
      <c r="BA221" s="777" t="b">
        <f>IF('4 SUPERFICIES'!$A30&gt;45.4,IF('4 SUPERFICIES'!$A30&lt;61.6,IF('4 SUPERFICIES'!$C30&gt;10,IF('4 SUPERFICIES'!$C30&lt;61.5,'4 SUPERFICIES'!$AB30,0))))</f>
        <v>0</v>
      </c>
      <c r="BB221" s="777" t="b">
        <f>IF('4 SUPERFICIES'!$A30&gt;45.4,IF('4 SUPERFICIES'!$A30&lt;61.6,IF('4 SUPERFICIES'!$C30&gt;61.1,IF('4 SUPERFICIES'!$C30&lt;71.6,'4 SUPERFICIES'!$AB30,0))))</f>
        <v>0</v>
      </c>
      <c r="BC221" s="777" t="b">
        <f>IF('4 SUPERFICIES'!$A30&gt;45.4,IF('4 SUPERFICIES'!$A30&lt;61.6,IF('4 SUPERFICIES'!$C30&gt;71.5,IF('4 SUPERFICIES'!$C30&lt;85.6,'4 SUPERFICIES'!$AB30,0))))</f>
        <v>0</v>
      </c>
      <c r="BD221" s="777" t="b">
        <f>IF('4 SUPERFICIES'!$A30&gt;45.4,IF('4 SUPERFICIES'!$A30&lt;61.6,IF('4 SUPERFICIES'!$C30&gt;85.5,IF('4 SUPERFICIES'!$C30&lt;113.6,'4 SUPERFICIES'!$AB30,0))))</f>
        <v>0</v>
      </c>
      <c r="BE221" s="777" t="b">
        <f>IF('4 SUPERFICIES'!$A30&gt;45.4,IF('4 SUPERFICIES'!$A30&lt;61.6,IF('4 SUPERFICIES'!$C30&gt;113.5,IF('4 SUPERFICIES'!$C30&lt;121.6,'4 SUPERFICIES'!$AB30,0))))</f>
        <v>0</v>
      </c>
      <c r="BF221" s="777" t="b">
        <f>IF('4 SUPERFICIES'!$A30&gt;45.4,IF('4 SUPERFICIES'!$A30&lt;61.6,IF('4 SUPERFICIES'!$C30&gt;121.5,IF('4 SUPERFICIES'!$C30&lt;127.6,'4 SUPERFICIES'!$AB30,0))))</f>
        <v>0</v>
      </c>
      <c r="BG221" s="777" t="b">
        <f>IF('4 SUPERFICIES'!$A30&gt;45.4,IF('4 SUPERFICIES'!$A30&lt;61.6,IF('4 SUPERFICIES'!$C30&gt;127.5,IF('4 SUPERFICIES'!$C30&lt;135.1,'4 SUPERFICIES'!$AB30,0))))</f>
        <v>0</v>
      </c>
      <c r="BH221" s="777" t="b">
        <f>IF('4 SUPERFICIES'!$A30&gt;45.4,IF('4 SUPERFICIES'!$A30&lt;61.6,IF('4 SUPERFICIES'!$C30&gt;135,IF('4 SUPERFICIES'!$C30&lt;141.6,'4 SUPERFICIES'!$AB30,0))))</f>
        <v>0</v>
      </c>
      <c r="BI221" s="777" t="b">
        <f>IF('4 SUPERFICIES'!$A30&gt;45.4,IF('4 SUPERFICIES'!$A30&lt;61.6,IF('4 SUPERFICIES'!$C30&gt;141.5,IF('4 SUPERFICIES'!$C30&lt;149.1,'4 SUPERFICIES'!$AB30,0))))</f>
        <v>0</v>
      </c>
      <c r="BJ221" s="777" t="b">
        <f>IF('4 SUPERFICIES'!$A30&gt;45.4,IF('4 SUPERFICIES'!$A30&lt;61.6,IF('4 SUPERFICIES'!$C30&gt;149,IF('4 SUPERFICIES'!$C30&lt;155.6,'4 SUPERFICIES'!$AB30,0))))</f>
        <v>0</v>
      </c>
      <c r="BK221" s="777" t="b">
        <f>IF('4 SUPERFICIES'!$A30&gt;45.4,IF('4 SUPERFICIES'!$A30&lt;61.6,IF('4 SUPERFICIES'!$C30&gt;155.5,IF('4 SUPERFICIES'!$C30&lt;163.1,'4 SUPERFICIES'!$AB30,0))))</f>
        <v>0</v>
      </c>
      <c r="BL221" s="777" t="b">
        <f>IF('4 SUPERFICIES'!$A30&gt;45.4,IF('4 SUPERFICIES'!$A30&lt;61.6,IF('4 SUPERFICIES'!$C30&gt;163,IF('4 SUPERFICIES'!$C30&lt;180.6,'4 SUPERFICIES'!$AB30,0))))</f>
        <v>0</v>
      </c>
      <c r="BM221" s="777" t="b">
        <f>IF('4 SUPERFICIES'!$A30&gt;45.4,IF('4 SUPERFICIES'!$A30&lt;61.6,IF('4 SUPERFICIES'!$C30&gt;180.5,IF('4 SUPERFICIES'!$C30&lt;240.1,'4 SUPERFICIES'!$AB30,0))))</f>
        <v>0</v>
      </c>
      <c r="BO221" s="869" t="s">
        <v>541</v>
      </c>
      <c r="BQ221" s="870">
        <f>+$BJ$250</f>
        <v>0</v>
      </c>
      <c r="BS221" s="869"/>
      <c r="BT221" s="870">
        <f>+$BJ$251</f>
        <v>0</v>
      </c>
      <c r="BV221" s="777" t="b">
        <f>IF('4 SUPERFICIES'!$A30&gt;61.5,IF('4 SUPERFICIES'!$A30&lt;71.6,IF('4 SUPERFICIES'!$C30&gt;10,IF('4 SUPERFICIES'!$C30&lt;57.6,'4 SUPERFICIES'!$AB30,0))))</f>
        <v>0</v>
      </c>
      <c r="BW221" s="777" t="b">
        <f>IF('4 SUPERFICIES'!$A30&gt;61.5,IF('4 SUPERFICIES'!$A30&lt;71.6,IF('4 SUPERFICIES'!$C30&gt;57.6,IF('4 SUPERFICIES'!$C30&lt;71.6,'4 SUPERFICIES'!$AB30,0))))</f>
        <v>0</v>
      </c>
      <c r="BX221" s="777" t="b">
        <f>IF('4 SUPERFICIES'!$A30&gt;61.5,IF('4 SUPERFICIES'!$A30&lt;71.6,IF('4 SUPERFICIES'!$C30&gt;71.5,IF('4 SUPERFICIES'!$C30&lt;85.6,'4 SUPERFICIES'!$AB30,0))))</f>
        <v>0</v>
      </c>
      <c r="BY221" s="777" t="b">
        <f>IF('4 SUPERFICIES'!$A30&gt;61.5,IF('4 SUPERFICIES'!$A30&lt;71.6,IF('4 SUPERFICIES'!$C30&gt;85.5,IF('4 SUPERFICIES'!$C30&lt;113.6,'4 SUPERFICIES'!$AB30,0))))</f>
        <v>0</v>
      </c>
      <c r="BZ221" s="777" t="b">
        <f>IF('4 SUPERFICIES'!$A30&gt;61.5,IF('4 SUPERFICIES'!$A30&lt;71.6,IF('4 SUPERFICIES'!$C30&gt;113.5,IF('4 SUPERFICIES'!$C30&lt;141.6,'4 SUPERFICIES'!$AB30,0))))</f>
        <v>0</v>
      </c>
      <c r="CA221" s="777" t="b">
        <f>IF('4 SUPERFICIES'!$A30&gt;61.5,IF('4 SUPERFICIES'!$A30&lt;71.6,IF('4 SUPERFICIES'!$C30&gt;141.5,IF('4 SUPERFICIES'!$C30&lt;149.1,'4 SUPERFICIES'!$AB30,0))))</f>
        <v>0</v>
      </c>
      <c r="CB221" s="777" t="b">
        <f>IF('4 SUPERFICIES'!$A30&gt;61.5,IF('4 SUPERFICIES'!$A30&lt;71.6,IF('4 SUPERFICIES'!$C30&gt;149,IF('4 SUPERFICIES'!$C30&lt;163.1,'4 SUPERFICIES'!$AB30,0))))</f>
        <v>0</v>
      </c>
      <c r="CC221" s="777" t="b">
        <f>IF('4 SUPERFICIES'!$A30&gt;61.5,IF('4 SUPERFICIES'!$A30&lt;71.6,IF('4 SUPERFICIES'!$C30&gt;163,IF('4 SUPERFICIES'!$C30&lt;180.6,'4 SUPERFICIES'!$AB30,0))))</f>
        <v>0</v>
      </c>
      <c r="CD221" s="777" t="b">
        <f>IF('4 SUPERFICIES'!$A30&gt;61.5,IF('4 SUPERFICIES'!$A30&lt;71.6,IF('4 SUPERFICIES'!$C30&gt;180.5,IF('4 SUPERFICIES'!$C30&lt;240.1,'4 SUPERFICIES'!$AB30,0))))</f>
        <v>0</v>
      </c>
      <c r="CF221" s="777" t="b">
        <f>IF('4 SUPERFICIES'!$A30&gt;71.5,IF('4 SUPERFICIES'!$A30&lt;120.6,IF('4 SUPERFICIES'!$C30&gt;10,IF('4 SUPERFICIES'!$C30&lt;57.6,'4 SUPERFICIES'!$AB30,0))))</f>
        <v>0</v>
      </c>
      <c r="CG221" s="777" t="b">
        <f>IF('4 SUPERFICIES'!$A30&gt;71.5,IF('4 SUPERFICIES'!$A30&lt;120.6,IF('4 SUPERFICIES'!$C30&gt;57.6,IF('4 SUPERFICIES'!$C30&lt;71.6,'4 SUPERFICIES'!$AB30,0))))</f>
        <v>0</v>
      </c>
      <c r="CH221" s="777" t="b">
        <f>IF('4 SUPERFICIES'!$A30&gt;71.5,IF('4 SUPERFICIES'!$A30&lt;120.6,IF('4 SUPERFICIES'!$C30&gt;71.5,IF('4 SUPERFICIES'!$C30&lt;85.6,'4 SUPERFICIES'!$AB30,0))))</f>
        <v>0</v>
      </c>
      <c r="CI221" s="777" t="b">
        <f>IF('4 SUPERFICIES'!$A30&gt;71.5,IF('4 SUPERFICIES'!$A30&lt;120.6,IF('4 SUPERFICIES'!$C30&gt;85.5,IF('4 SUPERFICIES'!$C30&lt;113.6,'4 SUPERFICIES'!$AB30,0))))</f>
        <v>0</v>
      </c>
      <c r="CJ221" s="777" t="b">
        <f>IF('4 SUPERFICIES'!$A30&gt;71.5,IF('4 SUPERFICIES'!$A30&lt;120.6,IF('4 SUPERFICIES'!$C30&gt;113.5,IF('4 SUPERFICIES'!$C30&lt;141.6,'4 SUPERFICIES'!$AB30,0))))</f>
        <v>0</v>
      </c>
      <c r="CK221" s="777" t="b">
        <f>IF('4 SUPERFICIES'!$A30&gt;71.5,IF('4 SUPERFICIES'!$A30&lt;120.6,IF('4 SUPERFICIES'!$C30&gt;141.5,IF('4 SUPERFICIES'!$C30&lt;180.6,'4 SUPERFICIES'!$AB30,0))))</f>
        <v>0</v>
      </c>
      <c r="CL221" s="777" t="b">
        <f>IF('4 SUPERFICIES'!$A30&gt;71.5,IF('4 SUPERFICIES'!$A30&lt;120.6,IF('4 SUPERFICIES'!$C30&gt;180.5,IF('4 SUPERFICIES'!$C30&lt;240.1,'4 SUPERFICIES'!$AB30,0))))</f>
        <v>0</v>
      </c>
      <c r="CN221" s="777">
        <f>IF('4 SUPERFICIES'!$C30&lt;150,IF(OR('4 SUPERFICIES'!$A30="MICRODER",'4 SUPERFICIES'!$A30="MICRO DER",),'4 SUPERFICIES'!$AB30,0))</f>
        <v>0</v>
      </c>
      <c r="CO221" s="777" t="b">
        <f>IF('4 SUPERFICIES'!$C30&gt;149.5,IF(OR('4 SUPERFICIES'!$A30="MICRODER",'4 SUPERFICIES'!$A30="MICRO DER",),'4 SUPERFICIES'!$AB30,0))</f>
        <v>0</v>
      </c>
      <c r="CP221" s="847"/>
      <c r="CQ221" s="777">
        <f>IF('4 SUPERFICIES'!$C30&lt;150,IF(OR('4 SUPERFICIES'!$A30="MICROIZQ",'4 SUPERFICIES'!$A30="MICRO IZQ",),'4 SUPERFICIES'!$AB30,0))</f>
        <v>0</v>
      </c>
      <c r="CR221" s="777" t="b">
        <f>IF('4 SUPERFICIES'!$C30&gt;149.5,IF(OR('4 SUPERFICIES'!$A30="MICROIZQ",'4 SUPERFICIES'!$A30="MICRO IZQ",),'4 SUPERFICIES'!$AB30,0))</f>
        <v>0</v>
      </c>
      <c r="CT221" s="837">
        <f>IF(OR('4 SUPERFICIES'!$A30="MICRO SEN",'4 SUPERFICIES'!$A30="MICROSEN",),'4 SUPERFICIES'!$AB30,0)</f>
        <v>0</v>
      </c>
      <c r="CV221" s="837" t="b">
        <f>IF('4 SUPERFICIES'!$A30="DIAMETRO",IF('4 SUPERFICIES'!$C30&lt;121.1,'4 SUPERFICIES'!$AB30,0))</f>
        <v>0</v>
      </c>
      <c r="CX221" s="858"/>
      <c r="CZ221" s="837" t="b">
        <f>IF('4 SUPERFICIES'!$A30="MOSTRADOR",IF('4 SUPERFICIES'!$C30="R60",'4 SUPERFICIES'!$AB30,0))</f>
        <v>0</v>
      </c>
      <c r="DB221" s="837">
        <f>IF(OR('4 SUPERFICIES'!$A30="PORTA PRIN",'4 SUPERFICIES'!$A30="PORTAPRIN",),'4 SUPERFICIES'!$AB30,0)</f>
        <v>0</v>
      </c>
      <c r="DD221" s="837">
        <f>IF(OR('4 SUPERFICIES'!$A30="PORTA BADE",'4 SUPERFICIES'!$A30="PORTABADE",),'4 SUPERFICIES'!$AB30,0)</f>
        <v>0</v>
      </c>
      <c r="DE221" s="837"/>
      <c r="DF221" s="837">
        <f>IF(OR('4 SUPERFICIES'!$A30="RETORNO IZQ",'4 SUPERFICIES'!$A30="RETORNO DER",),'4 SUPERFICIES'!$AB130,0)</f>
        <v>0</v>
      </c>
      <c r="DG221" s="837"/>
      <c r="DH221" s="837">
        <f>IF(OR('4 SUPERFICIES'!$A30="PITO Q",'4 SUPERFICIES'!$A30="PITO P",'4 SUPERFICIES'!$A30="DIAMETRO INTEGRADA",),'4 SUPERFICIES'!$AB30,0)</f>
        <v>0</v>
      </c>
      <c r="DJ221" s="858"/>
      <c r="DK221" s="837"/>
      <c r="DL221" s="837">
        <f>IF('4 SUPERFICIES'!$A30="SUPERFICIE OVAL",'4 SUPERFICIES'!$AB30,0)</f>
        <v>0</v>
      </c>
      <c r="DN221" s="838"/>
      <c r="DO221" s="838"/>
      <c r="DP221" s="858"/>
      <c r="DQ221" s="858"/>
      <c r="DR221" s="858"/>
      <c r="DS221" s="858"/>
      <c r="DT221" s="858"/>
      <c r="DU221" s="858"/>
      <c r="DV221" s="858"/>
      <c r="DW221" s="838"/>
      <c r="DX221" s="858"/>
      <c r="DY221" s="858"/>
      <c r="DZ221" s="858"/>
      <c r="EA221" s="838"/>
      <c r="EB221" s="838"/>
      <c r="EC221" s="838"/>
      <c r="ED221" s="838"/>
      <c r="EE221" s="838"/>
      <c r="EG221" s="682">
        <f>IF('4 SUPERFICIES'!A30="MICRO DER",85,IF('4 SUPERFICIES'!A30="MICRO IZQ",85,IF('4 SUPERFICIES'!A30="MICRO SEN",170,IF('4 SUPERFICIES'!A30="DIAMETRO",3.14*'4 SUPERFICIES'!C30/2,IF('4 SUPERFICIES'!A30="MOSTRADOR",136,IF('4 SUPERFICIES'!A30="PORTA",65,IF('4 SUPERFICIES'!A30="PITO Q",90,IF('4 SUPERFICIES'!A30="PITO P",90,'4 SUPERFICIES'!A30))))))))</f>
        <v>0</v>
      </c>
      <c r="EH221" s="682"/>
      <c r="EI221" s="682">
        <f>IF('4 SUPERFICIES'!A30="DIAMETRO",0,IF('4 SUPERFICIES'!C30="PRINCIPAL",160,IF('4 SUPERFICIES'!C30="BADE",190,IF('4 SUPERFICIES'!C30="RETORNO",100,IF('4 SUPERFICIES'!C30="R 60",100,IF('4 SUPERFICIES'!C30="R60",100,'4 SUPERFICIES'!C30))))))</f>
        <v>0</v>
      </c>
      <c r="EJ221" s="682"/>
      <c r="EK221" s="682">
        <f>IF('4 SUPERFICIES'!$F30='4 SUPERFICIES'!$AG$15,((EG221*2)+(EI221*2))*'4 SUPERFICIES'!AB30,0)</f>
        <v>0</v>
      </c>
      <c r="EL221" s="682"/>
      <c r="EM221" s="682">
        <f>IF('4 SUPERFICIES'!$F30='4 SUPERFICIES'!$AG$16,((EG221*2)+(EI221*2))*'4 SUPERFICIES'!AB30,0)</f>
        <v>0</v>
      </c>
      <c r="EO221" s="682">
        <f>IF('4 SUPERFICIES'!$F30='4 SUPERFICIES'!$AG$17,((EG221*2)+(EI221*2))*'4 SUPERFICIES'!AB30,0)</f>
        <v>0</v>
      </c>
      <c r="EP221" s="838"/>
      <c r="EQ221" s="682">
        <f>IF('4 SUPERFICIES'!$F30='4 SUPERFICIES'!$AG$18,((EG221*2)+(EI221*2))*'4 SUPERFICIES'!AB30,0)</f>
        <v>0</v>
      </c>
      <c r="ER221" s="838"/>
      <c r="ES221" s="838"/>
      <c r="ET221" s="838"/>
      <c r="EU221" s="838"/>
      <c r="EV221" s="838"/>
      <c r="EW221" s="838"/>
      <c r="EX221" s="838"/>
      <c r="EY221" s="838"/>
      <c r="EZ221" s="838"/>
      <c r="FA221" s="858"/>
      <c r="FB221" s="858"/>
      <c r="FC221" s="858"/>
      <c r="FD221" s="858"/>
      <c r="FE221" s="858"/>
      <c r="FF221" s="858"/>
      <c r="FG221" s="858"/>
      <c r="FH221" s="858"/>
      <c r="FI221" s="858"/>
      <c r="FJ221" s="838"/>
      <c r="FK221" s="858"/>
      <c r="FL221" s="858"/>
      <c r="FM221" s="858"/>
      <c r="FN221" s="858"/>
      <c r="FO221" s="858"/>
      <c r="FP221" s="838"/>
      <c r="GM221" s="838"/>
      <c r="GN221" s="838"/>
      <c r="GO221" s="838"/>
      <c r="GP221" s="838"/>
      <c r="GQ221" s="838"/>
      <c r="GR221" s="838"/>
      <c r="GS221" s="838"/>
      <c r="HF221" s="700">
        <v>19.5</v>
      </c>
      <c r="HH221" s="591">
        <v>19.5</v>
      </c>
    </row>
    <row r="222" spans="1:216" ht="26.25" x14ac:dyDescent="0.4">
      <c r="A222" s="848">
        <f>IF(OR('5 ALMACEN '!$D$37="CURVOS",'5 ALMACEN '!$D$37="CURVO",'5 ALMACEN '!$D$37="CURVOS ",),'5 ALMACEN '!B42+'5 ALMACEN '!C42,0)</f>
        <v>0</v>
      </c>
      <c r="B222" s="874">
        <v>112</v>
      </c>
      <c r="C222" s="845"/>
      <c r="D222" s="843">
        <f>+(D230+D234+D238+D241)*D223</f>
        <v>0</v>
      </c>
      <c r="E222" s="843">
        <f>+(E230+E234+E238+E241)*E223</f>
        <v>0</v>
      </c>
      <c r="F222" s="843">
        <f>+(F230+F234+F238+F241)*F223</f>
        <v>0</v>
      </c>
      <c r="G222" s="843">
        <f>+(G230+G234+G238+G241)*G223</f>
        <v>0</v>
      </c>
      <c r="H222" s="777">
        <f>+G222+F222+E222+D222</f>
        <v>0</v>
      </c>
      <c r="AK222" s="777" t="b">
        <f>IF('4 SUPERFICIES'!$A31&gt;10,IF('4 SUPERFICIES'!$A31&lt;31.1,IF('4 SUPERFICIES'!$C31&gt;10,IF('4 SUPERFICIES'!$C31&lt;57.6,'4 SUPERFICIES'!$AB31,0))))</f>
        <v>0</v>
      </c>
      <c r="AL222" s="777" t="b">
        <f>IF('4 SUPERFICIES'!$A31&gt;10,IF('4 SUPERFICIES'!$A31&lt;31.1,IF('4 SUPERFICIES'!$C31&gt;57.6,IF('4 SUPERFICIES'!$C31&lt;71.6,'4 SUPERFICIES'!$AB31,0))))</f>
        <v>0</v>
      </c>
      <c r="AM222" s="777" t="b">
        <f>IF('4 SUPERFICIES'!$A31&gt;10,IF('4 SUPERFICIES'!$A31&lt;31.1,IF('4 SUPERFICIES'!$C31&gt;71.5,IF('4 SUPERFICIES'!$C31&lt;85.6,'4 SUPERFICIES'!$AB31,0))))</f>
        <v>0</v>
      </c>
      <c r="AN222" s="777" t="b">
        <f>IF('4 SUPERFICIES'!$A31&gt;10,IF('4 SUPERFICIES'!$A31&lt;31.1,IF('4 SUPERFICIES'!$C31&gt;85.5,IF('4 SUPERFICIES'!$C31&lt;113.6,'4 SUPERFICIES'!$AB31,0))))</f>
        <v>0</v>
      </c>
      <c r="AO222" s="777" t="b">
        <f>IF('4 SUPERFICIES'!$A31&gt;10,IF('4 SUPERFICIES'!$A31&lt;31.1,IF('4 SUPERFICIES'!$C31&gt;113.5,IF('4 SUPERFICIES'!$C31&lt;141.6,'4 SUPERFICIES'!$AB31,0))))</f>
        <v>0</v>
      </c>
      <c r="AP222" s="777" t="b">
        <f>IF('4 SUPERFICIES'!$A31&gt;10,IF('4 SUPERFICIES'!$A31&lt;31.1,IF('4 SUPERFICIES'!$C31&gt;141.5,IF('4 SUPERFICIES'!$C31&lt;180.6,'4 SUPERFICIES'!$AB31,0))))</f>
        <v>0</v>
      </c>
      <c r="AQ222" s="777" t="b">
        <f>IF('4 SUPERFICIES'!$A31&gt;10,IF('4 SUPERFICIES'!$A31&lt;31.1,IF('4 SUPERFICIES'!$C31&gt;180.5,IF('4 SUPERFICIES'!$C31&lt;240.1,'4 SUPERFICIES'!$AB31,0))))</f>
        <v>0</v>
      </c>
      <c r="AS222" s="777" t="b">
        <f>IF('4 SUPERFICIES'!$A31&gt;31,IF('4 SUPERFICIES'!$A31&lt;45.5,IF('4 SUPERFICIES'!$C31&gt;10,IF('4 SUPERFICIES'!$C31&lt;57.6,'4 SUPERFICIES'!$AB31,0))))</f>
        <v>0</v>
      </c>
      <c r="AT222" s="777" t="b">
        <f>IF('4 SUPERFICIES'!$A31&gt;31,IF('4 SUPERFICIES'!$A31&lt;45.5,IF('4 SUPERFICIES'!$C31&gt;57.6,IF('4 SUPERFICIES'!$C31&lt;71.6,'4 SUPERFICIES'!$AB31,0))))</f>
        <v>0</v>
      </c>
      <c r="AU222" s="777" t="b">
        <f>IF('4 SUPERFICIES'!$A31&gt;31,IF('4 SUPERFICIES'!$A31&lt;45.5,IF('4 SUPERFICIES'!$C31&gt;71.5,IF('4 SUPERFICIES'!$C31&lt;85.6,'4 SUPERFICIES'!$AB31,0))))</f>
        <v>0</v>
      </c>
      <c r="AV222" s="777" t="b">
        <f>IF('4 SUPERFICIES'!$A31&gt;31,IF('4 SUPERFICIES'!$A31&lt;45.5,IF('4 SUPERFICIES'!$C31&gt;85.5,IF('4 SUPERFICIES'!$C31&lt;113.6,'4 SUPERFICIES'!$AB31,0))))</f>
        <v>0</v>
      </c>
      <c r="AW222" s="777" t="b">
        <f>IF('4 SUPERFICIES'!$A31&gt;31,IF('4 SUPERFICIES'!$A31&lt;45.5,IF('4 SUPERFICIES'!$C31&gt;113.5,IF('4 SUPERFICIES'!$C31&lt;141.6,'4 SUPERFICIES'!$AB31,0))))</f>
        <v>0</v>
      </c>
      <c r="AX222" s="777" t="b">
        <f>IF('4 SUPERFICIES'!$A31&gt;31,IF('4 SUPERFICIES'!$A31&lt;45.5,IF('4 SUPERFICIES'!$C31&gt;141.5,IF('4 SUPERFICIES'!$C31&lt;180.6,'4 SUPERFICIES'!$AB31,0))))</f>
        <v>0</v>
      </c>
      <c r="AY222" s="777" t="b">
        <f>IF('4 SUPERFICIES'!$A31&gt;31,IF('4 SUPERFICIES'!$A31&lt;45.5,IF('4 SUPERFICIES'!$C31&gt;180.5,IF('4 SUPERFICIES'!$C31&lt;240.1,'4 SUPERFICIES'!$AB31,0))))</f>
        <v>0</v>
      </c>
      <c r="BA222" s="777" t="b">
        <f>IF('4 SUPERFICIES'!$A31&gt;45.4,IF('4 SUPERFICIES'!$A31&lt;61.6,IF('4 SUPERFICIES'!$C31&gt;10,IF('4 SUPERFICIES'!$C31&lt;61.5,'4 SUPERFICIES'!$AB31,0))))</f>
        <v>0</v>
      </c>
      <c r="BB222" s="777" t="b">
        <f>IF('4 SUPERFICIES'!$A31&gt;45.4,IF('4 SUPERFICIES'!$A31&lt;61.6,IF('4 SUPERFICIES'!$C31&gt;61.1,IF('4 SUPERFICIES'!$C31&lt;71.6,'4 SUPERFICIES'!$AB31,0))))</f>
        <v>0</v>
      </c>
      <c r="BC222" s="777" t="b">
        <f>IF('4 SUPERFICIES'!$A31&gt;45.4,IF('4 SUPERFICIES'!$A31&lt;61.6,IF('4 SUPERFICIES'!$C31&gt;71.5,IF('4 SUPERFICIES'!$C31&lt;85.6,'4 SUPERFICIES'!$AB31,0))))</f>
        <v>0</v>
      </c>
      <c r="BD222" s="777" t="b">
        <f>IF('4 SUPERFICIES'!$A31&gt;45.4,IF('4 SUPERFICIES'!$A31&lt;61.6,IF('4 SUPERFICIES'!$C31&gt;85.5,IF('4 SUPERFICIES'!$C31&lt;113.6,'4 SUPERFICIES'!$AB31,0))))</f>
        <v>0</v>
      </c>
      <c r="BE222" s="777" t="b">
        <f>IF('4 SUPERFICIES'!$A31&gt;45.4,IF('4 SUPERFICIES'!$A31&lt;61.6,IF('4 SUPERFICIES'!$C31&gt;113.5,IF('4 SUPERFICIES'!$C31&lt;121.6,'4 SUPERFICIES'!$AB31,0))))</f>
        <v>0</v>
      </c>
      <c r="BF222" s="777" t="b">
        <f>IF('4 SUPERFICIES'!$A31&gt;45.4,IF('4 SUPERFICIES'!$A31&lt;61.6,IF('4 SUPERFICIES'!$C31&gt;121.5,IF('4 SUPERFICIES'!$C31&lt;127.6,'4 SUPERFICIES'!$AB31,0))))</f>
        <v>0</v>
      </c>
      <c r="BG222" s="777" t="b">
        <f>IF('4 SUPERFICIES'!$A31&gt;45.4,IF('4 SUPERFICIES'!$A31&lt;61.6,IF('4 SUPERFICIES'!$C31&gt;127.5,IF('4 SUPERFICIES'!$C31&lt;135.1,'4 SUPERFICIES'!$AB31,0))))</f>
        <v>0</v>
      </c>
      <c r="BH222" s="777" t="b">
        <f>IF('4 SUPERFICIES'!$A31&gt;45.4,IF('4 SUPERFICIES'!$A31&lt;61.6,IF('4 SUPERFICIES'!$C31&gt;135,IF('4 SUPERFICIES'!$C31&lt;141.6,'4 SUPERFICIES'!$AB31,0))))</f>
        <v>0</v>
      </c>
      <c r="BI222" s="777" t="b">
        <f>IF('4 SUPERFICIES'!$A31&gt;45.4,IF('4 SUPERFICIES'!$A31&lt;61.6,IF('4 SUPERFICIES'!$C31&gt;141.5,IF('4 SUPERFICIES'!$C31&lt;149.1,'4 SUPERFICIES'!$AB31,0))))</f>
        <v>0</v>
      </c>
      <c r="BJ222" s="777" t="b">
        <f>IF('4 SUPERFICIES'!$A31&gt;45.4,IF('4 SUPERFICIES'!$A31&lt;61.6,IF('4 SUPERFICIES'!$C31&gt;149,IF('4 SUPERFICIES'!$C31&lt;155.6,'4 SUPERFICIES'!$AB31,0))))</f>
        <v>0</v>
      </c>
      <c r="BK222" s="777" t="b">
        <f>IF('4 SUPERFICIES'!$A31&gt;45.4,IF('4 SUPERFICIES'!$A31&lt;61.6,IF('4 SUPERFICIES'!$C31&gt;155.5,IF('4 SUPERFICIES'!$C31&lt;163.1,'4 SUPERFICIES'!$AB31,0))))</f>
        <v>0</v>
      </c>
      <c r="BL222" s="777" t="b">
        <f>IF('4 SUPERFICIES'!$A31&gt;45.4,IF('4 SUPERFICIES'!$A31&lt;61.6,IF('4 SUPERFICIES'!$C31&gt;163,IF('4 SUPERFICIES'!$C31&lt;180.6,'4 SUPERFICIES'!$AB31,0))))</f>
        <v>0</v>
      </c>
      <c r="BM222" s="777" t="b">
        <f>IF('4 SUPERFICIES'!$A31&gt;45.4,IF('4 SUPERFICIES'!$A31&lt;61.6,IF('4 SUPERFICIES'!$C31&gt;180.5,IF('4 SUPERFICIES'!$C31&lt;240.1,'4 SUPERFICIES'!$AB31,0))))</f>
        <v>0</v>
      </c>
      <c r="BO222" s="869" t="s">
        <v>542</v>
      </c>
      <c r="BQ222" s="870">
        <f>+$BK$250</f>
        <v>0</v>
      </c>
      <c r="BS222" s="869"/>
      <c r="BT222" s="870">
        <f>+$BK$251</f>
        <v>0</v>
      </c>
      <c r="BV222" s="777" t="b">
        <f>IF('4 SUPERFICIES'!$A31&gt;61.5,IF('4 SUPERFICIES'!$A31&lt;71.6,IF('4 SUPERFICIES'!$C31&gt;10,IF('4 SUPERFICIES'!$C31&lt;57.6,'4 SUPERFICIES'!$AB31,0))))</f>
        <v>0</v>
      </c>
      <c r="BW222" s="777" t="b">
        <f>IF('4 SUPERFICIES'!$A31&gt;61.5,IF('4 SUPERFICIES'!$A31&lt;71.6,IF('4 SUPERFICIES'!$C31&gt;57.6,IF('4 SUPERFICIES'!$C31&lt;71.6,'4 SUPERFICIES'!$AB31,0))))</f>
        <v>0</v>
      </c>
      <c r="BX222" s="777" t="b">
        <f>IF('4 SUPERFICIES'!$A31&gt;61.5,IF('4 SUPERFICIES'!$A31&lt;71.6,IF('4 SUPERFICIES'!$C31&gt;71.5,IF('4 SUPERFICIES'!$C31&lt;85.6,'4 SUPERFICIES'!$AB31,0))))</f>
        <v>0</v>
      </c>
      <c r="BY222" s="777" t="b">
        <f>IF('4 SUPERFICIES'!$A31&gt;61.5,IF('4 SUPERFICIES'!$A31&lt;71.6,IF('4 SUPERFICIES'!$C31&gt;85.5,IF('4 SUPERFICIES'!$C31&lt;113.6,'4 SUPERFICIES'!$AB31,0))))</f>
        <v>0</v>
      </c>
      <c r="BZ222" s="777" t="b">
        <f>IF('4 SUPERFICIES'!$A31&gt;61.5,IF('4 SUPERFICIES'!$A31&lt;71.6,IF('4 SUPERFICIES'!$C31&gt;113.5,IF('4 SUPERFICIES'!$C31&lt;141.6,'4 SUPERFICIES'!$AB31,0))))</f>
        <v>0</v>
      </c>
      <c r="CA222" s="777" t="b">
        <f>IF('4 SUPERFICIES'!$A31&gt;61.5,IF('4 SUPERFICIES'!$A31&lt;71.6,IF('4 SUPERFICIES'!$C31&gt;141.5,IF('4 SUPERFICIES'!$C31&lt;149.1,'4 SUPERFICIES'!$AB31,0))))</f>
        <v>0</v>
      </c>
      <c r="CB222" s="777" t="b">
        <f>IF('4 SUPERFICIES'!$A31&gt;61.5,IF('4 SUPERFICIES'!$A31&lt;71.6,IF('4 SUPERFICIES'!$C31&gt;149,IF('4 SUPERFICIES'!$C31&lt;163.1,'4 SUPERFICIES'!$AB31,0))))</f>
        <v>0</v>
      </c>
      <c r="CC222" s="777" t="b">
        <f>IF('4 SUPERFICIES'!$A31&gt;61.5,IF('4 SUPERFICIES'!$A31&lt;71.6,IF('4 SUPERFICIES'!$C31&gt;163,IF('4 SUPERFICIES'!$C31&lt;180.6,'4 SUPERFICIES'!$AB31,0))))</f>
        <v>0</v>
      </c>
      <c r="CD222" s="777" t="b">
        <f>IF('4 SUPERFICIES'!$A31&gt;61.5,IF('4 SUPERFICIES'!$A31&lt;71.6,IF('4 SUPERFICIES'!$C31&gt;180.5,IF('4 SUPERFICIES'!$C31&lt;240.1,'4 SUPERFICIES'!$AB31,0))))</f>
        <v>0</v>
      </c>
      <c r="CF222" s="777" t="b">
        <f>IF('4 SUPERFICIES'!$A31&gt;71.5,IF('4 SUPERFICIES'!$A31&lt;120.6,IF('4 SUPERFICIES'!$C31&gt;10,IF('4 SUPERFICIES'!$C31&lt;57.6,'4 SUPERFICIES'!$AB31,0))))</f>
        <v>0</v>
      </c>
      <c r="CG222" s="777" t="b">
        <f>IF('4 SUPERFICIES'!$A31&gt;71.5,IF('4 SUPERFICIES'!$A31&lt;120.6,IF('4 SUPERFICIES'!$C31&gt;57.6,IF('4 SUPERFICIES'!$C31&lt;71.6,'4 SUPERFICIES'!$AB31,0))))</f>
        <v>0</v>
      </c>
      <c r="CH222" s="777" t="b">
        <f>IF('4 SUPERFICIES'!$A31&gt;71.5,IF('4 SUPERFICIES'!$A31&lt;120.6,IF('4 SUPERFICIES'!$C31&gt;71.5,IF('4 SUPERFICIES'!$C31&lt;85.6,'4 SUPERFICIES'!$AB31,0))))</f>
        <v>0</v>
      </c>
      <c r="CI222" s="777" t="b">
        <f>IF('4 SUPERFICIES'!$A31&gt;71.5,IF('4 SUPERFICIES'!$A31&lt;120.6,IF('4 SUPERFICIES'!$C31&gt;85.5,IF('4 SUPERFICIES'!$C31&lt;113.6,'4 SUPERFICIES'!$AB31,0))))</f>
        <v>0</v>
      </c>
      <c r="CJ222" s="777" t="b">
        <f>IF('4 SUPERFICIES'!$A31&gt;71.5,IF('4 SUPERFICIES'!$A31&lt;120.6,IF('4 SUPERFICIES'!$C31&gt;113.5,IF('4 SUPERFICIES'!$C31&lt;141.6,'4 SUPERFICIES'!$AB31,0))))</f>
        <v>0</v>
      </c>
      <c r="CK222" s="777" t="b">
        <f>IF('4 SUPERFICIES'!$A31&gt;71.5,IF('4 SUPERFICIES'!$A31&lt;120.6,IF('4 SUPERFICIES'!$C31&gt;141.5,IF('4 SUPERFICIES'!$C31&lt;180.6,'4 SUPERFICIES'!$AB31,0))))</f>
        <v>0</v>
      </c>
      <c r="CL222" s="777" t="b">
        <f>IF('4 SUPERFICIES'!$A31&gt;71.5,IF('4 SUPERFICIES'!$A31&lt;120.6,IF('4 SUPERFICIES'!$C31&gt;180.5,IF('4 SUPERFICIES'!$C31&lt;240.1,'4 SUPERFICIES'!$AB31,0))))</f>
        <v>0</v>
      </c>
      <c r="CN222" s="777">
        <f>IF('4 SUPERFICIES'!$C31&lt;150,IF(OR('4 SUPERFICIES'!$A31="MICRODER",'4 SUPERFICIES'!$A31="MICRO DER",),'4 SUPERFICIES'!$AB31,0))</f>
        <v>0</v>
      </c>
      <c r="CO222" s="777" t="b">
        <f>IF('4 SUPERFICIES'!$C31&gt;149.5,IF(OR('4 SUPERFICIES'!$A31="MICRODER",'4 SUPERFICIES'!$A31="MICRO DER",),'4 SUPERFICIES'!$AB31,0))</f>
        <v>0</v>
      </c>
      <c r="CP222" s="847"/>
      <c r="CQ222" s="777">
        <f>IF('4 SUPERFICIES'!$C31&lt;150,IF(OR('4 SUPERFICIES'!$A31="MICROIZQ",'4 SUPERFICIES'!$A31="MICRO IZQ",),'4 SUPERFICIES'!$AB31,0))</f>
        <v>0</v>
      </c>
      <c r="CR222" s="777" t="b">
        <f>IF('4 SUPERFICIES'!$C31&gt;149.5,IF(OR('4 SUPERFICIES'!$A31="MICROIZQ",'4 SUPERFICIES'!$A31="MICRO IZQ",),'4 SUPERFICIES'!$AB31,0))</f>
        <v>0</v>
      </c>
      <c r="CT222" s="837">
        <f>IF(OR('4 SUPERFICIES'!$A31="MICRO SEN",'4 SUPERFICIES'!$A31="MICROSEN",),'4 SUPERFICIES'!$AB31,0)</f>
        <v>0</v>
      </c>
      <c r="CV222" s="837" t="b">
        <f>IF('4 SUPERFICIES'!$A31="DIAMETRO",IF('4 SUPERFICIES'!$C31&lt;121.1,'4 SUPERFICIES'!$AB31,0))</f>
        <v>0</v>
      </c>
      <c r="CX222" s="858"/>
      <c r="CZ222" s="837" t="b">
        <f>IF('4 SUPERFICIES'!$A31="MOSTRADOR",IF('4 SUPERFICIES'!$C31="R60",'4 SUPERFICIES'!$AB31,0))</f>
        <v>0</v>
      </c>
      <c r="DB222" s="837">
        <f>IF(OR('4 SUPERFICIES'!$A31="PORTA PRIN",'4 SUPERFICIES'!$A31="PORTAPRIN",),'4 SUPERFICIES'!$AB31,0)</f>
        <v>0</v>
      </c>
      <c r="DD222" s="837">
        <f>IF(OR('4 SUPERFICIES'!$A31="PORTA BADE",'4 SUPERFICIES'!$A31="PORTABADE",),'4 SUPERFICIES'!$AB31,0)</f>
        <v>0</v>
      </c>
      <c r="DE222" s="837"/>
      <c r="DF222" s="837">
        <f>IF(OR('4 SUPERFICIES'!$A31="RETORNO IZQ",'4 SUPERFICIES'!$A31="RETORNO DER",),'4 SUPERFICIES'!$AB131,0)</f>
        <v>0</v>
      </c>
      <c r="DG222" s="837"/>
      <c r="DH222" s="837">
        <f>IF(OR('4 SUPERFICIES'!$A31="PITO Q",'4 SUPERFICIES'!$A31="PITO P",'4 SUPERFICIES'!$A31="DIAMETRO INTEGRADA",),'4 SUPERFICIES'!$AB31,0)</f>
        <v>0</v>
      </c>
      <c r="DJ222" s="858"/>
      <c r="DK222" s="837"/>
      <c r="DL222" s="837">
        <f>IF('4 SUPERFICIES'!$A31="SUPERFICIE OVAL",'4 SUPERFICIES'!$AB31,0)</f>
        <v>0</v>
      </c>
      <c r="DN222" s="838"/>
      <c r="DO222" s="838"/>
      <c r="DP222" s="838"/>
      <c r="DQ222" s="855"/>
      <c r="DR222" s="838"/>
      <c r="DS222" s="1096"/>
      <c r="DT222" s="1096"/>
      <c r="DU222" s="838"/>
      <c r="DV222" s="999"/>
      <c r="DW222" s="838"/>
      <c r="DX222" s="838"/>
      <c r="DY222" s="855"/>
      <c r="DZ222" s="838"/>
      <c r="EA222" s="838"/>
      <c r="EB222" s="838"/>
      <c r="EC222" s="858"/>
      <c r="ED222" s="858"/>
      <c r="EE222" s="858"/>
      <c r="EG222" s="682">
        <f>IF('4 SUPERFICIES'!A31="MICRO DER",85,IF('4 SUPERFICIES'!A31="MICRO IZQ",85,IF('4 SUPERFICIES'!A31="MICRO SEN",170,IF('4 SUPERFICIES'!A31="DIAMETRO",3.14*'4 SUPERFICIES'!C31/2,IF('4 SUPERFICIES'!A31="MOSTRADOR",136,IF('4 SUPERFICIES'!A31="PORTA",65,IF('4 SUPERFICIES'!A31="PITO Q",90,IF('4 SUPERFICIES'!A31="PITO P",90,'4 SUPERFICIES'!A31))))))))</f>
        <v>0</v>
      </c>
      <c r="EH222" s="682"/>
      <c r="EI222" s="682">
        <f>IF('4 SUPERFICIES'!A31="DIAMETRO",0,IF('4 SUPERFICIES'!C31="PRINCIPAL",160,IF('4 SUPERFICIES'!C31="BADE",190,IF('4 SUPERFICIES'!C31="RETORNO",100,IF('4 SUPERFICIES'!C31="R 60",100,IF('4 SUPERFICIES'!C31="R60",100,'4 SUPERFICIES'!C31))))))</f>
        <v>0</v>
      </c>
      <c r="EJ222" s="682"/>
      <c r="EK222" s="682">
        <f>IF('4 SUPERFICIES'!$F31='4 SUPERFICIES'!$AG$15,((EG222*2)+(EI222*2))*'4 SUPERFICIES'!AB31,0)</f>
        <v>0</v>
      </c>
      <c r="EL222" s="682"/>
      <c r="EM222" s="682">
        <f>IF('4 SUPERFICIES'!$F31='4 SUPERFICIES'!$AG$16,((EG222*2)+(EI222*2))*'4 SUPERFICIES'!AB31,0)</f>
        <v>0</v>
      </c>
      <c r="EO222" s="682">
        <f>IF('4 SUPERFICIES'!$F31='4 SUPERFICIES'!$AG$17,((EG222*2)+(EI222*2))*'4 SUPERFICIES'!AB31,0)</f>
        <v>0</v>
      </c>
      <c r="EP222" s="858"/>
      <c r="EQ222" s="682">
        <f>IF('4 SUPERFICIES'!$F31='4 SUPERFICIES'!$AG$18,((EG222*2)+(EI222*2))*'4 SUPERFICIES'!AB31,0)</f>
        <v>0</v>
      </c>
      <c r="ER222" s="858"/>
      <c r="ES222" s="858"/>
      <c r="ET222" s="858"/>
      <c r="EU222" s="858"/>
      <c r="EV222" s="858"/>
      <c r="EW222" s="838"/>
      <c r="EX222" s="838"/>
      <c r="EY222" s="838"/>
      <c r="EZ222" s="838"/>
      <c r="FA222" s="838"/>
      <c r="FB222" s="855"/>
      <c r="FC222" s="838"/>
      <c r="FD222" s="1096"/>
      <c r="FE222" s="1096"/>
      <c r="FF222" s="1096"/>
      <c r="FG222" s="1096"/>
      <c r="FH222" s="838"/>
      <c r="FI222" s="999"/>
      <c r="FJ222" s="838"/>
      <c r="FK222" s="838"/>
      <c r="FL222" s="855"/>
      <c r="FM222" s="838"/>
      <c r="FN222" s="1096"/>
      <c r="FO222" s="1096"/>
      <c r="FP222" s="838"/>
      <c r="GM222" s="1081"/>
      <c r="GN222" s="855"/>
      <c r="GO222" s="1098"/>
      <c r="GP222" s="855"/>
      <c r="GQ222" s="1098"/>
      <c r="GR222" s="838"/>
      <c r="GS222" s="838"/>
      <c r="HF222" s="700">
        <v>20</v>
      </c>
      <c r="HH222" s="591">
        <v>20</v>
      </c>
    </row>
    <row r="223" spans="1:216" ht="26.25" x14ac:dyDescent="0.4">
      <c r="A223" s="848" t="s">
        <v>808</v>
      </c>
      <c r="B223" s="874"/>
      <c r="C223" s="845"/>
      <c r="D223" s="850">
        <f>1/44</f>
        <v>2.2727272727272728E-2</v>
      </c>
      <c r="E223" s="851">
        <f>1/36</f>
        <v>2.7777777777777776E-2</v>
      </c>
      <c r="F223" s="851">
        <f>1/27</f>
        <v>3.7037037037037035E-2</v>
      </c>
      <c r="G223" s="875">
        <f>1/22</f>
        <v>4.5454545454545456E-2</v>
      </c>
      <c r="AK223" s="777" t="b">
        <f>IF('4 SUPERFICIES'!$A32&gt;10,IF('4 SUPERFICIES'!$A32&lt;31.1,IF('4 SUPERFICIES'!$C32&gt;10,IF('4 SUPERFICIES'!$C32&lt;57.6,'4 SUPERFICIES'!$AB32,0))))</f>
        <v>0</v>
      </c>
      <c r="AL223" s="777" t="b">
        <f>IF('4 SUPERFICIES'!$A32&gt;10,IF('4 SUPERFICIES'!$A32&lt;31.1,IF('4 SUPERFICIES'!$C32&gt;57.6,IF('4 SUPERFICIES'!$C32&lt;71.6,'4 SUPERFICIES'!$AB32,0))))</f>
        <v>0</v>
      </c>
      <c r="AM223" s="777" t="b">
        <f>IF('4 SUPERFICIES'!$A32&gt;10,IF('4 SUPERFICIES'!$A32&lt;31.1,IF('4 SUPERFICIES'!$C32&gt;71.5,IF('4 SUPERFICIES'!$C32&lt;85.6,'4 SUPERFICIES'!$AB32,0))))</f>
        <v>0</v>
      </c>
      <c r="AN223" s="777" t="b">
        <f>IF('4 SUPERFICIES'!$A32&gt;10,IF('4 SUPERFICIES'!$A32&lt;31.1,IF('4 SUPERFICIES'!$C32&gt;85.5,IF('4 SUPERFICIES'!$C32&lt;113.6,'4 SUPERFICIES'!$AB32,0))))</f>
        <v>0</v>
      </c>
      <c r="AO223" s="777" t="b">
        <f>IF('4 SUPERFICIES'!$A32&gt;10,IF('4 SUPERFICIES'!$A32&lt;31.1,IF('4 SUPERFICIES'!$C32&gt;113.5,IF('4 SUPERFICIES'!$C32&lt;141.6,'4 SUPERFICIES'!$AB32,0))))</f>
        <v>0</v>
      </c>
      <c r="AP223" s="777" t="b">
        <f>IF('4 SUPERFICIES'!$A32&gt;10,IF('4 SUPERFICIES'!$A32&lt;31.1,IF('4 SUPERFICIES'!$C32&gt;141.5,IF('4 SUPERFICIES'!$C32&lt;180.6,'4 SUPERFICIES'!$AB32,0))))</f>
        <v>0</v>
      </c>
      <c r="AQ223" s="777" t="b">
        <f>IF('4 SUPERFICIES'!$A32&gt;10,IF('4 SUPERFICIES'!$A32&lt;31.1,IF('4 SUPERFICIES'!$C32&gt;180.5,IF('4 SUPERFICIES'!$C32&lt;240.1,'4 SUPERFICIES'!$AB32,0))))</f>
        <v>0</v>
      </c>
      <c r="AS223" s="777" t="b">
        <f>IF('4 SUPERFICIES'!$A32&gt;31,IF('4 SUPERFICIES'!$A32&lt;45.5,IF('4 SUPERFICIES'!$C32&gt;10,IF('4 SUPERFICIES'!$C32&lt;57.6,'4 SUPERFICIES'!$AB32,0))))</f>
        <v>0</v>
      </c>
      <c r="AT223" s="777" t="b">
        <f>IF('4 SUPERFICIES'!$A32&gt;31,IF('4 SUPERFICIES'!$A32&lt;45.5,IF('4 SUPERFICIES'!$C32&gt;57.6,IF('4 SUPERFICIES'!$C32&lt;71.6,'4 SUPERFICIES'!$AB32,0))))</f>
        <v>0</v>
      </c>
      <c r="AU223" s="777" t="b">
        <f>IF('4 SUPERFICIES'!$A32&gt;31,IF('4 SUPERFICIES'!$A32&lt;45.5,IF('4 SUPERFICIES'!$C32&gt;71.5,IF('4 SUPERFICIES'!$C32&lt;85.6,'4 SUPERFICIES'!$AB32,0))))</f>
        <v>0</v>
      </c>
      <c r="AV223" s="777" t="b">
        <f>IF('4 SUPERFICIES'!$A32&gt;31,IF('4 SUPERFICIES'!$A32&lt;45.5,IF('4 SUPERFICIES'!$C32&gt;85.5,IF('4 SUPERFICIES'!$C32&lt;113.6,'4 SUPERFICIES'!$AB32,0))))</f>
        <v>0</v>
      </c>
      <c r="AW223" s="777" t="b">
        <f>IF('4 SUPERFICIES'!$A32&gt;31,IF('4 SUPERFICIES'!$A32&lt;45.5,IF('4 SUPERFICIES'!$C32&gt;113.5,IF('4 SUPERFICIES'!$C32&lt;141.6,'4 SUPERFICIES'!$AB32,0))))</f>
        <v>0</v>
      </c>
      <c r="AX223" s="777" t="b">
        <f>IF('4 SUPERFICIES'!$A32&gt;31,IF('4 SUPERFICIES'!$A32&lt;45.5,IF('4 SUPERFICIES'!$C32&gt;141.5,IF('4 SUPERFICIES'!$C32&lt;180.6,'4 SUPERFICIES'!$AB32,0))))</f>
        <v>0</v>
      </c>
      <c r="AY223" s="777" t="b">
        <f>IF('4 SUPERFICIES'!$A32&gt;31,IF('4 SUPERFICIES'!$A32&lt;45.5,IF('4 SUPERFICIES'!$C32&gt;180.5,IF('4 SUPERFICIES'!$C32&lt;240.1,'4 SUPERFICIES'!$AB32,0))))</f>
        <v>0</v>
      </c>
      <c r="BA223" s="777" t="b">
        <f>IF('4 SUPERFICIES'!$A32&gt;45.4,IF('4 SUPERFICIES'!$A32&lt;61.6,IF('4 SUPERFICIES'!$C32&gt;10,IF('4 SUPERFICIES'!$C32&lt;61.5,'4 SUPERFICIES'!$AB32,0))))</f>
        <v>0</v>
      </c>
      <c r="BB223" s="777" t="b">
        <f>IF('4 SUPERFICIES'!$A32&gt;45.4,IF('4 SUPERFICIES'!$A32&lt;61.6,IF('4 SUPERFICIES'!$C32&gt;61.1,IF('4 SUPERFICIES'!$C32&lt;71.6,'4 SUPERFICIES'!$AB32,0))))</f>
        <v>0</v>
      </c>
      <c r="BC223" s="777" t="b">
        <f>IF('4 SUPERFICIES'!$A32&gt;45.4,IF('4 SUPERFICIES'!$A32&lt;61.6,IF('4 SUPERFICIES'!$C32&gt;71.5,IF('4 SUPERFICIES'!$C32&lt;85.6,'4 SUPERFICIES'!$AB32,0))))</f>
        <v>0</v>
      </c>
      <c r="BD223" s="777" t="b">
        <f>IF('4 SUPERFICIES'!$A32&gt;45.4,IF('4 SUPERFICIES'!$A32&lt;61.6,IF('4 SUPERFICIES'!$C32&gt;85.5,IF('4 SUPERFICIES'!$C32&lt;113.6,'4 SUPERFICIES'!$AB32,0))))</f>
        <v>0</v>
      </c>
      <c r="BE223" s="777" t="b">
        <f>IF('4 SUPERFICIES'!$A32&gt;45.4,IF('4 SUPERFICIES'!$A32&lt;61.6,IF('4 SUPERFICIES'!$C32&gt;113.5,IF('4 SUPERFICIES'!$C32&lt;121.6,'4 SUPERFICIES'!$AB32,0))))</f>
        <v>0</v>
      </c>
      <c r="BF223" s="777" t="b">
        <f>IF('4 SUPERFICIES'!$A32&gt;45.4,IF('4 SUPERFICIES'!$A32&lt;61.6,IF('4 SUPERFICIES'!$C32&gt;121.5,IF('4 SUPERFICIES'!$C32&lt;127.6,'4 SUPERFICIES'!$AB32,0))))</f>
        <v>0</v>
      </c>
      <c r="BG223" s="777" t="b">
        <f>IF('4 SUPERFICIES'!$A32&gt;45.4,IF('4 SUPERFICIES'!$A32&lt;61.6,IF('4 SUPERFICIES'!$C32&gt;127.5,IF('4 SUPERFICIES'!$C32&lt;135.1,'4 SUPERFICIES'!$AB32,0))))</f>
        <v>0</v>
      </c>
      <c r="BH223" s="777" t="b">
        <f>IF('4 SUPERFICIES'!$A32&gt;45.4,IF('4 SUPERFICIES'!$A32&lt;61.6,IF('4 SUPERFICIES'!$C32&gt;135,IF('4 SUPERFICIES'!$C32&lt;141.6,'4 SUPERFICIES'!$AB32,0))))</f>
        <v>0</v>
      </c>
      <c r="BI223" s="777" t="b">
        <f>IF('4 SUPERFICIES'!$A32&gt;45.4,IF('4 SUPERFICIES'!$A32&lt;61.6,IF('4 SUPERFICIES'!$C32&gt;141.5,IF('4 SUPERFICIES'!$C32&lt;149.1,'4 SUPERFICIES'!$AB32,0))))</f>
        <v>0</v>
      </c>
      <c r="BJ223" s="777" t="b">
        <f>IF('4 SUPERFICIES'!$A32&gt;45.4,IF('4 SUPERFICIES'!$A32&lt;61.6,IF('4 SUPERFICIES'!$C32&gt;149,IF('4 SUPERFICIES'!$C32&lt;155.6,'4 SUPERFICIES'!$AB32,0))))</f>
        <v>0</v>
      </c>
      <c r="BK223" s="777" t="b">
        <f>IF('4 SUPERFICIES'!$A32&gt;45.4,IF('4 SUPERFICIES'!$A32&lt;61.6,IF('4 SUPERFICIES'!$C32&gt;155.5,IF('4 SUPERFICIES'!$C32&lt;163.1,'4 SUPERFICIES'!$AB32,0))))</f>
        <v>0</v>
      </c>
      <c r="BL223" s="777" t="b">
        <f>IF('4 SUPERFICIES'!$A32&gt;45.4,IF('4 SUPERFICIES'!$A32&lt;61.6,IF('4 SUPERFICIES'!$C32&gt;163,IF('4 SUPERFICIES'!$C32&lt;180.6,'4 SUPERFICIES'!$AB32,0))))</f>
        <v>0</v>
      </c>
      <c r="BM223" s="777" t="b">
        <f>IF('4 SUPERFICIES'!$A32&gt;45.4,IF('4 SUPERFICIES'!$A32&lt;61.6,IF('4 SUPERFICIES'!$C32&gt;180.5,IF('4 SUPERFICIES'!$C32&lt;240.1,'4 SUPERFICIES'!$AB32,0))))</f>
        <v>0</v>
      </c>
      <c r="BO223" s="869" t="s">
        <v>543</v>
      </c>
      <c r="BQ223" s="870">
        <f>($AP$250+$AQ$250)/2+($AX$250+$AY$250)+($BL$250+$BM$250)+($CK$250+$CL$250)*2</f>
        <v>0</v>
      </c>
      <c r="BS223" s="869"/>
      <c r="BT223" s="870">
        <f>($AP$251+$AQ$251)/2+($AX$251+$AY$251)+($BL$251+$BM$251)+($CK$251+$CL$251)*2</f>
        <v>0</v>
      </c>
      <c r="BV223" s="777" t="b">
        <f>IF('4 SUPERFICIES'!$A32&gt;61.5,IF('4 SUPERFICIES'!$A32&lt;71.6,IF('4 SUPERFICIES'!$C32&gt;10,IF('4 SUPERFICIES'!$C32&lt;57.6,'4 SUPERFICIES'!$AB32,0))))</f>
        <v>0</v>
      </c>
      <c r="BW223" s="777" t="b">
        <f>IF('4 SUPERFICIES'!$A32&gt;61.5,IF('4 SUPERFICIES'!$A32&lt;71.6,IF('4 SUPERFICIES'!$C32&gt;57.6,IF('4 SUPERFICIES'!$C32&lt;71.6,'4 SUPERFICIES'!$AB32,0))))</f>
        <v>0</v>
      </c>
      <c r="BX223" s="777" t="b">
        <f>IF('4 SUPERFICIES'!$A32&gt;61.5,IF('4 SUPERFICIES'!$A32&lt;71.6,IF('4 SUPERFICIES'!$C32&gt;71.5,IF('4 SUPERFICIES'!$C32&lt;85.6,'4 SUPERFICIES'!$AB32,0))))</f>
        <v>0</v>
      </c>
      <c r="BY223" s="777" t="b">
        <f>IF('4 SUPERFICIES'!$A32&gt;61.5,IF('4 SUPERFICIES'!$A32&lt;71.6,IF('4 SUPERFICIES'!$C32&gt;85.5,IF('4 SUPERFICIES'!$C32&lt;113.6,'4 SUPERFICIES'!$AB32,0))))</f>
        <v>0</v>
      </c>
      <c r="BZ223" s="777" t="b">
        <f>IF('4 SUPERFICIES'!$A32&gt;61.5,IF('4 SUPERFICIES'!$A32&lt;71.6,IF('4 SUPERFICIES'!$C32&gt;113.5,IF('4 SUPERFICIES'!$C32&lt;141.6,'4 SUPERFICIES'!$AB32,0))))</f>
        <v>0</v>
      </c>
      <c r="CA223" s="777" t="b">
        <f>IF('4 SUPERFICIES'!$A32&gt;61.5,IF('4 SUPERFICIES'!$A32&lt;71.6,IF('4 SUPERFICIES'!$C32&gt;141.5,IF('4 SUPERFICIES'!$C32&lt;149.1,'4 SUPERFICIES'!$AB32,0))))</f>
        <v>0</v>
      </c>
      <c r="CB223" s="777" t="b">
        <f>IF('4 SUPERFICIES'!$A32&gt;61.5,IF('4 SUPERFICIES'!$A32&lt;71.6,IF('4 SUPERFICIES'!$C32&gt;149,IF('4 SUPERFICIES'!$C32&lt;163.1,'4 SUPERFICIES'!$AB32,0))))</f>
        <v>0</v>
      </c>
      <c r="CC223" s="777" t="b">
        <f>IF('4 SUPERFICIES'!$A32&gt;61.5,IF('4 SUPERFICIES'!$A32&lt;71.6,IF('4 SUPERFICIES'!$C32&gt;163,IF('4 SUPERFICIES'!$C32&lt;180.6,'4 SUPERFICIES'!$AB32,0))))</f>
        <v>0</v>
      </c>
      <c r="CD223" s="777" t="b">
        <f>IF('4 SUPERFICIES'!$A32&gt;61.5,IF('4 SUPERFICIES'!$A32&lt;71.6,IF('4 SUPERFICIES'!$C32&gt;180.5,IF('4 SUPERFICIES'!$C32&lt;240.1,'4 SUPERFICIES'!$AB32,0))))</f>
        <v>0</v>
      </c>
      <c r="CF223" s="777" t="b">
        <f>IF('4 SUPERFICIES'!$A32&gt;71.5,IF('4 SUPERFICIES'!$A32&lt;120.6,IF('4 SUPERFICIES'!$C32&gt;10,IF('4 SUPERFICIES'!$C32&lt;57.6,'4 SUPERFICIES'!$AB32,0))))</f>
        <v>0</v>
      </c>
      <c r="CG223" s="777" t="b">
        <f>IF('4 SUPERFICIES'!$A32&gt;71.5,IF('4 SUPERFICIES'!$A32&lt;120.6,IF('4 SUPERFICIES'!$C32&gt;57.6,IF('4 SUPERFICIES'!$C32&lt;71.6,'4 SUPERFICIES'!$AB32,0))))</f>
        <v>0</v>
      </c>
      <c r="CH223" s="777" t="b">
        <f>IF('4 SUPERFICIES'!$A32&gt;71.5,IF('4 SUPERFICIES'!$A32&lt;120.6,IF('4 SUPERFICIES'!$C32&gt;71.5,IF('4 SUPERFICIES'!$C32&lt;85.6,'4 SUPERFICIES'!$AB32,0))))</f>
        <v>0</v>
      </c>
      <c r="CI223" s="777" t="b">
        <f>IF('4 SUPERFICIES'!$A32&gt;71.5,IF('4 SUPERFICIES'!$A32&lt;120.6,IF('4 SUPERFICIES'!$C32&gt;85.5,IF('4 SUPERFICIES'!$C32&lt;113.6,'4 SUPERFICIES'!$AB32,0))))</f>
        <v>0</v>
      </c>
      <c r="CJ223" s="777" t="b">
        <f>IF('4 SUPERFICIES'!$A32&gt;71.5,IF('4 SUPERFICIES'!$A32&lt;120.6,IF('4 SUPERFICIES'!$C32&gt;113.5,IF('4 SUPERFICIES'!$C32&lt;141.6,'4 SUPERFICIES'!$AB32,0))))</f>
        <v>0</v>
      </c>
      <c r="CK223" s="777" t="b">
        <f>IF('4 SUPERFICIES'!$A32&gt;71.5,IF('4 SUPERFICIES'!$A32&lt;120.6,IF('4 SUPERFICIES'!$C32&gt;141.5,IF('4 SUPERFICIES'!$C32&lt;180.6,'4 SUPERFICIES'!$AB32,0))))</f>
        <v>0</v>
      </c>
      <c r="CL223" s="777" t="b">
        <f>IF('4 SUPERFICIES'!$A32&gt;71.5,IF('4 SUPERFICIES'!$A32&lt;120.6,IF('4 SUPERFICIES'!$C32&gt;180.5,IF('4 SUPERFICIES'!$C32&lt;240.1,'4 SUPERFICIES'!$AB32,0))))</f>
        <v>0</v>
      </c>
      <c r="CN223" s="777">
        <f>IF('4 SUPERFICIES'!$C32&lt;150,IF(OR('4 SUPERFICIES'!$A32="MICRODER",'4 SUPERFICIES'!$A32="MICRO DER",),'4 SUPERFICIES'!$AB32,0))</f>
        <v>0</v>
      </c>
      <c r="CO223" s="777" t="b">
        <f>IF('4 SUPERFICIES'!$C32&gt;149.5,IF(OR('4 SUPERFICIES'!$A32="MICRODER",'4 SUPERFICIES'!$A32="MICRO DER",),'4 SUPERFICIES'!$AB32,0))</f>
        <v>0</v>
      </c>
      <c r="CP223" s="847"/>
      <c r="CQ223" s="777">
        <f>IF('4 SUPERFICIES'!$C32&lt;150,IF(OR('4 SUPERFICIES'!$A32="MICROIZQ",'4 SUPERFICIES'!$A32="MICRO IZQ",),'4 SUPERFICIES'!$AB32,0))</f>
        <v>0</v>
      </c>
      <c r="CR223" s="777" t="b">
        <f>IF('4 SUPERFICIES'!$C32&gt;149.5,IF(OR('4 SUPERFICIES'!$A32="MICROIZQ",'4 SUPERFICIES'!$A32="MICRO IZQ",),'4 SUPERFICIES'!$AB32,0))</f>
        <v>0</v>
      </c>
      <c r="CT223" s="837">
        <f>IF(OR('4 SUPERFICIES'!$A32="MICRO SEN",'4 SUPERFICIES'!$A32="MICROSEN",),'4 SUPERFICIES'!$AB32,0)</f>
        <v>0</v>
      </c>
      <c r="CV223" s="837" t="b">
        <f>IF('4 SUPERFICIES'!$A32="DIAMETRO",IF('4 SUPERFICIES'!$C32&lt;121.1,'4 SUPERFICIES'!$AB32,0))</f>
        <v>0</v>
      </c>
      <c r="CX223" s="858"/>
      <c r="CZ223" s="837" t="b">
        <f>IF('4 SUPERFICIES'!$A32="MOSTRADOR",IF('4 SUPERFICIES'!$C32="R60",'4 SUPERFICIES'!$AB32,0))</f>
        <v>0</v>
      </c>
      <c r="DB223" s="837">
        <f>IF(OR('4 SUPERFICIES'!$A32="PORTA PRIN",'4 SUPERFICIES'!$A32="PORTAPRIN",),'4 SUPERFICIES'!$AB32,0)</f>
        <v>0</v>
      </c>
      <c r="DD223" s="837">
        <f>IF(OR('4 SUPERFICIES'!$A32="PORTA BADE",'4 SUPERFICIES'!$A32="PORTABADE",),'4 SUPERFICIES'!$AB32,0)</f>
        <v>0</v>
      </c>
      <c r="DE223" s="837"/>
      <c r="DF223" s="837">
        <f>IF(OR('4 SUPERFICIES'!$A32="RETORNO IZQ",'4 SUPERFICIES'!$A32="RETORNO DER",),'4 SUPERFICIES'!$AB132,0)</f>
        <v>0</v>
      </c>
      <c r="DG223" s="837"/>
      <c r="DH223" s="837">
        <f>IF(OR('4 SUPERFICIES'!$A32="PITO Q",'4 SUPERFICIES'!$A32="PITO P",'4 SUPERFICIES'!$A32="DIAMETRO INTEGRADA",),'4 SUPERFICIES'!$AB32,0)</f>
        <v>0</v>
      </c>
      <c r="DJ223" s="858"/>
      <c r="DK223" s="837"/>
      <c r="DL223" s="837">
        <f>IF('4 SUPERFICIES'!$A32="SUPERFICIE OVAL",'4 SUPERFICIES'!$AB32,0)</f>
        <v>0</v>
      </c>
      <c r="DN223" s="838"/>
      <c r="DO223" s="838"/>
      <c r="DP223" s="838"/>
      <c r="DQ223" s="838"/>
      <c r="DR223" s="838"/>
      <c r="DS223" s="838"/>
      <c r="DT223" s="838"/>
      <c r="DU223" s="838"/>
      <c r="DV223" s="838"/>
      <c r="DW223" s="838"/>
      <c r="DX223" s="838"/>
      <c r="DY223" s="838"/>
      <c r="DZ223" s="838"/>
      <c r="EA223" s="838"/>
      <c r="EB223" s="838"/>
      <c r="EC223" s="853"/>
      <c r="ED223" s="853"/>
      <c r="EE223" s="853"/>
      <c r="EG223" s="682">
        <f>IF('4 SUPERFICIES'!A32="MICRO DER",85,IF('4 SUPERFICIES'!A32="MICRO IZQ",85,IF('4 SUPERFICIES'!A32="MICRO SEN",170,IF('4 SUPERFICIES'!A32="DIAMETRO",3.14*'4 SUPERFICIES'!C32/2,IF('4 SUPERFICIES'!A32="MOSTRADOR",136,IF('4 SUPERFICIES'!A32="PORTA",65,IF('4 SUPERFICIES'!A32="PITO Q",90,IF('4 SUPERFICIES'!A32="PITO P",90,'4 SUPERFICIES'!A32))))))))</f>
        <v>0</v>
      </c>
      <c r="EH223" s="682"/>
      <c r="EI223" s="682">
        <f>IF('4 SUPERFICIES'!A32="DIAMETRO",0,IF('4 SUPERFICIES'!C32="PRINCIPAL",160,IF('4 SUPERFICIES'!C32="BADE",190,IF('4 SUPERFICIES'!C32="RETORNO",100,IF('4 SUPERFICIES'!C32="R 60",100,IF('4 SUPERFICIES'!C32="R60",100,'4 SUPERFICIES'!C32))))))</f>
        <v>0</v>
      </c>
      <c r="EJ223" s="682"/>
      <c r="EK223" s="682">
        <f>IF('4 SUPERFICIES'!$F32='4 SUPERFICIES'!$AG$15,((EG223*2)+(EI223*2))*'4 SUPERFICIES'!AB32,0)</f>
        <v>0</v>
      </c>
      <c r="EL223" s="682"/>
      <c r="EM223" s="682">
        <f>IF('4 SUPERFICIES'!$F32='4 SUPERFICIES'!$AG$16,((EG223*2)+(EI223*2))*'4 SUPERFICIES'!AB32,0)</f>
        <v>0</v>
      </c>
      <c r="EO223" s="682">
        <f>IF('4 SUPERFICIES'!$F32='4 SUPERFICIES'!$AG$17,((EG223*2)+(EI223*2))*'4 SUPERFICIES'!AB32,0)</f>
        <v>0</v>
      </c>
      <c r="EP223" s="838"/>
      <c r="EQ223" s="682">
        <f>IF('4 SUPERFICIES'!$F32='4 SUPERFICIES'!$AG$18,((EG223*2)+(EI223*2))*'4 SUPERFICIES'!AB32,0)</f>
        <v>0</v>
      </c>
      <c r="ER223" s="838"/>
      <c r="ES223" s="838"/>
      <c r="ET223" s="838"/>
      <c r="EU223" s="838"/>
      <c r="EV223" s="838"/>
      <c r="EW223" s="838"/>
      <c r="EX223" s="838"/>
      <c r="EY223" s="838"/>
      <c r="EZ223" s="838"/>
      <c r="FA223" s="838"/>
      <c r="FB223" s="838"/>
      <c r="FC223" s="838"/>
      <c r="FD223" s="838"/>
      <c r="FE223" s="838"/>
      <c r="FF223" s="838"/>
      <c r="FG223" s="838"/>
      <c r="FH223" s="838"/>
      <c r="FI223" s="838"/>
      <c r="FJ223" s="838"/>
      <c r="FK223" s="838"/>
      <c r="FL223" s="838"/>
      <c r="FM223" s="838"/>
      <c r="FN223" s="838"/>
      <c r="FO223" s="838"/>
      <c r="FP223" s="838"/>
      <c r="GM223" s="858"/>
      <c r="GN223" s="838"/>
      <c r="GO223" s="858"/>
      <c r="GP223" s="858"/>
      <c r="GQ223" s="858"/>
      <c r="GR223" s="838"/>
      <c r="GS223" s="838"/>
      <c r="HF223" s="700">
        <v>20.5</v>
      </c>
      <c r="HH223" s="591">
        <v>20.5</v>
      </c>
    </row>
    <row r="224" spans="1:216" ht="26.25" x14ac:dyDescent="0.4">
      <c r="A224" s="848">
        <f>IF(OR('5 ALMACEN '!$D$37="TIPO B",'5 ALMACEN '!$D$37="TIPOB",'5 ALMACEN '!$D$37="TIPO B  ",),'5 ALMACEN '!B39+'5 ALMACEN '!C39,0)</f>
        <v>0</v>
      </c>
      <c r="B224" s="874">
        <v>56</v>
      </c>
      <c r="C224" s="845"/>
      <c r="D224" s="845"/>
      <c r="E224" s="845"/>
      <c r="F224" s="845"/>
      <c r="G224" s="845"/>
      <c r="AK224" s="777" t="b">
        <f>IF('4 SUPERFICIES'!$A33&gt;10,IF('4 SUPERFICIES'!$A33&lt;31.1,IF('4 SUPERFICIES'!$C33&gt;10,IF('4 SUPERFICIES'!$C33&lt;57.6,'4 SUPERFICIES'!$AB33,0))))</f>
        <v>0</v>
      </c>
      <c r="AL224" s="777" t="b">
        <f>IF('4 SUPERFICIES'!$A33&gt;10,IF('4 SUPERFICIES'!$A33&lt;31.1,IF('4 SUPERFICIES'!$C33&gt;57.6,IF('4 SUPERFICIES'!$C33&lt;71.6,'4 SUPERFICIES'!$AB33,0))))</f>
        <v>0</v>
      </c>
      <c r="AM224" s="777" t="b">
        <f>IF('4 SUPERFICIES'!$A33&gt;10,IF('4 SUPERFICIES'!$A33&lt;31.1,IF('4 SUPERFICIES'!$C33&gt;71.5,IF('4 SUPERFICIES'!$C33&lt;85.6,'4 SUPERFICIES'!$AB33,0))))</f>
        <v>0</v>
      </c>
      <c r="AN224" s="777" t="b">
        <f>IF('4 SUPERFICIES'!$A33&gt;10,IF('4 SUPERFICIES'!$A33&lt;31.1,IF('4 SUPERFICIES'!$C33&gt;85.5,IF('4 SUPERFICIES'!$C33&lt;113.6,'4 SUPERFICIES'!$AB33,0))))</f>
        <v>0</v>
      </c>
      <c r="AO224" s="777" t="b">
        <f>IF('4 SUPERFICIES'!$A33&gt;10,IF('4 SUPERFICIES'!$A33&lt;31.1,IF('4 SUPERFICIES'!$C33&gt;113.5,IF('4 SUPERFICIES'!$C33&lt;141.6,'4 SUPERFICIES'!$AB33,0))))</f>
        <v>0</v>
      </c>
      <c r="AP224" s="777" t="b">
        <f>IF('4 SUPERFICIES'!$A33&gt;10,IF('4 SUPERFICIES'!$A33&lt;31.1,IF('4 SUPERFICIES'!$C33&gt;141.5,IF('4 SUPERFICIES'!$C33&lt;180.6,'4 SUPERFICIES'!$AB33,0))))</f>
        <v>0</v>
      </c>
      <c r="AQ224" s="777" t="b">
        <f>IF('4 SUPERFICIES'!$A33&gt;10,IF('4 SUPERFICIES'!$A33&lt;31.1,IF('4 SUPERFICIES'!$C33&gt;180.5,IF('4 SUPERFICIES'!$C33&lt;240.1,'4 SUPERFICIES'!$AB33,0))))</f>
        <v>0</v>
      </c>
      <c r="AS224" s="777" t="b">
        <f>IF('4 SUPERFICIES'!$A33&gt;31,IF('4 SUPERFICIES'!$A33&lt;45.5,IF('4 SUPERFICIES'!$C33&gt;10,IF('4 SUPERFICIES'!$C33&lt;57.6,'4 SUPERFICIES'!$AB33,0))))</f>
        <v>0</v>
      </c>
      <c r="AT224" s="777" t="b">
        <f>IF('4 SUPERFICIES'!$A33&gt;31,IF('4 SUPERFICIES'!$A33&lt;45.5,IF('4 SUPERFICIES'!$C33&gt;57.6,IF('4 SUPERFICIES'!$C33&lt;71.6,'4 SUPERFICIES'!$AB33,0))))</f>
        <v>0</v>
      </c>
      <c r="AU224" s="777" t="b">
        <f>IF('4 SUPERFICIES'!$A33&gt;31,IF('4 SUPERFICIES'!$A33&lt;45.5,IF('4 SUPERFICIES'!$C33&gt;71.5,IF('4 SUPERFICIES'!$C33&lt;85.6,'4 SUPERFICIES'!$AB33,0))))</f>
        <v>0</v>
      </c>
      <c r="AV224" s="777" t="b">
        <f>IF('4 SUPERFICIES'!$A33&gt;31,IF('4 SUPERFICIES'!$A33&lt;45.5,IF('4 SUPERFICIES'!$C33&gt;85.5,IF('4 SUPERFICIES'!$C33&lt;113.6,'4 SUPERFICIES'!$AB33,0))))</f>
        <v>0</v>
      </c>
      <c r="AW224" s="777" t="b">
        <f>IF('4 SUPERFICIES'!$A33&gt;31,IF('4 SUPERFICIES'!$A33&lt;45.5,IF('4 SUPERFICIES'!$C33&gt;113.5,IF('4 SUPERFICIES'!$C33&lt;141.6,'4 SUPERFICIES'!$AB33,0))))</f>
        <v>0</v>
      </c>
      <c r="AX224" s="777" t="b">
        <f>IF('4 SUPERFICIES'!$A33&gt;31,IF('4 SUPERFICIES'!$A33&lt;45.5,IF('4 SUPERFICIES'!$C33&gt;141.5,IF('4 SUPERFICIES'!$C33&lt;180.6,'4 SUPERFICIES'!$AB33,0))))</f>
        <v>0</v>
      </c>
      <c r="AY224" s="777" t="b">
        <f>IF('4 SUPERFICIES'!$A33&gt;31,IF('4 SUPERFICIES'!$A33&lt;45.5,IF('4 SUPERFICIES'!$C33&gt;180.5,IF('4 SUPERFICIES'!$C33&lt;240.1,'4 SUPERFICIES'!$AB33,0))))</f>
        <v>0</v>
      </c>
      <c r="BA224" s="777" t="b">
        <f>IF('4 SUPERFICIES'!$A33&gt;45.4,IF('4 SUPERFICIES'!$A33&lt;61.6,IF('4 SUPERFICIES'!$C33&gt;10,IF('4 SUPERFICIES'!$C33&lt;61.5,'4 SUPERFICIES'!$AB33,0))))</f>
        <v>0</v>
      </c>
      <c r="BB224" s="777" t="b">
        <f>IF('4 SUPERFICIES'!$A33&gt;45.4,IF('4 SUPERFICIES'!$A33&lt;61.6,IF('4 SUPERFICIES'!$C33&gt;61.1,IF('4 SUPERFICIES'!$C33&lt;71.6,'4 SUPERFICIES'!$AB33,0))))</f>
        <v>0</v>
      </c>
      <c r="BC224" s="777" t="b">
        <f>IF('4 SUPERFICIES'!$A33&gt;45.4,IF('4 SUPERFICIES'!$A33&lt;61.6,IF('4 SUPERFICIES'!$C33&gt;71.5,IF('4 SUPERFICIES'!$C33&lt;85.6,'4 SUPERFICIES'!$AB33,0))))</f>
        <v>0</v>
      </c>
      <c r="BD224" s="777" t="b">
        <f>IF('4 SUPERFICIES'!$A33&gt;45.4,IF('4 SUPERFICIES'!$A33&lt;61.6,IF('4 SUPERFICIES'!$C33&gt;85.5,IF('4 SUPERFICIES'!$C33&lt;113.6,'4 SUPERFICIES'!$AB33,0))))</f>
        <v>0</v>
      </c>
      <c r="BE224" s="777" t="b">
        <f>IF('4 SUPERFICIES'!$A33&gt;45.4,IF('4 SUPERFICIES'!$A33&lt;61.6,IF('4 SUPERFICIES'!$C33&gt;113.5,IF('4 SUPERFICIES'!$C33&lt;121.6,'4 SUPERFICIES'!$AB33,0))))</f>
        <v>0</v>
      </c>
      <c r="BF224" s="777" t="b">
        <f>IF('4 SUPERFICIES'!$A33&gt;45.4,IF('4 SUPERFICIES'!$A33&lt;61.6,IF('4 SUPERFICIES'!$C33&gt;121.5,IF('4 SUPERFICIES'!$C33&lt;127.6,'4 SUPERFICIES'!$AB33,0))))</f>
        <v>0</v>
      </c>
      <c r="BG224" s="777" t="b">
        <f>IF('4 SUPERFICIES'!$A33&gt;45.4,IF('4 SUPERFICIES'!$A33&lt;61.6,IF('4 SUPERFICIES'!$C33&gt;127.5,IF('4 SUPERFICIES'!$C33&lt;135.1,'4 SUPERFICIES'!$AB33,0))))</f>
        <v>0</v>
      </c>
      <c r="BH224" s="777" t="b">
        <f>IF('4 SUPERFICIES'!$A33&gt;45.4,IF('4 SUPERFICIES'!$A33&lt;61.6,IF('4 SUPERFICIES'!$C33&gt;135,IF('4 SUPERFICIES'!$C33&lt;141.6,'4 SUPERFICIES'!$AB33,0))))</f>
        <v>0</v>
      </c>
      <c r="BI224" s="777" t="b">
        <f>IF('4 SUPERFICIES'!$A33&gt;45.4,IF('4 SUPERFICIES'!$A33&lt;61.6,IF('4 SUPERFICIES'!$C33&gt;141.5,IF('4 SUPERFICIES'!$C33&lt;149.1,'4 SUPERFICIES'!$AB33,0))))</f>
        <v>0</v>
      </c>
      <c r="BJ224" s="777" t="b">
        <f>IF('4 SUPERFICIES'!$A33&gt;45.4,IF('4 SUPERFICIES'!$A33&lt;61.6,IF('4 SUPERFICIES'!$C33&gt;149,IF('4 SUPERFICIES'!$C33&lt;155.6,'4 SUPERFICIES'!$AB33,0))))</f>
        <v>0</v>
      </c>
      <c r="BK224" s="777" t="b">
        <f>IF('4 SUPERFICIES'!$A33&gt;45.4,IF('4 SUPERFICIES'!$A33&lt;61.6,IF('4 SUPERFICIES'!$C33&gt;155.5,IF('4 SUPERFICIES'!$C33&lt;163.1,'4 SUPERFICIES'!$AB33,0))))</f>
        <v>0</v>
      </c>
      <c r="BL224" s="777" t="b">
        <f>IF('4 SUPERFICIES'!$A33&gt;45.4,IF('4 SUPERFICIES'!$A33&lt;61.6,IF('4 SUPERFICIES'!$C33&gt;163,IF('4 SUPERFICIES'!$C33&lt;180.6,'4 SUPERFICIES'!$AB33,0))))</f>
        <v>0</v>
      </c>
      <c r="BM224" s="777" t="b">
        <f>IF('4 SUPERFICIES'!$A33&gt;45.4,IF('4 SUPERFICIES'!$A33&lt;61.6,IF('4 SUPERFICIES'!$C33&gt;180.5,IF('4 SUPERFICIES'!$C33&lt;240.1,'4 SUPERFICIES'!$AB33,0))))</f>
        <v>0</v>
      </c>
      <c r="BO224" s="869" t="s">
        <v>544</v>
      </c>
      <c r="BQ224" s="870">
        <f>+$BV$250</f>
        <v>0</v>
      </c>
      <c r="BS224" s="869"/>
      <c r="BT224" s="870">
        <f>+$BV$251</f>
        <v>0</v>
      </c>
      <c r="BV224" s="777" t="b">
        <f>IF('4 SUPERFICIES'!$A33&gt;61.5,IF('4 SUPERFICIES'!$A33&lt;71.6,IF('4 SUPERFICIES'!$C33&gt;10,IF('4 SUPERFICIES'!$C33&lt;57.6,'4 SUPERFICIES'!$AB33,0))))</f>
        <v>0</v>
      </c>
      <c r="BW224" s="777" t="b">
        <f>IF('4 SUPERFICIES'!$A33&gt;61.5,IF('4 SUPERFICIES'!$A33&lt;71.6,IF('4 SUPERFICIES'!$C33&gt;57.6,IF('4 SUPERFICIES'!$C33&lt;71.6,'4 SUPERFICIES'!$AB33,0))))</f>
        <v>0</v>
      </c>
      <c r="BX224" s="777" t="b">
        <f>IF('4 SUPERFICIES'!$A33&gt;61.5,IF('4 SUPERFICIES'!$A33&lt;71.6,IF('4 SUPERFICIES'!$C33&gt;71.5,IF('4 SUPERFICIES'!$C33&lt;85.6,'4 SUPERFICIES'!$AB33,0))))</f>
        <v>0</v>
      </c>
      <c r="BY224" s="777" t="b">
        <f>IF('4 SUPERFICIES'!$A33&gt;61.5,IF('4 SUPERFICIES'!$A33&lt;71.6,IF('4 SUPERFICIES'!$C33&gt;85.5,IF('4 SUPERFICIES'!$C33&lt;113.6,'4 SUPERFICIES'!$AB33,0))))</f>
        <v>0</v>
      </c>
      <c r="BZ224" s="777" t="b">
        <f>IF('4 SUPERFICIES'!$A33&gt;61.5,IF('4 SUPERFICIES'!$A33&lt;71.6,IF('4 SUPERFICIES'!$C33&gt;113.5,IF('4 SUPERFICIES'!$C33&lt;141.6,'4 SUPERFICIES'!$AB33,0))))</f>
        <v>0</v>
      </c>
      <c r="CA224" s="777" t="b">
        <f>IF('4 SUPERFICIES'!$A33&gt;61.5,IF('4 SUPERFICIES'!$A33&lt;71.6,IF('4 SUPERFICIES'!$C33&gt;141.5,IF('4 SUPERFICIES'!$C33&lt;149.1,'4 SUPERFICIES'!$AB33,0))))</f>
        <v>0</v>
      </c>
      <c r="CB224" s="777" t="b">
        <f>IF('4 SUPERFICIES'!$A33&gt;61.5,IF('4 SUPERFICIES'!$A33&lt;71.6,IF('4 SUPERFICIES'!$C33&gt;149,IF('4 SUPERFICIES'!$C33&lt;163.1,'4 SUPERFICIES'!$AB33,0))))</f>
        <v>0</v>
      </c>
      <c r="CC224" s="777" t="b">
        <f>IF('4 SUPERFICIES'!$A33&gt;61.5,IF('4 SUPERFICIES'!$A33&lt;71.6,IF('4 SUPERFICIES'!$C33&gt;163,IF('4 SUPERFICIES'!$C33&lt;180.6,'4 SUPERFICIES'!$AB33,0))))</f>
        <v>0</v>
      </c>
      <c r="CD224" s="777" t="b">
        <f>IF('4 SUPERFICIES'!$A33&gt;61.5,IF('4 SUPERFICIES'!$A33&lt;71.6,IF('4 SUPERFICIES'!$C33&gt;180.5,IF('4 SUPERFICIES'!$C33&lt;240.1,'4 SUPERFICIES'!$AB33,0))))</f>
        <v>0</v>
      </c>
      <c r="CF224" s="777" t="b">
        <f>IF('4 SUPERFICIES'!$A33&gt;71.5,IF('4 SUPERFICIES'!$A33&lt;120.6,IF('4 SUPERFICIES'!$C33&gt;10,IF('4 SUPERFICIES'!$C33&lt;57.6,'4 SUPERFICIES'!$AB33,0))))</f>
        <v>0</v>
      </c>
      <c r="CG224" s="777" t="b">
        <f>IF('4 SUPERFICIES'!$A33&gt;71.5,IF('4 SUPERFICIES'!$A33&lt;120.6,IF('4 SUPERFICIES'!$C33&gt;57.6,IF('4 SUPERFICIES'!$C33&lt;71.6,'4 SUPERFICIES'!$AB33,0))))</f>
        <v>0</v>
      </c>
      <c r="CH224" s="777" t="b">
        <f>IF('4 SUPERFICIES'!$A33&gt;71.5,IF('4 SUPERFICIES'!$A33&lt;120.6,IF('4 SUPERFICIES'!$C33&gt;71.5,IF('4 SUPERFICIES'!$C33&lt;85.6,'4 SUPERFICIES'!$AB33,0))))</f>
        <v>0</v>
      </c>
      <c r="CI224" s="777" t="b">
        <f>IF('4 SUPERFICIES'!$A33&gt;71.5,IF('4 SUPERFICIES'!$A33&lt;120.6,IF('4 SUPERFICIES'!$C33&gt;85.5,IF('4 SUPERFICIES'!$C33&lt;113.6,'4 SUPERFICIES'!$AB33,0))))</f>
        <v>0</v>
      </c>
      <c r="CJ224" s="777" t="b">
        <f>IF('4 SUPERFICIES'!$A33&gt;71.5,IF('4 SUPERFICIES'!$A33&lt;120.6,IF('4 SUPERFICIES'!$C33&gt;113.5,IF('4 SUPERFICIES'!$C33&lt;141.6,'4 SUPERFICIES'!$AB33,0))))</f>
        <v>0</v>
      </c>
      <c r="CK224" s="777" t="b">
        <f>IF('4 SUPERFICIES'!$A33&gt;71.5,IF('4 SUPERFICIES'!$A33&lt;120.6,IF('4 SUPERFICIES'!$C33&gt;141.5,IF('4 SUPERFICIES'!$C33&lt;180.6,'4 SUPERFICIES'!$AB33,0))))</f>
        <v>0</v>
      </c>
      <c r="CL224" s="777" t="b">
        <f>IF('4 SUPERFICIES'!$A33&gt;71.5,IF('4 SUPERFICIES'!$A33&lt;120.6,IF('4 SUPERFICIES'!$C33&gt;180.5,IF('4 SUPERFICIES'!$C33&lt;240.1,'4 SUPERFICIES'!$AB33,0))))</f>
        <v>0</v>
      </c>
      <c r="CN224" s="777">
        <f>IF('4 SUPERFICIES'!$C33&lt;150,IF(OR('4 SUPERFICIES'!$A33="MICRODER",'4 SUPERFICIES'!$A33="MICRO DER",),'4 SUPERFICIES'!$AB33,0))</f>
        <v>0</v>
      </c>
      <c r="CO224" s="777" t="b">
        <f>IF('4 SUPERFICIES'!$C33&gt;149.5,IF(OR('4 SUPERFICIES'!$A33="MICRODER",'4 SUPERFICIES'!$A33="MICRO DER",),'4 SUPERFICIES'!$AB33,0))</f>
        <v>0</v>
      </c>
      <c r="CP224" s="847"/>
      <c r="CQ224" s="777">
        <f>IF('4 SUPERFICIES'!$C33&lt;150,IF(OR('4 SUPERFICIES'!$A33="MICROIZQ",'4 SUPERFICIES'!$A33="MICRO IZQ",),'4 SUPERFICIES'!$AB33,0))</f>
        <v>0</v>
      </c>
      <c r="CR224" s="777" t="b">
        <f>IF('4 SUPERFICIES'!$C33&gt;149.5,IF(OR('4 SUPERFICIES'!$A33="MICROIZQ",'4 SUPERFICIES'!$A33="MICRO IZQ",),'4 SUPERFICIES'!$AB33,0))</f>
        <v>0</v>
      </c>
      <c r="CT224" s="837">
        <f>IF(OR('4 SUPERFICIES'!$A33="MICRO SEN",'4 SUPERFICIES'!$A33="MICROSEN",),'4 SUPERFICIES'!$AB33,0)</f>
        <v>0</v>
      </c>
      <c r="CV224" s="837" t="b">
        <f>IF('4 SUPERFICIES'!$A33="DIAMETRO",IF('4 SUPERFICIES'!$C33&lt;121.1,'4 SUPERFICIES'!$AB33,0))</f>
        <v>0</v>
      </c>
      <c r="CX224" s="858"/>
      <c r="CZ224" s="837" t="b">
        <f>IF('4 SUPERFICIES'!$A33="MOSTRADOR",IF('4 SUPERFICIES'!$C33="R60",'4 SUPERFICIES'!$AB33,0))</f>
        <v>0</v>
      </c>
      <c r="DB224" s="837">
        <f>IF(OR('4 SUPERFICIES'!$A33="PORTA PRIN",'4 SUPERFICIES'!$A33="PORTAPRIN",),'4 SUPERFICIES'!$AB33,0)</f>
        <v>0</v>
      </c>
      <c r="DD224" s="837">
        <f>IF(OR('4 SUPERFICIES'!$A33="PORTA BADE",'4 SUPERFICIES'!$A33="PORTABADE",),'4 SUPERFICIES'!$AB33,0)</f>
        <v>0</v>
      </c>
      <c r="DE224" s="837"/>
      <c r="DF224" s="837">
        <f>IF(OR('4 SUPERFICIES'!$A33="RETORNO IZQ",'4 SUPERFICIES'!$A33="RETORNO DER",),'4 SUPERFICIES'!$AB133,0)</f>
        <v>0</v>
      </c>
      <c r="DG224" s="837"/>
      <c r="DH224" s="837">
        <f>IF(OR('4 SUPERFICIES'!$A33="PITO Q",'4 SUPERFICIES'!$A33="PITO P",'4 SUPERFICIES'!$A33="DIAMETRO INTEGRADA",),'4 SUPERFICIES'!$AB33,0)</f>
        <v>0</v>
      </c>
      <c r="DJ224" s="858"/>
      <c r="DK224" s="837"/>
      <c r="DL224" s="837">
        <f>IF('4 SUPERFICIES'!$A33="SUPERFICIE OVAL",'4 SUPERFICIES'!$AB33,0)</f>
        <v>0</v>
      </c>
      <c r="DN224" s="838"/>
      <c r="DO224" s="838"/>
      <c r="DP224" s="838"/>
      <c r="DQ224" s="838"/>
      <c r="DR224" s="838"/>
      <c r="DS224" s="838"/>
      <c r="DT224" s="838"/>
      <c r="DU224" s="838"/>
      <c r="DV224" s="838"/>
      <c r="DW224" s="838"/>
      <c r="DX224" s="838"/>
      <c r="DY224" s="838"/>
      <c r="DZ224" s="838"/>
      <c r="EA224" s="999"/>
      <c r="EB224" s="838"/>
      <c r="EC224" s="1085"/>
      <c r="ED224" s="1085"/>
      <c r="EE224" s="1097"/>
      <c r="EG224" s="682">
        <f>IF('4 SUPERFICIES'!A33="MICRO DER",85,IF('4 SUPERFICIES'!A33="MICRO IZQ",85,IF('4 SUPERFICIES'!A33="MICRO SEN",170,IF('4 SUPERFICIES'!A33="DIAMETRO",3.14*'4 SUPERFICIES'!C33/2,IF('4 SUPERFICIES'!A33="MOSTRADOR",136,IF('4 SUPERFICIES'!A33="PORTA",65,IF('4 SUPERFICIES'!A33="PITO Q",90,IF('4 SUPERFICIES'!A33="PITO P",90,'4 SUPERFICIES'!A33))))))))</f>
        <v>0</v>
      </c>
      <c r="EH224" s="682"/>
      <c r="EI224" s="682">
        <f>IF('4 SUPERFICIES'!A33="DIAMETRO",0,IF('4 SUPERFICIES'!C33="PRINCIPAL",160,IF('4 SUPERFICIES'!C33="BADE",190,IF('4 SUPERFICIES'!C33="RETORNO",100,IF('4 SUPERFICIES'!C33="R 60",100,IF('4 SUPERFICIES'!C33="R60",100,'4 SUPERFICIES'!C33))))))</f>
        <v>0</v>
      </c>
      <c r="EJ224" s="682"/>
      <c r="EK224" s="682">
        <f>IF('4 SUPERFICIES'!$F33='4 SUPERFICIES'!$AG$15,((EG224*2)+(EI224*2))*'4 SUPERFICIES'!AB33,0)</f>
        <v>0</v>
      </c>
      <c r="EL224" s="682"/>
      <c r="EM224" s="682">
        <f>IF('4 SUPERFICIES'!$F33='4 SUPERFICIES'!$AG$16,((EG224*2)+(EI224*2))*'4 SUPERFICIES'!AB33,0)</f>
        <v>0</v>
      </c>
      <c r="EO224" s="682">
        <f>IF('4 SUPERFICIES'!$F33='4 SUPERFICIES'!$AG$17,((EG224*2)+(EI224*2))*'4 SUPERFICIES'!AB33,0)</f>
        <v>0</v>
      </c>
      <c r="EP224" s="855"/>
      <c r="EQ224" s="682">
        <f>IF('4 SUPERFICIES'!$F33='4 SUPERFICIES'!$AG$18,((EG224*2)+(EI224*2))*'4 SUPERFICIES'!AB33,0)</f>
        <v>0</v>
      </c>
      <c r="ER224" s="855"/>
      <c r="ES224" s="1098"/>
      <c r="ET224" s="1098"/>
      <c r="EU224" s="1081"/>
      <c r="EV224" s="855"/>
      <c r="EW224" s="838"/>
      <c r="EX224" s="838"/>
      <c r="EY224" s="838"/>
      <c r="EZ224" s="838"/>
      <c r="FA224" s="838"/>
      <c r="FB224" s="838"/>
      <c r="FC224" s="838"/>
      <c r="FD224" s="838"/>
      <c r="FE224" s="838"/>
      <c r="FF224" s="838"/>
      <c r="FG224" s="838"/>
      <c r="FH224" s="838"/>
      <c r="FI224" s="838"/>
      <c r="FJ224" s="838"/>
      <c r="FK224" s="838"/>
      <c r="FL224" s="838"/>
      <c r="FM224" s="838"/>
      <c r="FN224" s="838"/>
      <c r="FO224" s="838"/>
      <c r="FP224" s="838"/>
      <c r="GM224" s="858"/>
      <c r="GN224" s="838"/>
      <c r="GO224" s="858"/>
      <c r="GP224" s="858"/>
      <c r="GQ224" s="858"/>
      <c r="GR224" s="838"/>
      <c r="GS224" s="838"/>
      <c r="HF224" s="700">
        <v>21</v>
      </c>
      <c r="HH224" s="591">
        <v>21</v>
      </c>
    </row>
    <row r="225" spans="1:216" ht="26.25" x14ac:dyDescent="0.4">
      <c r="A225" s="848">
        <f>IF(OR('5 ALMACEN '!$D$37="TIPO B",'5 ALMACEN '!$D$37="TIPOB",'5 ALMACEN '!$D$37="TIPO B  ",),'5 ALMACEN '!B40+'5 ALMACEN '!C40,0)</f>
        <v>0</v>
      </c>
      <c r="B225" s="874">
        <v>70</v>
      </c>
      <c r="C225" s="845"/>
      <c r="D225" s="1093">
        <f>IF(H226&gt;0,"TABLEX DE 12 MM * 183 *244",0)</f>
        <v>0</v>
      </c>
      <c r="E225" s="1094"/>
      <c r="F225" s="1094"/>
      <c r="G225" s="1095"/>
      <c r="AK225" s="777" t="b">
        <f>IF('4 SUPERFICIES'!$A34&gt;10,IF('4 SUPERFICIES'!$A34&lt;31.1,IF('4 SUPERFICIES'!$C34&gt;10,IF('4 SUPERFICIES'!$C34&lt;57.6,'4 SUPERFICIES'!$AB34,0))))</f>
        <v>0</v>
      </c>
      <c r="AL225" s="777" t="b">
        <f>IF('4 SUPERFICIES'!$A34&gt;10,IF('4 SUPERFICIES'!$A34&lt;31.1,IF('4 SUPERFICIES'!$C34&gt;57.6,IF('4 SUPERFICIES'!$C34&lt;71.6,'4 SUPERFICIES'!$AB34,0))))</f>
        <v>0</v>
      </c>
      <c r="AM225" s="777" t="b">
        <f>IF('4 SUPERFICIES'!$A34&gt;10,IF('4 SUPERFICIES'!$A34&lt;31.1,IF('4 SUPERFICIES'!$C34&gt;71.5,IF('4 SUPERFICIES'!$C34&lt;85.6,'4 SUPERFICIES'!$AB34,0))))</f>
        <v>0</v>
      </c>
      <c r="AN225" s="777" t="b">
        <f>IF('4 SUPERFICIES'!$A34&gt;10,IF('4 SUPERFICIES'!$A34&lt;31.1,IF('4 SUPERFICIES'!$C34&gt;85.5,IF('4 SUPERFICIES'!$C34&lt;113.6,'4 SUPERFICIES'!$AB34,0))))</f>
        <v>0</v>
      </c>
      <c r="AO225" s="777" t="b">
        <f>IF('4 SUPERFICIES'!$A34&gt;10,IF('4 SUPERFICIES'!$A34&lt;31.1,IF('4 SUPERFICIES'!$C34&gt;113.5,IF('4 SUPERFICIES'!$C34&lt;141.6,'4 SUPERFICIES'!$AB34,0))))</f>
        <v>0</v>
      </c>
      <c r="AP225" s="777" t="b">
        <f>IF('4 SUPERFICIES'!$A34&gt;10,IF('4 SUPERFICIES'!$A34&lt;31.1,IF('4 SUPERFICIES'!$C34&gt;141.5,IF('4 SUPERFICIES'!$C34&lt;180.6,'4 SUPERFICIES'!$AB34,0))))</f>
        <v>0</v>
      </c>
      <c r="AQ225" s="777" t="b">
        <f>IF('4 SUPERFICIES'!$A34&gt;10,IF('4 SUPERFICIES'!$A34&lt;31.1,IF('4 SUPERFICIES'!$C34&gt;180.5,IF('4 SUPERFICIES'!$C34&lt;240.1,'4 SUPERFICIES'!$AB34,0))))</f>
        <v>0</v>
      </c>
      <c r="AS225" s="777" t="b">
        <f>IF('4 SUPERFICIES'!$A34&gt;31,IF('4 SUPERFICIES'!$A34&lt;45.5,IF('4 SUPERFICIES'!$C34&gt;10,IF('4 SUPERFICIES'!$C34&lt;57.6,'4 SUPERFICIES'!$AB34,0))))</f>
        <v>0</v>
      </c>
      <c r="AT225" s="777" t="b">
        <f>IF('4 SUPERFICIES'!$A34&gt;31,IF('4 SUPERFICIES'!$A34&lt;45.5,IF('4 SUPERFICIES'!$C34&gt;57.6,IF('4 SUPERFICIES'!$C34&lt;71.6,'4 SUPERFICIES'!$AB34,0))))</f>
        <v>0</v>
      </c>
      <c r="AU225" s="777" t="b">
        <f>IF('4 SUPERFICIES'!$A34&gt;31,IF('4 SUPERFICIES'!$A34&lt;45.5,IF('4 SUPERFICIES'!$C34&gt;71.5,IF('4 SUPERFICIES'!$C34&lt;85.6,'4 SUPERFICIES'!$AB34,0))))</f>
        <v>0</v>
      </c>
      <c r="AV225" s="777" t="b">
        <f>IF('4 SUPERFICIES'!$A34&gt;31,IF('4 SUPERFICIES'!$A34&lt;45.5,IF('4 SUPERFICIES'!$C34&gt;85.5,IF('4 SUPERFICIES'!$C34&lt;113.6,'4 SUPERFICIES'!$AB34,0))))</f>
        <v>0</v>
      </c>
      <c r="AW225" s="777" t="b">
        <f>IF('4 SUPERFICIES'!$A34&gt;31,IF('4 SUPERFICIES'!$A34&lt;45.5,IF('4 SUPERFICIES'!$C34&gt;113.5,IF('4 SUPERFICIES'!$C34&lt;141.6,'4 SUPERFICIES'!$AB34,0))))</f>
        <v>0</v>
      </c>
      <c r="AX225" s="777" t="b">
        <f>IF('4 SUPERFICIES'!$A34&gt;31,IF('4 SUPERFICIES'!$A34&lt;45.5,IF('4 SUPERFICIES'!$C34&gt;141.5,IF('4 SUPERFICIES'!$C34&lt;180.6,'4 SUPERFICIES'!$AB34,0))))</f>
        <v>0</v>
      </c>
      <c r="AY225" s="777" t="b">
        <f>IF('4 SUPERFICIES'!$A34&gt;31,IF('4 SUPERFICIES'!$A34&lt;45.5,IF('4 SUPERFICIES'!$C34&gt;180.5,IF('4 SUPERFICIES'!$C34&lt;240.1,'4 SUPERFICIES'!$AB34,0))))</f>
        <v>0</v>
      </c>
      <c r="BA225" s="777" t="b">
        <f>IF('4 SUPERFICIES'!$A34&gt;45.4,IF('4 SUPERFICIES'!$A34&lt;61.6,IF('4 SUPERFICIES'!$C34&gt;10,IF('4 SUPERFICIES'!$C34&lt;61.5,'4 SUPERFICIES'!$AB34,0))))</f>
        <v>0</v>
      </c>
      <c r="BB225" s="777" t="b">
        <f>IF('4 SUPERFICIES'!$A34&gt;45.4,IF('4 SUPERFICIES'!$A34&lt;61.6,IF('4 SUPERFICIES'!$C34&gt;61.1,IF('4 SUPERFICIES'!$C34&lt;71.6,'4 SUPERFICIES'!$AB34,0))))</f>
        <v>0</v>
      </c>
      <c r="BC225" s="777" t="b">
        <f>IF('4 SUPERFICIES'!$A34&gt;45.4,IF('4 SUPERFICIES'!$A34&lt;61.6,IF('4 SUPERFICIES'!$C34&gt;71.5,IF('4 SUPERFICIES'!$C34&lt;85.6,'4 SUPERFICIES'!$AB34,0))))</f>
        <v>0</v>
      </c>
      <c r="BD225" s="777" t="b">
        <f>IF('4 SUPERFICIES'!$A34&gt;45.4,IF('4 SUPERFICIES'!$A34&lt;61.6,IF('4 SUPERFICIES'!$C34&gt;85.5,IF('4 SUPERFICIES'!$C34&lt;113.6,'4 SUPERFICIES'!$AB34,0))))</f>
        <v>0</v>
      </c>
      <c r="BE225" s="777" t="b">
        <f>IF('4 SUPERFICIES'!$A34&gt;45.4,IF('4 SUPERFICIES'!$A34&lt;61.6,IF('4 SUPERFICIES'!$C34&gt;113.5,IF('4 SUPERFICIES'!$C34&lt;121.6,'4 SUPERFICIES'!$AB34,0))))</f>
        <v>0</v>
      </c>
      <c r="BF225" s="777" t="b">
        <f>IF('4 SUPERFICIES'!$A34&gt;45.4,IF('4 SUPERFICIES'!$A34&lt;61.6,IF('4 SUPERFICIES'!$C34&gt;121.5,IF('4 SUPERFICIES'!$C34&lt;127.6,'4 SUPERFICIES'!$AB34,0))))</f>
        <v>0</v>
      </c>
      <c r="BG225" s="777" t="b">
        <f>IF('4 SUPERFICIES'!$A34&gt;45.4,IF('4 SUPERFICIES'!$A34&lt;61.6,IF('4 SUPERFICIES'!$C34&gt;127.5,IF('4 SUPERFICIES'!$C34&lt;135.1,'4 SUPERFICIES'!$AB34,0))))</f>
        <v>0</v>
      </c>
      <c r="BH225" s="777" t="b">
        <f>IF('4 SUPERFICIES'!$A34&gt;45.4,IF('4 SUPERFICIES'!$A34&lt;61.6,IF('4 SUPERFICIES'!$C34&gt;135,IF('4 SUPERFICIES'!$C34&lt;141.6,'4 SUPERFICIES'!$AB34,0))))</f>
        <v>0</v>
      </c>
      <c r="BI225" s="777" t="b">
        <f>IF('4 SUPERFICIES'!$A34&gt;45.4,IF('4 SUPERFICIES'!$A34&lt;61.6,IF('4 SUPERFICIES'!$C34&gt;141.5,IF('4 SUPERFICIES'!$C34&lt;149.1,'4 SUPERFICIES'!$AB34,0))))</f>
        <v>0</v>
      </c>
      <c r="BJ225" s="777" t="b">
        <f>IF('4 SUPERFICIES'!$A34&gt;45.4,IF('4 SUPERFICIES'!$A34&lt;61.6,IF('4 SUPERFICIES'!$C34&gt;149,IF('4 SUPERFICIES'!$C34&lt;155.6,'4 SUPERFICIES'!$AB34,0))))</f>
        <v>0</v>
      </c>
      <c r="BK225" s="777" t="b">
        <f>IF('4 SUPERFICIES'!$A34&gt;45.4,IF('4 SUPERFICIES'!$A34&lt;61.6,IF('4 SUPERFICIES'!$C34&gt;155.5,IF('4 SUPERFICIES'!$C34&lt;163.1,'4 SUPERFICIES'!$AB34,0))))</f>
        <v>0</v>
      </c>
      <c r="BL225" s="777" t="b">
        <f>IF('4 SUPERFICIES'!$A34&gt;45.4,IF('4 SUPERFICIES'!$A34&lt;61.6,IF('4 SUPERFICIES'!$C34&gt;163,IF('4 SUPERFICIES'!$C34&lt;180.6,'4 SUPERFICIES'!$AB34,0))))</f>
        <v>0</v>
      </c>
      <c r="BM225" s="777" t="b">
        <f>IF('4 SUPERFICIES'!$A34&gt;45.4,IF('4 SUPERFICIES'!$A34&lt;61.6,IF('4 SUPERFICIES'!$C34&gt;180.5,IF('4 SUPERFICIES'!$C34&lt;240.1,'4 SUPERFICIES'!$AB34,0))))</f>
        <v>0</v>
      </c>
      <c r="BO225" s="869" t="s">
        <v>546</v>
      </c>
      <c r="BQ225" s="870">
        <f>+$BW$250+$BX$250+$DF$250</f>
        <v>0</v>
      </c>
      <c r="BS225" s="869"/>
      <c r="BT225" s="870">
        <f>+$BW$251+$BX$251+$DF$251</f>
        <v>0</v>
      </c>
      <c r="BV225" s="777" t="b">
        <f>IF('4 SUPERFICIES'!$A34&gt;61.5,IF('4 SUPERFICIES'!$A34&lt;71.6,IF('4 SUPERFICIES'!$C34&gt;10,IF('4 SUPERFICIES'!$C34&lt;57.6,'4 SUPERFICIES'!$AB34,0))))</f>
        <v>0</v>
      </c>
      <c r="BW225" s="777" t="b">
        <f>IF('4 SUPERFICIES'!$A34&gt;61.5,IF('4 SUPERFICIES'!$A34&lt;71.6,IF('4 SUPERFICIES'!$C34&gt;57.6,IF('4 SUPERFICIES'!$C34&lt;71.6,'4 SUPERFICIES'!$AB34,0))))</f>
        <v>0</v>
      </c>
      <c r="BX225" s="777" t="b">
        <f>IF('4 SUPERFICIES'!$A34&gt;61.5,IF('4 SUPERFICIES'!$A34&lt;71.6,IF('4 SUPERFICIES'!$C34&gt;71.5,IF('4 SUPERFICIES'!$C34&lt;85.6,'4 SUPERFICIES'!$AB34,0))))</f>
        <v>0</v>
      </c>
      <c r="BY225" s="777" t="b">
        <f>IF('4 SUPERFICIES'!$A34&gt;61.5,IF('4 SUPERFICIES'!$A34&lt;71.6,IF('4 SUPERFICIES'!$C34&gt;85.5,IF('4 SUPERFICIES'!$C34&lt;113.6,'4 SUPERFICIES'!$AB34,0))))</f>
        <v>0</v>
      </c>
      <c r="BZ225" s="777" t="b">
        <f>IF('4 SUPERFICIES'!$A34&gt;61.5,IF('4 SUPERFICIES'!$A34&lt;71.6,IF('4 SUPERFICIES'!$C34&gt;113.5,IF('4 SUPERFICIES'!$C34&lt;141.6,'4 SUPERFICIES'!$AB34,0))))</f>
        <v>0</v>
      </c>
      <c r="CA225" s="777" t="b">
        <f>IF('4 SUPERFICIES'!$A34&gt;61.5,IF('4 SUPERFICIES'!$A34&lt;71.6,IF('4 SUPERFICIES'!$C34&gt;141.5,IF('4 SUPERFICIES'!$C34&lt;149.1,'4 SUPERFICIES'!$AB34,0))))</f>
        <v>0</v>
      </c>
      <c r="CB225" s="777" t="b">
        <f>IF('4 SUPERFICIES'!$A34&gt;61.5,IF('4 SUPERFICIES'!$A34&lt;71.6,IF('4 SUPERFICIES'!$C34&gt;149,IF('4 SUPERFICIES'!$C34&lt;163.1,'4 SUPERFICIES'!$AB34,0))))</f>
        <v>0</v>
      </c>
      <c r="CC225" s="777" t="b">
        <f>IF('4 SUPERFICIES'!$A34&gt;61.5,IF('4 SUPERFICIES'!$A34&lt;71.6,IF('4 SUPERFICIES'!$C34&gt;163,IF('4 SUPERFICIES'!$C34&lt;180.6,'4 SUPERFICIES'!$AB34,0))))</f>
        <v>0</v>
      </c>
      <c r="CD225" s="777" t="b">
        <f>IF('4 SUPERFICIES'!$A34&gt;61.5,IF('4 SUPERFICIES'!$A34&lt;71.6,IF('4 SUPERFICIES'!$C34&gt;180.5,IF('4 SUPERFICIES'!$C34&lt;240.1,'4 SUPERFICIES'!$AB34,0))))</f>
        <v>0</v>
      </c>
      <c r="CF225" s="777" t="b">
        <f>IF('4 SUPERFICIES'!$A34&gt;71.5,IF('4 SUPERFICIES'!$A34&lt;120.6,IF('4 SUPERFICIES'!$C34&gt;10,IF('4 SUPERFICIES'!$C34&lt;57.6,'4 SUPERFICIES'!$AB34,0))))</f>
        <v>0</v>
      </c>
      <c r="CG225" s="777" t="b">
        <f>IF('4 SUPERFICIES'!$A34&gt;71.5,IF('4 SUPERFICIES'!$A34&lt;120.6,IF('4 SUPERFICIES'!$C34&gt;57.6,IF('4 SUPERFICIES'!$C34&lt;71.6,'4 SUPERFICIES'!$AB34,0))))</f>
        <v>0</v>
      </c>
      <c r="CH225" s="777" t="b">
        <f>IF('4 SUPERFICIES'!$A34&gt;71.5,IF('4 SUPERFICIES'!$A34&lt;120.6,IF('4 SUPERFICIES'!$C34&gt;71.5,IF('4 SUPERFICIES'!$C34&lt;85.6,'4 SUPERFICIES'!$AB34,0))))</f>
        <v>0</v>
      </c>
      <c r="CI225" s="777" t="b">
        <f>IF('4 SUPERFICIES'!$A34&gt;71.5,IF('4 SUPERFICIES'!$A34&lt;120.6,IF('4 SUPERFICIES'!$C34&gt;85.5,IF('4 SUPERFICIES'!$C34&lt;113.6,'4 SUPERFICIES'!$AB34,0))))</f>
        <v>0</v>
      </c>
      <c r="CJ225" s="777" t="b">
        <f>IF('4 SUPERFICIES'!$A34&gt;71.5,IF('4 SUPERFICIES'!$A34&lt;120.6,IF('4 SUPERFICIES'!$C34&gt;113.5,IF('4 SUPERFICIES'!$C34&lt;141.6,'4 SUPERFICIES'!$AB34,0))))</f>
        <v>0</v>
      </c>
      <c r="CK225" s="777" t="b">
        <f>IF('4 SUPERFICIES'!$A34&gt;71.5,IF('4 SUPERFICIES'!$A34&lt;120.6,IF('4 SUPERFICIES'!$C34&gt;141.5,IF('4 SUPERFICIES'!$C34&lt;180.6,'4 SUPERFICIES'!$AB34,0))))</f>
        <v>0</v>
      </c>
      <c r="CL225" s="777" t="b">
        <f>IF('4 SUPERFICIES'!$A34&gt;71.5,IF('4 SUPERFICIES'!$A34&lt;120.6,IF('4 SUPERFICIES'!$C34&gt;180.5,IF('4 SUPERFICIES'!$C34&lt;240.1,'4 SUPERFICIES'!$AB34,0))))</f>
        <v>0</v>
      </c>
      <c r="CN225" s="777">
        <f>IF('4 SUPERFICIES'!$C34&lt;150,IF(OR('4 SUPERFICIES'!$A34="MICRODER",'4 SUPERFICIES'!$A34="MICRO DER",),'4 SUPERFICIES'!$AB34,0))</f>
        <v>0</v>
      </c>
      <c r="CO225" s="777" t="b">
        <f>IF('4 SUPERFICIES'!$C34&gt;149.5,IF(OR('4 SUPERFICIES'!$A34="MICRODER",'4 SUPERFICIES'!$A34="MICRO DER",),'4 SUPERFICIES'!$AB34,0))</f>
        <v>0</v>
      </c>
      <c r="CP225" s="847"/>
      <c r="CQ225" s="777">
        <f>IF('4 SUPERFICIES'!$C34&lt;150,IF(OR('4 SUPERFICIES'!$A34="MICROIZQ",'4 SUPERFICIES'!$A34="MICRO IZQ",),'4 SUPERFICIES'!$AB34,0))</f>
        <v>0</v>
      </c>
      <c r="CR225" s="777" t="b">
        <f>IF('4 SUPERFICIES'!$C34&gt;149.5,IF(OR('4 SUPERFICIES'!$A34="MICROIZQ",'4 SUPERFICIES'!$A34="MICRO IZQ",),'4 SUPERFICIES'!$AB34,0))</f>
        <v>0</v>
      </c>
      <c r="CT225" s="837">
        <f>IF(OR('4 SUPERFICIES'!$A34="MICRO SEN",'4 SUPERFICIES'!$A34="MICROSEN",),'4 SUPERFICIES'!$AB34,0)</f>
        <v>0</v>
      </c>
      <c r="CV225" s="837" t="b">
        <f>IF('4 SUPERFICIES'!$A34="DIAMETRO",IF('4 SUPERFICIES'!$C34&lt;121.1,'4 SUPERFICIES'!$AB34,0))</f>
        <v>0</v>
      </c>
      <c r="CX225" s="858"/>
      <c r="CZ225" s="837" t="b">
        <f>IF('4 SUPERFICIES'!$A34="MOSTRADOR",IF('4 SUPERFICIES'!$C34="R60",'4 SUPERFICIES'!$AB34,0))</f>
        <v>0</v>
      </c>
      <c r="DB225" s="837">
        <f>IF(OR('4 SUPERFICIES'!$A34="PORTA PRIN",'4 SUPERFICIES'!$A34="PORTAPRIN",),'4 SUPERFICIES'!$AB34,0)</f>
        <v>0</v>
      </c>
      <c r="DD225" s="837">
        <f>IF(OR('4 SUPERFICIES'!$A34="PORTA BADE",'4 SUPERFICIES'!$A34="PORTABADE",),'4 SUPERFICIES'!$AB34,0)</f>
        <v>0</v>
      </c>
      <c r="DE225" s="837"/>
      <c r="DF225" s="837">
        <f>IF(OR('4 SUPERFICIES'!$A34="RETORNO IZQ",'4 SUPERFICIES'!$A34="RETORNO DER",),'4 SUPERFICIES'!$AB134,0)</f>
        <v>0</v>
      </c>
      <c r="DG225" s="837"/>
      <c r="DH225" s="837">
        <f>IF(OR('4 SUPERFICIES'!$A34="PITO Q",'4 SUPERFICIES'!$A34="PITO P",'4 SUPERFICIES'!$A34="DIAMETRO INTEGRADA",),'4 SUPERFICIES'!$AB34,0)</f>
        <v>0</v>
      </c>
      <c r="DJ225" s="858"/>
      <c r="DK225" s="837"/>
      <c r="DL225" s="837">
        <f>IF('4 SUPERFICIES'!$A34="SUPERFICIE OVAL",'4 SUPERFICIES'!$AB34,0)</f>
        <v>0</v>
      </c>
      <c r="DN225" s="838"/>
      <c r="DO225" s="838"/>
      <c r="DP225" s="838"/>
      <c r="DQ225" s="838"/>
      <c r="DR225" s="838"/>
      <c r="DS225" s="838"/>
      <c r="DT225" s="838"/>
      <c r="DU225" s="838"/>
      <c r="DV225" s="838"/>
      <c r="DW225" s="838"/>
      <c r="DX225" s="838"/>
      <c r="DY225" s="838"/>
      <c r="DZ225" s="838"/>
      <c r="EA225" s="838"/>
      <c r="EB225" s="838"/>
      <c r="EC225" s="838"/>
      <c r="ED225" s="838"/>
      <c r="EE225" s="852"/>
      <c r="EG225" s="682">
        <f>IF('4 SUPERFICIES'!A34="MICRO DER",85,IF('4 SUPERFICIES'!A34="MICRO IZQ",85,IF('4 SUPERFICIES'!A34="MICRO SEN",170,IF('4 SUPERFICIES'!A34="DIAMETRO",3.14*'4 SUPERFICIES'!C34/2,IF('4 SUPERFICIES'!A34="MOSTRADOR",136,IF('4 SUPERFICIES'!A34="PORTA",65,IF('4 SUPERFICIES'!A34="PITO Q",90,IF('4 SUPERFICIES'!A34="PITO P",90,'4 SUPERFICIES'!A34))))))))</f>
        <v>0</v>
      </c>
      <c r="EH225" s="682"/>
      <c r="EI225" s="682">
        <f>IF('4 SUPERFICIES'!A34="DIAMETRO",0,IF('4 SUPERFICIES'!C34="PRINCIPAL",160,IF('4 SUPERFICIES'!C34="BADE",190,IF('4 SUPERFICIES'!C34="RETORNO",100,IF('4 SUPERFICIES'!C34="R 60",100,IF('4 SUPERFICIES'!C34="R60",100,'4 SUPERFICIES'!C34))))))</f>
        <v>0</v>
      </c>
      <c r="EJ225" s="682"/>
      <c r="EK225" s="682">
        <f>IF('4 SUPERFICIES'!$F34='4 SUPERFICIES'!$AG$15,((EG225*2)+(EI225*2))*'4 SUPERFICIES'!AB34,0)</f>
        <v>0</v>
      </c>
      <c r="EL225" s="682"/>
      <c r="EM225" s="682">
        <f>IF('4 SUPERFICIES'!$F34='4 SUPERFICIES'!$AG$16,((EG225*2)+(EI225*2))*'4 SUPERFICIES'!AB34,0)</f>
        <v>0</v>
      </c>
      <c r="EO225" s="682">
        <f>IF('4 SUPERFICIES'!$F34='4 SUPERFICIES'!$AG$17,((EG225*2)+(EI225*2))*'4 SUPERFICIES'!AB34,0)</f>
        <v>0</v>
      </c>
      <c r="EP225" s="838"/>
      <c r="EQ225" s="682">
        <f>IF('4 SUPERFICIES'!$F34='4 SUPERFICIES'!$AG$18,((EG225*2)+(EI225*2))*'4 SUPERFICIES'!AB34,0)</f>
        <v>0</v>
      </c>
      <c r="ER225" s="838"/>
      <c r="ES225" s="858"/>
      <c r="ET225" s="858"/>
      <c r="EU225" s="858"/>
      <c r="EV225" s="858"/>
      <c r="EW225" s="838"/>
      <c r="EX225" s="838"/>
      <c r="EY225" s="838"/>
      <c r="EZ225" s="838"/>
      <c r="FA225" s="838"/>
      <c r="FB225" s="838"/>
      <c r="FC225" s="838"/>
      <c r="FD225" s="838"/>
      <c r="FE225" s="838"/>
      <c r="FF225" s="838"/>
      <c r="FG225" s="838"/>
      <c r="FH225" s="838"/>
      <c r="FI225" s="838"/>
      <c r="FJ225" s="838"/>
      <c r="FK225" s="838"/>
      <c r="FL225" s="838"/>
      <c r="FM225" s="838"/>
      <c r="FN225" s="838"/>
      <c r="FO225" s="838"/>
      <c r="FP225" s="838"/>
      <c r="GM225" s="858"/>
      <c r="GN225" s="838"/>
      <c r="GO225" s="858"/>
      <c r="GP225" s="858"/>
      <c r="GQ225" s="858"/>
      <c r="GR225" s="838"/>
      <c r="GS225" s="838"/>
      <c r="HF225" s="700">
        <v>21.5</v>
      </c>
      <c r="HH225" s="591">
        <v>21.5</v>
      </c>
    </row>
    <row r="226" spans="1:216" ht="26.25" x14ac:dyDescent="0.4">
      <c r="A226" s="848">
        <f>IF(OR('5 ALMACEN '!$D$37="TIPO B",'5 ALMACEN '!$D$37="TIPOB",'5 ALMACEN '!$D$37="TIPO B  ",),'5 ALMACEN '!B41+'5 ALMACEN '!C41,0)</f>
        <v>0</v>
      </c>
      <c r="B226" s="874">
        <v>84</v>
      </c>
      <c r="C226" s="845"/>
      <c r="D226" s="843">
        <f>+((D231+D235+D239+D242)*D227+IF(OR('5 ALMACEN '!D39=PRODUCCION!A90,PRODUCCION!A91='5 ALMACEN '!D39,'5 ALMACEN '!D39=PRODUCCION!A95,PRODUCCION!A96='5 ALMACEN '!D39,),'5 ALMACEN '!B39+'5 ALMACEN '!C39,0)*D227)</f>
        <v>0</v>
      </c>
      <c r="E226" s="1022">
        <f>+((E231+E235+E239+E242)*E227+IF(OR('5 ALMACEN '!D40=PRODUCCION!A90,PRODUCCION!A91='5 ALMACEN '!D40,'5 ALMACEN '!D40=PRODUCCION!A95,PRODUCCION!A96='5 ALMACEN '!D40,),'5 ALMACEN '!B40+'5 ALMACEN '!C40,0))*E227</f>
        <v>0</v>
      </c>
      <c r="F226" s="1022">
        <f>+((F231+F235+F239+F242)*F227+IF(OR('5 ALMACEN '!D41=PRODUCCION!A90,PRODUCCION!A91='5 ALMACEN '!D41,'5 ALMACEN '!D41=PRODUCCION!A95,PRODUCCION!A96='5 ALMACEN '!D41,),'5 ALMACEN '!B41+'5 ALMACEN '!C41,0)*F227)</f>
        <v>0</v>
      </c>
      <c r="G226" s="1022">
        <f>+((G231+G235+G239+G242)*G227+IF(OR('5 ALMACEN '!D42=PRODUCCION!A90,PRODUCCION!A91='5 ALMACEN '!D42,'5 ALMACEN '!D42=PRODUCCION!A95,PRODUCCION!A96='5 ALMACEN '!D42,),'5 ALMACEN '!B42+'5 ALMACEN '!C42,0)*G227)</f>
        <v>0</v>
      </c>
      <c r="H226" s="1048">
        <f>+G226+F226+E226+D226</f>
        <v>0</v>
      </c>
      <c r="AK226" s="777" t="b">
        <f>IF('4 SUPERFICIES'!$A35&gt;10,IF('4 SUPERFICIES'!$A35&lt;31.1,IF('4 SUPERFICIES'!$C35&gt;10,IF('4 SUPERFICIES'!$C35&lt;57.6,'4 SUPERFICIES'!$AB35,0))))</f>
        <v>0</v>
      </c>
      <c r="AL226" s="777" t="b">
        <f>IF('4 SUPERFICIES'!$A35&gt;10,IF('4 SUPERFICIES'!$A35&lt;31.1,IF('4 SUPERFICIES'!$C35&gt;57.6,IF('4 SUPERFICIES'!$C35&lt;71.6,'4 SUPERFICIES'!$AB35,0))))</f>
        <v>0</v>
      </c>
      <c r="AM226" s="777" t="b">
        <f>IF('4 SUPERFICIES'!$A35&gt;10,IF('4 SUPERFICIES'!$A35&lt;31.1,IF('4 SUPERFICIES'!$C35&gt;71.5,IF('4 SUPERFICIES'!$C35&lt;85.6,'4 SUPERFICIES'!$AB35,0))))</f>
        <v>0</v>
      </c>
      <c r="AN226" s="777" t="b">
        <f>IF('4 SUPERFICIES'!$A35&gt;10,IF('4 SUPERFICIES'!$A35&lt;31.1,IF('4 SUPERFICIES'!$C35&gt;85.5,IF('4 SUPERFICIES'!$C35&lt;113.6,'4 SUPERFICIES'!$AB35,0))))</f>
        <v>0</v>
      </c>
      <c r="AO226" s="777" t="b">
        <f>IF('4 SUPERFICIES'!$A35&gt;10,IF('4 SUPERFICIES'!$A35&lt;31.1,IF('4 SUPERFICIES'!$C35&gt;113.5,IF('4 SUPERFICIES'!$C35&lt;141.6,'4 SUPERFICIES'!$AB35,0))))</f>
        <v>0</v>
      </c>
      <c r="AP226" s="777" t="b">
        <f>IF('4 SUPERFICIES'!$A35&gt;10,IF('4 SUPERFICIES'!$A35&lt;31.1,IF('4 SUPERFICIES'!$C35&gt;141.5,IF('4 SUPERFICIES'!$C35&lt;180.6,'4 SUPERFICIES'!$AB35,0))))</f>
        <v>0</v>
      </c>
      <c r="AQ226" s="777" t="b">
        <f>IF('4 SUPERFICIES'!$A35&gt;10,IF('4 SUPERFICIES'!$A35&lt;31.1,IF('4 SUPERFICIES'!$C35&gt;180.5,IF('4 SUPERFICIES'!$C35&lt;240.1,'4 SUPERFICIES'!$AB35,0))))</f>
        <v>0</v>
      </c>
      <c r="AS226" s="777" t="b">
        <f>IF('4 SUPERFICIES'!$A35&gt;31,IF('4 SUPERFICIES'!$A35&lt;45.5,IF('4 SUPERFICIES'!$C35&gt;10,IF('4 SUPERFICIES'!$C35&lt;57.6,'4 SUPERFICIES'!$AB35,0))))</f>
        <v>0</v>
      </c>
      <c r="AT226" s="777" t="b">
        <f>IF('4 SUPERFICIES'!$A35&gt;31,IF('4 SUPERFICIES'!$A35&lt;45.5,IF('4 SUPERFICIES'!$C35&gt;57.6,IF('4 SUPERFICIES'!$C35&lt;71.6,'4 SUPERFICIES'!$AB35,0))))</f>
        <v>0</v>
      </c>
      <c r="AU226" s="777" t="b">
        <f>IF('4 SUPERFICIES'!$A35&gt;31,IF('4 SUPERFICIES'!$A35&lt;45.5,IF('4 SUPERFICIES'!$C35&gt;71.5,IF('4 SUPERFICIES'!$C35&lt;85.6,'4 SUPERFICIES'!$AB35,0))))</f>
        <v>0</v>
      </c>
      <c r="AV226" s="777" t="b">
        <f>IF('4 SUPERFICIES'!$A35&gt;31,IF('4 SUPERFICIES'!$A35&lt;45.5,IF('4 SUPERFICIES'!$C35&gt;85.5,IF('4 SUPERFICIES'!$C35&lt;113.6,'4 SUPERFICIES'!$AB35,0))))</f>
        <v>0</v>
      </c>
      <c r="AW226" s="777" t="b">
        <f>IF('4 SUPERFICIES'!$A35&gt;31,IF('4 SUPERFICIES'!$A35&lt;45.5,IF('4 SUPERFICIES'!$C35&gt;113.5,IF('4 SUPERFICIES'!$C35&lt;141.6,'4 SUPERFICIES'!$AB35,0))))</f>
        <v>0</v>
      </c>
      <c r="AX226" s="777" t="b">
        <f>IF('4 SUPERFICIES'!$A35&gt;31,IF('4 SUPERFICIES'!$A35&lt;45.5,IF('4 SUPERFICIES'!$C35&gt;141.5,IF('4 SUPERFICIES'!$C35&lt;180.6,'4 SUPERFICIES'!$AB35,0))))</f>
        <v>0</v>
      </c>
      <c r="AY226" s="777" t="b">
        <f>IF('4 SUPERFICIES'!$A35&gt;31,IF('4 SUPERFICIES'!$A35&lt;45.5,IF('4 SUPERFICIES'!$C35&gt;180.5,IF('4 SUPERFICIES'!$C35&lt;240.1,'4 SUPERFICIES'!$AB35,0))))</f>
        <v>0</v>
      </c>
      <c r="BA226" s="777" t="b">
        <f>IF('4 SUPERFICIES'!$A35&gt;45.4,IF('4 SUPERFICIES'!$A35&lt;61.6,IF('4 SUPERFICIES'!$C35&gt;10,IF('4 SUPERFICIES'!$C35&lt;61.5,'4 SUPERFICIES'!$AB35,0))))</f>
        <v>0</v>
      </c>
      <c r="BB226" s="777" t="b">
        <f>IF('4 SUPERFICIES'!$A35&gt;45.4,IF('4 SUPERFICIES'!$A35&lt;61.6,IF('4 SUPERFICIES'!$C35&gt;61.1,IF('4 SUPERFICIES'!$C35&lt;71.6,'4 SUPERFICIES'!$AB35,0))))</f>
        <v>0</v>
      </c>
      <c r="BC226" s="777" t="b">
        <f>IF('4 SUPERFICIES'!$A35&gt;45.4,IF('4 SUPERFICIES'!$A35&lt;61.6,IF('4 SUPERFICIES'!$C35&gt;71.5,IF('4 SUPERFICIES'!$C35&lt;85.6,'4 SUPERFICIES'!$AB35,0))))</f>
        <v>0</v>
      </c>
      <c r="BD226" s="777" t="b">
        <f>IF('4 SUPERFICIES'!$A35&gt;45.4,IF('4 SUPERFICIES'!$A35&lt;61.6,IF('4 SUPERFICIES'!$C35&gt;85.5,IF('4 SUPERFICIES'!$C35&lt;113.6,'4 SUPERFICIES'!$AB35,0))))</f>
        <v>0</v>
      </c>
      <c r="BE226" s="777" t="b">
        <f>IF('4 SUPERFICIES'!$A35&gt;45.4,IF('4 SUPERFICIES'!$A35&lt;61.6,IF('4 SUPERFICIES'!$C35&gt;113.5,IF('4 SUPERFICIES'!$C35&lt;121.6,'4 SUPERFICIES'!$AB35,0))))</f>
        <v>0</v>
      </c>
      <c r="BF226" s="777" t="b">
        <f>IF('4 SUPERFICIES'!$A35&gt;45.4,IF('4 SUPERFICIES'!$A35&lt;61.6,IF('4 SUPERFICIES'!$C35&gt;121.5,IF('4 SUPERFICIES'!$C35&lt;127.6,'4 SUPERFICIES'!$AB35,0))))</f>
        <v>0</v>
      </c>
      <c r="BG226" s="777" t="b">
        <f>IF('4 SUPERFICIES'!$A35&gt;45.4,IF('4 SUPERFICIES'!$A35&lt;61.6,IF('4 SUPERFICIES'!$C35&gt;127.5,IF('4 SUPERFICIES'!$C35&lt;135.1,'4 SUPERFICIES'!$AB35,0))))</f>
        <v>0</v>
      </c>
      <c r="BH226" s="777" t="b">
        <f>IF('4 SUPERFICIES'!$A35&gt;45.4,IF('4 SUPERFICIES'!$A35&lt;61.6,IF('4 SUPERFICIES'!$C35&gt;135,IF('4 SUPERFICIES'!$C35&lt;141.6,'4 SUPERFICIES'!$AB35,0))))</f>
        <v>0</v>
      </c>
      <c r="BI226" s="777" t="b">
        <f>IF('4 SUPERFICIES'!$A35&gt;45.4,IF('4 SUPERFICIES'!$A35&lt;61.6,IF('4 SUPERFICIES'!$C35&gt;141.5,IF('4 SUPERFICIES'!$C35&lt;149.1,'4 SUPERFICIES'!$AB35,0))))</f>
        <v>0</v>
      </c>
      <c r="BJ226" s="777" t="b">
        <f>IF('4 SUPERFICIES'!$A35&gt;45.4,IF('4 SUPERFICIES'!$A35&lt;61.6,IF('4 SUPERFICIES'!$C35&gt;149,IF('4 SUPERFICIES'!$C35&lt;155.6,'4 SUPERFICIES'!$AB35,0))))</f>
        <v>0</v>
      </c>
      <c r="BK226" s="777" t="b">
        <f>IF('4 SUPERFICIES'!$A35&gt;45.4,IF('4 SUPERFICIES'!$A35&lt;61.6,IF('4 SUPERFICIES'!$C35&gt;155.5,IF('4 SUPERFICIES'!$C35&lt;163.1,'4 SUPERFICIES'!$AB35,0))))</f>
        <v>0</v>
      </c>
      <c r="BL226" s="777" t="b">
        <f>IF('4 SUPERFICIES'!$A35&gt;45.4,IF('4 SUPERFICIES'!$A35&lt;61.6,IF('4 SUPERFICIES'!$C35&gt;163,IF('4 SUPERFICIES'!$C35&lt;180.6,'4 SUPERFICIES'!$AB35,0))))</f>
        <v>0</v>
      </c>
      <c r="BM226" s="777" t="b">
        <f>IF('4 SUPERFICIES'!$A35&gt;45.4,IF('4 SUPERFICIES'!$A35&lt;61.6,IF('4 SUPERFICIES'!$C35&gt;180.5,IF('4 SUPERFICIES'!$C35&lt;240.1,'4 SUPERFICIES'!$AB35,0))))</f>
        <v>0</v>
      </c>
      <c r="BO226" s="869" t="s">
        <v>548</v>
      </c>
      <c r="BQ226" s="870">
        <f>+$BY$250</f>
        <v>0</v>
      </c>
      <c r="BS226" s="869"/>
      <c r="BT226" s="870">
        <f>+$BY$251</f>
        <v>0</v>
      </c>
      <c r="BV226" s="777" t="b">
        <f>IF('4 SUPERFICIES'!$A35&gt;61.5,IF('4 SUPERFICIES'!$A35&lt;71.6,IF('4 SUPERFICIES'!$C35&gt;10,IF('4 SUPERFICIES'!$C35&lt;57.6,'4 SUPERFICIES'!$AB35,0))))</f>
        <v>0</v>
      </c>
      <c r="BW226" s="777" t="b">
        <f>IF('4 SUPERFICIES'!$A35&gt;61.5,IF('4 SUPERFICIES'!$A35&lt;71.6,IF('4 SUPERFICIES'!$C35&gt;57.6,IF('4 SUPERFICIES'!$C35&lt;71.6,'4 SUPERFICIES'!$AB35,0))))</f>
        <v>0</v>
      </c>
      <c r="BX226" s="777" t="b">
        <f>IF('4 SUPERFICIES'!$A35&gt;61.5,IF('4 SUPERFICIES'!$A35&lt;71.6,IF('4 SUPERFICIES'!$C35&gt;71.5,IF('4 SUPERFICIES'!$C35&lt;85.6,'4 SUPERFICIES'!$AB35,0))))</f>
        <v>0</v>
      </c>
      <c r="BY226" s="777" t="b">
        <f>IF('4 SUPERFICIES'!$A35&gt;61.5,IF('4 SUPERFICIES'!$A35&lt;71.6,IF('4 SUPERFICIES'!$C35&gt;85.5,IF('4 SUPERFICIES'!$C35&lt;113.6,'4 SUPERFICIES'!$AB35,0))))</f>
        <v>0</v>
      </c>
      <c r="BZ226" s="777" t="b">
        <f>IF('4 SUPERFICIES'!$A35&gt;61.5,IF('4 SUPERFICIES'!$A35&lt;71.6,IF('4 SUPERFICIES'!$C35&gt;113.5,IF('4 SUPERFICIES'!$C35&lt;141.6,'4 SUPERFICIES'!$AB35,0))))</f>
        <v>0</v>
      </c>
      <c r="CA226" s="777" t="b">
        <f>IF('4 SUPERFICIES'!$A35&gt;61.5,IF('4 SUPERFICIES'!$A35&lt;71.6,IF('4 SUPERFICIES'!$C35&gt;141.5,IF('4 SUPERFICIES'!$C35&lt;149.1,'4 SUPERFICIES'!$AB35,0))))</f>
        <v>0</v>
      </c>
      <c r="CB226" s="777" t="b">
        <f>IF('4 SUPERFICIES'!$A35&gt;61.5,IF('4 SUPERFICIES'!$A35&lt;71.6,IF('4 SUPERFICIES'!$C35&gt;149,IF('4 SUPERFICIES'!$C35&lt;163.1,'4 SUPERFICIES'!$AB35,0))))</f>
        <v>0</v>
      </c>
      <c r="CC226" s="777" t="b">
        <f>IF('4 SUPERFICIES'!$A35&gt;61.5,IF('4 SUPERFICIES'!$A35&lt;71.6,IF('4 SUPERFICIES'!$C35&gt;163,IF('4 SUPERFICIES'!$C35&lt;180.6,'4 SUPERFICIES'!$AB35,0))))</f>
        <v>0</v>
      </c>
      <c r="CD226" s="777" t="b">
        <f>IF('4 SUPERFICIES'!$A35&gt;61.5,IF('4 SUPERFICIES'!$A35&lt;71.6,IF('4 SUPERFICIES'!$C35&gt;180.5,IF('4 SUPERFICIES'!$C35&lt;240.1,'4 SUPERFICIES'!$AB35,0))))</f>
        <v>0</v>
      </c>
      <c r="CF226" s="777" t="b">
        <f>IF('4 SUPERFICIES'!$A35&gt;71.5,IF('4 SUPERFICIES'!$A35&lt;120.6,IF('4 SUPERFICIES'!$C35&gt;10,IF('4 SUPERFICIES'!$C35&lt;57.6,'4 SUPERFICIES'!$AB35,0))))</f>
        <v>0</v>
      </c>
      <c r="CG226" s="777" t="b">
        <f>IF('4 SUPERFICIES'!$A35&gt;71.5,IF('4 SUPERFICIES'!$A35&lt;120.6,IF('4 SUPERFICIES'!$C35&gt;57.6,IF('4 SUPERFICIES'!$C35&lt;71.6,'4 SUPERFICIES'!$AB35,0))))</f>
        <v>0</v>
      </c>
      <c r="CH226" s="777" t="b">
        <f>IF('4 SUPERFICIES'!$A35&gt;71.5,IF('4 SUPERFICIES'!$A35&lt;120.6,IF('4 SUPERFICIES'!$C35&gt;71.5,IF('4 SUPERFICIES'!$C35&lt;85.6,'4 SUPERFICIES'!$AB35,0))))</f>
        <v>0</v>
      </c>
      <c r="CI226" s="777" t="b">
        <f>IF('4 SUPERFICIES'!$A35&gt;71.5,IF('4 SUPERFICIES'!$A35&lt;120.6,IF('4 SUPERFICIES'!$C35&gt;85.5,IF('4 SUPERFICIES'!$C35&lt;113.6,'4 SUPERFICIES'!$AB35,0))))</f>
        <v>0</v>
      </c>
      <c r="CJ226" s="777" t="b">
        <f>IF('4 SUPERFICIES'!$A35&gt;71.5,IF('4 SUPERFICIES'!$A35&lt;120.6,IF('4 SUPERFICIES'!$C35&gt;113.5,IF('4 SUPERFICIES'!$C35&lt;141.6,'4 SUPERFICIES'!$AB35,0))))</f>
        <v>0</v>
      </c>
      <c r="CK226" s="777" t="b">
        <f>IF('4 SUPERFICIES'!$A35&gt;71.5,IF('4 SUPERFICIES'!$A35&lt;120.6,IF('4 SUPERFICIES'!$C35&gt;141.5,IF('4 SUPERFICIES'!$C35&lt;180.6,'4 SUPERFICIES'!$AB35,0))))</f>
        <v>0</v>
      </c>
      <c r="CL226" s="777" t="b">
        <f>IF('4 SUPERFICIES'!$A35&gt;71.5,IF('4 SUPERFICIES'!$A35&lt;120.6,IF('4 SUPERFICIES'!$C35&gt;180.5,IF('4 SUPERFICIES'!$C35&lt;240.1,'4 SUPERFICIES'!$AB35,0))))</f>
        <v>0</v>
      </c>
      <c r="CN226" s="777">
        <f>IF('4 SUPERFICIES'!$C35&lt;150,IF(OR('4 SUPERFICIES'!$A35="MICRODER",'4 SUPERFICIES'!$A35="MICRO DER",),'4 SUPERFICIES'!$AB35,0))</f>
        <v>0</v>
      </c>
      <c r="CO226" s="777" t="b">
        <f>IF('4 SUPERFICIES'!$C35&gt;149.5,IF(OR('4 SUPERFICIES'!$A35="MICRODER",'4 SUPERFICIES'!$A35="MICRO DER",),'4 SUPERFICIES'!$AB35,0))</f>
        <v>0</v>
      </c>
      <c r="CP226" s="847"/>
      <c r="CQ226" s="777">
        <f>IF('4 SUPERFICIES'!$C35&lt;150,IF(OR('4 SUPERFICIES'!$A35="MICROIZQ",'4 SUPERFICIES'!$A35="MICRO IZQ",),'4 SUPERFICIES'!$AB35,0))</f>
        <v>0</v>
      </c>
      <c r="CR226" s="777" t="b">
        <f>IF('4 SUPERFICIES'!$C35&gt;149.5,IF(OR('4 SUPERFICIES'!$A35="MICROIZQ",'4 SUPERFICIES'!$A35="MICRO IZQ",),'4 SUPERFICIES'!$AB35,0))</f>
        <v>0</v>
      </c>
      <c r="CT226" s="837">
        <f>IF(OR('4 SUPERFICIES'!$A35="MICRO SEN",'4 SUPERFICIES'!$A35="MICROSEN",),'4 SUPERFICIES'!$AB35,0)</f>
        <v>0</v>
      </c>
      <c r="CV226" s="837" t="b">
        <f>IF('4 SUPERFICIES'!$A35="DIAMETRO",IF('4 SUPERFICIES'!$C35&lt;121.1,'4 SUPERFICIES'!$AB35,0))</f>
        <v>0</v>
      </c>
      <c r="CX226" s="858"/>
      <c r="CZ226" s="837" t="b">
        <f>IF('4 SUPERFICIES'!$A35="MOSTRADOR",IF('4 SUPERFICIES'!$C35="R60",'4 SUPERFICIES'!$AB35,0))</f>
        <v>0</v>
      </c>
      <c r="DB226" s="837">
        <f>IF(OR('4 SUPERFICIES'!$A35="PORTA PRIN",'4 SUPERFICIES'!$A35="PORTAPRIN",),'4 SUPERFICIES'!$AB35,0)</f>
        <v>0</v>
      </c>
      <c r="DD226" s="837">
        <f>IF(OR('4 SUPERFICIES'!$A35="PORTA BADE",'4 SUPERFICIES'!$A35="PORTABADE",),'4 SUPERFICIES'!$AB35,0)</f>
        <v>0</v>
      </c>
      <c r="DE226" s="837"/>
      <c r="DF226" s="837">
        <f>IF(OR('4 SUPERFICIES'!$A35="RETORNO IZQ",'4 SUPERFICIES'!$A35="RETORNO DER",),'4 SUPERFICIES'!$AB135,0)</f>
        <v>0</v>
      </c>
      <c r="DG226" s="837"/>
      <c r="DH226" s="837">
        <f>IF(OR('4 SUPERFICIES'!$A35="PITO Q",'4 SUPERFICIES'!$A35="PITO P",'4 SUPERFICIES'!$A35="DIAMETRO INTEGRADA",),'4 SUPERFICIES'!$AB35,0)</f>
        <v>0</v>
      </c>
      <c r="DJ226" s="858"/>
      <c r="DK226" s="837"/>
      <c r="DL226" s="837">
        <f>IF('4 SUPERFICIES'!$A35="SUPERFICIE OVAL",'4 SUPERFICIES'!$AB35,0)</f>
        <v>0</v>
      </c>
      <c r="DN226" s="838"/>
      <c r="DO226" s="838"/>
      <c r="DP226" s="838"/>
      <c r="DQ226" s="838"/>
      <c r="DR226" s="838"/>
      <c r="DS226" s="838"/>
      <c r="DT226" s="838"/>
      <c r="DU226" s="838"/>
      <c r="DV226" s="838"/>
      <c r="DW226" s="838"/>
      <c r="DX226" s="838"/>
      <c r="DY226" s="838"/>
      <c r="DZ226" s="838"/>
      <c r="EA226" s="838"/>
      <c r="EB226" s="838"/>
      <c r="EC226" s="838"/>
      <c r="ED226" s="838"/>
      <c r="EE226" s="852"/>
      <c r="EG226" s="682">
        <f>IF('4 SUPERFICIES'!A35="MICRO DER",85,IF('4 SUPERFICIES'!A35="MICRO IZQ",85,IF('4 SUPERFICIES'!A35="MICRO SEN",170,IF('4 SUPERFICIES'!A35="DIAMETRO",3.14*'4 SUPERFICIES'!C35/2,IF('4 SUPERFICIES'!A35="MOSTRADOR",136,IF('4 SUPERFICIES'!A35="PORTA",65,IF('4 SUPERFICIES'!A35="PITO Q",90,IF('4 SUPERFICIES'!A35="PITO P",90,'4 SUPERFICIES'!A35))))))))</f>
        <v>0</v>
      </c>
      <c r="EH226" s="682"/>
      <c r="EI226" s="682">
        <f>IF('4 SUPERFICIES'!A35="DIAMETRO",0,IF('4 SUPERFICIES'!C35="PRINCIPAL",160,IF('4 SUPERFICIES'!C35="BADE",190,IF('4 SUPERFICIES'!C35="RETORNO",100,IF('4 SUPERFICIES'!C35="R 60",100,IF('4 SUPERFICIES'!C35="R60",100,'4 SUPERFICIES'!C35))))))</f>
        <v>0</v>
      </c>
      <c r="EJ226" s="682"/>
      <c r="EK226" s="682">
        <f>IF('4 SUPERFICIES'!$F35='4 SUPERFICIES'!$AG$15,((EG226*2)+(EI226*2))*'4 SUPERFICIES'!AB35,0)</f>
        <v>0</v>
      </c>
      <c r="EL226" s="682"/>
      <c r="EM226" s="682">
        <f>IF('4 SUPERFICIES'!$F35='4 SUPERFICIES'!$AG$16,((EG226*2)+(EI226*2))*'4 SUPERFICIES'!AB35,0)</f>
        <v>0</v>
      </c>
      <c r="EO226" s="682">
        <f>IF('4 SUPERFICIES'!$F35='4 SUPERFICIES'!$AG$17,((EG226*2)+(EI226*2))*'4 SUPERFICIES'!AB35,0)</f>
        <v>0</v>
      </c>
      <c r="EP226" s="838"/>
      <c r="EQ226" s="682">
        <f>IF('4 SUPERFICIES'!$F35='4 SUPERFICIES'!$AG$18,((EG226*2)+(EI226*2))*'4 SUPERFICIES'!AB35,0)</f>
        <v>0</v>
      </c>
      <c r="ER226" s="838"/>
      <c r="ES226" s="858"/>
      <c r="ET226" s="858"/>
      <c r="EU226" s="858"/>
      <c r="EV226" s="858"/>
      <c r="EW226" s="838"/>
      <c r="EX226" s="838"/>
      <c r="EY226" s="838"/>
      <c r="EZ226" s="838"/>
      <c r="FA226" s="838"/>
      <c r="FB226" s="838"/>
      <c r="FC226" s="838"/>
      <c r="FD226" s="838"/>
      <c r="FE226" s="838"/>
      <c r="FF226" s="838"/>
      <c r="FG226" s="838"/>
      <c r="FH226" s="838"/>
      <c r="FI226" s="838"/>
      <c r="FJ226" s="838"/>
      <c r="FK226" s="838"/>
      <c r="FL226" s="838"/>
      <c r="FM226" s="838"/>
      <c r="FN226" s="838"/>
      <c r="FO226" s="838"/>
      <c r="FP226" s="838"/>
      <c r="GM226" s="858"/>
      <c r="GN226" s="838"/>
      <c r="GO226" s="858"/>
      <c r="GP226" s="858"/>
      <c r="GQ226" s="858"/>
      <c r="GR226" s="838"/>
      <c r="GS226" s="838"/>
      <c r="HF226" s="700">
        <v>22</v>
      </c>
      <c r="HH226" s="591">
        <v>22</v>
      </c>
    </row>
    <row r="227" spans="1:216" ht="26.25" x14ac:dyDescent="0.4">
      <c r="A227" s="848">
        <f>IF(OR('5 ALMACEN '!$D$37="TIPO B",'5 ALMACEN '!$D$37="TIPOB",'5 ALMACEN '!$D$37="TIPO B  ",),'5 ALMACEN '!B42+'5 ALMACEN '!C42,0)</f>
        <v>0</v>
      </c>
      <c r="B227" s="874">
        <v>112</v>
      </c>
      <c r="C227" s="845"/>
      <c r="D227" s="850">
        <f>1/30</f>
        <v>3.3333333333333333E-2</v>
      </c>
      <c r="E227" s="851">
        <f>1/24</f>
        <v>4.1666666666666664E-2</v>
      </c>
      <c r="F227" s="1023">
        <f>1/20</f>
        <v>0.05</v>
      </c>
      <c r="G227" s="1024">
        <f>1/16</f>
        <v>6.25E-2</v>
      </c>
      <c r="AK227" s="777" t="b">
        <f>IF('4 SUPERFICIES'!$A36&gt;10,IF('4 SUPERFICIES'!$A36&lt;31.1,IF('4 SUPERFICIES'!$C36&gt;10,IF('4 SUPERFICIES'!$C36&lt;57.6,'4 SUPERFICIES'!$AB36,0))))</f>
        <v>0</v>
      </c>
      <c r="AL227" s="777" t="b">
        <f>IF('4 SUPERFICIES'!$A36&gt;10,IF('4 SUPERFICIES'!$A36&lt;31.1,IF('4 SUPERFICIES'!$C36&gt;57.6,IF('4 SUPERFICIES'!$C36&lt;71.6,'4 SUPERFICIES'!$AB36,0))))</f>
        <v>0</v>
      </c>
      <c r="AM227" s="777" t="b">
        <f>IF('4 SUPERFICIES'!$A36&gt;10,IF('4 SUPERFICIES'!$A36&lt;31.1,IF('4 SUPERFICIES'!$C36&gt;71.5,IF('4 SUPERFICIES'!$C36&lt;85.6,'4 SUPERFICIES'!$AB36,0))))</f>
        <v>0</v>
      </c>
      <c r="AN227" s="777" t="b">
        <f>IF('4 SUPERFICIES'!$A36&gt;10,IF('4 SUPERFICIES'!$A36&lt;31.1,IF('4 SUPERFICIES'!$C36&gt;85.5,IF('4 SUPERFICIES'!$C36&lt;113.6,'4 SUPERFICIES'!$AB36,0))))</f>
        <v>0</v>
      </c>
      <c r="AO227" s="777" t="b">
        <f>IF('4 SUPERFICIES'!$A36&gt;10,IF('4 SUPERFICIES'!$A36&lt;31.1,IF('4 SUPERFICIES'!$C36&gt;113.5,IF('4 SUPERFICIES'!$C36&lt;141.6,'4 SUPERFICIES'!$AB36,0))))</f>
        <v>0</v>
      </c>
      <c r="AP227" s="777" t="b">
        <f>IF('4 SUPERFICIES'!$A36&gt;10,IF('4 SUPERFICIES'!$A36&lt;31.1,IF('4 SUPERFICIES'!$C36&gt;141.5,IF('4 SUPERFICIES'!$C36&lt;180.6,'4 SUPERFICIES'!$AB36,0))))</f>
        <v>0</v>
      </c>
      <c r="AQ227" s="777" t="b">
        <f>IF('4 SUPERFICIES'!$A36&gt;10,IF('4 SUPERFICIES'!$A36&lt;31.1,IF('4 SUPERFICIES'!$C36&gt;180.5,IF('4 SUPERFICIES'!$C36&lt;240.1,'4 SUPERFICIES'!$AB36,0))))</f>
        <v>0</v>
      </c>
      <c r="AS227" s="777" t="b">
        <f>IF('4 SUPERFICIES'!$A36&gt;31,IF('4 SUPERFICIES'!$A36&lt;45.5,IF('4 SUPERFICIES'!$C36&gt;10,IF('4 SUPERFICIES'!$C36&lt;57.6,'4 SUPERFICIES'!$AB36,0))))</f>
        <v>0</v>
      </c>
      <c r="AT227" s="777" t="b">
        <f>IF('4 SUPERFICIES'!$A36&gt;31,IF('4 SUPERFICIES'!$A36&lt;45.5,IF('4 SUPERFICIES'!$C36&gt;57.6,IF('4 SUPERFICIES'!$C36&lt;71.6,'4 SUPERFICIES'!$AB36,0))))</f>
        <v>0</v>
      </c>
      <c r="AU227" s="777" t="b">
        <f>IF('4 SUPERFICIES'!$A36&gt;31,IF('4 SUPERFICIES'!$A36&lt;45.5,IF('4 SUPERFICIES'!$C36&gt;71.5,IF('4 SUPERFICIES'!$C36&lt;85.6,'4 SUPERFICIES'!$AB36,0))))</f>
        <v>0</v>
      </c>
      <c r="AV227" s="777" t="b">
        <f>IF('4 SUPERFICIES'!$A36&gt;31,IF('4 SUPERFICIES'!$A36&lt;45.5,IF('4 SUPERFICIES'!$C36&gt;85.5,IF('4 SUPERFICIES'!$C36&lt;113.6,'4 SUPERFICIES'!$AB36,0))))</f>
        <v>0</v>
      </c>
      <c r="AW227" s="777" t="b">
        <f>IF('4 SUPERFICIES'!$A36&gt;31,IF('4 SUPERFICIES'!$A36&lt;45.5,IF('4 SUPERFICIES'!$C36&gt;113.5,IF('4 SUPERFICIES'!$C36&lt;141.6,'4 SUPERFICIES'!$AB36,0))))</f>
        <v>0</v>
      </c>
      <c r="AX227" s="777" t="b">
        <f>IF('4 SUPERFICIES'!$A36&gt;31,IF('4 SUPERFICIES'!$A36&lt;45.5,IF('4 SUPERFICIES'!$C36&gt;141.5,IF('4 SUPERFICIES'!$C36&lt;180.6,'4 SUPERFICIES'!$AB36,0))))</f>
        <v>0</v>
      </c>
      <c r="AY227" s="777" t="b">
        <f>IF('4 SUPERFICIES'!$A36&gt;31,IF('4 SUPERFICIES'!$A36&lt;45.5,IF('4 SUPERFICIES'!$C36&gt;180.5,IF('4 SUPERFICIES'!$C36&lt;240.1,'4 SUPERFICIES'!$AB36,0))))</f>
        <v>0</v>
      </c>
      <c r="BA227" s="777" t="b">
        <f>IF('4 SUPERFICIES'!$A36&gt;45.4,IF('4 SUPERFICIES'!$A36&lt;61.6,IF('4 SUPERFICIES'!$C36&gt;10,IF('4 SUPERFICIES'!$C36&lt;61.5,'4 SUPERFICIES'!$AB36,0))))</f>
        <v>0</v>
      </c>
      <c r="BB227" s="777" t="b">
        <f>IF('4 SUPERFICIES'!$A36&gt;45.4,IF('4 SUPERFICIES'!$A36&lt;61.6,IF('4 SUPERFICIES'!$C36&gt;61.1,IF('4 SUPERFICIES'!$C36&lt;71.6,'4 SUPERFICIES'!$AB36,0))))</f>
        <v>0</v>
      </c>
      <c r="BC227" s="777" t="b">
        <f>IF('4 SUPERFICIES'!$A36&gt;45.4,IF('4 SUPERFICIES'!$A36&lt;61.6,IF('4 SUPERFICIES'!$C36&gt;71.5,IF('4 SUPERFICIES'!$C36&lt;85.6,'4 SUPERFICIES'!$AB36,0))))</f>
        <v>0</v>
      </c>
      <c r="BD227" s="777" t="b">
        <f>IF('4 SUPERFICIES'!$A36&gt;45.4,IF('4 SUPERFICIES'!$A36&lt;61.6,IF('4 SUPERFICIES'!$C36&gt;85.5,IF('4 SUPERFICIES'!$C36&lt;113.6,'4 SUPERFICIES'!$AB36,0))))</f>
        <v>0</v>
      </c>
      <c r="BE227" s="777" t="b">
        <f>IF('4 SUPERFICIES'!$A36&gt;45.4,IF('4 SUPERFICIES'!$A36&lt;61.6,IF('4 SUPERFICIES'!$C36&gt;113.5,IF('4 SUPERFICIES'!$C36&lt;121.6,'4 SUPERFICIES'!$AB36,0))))</f>
        <v>0</v>
      </c>
      <c r="BF227" s="777" t="b">
        <f>IF('4 SUPERFICIES'!$A36&gt;45.4,IF('4 SUPERFICIES'!$A36&lt;61.6,IF('4 SUPERFICIES'!$C36&gt;121.5,IF('4 SUPERFICIES'!$C36&lt;127.6,'4 SUPERFICIES'!$AB36,0))))</f>
        <v>0</v>
      </c>
      <c r="BG227" s="777" t="b">
        <f>IF('4 SUPERFICIES'!$A36&gt;45.4,IF('4 SUPERFICIES'!$A36&lt;61.6,IF('4 SUPERFICIES'!$C36&gt;127.5,IF('4 SUPERFICIES'!$C36&lt;135.1,'4 SUPERFICIES'!$AB36,0))))</f>
        <v>0</v>
      </c>
      <c r="BH227" s="777" t="b">
        <f>IF('4 SUPERFICIES'!$A36&gt;45.4,IF('4 SUPERFICIES'!$A36&lt;61.6,IF('4 SUPERFICIES'!$C36&gt;135,IF('4 SUPERFICIES'!$C36&lt;141.6,'4 SUPERFICIES'!$AB36,0))))</f>
        <v>0</v>
      </c>
      <c r="BI227" s="777" t="b">
        <f>IF('4 SUPERFICIES'!$A36&gt;45.4,IF('4 SUPERFICIES'!$A36&lt;61.6,IF('4 SUPERFICIES'!$C36&gt;141.5,IF('4 SUPERFICIES'!$C36&lt;149.1,'4 SUPERFICIES'!$AB36,0))))</f>
        <v>0</v>
      </c>
      <c r="BJ227" s="777" t="b">
        <f>IF('4 SUPERFICIES'!$A36&gt;45.4,IF('4 SUPERFICIES'!$A36&lt;61.6,IF('4 SUPERFICIES'!$C36&gt;149,IF('4 SUPERFICIES'!$C36&lt;155.6,'4 SUPERFICIES'!$AB36,0))))</f>
        <v>0</v>
      </c>
      <c r="BK227" s="777" t="b">
        <f>IF('4 SUPERFICIES'!$A36&gt;45.4,IF('4 SUPERFICIES'!$A36&lt;61.6,IF('4 SUPERFICIES'!$C36&gt;155.5,IF('4 SUPERFICIES'!$C36&lt;163.1,'4 SUPERFICIES'!$AB36,0))))</f>
        <v>0</v>
      </c>
      <c r="BL227" s="777" t="b">
        <f>IF('4 SUPERFICIES'!$A36&gt;45.4,IF('4 SUPERFICIES'!$A36&lt;61.6,IF('4 SUPERFICIES'!$C36&gt;163,IF('4 SUPERFICIES'!$C36&lt;180.6,'4 SUPERFICIES'!$AB36,0))))</f>
        <v>0</v>
      </c>
      <c r="BM227" s="777" t="b">
        <f>IF('4 SUPERFICIES'!$A36&gt;45.4,IF('4 SUPERFICIES'!$A36&lt;61.6,IF('4 SUPERFICIES'!$C36&gt;180.5,IF('4 SUPERFICIES'!$C36&lt;240.1,'4 SUPERFICIES'!$AB36,0))))</f>
        <v>0</v>
      </c>
      <c r="BO227" s="869" t="s">
        <v>549</v>
      </c>
      <c r="BQ227" s="870">
        <f>+$BZ$250</f>
        <v>0</v>
      </c>
      <c r="BS227" s="869"/>
      <c r="BT227" s="870">
        <f>+$BZ$251</f>
        <v>0</v>
      </c>
      <c r="BV227" s="777" t="b">
        <f>IF('4 SUPERFICIES'!$A36&gt;61.5,IF('4 SUPERFICIES'!$A36&lt;71.6,IF('4 SUPERFICIES'!$C36&gt;10,IF('4 SUPERFICIES'!$C36&lt;57.6,'4 SUPERFICIES'!$AB36,0))))</f>
        <v>0</v>
      </c>
      <c r="BW227" s="777" t="b">
        <f>IF('4 SUPERFICIES'!$A36&gt;61.5,IF('4 SUPERFICIES'!$A36&lt;71.6,IF('4 SUPERFICIES'!$C36&gt;57.6,IF('4 SUPERFICIES'!$C36&lt;71.6,'4 SUPERFICIES'!$AB36,0))))</f>
        <v>0</v>
      </c>
      <c r="BX227" s="777" t="b">
        <f>IF('4 SUPERFICIES'!$A36&gt;61.5,IF('4 SUPERFICIES'!$A36&lt;71.6,IF('4 SUPERFICIES'!$C36&gt;71.5,IF('4 SUPERFICIES'!$C36&lt;85.6,'4 SUPERFICIES'!$AB36,0))))</f>
        <v>0</v>
      </c>
      <c r="BY227" s="777" t="b">
        <f>IF('4 SUPERFICIES'!$A36&gt;61.5,IF('4 SUPERFICIES'!$A36&lt;71.6,IF('4 SUPERFICIES'!$C36&gt;85.5,IF('4 SUPERFICIES'!$C36&lt;113.6,'4 SUPERFICIES'!$AB36,0))))</f>
        <v>0</v>
      </c>
      <c r="BZ227" s="777" t="b">
        <f>IF('4 SUPERFICIES'!$A36&gt;61.5,IF('4 SUPERFICIES'!$A36&lt;71.6,IF('4 SUPERFICIES'!$C36&gt;113.5,IF('4 SUPERFICIES'!$C36&lt;141.6,'4 SUPERFICIES'!$AB36,0))))</f>
        <v>0</v>
      </c>
      <c r="CA227" s="777" t="b">
        <f>IF('4 SUPERFICIES'!$A36&gt;61.5,IF('4 SUPERFICIES'!$A36&lt;71.6,IF('4 SUPERFICIES'!$C36&gt;141.5,IF('4 SUPERFICIES'!$C36&lt;149.1,'4 SUPERFICIES'!$AB36,0))))</f>
        <v>0</v>
      </c>
      <c r="CB227" s="777" t="b">
        <f>IF('4 SUPERFICIES'!$A36&gt;61.5,IF('4 SUPERFICIES'!$A36&lt;71.6,IF('4 SUPERFICIES'!$C36&gt;149,IF('4 SUPERFICIES'!$C36&lt;163.1,'4 SUPERFICIES'!$AB36,0))))</f>
        <v>0</v>
      </c>
      <c r="CC227" s="777" t="b">
        <f>IF('4 SUPERFICIES'!$A36&gt;61.5,IF('4 SUPERFICIES'!$A36&lt;71.6,IF('4 SUPERFICIES'!$C36&gt;163,IF('4 SUPERFICIES'!$C36&lt;180.6,'4 SUPERFICIES'!$AB36,0))))</f>
        <v>0</v>
      </c>
      <c r="CD227" s="777" t="b">
        <f>IF('4 SUPERFICIES'!$A36&gt;61.5,IF('4 SUPERFICIES'!$A36&lt;71.6,IF('4 SUPERFICIES'!$C36&gt;180.5,IF('4 SUPERFICIES'!$C36&lt;240.1,'4 SUPERFICIES'!$AB36,0))))</f>
        <v>0</v>
      </c>
      <c r="CF227" s="777" t="b">
        <f>IF('4 SUPERFICIES'!$A36&gt;71.5,IF('4 SUPERFICIES'!$A36&lt;120.6,IF('4 SUPERFICIES'!$C36&gt;10,IF('4 SUPERFICIES'!$C36&lt;57.6,'4 SUPERFICIES'!$AB36,0))))</f>
        <v>0</v>
      </c>
      <c r="CG227" s="777" t="b">
        <f>IF('4 SUPERFICIES'!$A36&gt;71.5,IF('4 SUPERFICIES'!$A36&lt;120.6,IF('4 SUPERFICIES'!$C36&gt;57.6,IF('4 SUPERFICIES'!$C36&lt;71.6,'4 SUPERFICIES'!$AB36,0))))</f>
        <v>0</v>
      </c>
      <c r="CH227" s="777" t="b">
        <f>IF('4 SUPERFICIES'!$A36&gt;71.5,IF('4 SUPERFICIES'!$A36&lt;120.6,IF('4 SUPERFICIES'!$C36&gt;71.5,IF('4 SUPERFICIES'!$C36&lt;85.6,'4 SUPERFICIES'!$AB36,0))))</f>
        <v>0</v>
      </c>
      <c r="CI227" s="777" t="b">
        <f>IF('4 SUPERFICIES'!$A36&gt;71.5,IF('4 SUPERFICIES'!$A36&lt;120.6,IF('4 SUPERFICIES'!$C36&gt;85.5,IF('4 SUPERFICIES'!$C36&lt;113.6,'4 SUPERFICIES'!$AB36,0))))</f>
        <v>0</v>
      </c>
      <c r="CJ227" s="777" t="b">
        <f>IF('4 SUPERFICIES'!$A36&gt;71.5,IF('4 SUPERFICIES'!$A36&lt;120.6,IF('4 SUPERFICIES'!$C36&gt;113.5,IF('4 SUPERFICIES'!$C36&lt;141.6,'4 SUPERFICIES'!$AB36,0))))</f>
        <v>0</v>
      </c>
      <c r="CK227" s="777" t="b">
        <f>IF('4 SUPERFICIES'!$A36&gt;71.5,IF('4 SUPERFICIES'!$A36&lt;120.6,IF('4 SUPERFICIES'!$C36&gt;141.5,IF('4 SUPERFICIES'!$C36&lt;180.6,'4 SUPERFICIES'!$AB36,0))))</f>
        <v>0</v>
      </c>
      <c r="CL227" s="777" t="b">
        <f>IF('4 SUPERFICIES'!$A36&gt;71.5,IF('4 SUPERFICIES'!$A36&lt;120.6,IF('4 SUPERFICIES'!$C36&gt;180.5,IF('4 SUPERFICIES'!$C36&lt;240.1,'4 SUPERFICIES'!$AB36,0))))</f>
        <v>0</v>
      </c>
      <c r="CN227" s="777">
        <f>IF('4 SUPERFICIES'!$C36&lt;150,IF(OR('4 SUPERFICIES'!$A36="MICRODER",'4 SUPERFICIES'!$A36="MICRO DER",),'4 SUPERFICIES'!$AB36,0))</f>
        <v>0</v>
      </c>
      <c r="CO227" s="777" t="b">
        <f>IF('4 SUPERFICIES'!$C36&gt;149.5,IF(OR('4 SUPERFICIES'!$A36="MICRODER",'4 SUPERFICIES'!$A36="MICRO DER",),'4 SUPERFICIES'!$AB36,0))</f>
        <v>0</v>
      </c>
      <c r="CP227" s="847"/>
      <c r="CQ227" s="777">
        <f>IF('4 SUPERFICIES'!$C36&lt;150,IF(OR('4 SUPERFICIES'!$A36="MICROIZQ",'4 SUPERFICIES'!$A36="MICRO IZQ",),'4 SUPERFICIES'!$AB36,0))</f>
        <v>0</v>
      </c>
      <c r="CR227" s="777" t="b">
        <f>IF('4 SUPERFICIES'!$C36&gt;149.5,IF(OR('4 SUPERFICIES'!$A36="MICROIZQ",'4 SUPERFICIES'!$A36="MICRO IZQ",),'4 SUPERFICIES'!$AB36,0))</f>
        <v>0</v>
      </c>
      <c r="CT227" s="837">
        <f>IF(OR('4 SUPERFICIES'!$A36="MICRO SEN",'4 SUPERFICIES'!$A36="MICROSEN",),'4 SUPERFICIES'!$AB36,0)</f>
        <v>0</v>
      </c>
      <c r="CV227" s="837" t="b">
        <f>IF('4 SUPERFICIES'!$A36="DIAMETRO",IF('4 SUPERFICIES'!$C36&lt;121.1,'4 SUPERFICIES'!$AB36,0))</f>
        <v>0</v>
      </c>
      <c r="CX227" s="858"/>
      <c r="CZ227" s="837" t="b">
        <f>IF('4 SUPERFICIES'!$A36="MOSTRADOR",IF('4 SUPERFICIES'!$C36="R60",'4 SUPERFICIES'!$AB36,0))</f>
        <v>0</v>
      </c>
      <c r="DB227" s="837">
        <f>IF(OR('4 SUPERFICIES'!$A36="PORTA PRIN",'4 SUPERFICIES'!$A36="PORTAPRIN",),'4 SUPERFICIES'!$AB36,0)</f>
        <v>0</v>
      </c>
      <c r="DD227" s="837">
        <f>IF(OR('4 SUPERFICIES'!$A36="PORTA BADE",'4 SUPERFICIES'!$A36="PORTABADE",),'4 SUPERFICIES'!$AB36,0)</f>
        <v>0</v>
      </c>
      <c r="DE227" s="837"/>
      <c r="DF227" s="837">
        <f>IF(OR('4 SUPERFICIES'!$A36="RETORNO IZQ",'4 SUPERFICIES'!$A36="RETORNO DER",),'4 SUPERFICIES'!$AB136,0)</f>
        <v>0</v>
      </c>
      <c r="DG227" s="837"/>
      <c r="DH227" s="837">
        <f>IF(OR('4 SUPERFICIES'!$A36="PITO Q",'4 SUPERFICIES'!$A36="PITO P",'4 SUPERFICIES'!$A36="DIAMETRO INTEGRADA",),'4 SUPERFICIES'!$AB36,0)</f>
        <v>0</v>
      </c>
      <c r="DJ227" s="858"/>
      <c r="DK227" s="837"/>
      <c r="DL227" s="837">
        <f>IF('4 SUPERFICIES'!$A36="SUPERFICIE OVAL",'4 SUPERFICIES'!$AB36,0)</f>
        <v>0</v>
      </c>
      <c r="DN227" s="838"/>
      <c r="DO227" s="838"/>
      <c r="DP227" s="838"/>
      <c r="DQ227" s="838"/>
      <c r="DR227" s="838"/>
      <c r="DS227" s="838"/>
      <c r="DT227" s="838"/>
      <c r="DU227" s="838"/>
      <c r="DV227" s="838"/>
      <c r="DW227" s="838"/>
      <c r="DX227" s="838"/>
      <c r="DY227" s="838"/>
      <c r="DZ227" s="838"/>
      <c r="EA227" s="838"/>
      <c r="EB227" s="838"/>
      <c r="EC227" s="838"/>
      <c r="ED227" s="838"/>
      <c r="EE227" s="852"/>
      <c r="EG227" s="682">
        <f>IF('4 SUPERFICIES'!A36="MICRO DER",85,IF('4 SUPERFICIES'!A36="MICRO IZQ",85,IF('4 SUPERFICIES'!A36="MICRO SEN",170,IF('4 SUPERFICIES'!A36="DIAMETRO",3.14*'4 SUPERFICIES'!C36/2,IF('4 SUPERFICIES'!A36="MOSTRADOR",136,IF('4 SUPERFICIES'!A36="PORTA",65,IF('4 SUPERFICIES'!A36="PITO Q",90,IF('4 SUPERFICIES'!A36="PITO P",90,'4 SUPERFICIES'!A36))))))))</f>
        <v>0</v>
      </c>
      <c r="EH227" s="682"/>
      <c r="EI227" s="682">
        <f>IF('4 SUPERFICIES'!A36="DIAMETRO",0,IF('4 SUPERFICIES'!C36="PRINCIPAL",160,IF('4 SUPERFICIES'!C36="BADE",190,IF('4 SUPERFICIES'!C36="RETORNO",100,IF('4 SUPERFICIES'!C36="R 60",100,IF('4 SUPERFICIES'!C36="R60",100,'4 SUPERFICIES'!C36))))))</f>
        <v>0</v>
      </c>
      <c r="EJ227" s="682"/>
      <c r="EK227" s="682">
        <f>IF('4 SUPERFICIES'!$F36='4 SUPERFICIES'!$AG$15,((EG227*2)+(EI227*2))*'4 SUPERFICIES'!AB36,0)</f>
        <v>0</v>
      </c>
      <c r="EL227" s="682"/>
      <c r="EM227" s="682">
        <f>IF('4 SUPERFICIES'!$F36='4 SUPERFICIES'!$AG$16,((EG227*2)+(EI227*2))*'4 SUPERFICIES'!AB36,0)</f>
        <v>0</v>
      </c>
      <c r="EO227" s="682">
        <f>IF('4 SUPERFICIES'!$F36='4 SUPERFICIES'!$AG$17,((EG227*2)+(EI227*2))*'4 SUPERFICIES'!AB36,0)</f>
        <v>0</v>
      </c>
      <c r="EP227" s="838"/>
      <c r="EQ227" s="682">
        <f>IF('4 SUPERFICIES'!$F36='4 SUPERFICIES'!$AG$18,((EG227*2)+(EI227*2))*'4 SUPERFICIES'!AB36,0)</f>
        <v>0</v>
      </c>
      <c r="ER227" s="838"/>
      <c r="ES227" s="858"/>
      <c r="ET227" s="858"/>
      <c r="EU227" s="858"/>
      <c r="EV227" s="858"/>
      <c r="EW227" s="838"/>
      <c r="EX227" s="838"/>
      <c r="EY227" s="838"/>
      <c r="EZ227" s="838"/>
      <c r="FA227" s="838"/>
      <c r="FB227" s="838"/>
      <c r="FC227" s="838"/>
      <c r="FD227" s="838"/>
      <c r="FE227" s="838"/>
      <c r="FF227" s="838"/>
      <c r="FG227" s="838"/>
      <c r="FH227" s="838"/>
      <c r="FI227" s="838"/>
      <c r="FJ227" s="838"/>
      <c r="FK227" s="838"/>
      <c r="FL227" s="838"/>
      <c r="FM227" s="838"/>
      <c r="FN227" s="838"/>
      <c r="FO227" s="838"/>
      <c r="FP227" s="838"/>
      <c r="GM227" s="858"/>
      <c r="GN227" s="838"/>
      <c r="GO227" s="858"/>
      <c r="GP227" s="858"/>
      <c r="GQ227" s="858"/>
      <c r="GR227" s="838"/>
      <c r="GS227" s="838"/>
      <c r="HF227" s="700">
        <v>22.5</v>
      </c>
      <c r="HH227" s="591">
        <v>22.5</v>
      </c>
    </row>
    <row r="228" spans="1:216" ht="26.25" x14ac:dyDescent="0.4">
      <c r="A228" s="876"/>
      <c r="B228" s="874"/>
      <c r="C228" s="845"/>
      <c r="D228" s="845"/>
      <c r="E228" s="845"/>
      <c r="F228" s="845"/>
      <c r="G228" s="845"/>
      <c r="AK228" s="777" t="b">
        <f>IF('4 SUPERFICIES'!$A37&gt;10,IF('4 SUPERFICIES'!$A37&lt;31.1,IF('4 SUPERFICIES'!$C37&gt;10,IF('4 SUPERFICIES'!$C37&lt;57.6,'4 SUPERFICIES'!$AB37,0))))</f>
        <v>0</v>
      </c>
      <c r="AL228" s="777" t="b">
        <f>IF('4 SUPERFICIES'!$A37&gt;10,IF('4 SUPERFICIES'!$A37&lt;31.1,IF('4 SUPERFICIES'!$C37&gt;57.6,IF('4 SUPERFICIES'!$C37&lt;71.6,'4 SUPERFICIES'!$AB37,0))))</f>
        <v>0</v>
      </c>
      <c r="AM228" s="777" t="b">
        <f>IF('4 SUPERFICIES'!$A37&gt;10,IF('4 SUPERFICIES'!$A37&lt;31.1,IF('4 SUPERFICIES'!$C37&gt;71.5,IF('4 SUPERFICIES'!$C37&lt;85.6,'4 SUPERFICIES'!$AB37,0))))</f>
        <v>0</v>
      </c>
      <c r="AN228" s="777" t="b">
        <f>IF('4 SUPERFICIES'!$A37&gt;10,IF('4 SUPERFICIES'!$A37&lt;31.1,IF('4 SUPERFICIES'!$C37&gt;85.5,IF('4 SUPERFICIES'!$C37&lt;113.6,'4 SUPERFICIES'!$AB37,0))))</f>
        <v>0</v>
      </c>
      <c r="AO228" s="777" t="b">
        <f>IF('4 SUPERFICIES'!$A37&gt;10,IF('4 SUPERFICIES'!$A37&lt;31.1,IF('4 SUPERFICIES'!$C37&gt;113.5,IF('4 SUPERFICIES'!$C37&lt;141.6,'4 SUPERFICIES'!$AB37,0))))</f>
        <v>0</v>
      </c>
      <c r="AP228" s="777" t="b">
        <f>IF('4 SUPERFICIES'!$A37&gt;10,IF('4 SUPERFICIES'!$A37&lt;31.1,IF('4 SUPERFICIES'!$C37&gt;141.5,IF('4 SUPERFICIES'!$C37&lt;180.6,'4 SUPERFICIES'!$AB37,0))))</f>
        <v>0</v>
      </c>
      <c r="AQ228" s="777" t="b">
        <f>IF('4 SUPERFICIES'!$A37&gt;10,IF('4 SUPERFICIES'!$A37&lt;31.1,IF('4 SUPERFICIES'!$C37&gt;180.5,IF('4 SUPERFICIES'!$C37&lt;240.1,'4 SUPERFICIES'!$AB37,0))))</f>
        <v>0</v>
      </c>
      <c r="AS228" s="777" t="b">
        <f>IF('4 SUPERFICIES'!$A37&gt;31,IF('4 SUPERFICIES'!$A37&lt;45.5,IF('4 SUPERFICIES'!$C37&gt;10,IF('4 SUPERFICIES'!$C37&lt;57.6,'4 SUPERFICIES'!$AB37,0))))</f>
        <v>0</v>
      </c>
      <c r="AT228" s="777" t="b">
        <f>IF('4 SUPERFICIES'!$A37&gt;31,IF('4 SUPERFICIES'!$A37&lt;45.5,IF('4 SUPERFICIES'!$C37&gt;57.6,IF('4 SUPERFICIES'!$C37&lt;71.6,'4 SUPERFICIES'!$AB37,0))))</f>
        <v>0</v>
      </c>
      <c r="AU228" s="777" t="b">
        <f>IF('4 SUPERFICIES'!$A37&gt;31,IF('4 SUPERFICIES'!$A37&lt;45.5,IF('4 SUPERFICIES'!$C37&gt;71.5,IF('4 SUPERFICIES'!$C37&lt;85.6,'4 SUPERFICIES'!$AB37,0))))</f>
        <v>0</v>
      </c>
      <c r="AV228" s="777" t="b">
        <f>IF('4 SUPERFICIES'!$A37&gt;31,IF('4 SUPERFICIES'!$A37&lt;45.5,IF('4 SUPERFICIES'!$C37&gt;85.5,IF('4 SUPERFICIES'!$C37&lt;113.6,'4 SUPERFICIES'!$AB37,0))))</f>
        <v>0</v>
      </c>
      <c r="AW228" s="777" t="b">
        <f>IF('4 SUPERFICIES'!$A37&gt;31,IF('4 SUPERFICIES'!$A37&lt;45.5,IF('4 SUPERFICIES'!$C37&gt;113.5,IF('4 SUPERFICIES'!$C37&lt;141.6,'4 SUPERFICIES'!$AB37,0))))</f>
        <v>0</v>
      </c>
      <c r="AX228" s="777" t="b">
        <f>IF('4 SUPERFICIES'!$A37&gt;31,IF('4 SUPERFICIES'!$A37&lt;45.5,IF('4 SUPERFICIES'!$C37&gt;141.5,IF('4 SUPERFICIES'!$C37&lt;180.6,'4 SUPERFICIES'!$AB37,0))))</f>
        <v>0</v>
      </c>
      <c r="AY228" s="777" t="b">
        <f>IF('4 SUPERFICIES'!$A37&gt;31,IF('4 SUPERFICIES'!$A37&lt;45.5,IF('4 SUPERFICIES'!$C37&gt;180.5,IF('4 SUPERFICIES'!$C37&lt;240.1,'4 SUPERFICIES'!$AB37,0))))</f>
        <v>0</v>
      </c>
      <c r="BA228" s="777" t="b">
        <f>IF('4 SUPERFICIES'!$A37&gt;45.4,IF('4 SUPERFICIES'!$A37&lt;61.6,IF('4 SUPERFICIES'!$C37&gt;10,IF('4 SUPERFICIES'!$C37&lt;61.5,'4 SUPERFICIES'!$AB37,0))))</f>
        <v>0</v>
      </c>
      <c r="BB228" s="777" t="b">
        <f>IF('4 SUPERFICIES'!$A37&gt;45.4,IF('4 SUPERFICIES'!$A37&lt;61.6,IF('4 SUPERFICIES'!$C37&gt;61.1,IF('4 SUPERFICIES'!$C37&lt;71.6,'4 SUPERFICIES'!$AB37,0))))</f>
        <v>0</v>
      </c>
      <c r="BC228" s="777" t="b">
        <f>IF('4 SUPERFICIES'!$A37&gt;45.4,IF('4 SUPERFICIES'!$A37&lt;61.6,IF('4 SUPERFICIES'!$C37&gt;71.5,IF('4 SUPERFICIES'!$C37&lt;85.6,'4 SUPERFICIES'!$AB37,0))))</f>
        <v>0</v>
      </c>
      <c r="BD228" s="777" t="b">
        <f>IF('4 SUPERFICIES'!$A37&gt;45.4,IF('4 SUPERFICIES'!$A37&lt;61.6,IF('4 SUPERFICIES'!$C37&gt;85.5,IF('4 SUPERFICIES'!$C37&lt;113.6,'4 SUPERFICIES'!$AB37,0))))</f>
        <v>0</v>
      </c>
      <c r="BE228" s="777" t="b">
        <f>IF('4 SUPERFICIES'!$A37&gt;45.4,IF('4 SUPERFICIES'!$A37&lt;61.6,IF('4 SUPERFICIES'!$C37&gt;113.5,IF('4 SUPERFICIES'!$C37&lt;121.6,'4 SUPERFICIES'!$AB37,0))))</f>
        <v>0</v>
      </c>
      <c r="BF228" s="777" t="b">
        <f>IF('4 SUPERFICIES'!$A37&gt;45.4,IF('4 SUPERFICIES'!$A37&lt;61.6,IF('4 SUPERFICIES'!$C37&gt;121.5,IF('4 SUPERFICIES'!$C37&lt;127.6,'4 SUPERFICIES'!$AB37,0))))</f>
        <v>0</v>
      </c>
      <c r="BG228" s="777" t="b">
        <f>IF('4 SUPERFICIES'!$A37&gt;45.4,IF('4 SUPERFICIES'!$A37&lt;61.6,IF('4 SUPERFICIES'!$C37&gt;127.5,IF('4 SUPERFICIES'!$C37&lt;135.1,'4 SUPERFICIES'!$AB37,0))))</f>
        <v>0</v>
      </c>
      <c r="BH228" s="777" t="b">
        <f>IF('4 SUPERFICIES'!$A37&gt;45.4,IF('4 SUPERFICIES'!$A37&lt;61.6,IF('4 SUPERFICIES'!$C37&gt;135,IF('4 SUPERFICIES'!$C37&lt;141.6,'4 SUPERFICIES'!$AB37,0))))</f>
        <v>0</v>
      </c>
      <c r="BI228" s="777" t="b">
        <f>IF('4 SUPERFICIES'!$A37&gt;45.4,IF('4 SUPERFICIES'!$A37&lt;61.6,IF('4 SUPERFICIES'!$C37&gt;141.5,IF('4 SUPERFICIES'!$C37&lt;149.1,'4 SUPERFICIES'!$AB37,0))))</f>
        <v>0</v>
      </c>
      <c r="BJ228" s="777" t="b">
        <f>IF('4 SUPERFICIES'!$A37&gt;45.4,IF('4 SUPERFICIES'!$A37&lt;61.6,IF('4 SUPERFICIES'!$C37&gt;149,IF('4 SUPERFICIES'!$C37&lt;155.6,'4 SUPERFICIES'!$AB37,0))))</f>
        <v>0</v>
      </c>
      <c r="BK228" s="777" t="b">
        <f>IF('4 SUPERFICIES'!$A37&gt;45.4,IF('4 SUPERFICIES'!$A37&lt;61.6,IF('4 SUPERFICIES'!$C37&gt;155.5,IF('4 SUPERFICIES'!$C37&lt;163.1,'4 SUPERFICIES'!$AB37,0))))</f>
        <v>0</v>
      </c>
      <c r="BL228" s="777" t="b">
        <f>IF('4 SUPERFICIES'!$A37&gt;45.4,IF('4 SUPERFICIES'!$A37&lt;61.6,IF('4 SUPERFICIES'!$C37&gt;163,IF('4 SUPERFICIES'!$C37&lt;180.6,'4 SUPERFICIES'!$AB37,0))))</f>
        <v>0</v>
      </c>
      <c r="BM228" s="777" t="b">
        <f>IF('4 SUPERFICIES'!$A37&gt;45.4,IF('4 SUPERFICIES'!$A37&lt;61.6,IF('4 SUPERFICIES'!$C37&gt;180.5,IF('4 SUPERFICIES'!$C37&lt;240.1,'4 SUPERFICIES'!$AB37,0))))</f>
        <v>0</v>
      </c>
      <c r="BO228" s="869" t="s">
        <v>550</v>
      </c>
      <c r="BQ228" s="870">
        <f>+$CA$250</f>
        <v>0</v>
      </c>
      <c r="BS228" s="869"/>
      <c r="BT228" s="870">
        <f>+$CA$251</f>
        <v>0</v>
      </c>
      <c r="BV228" s="777" t="b">
        <f>IF('4 SUPERFICIES'!$A37&gt;61.5,IF('4 SUPERFICIES'!$A37&lt;71.6,IF('4 SUPERFICIES'!$C37&gt;10,IF('4 SUPERFICIES'!$C37&lt;57.6,'4 SUPERFICIES'!$AB37,0))))</f>
        <v>0</v>
      </c>
      <c r="BW228" s="777" t="b">
        <f>IF('4 SUPERFICIES'!$A37&gt;61.5,IF('4 SUPERFICIES'!$A37&lt;71.6,IF('4 SUPERFICIES'!$C37&gt;57.6,IF('4 SUPERFICIES'!$C37&lt;71.6,'4 SUPERFICIES'!$AB37,0))))</f>
        <v>0</v>
      </c>
      <c r="BX228" s="777" t="b">
        <f>IF('4 SUPERFICIES'!$A37&gt;61.5,IF('4 SUPERFICIES'!$A37&lt;71.6,IF('4 SUPERFICIES'!$C37&gt;71.5,IF('4 SUPERFICIES'!$C37&lt;85.6,'4 SUPERFICIES'!$AB37,0))))</f>
        <v>0</v>
      </c>
      <c r="BY228" s="777" t="b">
        <f>IF('4 SUPERFICIES'!$A37&gt;61.5,IF('4 SUPERFICIES'!$A37&lt;71.6,IF('4 SUPERFICIES'!$C37&gt;85.5,IF('4 SUPERFICIES'!$C37&lt;113.6,'4 SUPERFICIES'!$AB37,0))))</f>
        <v>0</v>
      </c>
      <c r="BZ228" s="777" t="b">
        <f>IF('4 SUPERFICIES'!$A37&gt;61.5,IF('4 SUPERFICIES'!$A37&lt;71.6,IF('4 SUPERFICIES'!$C37&gt;113.5,IF('4 SUPERFICIES'!$C37&lt;141.6,'4 SUPERFICIES'!$AB37,0))))</f>
        <v>0</v>
      </c>
      <c r="CA228" s="777" t="b">
        <f>IF('4 SUPERFICIES'!$A37&gt;61.5,IF('4 SUPERFICIES'!$A37&lt;71.6,IF('4 SUPERFICIES'!$C37&gt;141.5,IF('4 SUPERFICIES'!$C37&lt;149.1,'4 SUPERFICIES'!$AB37,0))))</f>
        <v>0</v>
      </c>
      <c r="CB228" s="777" t="b">
        <f>IF('4 SUPERFICIES'!$A37&gt;61.5,IF('4 SUPERFICIES'!$A37&lt;71.6,IF('4 SUPERFICIES'!$C37&gt;149,IF('4 SUPERFICIES'!$C37&lt;163.1,'4 SUPERFICIES'!$AB37,0))))</f>
        <v>0</v>
      </c>
      <c r="CC228" s="777" t="b">
        <f>IF('4 SUPERFICIES'!$A37&gt;61.5,IF('4 SUPERFICIES'!$A37&lt;71.6,IF('4 SUPERFICIES'!$C37&gt;163,IF('4 SUPERFICIES'!$C37&lt;180.6,'4 SUPERFICIES'!$AB37,0))))</f>
        <v>0</v>
      </c>
      <c r="CD228" s="777" t="b">
        <f>IF('4 SUPERFICIES'!$A37&gt;61.5,IF('4 SUPERFICIES'!$A37&lt;71.6,IF('4 SUPERFICIES'!$C37&gt;180.5,IF('4 SUPERFICIES'!$C37&lt;240.1,'4 SUPERFICIES'!$AB37,0))))</f>
        <v>0</v>
      </c>
      <c r="CF228" s="777" t="b">
        <f>IF('4 SUPERFICIES'!$A37&gt;71.5,IF('4 SUPERFICIES'!$A37&lt;120.6,IF('4 SUPERFICIES'!$C37&gt;10,IF('4 SUPERFICIES'!$C37&lt;57.6,'4 SUPERFICIES'!$AB37,0))))</f>
        <v>0</v>
      </c>
      <c r="CG228" s="777" t="b">
        <f>IF('4 SUPERFICIES'!$A37&gt;71.5,IF('4 SUPERFICIES'!$A37&lt;120.6,IF('4 SUPERFICIES'!$C37&gt;57.6,IF('4 SUPERFICIES'!$C37&lt;71.6,'4 SUPERFICIES'!$AB37,0))))</f>
        <v>0</v>
      </c>
      <c r="CH228" s="777" t="b">
        <f>IF('4 SUPERFICIES'!$A37&gt;71.5,IF('4 SUPERFICIES'!$A37&lt;120.6,IF('4 SUPERFICIES'!$C37&gt;71.5,IF('4 SUPERFICIES'!$C37&lt;85.6,'4 SUPERFICIES'!$AB37,0))))</f>
        <v>0</v>
      </c>
      <c r="CI228" s="777" t="b">
        <f>IF('4 SUPERFICIES'!$A37&gt;71.5,IF('4 SUPERFICIES'!$A37&lt;120.6,IF('4 SUPERFICIES'!$C37&gt;85.5,IF('4 SUPERFICIES'!$C37&lt;113.6,'4 SUPERFICIES'!$AB37,0))))</f>
        <v>0</v>
      </c>
      <c r="CJ228" s="777" t="b">
        <f>IF('4 SUPERFICIES'!$A37&gt;71.5,IF('4 SUPERFICIES'!$A37&lt;120.6,IF('4 SUPERFICIES'!$C37&gt;113.5,IF('4 SUPERFICIES'!$C37&lt;141.6,'4 SUPERFICIES'!$AB37,0))))</f>
        <v>0</v>
      </c>
      <c r="CK228" s="777" t="b">
        <f>IF('4 SUPERFICIES'!$A37&gt;71.5,IF('4 SUPERFICIES'!$A37&lt;120.6,IF('4 SUPERFICIES'!$C37&gt;141.5,IF('4 SUPERFICIES'!$C37&lt;180.6,'4 SUPERFICIES'!$AB37,0))))</f>
        <v>0</v>
      </c>
      <c r="CL228" s="777" t="b">
        <f>IF('4 SUPERFICIES'!$A37&gt;71.5,IF('4 SUPERFICIES'!$A37&lt;120.6,IF('4 SUPERFICIES'!$C37&gt;180.5,IF('4 SUPERFICIES'!$C37&lt;240.1,'4 SUPERFICIES'!$AB37,0))))</f>
        <v>0</v>
      </c>
      <c r="CN228" s="777">
        <f>IF('4 SUPERFICIES'!$C37&lt;150,IF(OR('4 SUPERFICIES'!$A37="MICRODER",'4 SUPERFICIES'!$A37="MICRO DER",),'4 SUPERFICIES'!$AB37,0))</f>
        <v>0</v>
      </c>
      <c r="CO228" s="777" t="b">
        <f>IF('4 SUPERFICIES'!$C37&gt;149.5,IF(OR('4 SUPERFICIES'!$A37="MICRODER",'4 SUPERFICIES'!$A37="MICRO DER",),'4 SUPERFICIES'!$AB37,0))</f>
        <v>0</v>
      </c>
      <c r="CP228" s="847"/>
      <c r="CQ228" s="777">
        <f>IF('4 SUPERFICIES'!$C37&lt;150,IF(OR('4 SUPERFICIES'!$A37="MICROIZQ",'4 SUPERFICIES'!$A37="MICRO IZQ",),'4 SUPERFICIES'!$AB37,0))</f>
        <v>0</v>
      </c>
      <c r="CR228" s="777" t="b">
        <f>IF('4 SUPERFICIES'!$C37&gt;149.5,IF(OR('4 SUPERFICIES'!$A37="MICROIZQ",'4 SUPERFICIES'!$A37="MICRO IZQ",),'4 SUPERFICIES'!$AB37,0))</f>
        <v>0</v>
      </c>
      <c r="CT228" s="837">
        <f>IF(OR('4 SUPERFICIES'!$A37="MICRO SEN",'4 SUPERFICIES'!$A37="MICROSEN",),'4 SUPERFICIES'!$AB37,0)</f>
        <v>0</v>
      </c>
      <c r="CV228" s="837" t="b">
        <f>IF('4 SUPERFICIES'!$A37="DIAMETRO",IF('4 SUPERFICIES'!$C37&lt;121.1,'4 SUPERFICIES'!$AB37,0))</f>
        <v>0</v>
      </c>
      <c r="CX228" s="858"/>
      <c r="CZ228" s="837" t="b">
        <f>IF('4 SUPERFICIES'!$A37="MOSTRADOR",IF('4 SUPERFICIES'!$C37="R60",'4 SUPERFICIES'!$AB37,0))</f>
        <v>0</v>
      </c>
      <c r="DB228" s="837">
        <f>IF(OR('4 SUPERFICIES'!$A37="PORTA PRIN",'4 SUPERFICIES'!$A37="PORTAPRIN",),'4 SUPERFICIES'!$AB37,0)</f>
        <v>0</v>
      </c>
      <c r="DD228" s="837">
        <f>IF(OR('4 SUPERFICIES'!$A37="PORTA BADE",'4 SUPERFICIES'!$A37="PORTABADE",),'4 SUPERFICIES'!$AB37,0)</f>
        <v>0</v>
      </c>
      <c r="DE228" s="837"/>
      <c r="DF228" s="837">
        <f>IF(OR('4 SUPERFICIES'!$A37="RETORNO IZQ",'4 SUPERFICIES'!$A37="RETORNO DER",),'4 SUPERFICIES'!$AB137,0)</f>
        <v>0</v>
      </c>
      <c r="DG228" s="837"/>
      <c r="DH228" s="837">
        <f>IF(OR('4 SUPERFICIES'!$A37="PITO Q",'4 SUPERFICIES'!$A37="PITO P",'4 SUPERFICIES'!$A37="DIAMETRO INTEGRADA",),'4 SUPERFICIES'!$AB37,0)</f>
        <v>0</v>
      </c>
      <c r="DJ228" s="858"/>
      <c r="DK228" s="837"/>
      <c r="DL228" s="837">
        <f>IF('4 SUPERFICIES'!$A37="SUPERFICIE OVAL",'4 SUPERFICIES'!$AB37,0)</f>
        <v>0</v>
      </c>
      <c r="DN228" s="838"/>
      <c r="DO228" s="838"/>
      <c r="DP228" s="838"/>
      <c r="DQ228" s="838"/>
      <c r="DR228" s="838"/>
      <c r="DS228" s="838"/>
      <c r="DT228" s="838"/>
      <c r="DU228" s="838"/>
      <c r="DV228" s="838"/>
      <c r="DW228" s="838"/>
      <c r="DX228" s="838"/>
      <c r="DY228" s="838"/>
      <c r="DZ228" s="838"/>
      <c r="EA228" s="838"/>
      <c r="EB228" s="838"/>
      <c r="EC228" s="838"/>
      <c r="ED228" s="838"/>
      <c r="EE228" s="852"/>
      <c r="EG228" s="682">
        <f>IF('4 SUPERFICIES'!A37="MICRO DER",85,IF('4 SUPERFICIES'!A37="MICRO IZQ",85,IF('4 SUPERFICIES'!A37="MICRO SEN",170,IF('4 SUPERFICIES'!A37="DIAMETRO",3.14*'4 SUPERFICIES'!C37/2,IF('4 SUPERFICIES'!A37="MOSTRADOR",136,IF('4 SUPERFICIES'!A37="PORTA",65,IF('4 SUPERFICIES'!A37="PITO Q",90,IF('4 SUPERFICIES'!A37="PITO P",90,'4 SUPERFICIES'!A37))))))))</f>
        <v>0</v>
      </c>
      <c r="EH228" s="682"/>
      <c r="EI228" s="682">
        <f>IF('4 SUPERFICIES'!A37="DIAMETRO",0,IF('4 SUPERFICIES'!C37="PRINCIPAL",160,IF('4 SUPERFICIES'!C37="BADE",190,IF('4 SUPERFICIES'!C37="RETORNO",100,IF('4 SUPERFICIES'!C37="R 60",100,IF('4 SUPERFICIES'!C37="R60",100,'4 SUPERFICIES'!C37))))))</f>
        <v>0</v>
      </c>
      <c r="EJ228" s="682"/>
      <c r="EK228" s="682">
        <f>IF('4 SUPERFICIES'!$F37='4 SUPERFICIES'!$AG$15,((EG228*2)+(EI228*2))*'4 SUPERFICIES'!AB37,0)</f>
        <v>0</v>
      </c>
      <c r="EL228" s="682"/>
      <c r="EM228" s="682">
        <f>IF('4 SUPERFICIES'!$F37='4 SUPERFICIES'!$AG$16,((EG228*2)+(EI228*2))*'4 SUPERFICIES'!AB37,0)</f>
        <v>0</v>
      </c>
      <c r="EO228" s="682">
        <f>IF('4 SUPERFICIES'!$F37='4 SUPERFICIES'!$AG$17,((EG228*2)+(EI228*2))*'4 SUPERFICIES'!AB37,0)</f>
        <v>0</v>
      </c>
      <c r="EP228" s="838"/>
      <c r="EQ228" s="682">
        <f>IF('4 SUPERFICIES'!$F37='4 SUPERFICIES'!$AG$18,((EG228*2)+(EI228*2))*'4 SUPERFICIES'!AB37,0)</f>
        <v>0</v>
      </c>
      <c r="ER228" s="838"/>
      <c r="ES228" s="858"/>
      <c r="ET228" s="858"/>
      <c r="EU228" s="858"/>
      <c r="EV228" s="858"/>
      <c r="EW228" s="838"/>
      <c r="EX228" s="838"/>
      <c r="EY228" s="838"/>
      <c r="EZ228" s="838"/>
      <c r="FA228" s="838"/>
      <c r="FB228" s="838"/>
      <c r="FC228" s="838"/>
      <c r="FD228" s="838"/>
      <c r="FE228" s="838"/>
      <c r="FF228" s="838"/>
      <c r="FG228" s="838"/>
      <c r="FH228" s="838"/>
      <c r="FI228" s="838"/>
      <c r="FJ228" s="838"/>
      <c r="FK228" s="838"/>
      <c r="FL228" s="838"/>
      <c r="FM228" s="838"/>
      <c r="FN228" s="838"/>
      <c r="FO228" s="838"/>
      <c r="FP228" s="838"/>
      <c r="GM228" s="858"/>
      <c r="GN228" s="838"/>
      <c r="GO228" s="858"/>
      <c r="GP228" s="858"/>
      <c r="GQ228" s="858"/>
      <c r="GR228" s="838"/>
      <c r="GS228" s="838"/>
      <c r="HF228" s="700">
        <v>23</v>
      </c>
      <c r="HH228" s="591">
        <v>23</v>
      </c>
    </row>
    <row r="229" spans="1:216" ht="26.25" x14ac:dyDescent="0.4">
      <c r="A229" s="876"/>
      <c r="B229" s="849"/>
      <c r="C229" s="841"/>
      <c r="D229" s="841">
        <v>56</v>
      </c>
      <c r="E229" s="841">
        <v>70</v>
      </c>
      <c r="F229" s="841">
        <v>84</v>
      </c>
      <c r="G229" s="873">
        <v>112</v>
      </c>
      <c r="AK229" s="777" t="b">
        <f>IF('4 SUPERFICIES'!$A38&gt;10,IF('4 SUPERFICIES'!$A38&lt;31.1,IF('4 SUPERFICIES'!$C38&gt;10,IF('4 SUPERFICIES'!$C38&lt;57.6,'4 SUPERFICIES'!$AB38,0))))</f>
        <v>0</v>
      </c>
      <c r="AL229" s="777" t="b">
        <f>IF('4 SUPERFICIES'!$A38&gt;10,IF('4 SUPERFICIES'!$A38&lt;31.1,IF('4 SUPERFICIES'!$C38&gt;57.6,IF('4 SUPERFICIES'!$C38&lt;71.6,'4 SUPERFICIES'!$AB38,0))))</f>
        <v>0</v>
      </c>
      <c r="AM229" s="777" t="b">
        <f>IF('4 SUPERFICIES'!$A38&gt;10,IF('4 SUPERFICIES'!$A38&lt;31.1,IF('4 SUPERFICIES'!$C38&gt;71.5,IF('4 SUPERFICIES'!$C38&lt;85.6,'4 SUPERFICIES'!$AB38,0))))</f>
        <v>0</v>
      </c>
      <c r="AN229" s="777" t="b">
        <f>IF('4 SUPERFICIES'!$A38&gt;10,IF('4 SUPERFICIES'!$A38&lt;31.1,IF('4 SUPERFICIES'!$C38&gt;85.5,IF('4 SUPERFICIES'!$C38&lt;113.6,'4 SUPERFICIES'!$AB38,0))))</f>
        <v>0</v>
      </c>
      <c r="AO229" s="777" t="b">
        <f>IF('4 SUPERFICIES'!$A38&gt;10,IF('4 SUPERFICIES'!$A38&lt;31.1,IF('4 SUPERFICIES'!$C38&gt;113.5,IF('4 SUPERFICIES'!$C38&lt;141.6,'4 SUPERFICIES'!$AB38,0))))</f>
        <v>0</v>
      </c>
      <c r="AP229" s="777" t="b">
        <f>IF('4 SUPERFICIES'!$A38&gt;10,IF('4 SUPERFICIES'!$A38&lt;31.1,IF('4 SUPERFICIES'!$C38&gt;141.5,IF('4 SUPERFICIES'!$C38&lt;180.6,'4 SUPERFICIES'!$AB38,0))))</f>
        <v>0</v>
      </c>
      <c r="AQ229" s="777" t="b">
        <f>IF('4 SUPERFICIES'!$A38&gt;10,IF('4 SUPERFICIES'!$A38&lt;31.1,IF('4 SUPERFICIES'!$C38&gt;180.5,IF('4 SUPERFICIES'!$C38&lt;240.1,'4 SUPERFICIES'!$AB38,0))))</f>
        <v>0</v>
      </c>
      <c r="AS229" s="777" t="b">
        <f>IF('4 SUPERFICIES'!$A38&gt;31,IF('4 SUPERFICIES'!$A38&lt;45.5,IF('4 SUPERFICIES'!$C38&gt;10,IF('4 SUPERFICIES'!$C38&lt;57.6,'4 SUPERFICIES'!$AB38,0))))</f>
        <v>0</v>
      </c>
      <c r="AT229" s="777" t="b">
        <f>IF('4 SUPERFICIES'!$A38&gt;31,IF('4 SUPERFICIES'!$A38&lt;45.5,IF('4 SUPERFICIES'!$C38&gt;57.6,IF('4 SUPERFICIES'!$C38&lt;71.6,'4 SUPERFICIES'!$AB38,0))))</f>
        <v>0</v>
      </c>
      <c r="AU229" s="777" t="b">
        <f>IF('4 SUPERFICIES'!$A38&gt;31,IF('4 SUPERFICIES'!$A38&lt;45.5,IF('4 SUPERFICIES'!$C38&gt;71.5,IF('4 SUPERFICIES'!$C38&lt;85.6,'4 SUPERFICIES'!$AB38,0))))</f>
        <v>0</v>
      </c>
      <c r="AV229" s="777" t="b">
        <f>IF('4 SUPERFICIES'!$A38&gt;31,IF('4 SUPERFICIES'!$A38&lt;45.5,IF('4 SUPERFICIES'!$C38&gt;85.5,IF('4 SUPERFICIES'!$C38&lt;113.6,'4 SUPERFICIES'!$AB38,0))))</f>
        <v>0</v>
      </c>
      <c r="AW229" s="777" t="b">
        <f>IF('4 SUPERFICIES'!$A38&gt;31,IF('4 SUPERFICIES'!$A38&lt;45.5,IF('4 SUPERFICIES'!$C38&gt;113.5,IF('4 SUPERFICIES'!$C38&lt;141.6,'4 SUPERFICIES'!$AB38,0))))</f>
        <v>0</v>
      </c>
      <c r="AX229" s="777" t="b">
        <f>IF('4 SUPERFICIES'!$A38&gt;31,IF('4 SUPERFICIES'!$A38&lt;45.5,IF('4 SUPERFICIES'!$C38&gt;141.5,IF('4 SUPERFICIES'!$C38&lt;180.6,'4 SUPERFICIES'!$AB38,0))))</f>
        <v>0</v>
      </c>
      <c r="AY229" s="777" t="b">
        <f>IF('4 SUPERFICIES'!$A38&gt;31,IF('4 SUPERFICIES'!$A38&lt;45.5,IF('4 SUPERFICIES'!$C38&gt;180.5,IF('4 SUPERFICIES'!$C38&lt;240.1,'4 SUPERFICIES'!$AB38,0))))</f>
        <v>0</v>
      </c>
      <c r="BA229" s="777" t="b">
        <f>IF('4 SUPERFICIES'!$A38&gt;45.4,IF('4 SUPERFICIES'!$A38&lt;61.6,IF('4 SUPERFICIES'!$C38&gt;10,IF('4 SUPERFICIES'!$C38&lt;61.5,'4 SUPERFICIES'!$AB38,0))))</f>
        <v>0</v>
      </c>
      <c r="BB229" s="777" t="b">
        <f>IF('4 SUPERFICIES'!$A38&gt;45.4,IF('4 SUPERFICIES'!$A38&lt;61.6,IF('4 SUPERFICIES'!$C38&gt;61.1,IF('4 SUPERFICIES'!$C38&lt;71.6,'4 SUPERFICIES'!$AB38,0))))</f>
        <v>0</v>
      </c>
      <c r="BC229" s="777" t="b">
        <f>IF('4 SUPERFICIES'!$A38&gt;45.4,IF('4 SUPERFICIES'!$A38&lt;61.6,IF('4 SUPERFICIES'!$C38&gt;71.5,IF('4 SUPERFICIES'!$C38&lt;85.6,'4 SUPERFICIES'!$AB38,0))))</f>
        <v>0</v>
      </c>
      <c r="BD229" s="777" t="b">
        <f>IF('4 SUPERFICIES'!$A38&gt;45.4,IF('4 SUPERFICIES'!$A38&lt;61.6,IF('4 SUPERFICIES'!$C38&gt;85.5,IF('4 SUPERFICIES'!$C38&lt;113.6,'4 SUPERFICIES'!$AB38,0))))</f>
        <v>0</v>
      </c>
      <c r="BE229" s="777" t="b">
        <f>IF('4 SUPERFICIES'!$A38&gt;45.4,IF('4 SUPERFICIES'!$A38&lt;61.6,IF('4 SUPERFICIES'!$C38&gt;113.5,IF('4 SUPERFICIES'!$C38&lt;121.6,'4 SUPERFICIES'!$AB38,0))))</f>
        <v>0</v>
      </c>
      <c r="BF229" s="777" t="b">
        <f>IF('4 SUPERFICIES'!$A38&gt;45.4,IF('4 SUPERFICIES'!$A38&lt;61.6,IF('4 SUPERFICIES'!$C38&gt;121.5,IF('4 SUPERFICIES'!$C38&lt;127.6,'4 SUPERFICIES'!$AB38,0))))</f>
        <v>0</v>
      </c>
      <c r="BG229" s="777" t="b">
        <f>IF('4 SUPERFICIES'!$A38&gt;45.4,IF('4 SUPERFICIES'!$A38&lt;61.6,IF('4 SUPERFICIES'!$C38&gt;127.5,IF('4 SUPERFICIES'!$C38&lt;135.1,'4 SUPERFICIES'!$AB38,0))))</f>
        <v>0</v>
      </c>
      <c r="BH229" s="777" t="b">
        <f>IF('4 SUPERFICIES'!$A38&gt;45.4,IF('4 SUPERFICIES'!$A38&lt;61.6,IF('4 SUPERFICIES'!$C38&gt;135,IF('4 SUPERFICIES'!$C38&lt;141.6,'4 SUPERFICIES'!$AB38,0))))</f>
        <v>0</v>
      </c>
      <c r="BI229" s="777" t="b">
        <f>IF('4 SUPERFICIES'!$A38&gt;45.4,IF('4 SUPERFICIES'!$A38&lt;61.6,IF('4 SUPERFICIES'!$C38&gt;141.5,IF('4 SUPERFICIES'!$C38&lt;149.1,'4 SUPERFICIES'!$AB38,0))))</f>
        <v>0</v>
      </c>
      <c r="BJ229" s="777" t="b">
        <f>IF('4 SUPERFICIES'!$A38&gt;45.4,IF('4 SUPERFICIES'!$A38&lt;61.6,IF('4 SUPERFICIES'!$C38&gt;149,IF('4 SUPERFICIES'!$C38&lt;155.6,'4 SUPERFICIES'!$AB38,0))))</f>
        <v>0</v>
      </c>
      <c r="BK229" s="777" t="b">
        <f>IF('4 SUPERFICIES'!$A38&gt;45.4,IF('4 SUPERFICIES'!$A38&lt;61.6,IF('4 SUPERFICIES'!$C38&gt;155.5,IF('4 SUPERFICIES'!$C38&lt;163.1,'4 SUPERFICIES'!$AB38,0))))</f>
        <v>0</v>
      </c>
      <c r="BL229" s="777" t="b">
        <f>IF('4 SUPERFICIES'!$A38&gt;45.4,IF('4 SUPERFICIES'!$A38&lt;61.6,IF('4 SUPERFICIES'!$C38&gt;163,IF('4 SUPERFICIES'!$C38&lt;180.6,'4 SUPERFICIES'!$AB38,0))))</f>
        <v>0</v>
      </c>
      <c r="BM229" s="777" t="b">
        <f>IF('4 SUPERFICIES'!$A38&gt;45.4,IF('4 SUPERFICIES'!$A38&lt;61.6,IF('4 SUPERFICIES'!$C38&gt;180.5,IF('4 SUPERFICIES'!$C38&lt;240.1,'4 SUPERFICIES'!$AB38,0))))</f>
        <v>0</v>
      </c>
      <c r="BO229" s="869" t="s">
        <v>551</v>
      </c>
      <c r="BQ229" s="870">
        <f>+$CB$250+$DD$250</f>
        <v>0</v>
      </c>
      <c r="BS229" s="869"/>
      <c r="BT229" s="870">
        <f>+$CB$251+$DD$251</f>
        <v>0</v>
      </c>
      <c r="BV229" s="777" t="b">
        <f>IF('4 SUPERFICIES'!$A38&gt;61.5,IF('4 SUPERFICIES'!$A38&lt;71.6,IF('4 SUPERFICIES'!$C38&gt;10,IF('4 SUPERFICIES'!$C38&lt;57.6,'4 SUPERFICIES'!$AB38,0))))</f>
        <v>0</v>
      </c>
      <c r="BW229" s="777" t="b">
        <f>IF('4 SUPERFICIES'!$A38&gt;61.5,IF('4 SUPERFICIES'!$A38&lt;71.6,IF('4 SUPERFICIES'!$C38&gt;57.6,IF('4 SUPERFICIES'!$C38&lt;71.6,'4 SUPERFICIES'!$AB38,0))))</f>
        <v>0</v>
      </c>
      <c r="BX229" s="777" t="b">
        <f>IF('4 SUPERFICIES'!$A38&gt;61.5,IF('4 SUPERFICIES'!$A38&lt;71.6,IF('4 SUPERFICIES'!$C38&gt;71.5,IF('4 SUPERFICIES'!$C38&lt;85.6,'4 SUPERFICIES'!$AB38,0))))</f>
        <v>0</v>
      </c>
      <c r="BY229" s="777" t="b">
        <f>IF('4 SUPERFICIES'!$A38&gt;61.5,IF('4 SUPERFICIES'!$A38&lt;71.6,IF('4 SUPERFICIES'!$C38&gt;85.5,IF('4 SUPERFICIES'!$C38&lt;113.6,'4 SUPERFICIES'!$AB38,0))))</f>
        <v>0</v>
      </c>
      <c r="BZ229" s="777" t="b">
        <f>IF('4 SUPERFICIES'!$A38&gt;61.5,IF('4 SUPERFICIES'!$A38&lt;71.6,IF('4 SUPERFICIES'!$C38&gt;113.5,IF('4 SUPERFICIES'!$C38&lt;141.6,'4 SUPERFICIES'!$AB38,0))))</f>
        <v>0</v>
      </c>
      <c r="CA229" s="777" t="b">
        <f>IF('4 SUPERFICIES'!$A38&gt;61.5,IF('4 SUPERFICIES'!$A38&lt;71.6,IF('4 SUPERFICIES'!$C38&gt;141.5,IF('4 SUPERFICIES'!$C38&lt;149.1,'4 SUPERFICIES'!$AB38,0))))</f>
        <v>0</v>
      </c>
      <c r="CB229" s="777" t="b">
        <f>IF('4 SUPERFICIES'!$A38&gt;61.5,IF('4 SUPERFICIES'!$A38&lt;71.6,IF('4 SUPERFICIES'!$C38&gt;149,IF('4 SUPERFICIES'!$C38&lt;163.1,'4 SUPERFICIES'!$AB38,0))))</f>
        <v>0</v>
      </c>
      <c r="CC229" s="777" t="b">
        <f>IF('4 SUPERFICIES'!$A38&gt;61.5,IF('4 SUPERFICIES'!$A38&lt;71.6,IF('4 SUPERFICIES'!$C38&gt;163,IF('4 SUPERFICIES'!$C38&lt;180.6,'4 SUPERFICIES'!$AB38,0))))</f>
        <v>0</v>
      </c>
      <c r="CD229" s="777" t="b">
        <f>IF('4 SUPERFICIES'!$A38&gt;61.5,IF('4 SUPERFICIES'!$A38&lt;71.6,IF('4 SUPERFICIES'!$C38&gt;180.5,IF('4 SUPERFICIES'!$C38&lt;240.1,'4 SUPERFICIES'!$AB38,0))))</f>
        <v>0</v>
      </c>
      <c r="CF229" s="777" t="b">
        <f>IF('4 SUPERFICIES'!$A38&gt;71.5,IF('4 SUPERFICIES'!$A38&lt;120.6,IF('4 SUPERFICIES'!$C38&gt;10,IF('4 SUPERFICIES'!$C38&lt;57.6,'4 SUPERFICIES'!$AB38,0))))</f>
        <v>0</v>
      </c>
      <c r="CG229" s="777" t="b">
        <f>IF('4 SUPERFICIES'!$A38&gt;71.5,IF('4 SUPERFICIES'!$A38&lt;120.6,IF('4 SUPERFICIES'!$C38&gt;57.6,IF('4 SUPERFICIES'!$C38&lt;71.6,'4 SUPERFICIES'!$AB38,0))))</f>
        <v>0</v>
      </c>
      <c r="CH229" s="777" t="b">
        <f>IF('4 SUPERFICIES'!$A38&gt;71.5,IF('4 SUPERFICIES'!$A38&lt;120.6,IF('4 SUPERFICIES'!$C38&gt;71.5,IF('4 SUPERFICIES'!$C38&lt;85.6,'4 SUPERFICIES'!$AB38,0))))</f>
        <v>0</v>
      </c>
      <c r="CI229" s="777" t="b">
        <f>IF('4 SUPERFICIES'!$A38&gt;71.5,IF('4 SUPERFICIES'!$A38&lt;120.6,IF('4 SUPERFICIES'!$C38&gt;85.5,IF('4 SUPERFICIES'!$C38&lt;113.6,'4 SUPERFICIES'!$AB38,0))))</f>
        <v>0</v>
      </c>
      <c r="CJ229" s="777" t="b">
        <f>IF('4 SUPERFICIES'!$A38&gt;71.5,IF('4 SUPERFICIES'!$A38&lt;120.6,IF('4 SUPERFICIES'!$C38&gt;113.5,IF('4 SUPERFICIES'!$C38&lt;141.6,'4 SUPERFICIES'!$AB38,0))))</f>
        <v>0</v>
      </c>
      <c r="CK229" s="777" t="b">
        <f>IF('4 SUPERFICIES'!$A38&gt;71.5,IF('4 SUPERFICIES'!$A38&lt;120.6,IF('4 SUPERFICIES'!$C38&gt;141.5,IF('4 SUPERFICIES'!$C38&lt;180.6,'4 SUPERFICIES'!$AB38,0))))</f>
        <v>0</v>
      </c>
      <c r="CL229" s="777" t="b">
        <f>IF('4 SUPERFICIES'!$A38&gt;71.5,IF('4 SUPERFICIES'!$A38&lt;120.6,IF('4 SUPERFICIES'!$C38&gt;180.5,IF('4 SUPERFICIES'!$C38&lt;240.1,'4 SUPERFICIES'!$AB38,0))))</f>
        <v>0</v>
      </c>
      <c r="CN229" s="777">
        <f>IF('4 SUPERFICIES'!$C38&lt;150,IF(OR('4 SUPERFICIES'!$A38="MICRODER",'4 SUPERFICIES'!$A38="MICRO DER",),'4 SUPERFICIES'!$AB38,0))</f>
        <v>0</v>
      </c>
      <c r="CO229" s="777" t="b">
        <f>IF('4 SUPERFICIES'!$C38&gt;149.5,IF(OR('4 SUPERFICIES'!$A38="MICRODER",'4 SUPERFICIES'!$A38="MICRO DER",),'4 SUPERFICIES'!$AB38,0))</f>
        <v>0</v>
      </c>
      <c r="CP229" s="847"/>
      <c r="CQ229" s="777">
        <f>IF('4 SUPERFICIES'!$C38&lt;150,IF(OR('4 SUPERFICIES'!$A38="MICROIZQ",'4 SUPERFICIES'!$A38="MICRO IZQ",),'4 SUPERFICIES'!$AB38,0))</f>
        <v>0</v>
      </c>
      <c r="CR229" s="777" t="b">
        <f>IF('4 SUPERFICIES'!$C38&gt;149.5,IF(OR('4 SUPERFICIES'!$A38="MICROIZQ",'4 SUPERFICIES'!$A38="MICRO IZQ",),'4 SUPERFICIES'!$AB38,0))</f>
        <v>0</v>
      </c>
      <c r="CT229" s="837">
        <f>IF(OR('4 SUPERFICIES'!$A38="MICRO SEN",'4 SUPERFICIES'!$A38="MICROSEN",),'4 SUPERFICIES'!$AB38,0)</f>
        <v>0</v>
      </c>
      <c r="CV229" s="837" t="b">
        <f>IF('4 SUPERFICIES'!$A38="DIAMETRO",IF('4 SUPERFICIES'!$C38&lt;121.1,'4 SUPERFICIES'!$AB38,0))</f>
        <v>0</v>
      </c>
      <c r="CX229" s="858"/>
      <c r="CZ229" s="837" t="b">
        <f>IF('4 SUPERFICIES'!$A38="MOSTRADOR",IF('4 SUPERFICIES'!$C38="R60",'4 SUPERFICIES'!$AB38,0))</f>
        <v>0</v>
      </c>
      <c r="DB229" s="837">
        <f>IF(OR('4 SUPERFICIES'!$A38="PORTA PRIN",'4 SUPERFICIES'!$A38="PORTAPRIN",),'4 SUPERFICIES'!$AB38,0)</f>
        <v>0</v>
      </c>
      <c r="DD229" s="837">
        <f>IF(OR('4 SUPERFICIES'!$A38="PORTA BADE",'4 SUPERFICIES'!$A38="PORTABADE",),'4 SUPERFICIES'!$AB38,0)</f>
        <v>0</v>
      </c>
      <c r="DE229" s="837"/>
      <c r="DF229" s="837">
        <f>IF(OR('4 SUPERFICIES'!$A38="RETORNO IZQ",'4 SUPERFICIES'!$A38="RETORNO DER",),'4 SUPERFICIES'!$AB138,0)</f>
        <v>0</v>
      </c>
      <c r="DG229" s="837"/>
      <c r="DH229" s="837">
        <f>IF(OR('4 SUPERFICIES'!$A38="PITO Q",'4 SUPERFICIES'!$A38="PITO P",'4 SUPERFICIES'!$A38="DIAMETRO INTEGRADA",),'4 SUPERFICIES'!$AB38,0)</f>
        <v>0</v>
      </c>
      <c r="DJ229" s="858"/>
      <c r="DK229" s="837"/>
      <c r="DL229" s="837">
        <f>IF('4 SUPERFICIES'!$A38="SUPERFICIE OVAL",'4 SUPERFICIES'!$AB38,0)</f>
        <v>0</v>
      </c>
      <c r="DN229" s="838"/>
      <c r="DO229" s="838"/>
      <c r="DP229" s="838"/>
      <c r="DQ229" s="838"/>
      <c r="DR229" s="838"/>
      <c r="DS229" s="838"/>
      <c r="DT229" s="838"/>
      <c r="DU229" s="838"/>
      <c r="DV229" s="838"/>
      <c r="DW229" s="838"/>
      <c r="DX229" s="838"/>
      <c r="DY229" s="838"/>
      <c r="DZ229" s="838"/>
      <c r="EA229" s="838"/>
      <c r="EB229" s="838"/>
      <c r="EC229" s="838"/>
      <c r="ED229" s="838"/>
      <c r="EE229" s="852"/>
      <c r="EG229" s="682">
        <f>IF('4 SUPERFICIES'!A38="MICRO DER",85,IF('4 SUPERFICIES'!A38="MICRO IZQ",85,IF('4 SUPERFICIES'!A38="MICRO SEN",170,IF('4 SUPERFICIES'!A38="DIAMETRO",3.14*'4 SUPERFICIES'!C38/2,IF('4 SUPERFICIES'!A38="MOSTRADOR",136,IF('4 SUPERFICIES'!A38="PORTA",65,IF('4 SUPERFICIES'!A38="PITO Q",90,IF('4 SUPERFICIES'!A38="PITO P",90,'4 SUPERFICIES'!A38))))))))</f>
        <v>0</v>
      </c>
      <c r="EH229" s="682"/>
      <c r="EI229" s="682">
        <f>IF('4 SUPERFICIES'!A38="DIAMETRO",0,IF('4 SUPERFICIES'!C38="PRINCIPAL",160,IF('4 SUPERFICIES'!C38="BADE",190,IF('4 SUPERFICIES'!C38="RETORNO",100,IF('4 SUPERFICIES'!C38="R 60",100,IF('4 SUPERFICIES'!C38="R60",100,'4 SUPERFICIES'!C38))))))</f>
        <v>0</v>
      </c>
      <c r="EJ229" s="682"/>
      <c r="EK229" s="682">
        <f>IF('4 SUPERFICIES'!$F38='4 SUPERFICIES'!$AG$15,((EG229*2)+(EI229*2))*'4 SUPERFICIES'!AB38,0)</f>
        <v>0</v>
      </c>
      <c r="EL229" s="682"/>
      <c r="EM229" s="682">
        <f>IF('4 SUPERFICIES'!$F38='4 SUPERFICIES'!$AG$16,((EG229*2)+(EI229*2))*'4 SUPERFICIES'!AB38,0)</f>
        <v>0</v>
      </c>
      <c r="EO229" s="682">
        <f>IF('4 SUPERFICIES'!$F38='4 SUPERFICIES'!$AG$17,((EG229*2)+(EI229*2))*'4 SUPERFICIES'!AB38,0)</f>
        <v>0</v>
      </c>
      <c r="EP229" s="838"/>
      <c r="EQ229" s="682">
        <f>IF('4 SUPERFICIES'!$F38='4 SUPERFICIES'!$AG$18,((EG229*2)+(EI229*2))*'4 SUPERFICIES'!AB38,0)</f>
        <v>0</v>
      </c>
      <c r="ER229" s="838"/>
      <c r="ES229" s="858"/>
      <c r="ET229" s="858"/>
      <c r="EU229" s="858"/>
      <c r="EV229" s="858"/>
      <c r="EW229" s="838"/>
      <c r="EX229" s="838"/>
      <c r="EY229" s="838"/>
      <c r="EZ229" s="838"/>
      <c r="FA229" s="838"/>
      <c r="FB229" s="838"/>
      <c r="FC229" s="838"/>
      <c r="FD229" s="838"/>
      <c r="FE229" s="838"/>
      <c r="FF229" s="838"/>
      <c r="FG229" s="838"/>
      <c r="FH229" s="838"/>
      <c r="FI229" s="838"/>
      <c r="FJ229" s="838"/>
      <c r="FK229" s="838"/>
      <c r="FL229" s="838"/>
      <c r="FM229" s="838"/>
      <c r="FN229" s="838"/>
      <c r="FO229" s="838"/>
      <c r="FP229" s="838"/>
      <c r="GM229" s="858"/>
      <c r="GN229" s="838"/>
      <c r="GO229" s="858"/>
      <c r="GP229" s="858"/>
      <c r="GQ229" s="858"/>
      <c r="GR229" s="838"/>
      <c r="GS229" s="838"/>
      <c r="HF229" s="700">
        <v>23.5</v>
      </c>
      <c r="HH229" s="591">
        <v>23.5</v>
      </c>
    </row>
    <row r="230" spans="1:216" ht="26.25" x14ac:dyDescent="0.4">
      <c r="A230" s="876">
        <f>IF(OR('5 ALMACEN '!D37="CURVO",'5 ALMACEN '!D37="CURVOS",),1,0)</f>
        <v>1</v>
      </c>
      <c r="B230" s="877" t="s">
        <v>500</v>
      </c>
      <c r="C230" s="878"/>
      <c r="D230" s="879">
        <f>IF($A$230=1,IF(OR('5 ALMACEN '!$D39='1 PISO TECHO'!$C$27,'5 ALMACEN '!$D39='1 P-T +'!$C$29,'5 ALMACEN '!$D39='2 MEDIA ALTURA'!$C$40,'5 ALMACEN '!$D39='2 M-A +'!$C$38,),'5 ALMACEN '!$B39+'5 ALMACEN '!$C39,0))</f>
        <v>0</v>
      </c>
      <c r="E230" s="879">
        <f>IF($A$230=1,IF(OR('5 ALMACEN '!$D40='1 PISO TECHO'!$C$27,'5 ALMACEN '!$D40='1 P-T +'!$C$29,'5 ALMACEN '!$D40='2 MEDIA ALTURA'!$C$40,'5 ALMACEN '!$D40='2 M-A +'!$C$38,),'5 ALMACEN '!$B40+'5 ALMACEN '!$C40,0))</f>
        <v>0</v>
      </c>
      <c r="F230" s="879">
        <f>IF($A$230=1,IF(OR('5 ALMACEN '!$D41='1 PISO TECHO'!$C$27,'5 ALMACEN '!$D41='1 P-T +'!$C$29,'5 ALMACEN '!$D41='2 MEDIA ALTURA'!$C$40,'5 ALMACEN '!$D41='2 M-A +'!$C$38,),'5 ALMACEN '!$B41+'5 ALMACEN '!$C41,0))</f>
        <v>0</v>
      </c>
      <c r="G230" s="879">
        <f>IF($A$230=1,IF(OR('5 ALMACEN '!$D42='1 PISO TECHO'!$C$27,'5 ALMACEN '!$D42='1 P-T +'!$C$29,'5 ALMACEN '!$D42='2 MEDIA ALTURA'!$C$40,'5 ALMACEN '!$D42='2 M-A +'!$C$38,),'5 ALMACEN '!$B42+'5 ALMACEN '!$C42,0))</f>
        <v>0</v>
      </c>
      <c r="AK230" s="777" t="b">
        <f>IF('4 SUPERFICIES'!$A39&gt;10,IF('4 SUPERFICIES'!$A39&lt;31.1,IF('4 SUPERFICIES'!$C39&gt;10,IF('4 SUPERFICIES'!$C39&lt;57.6,'4 SUPERFICIES'!$AB39,0))))</f>
        <v>0</v>
      </c>
      <c r="AL230" s="777" t="b">
        <f>IF('4 SUPERFICIES'!$A39&gt;10,IF('4 SUPERFICIES'!$A39&lt;31.1,IF('4 SUPERFICIES'!$C39&gt;57.6,IF('4 SUPERFICIES'!$C39&lt;71.6,'4 SUPERFICIES'!$AB39,0))))</f>
        <v>0</v>
      </c>
      <c r="AM230" s="777" t="b">
        <f>IF('4 SUPERFICIES'!$A39&gt;10,IF('4 SUPERFICIES'!$A39&lt;31.1,IF('4 SUPERFICIES'!$C39&gt;71.5,IF('4 SUPERFICIES'!$C39&lt;85.6,'4 SUPERFICIES'!$AB39,0))))</f>
        <v>0</v>
      </c>
      <c r="AN230" s="777" t="b">
        <f>IF('4 SUPERFICIES'!$A39&gt;10,IF('4 SUPERFICIES'!$A39&lt;31.1,IF('4 SUPERFICIES'!$C39&gt;85.5,IF('4 SUPERFICIES'!$C39&lt;113.6,'4 SUPERFICIES'!$AB39,0))))</f>
        <v>0</v>
      </c>
      <c r="AO230" s="777" t="b">
        <f>IF('4 SUPERFICIES'!$A39&gt;10,IF('4 SUPERFICIES'!$A39&lt;31.1,IF('4 SUPERFICIES'!$C39&gt;113.5,IF('4 SUPERFICIES'!$C39&lt;141.6,'4 SUPERFICIES'!$AB39,0))))</f>
        <v>0</v>
      </c>
      <c r="AP230" s="777" t="b">
        <f>IF('4 SUPERFICIES'!$A39&gt;10,IF('4 SUPERFICIES'!$A39&lt;31.1,IF('4 SUPERFICIES'!$C39&gt;141.5,IF('4 SUPERFICIES'!$C39&lt;180.6,'4 SUPERFICIES'!$AB39,0))))</f>
        <v>0</v>
      </c>
      <c r="AQ230" s="777" t="b">
        <f>IF('4 SUPERFICIES'!$A39&gt;10,IF('4 SUPERFICIES'!$A39&lt;31.1,IF('4 SUPERFICIES'!$C39&gt;180.5,IF('4 SUPERFICIES'!$C39&lt;240.1,'4 SUPERFICIES'!$AB39,0))))</f>
        <v>0</v>
      </c>
      <c r="AS230" s="777" t="b">
        <f>IF('4 SUPERFICIES'!$A39&gt;31,IF('4 SUPERFICIES'!$A39&lt;45.5,IF('4 SUPERFICIES'!$C39&gt;10,IF('4 SUPERFICIES'!$C39&lt;57.6,'4 SUPERFICIES'!$AB39,0))))</f>
        <v>0</v>
      </c>
      <c r="AT230" s="777" t="b">
        <f>IF('4 SUPERFICIES'!$A39&gt;31,IF('4 SUPERFICIES'!$A39&lt;45.5,IF('4 SUPERFICIES'!$C39&gt;57.6,IF('4 SUPERFICIES'!$C39&lt;71.6,'4 SUPERFICIES'!$AB39,0))))</f>
        <v>0</v>
      </c>
      <c r="AU230" s="777" t="b">
        <f>IF('4 SUPERFICIES'!$A39&gt;31,IF('4 SUPERFICIES'!$A39&lt;45.5,IF('4 SUPERFICIES'!$C39&gt;71.5,IF('4 SUPERFICIES'!$C39&lt;85.6,'4 SUPERFICIES'!$AB39,0))))</f>
        <v>0</v>
      </c>
      <c r="AV230" s="777" t="b">
        <f>IF('4 SUPERFICIES'!$A39&gt;31,IF('4 SUPERFICIES'!$A39&lt;45.5,IF('4 SUPERFICIES'!$C39&gt;85.5,IF('4 SUPERFICIES'!$C39&lt;113.6,'4 SUPERFICIES'!$AB39,0))))</f>
        <v>0</v>
      </c>
      <c r="AW230" s="777" t="b">
        <f>IF('4 SUPERFICIES'!$A39&gt;31,IF('4 SUPERFICIES'!$A39&lt;45.5,IF('4 SUPERFICIES'!$C39&gt;113.5,IF('4 SUPERFICIES'!$C39&lt;141.6,'4 SUPERFICIES'!$AB39,0))))</f>
        <v>0</v>
      </c>
      <c r="AX230" s="777" t="b">
        <f>IF('4 SUPERFICIES'!$A39&gt;31,IF('4 SUPERFICIES'!$A39&lt;45.5,IF('4 SUPERFICIES'!$C39&gt;141.5,IF('4 SUPERFICIES'!$C39&lt;180.6,'4 SUPERFICIES'!$AB39,0))))</f>
        <v>0</v>
      </c>
      <c r="AY230" s="777" t="b">
        <f>IF('4 SUPERFICIES'!$A39&gt;31,IF('4 SUPERFICIES'!$A39&lt;45.5,IF('4 SUPERFICIES'!$C39&gt;180.5,IF('4 SUPERFICIES'!$C39&lt;240.1,'4 SUPERFICIES'!$AB39,0))))</f>
        <v>0</v>
      </c>
      <c r="BA230" s="777" t="b">
        <f>IF('4 SUPERFICIES'!$A39&gt;45.4,IF('4 SUPERFICIES'!$A39&lt;61.6,IF('4 SUPERFICIES'!$C39&gt;10,IF('4 SUPERFICIES'!$C39&lt;61.5,'4 SUPERFICIES'!$AB39,0))))</f>
        <v>0</v>
      </c>
      <c r="BB230" s="777" t="b">
        <f>IF('4 SUPERFICIES'!$A39&gt;45.4,IF('4 SUPERFICIES'!$A39&lt;61.6,IF('4 SUPERFICIES'!$C39&gt;61.1,IF('4 SUPERFICIES'!$C39&lt;71.6,'4 SUPERFICIES'!$AB39,0))))</f>
        <v>0</v>
      </c>
      <c r="BC230" s="777" t="b">
        <f>IF('4 SUPERFICIES'!$A39&gt;45.4,IF('4 SUPERFICIES'!$A39&lt;61.6,IF('4 SUPERFICIES'!$C39&gt;71.5,IF('4 SUPERFICIES'!$C39&lt;85.6,'4 SUPERFICIES'!$AB39,0))))</f>
        <v>0</v>
      </c>
      <c r="BD230" s="777" t="b">
        <f>IF('4 SUPERFICIES'!$A39&gt;45.4,IF('4 SUPERFICIES'!$A39&lt;61.6,IF('4 SUPERFICIES'!$C39&gt;85.5,IF('4 SUPERFICIES'!$C39&lt;113.6,'4 SUPERFICIES'!$AB39,0))))</f>
        <v>0</v>
      </c>
      <c r="BE230" s="777" t="b">
        <f>IF('4 SUPERFICIES'!$A39&gt;45.4,IF('4 SUPERFICIES'!$A39&lt;61.6,IF('4 SUPERFICIES'!$C39&gt;113.5,IF('4 SUPERFICIES'!$C39&lt;121.6,'4 SUPERFICIES'!$AB39,0))))</f>
        <v>0</v>
      </c>
      <c r="BF230" s="777" t="b">
        <f>IF('4 SUPERFICIES'!$A39&gt;45.4,IF('4 SUPERFICIES'!$A39&lt;61.6,IF('4 SUPERFICIES'!$C39&gt;121.5,IF('4 SUPERFICIES'!$C39&lt;127.6,'4 SUPERFICIES'!$AB39,0))))</f>
        <v>0</v>
      </c>
      <c r="BG230" s="777" t="b">
        <f>IF('4 SUPERFICIES'!$A39&gt;45.4,IF('4 SUPERFICIES'!$A39&lt;61.6,IF('4 SUPERFICIES'!$C39&gt;127.5,IF('4 SUPERFICIES'!$C39&lt;135.1,'4 SUPERFICIES'!$AB39,0))))</f>
        <v>0</v>
      </c>
      <c r="BH230" s="777" t="b">
        <f>IF('4 SUPERFICIES'!$A39&gt;45.4,IF('4 SUPERFICIES'!$A39&lt;61.6,IF('4 SUPERFICIES'!$C39&gt;135,IF('4 SUPERFICIES'!$C39&lt;141.6,'4 SUPERFICIES'!$AB39,0))))</f>
        <v>0</v>
      </c>
      <c r="BI230" s="777" t="b">
        <f>IF('4 SUPERFICIES'!$A39&gt;45.4,IF('4 SUPERFICIES'!$A39&lt;61.6,IF('4 SUPERFICIES'!$C39&gt;141.5,IF('4 SUPERFICIES'!$C39&lt;149.1,'4 SUPERFICIES'!$AB39,0))))</f>
        <v>0</v>
      </c>
      <c r="BJ230" s="777" t="b">
        <f>IF('4 SUPERFICIES'!$A39&gt;45.4,IF('4 SUPERFICIES'!$A39&lt;61.6,IF('4 SUPERFICIES'!$C39&gt;149,IF('4 SUPERFICIES'!$C39&lt;155.6,'4 SUPERFICIES'!$AB39,0))))</f>
        <v>0</v>
      </c>
      <c r="BK230" s="777" t="b">
        <f>IF('4 SUPERFICIES'!$A39&gt;45.4,IF('4 SUPERFICIES'!$A39&lt;61.6,IF('4 SUPERFICIES'!$C39&gt;155.5,IF('4 SUPERFICIES'!$C39&lt;163.1,'4 SUPERFICIES'!$AB39,0))))</f>
        <v>0</v>
      </c>
      <c r="BL230" s="777" t="b">
        <f>IF('4 SUPERFICIES'!$A39&gt;45.4,IF('4 SUPERFICIES'!$A39&lt;61.6,IF('4 SUPERFICIES'!$C39&gt;163,IF('4 SUPERFICIES'!$C39&lt;180.6,'4 SUPERFICIES'!$AB39,0))))</f>
        <v>0</v>
      </c>
      <c r="BM230" s="777" t="b">
        <f>IF('4 SUPERFICIES'!$A39&gt;45.4,IF('4 SUPERFICIES'!$A39&lt;61.6,IF('4 SUPERFICIES'!$C39&gt;180.5,IF('4 SUPERFICIES'!$C39&lt;240.1,'4 SUPERFICIES'!$AB39,0))))</f>
        <v>0</v>
      </c>
      <c r="BO230" s="869" t="s">
        <v>552</v>
      </c>
      <c r="BQ230" s="870">
        <f>+$CC$250+$CD$250+$DB$250</f>
        <v>0</v>
      </c>
      <c r="BS230" s="869"/>
      <c r="BT230" s="870">
        <f>+$CC$251+$CD$251+$DB$251</f>
        <v>0</v>
      </c>
      <c r="BV230" s="777" t="b">
        <f>IF('4 SUPERFICIES'!$A39&gt;61.5,IF('4 SUPERFICIES'!$A39&lt;71.6,IF('4 SUPERFICIES'!$C39&gt;10,IF('4 SUPERFICIES'!$C39&lt;57.6,'4 SUPERFICIES'!$AB39,0))))</f>
        <v>0</v>
      </c>
      <c r="BW230" s="777" t="b">
        <f>IF('4 SUPERFICIES'!$A39&gt;61.5,IF('4 SUPERFICIES'!$A39&lt;71.6,IF('4 SUPERFICIES'!$C39&gt;57.6,IF('4 SUPERFICIES'!$C39&lt;71.6,'4 SUPERFICIES'!$AB39,0))))</f>
        <v>0</v>
      </c>
      <c r="BX230" s="777" t="b">
        <f>IF('4 SUPERFICIES'!$A39&gt;61.5,IF('4 SUPERFICIES'!$A39&lt;71.6,IF('4 SUPERFICIES'!$C39&gt;71.5,IF('4 SUPERFICIES'!$C39&lt;85.6,'4 SUPERFICIES'!$AB39,0))))</f>
        <v>0</v>
      </c>
      <c r="BY230" s="777" t="b">
        <f>IF('4 SUPERFICIES'!$A39&gt;61.5,IF('4 SUPERFICIES'!$A39&lt;71.6,IF('4 SUPERFICIES'!$C39&gt;85.5,IF('4 SUPERFICIES'!$C39&lt;113.6,'4 SUPERFICIES'!$AB39,0))))</f>
        <v>0</v>
      </c>
      <c r="BZ230" s="777" t="b">
        <f>IF('4 SUPERFICIES'!$A39&gt;61.5,IF('4 SUPERFICIES'!$A39&lt;71.6,IF('4 SUPERFICIES'!$C39&gt;113.5,IF('4 SUPERFICIES'!$C39&lt;141.6,'4 SUPERFICIES'!$AB39,0))))</f>
        <v>0</v>
      </c>
      <c r="CA230" s="777" t="b">
        <f>IF('4 SUPERFICIES'!$A39&gt;61.5,IF('4 SUPERFICIES'!$A39&lt;71.6,IF('4 SUPERFICIES'!$C39&gt;141.5,IF('4 SUPERFICIES'!$C39&lt;149.1,'4 SUPERFICIES'!$AB39,0))))</f>
        <v>0</v>
      </c>
      <c r="CB230" s="777" t="b">
        <f>IF('4 SUPERFICIES'!$A39&gt;61.5,IF('4 SUPERFICIES'!$A39&lt;71.6,IF('4 SUPERFICIES'!$C39&gt;149,IF('4 SUPERFICIES'!$C39&lt;163.1,'4 SUPERFICIES'!$AB39,0))))</f>
        <v>0</v>
      </c>
      <c r="CC230" s="777" t="b">
        <f>IF('4 SUPERFICIES'!$A39&gt;61.5,IF('4 SUPERFICIES'!$A39&lt;71.6,IF('4 SUPERFICIES'!$C39&gt;163,IF('4 SUPERFICIES'!$C39&lt;180.6,'4 SUPERFICIES'!$AB39,0))))</f>
        <v>0</v>
      </c>
      <c r="CD230" s="777" t="b">
        <f>IF('4 SUPERFICIES'!$A39&gt;61.5,IF('4 SUPERFICIES'!$A39&lt;71.6,IF('4 SUPERFICIES'!$C39&gt;180.5,IF('4 SUPERFICIES'!$C39&lt;240.1,'4 SUPERFICIES'!$AB39,0))))</f>
        <v>0</v>
      </c>
      <c r="CF230" s="777" t="b">
        <f>IF('4 SUPERFICIES'!$A39&gt;71.5,IF('4 SUPERFICIES'!$A39&lt;120.6,IF('4 SUPERFICIES'!$C39&gt;10,IF('4 SUPERFICIES'!$C39&lt;57.6,'4 SUPERFICIES'!$AB39,0))))</f>
        <v>0</v>
      </c>
      <c r="CG230" s="777" t="b">
        <f>IF('4 SUPERFICIES'!$A39&gt;71.5,IF('4 SUPERFICIES'!$A39&lt;120.6,IF('4 SUPERFICIES'!$C39&gt;57.6,IF('4 SUPERFICIES'!$C39&lt;71.6,'4 SUPERFICIES'!$AB39,0))))</f>
        <v>0</v>
      </c>
      <c r="CH230" s="777" t="b">
        <f>IF('4 SUPERFICIES'!$A39&gt;71.5,IF('4 SUPERFICIES'!$A39&lt;120.6,IF('4 SUPERFICIES'!$C39&gt;71.5,IF('4 SUPERFICIES'!$C39&lt;85.6,'4 SUPERFICIES'!$AB39,0))))</f>
        <v>0</v>
      </c>
      <c r="CI230" s="777" t="b">
        <f>IF('4 SUPERFICIES'!$A39&gt;71.5,IF('4 SUPERFICIES'!$A39&lt;120.6,IF('4 SUPERFICIES'!$C39&gt;85.5,IF('4 SUPERFICIES'!$C39&lt;113.6,'4 SUPERFICIES'!$AB39,0))))</f>
        <v>0</v>
      </c>
      <c r="CJ230" s="777" t="b">
        <f>IF('4 SUPERFICIES'!$A39&gt;71.5,IF('4 SUPERFICIES'!$A39&lt;120.6,IF('4 SUPERFICIES'!$C39&gt;113.5,IF('4 SUPERFICIES'!$C39&lt;141.6,'4 SUPERFICIES'!$AB39,0))))</f>
        <v>0</v>
      </c>
      <c r="CK230" s="777" t="b">
        <f>IF('4 SUPERFICIES'!$A39&gt;71.5,IF('4 SUPERFICIES'!$A39&lt;120.6,IF('4 SUPERFICIES'!$C39&gt;141.5,IF('4 SUPERFICIES'!$C39&lt;180.6,'4 SUPERFICIES'!$AB39,0))))</f>
        <v>0</v>
      </c>
      <c r="CL230" s="777" t="b">
        <f>IF('4 SUPERFICIES'!$A39&gt;71.5,IF('4 SUPERFICIES'!$A39&lt;120.6,IF('4 SUPERFICIES'!$C39&gt;180.5,IF('4 SUPERFICIES'!$C39&lt;240.1,'4 SUPERFICIES'!$AB39,0))))</f>
        <v>0</v>
      </c>
      <c r="CN230" s="777">
        <f>IF('4 SUPERFICIES'!$C39&lt;150,IF(OR('4 SUPERFICIES'!$A39="MICRODER",'4 SUPERFICIES'!$A39="MICRO DER",),'4 SUPERFICIES'!$AB39,0))</f>
        <v>0</v>
      </c>
      <c r="CO230" s="777" t="b">
        <f>IF('4 SUPERFICIES'!$C39&gt;149.5,IF(OR('4 SUPERFICIES'!$A39="MICRODER",'4 SUPERFICIES'!$A39="MICRO DER",),'4 SUPERFICIES'!$AB39,0))</f>
        <v>0</v>
      </c>
      <c r="CP230" s="847"/>
      <c r="CQ230" s="777">
        <f>IF('4 SUPERFICIES'!$C39&lt;150,IF(OR('4 SUPERFICIES'!$A39="MICROIZQ",'4 SUPERFICIES'!$A39="MICRO IZQ",),'4 SUPERFICIES'!$AB39,0))</f>
        <v>0</v>
      </c>
      <c r="CR230" s="777" t="b">
        <f>IF('4 SUPERFICIES'!$C39&gt;149.5,IF(OR('4 SUPERFICIES'!$A39="MICROIZQ",'4 SUPERFICIES'!$A39="MICRO IZQ",),'4 SUPERFICIES'!$AB39,0))</f>
        <v>0</v>
      </c>
      <c r="CT230" s="837">
        <f>IF(OR('4 SUPERFICIES'!$A39="MICRO SEN",'4 SUPERFICIES'!$A39="MICROSEN",),'4 SUPERFICIES'!$AB39,0)</f>
        <v>0</v>
      </c>
      <c r="CV230" s="837" t="b">
        <f>IF('4 SUPERFICIES'!$A39="DIAMETRO",IF('4 SUPERFICIES'!$C39&lt;121.1,'4 SUPERFICIES'!$AB39,0))</f>
        <v>0</v>
      </c>
      <c r="CX230" s="858"/>
      <c r="CZ230" s="837" t="b">
        <f>IF('4 SUPERFICIES'!$A39="MOSTRADOR",IF('4 SUPERFICIES'!$C39="R60",'4 SUPERFICIES'!$AB39,0))</f>
        <v>0</v>
      </c>
      <c r="DB230" s="837">
        <f>IF(OR('4 SUPERFICIES'!$A39="PORTA PRIN",'4 SUPERFICIES'!$A39="PORTAPRIN",),'4 SUPERFICIES'!$AB39,0)</f>
        <v>0</v>
      </c>
      <c r="DD230" s="837">
        <f>IF(OR('4 SUPERFICIES'!$A39="PORTA BADE",'4 SUPERFICIES'!$A39="PORTABADE",),'4 SUPERFICIES'!$AB39,0)</f>
        <v>0</v>
      </c>
      <c r="DE230" s="837"/>
      <c r="DF230" s="837">
        <f>IF(OR('4 SUPERFICIES'!$A39="RETORNO IZQ",'4 SUPERFICIES'!$A39="RETORNO DER",),'4 SUPERFICIES'!$AB139,0)</f>
        <v>0</v>
      </c>
      <c r="DG230" s="837"/>
      <c r="DH230" s="837">
        <f>IF(OR('4 SUPERFICIES'!$A39="PITO Q",'4 SUPERFICIES'!$A39="PITO P",'4 SUPERFICIES'!$A39="DIAMETRO INTEGRADA",),'4 SUPERFICIES'!$AB39,0)</f>
        <v>0</v>
      </c>
      <c r="DJ230" s="858"/>
      <c r="DK230" s="837"/>
      <c r="DL230" s="837">
        <f>IF('4 SUPERFICIES'!$A39="SUPERFICIE OVAL",'4 SUPERFICIES'!$AB39,0)</f>
        <v>0</v>
      </c>
      <c r="DN230" s="838"/>
      <c r="DO230" s="838"/>
      <c r="DP230" s="838"/>
      <c r="DQ230" s="838"/>
      <c r="DR230" s="838"/>
      <c r="DS230" s="838"/>
      <c r="DT230" s="838"/>
      <c r="DU230" s="838"/>
      <c r="DV230" s="838"/>
      <c r="DW230" s="838"/>
      <c r="DX230" s="838"/>
      <c r="DY230" s="838"/>
      <c r="DZ230" s="838"/>
      <c r="EA230" s="838"/>
      <c r="EB230" s="838"/>
      <c r="EC230" s="838"/>
      <c r="ED230" s="838"/>
      <c r="EE230" s="852"/>
      <c r="EG230" s="682">
        <f>IF('4 SUPERFICIES'!A39="MICRO DER",85,IF('4 SUPERFICIES'!A39="MICRO IZQ",85,IF('4 SUPERFICIES'!A39="MICRO SEN",170,IF('4 SUPERFICIES'!A39="DIAMETRO",3.14*'4 SUPERFICIES'!C39/2,IF('4 SUPERFICIES'!A39="MOSTRADOR",136,IF('4 SUPERFICIES'!A39="PORTA",65,IF('4 SUPERFICIES'!A39="PITO Q",90,IF('4 SUPERFICIES'!A39="PITO P",90,'4 SUPERFICIES'!A39))))))))</f>
        <v>0</v>
      </c>
      <c r="EH230" s="682"/>
      <c r="EI230" s="682">
        <f>IF('4 SUPERFICIES'!A39="DIAMETRO",0,IF('4 SUPERFICIES'!C39="PRINCIPAL",160,IF('4 SUPERFICIES'!C39="BADE",190,IF('4 SUPERFICIES'!C39="RETORNO",100,IF('4 SUPERFICIES'!C39="R 60",100,IF('4 SUPERFICIES'!C39="R60",100,'4 SUPERFICIES'!C39))))))</f>
        <v>0</v>
      </c>
      <c r="EJ230" s="682"/>
      <c r="EK230" s="682">
        <f>IF('4 SUPERFICIES'!$F39='4 SUPERFICIES'!$AG$15,((EG230*2)+(EI230*2))*'4 SUPERFICIES'!AB39,0)</f>
        <v>0</v>
      </c>
      <c r="EL230" s="682"/>
      <c r="EM230" s="682">
        <f>IF('4 SUPERFICIES'!$F39='4 SUPERFICIES'!$AG$16,((EG230*2)+(EI230*2))*'4 SUPERFICIES'!AB39,0)</f>
        <v>0</v>
      </c>
      <c r="EO230" s="682">
        <f>IF('4 SUPERFICIES'!$F39='4 SUPERFICIES'!$AG$17,((EG230*2)+(EI230*2))*'4 SUPERFICIES'!AB39,0)</f>
        <v>0</v>
      </c>
      <c r="EP230" s="838"/>
      <c r="EQ230" s="682">
        <f>IF('4 SUPERFICIES'!$F39='4 SUPERFICIES'!$AG$18,((EG230*2)+(EI230*2))*'4 SUPERFICIES'!AB39,0)</f>
        <v>0</v>
      </c>
      <c r="ER230" s="838"/>
      <c r="ES230" s="858"/>
      <c r="ET230" s="858"/>
      <c r="EU230" s="858"/>
      <c r="EV230" s="858"/>
      <c r="EW230" s="838"/>
      <c r="EX230" s="838"/>
      <c r="EY230" s="838"/>
      <c r="EZ230" s="838"/>
      <c r="FA230" s="838"/>
      <c r="FB230" s="838"/>
      <c r="FC230" s="838"/>
      <c r="FD230" s="838"/>
      <c r="FE230" s="838"/>
      <c r="FF230" s="838"/>
      <c r="FG230" s="838"/>
      <c r="FH230" s="838"/>
      <c r="FI230" s="838"/>
      <c r="FJ230" s="838"/>
      <c r="FK230" s="838"/>
      <c r="FL230" s="838"/>
      <c r="FM230" s="838"/>
      <c r="FN230" s="838"/>
      <c r="FO230" s="838"/>
      <c r="FP230" s="838"/>
      <c r="GM230" s="858"/>
      <c r="GN230" s="838"/>
      <c r="GO230" s="858"/>
      <c r="GP230" s="858"/>
      <c r="GQ230" s="858"/>
      <c r="GR230" s="838"/>
      <c r="GS230" s="838"/>
      <c r="HF230" s="700">
        <v>24</v>
      </c>
      <c r="HH230" s="591">
        <v>24</v>
      </c>
    </row>
    <row r="231" spans="1:216" ht="26.25" x14ac:dyDescent="0.4">
      <c r="A231" s="848"/>
      <c r="B231" s="877" t="s">
        <v>503</v>
      </c>
      <c r="C231" s="878"/>
      <c r="D231" s="879" t="b">
        <f>IF($A$230=0,IF(OR('5 ALMACEN '!$D39='2 MEDIA ALTURA'!$C$40,),'5 ALMACEN '!$B39+'5 ALMACEN '!$C39,0))</f>
        <v>0</v>
      </c>
      <c r="E231" s="879" t="b">
        <f>IF($A$230=0,IF(OR('5 ALMACEN '!$D40='2 MEDIA ALTURA'!$C$40,),'5 ALMACEN '!$B40+'5 ALMACEN '!$C40,0))</f>
        <v>0</v>
      </c>
      <c r="F231" s="879" t="b">
        <f>IF($A$230=0,IF(OR('5 ALMACEN '!$D41='2 MEDIA ALTURA'!$C$40,),'5 ALMACEN '!$B41+'5 ALMACEN '!$C41,0))</f>
        <v>0</v>
      </c>
      <c r="G231" s="879" t="b">
        <f>IF($A$230=0,IF(OR('5 ALMACEN '!$D42='2 MEDIA ALTURA'!$C$40,),'5 ALMACEN '!$B42+'5 ALMACEN '!$C42,0))</f>
        <v>0</v>
      </c>
      <c r="AK231" s="777" t="b">
        <f>IF('4 SUPERFICIES'!$A40&gt;10,IF('4 SUPERFICIES'!$A40&lt;31.1,IF('4 SUPERFICIES'!$C40&gt;10,IF('4 SUPERFICIES'!$C40&lt;57.6,'4 SUPERFICIES'!$AB40,0))))</f>
        <v>0</v>
      </c>
      <c r="AL231" s="777" t="b">
        <f>IF('4 SUPERFICIES'!$A40&gt;10,IF('4 SUPERFICIES'!$A40&lt;31.1,IF('4 SUPERFICIES'!$C40&gt;57.6,IF('4 SUPERFICIES'!$C40&lt;71.6,'4 SUPERFICIES'!$AB40,0))))</f>
        <v>0</v>
      </c>
      <c r="AM231" s="777" t="b">
        <f>IF('4 SUPERFICIES'!$A40&gt;10,IF('4 SUPERFICIES'!$A40&lt;31.1,IF('4 SUPERFICIES'!$C40&gt;71.5,IF('4 SUPERFICIES'!$C40&lt;85.6,'4 SUPERFICIES'!$AB40,0))))</f>
        <v>0</v>
      </c>
      <c r="AN231" s="777" t="b">
        <f>IF('4 SUPERFICIES'!$A40&gt;10,IF('4 SUPERFICIES'!$A40&lt;31.1,IF('4 SUPERFICIES'!$C40&gt;85.5,IF('4 SUPERFICIES'!$C40&lt;113.6,'4 SUPERFICIES'!$AB40,0))))</f>
        <v>0</v>
      </c>
      <c r="AO231" s="777" t="b">
        <f>IF('4 SUPERFICIES'!$A40&gt;10,IF('4 SUPERFICIES'!$A40&lt;31.1,IF('4 SUPERFICIES'!$C40&gt;113.5,IF('4 SUPERFICIES'!$C40&lt;141.6,'4 SUPERFICIES'!$AB40,0))))</f>
        <v>0</v>
      </c>
      <c r="AP231" s="777" t="b">
        <f>IF('4 SUPERFICIES'!$A40&gt;10,IF('4 SUPERFICIES'!$A40&lt;31.1,IF('4 SUPERFICIES'!$C40&gt;141.5,IF('4 SUPERFICIES'!$C40&lt;180.6,'4 SUPERFICIES'!$AB40,0))))</f>
        <v>0</v>
      </c>
      <c r="AQ231" s="777" t="b">
        <f>IF('4 SUPERFICIES'!$A40&gt;10,IF('4 SUPERFICIES'!$A40&lt;31.1,IF('4 SUPERFICIES'!$C40&gt;180.5,IF('4 SUPERFICIES'!$C40&lt;240.1,'4 SUPERFICIES'!$AB40,0))))</f>
        <v>0</v>
      </c>
      <c r="AS231" s="777" t="b">
        <f>IF('4 SUPERFICIES'!$A40&gt;31,IF('4 SUPERFICIES'!$A40&lt;45.5,IF('4 SUPERFICIES'!$C40&gt;10,IF('4 SUPERFICIES'!$C40&lt;57.6,'4 SUPERFICIES'!$AB40,0))))</f>
        <v>0</v>
      </c>
      <c r="AT231" s="777" t="b">
        <f>IF('4 SUPERFICIES'!$A40&gt;31,IF('4 SUPERFICIES'!$A40&lt;45.5,IF('4 SUPERFICIES'!$C40&gt;57.6,IF('4 SUPERFICIES'!$C40&lt;71.6,'4 SUPERFICIES'!$AB40,0))))</f>
        <v>0</v>
      </c>
      <c r="AU231" s="777" t="b">
        <f>IF('4 SUPERFICIES'!$A40&gt;31,IF('4 SUPERFICIES'!$A40&lt;45.5,IF('4 SUPERFICIES'!$C40&gt;71.5,IF('4 SUPERFICIES'!$C40&lt;85.6,'4 SUPERFICIES'!$AB40,0))))</f>
        <v>0</v>
      </c>
      <c r="AV231" s="777" t="b">
        <f>IF('4 SUPERFICIES'!$A40&gt;31,IF('4 SUPERFICIES'!$A40&lt;45.5,IF('4 SUPERFICIES'!$C40&gt;85.5,IF('4 SUPERFICIES'!$C40&lt;113.6,'4 SUPERFICIES'!$AB40,0))))</f>
        <v>0</v>
      </c>
      <c r="AW231" s="777" t="b">
        <f>IF('4 SUPERFICIES'!$A40&gt;31,IF('4 SUPERFICIES'!$A40&lt;45.5,IF('4 SUPERFICIES'!$C40&gt;113.5,IF('4 SUPERFICIES'!$C40&lt;141.6,'4 SUPERFICIES'!$AB40,0))))</f>
        <v>0</v>
      </c>
      <c r="AX231" s="777" t="b">
        <f>IF('4 SUPERFICIES'!$A40&gt;31,IF('4 SUPERFICIES'!$A40&lt;45.5,IF('4 SUPERFICIES'!$C40&gt;141.5,IF('4 SUPERFICIES'!$C40&lt;180.6,'4 SUPERFICIES'!$AB40,0))))</f>
        <v>0</v>
      </c>
      <c r="AY231" s="777" t="b">
        <f>IF('4 SUPERFICIES'!$A40&gt;31,IF('4 SUPERFICIES'!$A40&lt;45.5,IF('4 SUPERFICIES'!$C40&gt;180.5,IF('4 SUPERFICIES'!$C40&lt;240.1,'4 SUPERFICIES'!$AB40,0))))</f>
        <v>0</v>
      </c>
      <c r="BA231" s="777" t="b">
        <f>IF('4 SUPERFICIES'!$A40&gt;45.4,IF('4 SUPERFICIES'!$A40&lt;61.6,IF('4 SUPERFICIES'!$C40&gt;10,IF('4 SUPERFICIES'!$C40&lt;61.5,'4 SUPERFICIES'!$AB40,0))))</f>
        <v>0</v>
      </c>
      <c r="BB231" s="777" t="b">
        <f>IF('4 SUPERFICIES'!$A40&gt;45.4,IF('4 SUPERFICIES'!$A40&lt;61.6,IF('4 SUPERFICIES'!$C40&gt;61.1,IF('4 SUPERFICIES'!$C40&lt;71.6,'4 SUPERFICIES'!$AB40,0))))</f>
        <v>0</v>
      </c>
      <c r="BC231" s="777" t="b">
        <f>IF('4 SUPERFICIES'!$A40&gt;45.4,IF('4 SUPERFICIES'!$A40&lt;61.6,IF('4 SUPERFICIES'!$C40&gt;71.5,IF('4 SUPERFICIES'!$C40&lt;85.6,'4 SUPERFICIES'!$AB40,0))))</f>
        <v>0</v>
      </c>
      <c r="BD231" s="777" t="b">
        <f>IF('4 SUPERFICIES'!$A40&gt;45.4,IF('4 SUPERFICIES'!$A40&lt;61.6,IF('4 SUPERFICIES'!$C40&gt;85.5,IF('4 SUPERFICIES'!$C40&lt;113.6,'4 SUPERFICIES'!$AB40,0))))</f>
        <v>0</v>
      </c>
      <c r="BE231" s="777" t="b">
        <f>IF('4 SUPERFICIES'!$A40&gt;45.4,IF('4 SUPERFICIES'!$A40&lt;61.6,IF('4 SUPERFICIES'!$C40&gt;113.5,IF('4 SUPERFICIES'!$C40&lt;121.6,'4 SUPERFICIES'!$AB40,0))))</f>
        <v>0</v>
      </c>
      <c r="BF231" s="777" t="b">
        <f>IF('4 SUPERFICIES'!$A40&gt;45.4,IF('4 SUPERFICIES'!$A40&lt;61.6,IF('4 SUPERFICIES'!$C40&gt;121.5,IF('4 SUPERFICIES'!$C40&lt;127.6,'4 SUPERFICIES'!$AB40,0))))</f>
        <v>0</v>
      </c>
      <c r="BG231" s="777" t="b">
        <f>IF('4 SUPERFICIES'!$A40&gt;45.4,IF('4 SUPERFICIES'!$A40&lt;61.6,IF('4 SUPERFICIES'!$C40&gt;127.5,IF('4 SUPERFICIES'!$C40&lt;135.1,'4 SUPERFICIES'!$AB40,0))))</f>
        <v>0</v>
      </c>
      <c r="BH231" s="777" t="b">
        <f>IF('4 SUPERFICIES'!$A40&gt;45.4,IF('4 SUPERFICIES'!$A40&lt;61.6,IF('4 SUPERFICIES'!$C40&gt;135,IF('4 SUPERFICIES'!$C40&lt;141.6,'4 SUPERFICIES'!$AB40,0))))</f>
        <v>0</v>
      </c>
      <c r="BI231" s="777" t="b">
        <f>IF('4 SUPERFICIES'!$A40&gt;45.4,IF('4 SUPERFICIES'!$A40&lt;61.6,IF('4 SUPERFICIES'!$C40&gt;141.5,IF('4 SUPERFICIES'!$C40&lt;149.1,'4 SUPERFICIES'!$AB40,0))))</f>
        <v>0</v>
      </c>
      <c r="BJ231" s="777" t="b">
        <f>IF('4 SUPERFICIES'!$A40&gt;45.4,IF('4 SUPERFICIES'!$A40&lt;61.6,IF('4 SUPERFICIES'!$C40&gt;149,IF('4 SUPERFICIES'!$C40&lt;155.6,'4 SUPERFICIES'!$AB40,0))))</f>
        <v>0</v>
      </c>
      <c r="BK231" s="777" t="b">
        <f>IF('4 SUPERFICIES'!$A40&gt;45.4,IF('4 SUPERFICIES'!$A40&lt;61.6,IF('4 SUPERFICIES'!$C40&gt;155.5,IF('4 SUPERFICIES'!$C40&lt;163.1,'4 SUPERFICIES'!$AB40,0))))</f>
        <v>0</v>
      </c>
      <c r="BL231" s="777" t="b">
        <f>IF('4 SUPERFICIES'!$A40&gt;45.4,IF('4 SUPERFICIES'!$A40&lt;61.6,IF('4 SUPERFICIES'!$C40&gt;163,IF('4 SUPERFICIES'!$C40&lt;180.6,'4 SUPERFICIES'!$AB40,0))))</f>
        <v>0</v>
      </c>
      <c r="BM231" s="777" t="b">
        <f>IF('4 SUPERFICIES'!$A40&gt;45.4,IF('4 SUPERFICIES'!$A40&lt;61.6,IF('4 SUPERFICIES'!$C40&gt;180.5,IF('4 SUPERFICIES'!$C40&lt;240.1,'4 SUPERFICIES'!$AB40,0))))</f>
        <v>0</v>
      </c>
      <c r="BO231" s="869" t="s">
        <v>553</v>
      </c>
      <c r="BQ231" s="870">
        <f>+$CN$250+$CO$250*1.6</f>
        <v>0</v>
      </c>
      <c r="BS231" s="869"/>
      <c r="BT231" s="870">
        <f>+$CN$251+$CO$251*1.6</f>
        <v>0</v>
      </c>
      <c r="BV231" s="777" t="b">
        <f>IF('4 SUPERFICIES'!$A40&gt;61.5,IF('4 SUPERFICIES'!$A40&lt;71.6,IF('4 SUPERFICIES'!$C40&gt;10,IF('4 SUPERFICIES'!$C40&lt;57.6,'4 SUPERFICIES'!$AB40,0))))</f>
        <v>0</v>
      </c>
      <c r="BW231" s="777" t="b">
        <f>IF('4 SUPERFICIES'!$A40&gt;61.5,IF('4 SUPERFICIES'!$A40&lt;71.6,IF('4 SUPERFICIES'!$C40&gt;57.6,IF('4 SUPERFICIES'!$C40&lt;71.6,'4 SUPERFICIES'!$AB40,0))))</f>
        <v>0</v>
      </c>
      <c r="BX231" s="777" t="b">
        <f>IF('4 SUPERFICIES'!$A40&gt;61.5,IF('4 SUPERFICIES'!$A40&lt;71.6,IF('4 SUPERFICIES'!$C40&gt;71.5,IF('4 SUPERFICIES'!$C40&lt;85.6,'4 SUPERFICIES'!$AB40,0))))</f>
        <v>0</v>
      </c>
      <c r="BY231" s="777" t="b">
        <f>IF('4 SUPERFICIES'!$A40&gt;61.5,IF('4 SUPERFICIES'!$A40&lt;71.6,IF('4 SUPERFICIES'!$C40&gt;85.5,IF('4 SUPERFICIES'!$C40&lt;113.6,'4 SUPERFICIES'!$AB40,0))))</f>
        <v>0</v>
      </c>
      <c r="BZ231" s="777" t="b">
        <f>IF('4 SUPERFICIES'!$A40&gt;61.5,IF('4 SUPERFICIES'!$A40&lt;71.6,IF('4 SUPERFICIES'!$C40&gt;113.5,IF('4 SUPERFICIES'!$C40&lt;141.6,'4 SUPERFICIES'!$AB40,0))))</f>
        <v>0</v>
      </c>
      <c r="CA231" s="777" t="b">
        <f>IF('4 SUPERFICIES'!$A40&gt;61.5,IF('4 SUPERFICIES'!$A40&lt;71.6,IF('4 SUPERFICIES'!$C40&gt;141.5,IF('4 SUPERFICIES'!$C40&lt;149.1,'4 SUPERFICIES'!$AB40,0))))</f>
        <v>0</v>
      </c>
      <c r="CB231" s="777" t="b">
        <f>IF('4 SUPERFICIES'!$A40&gt;61.5,IF('4 SUPERFICIES'!$A40&lt;71.6,IF('4 SUPERFICIES'!$C40&gt;149,IF('4 SUPERFICIES'!$C40&lt;163.1,'4 SUPERFICIES'!$AB40,0))))</f>
        <v>0</v>
      </c>
      <c r="CC231" s="777" t="b">
        <f>IF('4 SUPERFICIES'!$A40&gt;61.5,IF('4 SUPERFICIES'!$A40&lt;71.6,IF('4 SUPERFICIES'!$C40&gt;163,IF('4 SUPERFICIES'!$C40&lt;180.6,'4 SUPERFICIES'!$AB40,0))))</f>
        <v>0</v>
      </c>
      <c r="CD231" s="777" t="b">
        <f>IF('4 SUPERFICIES'!$A40&gt;61.5,IF('4 SUPERFICIES'!$A40&lt;71.6,IF('4 SUPERFICIES'!$C40&gt;180.5,IF('4 SUPERFICIES'!$C40&lt;240.1,'4 SUPERFICIES'!$AB40,0))))</f>
        <v>0</v>
      </c>
      <c r="CF231" s="777" t="b">
        <f>IF('4 SUPERFICIES'!$A40&gt;71.5,IF('4 SUPERFICIES'!$A40&lt;120.6,IF('4 SUPERFICIES'!$C40&gt;10,IF('4 SUPERFICIES'!$C40&lt;57.6,'4 SUPERFICIES'!$AB40,0))))</f>
        <v>0</v>
      </c>
      <c r="CG231" s="777" t="b">
        <f>IF('4 SUPERFICIES'!$A40&gt;71.5,IF('4 SUPERFICIES'!$A40&lt;120.6,IF('4 SUPERFICIES'!$C40&gt;57.6,IF('4 SUPERFICIES'!$C40&lt;71.6,'4 SUPERFICIES'!$AB40,0))))</f>
        <v>0</v>
      </c>
      <c r="CH231" s="777" t="b">
        <f>IF('4 SUPERFICIES'!$A40&gt;71.5,IF('4 SUPERFICIES'!$A40&lt;120.6,IF('4 SUPERFICIES'!$C40&gt;71.5,IF('4 SUPERFICIES'!$C40&lt;85.6,'4 SUPERFICIES'!$AB40,0))))</f>
        <v>0</v>
      </c>
      <c r="CI231" s="777" t="b">
        <f>IF('4 SUPERFICIES'!$A40&gt;71.5,IF('4 SUPERFICIES'!$A40&lt;120.6,IF('4 SUPERFICIES'!$C40&gt;85.5,IF('4 SUPERFICIES'!$C40&lt;113.6,'4 SUPERFICIES'!$AB40,0))))</f>
        <v>0</v>
      </c>
      <c r="CJ231" s="777" t="b">
        <f>IF('4 SUPERFICIES'!$A40&gt;71.5,IF('4 SUPERFICIES'!$A40&lt;120.6,IF('4 SUPERFICIES'!$C40&gt;113.5,IF('4 SUPERFICIES'!$C40&lt;141.6,'4 SUPERFICIES'!$AB40,0))))</f>
        <v>0</v>
      </c>
      <c r="CK231" s="777" t="b">
        <f>IF('4 SUPERFICIES'!$A40&gt;71.5,IF('4 SUPERFICIES'!$A40&lt;120.6,IF('4 SUPERFICIES'!$C40&gt;141.5,IF('4 SUPERFICIES'!$C40&lt;180.6,'4 SUPERFICIES'!$AB40,0))))</f>
        <v>0</v>
      </c>
      <c r="CL231" s="777" t="b">
        <f>IF('4 SUPERFICIES'!$A40&gt;71.5,IF('4 SUPERFICIES'!$A40&lt;120.6,IF('4 SUPERFICIES'!$C40&gt;180.5,IF('4 SUPERFICIES'!$C40&lt;240.1,'4 SUPERFICIES'!$AB40,0))))</f>
        <v>0</v>
      </c>
      <c r="CN231" s="777">
        <f>IF('4 SUPERFICIES'!$C40&lt;150,IF(OR('4 SUPERFICIES'!$A40="MICRODER",'4 SUPERFICIES'!$A40="MICRO DER",),'4 SUPERFICIES'!$AB40,0))</f>
        <v>0</v>
      </c>
      <c r="CO231" s="777" t="b">
        <f>IF('4 SUPERFICIES'!$C40&gt;149.5,IF(OR('4 SUPERFICIES'!$A40="MICRODER",'4 SUPERFICIES'!$A40="MICRO DER",),'4 SUPERFICIES'!$AB40,0))</f>
        <v>0</v>
      </c>
      <c r="CP231" s="847"/>
      <c r="CQ231" s="777">
        <f>IF('4 SUPERFICIES'!$C40&lt;150,IF(OR('4 SUPERFICIES'!$A40="MICROIZQ",'4 SUPERFICIES'!$A40="MICRO IZQ",),'4 SUPERFICIES'!$AB40,0))</f>
        <v>0</v>
      </c>
      <c r="CR231" s="777" t="b">
        <f>IF('4 SUPERFICIES'!$C40&gt;149.5,IF(OR('4 SUPERFICIES'!$A40="MICROIZQ",'4 SUPERFICIES'!$A40="MICRO IZQ",),'4 SUPERFICIES'!$AB40,0))</f>
        <v>0</v>
      </c>
      <c r="CT231" s="837">
        <f>IF(OR('4 SUPERFICIES'!$A40="MICRO SEN",'4 SUPERFICIES'!$A40="MICROSEN",),'4 SUPERFICIES'!$AB40,0)</f>
        <v>0</v>
      </c>
      <c r="CV231" s="837" t="b">
        <f>IF('4 SUPERFICIES'!$A40="DIAMETRO",IF('4 SUPERFICIES'!$C40&lt;121.1,'4 SUPERFICIES'!$AB40,0))</f>
        <v>0</v>
      </c>
      <c r="CX231" s="858"/>
      <c r="CZ231" s="837" t="b">
        <f>IF('4 SUPERFICIES'!$A40="MOSTRADOR",IF('4 SUPERFICIES'!$C40="R60",'4 SUPERFICIES'!$AB40,0))</f>
        <v>0</v>
      </c>
      <c r="DB231" s="837">
        <f>IF(OR('4 SUPERFICIES'!$A40="PORTA PRIN",'4 SUPERFICIES'!$A40="PORTAPRIN",),'4 SUPERFICIES'!$AB40,0)</f>
        <v>0</v>
      </c>
      <c r="DD231" s="837">
        <f>IF(OR('4 SUPERFICIES'!$A40="PORTA BADE",'4 SUPERFICIES'!$A40="PORTABADE",),'4 SUPERFICIES'!$AB40,0)</f>
        <v>0</v>
      </c>
      <c r="DE231" s="837"/>
      <c r="DF231" s="837">
        <f>IF(OR('4 SUPERFICIES'!$A40="RETORNO IZQ",'4 SUPERFICIES'!$A40="RETORNO DER",),'4 SUPERFICIES'!$AB140,0)</f>
        <v>0</v>
      </c>
      <c r="DG231" s="837"/>
      <c r="DH231" s="837">
        <f>IF(OR('4 SUPERFICIES'!$A40="PITO Q",'4 SUPERFICIES'!$A40="PITO P",'4 SUPERFICIES'!$A40="DIAMETRO INTEGRADA",),'4 SUPERFICIES'!$AB40,0)</f>
        <v>0</v>
      </c>
      <c r="DJ231" s="858"/>
      <c r="DK231" s="837"/>
      <c r="DL231" s="837">
        <f>IF('4 SUPERFICIES'!$A40="SUPERFICIE OVAL",'4 SUPERFICIES'!$AB40,0)</f>
        <v>0</v>
      </c>
      <c r="DN231" s="838"/>
      <c r="DO231" s="838"/>
      <c r="DP231" s="838"/>
      <c r="DQ231" s="838"/>
      <c r="DR231" s="838"/>
      <c r="DS231" s="838"/>
      <c r="DT231" s="838"/>
      <c r="DU231" s="838"/>
      <c r="DV231" s="838"/>
      <c r="DW231" s="838"/>
      <c r="DX231" s="838"/>
      <c r="DY231" s="838"/>
      <c r="DZ231" s="838"/>
      <c r="EA231" s="838"/>
      <c r="EB231" s="838"/>
      <c r="EC231" s="838"/>
      <c r="ED231" s="838"/>
      <c r="EE231" s="852"/>
      <c r="EG231" s="682">
        <f>IF('4 SUPERFICIES'!A40="MICRO DER",85,IF('4 SUPERFICIES'!A40="MICRO IZQ",85,IF('4 SUPERFICIES'!A40="MICRO SEN",170,IF('4 SUPERFICIES'!A40="DIAMETRO",3.14*'4 SUPERFICIES'!C40/2,IF('4 SUPERFICIES'!A40="MOSTRADOR",136,IF('4 SUPERFICIES'!A40="PORTA",65,IF('4 SUPERFICIES'!A40="PITO Q",90,IF('4 SUPERFICIES'!A40="PITO P",90,'4 SUPERFICIES'!A40))))))))</f>
        <v>0</v>
      </c>
      <c r="EH231" s="682"/>
      <c r="EI231" s="682">
        <f>IF('4 SUPERFICIES'!A40="DIAMETRO",0,IF('4 SUPERFICIES'!C40="PRINCIPAL",160,IF('4 SUPERFICIES'!C40="BADE",190,IF('4 SUPERFICIES'!C40="RETORNO",100,IF('4 SUPERFICIES'!C40="R 60",100,IF('4 SUPERFICIES'!C40="R60",100,'4 SUPERFICIES'!C40))))))</f>
        <v>0</v>
      </c>
      <c r="EJ231" s="682"/>
      <c r="EK231" s="682">
        <f>IF('4 SUPERFICIES'!$F40='4 SUPERFICIES'!$AG$15,((EG231*2)+(EI231*2))*'4 SUPERFICIES'!AB40,0)</f>
        <v>0</v>
      </c>
      <c r="EL231" s="682"/>
      <c r="EM231" s="682">
        <f>IF('4 SUPERFICIES'!$F40='4 SUPERFICIES'!$AG$16,((EG231*2)+(EI231*2))*'4 SUPERFICIES'!AB40,0)</f>
        <v>0</v>
      </c>
      <c r="EO231" s="682">
        <f>IF('4 SUPERFICIES'!$F40='4 SUPERFICIES'!$AG$17,((EG231*2)+(EI231*2))*'4 SUPERFICIES'!AB40,0)</f>
        <v>0</v>
      </c>
      <c r="EP231" s="838"/>
      <c r="EQ231" s="682">
        <f>IF('4 SUPERFICIES'!$F40='4 SUPERFICIES'!$AG$18,((EG231*2)+(EI231*2))*'4 SUPERFICIES'!AB40,0)</f>
        <v>0</v>
      </c>
      <c r="ER231" s="838"/>
      <c r="ES231" s="858"/>
      <c r="ET231" s="858"/>
      <c r="EU231" s="858"/>
      <c r="EV231" s="858"/>
      <c r="EW231" s="838"/>
      <c r="EX231" s="838"/>
      <c r="EY231" s="838"/>
      <c r="EZ231" s="838"/>
      <c r="FA231" s="838"/>
      <c r="FB231" s="838"/>
      <c r="FC231" s="838"/>
      <c r="FD231" s="838"/>
      <c r="FE231" s="838"/>
      <c r="FF231" s="838"/>
      <c r="FG231" s="838"/>
      <c r="FH231" s="838"/>
      <c r="FI231" s="838"/>
      <c r="FJ231" s="838"/>
      <c r="FK231" s="838"/>
      <c r="FL231" s="838"/>
      <c r="FM231" s="838"/>
      <c r="FN231" s="838"/>
      <c r="FO231" s="838"/>
      <c r="FP231" s="838"/>
      <c r="GM231" s="858"/>
      <c r="GN231" s="838"/>
      <c r="GO231" s="858"/>
      <c r="GP231" s="858"/>
      <c r="GQ231" s="858"/>
      <c r="GR231" s="838"/>
      <c r="GS231" s="838"/>
      <c r="HF231" s="700">
        <v>24.5</v>
      </c>
      <c r="HH231" s="591">
        <v>24.5</v>
      </c>
    </row>
    <row r="232" spans="1:216" ht="26.25" x14ac:dyDescent="0.4">
      <c r="A232" s="880"/>
      <c r="B232" s="880"/>
      <c r="C232" s="880"/>
      <c r="D232" s="880"/>
      <c r="E232" s="880"/>
      <c r="F232" s="849"/>
      <c r="G232" s="874"/>
      <c r="AK232" s="777" t="b">
        <f>IF('4 SUPERFICIES'!$A41&gt;10,IF('4 SUPERFICIES'!$A41&lt;31.1,IF('4 SUPERFICIES'!$C41&gt;10,IF('4 SUPERFICIES'!$C41&lt;57.6,'4 SUPERFICIES'!$AB41,0))))</f>
        <v>0</v>
      </c>
      <c r="AL232" s="777" t="b">
        <f>IF('4 SUPERFICIES'!$A41&gt;10,IF('4 SUPERFICIES'!$A41&lt;31.1,IF('4 SUPERFICIES'!$C41&gt;57.6,IF('4 SUPERFICIES'!$C41&lt;71.6,'4 SUPERFICIES'!$AB41,0))))</f>
        <v>0</v>
      </c>
      <c r="AM232" s="777" t="b">
        <f>IF('4 SUPERFICIES'!$A41&gt;10,IF('4 SUPERFICIES'!$A41&lt;31.1,IF('4 SUPERFICIES'!$C41&gt;71.5,IF('4 SUPERFICIES'!$C41&lt;85.6,'4 SUPERFICIES'!$AB41,0))))</f>
        <v>0</v>
      </c>
      <c r="AN232" s="777" t="b">
        <f>IF('4 SUPERFICIES'!$A41&gt;10,IF('4 SUPERFICIES'!$A41&lt;31.1,IF('4 SUPERFICIES'!$C41&gt;85.5,IF('4 SUPERFICIES'!$C41&lt;113.6,'4 SUPERFICIES'!$AB41,0))))</f>
        <v>0</v>
      </c>
      <c r="AO232" s="777" t="b">
        <f>IF('4 SUPERFICIES'!$A41&gt;10,IF('4 SUPERFICIES'!$A41&lt;31.1,IF('4 SUPERFICIES'!$C41&gt;113.5,IF('4 SUPERFICIES'!$C41&lt;141.6,'4 SUPERFICIES'!$AB41,0))))</f>
        <v>0</v>
      </c>
      <c r="AP232" s="777" t="b">
        <f>IF('4 SUPERFICIES'!$A41&gt;10,IF('4 SUPERFICIES'!$A41&lt;31.1,IF('4 SUPERFICIES'!$C41&gt;141.5,IF('4 SUPERFICIES'!$C41&lt;180.6,'4 SUPERFICIES'!$AB41,0))))</f>
        <v>0</v>
      </c>
      <c r="AQ232" s="777" t="b">
        <f>IF('4 SUPERFICIES'!$A41&gt;10,IF('4 SUPERFICIES'!$A41&lt;31.1,IF('4 SUPERFICIES'!$C41&gt;180.5,IF('4 SUPERFICIES'!$C41&lt;240.1,'4 SUPERFICIES'!$AB41,0))))</f>
        <v>0</v>
      </c>
      <c r="AS232" s="777" t="b">
        <f>IF('4 SUPERFICIES'!$A41&gt;31,IF('4 SUPERFICIES'!$A41&lt;45.5,IF('4 SUPERFICIES'!$C41&gt;10,IF('4 SUPERFICIES'!$C41&lt;57.6,'4 SUPERFICIES'!$AB41,0))))</f>
        <v>0</v>
      </c>
      <c r="AT232" s="777" t="b">
        <f>IF('4 SUPERFICIES'!$A41&gt;31,IF('4 SUPERFICIES'!$A41&lt;45.5,IF('4 SUPERFICIES'!$C41&gt;57.6,IF('4 SUPERFICIES'!$C41&lt;71.6,'4 SUPERFICIES'!$AB41,0))))</f>
        <v>0</v>
      </c>
      <c r="AU232" s="777" t="b">
        <f>IF('4 SUPERFICIES'!$A41&gt;31,IF('4 SUPERFICIES'!$A41&lt;45.5,IF('4 SUPERFICIES'!$C41&gt;71.5,IF('4 SUPERFICIES'!$C41&lt;85.6,'4 SUPERFICIES'!$AB41,0))))</f>
        <v>0</v>
      </c>
      <c r="AV232" s="777" t="b">
        <f>IF('4 SUPERFICIES'!$A41&gt;31,IF('4 SUPERFICIES'!$A41&lt;45.5,IF('4 SUPERFICIES'!$C41&gt;85.5,IF('4 SUPERFICIES'!$C41&lt;113.6,'4 SUPERFICIES'!$AB41,0))))</f>
        <v>0</v>
      </c>
      <c r="AW232" s="777" t="b">
        <f>IF('4 SUPERFICIES'!$A41&gt;31,IF('4 SUPERFICIES'!$A41&lt;45.5,IF('4 SUPERFICIES'!$C41&gt;113.5,IF('4 SUPERFICIES'!$C41&lt;141.6,'4 SUPERFICIES'!$AB41,0))))</f>
        <v>0</v>
      </c>
      <c r="AX232" s="777" t="b">
        <f>IF('4 SUPERFICIES'!$A41&gt;31,IF('4 SUPERFICIES'!$A41&lt;45.5,IF('4 SUPERFICIES'!$C41&gt;141.5,IF('4 SUPERFICIES'!$C41&lt;180.6,'4 SUPERFICIES'!$AB41,0))))</f>
        <v>0</v>
      </c>
      <c r="AY232" s="777" t="b">
        <f>IF('4 SUPERFICIES'!$A41&gt;31,IF('4 SUPERFICIES'!$A41&lt;45.5,IF('4 SUPERFICIES'!$C41&gt;180.5,IF('4 SUPERFICIES'!$C41&lt;240.1,'4 SUPERFICIES'!$AB41,0))))</f>
        <v>0</v>
      </c>
      <c r="BA232" s="777" t="b">
        <f>IF('4 SUPERFICIES'!$A41&gt;45.4,IF('4 SUPERFICIES'!$A41&lt;61.6,IF('4 SUPERFICIES'!$C41&gt;10,IF('4 SUPERFICIES'!$C41&lt;61.5,'4 SUPERFICIES'!$AB41,0))))</f>
        <v>0</v>
      </c>
      <c r="BB232" s="777" t="b">
        <f>IF('4 SUPERFICIES'!$A41&gt;45.4,IF('4 SUPERFICIES'!$A41&lt;61.6,IF('4 SUPERFICIES'!$C41&gt;61.1,IF('4 SUPERFICIES'!$C41&lt;71.6,'4 SUPERFICIES'!$AB41,0))))</f>
        <v>0</v>
      </c>
      <c r="BC232" s="777" t="b">
        <f>IF('4 SUPERFICIES'!$A41&gt;45.4,IF('4 SUPERFICIES'!$A41&lt;61.6,IF('4 SUPERFICIES'!$C41&gt;71.5,IF('4 SUPERFICIES'!$C41&lt;85.6,'4 SUPERFICIES'!$AB41,0))))</f>
        <v>0</v>
      </c>
      <c r="BD232" s="777" t="b">
        <f>IF('4 SUPERFICIES'!$A41&gt;45.4,IF('4 SUPERFICIES'!$A41&lt;61.6,IF('4 SUPERFICIES'!$C41&gt;85.5,IF('4 SUPERFICIES'!$C41&lt;113.6,'4 SUPERFICIES'!$AB41,0))))</f>
        <v>0</v>
      </c>
      <c r="BE232" s="777" t="b">
        <f>IF('4 SUPERFICIES'!$A41&gt;45.4,IF('4 SUPERFICIES'!$A41&lt;61.6,IF('4 SUPERFICIES'!$C41&gt;113.5,IF('4 SUPERFICIES'!$C41&lt;121.6,'4 SUPERFICIES'!$AB41,0))))</f>
        <v>0</v>
      </c>
      <c r="BF232" s="777" t="b">
        <f>IF('4 SUPERFICIES'!$A41&gt;45.4,IF('4 SUPERFICIES'!$A41&lt;61.6,IF('4 SUPERFICIES'!$C41&gt;121.5,IF('4 SUPERFICIES'!$C41&lt;127.6,'4 SUPERFICIES'!$AB41,0))))</f>
        <v>0</v>
      </c>
      <c r="BG232" s="777" t="b">
        <f>IF('4 SUPERFICIES'!$A41&gt;45.4,IF('4 SUPERFICIES'!$A41&lt;61.6,IF('4 SUPERFICIES'!$C41&gt;127.5,IF('4 SUPERFICIES'!$C41&lt;135.1,'4 SUPERFICIES'!$AB41,0))))</f>
        <v>0</v>
      </c>
      <c r="BH232" s="777" t="b">
        <f>IF('4 SUPERFICIES'!$A41&gt;45.4,IF('4 SUPERFICIES'!$A41&lt;61.6,IF('4 SUPERFICIES'!$C41&gt;135,IF('4 SUPERFICIES'!$C41&lt;141.6,'4 SUPERFICIES'!$AB41,0))))</f>
        <v>0</v>
      </c>
      <c r="BI232" s="777" t="b">
        <f>IF('4 SUPERFICIES'!$A41&gt;45.4,IF('4 SUPERFICIES'!$A41&lt;61.6,IF('4 SUPERFICIES'!$C41&gt;141.5,IF('4 SUPERFICIES'!$C41&lt;149.1,'4 SUPERFICIES'!$AB41,0))))</f>
        <v>0</v>
      </c>
      <c r="BJ232" s="777" t="b">
        <f>IF('4 SUPERFICIES'!$A41&gt;45.4,IF('4 SUPERFICIES'!$A41&lt;61.6,IF('4 SUPERFICIES'!$C41&gt;149,IF('4 SUPERFICIES'!$C41&lt;155.6,'4 SUPERFICIES'!$AB41,0))))</f>
        <v>0</v>
      </c>
      <c r="BK232" s="777" t="b">
        <f>IF('4 SUPERFICIES'!$A41&gt;45.4,IF('4 SUPERFICIES'!$A41&lt;61.6,IF('4 SUPERFICIES'!$C41&gt;155.5,IF('4 SUPERFICIES'!$C41&lt;163.1,'4 SUPERFICIES'!$AB41,0))))</f>
        <v>0</v>
      </c>
      <c r="BL232" s="777" t="b">
        <f>IF('4 SUPERFICIES'!$A41&gt;45.4,IF('4 SUPERFICIES'!$A41&lt;61.6,IF('4 SUPERFICIES'!$C41&gt;163,IF('4 SUPERFICIES'!$C41&lt;180.6,'4 SUPERFICIES'!$AB41,0))))</f>
        <v>0</v>
      </c>
      <c r="BM232" s="777" t="b">
        <f>IF('4 SUPERFICIES'!$A41&gt;45.4,IF('4 SUPERFICIES'!$A41&lt;61.6,IF('4 SUPERFICIES'!$C41&gt;180.5,IF('4 SUPERFICIES'!$C41&lt;240.1,'4 SUPERFICIES'!$AB41,0))))</f>
        <v>0</v>
      </c>
      <c r="BO232" s="869" t="s">
        <v>554</v>
      </c>
      <c r="BQ232" s="870">
        <f>+$CQ$250+$CR$250*1.6</f>
        <v>0</v>
      </c>
      <c r="BS232" s="869"/>
      <c r="BT232" s="870">
        <f>+$CQ$251+$CR$251*1.6</f>
        <v>0</v>
      </c>
      <c r="BV232" s="777" t="b">
        <f>IF('4 SUPERFICIES'!$A41&gt;61.5,IF('4 SUPERFICIES'!$A41&lt;71.6,IF('4 SUPERFICIES'!$C41&gt;10,IF('4 SUPERFICIES'!$C41&lt;57.6,'4 SUPERFICIES'!$AB41,0))))</f>
        <v>0</v>
      </c>
      <c r="BW232" s="777" t="b">
        <f>IF('4 SUPERFICIES'!$A41&gt;61.5,IF('4 SUPERFICIES'!$A41&lt;71.6,IF('4 SUPERFICIES'!$C41&gt;57.6,IF('4 SUPERFICIES'!$C41&lt;71.6,'4 SUPERFICIES'!$AB41,0))))</f>
        <v>0</v>
      </c>
      <c r="BX232" s="777" t="b">
        <f>IF('4 SUPERFICIES'!$A41&gt;61.5,IF('4 SUPERFICIES'!$A41&lt;71.6,IF('4 SUPERFICIES'!$C41&gt;71.5,IF('4 SUPERFICIES'!$C41&lt;85.6,'4 SUPERFICIES'!$AB41,0))))</f>
        <v>0</v>
      </c>
      <c r="BY232" s="777" t="b">
        <f>IF('4 SUPERFICIES'!$A41&gt;61.5,IF('4 SUPERFICIES'!$A41&lt;71.6,IF('4 SUPERFICIES'!$C41&gt;85.5,IF('4 SUPERFICIES'!$C41&lt;113.6,'4 SUPERFICIES'!$AB41,0))))</f>
        <v>0</v>
      </c>
      <c r="BZ232" s="777" t="b">
        <f>IF('4 SUPERFICIES'!$A41&gt;61.5,IF('4 SUPERFICIES'!$A41&lt;71.6,IF('4 SUPERFICIES'!$C41&gt;113.5,IF('4 SUPERFICIES'!$C41&lt;141.6,'4 SUPERFICIES'!$AB41,0))))</f>
        <v>0</v>
      </c>
      <c r="CA232" s="777" t="b">
        <f>IF('4 SUPERFICIES'!$A41&gt;61.5,IF('4 SUPERFICIES'!$A41&lt;71.6,IF('4 SUPERFICIES'!$C41&gt;141.5,IF('4 SUPERFICIES'!$C41&lt;149.1,'4 SUPERFICIES'!$AB41,0))))</f>
        <v>0</v>
      </c>
      <c r="CB232" s="777" t="b">
        <f>IF('4 SUPERFICIES'!$A41&gt;61.5,IF('4 SUPERFICIES'!$A41&lt;71.6,IF('4 SUPERFICIES'!$C41&gt;149,IF('4 SUPERFICIES'!$C41&lt;163.1,'4 SUPERFICIES'!$AB41,0))))</f>
        <v>0</v>
      </c>
      <c r="CC232" s="777" t="b">
        <f>IF('4 SUPERFICIES'!$A41&gt;61.5,IF('4 SUPERFICIES'!$A41&lt;71.6,IF('4 SUPERFICIES'!$C41&gt;163,IF('4 SUPERFICIES'!$C41&lt;180.6,'4 SUPERFICIES'!$AB41,0))))</f>
        <v>0</v>
      </c>
      <c r="CD232" s="777" t="b">
        <f>IF('4 SUPERFICIES'!$A41&gt;61.5,IF('4 SUPERFICIES'!$A41&lt;71.6,IF('4 SUPERFICIES'!$C41&gt;180.5,IF('4 SUPERFICIES'!$C41&lt;240.1,'4 SUPERFICIES'!$AB41,0))))</f>
        <v>0</v>
      </c>
      <c r="CF232" s="777" t="b">
        <f>IF('4 SUPERFICIES'!$A41&gt;71.5,IF('4 SUPERFICIES'!$A41&lt;120.6,IF('4 SUPERFICIES'!$C41&gt;10,IF('4 SUPERFICIES'!$C41&lt;57.6,'4 SUPERFICIES'!$AB41,0))))</f>
        <v>0</v>
      </c>
      <c r="CG232" s="777" t="b">
        <f>IF('4 SUPERFICIES'!$A41&gt;71.5,IF('4 SUPERFICIES'!$A41&lt;120.6,IF('4 SUPERFICIES'!$C41&gt;57.6,IF('4 SUPERFICIES'!$C41&lt;71.6,'4 SUPERFICIES'!$AB41,0))))</f>
        <v>0</v>
      </c>
      <c r="CH232" s="777" t="b">
        <f>IF('4 SUPERFICIES'!$A41&gt;71.5,IF('4 SUPERFICIES'!$A41&lt;120.6,IF('4 SUPERFICIES'!$C41&gt;71.5,IF('4 SUPERFICIES'!$C41&lt;85.6,'4 SUPERFICIES'!$AB41,0))))</f>
        <v>0</v>
      </c>
      <c r="CI232" s="777" t="b">
        <f>IF('4 SUPERFICIES'!$A41&gt;71.5,IF('4 SUPERFICIES'!$A41&lt;120.6,IF('4 SUPERFICIES'!$C41&gt;85.5,IF('4 SUPERFICIES'!$C41&lt;113.6,'4 SUPERFICIES'!$AB41,0))))</f>
        <v>0</v>
      </c>
      <c r="CJ232" s="777" t="b">
        <f>IF('4 SUPERFICIES'!$A41&gt;71.5,IF('4 SUPERFICIES'!$A41&lt;120.6,IF('4 SUPERFICIES'!$C41&gt;113.5,IF('4 SUPERFICIES'!$C41&lt;141.6,'4 SUPERFICIES'!$AB41,0))))</f>
        <v>0</v>
      </c>
      <c r="CK232" s="777" t="b">
        <f>IF('4 SUPERFICIES'!$A41&gt;71.5,IF('4 SUPERFICIES'!$A41&lt;120.6,IF('4 SUPERFICIES'!$C41&gt;141.5,IF('4 SUPERFICIES'!$C41&lt;180.6,'4 SUPERFICIES'!$AB41,0))))</f>
        <v>0</v>
      </c>
      <c r="CL232" s="777" t="b">
        <f>IF('4 SUPERFICIES'!$A41&gt;71.5,IF('4 SUPERFICIES'!$A41&lt;120.6,IF('4 SUPERFICIES'!$C41&gt;180.5,IF('4 SUPERFICIES'!$C41&lt;240.1,'4 SUPERFICIES'!$AB41,0))))</f>
        <v>0</v>
      </c>
      <c r="CN232" s="777">
        <f>IF('4 SUPERFICIES'!$C41&lt;150,IF(OR('4 SUPERFICIES'!$A41="MICRODER",'4 SUPERFICIES'!$A41="MICRO DER",),'4 SUPERFICIES'!$AB41,0))</f>
        <v>0</v>
      </c>
      <c r="CO232" s="777" t="b">
        <f>IF('4 SUPERFICIES'!$C41&gt;149.5,IF(OR('4 SUPERFICIES'!$A41="MICRODER",'4 SUPERFICIES'!$A41="MICRO DER",),'4 SUPERFICIES'!$AB41,0))</f>
        <v>0</v>
      </c>
      <c r="CP232" s="847"/>
      <c r="CQ232" s="777">
        <f>IF('4 SUPERFICIES'!$C41&lt;150,IF(OR('4 SUPERFICIES'!$A41="MICROIZQ",'4 SUPERFICIES'!$A41="MICRO IZQ",),'4 SUPERFICIES'!$AB41,0))</f>
        <v>0</v>
      </c>
      <c r="CR232" s="777" t="b">
        <f>IF('4 SUPERFICIES'!$C41&gt;149.5,IF(OR('4 SUPERFICIES'!$A41="MICROIZQ",'4 SUPERFICIES'!$A41="MICRO IZQ",),'4 SUPERFICIES'!$AB41,0))</f>
        <v>0</v>
      </c>
      <c r="CT232" s="837">
        <f>IF(OR('4 SUPERFICIES'!$A41="MICRO SEN",'4 SUPERFICIES'!$A41="MICROSEN",),'4 SUPERFICIES'!$AB41,0)</f>
        <v>0</v>
      </c>
      <c r="CV232" s="837" t="b">
        <f>IF('4 SUPERFICIES'!$A41="DIAMETRO",IF('4 SUPERFICIES'!$C41&lt;121.1,'4 SUPERFICIES'!$AB41,0))</f>
        <v>0</v>
      </c>
      <c r="CX232" s="858"/>
      <c r="CZ232" s="837" t="b">
        <f>IF('4 SUPERFICIES'!$A41="MOSTRADOR",IF('4 SUPERFICIES'!$C41="R60",'4 SUPERFICIES'!$AB41,0))</f>
        <v>0</v>
      </c>
      <c r="DB232" s="837">
        <f>IF(OR('4 SUPERFICIES'!$A41="PORTA PRIN",'4 SUPERFICIES'!$A41="PORTAPRIN",),'4 SUPERFICIES'!$AB41,0)</f>
        <v>0</v>
      </c>
      <c r="DD232" s="837">
        <f>IF(OR('4 SUPERFICIES'!$A41="PORTA BADE",'4 SUPERFICIES'!$A41="PORTABADE",),'4 SUPERFICIES'!$AB41,0)</f>
        <v>0</v>
      </c>
      <c r="DE232" s="837"/>
      <c r="DF232" s="837">
        <f>IF(OR('4 SUPERFICIES'!$A41="RETORNO IZQ",'4 SUPERFICIES'!$A41="RETORNO DER",),'4 SUPERFICIES'!$AB141,0)</f>
        <v>0</v>
      </c>
      <c r="DG232" s="837"/>
      <c r="DH232" s="837">
        <f>IF(OR('4 SUPERFICIES'!$A41="PITO Q",'4 SUPERFICIES'!$A41="PITO P",'4 SUPERFICIES'!$A41="DIAMETRO INTEGRADA",),'4 SUPERFICIES'!$AB41,0)</f>
        <v>0</v>
      </c>
      <c r="DJ232" s="858"/>
      <c r="DK232" s="837"/>
      <c r="DL232" s="837">
        <f>IF('4 SUPERFICIES'!$A41="SUPERFICIE OVAL",'4 SUPERFICIES'!$AB41,0)</f>
        <v>0</v>
      </c>
      <c r="DO232" s="838"/>
      <c r="DP232" s="838"/>
      <c r="DQ232" s="838"/>
      <c r="DR232" s="838"/>
      <c r="DS232" s="838"/>
      <c r="DT232" s="838"/>
      <c r="DU232" s="838"/>
      <c r="DV232" s="838"/>
      <c r="DW232" s="838"/>
      <c r="DX232" s="838"/>
      <c r="DY232" s="838"/>
      <c r="DZ232" s="838"/>
      <c r="EA232" s="838"/>
      <c r="EB232" s="838"/>
      <c r="EC232" s="838"/>
      <c r="ED232" s="838"/>
      <c r="EE232" s="852"/>
      <c r="EG232" s="682">
        <f>IF('4 SUPERFICIES'!A41="MICRO DER",85,IF('4 SUPERFICIES'!A41="MICRO IZQ",85,IF('4 SUPERFICIES'!A41="MICRO SEN",170,IF('4 SUPERFICIES'!A41="DIAMETRO",3.14*'4 SUPERFICIES'!C41/2,IF('4 SUPERFICIES'!A41="MOSTRADOR",136,IF('4 SUPERFICIES'!A41="PORTA",65,IF('4 SUPERFICIES'!A41="PITO Q",90,IF('4 SUPERFICIES'!A41="PITO P",90,'4 SUPERFICIES'!A41))))))))</f>
        <v>0</v>
      </c>
      <c r="EH232" s="682"/>
      <c r="EI232" s="682">
        <f>IF('4 SUPERFICIES'!A41="DIAMETRO",0,IF('4 SUPERFICIES'!C41="PRINCIPAL",160,IF('4 SUPERFICIES'!C41="BADE",190,IF('4 SUPERFICIES'!C41="RETORNO",100,IF('4 SUPERFICIES'!C41="R 60",100,IF('4 SUPERFICIES'!C41="R60",100,'4 SUPERFICIES'!C41))))))</f>
        <v>0</v>
      </c>
      <c r="EJ232" s="682"/>
      <c r="EK232" s="682">
        <f>IF('4 SUPERFICIES'!$F41='4 SUPERFICIES'!$AG$15,((EG232*2)+(EI232*2))*'4 SUPERFICIES'!AB41,0)</f>
        <v>0</v>
      </c>
      <c r="EL232" s="682"/>
      <c r="EM232" s="682">
        <f>IF('4 SUPERFICIES'!$F41='4 SUPERFICIES'!$AG$16,((EG232*2)+(EI232*2))*'4 SUPERFICIES'!AB41,0)</f>
        <v>0</v>
      </c>
      <c r="EO232" s="682">
        <f>IF('4 SUPERFICIES'!$F41='4 SUPERFICIES'!$AG$17,((EG232*2)+(EI232*2))*'4 SUPERFICIES'!AB41,0)</f>
        <v>0</v>
      </c>
      <c r="EP232" s="838"/>
      <c r="EQ232" s="682">
        <f>IF('4 SUPERFICIES'!$F41='4 SUPERFICIES'!$AG$18,((EG232*2)+(EI232*2))*'4 SUPERFICIES'!AB41,0)</f>
        <v>0</v>
      </c>
      <c r="ER232" s="838"/>
      <c r="ES232" s="858"/>
      <c r="ET232" s="858"/>
      <c r="EU232" s="858"/>
      <c r="EV232" s="858"/>
      <c r="EW232" s="838"/>
      <c r="EX232" s="838"/>
      <c r="EY232" s="838"/>
      <c r="EZ232" s="838"/>
      <c r="FA232" s="838"/>
      <c r="FB232" s="838"/>
      <c r="FC232" s="838"/>
      <c r="FD232" s="838"/>
      <c r="FE232" s="838"/>
      <c r="FF232" s="838"/>
      <c r="FG232" s="838"/>
      <c r="FH232" s="838"/>
      <c r="FI232" s="838"/>
      <c r="FJ232" s="838"/>
      <c r="FK232" s="838"/>
      <c r="FL232" s="838"/>
      <c r="FM232" s="838"/>
      <c r="FN232" s="838"/>
      <c r="FO232" s="838"/>
      <c r="FP232" s="838"/>
      <c r="GM232" s="858"/>
      <c r="GN232" s="838"/>
      <c r="GO232" s="858"/>
      <c r="GP232" s="858"/>
      <c r="GQ232" s="858"/>
      <c r="GR232" s="838"/>
      <c r="GS232" s="838"/>
      <c r="HF232" s="700">
        <v>25</v>
      </c>
      <c r="HH232" s="591">
        <v>25</v>
      </c>
    </row>
    <row r="233" spans="1:216" ht="26.25" x14ac:dyDescent="0.4">
      <c r="A233" s="881"/>
      <c r="B233" s="882"/>
      <c r="C233" s="882"/>
      <c r="D233" s="882"/>
      <c r="E233" s="882"/>
      <c r="F233" s="849"/>
      <c r="G233" s="874"/>
      <c r="AK233" s="777" t="b">
        <f>IF('4 SUPERFICIES'!$A42&gt;10,IF('4 SUPERFICIES'!$A42&lt;31.1,IF('4 SUPERFICIES'!$C42&gt;10,IF('4 SUPERFICIES'!$C42&lt;57.6,'4 SUPERFICIES'!$AB42,0))))</f>
        <v>0</v>
      </c>
      <c r="AL233" s="777" t="b">
        <f>IF('4 SUPERFICIES'!$A42&gt;10,IF('4 SUPERFICIES'!$A42&lt;31.1,IF('4 SUPERFICIES'!$C42&gt;57.6,IF('4 SUPERFICIES'!$C42&lt;71.6,'4 SUPERFICIES'!$AB42,0))))</f>
        <v>0</v>
      </c>
      <c r="AM233" s="777" t="b">
        <f>IF('4 SUPERFICIES'!$A42&gt;10,IF('4 SUPERFICIES'!$A42&lt;31.1,IF('4 SUPERFICIES'!$C42&gt;71.5,IF('4 SUPERFICIES'!$C42&lt;85.6,'4 SUPERFICIES'!$AB42,0))))</f>
        <v>0</v>
      </c>
      <c r="AN233" s="777" t="b">
        <f>IF('4 SUPERFICIES'!$A42&gt;10,IF('4 SUPERFICIES'!$A42&lt;31.1,IF('4 SUPERFICIES'!$C42&gt;85.5,IF('4 SUPERFICIES'!$C42&lt;113.6,'4 SUPERFICIES'!$AB42,0))))</f>
        <v>0</v>
      </c>
      <c r="AO233" s="777" t="b">
        <f>IF('4 SUPERFICIES'!$A42&gt;10,IF('4 SUPERFICIES'!$A42&lt;31.1,IF('4 SUPERFICIES'!$C42&gt;113.5,IF('4 SUPERFICIES'!$C42&lt;141.6,'4 SUPERFICIES'!$AB42,0))))</f>
        <v>0</v>
      </c>
      <c r="AP233" s="777" t="b">
        <f>IF('4 SUPERFICIES'!$A42&gt;10,IF('4 SUPERFICIES'!$A42&lt;31.1,IF('4 SUPERFICIES'!$C42&gt;141.5,IF('4 SUPERFICIES'!$C42&lt;180.6,'4 SUPERFICIES'!$AB42,0))))</f>
        <v>0</v>
      </c>
      <c r="AQ233" s="777" t="b">
        <f>IF('4 SUPERFICIES'!$A42&gt;10,IF('4 SUPERFICIES'!$A42&lt;31.1,IF('4 SUPERFICIES'!$C42&gt;180.5,IF('4 SUPERFICIES'!$C42&lt;240.1,'4 SUPERFICIES'!$AB42,0))))</f>
        <v>0</v>
      </c>
      <c r="AS233" s="777" t="b">
        <f>IF('4 SUPERFICIES'!$A42&gt;31,IF('4 SUPERFICIES'!$A42&lt;45.5,IF('4 SUPERFICIES'!$C42&gt;10,IF('4 SUPERFICIES'!$C42&lt;57.6,'4 SUPERFICIES'!$AB42,0))))</f>
        <v>0</v>
      </c>
      <c r="AT233" s="777" t="b">
        <f>IF('4 SUPERFICIES'!$A42&gt;31,IF('4 SUPERFICIES'!$A42&lt;45.5,IF('4 SUPERFICIES'!$C42&gt;57.6,IF('4 SUPERFICIES'!$C42&lt;71.6,'4 SUPERFICIES'!$AB42,0))))</f>
        <v>0</v>
      </c>
      <c r="AU233" s="777" t="b">
        <f>IF('4 SUPERFICIES'!$A42&gt;31,IF('4 SUPERFICIES'!$A42&lt;45.5,IF('4 SUPERFICIES'!$C42&gt;71.5,IF('4 SUPERFICIES'!$C42&lt;85.6,'4 SUPERFICIES'!$AB42,0))))</f>
        <v>0</v>
      </c>
      <c r="AV233" s="777" t="b">
        <f>IF('4 SUPERFICIES'!$A42&gt;31,IF('4 SUPERFICIES'!$A42&lt;45.5,IF('4 SUPERFICIES'!$C42&gt;85.5,IF('4 SUPERFICIES'!$C42&lt;113.6,'4 SUPERFICIES'!$AB42,0))))</f>
        <v>0</v>
      </c>
      <c r="AW233" s="777" t="b">
        <f>IF('4 SUPERFICIES'!$A42&gt;31,IF('4 SUPERFICIES'!$A42&lt;45.5,IF('4 SUPERFICIES'!$C42&gt;113.5,IF('4 SUPERFICIES'!$C42&lt;141.6,'4 SUPERFICIES'!$AB42,0))))</f>
        <v>0</v>
      </c>
      <c r="AX233" s="777" t="b">
        <f>IF('4 SUPERFICIES'!$A42&gt;31,IF('4 SUPERFICIES'!$A42&lt;45.5,IF('4 SUPERFICIES'!$C42&gt;141.5,IF('4 SUPERFICIES'!$C42&lt;180.6,'4 SUPERFICIES'!$AB42,0))))</f>
        <v>0</v>
      </c>
      <c r="AY233" s="777" t="b">
        <f>IF('4 SUPERFICIES'!$A42&gt;31,IF('4 SUPERFICIES'!$A42&lt;45.5,IF('4 SUPERFICIES'!$C42&gt;180.5,IF('4 SUPERFICIES'!$C42&lt;240.1,'4 SUPERFICIES'!$AB42,0))))</f>
        <v>0</v>
      </c>
      <c r="BA233" s="777" t="b">
        <f>IF('4 SUPERFICIES'!$A42&gt;45.4,IF('4 SUPERFICIES'!$A42&lt;61.6,IF('4 SUPERFICIES'!$C42&gt;10,IF('4 SUPERFICIES'!$C42&lt;61.5,'4 SUPERFICIES'!$AB42,0))))</f>
        <v>0</v>
      </c>
      <c r="BB233" s="777" t="b">
        <f>IF('4 SUPERFICIES'!$A42&gt;45.4,IF('4 SUPERFICIES'!$A42&lt;61.6,IF('4 SUPERFICIES'!$C42&gt;61.1,IF('4 SUPERFICIES'!$C42&lt;71.6,'4 SUPERFICIES'!$AB42,0))))</f>
        <v>0</v>
      </c>
      <c r="BC233" s="777" t="b">
        <f>IF('4 SUPERFICIES'!$A42&gt;45.4,IF('4 SUPERFICIES'!$A42&lt;61.6,IF('4 SUPERFICIES'!$C42&gt;71.5,IF('4 SUPERFICIES'!$C42&lt;85.6,'4 SUPERFICIES'!$AB42,0))))</f>
        <v>0</v>
      </c>
      <c r="BD233" s="777" t="b">
        <f>IF('4 SUPERFICIES'!$A42&gt;45.4,IF('4 SUPERFICIES'!$A42&lt;61.6,IF('4 SUPERFICIES'!$C42&gt;85.5,IF('4 SUPERFICIES'!$C42&lt;113.6,'4 SUPERFICIES'!$AB42,0))))</f>
        <v>0</v>
      </c>
      <c r="BE233" s="777" t="b">
        <f>IF('4 SUPERFICIES'!$A42&gt;45.4,IF('4 SUPERFICIES'!$A42&lt;61.6,IF('4 SUPERFICIES'!$C42&gt;113.5,IF('4 SUPERFICIES'!$C42&lt;121.6,'4 SUPERFICIES'!$AB42,0))))</f>
        <v>0</v>
      </c>
      <c r="BF233" s="777" t="b">
        <f>IF('4 SUPERFICIES'!$A42&gt;45.4,IF('4 SUPERFICIES'!$A42&lt;61.6,IF('4 SUPERFICIES'!$C42&gt;121.5,IF('4 SUPERFICIES'!$C42&lt;127.6,'4 SUPERFICIES'!$AB42,0))))</f>
        <v>0</v>
      </c>
      <c r="BG233" s="777" t="b">
        <f>IF('4 SUPERFICIES'!$A42&gt;45.4,IF('4 SUPERFICIES'!$A42&lt;61.6,IF('4 SUPERFICIES'!$C42&gt;127.5,IF('4 SUPERFICIES'!$C42&lt;135.1,'4 SUPERFICIES'!$AB42,0))))</f>
        <v>0</v>
      </c>
      <c r="BH233" s="777" t="b">
        <f>IF('4 SUPERFICIES'!$A42&gt;45.4,IF('4 SUPERFICIES'!$A42&lt;61.6,IF('4 SUPERFICIES'!$C42&gt;135,IF('4 SUPERFICIES'!$C42&lt;141.6,'4 SUPERFICIES'!$AB42,0))))</f>
        <v>0</v>
      </c>
      <c r="BI233" s="777" t="b">
        <f>IF('4 SUPERFICIES'!$A42&gt;45.4,IF('4 SUPERFICIES'!$A42&lt;61.6,IF('4 SUPERFICIES'!$C42&gt;141.5,IF('4 SUPERFICIES'!$C42&lt;149.1,'4 SUPERFICIES'!$AB42,0))))</f>
        <v>0</v>
      </c>
      <c r="BJ233" s="777" t="b">
        <f>IF('4 SUPERFICIES'!$A42&gt;45.4,IF('4 SUPERFICIES'!$A42&lt;61.6,IF('4 SUPERFICIES'!$C42&gt;149,IF('4 SUPERFICIES'!$C42&lt;155.6,'4 SUPERFICIES'!$AB42,0))))</f>
        <v>0</v>
      </c>
      <c r="BK233" s="777" t="b">
        <f>IF('4 SUPERFICIES'!$A42&gt;45.4,IF('4 SUPERFICIES'!$A42&lt;61.6,IF('4 SUPERFICIES'!$C42&gt;155.5,IF('4 SUPERFICIES'!$C42&lt;163.1,'4 SUPERFICIES'!$AB42,0))))</f>
        <v>0</v>
      </c>
      <c r="BL233" s="777" t="b">
        <f>IF('4 SUPERFICIES'!$A42&gt;45.4,IF('4 SUPERFICIES'!$A42&lt;61.6,IF('4 SUPERFICIES'!$C42&gt;163,IF('4 SUPERFICIES'!$C42&lt;180.6,'4 SUPERFICIES'!$AB42,0))))</f>
        <v>0</v>
      </c>
      <c r="BM233" s="777" t="b">
        <f>IF('4 SUPERFICIES'!$A42&gt;45.4,IF('4 SUPERFICIES'!$A42&lt;61.6,IF('4 SUPERFICIES'!$C42&gt;180.5,IF('4 SUPERFICIES'!$C42&lt;240.1,'4 SUPERFICIES'!$AB42,0))))</f>
        <v>0</v>
      </c>
      <c r="BO233" s="869" t="s">
        <v>555</v>
      </c>
      <c r="BQ233" s="870">
        <f>+$CT$250</f>
        <v>0</v>
      </c>
      <c r="BS233" s="869"/>
      <c r="BT233" s="870">
        <f>+$CT$251</f>
        <v>0</v>
      </c>
      <c r="BV233" s="777" t="b">
        <f>IF('4 SUPERFICIES'!$A42&gt;61.5,IF('4 SUPERFICIES'!$A42&lt;71.6,IF('4 SUPERFICIES'!$C42&gt;10,IF('4 SUPERFICIES'!$C42&lt;57.6,'4 SUPERFICIES'!$AB42,0))))</f>
        <v>0</v>
      </c>
      <c r="BW233" s="777" t="b">
        <f>IF('4 SUPERFICIES'!$A42&gt;61.5,IF('4 SUPERFICIES'!$A42&lt;71.6,IF('4 SUPERFICIES'!$C42&gt;57.6,IF('4 SUPERFICIES'!$C42&lt;71.6,'4 SUPERFICIES'!$AB42,0))))</f>
        <v>0</v>
      </c>
      <c r="BX233" s="777" t="b">
        <f>IF('4 SUPERFICIES'!$A42&gt;61.5,IF('4 SUPERFICIES'!$A42&lt;71.6,IF('4 SUPERFICIES'!$C42&gt;71.5,IF('4 SUPERFICIES'!$C42&lt;85.6,'4 SUPERFICIES'!$AB42,0))))</f>
        <v>0</v>
      </c>
      <c r="BY233" s="777" t="b">
        <f>IF('4 SUPERFICIES'!$A42&gt;61.5,IF('4 SUPERFICIES'!$A42&lt;71.6,IF('4 SUPERFICIES'!$C42&gt;85.5,IF('4 SUPERFICIES'!$C42&lt;113.6,'4 SUPERFICIES'!$AB42,0))))</f>
        <v>0</v>
      </c>
      <c r="BZ233" s="777" t="b">
        <f>IF('4 SUPERFICIES'!$A42&gt;61.5,IF('4 SUPERFICIES'!$A42&lt;71.6,IF('4 SUPERFICIES'!$C42&gt;113.5,IF('4 SUPERFICIES'!$C42&lt;141.6,'4 SUPERFICIES'!$AB42,0))))</f>
        <v>0</v>
      </c>
      <c r="CA233" s="777" t="b">
        <f>IF('4 SUPERFICIES'!$A42&gt;61.5,IF('4 SUPERFICIES'!$A42&lt;71.6,IF('4 SUPERFICIES'!$C42&gt;141.5,IF('4 SUPERFICIES'!$C42&lt;149.1,'4 SUPERFICIES'!$AB42,0))))</f>
        <v>0</v>
      </c>
      <c r="CB233" s="777" t="b">
        <f>IF('4 SUPERFICIES'!$A42&gt;61.5,IF('4 SUPERFICIES'!$A42&lt;71.6,IF('4 SUPERFICIES'!$C42&gt;149,IF('4 SUPERFICIES'!$C42&lt;163.1,'4 SUPERFICIES'!$AB42,0))))</f>
        <v>0</v>
      </c>
      <c r="CC233" s="777" t="b">
        <f>IF('4 SUPERFICIES'!$A42&gt;61.5,IF('4 SUPERFICIES'!$A42&lt;71.6,IF('4 SUPERFICIES'!$C42&gt;163,IF('4 SUPERFICIES'!$C42&lt;180.6,'4 SUPERFICIES'!$AB42,0))))</f>
        <v>0</v>
      </c>
      <c r="CD233" s="777" t="b">
        <f>IF('4 SUPERFICIES'!$A42&gt;61.5,IF('4 SUPERFICIES'!$A42&lt;71.6,IF('4 SUPERFICIES'!$C42&gt;180.5,IF('4 SUPERFICIES'!$C42&lt;240.1,'4 SUPERFICIES'!$AB42,0))))</f>
        <v>0</v>
      </c>
      <c r="CF233" s="777" t="b">
        <f>IF('4 SUPERFICIES'!$A42&gt;71.5,IF('4 SUPERFICIES'!$A42&lt;120.6,IF('4 SUPERFICIES'!$C42&gt;10,IF('4 SUPERFICIES'!$C42&lt;57.6,'4 SUPERFICIES'!$AB42,0))))</f>
        <v>0</v>
      </c>
      <c r="CG233" s="777" t="b">
        <f>IF('4 SUPERFICIES'!$A42&gt;71.5,IF('4 SUPERFICIES'!$A42&lt;120.6,IF('4 SUPERFICIES'!$C42&gt;57.6,IF('4 SUPERFICIES'!$C42&lt;71.6,'4 SUPERFICIES'!$AB42,0))))</f>
        <v>0</v>
      </c>
      <c r="CH233" s="777" t="b">
        <f>IF('4 SUPERFICIES'!$A42&gt;71.5,IF('4 SUPERFICIES'!$A42&lt;120.6,IF('4 SUPERFICIES'!$C42&gt;71.5,IF('4 SUPERFICIES'!$C42&lt;85.6,'4 SUPERFICIES'!$AB42,0))))</f>
        <v>0</v>
      </c>
      <c r="CI233" s="777" t="b">
        <f>IF('4 SUPERFICIES'!$A42&gt;71.5,IF('4 SUPERFICIES'!$A42&lt;120.6,IF('4 SUPERFICIES'!$C42&gt;85.5,IF('4 SUPERFICIES'!$C42&lt;113.6,'4 SUPERFICIES'!$AB42,0))))</f>
        <v>0</v>
      </c>
      <c r="CJ233" s="777" t="b">
        <f>IF('4 SUPERFICIES'!$A42&gt;71.5,IF('4 SUPERFICIES'!$A42&lt;120.6,IF('4 SUPERFICIES'!$C42&gt;113.5,IF('4 SUPERFICIES'!$C42&lt;141.6,'4 SUPERFICIES'!$AB42,0))))</f>
        <v>0</v>
      </c>
      <c r="CK233" s="777" t="b">
        <f>IF('4 SUPERFICIES'!$A42&gt;71.5,IF('4 SUPERFICIES'!$A42&lt;120.6,IF('4 SUPERFICIES'!$C42&gt;141.5,IF('4 SUPERFICIES'!$C42&lt;180.6,'4 SUPERFICIES'!$AB42,0))))</f>
        <v>0</v>
      </c>
      <c r="CL233" s="777" t="b">
        <f>IF('4 SUPERFICIES'!$A42&gt;71.5,IF('4 SUPERFICIES'!$A42&lt;120.6,IF('4 SUPERFICIES'!$C42&gt;180.5,IF('4 SUPERFICIES'!$C42&lt;240.1,'4 SUPERFICIES'!$AB42,0))))</f>
        <v>0</v>
      </c>
      <c r="CN233" s="777">
        <f>IF('4 SUPERFICIES'!$C42&lt;150,IF(OR('4 SUPERFICIES'!$A42="MICRODER",'4 SUPERFICIES'!$A42="MICRO DER",),'4 SUPERFICIES'!$AB42,0))</f>
        <v>0</v>
      </c>
      <c r="CO233" s="777" t="b">
        <f>IF('4 SUPERFICIES'!$C42&gt;149.5,IF(OR('4 SUPERFICIES'!$A42="MICRODER",'4 SUPERFICIES'!$A42="MICRO DER",),'4 SUPERFICIES'!$AB42,0))</f>
        <v>0</v>
      </c>
      <c r="CP233" s="847"/>
      <c r="CQ233" s="777">
        <f>IF('4 SUPERFICIES'!$C42&lt;150,IF(OR('4 SUPERFICIES'!$A42="MICROIZQ",'4 SUPERFICIES'!$A42="MICRO IZQ",),'4 SUPERFICIES'!$AB42,0))</f>
        <v>0</v>
      </c>
      <c r="CR233" s="777" t="b">
        <f>IF('4 SUPERFICIES'!$C42&gt;149.5,IF(OR('4 SUPERFICIES'!$A42="MICROIZQ",'4 SUPERFICIES'!$A42="MICRO IZQ",),'4 SUPERFICIES'!$AB42,0))</f>
        <v>0</v>
      </c>
      <c r="CT233" s="837">
        <f>IF(OR('4 SUPERFICIES'!$A42="MICRO SEN",'4 SUPERFICIES'!$A42="MICROSEN",),'4 SUPERFICIES'!$AB42,0)</f>
        <v>0</v>
      </c>
      <c r="CV233" s="837" t="b">
        <f>IF('4 SUPERFICIES'!$A42="DIAMETRO",IF('4 SUPERFICIES'!$C42&lt;121.1,'4 SUPERFICIES'!$AB42,0))</f>
        <v>0</v>
      </c>
      <c r="CX233" s="858"/>
      <c r="CZ233" s="837" t="b">
        <f>IF('4 SUPERFICIES'!$A42="MOSTRADOR",IF('4 SUPERFICIES'!$C42="R60",'4 SUPERFICIES'!$AB42,0))</f>
        <v>0</v>
      </c>
      <c r="DB233" s="837">
        <f>IF(OR('4 SUPERFICIES'!$A42="PORTA PRIN",'4 SUPERFICIES'!$A42="PORTAPRIN",),'4 SUPERFICIES'!$AB42,0)</f>
        <v>0</v>
      </c>
      <c r="DD233" s="837">
        <f>IF(OR('4 SUPERFICIES'!$A42="PORTA BADE",'4 SUPERFICIES'!$A42="PORTABADE",),'4 SUPERFICIES'!$AB42,0)</f>
        <v>0</v>
      </c>
      <c r="DE233" s="837"/>
      <c r="DF233" s="837">
        <f>IF(OR('4 SUPERFICIES'!$A42="RETORNO IZQ",'4 SUPERFICIES'!$A42="RETORNO DER",),'4 SUPERFICIES'!$AB142,0)</f>
        <v>0</v>
      </c>
      <c r="DG233" s="837"/>
      <c r="DH233" s="837">
        <f>IF(OR('4 SUPERFICIES'!$A42="PITO Q",'4 SUPERFICIES'!$A42="PITO P",'4 SUPERFICIES'!$A42="DIAMETRO INTEGRADA",),'4 SUPERFICIES'!$AB42,0)</f>
        <v>0</v>
      </c>
      <c r="DJ233" s="858"/>
      <c r="DK233" s="837"/>
      <c r="DL233" s="837">
        <f>IF('4 SUPERFICIES'!$A42="SUPERFICIE OVAL",'4 SUPERFICIES'!$AB42,0)</f>
        <v>0</v>
      </c>
      <c r="DO233" s="838"/>
      <c r="DP233" s="838"/>
      <c r="DQ233" s="838"/>
      <c r="DR233" s="838"/>
      <c r="DS233" s="838"/>
      <c r="DT233" s="838"/>
      <c r="DU233" s="838"/>
      <c r="DV233" s="838"/>
      <c r="DW233" s="838"/>
      <c r="DX233" s="838"/>
      <c r="DY233" s="838"/>
      <c r="DZ233" s="838"/>
      <c r="EA233" s="838"/>
      <c r="EB233" s="838"/>
      <c r="EC233" s="838"/>
      <c r="ED233" s="838"/>
      <c r="EE233" s="852"/>
      <c r="EG233" s="682">
        <f>IF('4 SUPERFICIES'!A42="MICRO DER",85,IF('4 SUPERFICIES'!A42="MICRO IZQ",85,IF('4 SUPERFICIES'!A42="MICRO SEN",170,IF('4 SUPERFICIES'!A42="DIAMETRO",3.14*'4 SUPERFICIES'!C42/2,IF('4 SUPERFICIES'!A42="MOSTRADOR",136,IF('4 SUPERFICIES'!A42="PORTA",65,IF('4 SUPERFICIES'!A42="PITO Q",90,IF('4 SUPERFICIES'!A42="PITO P",90,'4 SUPERFICIES'!A42))))))))</f>
        <v>0</v>
      </c>
      <c r="EH233" s="682"/>
      <c r="EI233" s="682">
        <f>IF('4 SUPERFICIES'!A42="DIAMETRO",0,IF('4 SUPERFICIES'!C42="PRINCIPAL",160,IF('4 SUPERFICIES'!C42="BADE",190,IF('4 SUPERFICIES'!C42="RETORNO",100,IF('4 SUPERFICIES'!C42="R 60",100,IF('4 SUPERFICIES'!C42="R60",100,'4 SUPERFICIES'!C42))))))</f>
        <v>0</v>
      </c>
      <c r="EJ233" s="682"/>
      <c r="EK233" s="682">
        <f>IF('4 SUPERFICIES'!$F42='4 SUPERFICIES'!$AG$15,((EG233*2)+(EI233*2))*'4 SUPERFICIES'!AB42,0)</f>
        <v>0</v>
      </c>
      <c r="EL233" s="682"/>
      <c r="EM233" s="682">
        <f>IF('4 SUPERFICIES'!$F42='4 SUPERFICIES'!$AG$16,((EG233*2)+(EI233*2))*'4 SUPERFICIES'!AB42,0)</f>
        <v>0</v>
      </c>
      <c r="EO233" s="682">
        <f>IF('4 SUPERFICIES'!$F42='4 SUPERFICIES'!$AG$17,((EG233*2)+(EI233*2))*'4 SUPERFICIES'!AB42,0)</f>
        <v>0</v>
      </c>
      <c r="EP233" s="838"/>
      <c r="EQ233" s="682">
        <f>IF('4 SUPERFICIES'!$F42='4 SUPERFICIES'!$AG$18,((EG233*2)+(EI233*2))*'4 SUPERFICIES'!AB42,0)</f>
        <v>0</v>
      </c>
      <c r="ER233" s="838"/>
      <c r="ES233" s="858"/>
      <c r="ET233" s="858"/>
      <c r="EU233" s="858"/>
      <c r="EV233" s="858"/>
      <c r="EW233" s="838"/>
      <c r="EX233" s="838"/>
      <c r="EY233" s="838"/>
      <c r="EZ233" s="838"/>
      <c r="FA233" s="838"/>
      <c r="FB233" s="838"/>
      <c r="FC233" s="838"/>
      <c r="FD233" s="838"/>
      <c r="FE233" s="838"/>
      <c r="FF233" s="838"/>
      <c r="FG233" s="838"/>
      <c r="FH233" s="838"/>
      <c r="FI233" s="838"/>
      <c r="FJ233" s="838"/>
      <c r="FK233" s="838"/>
      <c r="FL233" s="838"/>
      <c r="FM233" s="838"/>
      <c r="FN233" s="838"/>
      <c r="FO233" s="838"/>
      <c r="FP233" s="838"/>
      <c r="GM233" s="858"/>
      <c r="GN233" s="838"/>
      <c r="GO233" s="858"/>
      <c r="GP233" s="858"/>
      <c r="GQ233" s="858"/>
      <c r="GR233" s="838"/>
      <c r="GS233" s="838"/>
      <c r="HF233" s="700">
        <v>25.5</v>
      </c>
      <c r="HH233" s="591">
        <v>25.5</v>
      </c>
    </row>
    <row r="234" spans="1:216" ht="26.25" x14ac:dyDescent="0.4">
      <c r="A234" s="883"/>
      <c r="B234" s="884"/>
      <c r="C234" s="885"/>
      <c r="D234" s="879">
        <f>IF($A$230=1,IF(OR('5 ALMACEN '!$D39='1 PISO TECHO'!$C$28,'5 ALMACEN '!$D39='1 P-T +'!$C$30,'5 ALMACEN '!$D39='2 MEDIA ALTURA'!$C$41,'5 ALMACEN '!$D39='2 M-A +'!$C$39,),'5 ALMACEN '!$B39+'5 ALMACEN '!$C39,0))</f>
        <v>0</v>
      </c>
      <c r="E234" s="879">
        <f>IF($A$230=1,IF(OR('5 ALMACEN '!$D39='1 PISO TECHO'!$C$28,'5 ALMACEN '!$D39='1 P-T +'!$C$30,'5 ALMACEN '!$D39='2 MEDIA ALTURA'!$C$41,'5 ALMACEN '!$D39='2 M-A +'!$C$39,),'5 ALMACEN '!$B39+'5 ALMACEN '!$C39,0))</f>
        <v>0</v>
      </c>
      <c r="F234" s="879">
        <f>IF($A$230=1,IF(OR('5 ALMACEN '!$D41='1 PISO TECHO'!$C$28,'5 ALMACEN '!$D41='1 P-T +'!$C$30,'5 ALMACEN '!$D41='2 MEDIA ALTURA'!$C$41,'5 ALMACEN '!$D41='2 M-A +'!$C$39,),'5 ALMACEN '!$B41+'5 ALMACEN '!$C41,0))</f>
        <v>0</v>
      </c>
      <c r="G234" s="879">
        <f>IF($A$230=1,IF(OR('5 ALMACEN '!$D42='1 PISO TECHO'!$C$28,'5 ALMACEN '!$D42='1 P-T +'!$C$30,'5 ALMACEN '!$D42='2 MEDIA ALTURA'!$C$41,'5 ALMACEN '!$D42='2 M-A +'!$C$39,),'5 ALMACEN '!$B42+'5 ALMACEN '!$C42,0))</f>
        <v>0</v>
      </c>
      <c r="AK234" s="777" t="b">
        <f>IF('4 SUPERFICIES'!$A43&gt;10,IF('4 SUPERFICIES'!$A43&lt;31.1,IF('4 SUPERFICIES'!$C43&gt;10,IF('4 SUPERFICIES'!$C43&lt;57.6,'4 SUPERFICIES'!$AB43,0))))</f>
        <v>0</v>
      </c>
      <c r="AL234" s="777" t="b">
        <f>IF('4 SUPERFICIES'!$A43&gt;10,IF('4 SUPERFICIES'!$A43&lt;31.1,IF('4 SUPERFICIES'!$C43&gt;57.6,IF('4 SUPERFICIES'!$C43&lt;71.6,'4 SUPERFICIES'!$AB43,0))))</f>
        <v>0</v>
      </c>
      <c r="AM234" s="777" t="b">
        <f>IF('4 SUPERFICIES'!$A43&gt;10,IF('4 SUPERFICIES'!$A43&lt;31.1,IF('4 SUPERFICIES'!$C43&gt;71.5,IF('4 SUPERFICIES'!$C43&lt;85.6,'4 SUPERFICIES'!$AB43,0))))</f>
        <v>0</v>
      </c>
      <c r="AN234" s="777" t="b">
        <f>IF('4 SUPERFICIES'!$A43&gt;10,IF('4 SUPERFICIES'!$A43&lt;31.1,IF('4 SUPERFICIES'!$C43&gt;85.5,IF('4 SUPERFICIES'!$C43&lt;113.6,'4 SUPERFICIES'!$AB43,0))))</f>
        <v>0</v>
      </c>
      <c r="AO234" s="777" t="b">
        <f>IF('4 SUPERFICIES'!$A43&gt;10,IF('4 SUPERFICIES'!$A43&lt;31.1,IF('4 SUPERFICIES'!$C43&gt;113.5,IF('4 SUPERFICIES'!$C43&lt;141.6,'4 SUPERFICIES'!$AB43,0))))</f>
        <v>0</v>
      </c>
      <c r="AP234" s="777" t="b">
        <f>IF('4 SUPERFICIES'!$A43&gt;10,IF('4 SUPERFICIES'!$A43&lt;31.1,IF('4 SUPERFICIES'!$C43&gt;141.5,IF('4 SUPERFICIES'!$C43&lt;180.6,'4 SUPERFICIES'!$AB43,0))))</f>
        <v>0</v>
      </c>
      <c r="AQ234" s="777" t="b">
        <f>IF('4 SUPERFICIES'!$A43&gt;10,IF('4 SUPERFICIES'!$A43&lt;31.1,IF('4 SUPERFICIES'!$C43&gt;180.5,IF('4 SUPERFICIES'!$C43&lt;240.1,'4 SUPERFICIES'!$AB43,0))))</f>
        <v>0</v>
      </c>
      <c r="AS234" s="777" t="b">
        <f>IF('4 SUPERFICIES'!$A43&gt;31,IF('4 SUPERFICIES'!$A43&lt;45.5,IF('4 SUPERFICIES'!$C43&gt;10,IF('4 SUPERFICIES'!$C43&lt;57.6,'4 SUPERFICIES'!$AB43,0))))</f>
        <v>0</v>
      </c>
      <c r="AT234" s="777" t="b">
        <f>IF('4 SUPERFICIES'!$A43&gt;31,IF('4 SUPERFICIES'!$A43&lt;45.5,IF('4 SUPERFICIES'!$C43&gt;57.6,IF('4 SUPERFICIES'!$C43&lt;71.6,'4 SUPERFICIES'!$AB43,0))))</f>
        <v>0</v>
      </c>
      <c r="AU234" s="777" t="b">
        <f>IF('4 SUPERFICIES'!$A43&gt;31,IF('4 SUPERFICIES'!$A43&lt;45.5,IF('4 SUPERFICIES'!$C43&gt;71.5,IF('4 SUPERFICIES'!$C43&lt;85.6,'4 SUPERFICIES'!$AB43,0))))</f>
        <v>0</v>
      </c>
      <c r="AV234" s="777" t="b">
        <f>IF('4 SUPERFICIES'!$A43&gt;31,IF('4 SUPERFICIES'!$A43&lt;45.5,IF('4 SUPERFICIES'!$C43&gt;85.5,IF('4 SUPERFICIES'!$C43&lt;113.6,'4 SUPERFICIES'!$AB43,0))))</f>
        <v>0</v>
      </c>
      <c r="AW234" s="777" t="b">
        <f>IF('4 SUPERFICIES'!$A43&gt;31,IF('4 SUPERFICIES'!$A43&lt;45.5,IF('4 SUPERFICIES'!$C43&gt;113.5,IF('4 SUPERFICIES'!$C43&lt;141.6,'4 SUPERFICIES'!$AB43,0))))</f>
        <v>0</v>
      </c>
      <c r="AX234" s="777" t="b">
        <f>IF('4 SUPERFICIES'!$A43&gt;31,IF('4 SUPERFICIES'!$A43&lt;45.5,IF('4 SUPERFICIES'!$C43&gt;141.5,IF('4 SUPERFICIES'!$C43&lt;180.6,'4 SUPERFICIES'!$AB43,0))))</f>
        <v>0</v>
      </c>
      <c r="AY234" s="777" t="b">
        <f>IF('4 SUPERFICIES'!$A43&gt;31,IF('4 SUPERFICIES'!$A43&lt;45.5,IF('4 SUPERFICIES'!$C43&gt;180.5,IF('4 SUPERFICIES'!$C43&lt;240.1,'4 SUPERFICIES'!$AB43,0))))</f>
        <v>0</v>
      </c>
      <c r="BA234" s="777" t="b">
        <f>IF('4 SUPERFICIES'!$A43&gt;45.4,IF('4 SUPERFICIES'!$A43&lt;61.6,IF('4 SUPERFICIES'!$C43&gt;10,IF('4 SUPERFICIES'!$C43&lt;61.5,'4 SUPERFICIES'!$AB43,0))))</f>
        <v>0</v>
      </c>
      <c r="BB234" s="777" t="b">
        <f>IF('4 SUPERFICIES'!$A43&gt;45.4,IF('4 SUPERFICIES'!$A43&lt;61.6,IF('4 SUPERFICIES'!$C43&gt;61.1,IF('4 SUPERFICIES'!$C43&lt;71.6,'4 SUPERFICIES'!$AB43,0))))</f>
        <v>0</v>
      </c>
      <c r="BC234" s="777" t="b">
        <f>IF('4 SUPERFICIES'!$A43&gt;45.4,IF('4 SUPERFICIES'!$A43&lt;61.6,IF('4 SUPERFICIES'!$C43&gt;71.5,IF('4 SUPERFICIES'!$C43&lt;85.6,'4 SUPERFICIES'!$AB43,0))))</f>
        <v>0</v>
      </c>
      <c r="BD234" s="777" t="b">
        <f>IF('4 SUPERFICIES'!$A43&gt;45.4,IF('4 SUPERFICIES'!$A43&lt;61.6,IF('4 SUPERFICIES'!$C43&gt;85.5,IF('4 SUPERFICIES'!$C43&lt;113.6,'4 SUPERFICIES'!$AB43,0))))</f>
        <v>0</v>
      </c>
      <c r="BE234" s="777" t="b">
        <f>IF('4 SUPERFICIES'!$A43&gt;45.4,IF('4 SUPERFICIES'!$A43&lt;61.6,IF('4 SUPERFICIES'!$C43&gt;113.5,IF('4 SUPERFICIES'!$C43&lt;121.6,'4 SUPERFICIES'!$AB43,0))))</f>
        <v>0</v>
      </c>
      <c r="BF234" s="777" t="b">
        <f>IF('4 SUPERFICIES'!$A43&gt;45.4,IF('4 SUPERFICIES'!$A43&lt;61.6,IF('4 SUPERFICIES'!$C43&gt;121.5,IF('4 SUPERFICIES'!$C43&lt;127.6,'4 SUPERFICIES'!$AB43,0))))</f>
        <v>0</v>
      </c>
      <c r="BG234" s="777" t="b">
        <f>IF('4 SUPERFICIES'!$A43&gt;45.4,IF('4 SUPERFICIES'!$A43&lt;61.6,IF('4 SUPERFICIES'!$C43&gt;127.5,IF('4 SUPERFICIES'!$C43&lt;135.1,'4 SUPERFICIES'!$AB43,0))))</f>
        <v>0</v>
      </c>
      <c r="BH234" s="777" t="b">
        <f>IF('4 SUPERFICIES'!$A43&gt;45.4,IF('4 SUPERFICIES'!$A43&lt;61.6,IF('4 SUPERFICIES'!$C43&gt;135,IF('4 SUPERFICIES'!$C43&lt;141.6,'4 SUPERFICIES'!$AB43,0))))</f>
        <v>0</v>
      </c>
      <c r="BI234" s="777" t="b">
        <f>IF('4 SUPERFICIES'!$A43&gt;45.4,IF('4 SUPERFICIES'!$A43&lt;61.6,IF('4 SUPERFICIES'!$C43&gt;141.5,IF('4 SUPERFICIES'!$C43&lt;149.1,'4 SUPERFICIES'!$AB43,0))))</f>
        <v>0</v>
      </c>
      <c r="BJ234" s="777" t="b">
        <f>IF('4 SUPERFICIES'!$A43&gt;45.4,IF('4 SUPERFICIES'!$A43&lt;61.6,IF('4 SUPERFICIES'!$C43&gt;149,IF('4 SUPERFICIES'!$C43&lt;155.6,'4 SUPERFICIES'!$AB43,0))))</f>
        <v>0</v>
      </c>
      <c r="BK234" s="777" t="b">
        <f>IF('4 SUPERFICIES'!$A43&gt;45.4,IF('4 SUPERFICIES'!$A43&lt;61.6,IF('4 SUPERFICIES'!$C43&gt;155.5,IF('4 SUPERFICIES'!$C43&lt;163.1,'4 SUPERFICIES'!$AB43,0))))</f>
        <v>0</v>
      </c>
      <c r="BL234" s="777" t="b">
        <f>IF('4 SUPERFICIES'!$A43&gt;45.4,IF('4 SUPERFICIES'!$A43&lt;61.6,IF('4 SUPERFICIES'!$C43&gt;163,IF('4 SUPERFICIES'!$C43&lt;180.6,'4 SUPERFICIES'!$AB43,0))))</f>
        <v>0</v>
      </c>
      <c r="BM234" s="777" t="b">
        <f>IF('4 SUPERFICIES'!$A43&gt;45.4,IF('4 SUPERFICIES'!$A43&lt;61.6,IF('4 SUPERFICIES'!$C43&gt;180.5,IF('4 SUPERFICIES'!$C43&lt;240.1,'4 SUPERFICIES'!$AB43,0))))</f>
        <v>0</v>
      </c>
      <c r="BO234" s="869" t="s">
        <v>556</v>
      </c>
      <c r="BQ234" s="870">
        <f>+$CV$250+$DL$250</f>
        <v>0</v>
      </c>
      <c r="BS234" s="869"/>
      <c r="BT234" s="870">
        <f>+$CV$251+$DL$251</f>
        <v>0</v>
      </c>
      <c r="BV234" s="777" t="b">
        <f>IF('4 SUPERFICIES'!$A43&gt;61.5,IF('4 SUPERFICIES'!$A43&lt;71.6,IF('4 SUPERFICIES'!$C43&gt;10,IF('4 SUPERFICIES'!$C43&lt;57.6,'4 SUPERFICIES'!$AB43,0))))</f>
        <v>0</v>
      </c>
      <c r="BW234" s="777" t="b">
        <f>IF('4 SUPERFICIES'!$A43&gt;61.5,IF('4 SUPERFICIES'!$A43&lt;71.6,IF('4 SUPERFICIES'!$C43&gt;57.6,IF('4 SUPERFICIES'!$C43&lt;71.6,'4 SUPERFICIES'!$AB43,0))))</f>
        <v>0</v>
      </c>
      <c r="BX234" s="777" t="b">
        <f>IF('4 SUPERFICIES'!$A43&gt;61.5,IF('4 SUPERFICIES'!$A43&lt;71.6,IF('4 SUPERFICIES'!$C43&gt;71.5,IF('4 SUPERFICIES'!$C43&lt;85.6,'4 SUPERFICIES'!$AB43,0))))</f>
        <v>0</v>
      </c>
      <c r="BY234" s="777" t="b">
        <f>IF('4 SUPERFICIES'!$A43&gt;61.5,IF('4 SUPERFICIES'!$A43&lt;71.6,IF('4 SUPERFICIES'!$C43&gt;85.5,IF('4 SUPERFICIES'!$C43&lt;113.6,'4 SUPERFICIES'!$AB43,0))))</f>
        <v>0</v>
      </c>
      <c r="BZ234" s="777" t="b">
        <f>IF('4 SUPERFICIES'!$A43&gt;61.5,IF('4 SUPERFICIES'!$A43&lt;71.6,IF('4 SUPERFICIES'!$C43&gt;113.5,IF('4 SUPERFICIES'!$C43&lt;141.6,'4 SUPERFICIES'!$AB43,0))))</f>
        <v>0</v>
      </c>
      <c r="CA234" s="777" t="b">
        <f>IF('4 SUPERFICIES'!$A43&gt;61.5,IF('4 SUPERFICIES'!$A43&lt;71.6,IF('4 SUPERFICIES'!$C43&gt;141.5,IF('4 SUPERFICIES'!$C43&lt;149.1,'4 SUPERFICIES'!$AB43,0))))</f>
        <v>0</v>
      </c>
      <c r="CB234" s="777" t="b">
        <f>IF('4 SUPERFICIES'!$A43&gt;61.5,IF('4 SUPERFICIES'!$A43&lt;71.6,IF('4 SUPERFICIES'!$C43&gt;149,IF('4 SUPERFICIES'!$C43&lt;163.1,'4 SUPERFICIES'!$AB43,0))))</f>
        <v>0</v>
      </c>
      <c r="CC234" s="777" t="b">
        <f>IF('4 SUPERFICIES'!$A43&gt;61.5,IF('4 SUPERFICIES'!$A43&lt;71.6,IF('4 SUPERFICIES'!$C43&gt;163,IF('4 SUPERFICIES'!$C43&lt;180.6,'4 SUPERFICIES'!$AB43,0))))</f>
        <v>0</v>
      </c>
      <c r="CD234" s="777" t="b">
        <f>IF('4 SUPERFICIES'!$A43&gt;61.5,IF('4 SUPERFICIES'!$A43&lt;71.6,IF('4 SUPERFICIES'!$C43&gt;180.5,IF('4 SUPERFICIES'!$C43&lt;240.1,'4 SUPERFICIES'!$AB43,0))))</f>
        <v>0</v>
      </c>
      <c r="CF234" s="777" t="b">
        <f>IF('4 SUPERFICIES'!$A43&gt;71.5,IF('4 SUPERFICIES'!$A43&lt;120.6,IF('4 SUPERFICIES'!$C43&gt;10,IF('4 SUPERFICIES'!$C43&lt;57.6,'4 SUPERFICIES'!$AB43,0))))</f>
        <v>0</v>
      </c>
      <c r="CG234" s="777" t="b">
        <f>IF('4 SUPERFICIES'!$A43&gt;71.5,IF('4 SUPERFICIES'!$A43&lt;120.6,IF('4 SUPERFICIES'!$C43&gt;57.6,IF('4 SUPERFICIES'!$C43&lt;71.6,'4 SUPERFICIES'!$AB43,0))))</f>
        <v>0</v>
      </c>
      <c r="CH234" s="777" t="b">
        <f>IF('4 SUPERFICIES'!$A43&gt;71.5,IF('4 SUPERFICIES'!$A43&lt;120.6,IF('4 SUPERFICIES'!$C43&gt;71.5,IF('4 SUPERFICIES'!$C43&lt;85.6,'4 SUPERFICIES'!$AB43,0))))</f>
        <v>0</v>
      </c>
      <c r="CI234" s="777" t="b">
        <f>IF('4 SUPERFICIES'!$A43&gt;71.5,IF('4 SUPERFICIES'!$A43&lt;120.6,IF('4 SUPERFICIES'!$C43&gt;85.5,IF('4 SUPERFICIES'!$C43&lt;113.6,'4 SUPERFICIES'!$AB43,0))))</f>
        <v>0</v>
      </c>
      <c r="CJ234" s="777" t="b">
        <f>IF('4 SUPERFICIES'!$A43&gt;71.5,IF('4 SUPERFICIES'!$A43&lt;120.6,IF('4 SUPERFICIES'!$C43&gt;113.5,IF('4 SUPERFICIES'!$C43&lt;141.6,'4 SUPERFICIES'!$AB43,0))))</f>
        <v>0</v>
      </c>
      <c r="CK234" s="777" t="b">
        <f>IF('4 SUPERFICIES'!$A43&gt;71.5,IF('4 SUPERFICIES'!$A43&lt;120.6,IF('4 SUPERFICIES'!$C43&gt;141.5,IF('4 SUPERFICIES'!$C43&lt;180.6,'4 SUPERFICIES'!$AB43,0))))</f>
        <v>0</v>
      </c>
      <c r="CL234" s="777" t="b">
        <f>IF('4 SUPERFICIES'!$A43&gt;71.5,IF('4 SUPERFICIES'!$A43&lt;120.6,IF('4 SUPERFICIES'!$C43&gt;180.5,IF('4 SUPERFICIES'!$C43&lt;240.1,'4 SUPERFICIES'!$AB43,0))))</f>
        <v>0</v>
      </c>
      <c r="CN234" s="777">
        <f>IF('4 SUPERFICIES'!$C43&lt;150,IF(OR('4 SUPERFICIES'!$A43="MICRODER",'4 SUPERFICIES'!$A43="MICRO DER",),'4 SUPERFICIES'!$AB43,0))</f>
        <v>0</v>
      </c>
      <c r="CO234" s="777" t="b">
        <f>IF('4 SUPERFICIES'!$C43&gt;149.5,IF(OR('4 SUPERFICIES'!$A43="MICRODER",'4 SUPERFICIES'!$A43="MICRO DER",),'4 SUPERFICIES'!$AB43,0))</f>
        <v>0</v>
      </c>
      <c r="CP234" s="847"/>
      <c r="CQ234" s="777">
        <f>IF('4 SUPERFICIES'!$C43&lt;150,IF(OR('4 SUPERFICIES'!$A43="MICROIZQ",'4 SUPERFICIES'!$A43="MICRO IZQ",),'4 SUPERFICIES'!$AB43,0))</f>
        <v>0</v>
      </c>
      <c r="CR234" s="777" t="b">
        <f>IF('4 SUPERFICIES'!$C43&gt;149.5,IF(OR('4 SUPERFICIES'!$A43="MICROIZQ",'4 SUPERFICIES'!$A43="MICRO IZQ",),'4 SUPERFICIES'!$AB43,0))</f>
        <v>0</v>
      </c>
      <c r="CT234" s="837">
        <f>IF(OR('4 SUPERFICIES'!$A43="MICRO SEN",'4 SUPERFICIES'!$A43="MICROSEN",),'4 SUPERFICIES'!$AB43,0)</f>
        <v>0</v>
      </c>
      <c r="CV234" s="837" t="b">
        <f>IF('4 SUPERFICIES'!$A43="DIAMETRO",IF('4 SUPERFICIES'!$C43&lt;121.1,'4 SUPERFICIES'!$AB43,0))</f>
        <v>0</v>
      </c>
      <c r="CX234" s="858"/>
      <c r="CZ234" s="837" t="b">
        <f>IF('4 SUPERFICIES'!$A43="MOSTRADOR",IF('4 SUPERFICIES'!$C43="R60",'4 SUPERFICIES'!$AB43,0))</f>
        <v>0</v>
      </c>
      <c r="DB234" s="837">
        <f>IF(OR('4 SUPERFICIES'!$A43="PORTA PRIN",'4 SUPERFICIES'!$A43="PORTAPRIN",),'4 SUPERFICIES'!$AB43,0)</f>
        <v>0</v>
      </c>
      <c r="DD234" s="837">
        <f>IF(OR('4 SUPERFICIES'!$A43="PORTA BADE",'4 SUPERFICIES'!$A43="PORTABADE",),'4 SUPERFICIES'!$AB43,0)</f>
        <v>0</v>
      </c>
      <c r="DE234" s="837"/>
      <c r="DF234" s="837">
        <f>IF(OR('4 SUPERFICIES'!$A43="RETORNO IZQ",'4 SUPERFICIES'!$A43="RETORNO DER",),'4 SUPERFICIES'!$AB143,0)</f>
        <v>0</v>
      </c>
      <c r="DG234" s="837"/>
      <c r="DH234" s="837">
        <f>IF(OR('4 SUPERFICIES'!$A43="PITO Q",'4 SUPERFICIES'!$A43="PITO P",'4 SUPERFICIES'!$A43="DIAMETRO INTEGRADA",),'4 SUPERFICIES'!$AB43,0)</f>
        <v>0</v>
      </c>
      <c r="DJ234" s="858"/>
      <c r="DK234" s="837"/>
      <c r="DL234" s="837">
        <f>IF('4 SUPERFICIES'!$A43="SUPERFICIE OVAL",'4 SUPERFICIES'!$AB43,0)</f>
        <v>0</v>
      </c>
      <c r="DO234" s="838"/>
      <c r="DP234" s="838"/>
      <c r="DQ234" s="838"/>
      <c r="DR234" s="838"/>
      <c r="DS234" s="838"/>
      <c r="DT234" s="838"/>
      <c r="DU234" s="838"/>
      <c r="DV234" s="838"/>
      <c r="DW234" s="838"/>
      <c r="DX234" s="838"/>
      <c r="DY234" s="838"/>
      <c r="DZ234" s="838"/>
      <c r="EA234" s="838"/>
      <c r="EB234" s="838"/>
      <c r="EC234" s="838"/>
      <c r="ED234" s="838"/>
      <c r="EE234" s="852"/>
      <c r="EG234" s="682">
        <f>IF('4 SUPERFICIES'!A43="MICRO DER",85,IF('4 SUPERFICIES'!A43="MICRO IZQ",85,IF('4 SUPERFICIES'!A43="MICRO SEN",170,IF('4 SUPERFICIES'!A43="DIAMETRO",3.14*'4 SUPERFICIES'!C43/2,IF('4 SUPERFICIES'!A43="MOSTRADOR",136,IF('4 SUPERFICIES'!A43="PORTA",65,IF('4 SUPERFICIES'!A43="PITO Q",90,IF('4 SUPERFICIES'!A43="PITO P",90,'4 SUPERFICIES'!A43))))))))</f>
        <v>0</v>
      </c>
      <c r="EH234" s="682"/>
      <c r="EI234" s="682">
        <f>IF('4 SUPERFICIES'!A43="DIAMETRO",0,IF('4 SUPERFICIES'!C43="PRINCIPAL",160,IF('4 SUPERFICIES'!C43="BADE",190,IF('4 SUPERFICIES'!C43="RETORNO",100,IF('4 SUPERFICIES'!C43="R 60",100,IF('4 SUPERFICIES'!C43="R60",100,'4 SUPERFICIES'!C43))))))</f>
        <v>0</v>
      </c>
      <c r="EJ234" s="682"/>
      <c r="EK234" s="682">
        <f>IF('4 SUPERFICIES'!$F43='4 SUPERFICIES'!$AG$15,((EG234*2)+(EI234*2))*'4 SUPERFICIES'!AB43,0)</f>
        <v>0</v>
      </c>
      <c r="EL234" s="682"/>
      <c r="EM234" s="682">
        <f>IF('4 SUPERFICIES'!$F43='4 SUPERFICIES'!$AG$16,((EG234*2)+(EI234*2))*'4 SUPERFICIES'!AB43,0)</f>
        <v>0</v>
      </c>
      <c r="EO234" s="682">
        <f>IF('4 SUPERFICIES'!$F43='4 SUPERFICIES'!$AG$17,((EG234*2)+(EI234*2))*'4 SUPERFICIES'!AB43,0)</f>
        <v>0</v>
      </c>
      <c r="EP234" s="838"/>
      <c r="EQ234" s="682">
        <f>IF('4 SUPERFICIES'!$F43='4 SUPERFICIES'!$AG$18,((EG234*2)+(EI234*2))*'4 SUPERFICIES'!AB43,0)</f>
        <v>0</v>
      </c>
      <c r="ER234" s="838"/>
      <c r="ES234" s="858"/>
      <c r="ET234" s="858"/>
      <c r="EU234" s="858"/>
      <c r="EV234" s="858"/>
      <c r="EW234" s="838"/>
      <c r="EX234" s="838"/>
      <c r="EY234" s="838"/>
      <c r="EZ234" s="838"/>
      <c r="FA234" s="838"/>
      <c r="FB234" s="838"/>
      <c r="FC234" s="838"/>
      <c r="FD234" s="838"/>
      <c r="FE234" s="838"/>
      <c r="FF234" s="838"/>
      <c r="FG234" s="838"/>
      <c r="FH234" s="838"/>
      <c r="FI234" s="838"/>
      <c r="FJ234" s="838"/>
      <c r="FK234" s="838"/>
      <c r="FL234" s="838"/>
      <c r="FM234" s="838"/>
      <c r="FN234" s="838"/>
      <c r="FO234" s="838"/>
      <c r="FP234" s="838"/>
      <c r="GM234" s="858"/>
      <c r="GN234" s="838"/>
      <c r="GO234" s="858"/>
      <c r="GP234" s="858"/>
      <c r="GQ234" s="858"/>
      <c r="GR234" s="838"/>
      <c r="GS234" s="838"/>
      <c r="HF234" s="700">
        <v>26</v>
      </c>
      <c r="HH234" s="591">
        <v>26</v>
      </c>
    </row>
    <row r="235" spans="1:216" ht="26.25" x14ac:dyDescent="0.4">
      <c r="A235" s="881"/>
      <c r="B235" s="884" t="s">
        <v>776</v>
      </c>
      <c r="C235" s="1089"/>
      <c r="D235" s="886" t="b">
        <f>IF($A$230=0,IF(OR('5 ALMACEN '!$D39='2 MEDIA ALTURA'!$C$41,),'5 ALMACEN '!$B39+'5 ALMACEN '!$C39,0))</f>
        <v>0</v>
      </c>
      <c r="E235" s="886" t="b">
        <f>IF($A$230=0,IF(OR('5 ALMACEN '!$D40='2 MEDIA ALTURA'!$C$41,),'5 ALMACEN '!$B40+'5 ALMACEN '!$C40,0))</f>
        <v>0</v>
      </c>
      <c r="F235" s="879" t="b">
        <f>IF($A$230=0,IF(OR('5 ALMACEN '!$D41='2 MEDIA ALTURA'!$C$41,),'5 ALMACEN '!$B41+'5 ALMACEN '!$C41,0))</f>
        <v>0</v>
      </c>
      <c r="G235" s="879" t="b">
        <f>IF($A$230=0,IF(OR('5 ALMACEN '!$D42='2 MEDIA ALTURA'!$C$41,),'5 ALMACEN '!$B42+'5 ALMACEN '!$C42,0))</f>
        <v>0</v>
      </c>
      <c r="AK235" s="777" t="b">
        <f>IF('4 SUPERFICIES'!$A44&gt;10,IF('4 SUPERFICIES'!$A44&lt;31.1,IF('4 SUPERFICIES'!$C44&gt;10,IF('4 SUPERFICIES'!$C44&lt;57.6,'4 SUPERFICIES'!$AB44,0))))</f>
        <v>0</v>
      </c>
      <c r="AL235" s="777" t="b">
        <f>IF('4 SUPERFICIES'!$A44&gt;10,IF('4 SUPERFICIES'!$A44&lt;31.1,IF('4 SUPERFICIES'!$C44&gt;57.6,IF('4 SUPERFICIES'!$C44&lt;71.6,'4 SUPERFICIES'!$AB44,0))))</f>
        <v>0</v>
      </c>
      <c r="AM235" s="777" t="b">
        <f>IF('4 SUPERFICIES'!$A44&gt;10,IF('4 SUPERFICIES'!$A44&lt;31.1,IF('4 SUPERFICIES'!$C44&gt;71.5,IF('4 SUPERFICIES'!$C44&lt;85.6,'4 SUPERFICIES'!$AB44,0))))</f>
        <v>0</v>
      </c>
      <c r="AN235" s="777" t="b">
        <f>IF('4 SUPERFICIES'!$A44&gt;10,IF('4 SUPERFICIES'!$A44&lt;31.1,IF('4 SUPERFICIES'!$C44&gt;85.5,IF('4 SUPERFICIES'!$C44&lt;113.6,'4 SUPERFICIES'!$AB44,0))))</f>
        <v>0</v>
      </c>
      <c r="AO235" s="777" t="b">
        <f>IF('4 SUPERFICIES'!$A44&gt;10,IF('4 SUPERFICIES'!$A44&lt;31.1,IF('4 SUPERFICIES'!$C44&gt;113.5,IF('4 SUPERFICIES'!$C44&lt;141.6,'4 SUPERFICIES'!$AB44,0))))</f>
        <v>0</v>
      </c>
      <c r="AP235" s="777" t="b">
        <f>IF('4 SUPERFICIES'!$A44&gt;10,IF('4 SUPERFICIES'!$A44&lt;31.1,IF('4 SUPERFICIES'!$C44&gt;141.5,IF('4 SUPERFICIES'!$C44&lt;180.6,'4 SUPERFICIES'!$AB44,0))))</f>
        <v>0</v>
      </c>
      <c r="AQ235" s="777" t="b">
        <f>IF('4 SUPERFICIES'!$A44&gt;10,IF('4 SUPERFICIES'!$A44&lt;31.1,IF('4 SUPERFICIES'!$C44&gt;180.5,IF('4 SUPERFICIES'!$C44&lt;240.1,'4 SUPERFICIES'!$AB44,0))))</f>
        <v>0</v>
      </c>
      <c r="AS235" s="777" t="b">
        <f>IF('4 SUPERFICIES'!$A44&gt;31,IF('4 SUPERFICIES'!$A44&lt;45.5,IF('4 SUPERFICIES'!$C44&gt;10,IF('4 SUPERFICIES'!$C44&lt;57.6,'4 SUPERFICIES'!$AB44,0))))</f>
        <v>0</v>
      </c>
      <c r="AT235" s="777" t="b">
        <f>IF('4 SUPERFICIES'!$A44&gt;31,IF('4 SUPERFICIES'!$A44&lt;45.5,IF('4 SUPERFICIES'!$C44&gt;57.6,IF('4 SUPERFICIES'!$C44&lt;71.6,'4 SUPERFICIES'!$AB44,0))))</f>
        <v>0</v>
      </c>
      <c r="AU235" s="777" t="b">
        <f>IF('4 SUPERFICIES'!$A44&gt;31,IF('4 SUPERFICIES'!$A44&lt;45.5,IF('4 SUPERFICIES'!$C44&gt;71.5,IF('4 SUPERFICIES'!$C44&lt;85.6,'4 SUPERFICIES'!$AB44,0))))</f>
        <v>0</v>
      </c>
      <c r="AV235" s="777" t="b">
        <f>IF('4 SUPERFICIES'!$A44&gt;31,IF('4 SUPERFICIES'!$A44&lt;45.5,IF('4 SUPERFICIES'!$C44&gt;85.5,IF('4 SUPERFICIES'!$C44&lt;113.6,'4 SUPERFICIES'!$AB44,0))))</f>
        <v>0</v>
      </c>
      <c r="AW235" s="777" t="b">
        <f>IF('4 SUPERFICIES'!$A44&gt;31,IF('4 SUPERFICIES'!$A44&lt;45.5,IF('4 SUPERFICIES'!$C44&gt;113.5,IF('4 SUPERFICIES'!$C44&lt;141.6,'4 SUPERFICIES'!$AB44,0))))</f>
        <v>0</v>
      </c>
      <c r="AX235" s="777" t="b">
        <f>IF('4 SUPERFICIES'!$A44&gt;31,IF('4 SUPERFICIES'!$A44&lt;45.5,IF('4 SUPERFICIES'!$C44&gt;141.5,IF('4 SUPERFICIES'!$C44&lt;180.6,'4 SUPERFICIES'!$AB44,0))))</f>
        <v>0</v>
      </c>
      <c r="AY235" s="777" t="b">
        <f>IF('4 SUPERFICIES'!$A44&gt;31,IF('4 SUPERFICIES'!$A44&lt;45.5,IF('4 SUPERFICIES'!$C44&gt;180.5,IF('4 SUPERFICIES'!$C44&lt;240.1,'4 SUPERFICIES'!$AB44,0))))</f>
        <v>0</v>
      </c>
      <c r="BA235" s="777" t="b">
        <f>IF('4 SUPERFICIES'!$A44&gt;45.4,IF('4 SUPERFICIES'!$A44&lt;61.6,IF('4 SUPERFICIES'!$C44&gt;10,IF('4 SUPERFICIES'!$C44&lt;61.5,'4 SUPERFICIES'!$AB44,0))))</f>
        <v>0</v>
      </c>
      <c r="BB235" s="777" t="b">
        <f>IF('4 SUPERFICIES'!$A44&gt;45.4,IF('4 SUPERFICIES'!$A44&lt;61.6,IF('4 SUPERFICIES'!$C44&gt;61.1,IF('4 SUPERFICIES'!$C44&lt;71.6,'4 SUPERFICIES'!$AB44,0))))</f>
        <v>0</v>
      </c>
      <c r="BC235" s="777" t="b">
        <f>IF('4 SUPERFICIES'!$A44&gt;45.4,IF('4 SUPERFICIES'!$A44&lt;61.6,IF('4 SUPERFICIES'!$C44&gt;71.5,IF('4 SUPERFICIES'!$C44&lt;85.6,'4 SUPERFICIES'!$AB44,0))))</f>
        <v>0</v>
      </c>
      <c r="BD235" s="777" t="b">
        <f>IF('4 SUPERFICIES'!$A44&gt;45.4,IF('4 SUPERFICIES'!$A44&lt;61.6,IF('4 SUPERFICIES'!$C44&gt;85.5,IF('4 SUPERFICIES'!$C44&lt;113.6,'4 SUPERFICIES'!$AB44,0))))</f>
        <v>0</v>
      </c>
      <c r="BE235" s="777" t="b">
        <f>IF('4 SUPERFICIES'!$A44&gt;45.4,IF('4 SUPERFICIES'!$A44&lt;61.6,IF('4 SUPERFICIES'!$C44&gt;113.5,IF('4 SUPERFICIES'!$C44&lt;121.6,'4 SUPERFICIES'!$AB44,0))))</f>
        <v>0</v>
      </c>
      <c r="BF235" s="777" t="b">
        <f>IF('4 SUPERFICIES'!$A44&gt;45.4,IF('4 SUPERFICIES'!$A44&lt;61.6,IF('4 SUPERFICIES'!$C44&gt;121.5,IF('4 SUPERFICIES'!$C44&lt;127.6,'4 SUPERFICIES'!$AB44,0))))</f>
        <v>0</v>
      </c>
      <c r="BG235" s="777" t="b">
        <f>IF('4 SUPERFICIES'!$A44&gt;45.4,IF('4 SUPERFICIES'!$A44&lt;61.6,IF('4 SUPERFICIES'!$C44&gt;127.5,IF('4 SUPERFICIES'!$C44&lt;135.1,'4 SUPERFICIES'!$AB44,0))))</f>
        <v>0</v>
      </c>
      <c r="BH235" s="777" t="b">
        <f>IF('4 SUPERFICIES'!$A44&gt;45.4,IF('4 SUPERFICIES'!$A44&lt;61.6,IF('4 SUPERFICIES'!$C44&gt;135,IF('4 SUPERFICIES'!$C44&lt;141.6,'4 SUPERFICIES'!$AB44,0))))</f>
        <v>0</v>
      </c>
      <c r="BI235" s="777" t="b">
        <f>IF('4 SUPERFICIES'!$A44&gt;45.4,IF('4 SUPERFICIES'!$A44&lt;61.6,IF('4 SUPERFICIES'!$C44&gt;141.5,IF('4 SUPERFICIES'!$C44&lt;149.1,'4 SUPERFICIES'!$AB44,0))))</f>
        <v>0</v>
      </c>
      <c r="BJ235" s="777" t="b">
        <f>IF('4 SUPERFICIES'!$A44&gt;45.4,IF('4 SUPERFICIES'!$A44&lt;61.6,IF('4 SUPERFICIES'!$C44&gt;149,IF('4 SUPERFICIES'!$C44&lt;155.6,'4 SUPERFICIES'!$AB44,0))))</f>
        <v>0</v>
      </c>
      <c r="BK235" s="777" t="b">
        <f>IF('4 SUPERFICIES'!$A44&gt;45.4,IF('4 SUPERFICIES'!$A44&lt;61.6,IF('4 SUPERFICIES'!$C44&gt;155.5,IF('4 SUPERFICIES'!$C44&lt;163.1,'4 SUPERFICIES'!$AB44,0))))</f>
        <v>0</v>
      </c>
      <c r="BL235" s="777" t="b">
        <f>IF('4 SUPERFICIES'!$A44&gt;45.4,IF('4 SUPERFICIES'!$A44&lt;61.6,IF('4 SUPERFICIES'!$C44&gt;163,IF('4 SUPERFICIES'!$C44&lt;180.6,'4 SUPERFICIES'!$AB44,0))))</f>
        <v>0</v>
      </c>
      <c r="BM235" s="777" t="b">
        <f>IF('4 SUPERFICIES'!$A44&gt;45.4,IF('4 SUPERFICIES'!$A44&lt;61.6,IF('4 SUPERFICIES'!$C44&gt;180.5,IF('4 SUPERFICIES'!$C44&lt;240.1,'4 SUPERFICIES'!$AB44,0))))</f>
        <v>0</v>
      </c>
      <c r="BO235" s="869" t="s">
        <v>557</v>
      </c>
      <c r="BQ235" s="870"/>
      <c r="BS235" s="869"/>
      <c r="BT235" s="870"/>
      <c r="BV235" s="777" t="b">
        <f>IF('4 SUPERFICIES'!$A44&gt;61.5,IF('4 SUPERFICIES'!$A44&lt;71.6,IF('4 SUPERFICIES'!$C44&gt;10,IF('4 SUPERFICIES'!$C44&lt;57.6,'4 SUPERFICIES'!$AB44,0))))</f>
        <v>0</v>
      </c>
      <c r="BW235" s="777" t="b">
        <f>IF('4 SUPERFICIES'!$A44&gt;61.5,IF('4 SUPERFICIES'!$A44&lt;71.6,IF('4 SUPERFICIES'!$C44&gt;57.6,IF('4 SUPERFICIES'!$C44&lt;71.6,'4 SUPERFICIES'!$AB44,0))))</f>
        <v>0</v>
      </c>
      <c r="BX235" s="777" t="b">
        <f>IF('4 SUPERFICIES'!$A44&gt;61.5,IF('4 SUPERFICIES'!$A44&lt;71.6,IF('4 SUPERFICIES'!$C44&gt;71.5,IF('4 SUPERFICIES'!$C44&lt;85.6,'4 SUPERFICIES'!$AB44,0))))</f>
        <v>0</v>
      </c>
      <c r="BY235" s="777" t="b">
        <f>IF('4 SUPERFICIES'!$A44&gt;61.5,IF('4 SUPERFICIES'!$A44&lt;71.6,IF('4 SUPERFICIES'!$C44&gt;85.5,IF('4 SUPERFICIES'!$C44&lt;113.6,'4 SUPERFICIES'!$AB44,0))))</f>
        <v>0</v>
      </c>
      <c r="BZ235" s="777" t="b">
        <f>IF('4 SUPERFICIES'!$A44&gt;61.5,IF('4 SUPERFICIES'!$A44&lt;71.6,IF('4 SUPERFICIES'!$C44&gt;113.5,IF('4 SUPERFICIES'!$C44&lt;141.6,'4 SUPERFICIES'!$AB44,0))))</f>
        <v>0</v>
      </c>
      <c r="CA235" s="777" t="b">
        <f>IF('4 SUPERFICIES'!$A44&gt;61.5,IF('4 SUPERFICIES'!$A44&lt;71.6,IF('4 SUPERFICIES'!$C44&gt;141.5,IF('4 SUPERFICIES'!$C44&lt;149.1,'4 SUPERFICIES'!$AB44,0))))</f>
        <v>0</v>
      </c>
      <c r="CB235" s="777" t="b">
        <f>IF('4 SUPERFICIES'!$A44&gt;61.5,IF('4 SUPERFICIES'!$A44&lt;71.6,IF('4 SUPERFICIES'!$C44&gt;149,IF('4 SUPERFICIES'!$C44&lt;163.1,'4 SUPERFICIES'!$AB44,0))))</f>
        <v>0</v>
      </c>
      <c r="CC235" s="777" t="b">
        <f>IF('4 SUPERFICIES'!$A44&gt;61.5,IF('4 SUPERFICIES'!$A44&lt;71.6,IF('4 SUPERFICIES'!$C44&gt;163,IF('4 SUPERFICIES'!$C44&lt;180.6,'4 SUPERFICIES'!$AB44,0))))</f>
        <v>0</v>
      </c>
      <c r="CD235" s="777" t="b">
        <f>IF('4 SUPERFICIES'!$A44&gt;61.5,IF('4 SUPERFICIES'!$A44&lt;71.6,IF('4 SUPERFICIES'!$C44&gt;180.5,IF('4 SUPERFICIES'!$C44&lt;240.1,'4 SUPERFICIES'!$AB44,0))))</f>
        <v>0</v>
      </c>
      <c r="CF235" s="777" t="b">
        <f>IF('4 SUPERFICIES'!$A44&gt;71.5,IF('4 SUPERFICIES'!$A44&lt;120.6,IF('4 SUPERFICIES'!$C44&gt;10,IF('4 SUPERFICIES'!$C44&lt;57.6,'4 SUPERFICIES'!$AB44,0))))</f>
        <v>0</v>
      </c>
      <c r="CG235" s="777" t="b">
        <f>IF('4 SUPERFICIES'!$A44&gt;71.5,IF('4 SUPERFICIES'!$A44&lt;120.6,IF('4 SUPERFICIES'!$C44&gt;57.6,IF('4 SUPERFICIES'!$C44&lt;71.6,'4 SUPERFICIES'!$AB44,0))))</f>
        <v>0</v>
      </c>
      <c r="CH235" s="777" t="b">
        <f>IF('4 SUPERFICIES'!$A44&gt;71.5,IF('4 SUPERFICIES'!$A44&lt;120.6,IF('4 SUPERFICIES'!$C44&gt;71.5,IF('4 SUPERFICIES'!$C44&lt;85.6,'4 SUPERFICIES'!$AB44,0))))</f>
        <v>0</v>
      </c>
      <c r="CI235" s="777" t="b">
        <f>IF('4 SUPERFICIES'!$A44&gt;71.5,IF('4 SUPERFICIES'!$A44&lt;120.6,IF('4 SUPERFICIES'!$C44&gt;85.5,IF('4 SUPERFICIES'!$C44&lt;113.6,'4 SUPERFICIES'!$AB44,0))))</f>
        <v>0</v>
      </c>
      <c r="CJ235" s="777" t="b">
        <f>IF('4 SUPERFICIES'!$A44&gt;71.5,IF('4 SUPERFICIES'!$A44&lt;120.6,IF('4 SUPERFICIES'!$C44&gt;113.5,IF('4 SUPERFICIES'!$C44&lt;141.6,'4 SUPERFICIES'!$AB44,0))))</f>
        <v>0</v>
      </c>
      <c r="CK235" s="777" t="b">
        <f>IF('4 SUPERFICIES'!$A44&gt;71.5,IF('4 SUPERFICIES'!$A44&lt;120.6,IF('4 SUPERFICIES'!$C44&gt;141.5,IF('4 SUPERFICIES'!$C44&lt;180.6,'4 SUPERFICIES'!$AB44,0))))</f>
        <v>0</v>
      </c>
      <c r="CL235" s="777" t="b">
        <f>IF('4 SUPERFICIES'!$A44&gt;71.5,IF('4 SUPERFICIES'!$A44&lt;120.6,IF('4 SUPERFICIES'!$C44&gt;180.5,IF('4 SUPERFICIES'!$C44&lt;240.1,'4 SUPERFICIES'!$AB44,0))))</f>
        <v>0</v>
      </c>
      <c r="CN235" s="777">
        <f>IF('4 SUPERFICIES'!$C44&lt;150,IF(OR('4 SUPERFICIES'!$A44="MICRODER",'4 SUPERFICIES'!$A44="MICRO DER",),'4 SUPERFICIES'!$AB44,0))</f>
        <v>0</v>
      </c>
      <c r="CO235" s="777" t="b">
        <f>IF('4 SUPERFICIES'!$C44&gt;149.5,IF(OR('4 SUPERFICIES'!$A44="MICRODER",'4 SUPERFICIES'!$A44="MICRO DER",),'4 SUPERFICIES'!$AB44,0))</f>
        <v>0</v>
      </c>
      <c r="CP235" s="847"/>
      <c r="CQ235" s="777">
        <f>IF('4 SUPERFICIES'!$C44&lt;150,IF(OR('4 SUPERFICIES'!$A44="MICROIZQ",'4 SUPERFICIES'!$A44="MICRO IZQ",),'4 SUPERFICIES'!$AB44,0))</f>
        <v>0</v>
      </c>
      <c r="CR235" s="777" t="b">
        <f>IF('4 SUPERFICIES'!$C44&gt;149.5,IF(OR('4 SUPERFICIES'!$A44="MICROIZQ",'4 SUPERFICIES'!$A44="MICRO IZQ",),'4 SUPERFICIES'!$AB44,0))</f>
        <v>0</v>
      </c>
      <c r="CT235" s="837">
        <f>IF(OR('4 SUPERFICIES'!$A44="MICRO SEN",'4 SUPERFICIES'!$A44="MICROSEN",),'4 SUPERFICIES'!$AB44,0)</f>
        <v>0</v>
      </c>
      <c r="CV235" s="837" t="b">
        <f>IF('4 SUPERFICIES'!$A44="DIAMETRO",IF('4 SUPERFICIES'!$C44&lt;121.1,'4 SUPERFICIES'!$AB44,0))</f>
        <v>0</v>
      </c>
      <c r="CX235" s="858"/>
      <c r="CZ235" s="837" t="b">
        <f>IF('4 SUPERFICIES'!$A44="MOSTRADOR",IF('4 SUPERFICIES'!$C44="R60",'4 SUPERFICIES'!$AB44,0))</f>
        <v>0</v>
      </c>
      <c r="DB235" s="837">
        <f>IF(OR('4 SUPERFICIES'!$A44="PORTA PRIN",'4 SUPERFICIES'!$A44="PORTAPRIN",),'4 SUPERFICIES'!$AB44,0)</f>
        <v>0</v>
      </c>
      <c r="DD235" s="837">
        <f>IF(OR('4 SUPERFICIES'!$A44="PORTA BADE",'4 SUPERFICIES'!$A44="PORTABADE",),'4 SUPERFICIES'!$AB44,0)</f>
        <v>0</v>
      </c>
      <c r="DE235" s="837"/>
      <c r="DF235" s="837">
        <f>IF(OR('4 SUPERFICIES'!$A44="RETORNO IZQ",'4 SUPERFICIES'!$A44="RETORNO DER",),'4 SUPERFICIES'!$AB144,0)</f>
        <v>0</v>
      </c>
      <c r="DG235" s="837"/>
      <c r="DH235" s="837">
        <f>IF(OR('4 SUPERFICIES'!$A44="PITO Q",'4 SUPERFICIES'!$A44="PITO P",'4 SUPERFICIES'!$A44="DIAMETRO INTEGRADA",),'4 SUPERFICIES'!$AB44,0)</f>
        <v>0</v>
      </c>
      <c r="DJ235" s="858"/>
      <c r="DK235" s="837"/>
      <c r="DL235" s="837">
        <f>IF('4 SUPERFICIES'!$A44="SUPERFICIE OVAL",'4 SUPERFICIES'!$AB44,0)</f>
        <v>0</v>
      </c>
      <c r="DO235" s="838"/>
      <c r="DP235" s="838"/>
      <c r="DQ235" s="838"/>
      <c r="DR235" s="838"/>
      <c r="DS235" s="838"/>
      <c r="DT235" s="838"/>
      <c r="DU235" s="838"/>
      <c r="DV235" s="838"/>
      <c r="DW235" s="838"/>
      <c r="DX235" s="838"/>
      <c r="DY235" s="838"/>
      <c r="DZ235" s="838"/>
      <c r="EA235" s="838"/>
      <c r="EB235" s="838"/>
      <c r="EC235" s="838"/>
      <c r="ED235" s="838"/>
      <c r="EE235" s="852"/>
      <c r="EG235" s="682">
        <f>IF('4 SUPERFICIES'!A44="MICRO DER",85,IF('4 SUPERFICIES'!A44="MICRO IZQ",85,IF('4 SUPERFICIES'!A44="MICRO SEN",170,IF('4 SUPERFICIES'!A44="DIAMETRO",3.14*'4 SUPERFICIES'!C44/2,IF('4 SUPERFICIES'!A44="MOSTRADOR",136,IF('4 SUPERFICIES'!A44="PORTA",65,IF('4 SUPERFICIES'!A44="PITO Q",90,IF('4 SUPERFICIES'!A44="PITO P",90,'4 SUPERFICIES'!A44))))))))</f>
        <v>0</v>
      </c>
      <c r="EH235" s="682"/>
      <c r="EI235" s="682">
        <f>IF('4 SUPERFICIES'!A44="DIAMETRO",0,IF('4 SUPERFICIES'!C44="PRINCIPAL",160,IF('4 SUPERFICIES'!C44="BADE",190,IF('4 SUPERFICIES'!C44="RETORNO",100,IF('4 SUPERFICIES'!C44="R 60",100,IF('4 SUPERFICIES'!C44="R60",100,'4 SUPERFICIES'!C44))))))</f>
        <v>0</v>
      </c>
      <c r="EJ235" s="682"/>
      <c r="EK235" s="682">
        <f>IF('4 SUPERFICIES'!$F44='4 SUPERFICIES'!$AG$15,((EG235*2)+(EI235*2))*'4 SUPERFICIES'!AB44,0)</f>
        <v>0</v>
      </c>
      <c r="EL235" s="682"/>
      <c r="EM235" s="682">
        <f>IF('4 SUPERFICIES'!$F44='4 SUPERFICIES'!$AG$16,((EG235*2)+(EI235*2))*'4 SUPERFICIES'!AB44,0)</f>
        <v>0</v>
      </c>
      <c r="EO235" s="682">
        <f>IF('4 SUPERFICIES'!$F44='4 SUPERFICIES'!$AG$17,((EG235*2)+(EI235*2))*'4 SUPERFICIES'!AB44,0)</f>
        <v>0</v>
      </c>
      <c r="EP235" s="838"/>
      <c r="EQ235" s="682">
        <f>IF('4 SUPERFICIES'!$F44='4 SUPERFICIES'!$AG$18,((EG235*2)+(EI235*2))*'4 SUPERFICIES'!AB44,0)</f>
        <v>0</v>
      </c>
      <c r="ER235" s="838"/>
      <c r="ES235" s="858"/>
      <c r="ET235" s="858"/>
      <c r="EU235" s="858"/>
      <c r="EV235" s="858"/>
      <c r="EW235" s="838"/>
      <c r="EX235" s="838"/>
      <c r="EY235" s="838"/>
      <c r="EZ235" s="838"/>
      <c r="FA235" s="838"/>
      <c r="FB235" s="838"/>
      <c r="FC235" s="838"/>
      <c r="FD235" s="838"/>
      <c r="FE235" s="838"/>
      <c r="FF235" s="838"/>
      <c r="FG235" s="838"/>
      <c r="FH235" s="838"/>
      <c r="FI235" s="838"/>
      <c r="FJ235" s="838"/>
      <c r="FK235" s="838"/>
      <c r="FL235" s="838"/>
      <c r="FM235" s="838"/>
      <c r="FN235" s="838"/>
      <c r="FO235" s="838"/>
      <c r="FP235" s="838"/>
      <c r="GM235" s="858"/>
      <c r="GN235" s="838"/>
      <c r="GO235" s="858"/>
      <c r="GP235" s="858"/>
      <c r="GQ235" s="858"/>
      <c r="GR235" s="838"/>
      <c r="GS235" s="838"/>
      <c r="HF235" s="700">
        <v>26.5</v>
      </c>
      <c r="HH235" s="591">
        <v>26.5</v>
      </c>
    </row>
    <row r="236" spans="1:216" ht="26.25" x14ac:dyDescent="0.4">
      <c r="A236" s="848"/>
      <c r="B236" s="849"/>
      <c r="C236" s="849"/>
      <c r="D236" s="849"/>
      <c r="E236" s="849"/>
      <c r="F236" s="849"/>
      <c r="G236" s="874"/>
      <c r="AK236" s="777" t="b">
        <f>IF('4 SUPERFICIES'!$A45&gt;10,IF('4 SUPERFICIES'!$A45&lt;31.1,IF('4 SUPERFICIES'!$C45&gt;10,IF('4 SUPERFICIES'!$C45&lt;57.6,'4 SUPERFICIES'!$AB45,0))))</f>
        <v>0</v>
      </c>
      <c r="AL236" s="777" t="b">
        <f>IF('4 SUPERFICIES'!$A45&gt;10,IF('4 SUPERFICIES'!$A45&lt;31.1,IF('4 SUPERFICIES'!$C45&gt;57.6,IF('4 SUPERFICIES'!$C45&lt;71.6,'4 SUPERFICIES'!$AB45,0))))</f>
        <v>0</v>
      </c>
      <c r="AM236" s="777" t="b">
        <f>IF('4 SUPERFICIES'!$A45&gt;10,IF('4 SUPERFICIES'!$A45&lt;31.1,IF('4 SUPERFICIES'!$C45&gt;71.5,IF('4 SUPERFICIES'!$C45&lt;85.6,'4 SUPERFICIES'!$AB45,0))))</f>
        <v>0</v>
      </c>
      <c r="AN236" s="777" t="b">
        <f>IF('4 SUPERFICIES'!$A45&gt;10,IF('4 SUPERFICIES'!$A45&lt;31.1,IF('4 SUPERFICIES'!$C45&gt;85.5,IF('4 SUPERFICIES'!$C45&lt;113.6,'4 SUPERFICIES'!$AB45,0))))</f>
        <v>0</v>
      </c>
      <c r="AO236" s="777" t="b">
        <f>IF('4 SUPERFICIES'!$A45&gt;10,IF('4 SUPERFICIES'!$A45&lt;31.1,IF('4 SUPERFICIES'!$C45&gt;113.5,IF('4 SUPERFICIES'!$C45&lt;141.6,'4 SUPERFICIES'!$AB45,0))))</f>
        <v>0</v>
      </c>
      <c r="AP236" s="777" t="b">
        <f>IF('4 SUPERFICIES'!$A45&gt;10,IF('4 SUPERFICIES'!$A45&lt;31.1,IF('4 SUPERFICIES'!$C45&gt;141.5,IF('4 SUPERFICIES'!$C45&lt;180.6,'4 SUPERFICIES'!$AB45,0))))</f>
        <v>0</v>
      </c>
      <c r="AQ236" s="777" t="b">
        <f>IF('4 SUPERFICIES'!$A45&gt;10,IF('4 SUPERFICIES'!$A45&lt;31.1,IF('4 SUPERFICIES'!$C45&gt;180.5,IF('4 SUPERFICIES'!$C45&lt;240.1,'4 SUPERFICIES'!$AB45,0))))</f>
        <v>0</v>
      </c>
      <c r="AS236" s="777" t="b">
        <f>IF('4 SUPERFICIES'!$A45&gt;31,IF('4 SUPERFICIES'!$A45&lt;45.5,IF('4 SUPERFICIES'!$C45&gt;10,IF('4 SUPERFICIES'!$C45&lt;57.6,'4 SUPERFICIES'!$AB45,0))))</f>
        <v>0</v>
      </c>
      <c r="AT236" s="777" t="b">
        <f>IF('4 SUPERFICIES'!$A45&gt;31,IF('4 SUPERFICIES'!$A45&lt;45.5,IF('4 SUPERFICIES'!$C45&gt;57.6,IF('4 SUPERFICIES'!$C45&lt;71.6,'4 SUPERFICIES'!$AB45,0))))</f>
        <v>0</v>
      </c>
      <c r="AU236" s="777" t="b">
        <f>IF('4 SUPERFICIES'!$A45&gt;31,IF('4 SUPERFICIES'!$A45&lt;45.5,IF('4 SUPERFICIES'!$C45&gt;71.5,IF('4 SUPERFICIES'!$C45&lt;85.6,'4 SUPERFICIES'!$AB45,0))))</f>
        <v>0</v>
      </c>
      <c r="AV236" s="777" t="b">
        <f>IF('4 SUPERFICIES'!$A45&gt;31,IF('4 SUPERFICIES'!$A45&lt;45.5,IF('4 SUPERFICIES'!$C45&gt;85.5,IF('4 SUPERFICIES'!$C45&lt;113.6,'4 SUPERFICIES'!$AB45,0))))</f>
        <v>0</v>
      </c>
      <c r="AW236" s="777" t="b">
        <f>IF('4 SUPERFICIES'!$A45&gt;31,IF('4 SUPERFICIES'!$A45&lt;45.5,IF('4 SUPERFICIES'!$C45&gt;113.5,IF('4 SUPERFICIES'!$C45&lt;141.6,'4 SUPERFICIES'!$AB45,0))))</f>
        <v>0</v>
      </c>
      <c r="AX236" s="777" t="b">
        <f>IF('4 SUPERFICIES'!$A45&gt;31,IF('4 SUPERFICIES'!$A45&lt;45.5,IF('4 SUPERFICIES'!$C45&gt;141.5,IF('4 SUPERFICIES'!$C45&lt;180.6,'4 SUPERFICIES'!$AB45,0))))</f>
        <v>0</v>
      </c>
      <c r="AY236" s="777" t="b">
        <f>IF('4 SUPERFICIES'!$A45&gt;31,IF('4 SUPERFICIES'!$A45&lt;45.5,IF('4 SUPERFICIES'!$C45&gt;180.5,IF('4 SUPERFICIES'!$C45&lt;240.1,'4 SUPERFICIES'!$AB45,0))))</f>
        <v>0</v>
      </c>
      <c r="BA236" s="777" t="b">
        <f>IF('4 SUPERFICIES'!$A45&gt;45.4,IF('4 SUPERFICIES'!$A45&lt;61.6,IF('4 SUPERFICIES'!$C45&gt;10,IF('4 SUPERFICIES'!$C45&lt;61.5,'4 SUPERFICIES'!$AB45,0))))</f>
        <v>0</v>
      </c>
      <c r="BB236" s="777" t="b">
        <f>IF('4 SUPERFICIES'!$A45&gt;45.4,IF('4 SUPERFICIES'!$A45&lt;61.6,IF('4 SUPERFICIES'!$C45&gt;61.1,IF('4 SUPERFICIES'!$C45&lt;71.6,'4 SUPERFICIES'!$AB45,0))))</f>
        <v>0</v>
      </c>
      <c r="BC236" s="777" t="b">
        <f>IF('4 SUPERFICIES'!$A45&gt;45.4,IF('4 SUPERFICIES'!$A45&lt;61.6,IF('4 SUPERFICIES'!$C45&gt;71.5,IF('4 SUPERFICIES'!$C45&lt;85.6,'4 SUPERFICIES'!$AB45,0))))</f>
        <v>0</v>
      </c>
      <c r="BD236" s="777" t="b">
        <f>IF('4 SUPERFICIES'!$A45&gt;45.4,IF('4 SUPERFICIES'!$A45&lt;61.6,IF('4 SUPERFICIES'!$C45&gt;85.5,IF('4 SUPERFICIES'!$C45&lt;113.6,'4 SUPERFICIES'!$AB45,0))))</f>
        <v>0</v>
      </c>
      <c r="BE236" s="777" t="b">
        <f>IF('4 SUPERFICIES'!$A45&gt;45.4,IF('4 SUPERFICIES'!$A45&lt;61.6,IF('4 SUPERFICIES'!$C45&gt;113.5,IF('4 SUPERFICIES'!$C45&lt;121.6,'4 SUPERFICIES'!$AB45,0))))</f>
        <v>0</v>
      </c>
      <c r="BF236" s="777" t="b">
        <f>IF('4 SUPERFICIES'!$A45&gt;45.4,IF('4 SUPERFICIES'!$A45&lt;61.6,IF('4 SUPERFICIES'!$C45&gt;121.5,IF('4 SUPERFICIES'!$C45&lt;127.6,'4 SUPERFICIES'!$AB45,0))))</f>
        <v>0</v>
      </c>
      <c r="BG236" s="777" t="b">
        <f>IF('4 SUPERFICIES'!$A45&gt;45.4,IF('4 SUPERFICIES'!$A45&lt;61.6,IF('4 SUPERFICIES'!$C45&gt;127.5,IF('4 SUPERFICIES'!$C45&lt;135.1,'4 SUPERFICIES'!$AB45,0))))</f>
        <v>0</v>
      </c>
      <c r="BH236" s="777" t="b">
        <f>IF('4 SUPERFICIES'!$A45&gt;45.4,IF('4 SUPERFICIES'!$A45&lt;61.6,IF('4 SUPERFICIES'!$C45&gt;135,IF('4 SUPERFICIES'!$C45&lt;141.6,'4 SUPERFICIES'!$AB45,0))))</f>
        <v>0</v>
      </c>
      <c r="BI236" s="777" t="b">
        <f>IF('4 SUPERFICIES'!$A45&gt;45.4,IF('4 SUPERFICIES'!$A45&lt;61.6,IF('4 SUPERFICIES'!$C45&gt;141.5,IF('4 SUPERFICIES'!$C45&lt;149.1,'4 SUPERFICIES'!$AB45,0))))</f>
        <v>0</v>
      </c>
      <c r="BJ236" s="777" t="b">
        <f>IF('4 SUPERFICIES'!$A45&gt;45.4,IF('4 SUPERFICIES'!$A45&lt;61.6,IF('4 SUPERFICIES'!$C45&gt;149,IF('4 SUPERFICIES'!$C45&lt;155.6,'4 SUPERFICIES'!$AB45,0))))</f>
        <v>0</v>
      </c>
      <c r="BK236" s="777" t="b">
        <f>IF('4 SUPERFICIES'!$A45&gt;45.4,IF('4 SUPERFICIES'!$A45&lt;61.6,IF('4 SUPERFICIES'!$C45&gt;155.5,IF('4 SUPERFICIES'!$C45&lt;163.1,'4 SUPERFICIES'!$AB45,0))))</f>
        <v>0</v>
      </c>
      <c r="BL236" s="777" t="b">
        <f>IF('4 SUPERFICIES'!$A45&gt;45.4,IF('4 SUPERFICIES'!$A45&lt;61.6,IF('4 SUPERFICIES'!$C45&gt;163,IF('4 SUPERFICIES'!$C45&lt;180.6,'4 SUPERFICIES'!$AB45,0))))</f>
        <v>0</v>
      </c>
      <c r="BM236" s="777" t="b">
        <f>IF('4 SUPERFICIES'!$A45&gt;45.4,IF('4 SUPERFICIES'!$A45&lt;61.6,IF('4 SUPERFICIES'!$C45&gt;180.5,IF('4 SUPERFICIES'!$C45&lt;240.1,'4 SUPERFICIES'!$AB45,0))))</f>
        <v>0</v>
      </c>
      <c r="BO236" s="869" t="s">
        <v>558</v>
      </c>
      <c r="BQ236" s="870">
        <f>+$CZ$250</f>
        <v>0</v>
      </c>
      <c r="BS236" s="869"/>
      <c r="BT236" s="870">
        <f>+$CZ$251</f>
        <v>0</v>
      </c>
      <c r="BV236" s="777" t="b">
        <f>IF('4 SUPERFICIES'!$A45&gt;61.5,IF('4 SUPERFICIES'!$A45&lt;71.6,IF('4 SUPERFICIES'!$C45&gt;10,IF('4 SUPERFICIES'!$C45&lt;57.6,'4 SUPERFICIES'!$AB45,0))))</f>
        <v>0</v>
      </c>
      <c r="BW236" s="777" t="b">
        <f>IF('4 SUPERFICIES'!$A45&gt;61.5,IF('4 SUPERFICIES'!$A45&lt;71.6,IF('4 SUPERFICIES'!$C45&gt;57.6,IF('4 SUPERFICIES'!$C45&lt;71.6,'4 SUPERFICIES'!$AB45,0))))</f>
        <v>0</v>
      </c>
      <c r="BX236" s="777" t="b">
        <f>IF('4 SUPERFICIES'!$A45&gt;61.5,IF('4 SUPERFICIES'!$A45&lt;71.6,IF('4 SUPERFICIES'!$C45&gt;71.5,IF('4 SUPERFICIES'!$C45&lt;85.6,'4 SUPERFICIES'!$AB45,0))))</f>
        <v>0</v>
      </c>
      <c r="BY236" s="777" t="b">
        <f>IF('4 SUPERFICIES'!$A45&gt;61.5,IF('4 SUPERFICIES'!$A45&lt;71.6,IF('4 SUPERFICIES'!$C45&gt;85.5,IF('4 SUPERFICIES'!$C45&lt;113.6,'4 SUPERFICIES'!$AB45,0))))</f>
        <v>0</v>
      </c>
      <c r="BZ236" s="777" t="b">
        <f>IF('4 SUPERFICIES'!$A45&gt;61.5,IF('4 SUPERFICIES'!$A45&lt;71.6,IF('4 SUPERFICIES'!$C45&gt;113.5,IF('4 SUPERFICIES'!$C45&lt;141.6,'4 SUPERFICIES'!$AB45,0))))</f>
        <v>0</v>
      </c>
      <c r="CA236" s="777" t="b">
        <f>IF('4 SUPERFICIES'!$A45&gt;61.5,IF('4 SUPERFICIES'!$A45&lt;71.6,IF('4 SUPERFICIES'!$C45&gt;141.5,IF('4 SUPERFICIES'!$C45&lt;149.1,'4 SUPERFICIES'!$AB45,0))))</f>
        <v>0</v>
      </c>
      <c r="CB236" s="777" t="b">
        <f>IF('4 SUPERFICIES'!$A45&gt;61.5,IF('4 SUPERFICIES'!$A45&lt;71.6,IF('4 SUPERFICIES'!$C45&gt;149,IF('4 SUPERFICIES'!$C45&lt;163.1,'4 SUPERFICIES'!$AB45,0))))</f>
        <v>0</v>
      </c>
      <c r="CC236" s="777" t="b">
        <f>IF('4 SUPERFICIES'!$A45&gt;61.5,IF('4 SUPERFICIES'!$A45&lt;71.6,IF('4 SUPERFICIES'!$C45&gt;163,IF('4 SUPERFICIES'!$C45&lt;180.6,'4 SUPERFICIES'!$AB45,0))))</f>
        <v>0</v>
      </c>
      <c r="CD236" s="777" t="b">
        <f>IF('4 SUPERFICIES'!$A45&gt;61.5,IF('4 SUPERFICIES'!$A45&lt;71.6,IF('4 SUPERFICIES'!$C45&gt;180.5,IF('4 SUPERFICIES'!$C45&lt;240.1,'4 SUPERFICIES'!$AB45,0))))</f>
        <v>0</v>
      </c>
      <c r="CF236" s="777" t="b">
        <f>IF('4 SUPERFICIES'!$A45&gt;71.5,IF('4 SUPERFICIES'!$A45&lt;120.6,IF('4 SUPERFICIES'!$C45&gt;10,IF('4 SUPERFICIES'!$C45&lt;57.6,'4 SUPERFICIES'!$AB45,0))))</f>
        <v>0</v>
      </c>
      <c r="CG236" s="777" t="b">
        <f>IF('4 SUPERFICIES'!$A45&gt;71.5,IF('4 SUPERFICIES'!$A45&lt;120.6,IF('4 SUPERFICIES'!$C45&gt;57.6,IF('4 SUPERFICIES'!$C45&lt;71.6,'4 SUPERFICIES'!$AB45,0))))</f>
        <v>0</v>
      </c>
      <c r="CH236" s="777" t="b">
        <f>IF('4 SUPERFICIES'!$A45&gt;71.5,IF('4 SUPERFICIES'!$A45&lt;120.6,IF('4 SUPERFICIES'!$C45&gt;71.5,IF('4 SUPERFICIES'!$C45&lt;85.6,'4 SUPERFICIES'!$AB45,0))))</f>
        <v>0</v>
      </c>
      <c r="CI236" s="777" t="b">
        <f>IF('4 SUPERFICIES'!$A45&gt;71.5,IF('4 SUPERFICIES'!$A45&lt;120.6,IF('4 SUPERFICIES'!$C45&gt;85.5,IF('4 SUPERFICIES'!$C45&lt;113.6,'4 SUPERFICIES'!$AB45,0))))</f>
        <v>0</v>
      </c>
      <c r="CJ236" s="777" t="b">
        <f>IF('4 SUPERFICIES'!$A45&gt;71.5,IF('4 SUPERFICIES'!$A45&lt;120.6,IF('4 SUPERFICIES'!$C45&gt;113.5,IF('4 SUPERFICIES'!$C45&lt;141.6,'4 SUPERFICIES'!$AB45,0))))</f>
        <v>0</v>
      </c>
      <c r="CK236" s="777" t="b">
        <f>IF('4 SUPERFICIES'!$A45&gt;71.5,IF('4 SUPERFICIES'!$A45&lt;120.6,IF('4 SUPERFICIES'!$C45&gt;141.5,IF('4 SUPERFICIES'!$C45&lt;180.6,'4 SUPERFICIES'!$AB45,0))))</f>
        <v>0</v>
      </c>
      <c r="CL236" s="777" t="b">
        <f>IF('4 SUPERFICIES'!$A45&gt;71.5,IF('4 SUPERFICIES'!$A45&lt;120.6,IF('4 SUPERFICIES'!$C45&gt;180.5,IF('4 SUPERFICIES'!$C45&lt;240.1,'4 SUPERFICIES'!$AB45,0))))</f>
        <v>0</v>
      </c>
      <c r="CN236" s="777">
        <f>IF('4 SUPERFICIES'!$C45&lt;150,IF(OR('4 SUPERFICIES'!$A45="MICRODER",'4 SUPERFICIES'!$A45="MICRO DER",),'4 SUPERFICIES'!$AB45,0))</f>
        <v>0</v>
      </c>
      <c r="CO236" s="777" t="b">
        <f>IF('4 SUPERFICIES'!$C45&gt;149.5,IF(OR('4 SUPERFICIES'!$A45="MICRODER",'4 SUPERFICIES'!$A45="MICRO DER",),'4 SUPERFICIES'!$AB45,0))</f>
        <v>0</v>
      </c>
      <c r="CP236" s="847"/>
      <c r="CQ236" s="777">
        <f>IF('4 SUPERFICIES'!$C45&lt;150,IF(OR('4 SUPERFICIES'!$A45="MICROIZQ",'4 SUPERFICIES'!$A45="MICRO IZQ",),'4 SUPERFICIES'!$AB45,0))</f>
        <v>0</v>
      </c>
      <c r="CR236" s="777" t="b">
        <f>IF('4 SUPERFICIES'!$C45&gt;149.5,IF(OR('4 SUPERFICIES'!$A45="MICROIZQ",'4 SUPERFICIES'!$A45="MICRO IZQ",),'4 SUPERFICIES'!$AB45,0))</f>
        <v>0</v>
      </c>
      <c r="CT236" s="837">
        <f>IF(OR('4 SUPERFICIES'!$A45="MICRO SEN",'4 SUPERFICIES'!$A45="MICROSEN",),'4 SUPERFICIES'!$AB45,0)</f>
        <v>0</v>
      </c>
      <c r="CV236" s="837" t="b">
        <f>IF('4 SUPERFICIES'!$A45="DIAMETRO",IF('4 SUPERFICIES'!$C45&lt;121.1,'4 SUPERFICIES'!$AB45,0))</f>
        <v>0</v>
      </c>
      <c r="CX236" s="858"/>
      <c r="CZ236" s="837" t="b">
        <f>IF('4 SUPERFICIES'!$A45="MOSTRADOR",IF('4 SUPERFICIES'!$C45="R60",'4 SUPERFICIES'!$AB45,0))</f>
        <v>0</v>
      </c>
      <c r="DB236" s="837">
        <f>IF(OR('4 SUPERFICIES'!$A45="PORTA PRIN",'4 SUPERFICIES'!$A45="PORTAPRIN",),'4 SUPERFICIES'!$AB45,0)</f>
        <v>0</v>
      </c>
      <c r="DD236" s="837">
        <f>IF(OR('4 SUPERFICIES'!$A45="PORTA BADE",'4 SUPERFICIES'!$A45="PORTABADE",),'4 SUPERFICIES'!$AB45,0)</f>
        <v>0</v>
      </c>
      <c r="DE236" s="837"/>
      <c r="DF236" s="837">
        <f>IF(OR('4 SUPERFICIES'!$A45="RETORNO IZQ",'4 SUPERFICIES'!$A45="RETORNO DER",),'4 SUPERFICIES'!$AB145,0)</f>
        <v>0</v>
      </c>
      <c r="DG236" s="837"/>
      <c r="DH236" s="837">
        <f>IF(OR('4 SUPERFICIES'!$A45="PITO Q",'4 SUPERFICIES'!$A45="PITO P",'4 SUPERFICIES'!$A45="DIAMETRO INTEGRADA",),'4 SUPERFICIES'!$AB45,0)</f>
        <v>0</v>
      </c>
      <c r="DJ236" s="858"/>
      <c r="DK236" s="837"/>
      <c r="DL236" s="837">
        <f>IF('4 SUPERFICIES'!$A45="SUPERFICIE OVAL",'4 SUPERFICIES'!$AB45,0)</f>
        <v>0</v>
      </c>
      <c r="DO236" s="838"/>
      <c r="DP236" s="838"/>
      <c r="DQ236" s="838"/>
      <c r="DR236" s="838"/>
      <c r="DS236" s="838"/>
      <c r="DT236" s="838"/>
      <c r="DU236" s="838"/>
      <c r="DV236" s="838"/>
      <c r="DW236" s="838"/>
      <c r="DX236" s="838"/>
      <c r="DY236" s="838"/>
      <c r="DZ236" s="838"/>
      <c r="EA236" s="838"/>
      <c r="EB236" s="838"/>
      <c r="EC236" s="838"/>
      <c r="ED236" s="838"/>
      <c r="EE236" s="852"/>
      <c r="EG236" s="682">
        <f>IF('4 SUPERFICIES'!A45="MICRO DER",85,IF('4 SUPERFICIES'!A45="MICRO IZQ",85,IF('4 SUPERFICIES'!A45="MICRO SEN",170,IF('4 SUPERFICIES'!A45="DIAMETRO",3.14*'4 SUPERFICIES'!C45/2,IF('4 SUPERFICIES'!A45="MOSTRADOR",136,IF('4 SUPERFICIES'!A45="PORTA",65,IF('4 SUPERFICIES'!A45="PITO Q",90,IF('4 SUPERFICIES'!A45="PITO P",90,'4 SUPERFICIES'!A45))))))))</f>
        <v>0</v>
      </c>
      <c r="EH236" s="682"/>
      <c r="EI236" s="682">
        <f>IF('4 SUPERFICIES'!A45="DIAMETRO",0,IF('4 SUPERFICIES'!C45="PRINCIPAL",160,IF('4 SUPERFICIES'!C45="BADE",190,IF('4 SUPERFICIES'!C45="RETORNO",100,IF('4 SUPERFICIES'!C45="R 60",100,IF('4 SUPERFICIES'!C45="R60",100,'4 SUPERFICIES'!C45))))))</f>
        <v>0</v>
      </c>
      <c r="EJ236" s="682"/>
      <c r="EK236" s="682">
        <f>IF('4 SUPERFICIES'!$F45='4 SUPERFICIES'!$AG$15,((EG236*2)+(EI236*2))*'4 SUPERFICIES'!AB45,0)</f>
        <v>0</v>
      </c>
      <c r="EL236" s="682"/>
      <c r="EM236" s="682">
        <f>IF('4 SUPERFICIES'!$F45='4 SUPERFICIES'!$AG$16,((EG236*2)+(EI236*2))*'4 SUPERFICIES'!AB45,0)</f>
        <v>0</v>
      </c>
      <c r="EO236" s="682">
        <f>IF('4 SUPERFICIES'!$F45='4 SUPERFICIES'!$AG$17,((EG236*2)+(EI236*2))*'4 SUPERFICIES'!AB45,0)</f>
        <v>0</v>
      </c>
      <c r="EP236" s="838"/>
      <c r="EQ236" s="682">
        <f>IF('4 SUPERFICIES'!$F45='4 SUPERFICIES'!$AG$18,((EG236*2)+(EI236*2))*'4 SUPERFICIES'!AB45,0)</f>
        <v>0</v>
      </c>
      <c r="ER236" s="838"/>
      <c r="ES236" s="858"/>
      <c r="ET236" s="858"/>
      <c r="EU236" s="858"/>
      <c r="EV236" s="858"/>
      <c r="EW236" s="838"/>
      <c r="EX236" s="838"/>
      <c r="EY236" s="838"/>
      <c r="EZ236" s="838"/>
      <c r="FA236" s="838"/>
      <c r="FB236" s="838"/>
      <c r="FC236" s="838"/>
      <c r="FD236" s="838"/>
      <c r="FE236" s="838"/>
      <c r="FF236" s="838"/>
      <c r="FG236" s="838"/>
      <c r="FH236" s="838"/>
      <c r="FI236" s="838"/>
      <c r="FJ236" s="838"/>
      <c r="FK236" s="838"/>
      <c r="FL236" s="838"/>
      <c r="FM236" s="838"/>
      <c r="FN236" s="838"/>
      <c r="FO236" s="838"/>
      <c r="FP236" s="838"/>
      <c r="GM236" s="858"/>
      <c r="GN236" s="838"/>
      <c r="GO236" s="858"/>
      <c r="GP236" s="858"/>
      <c r="GQ236" s="858"/>
      <c r="GR236" s="838"/>
      <c r="GS236" s="838"/>
      <c r="HF236" s="700">
        <v>27</v>
      </c>
      <c r="HH236" s="591">
        <v>27</v>
      </c>
    </row>
    <row r="237" spans="1:216" ht="26.25" x14ac:dyDescent="0.4">
      <c r="A237" s="848"/>
      <c r="B237" s="849"/>
      <c r="C237" s="849"/>
      <c r="D237" s="849"/>
      <c r="E237" s="849"/>
      <c r="F237" s="849"/>
      <c r="G237" s="874"/>
      <c r="AK237" s="777" t="b">
        <f>IF('4 SUPERFICIES'!$A46&gt;10,IF('4 SUPERFICIES'!$A46&lt;31.1,IF('4 SUPERFICIES'!$C46&gt;10,IF('4 SUPERFICIES'!$C46&lt;57.6,'4 SUPERFICIES'!$AB46,0))))</f>
        <v>0</v>
      </c>
      <c r="AL237" s="777" t="b">
        <f>IF('4 SUPERFICIES'!$A46&gt;10,IF('4 SUPERFICIES'!$A46&lt;31.1,IF('4 SUPERFICIES'!$C46&gt;57.6,IF('4 SUPERFICIES'!$C46&lt;71.6,'4 SUPERFICIES'!$AB46,0))))</f>
        <v>0</v>
      </c>
      <c r="AM237" s="777" t="b">
        <f>IF('4 SUPERFICIES'!$A46&gt;10,IF('4 SUPERFICIES'!$A46&lt;31.1,IF('4 SUPERFICIES'!$C46&gt;71.5,IF('4 SUPERFICIES'!$C46&lt;85.6,'4 SUPERFICIES'!$AB46,0))))</f>
        <v>0</v>
      </c>
      <c r="AN237" s="777" t="b">
        <f>IF('4 SUPERFICIES'!$A46&gt;10,IF('4 SUPERFICIES'!$A46&lt;31.1,IF('4 SUPERFICIES'!$C46&gt;85.5,IF('4 SUPERFICIES'!$C46&lt;113.6,'4 SUPERFICIES'!$AB46,0))))</f>
        <v>0</v>
      </c>
      <c r="AO237" s="777" t="b">
        <f>IF('4 SUPERFICIES'!$A46&gt;10,IF('4 SUPERFICIES'!$A46&lt;31.1,IF('4 SUPERFICIES'!$C46&gt;113.5,IF('4 SUPERFICIES'!$C46&lt;141.6,'4 SUPERFICIES'!$AB46,0))))</f>
        <v>0</v>
      </c>
      <c r="AP237" s="777" t="b">
        <f>IF('4 SUPERFICIES'!$A46&gt;10,IF('4 SUPERFICIES'!$A46&lt;31.1,IF('4 SUPERFICIES'!$C46&gt;141.5,IF('4 SUPERFICIES'!$C46&lt;180.6,'4 SUPERFICIES'!$AB46,0))))</f>
        <v>0</v>
      </c>
      <c r="AQ237" s="777" t="b">
        <f>IF('4 SUPERFICIES'!$A46&gt;10,IF('4 SUPERFICIES'!$A46&lt;31.1,IF('4 SUPERFICIES'!$C46&gt;180.5,IF('4 SUPERFICIES'!$C46&lt;240.1,'4 SUPERFICIES'!$AB46,0))))</f>
        <v>0</v>
      </c>
      <c r="AS237" s="777" t="b">
        <f>IF('4 SUPERFICIES'!$A46&gt;31,IF('4 SUPERFICIES'!$A46&lt;45.5,IF('4 SUPERFICIES'!$C46&gt;10,IF('4 SUPERFICIES'!$C46&lt;57.6,'4 SUPERFICIES'!$AB46,0))))</f>
        <v>0</v>
      </c>
      <c r="AT237" s="777" t="b">
        <f>IF('4 SUPERFICIES'!$A46&gt;31,IF('4 SUPERFICIES'!$A46&lt;45.5,IF('4 SUPERFICIES'!$C46&gt;57.6,IF('4 SUPERFICIES'!$C46&lt;71.6,'4 SUPERFICIES'!$AB46,0))))</f>
        <v>0</v>
      </c>
      <c r="AU237" s="777" t="b">
        <f>IF('4 SUPERFICIES'!$A46&gt;31,IF('4 SUPERFICIES'!$A46&lt;45.5,IF('4 SUPERFICIES'!$C46&gt;71.5,IF('4 SUPERFICIES'!$C46&lt;85.6,'4 SUPERFICIES'!$AB46,0))))</f>
        <v>0</v>
      </c>
      <c r="AV237" s="777" t="b">
        <f>IF('4 SUPERFICIES'!$A46&gt;31,IF('4 SUPERFICIES'!$A46&lt;45.5,IF('4 SUPERFICIES'!$C46&gt;85.5,IF('4 SUPERFICIES'!$C46&lt;113.6,'4 SUPERFICIES'!$AB46,0))))</f>
        <v>0</v>
      </c>
      <c r="AW237" s="777" t="b">
        <f>IF('4 SUPERFICIES'!$A46&gt;31,IF('4 SUPERFICIES'!$A46&lt;45.5,IF('4 SUPERFICIES'!$C46&gt;113.5,IF('4 SUPERFICIES'!$C46&lt;141.6,'4 SUPERFICIES'!$AB46,0))))</f>
        <v>0</v>
      </c>
      <c r="AX237" s="777" t="b">
        <f>IF('4 SUPERFICIES'!$A46&gt;31,IF('4 SUPERFICIES'!$A46&lt;45.5,IF('4 SUPERFICIES'!$C46&gt;141.5,IF('4 SUPERFICIES'!$C46&lt;180.6,'4 SUPERFICIES'!$AB46,0))))</f>
        <v>0</v>
      </c>
      <c r="AY237" s="777" t="b">
        <f>IF('4 SUPERFICIES'!$A46&gt;31,IF('4 SUPERFICIES'!$A46&lt;45.5,IF('4 SUPERFICIES'!$C46&gt;180.5,IF('4 SUPERFICIES'!$C46&lt;240.1,'4 SUPERFICIES'!$AB46,0))))</f>
        <v>0</v>
      </c>
      <c r="BA237" s="777" t="b">
        <f>IF('4 SUPERFICIES'!$A46&gt;45.4,IF('4 SUPERFICIES'!$A46&lt;61.6,IF('4 SUPERFICIES'!$C46&gt;10,IF('4 SUPERFICIES'!$C46&lt;61.5,'4 SUPERFICIES'!$AB46,0))))</f>
        <v>0</v>
      </c>
      <c r="BB237" s="777" t="b">
        <f>IF('4 SUPERFICIES'!$A46&gt;45.4,IF('4 SUPERFICIES'!$A46&lt;61.6,IF('4 SUPERFICIES'!$C46&gt;61.1,IF('4 SUPERFICIES'!$C46&lt;71.6,'4 SUPERFICIES'!$AB46,0))))</f>
        <v>0</v>
      </c>
      <c r="BC237" s="777" t="b">
        <f>IF('4 SUPERFICIES'!$A46&gt;45.4,IF('4 SUPERFICIES'!$A46&lt;61.6,IF('4 SUPERFICIES'!$C46&gt;71.5,IF('4 SUPERFICIES'!$C46&lt;85.6,'4 SUPERFICIES'!$AB46,0))))</f>
        <v>0</v>
      </c>
      <c r="BD237" s="777" t="b">
        <f>IF('4 SUPERFICIES'!$A46&gt;45.4,IF('4 SUPERFICIES'!$A46&lt;61.6,IF('4 SUPERFICIES'!$C46&gt;85.5,IF('4 SUPERFICIES'!$C46&lt;113.6,'4 SUPERFICIES'!$AB46,0))))</f>
        <v>0</v>
      </c>
      <c r="BE237" s="777" t="b">
        <f>IF('4 SUPERFICIES'!$A46&gt;45.4,IF('4 SUPERFICIES'!$A46&lt;61.6,IF('4 SUPERFICIES'!$C46&gt;113.5,IF('4 SUPERFICIES'!$C46&lt;121.6,'4 SUPERFICIES'!$AB46,0))))</f>
        <v>0</v>
      </c>
      <c r="BF237" s="777" t="b">
        <f>IF('4 SUPERFICIES'!$A46&gt;45.4,IF('4 SUPERFICIES'!$A46&lt;61.6,IF('4 SUPERFICIES'!$C46&gt;121.5,IF('4 SUPERFICIES'!$C46&lt;127.6,'4 SUPERFICIES'!$AB46,0))))</f>
        <v>0</v>
      </c>
      <c r="BG237" s="777" t="b">
        <f>IF('4 SUPERFICIES'!$A46&gt;45.4,IF('4 SUPERFICIES'!$A46&lt;61.6,IF('4 SUPERFICIES'!$C46&gt;127.5,IF('4 SUPERFICIES'!$C46&lt;135.1,'4 SUPERFICIES'!$AB46,0))))</f>
        <v>0</v>
      </c>
      <c r="BH237" s="777" t="b">
        <f>IF('4 SUPERFICIES'!$A46&gt;45.4,IF('4 SUPERFICIES'!$A46&lt;61.6,IF('4 SUPERFICIES'!$C46&gt;135,IF('4 SUPERFICIES'!$C46&lt;141.6,'4 SUPERFICIES'!$AB46,0))))</f>
        <v>0</v>
      </c>
      <c r="BI237" s="777" t="b">
        <f>IF('4 SUPERFICIES'!$A46&gt;45.4,IF('4 SUPERFICIES'!$A46&lt;61.6,IF('4 SUPERFICIES'!$C46&gt;141.5,IF('4 SUPERFICIES'!$C46&lt;149.1,'4 SUPERFICIES'!$AB46,0))))</f>
        <v>0</v>
      </c>
      <c r="BJ237" s="777" t="b">
        <f>IF('4 SUPERFICIES'!$A46&gt;45.4,IF('4 SUPERFICIES'!$A46&lt;61.6,IF('4 SUPERFICIES'!$C46&gt;149,IF('4 SUPERFICIES'!$C46&lt;155.6,'4 SUPERFICIES'!$AB46,0))))</f>
        <v>0</v>
      </c>
      <c r="BK237" s="777" t="b">
        <f>IF('4 SUPERFICIES'!$A46&gt;45.4,IF('4 SUPERFICIES'!$A46&lt;61.6,IF('4 SUPERFICIES'!$C46&gt;155.5,IF('4 SUPERFICIES'!$C46&lt;163.1,'4 SUPERFICIES'!$AB46,0))))</f>
        <v>0</v>
      </c>
      <c r="BL237" s="777" t="b">
        <f>IF('4 SUPERFICIES'!$A46&gt;45.4,IF('4 SUPERFICIES'!$A46&lt;61.6,IF('4 SUPERFICIES'!$C46&gt;163,IF('4 SUPERFICIES'!$C46&lt;180.6,'4 SUPERFICIES'!$AB46,0))))</f>
        <v>0</v>
      </c>
      <c r="BM237" s="777" t="b">
        <f>IF('4 SUPERFICIES'!$A46&gt;45.4,IF('4 SUPERFICIES'!$A46&lt;61.6,IF('4 SUPERFICIES'!$C46&gt;180.5,IF('4 SUPERFICIES'!$C46&lt;240.1,'4 SUPERFICIES'!$AB46,0))))</f>
        <v>0</v>
      </c>
      <c r="BO237" s="869" t="s">
        <v>559</v>
      </c>
      <c r="BQ237" s="870">
        <f>+$DH$250</f>
        <v>0</v>
      </c>
      <c r="BS237" s="869"/>
      <c r="BT237" s="870">
        <f>+$DH$251</f>
        <v>0</v>
      </c>
      <c r="BV237" s="777" t="b">
        <f>IF('4 SUPERFICIES'!$A46&gt;61.5,IF('4 SUPERFICIES'!$A46&lt;71.6,IF('4 SUPERFICIES'!$C46&gt;10,IF('4 SUPERFICIES'!$C46&lt;57.6,'4 SUPERFICIES'!$AB46,0))))</f>
        <v>0</v>
      </c>
      <c r="BW237" s="777" t="b">
        <f>IF('4 SUPERFICIES'!$A46&gt;61.5,IF('4 SUPERFICIES'!$A46&lt;71.6,IF('4 SUPERFICIES'!$C46&gt;57.6,IF('4 SUPERFICIES'!$C46&lt;71.6,'4 SUPERFICIES'!$AB46,0))))</f>
        <v>0</v>
      </c>
      <c r="BX237" s="777" t="b">
        <f>IF('4 SUPERFICIES'!$A46&gt;61.5,IF('4 SUPERFICIES'!$A46&lt;71.6,IF('4 SUPERFICIES'!$C46&gt;71.5,IF('4 SUPERFICIES'!$C46&lt;85.6,'4 SUPERFICIES'!$AB46,0))))</f>
        <v>0</v>
      </c>
      <c r="BY237" s="777" t="b">
        <f>IF('4 SUPERFICIES'!$A46&gt;61.5,IF('4 SUPERFICIES'!$A46&lt;71.6,IF('4 SUPERFICIES'!$C46&gt;85.5,IF('4 SUPERFICIES'!$C46&lt;113.6,'4 SUPERFICIES'!$AB46,0))))</f>
        <v>0</v>
      </c>
      <c r="BZ237" s="777" t="b">
        <f>IF('4 SUPERFICIES'!$A46&gt;61.5,IF('4 SUPERFICIES'!$A46&lt;71.6,IF('4 SUPERFICIES'!$C46&gt;113.5,IF('4 SUPERFICIES'!$C46&lt;141.6,'4 SUPERFICIES'!$AB46,0))))</f>
        <v>0</v>
      </c>
      <c r="CA237" s="777" t="b">
        <f>IF('4 SUPERFICIES'!$A46&gt;61.5,IF('4 SUPERFICIES'!$A46&lt;71.6,IF('4 SUPERFICIES'!$C46&gt;141.5,IF('4 SUPERFICIES'!$C46&lt;149.1,'4 SUPERFICIES'!$AB46,0))))</f>
        <v>0</v>
      </c>
      <c r="CB237" s="777" t="b">
        <f>IF('4 SUPERFICIES'!$A46&gt;61.5,IF('4 SUPERFICIES'!$A46&lt;71.6,IF('4 SUPERFICIES'!$C46&gt;149,IF('4 SUPERFICIES'!$C46&lt;163.1,'4 SUPERFICIES'!$AB46,0))))</f>
        <v>0</v>
      </c>
      <c r="CC237" s="777" t="b">
        <f>IF('4 SUPERFICIES'!$A46&gt;61.5,IF('4 SUPERFICIES'!$A46&lt;71.6,IF('4 SUPERFICIES'!$C46&gt;163,IF('4 SUPERFICIES'!$C46&lt;180.6,'4 SUPERFICIES'!$AB46,0))))</f>
        <v>0</v>
      </c>
      <c r="CD237" s="777" t="b">
        <f>IF('4 SUPERFICIES'!$A46&gt;61.5,IF('4 SUPERFICIES'!$A46&lt;71.6,IF('4 SUPERFICIES'!$C46&gt;180.5,IF('4 SUPERFICIES'!$C46&lt;240.1,'4 SUPERFICIES'!$AB46,0))))</f>
        <v>0</v>
      </c>
      <c r="CF237" s="777" t="b">
        <f>IF('4 SUPERFICIES'!$A46&gt;71.5,IF('4 SUPERFICIES'!$A46&lt;120.6,IF('4 SUPERFICIES'!$C46&gt;10,IF('4 SUPERFICIES'!$C46&lt;57.6,'4 SUPERFICIES'!$AB46,0))))</f>
        <v>0</v>
      </c>
      <c r="CG237" s="777" t="b">
        <f>IF('4 SUPERFICIES'!$A46&gt;71.5,IF('4 SUPERFICIES'!$A46&lt;120.6,IF('4 SUPERFICIES'!$C46&gt;57.6,IF('4 SUPERFICIES'!$C46&lt;71.6,'4 SUPERFICIES'!$AB46,0))))</f>
        <v>0</v>
      </c>
      <c r="CH237" s="777" t="b">
        <f>IF('4 SUPERFICIES'!$A46&gt;71.5,IF('4 SUPERFICIES'!$A46&lt;120.6,IF('4 SUPERFICIES'!$C46&gt;71.5,IF('4 SUPERFICIES'!$C46&lt;85.6,'4 SUPERFICIES'!$AB46,0))))</f>
        <v>0</v>
      </c>
      <c r="CI237" s="777" t="b">
        <f>IF('4 SUPERFICIES'!$A46&gt;71.5,IF('4 SUPERFICIES'!$A46&lt;120.6,IF('4 SUPERFICIES'!$C46&gt;85.5,IF('4 SUPERFICIES'!$C46&lt;113.6,'4 SUPERFICIES'!$AB46,0))))</f>
        <v>0</v>
      </c>
      <c r="CJ237" s="777" t="b">
        <f>IF('4 SUPERFICIES'!$A46&gt;71.5,IF('4 SUPERFICIES'!$A46&lt;120.6,IF('4 SUPERFICIES'!$C46&gt;113.5,IF('4 SUPERFICIES'!$C46&lt;141.6,'4 SUPERFICIES'!$AB46,0))))</f>
        <v>0</v>
      </c>
      <c r="CK237" s="777" t="b">
        <f>IF('4 SUPERFICIES'!$A46&gt;71.5,IF('4 SUPERFICIES'!$A46&lt;120.6,IF('4 SUPERFICIES'!$C46&gt;141.5,IF('4 SUPERFICIES'!$C46&lt;180.6,'4 SUPERFICIES'!$AB46,0))))</f>
        <v>0</v>
      </c>
      <c r="CL237" s="777" t="b">
        <f>IF('4 SUPERFICIES'!$A46&gt;71.5,IF('4 SUPERFICIES'!$A46&lt;120.6,IF('4 SUPERFICIES'!$C46&gt;180.5,IF('4 SUPERFICIES'!$C46&lt;240.1,'4 SUPERFICIES'!$AB46,0))))</f>
        <v>0</v>
      </c>
      <c r="CN237" s="777">
        <f>IF('4 SUPERFICIES'!$C46&lt;150,IF(OR('4 SUPERFICIES'!$A46="MICRODER",'4 SUPERFICIES'!$A46="MICRO DER",),'4 SUPERFICIES'!$AB46,0))</f>
        <v>0</v>
      </c>
      <c r="CO237" s="777" t="b">
        <f>IF('4 SUPERFICIES'!$C46&gt;149.5,IF(OR('4 SUPERFICIES'!$A46="MICRODER",'4 SUPERFICIES'!$A46="MICRO DER",),'4 SUPERFICIES'!$AB46,0))</f>
        <v>0</v>
      </c>
      <c r="CP237" s="847"/>
      <c r="CQ237" s="777">
        <f>IF('4 SUPERFICIES'!$C46&lt;150,IF(OR('4 SUPERFICIES'!$A46="MICROIZQ",'4 SUPERFICIES'!$A46="MICRO IZQ",),'4 SUPERFICIES'!$AB46,0))</f>
        <v>0</v>
      </c>
      <c r="CR237" s="777" t="b">
        <f>IF('4 SUPERFICIES'!$C46&gt;149.5,IF(OR('4 SUPERFICIES'!$A46="MICROIZQ",'4 SUPERFICIES'!$A46="MICRO IZQ",),'4 SUPERFICIES'!$AB46,0))</f>
        <v>0</v>
      </c>
      <c r="CT237" s="837">
        <f>IF(OR('4 SUPERFICIES'!$A46="MICRO SEN",'4 SUPERFICIES'!$A46="MICROSEN",),'4 SUPERFICIES'!$AB46,0)</f>
        <v>0</v>
      </c>
      <c r="CV237" s="837" t="b">
        <f>IF('4 SUPERFICIES'!$A46="DIAMETRO",IF('4 SUPERFICIES'!$C46&lt;121.1,'4 SUPERFICIES'!$AB46,0))</f>
        <v>0</v>
      </c>
      <c r="CX237" s="858"/>
      <c r="CZ237" s="837" t="b">
        <f>IF('4 SUPERFICIES'!$A46="MOSTRADOR",IF('4 SUPERFICIES'!$C46="R60",'4 SUPERFICIES'!$AB46,0))</f>
        <v>0</v>
      </c>
      <c r="DB237" s="837">
        <f>IF(OR('4 SUPERFICIES'!$A46="PORTA PRIN",'4 SUPERFICIES'!$A46="PORTAPRIN",),'4 SUPERFICIES'!$AB46,0)</f>
        <v>0</v>
      </c>
      <c r="DD237" s="837">
        <f>IF(OR('4 SUPERFICIES'!$A46="PORTA BADE",'4 SUPERFICIES'!$A46="PORTABADE",),'4 SUPERFICIES'!$AB46,0)</f>
        <v>0</v>
      </c>
      <c r="DE237" s="837"/>
      <c r="DF237" s="837">
        <f>IF(OR('4 SUPERFICIES'!$A46="RETORNO IZQ",'4 SUPERFICIES'!$A46="RETORNO DER",),'4 SUPERFICIES'!$AB146,0)</f>
        <v>0</v>
      </c>
      <c r="DG237" s="837"/>
      <c r="DH237" s="837">
        <f>IF(OR('4 SUPERFICIES'!$A46="PITO Q",'4 SUPERFICIES'!$A46="PITO P",'4 SUPERFICIES'!$A46="DIAMETRO INTEGRADA",),'4 SUPERFICIES'!$AB46,0)</f>
        <v>0</v>
      </c>
      <c r="DJ237" s="858"/>
      <c r="DK237" s="837"/>
      <c r="DL237" s="837">
        <f>IF('4 SUPERFICIES'!$A46="SUPERFICIE OVAL",'4 SUPERFICIES'!$AB46,0)</f>
        <v>0</v>
      </c>
      <c r="DO237" s="838"/>
      <c r="DP237" s="838"/>
      <c r="DQ237" s="838"/>
      <c r="DR237" s="838"/>
      <c r="DS237" s="838"/>
      <c r="DT237" s="838"/>
      <c r="DU237" s="838"/>
      <c r="DV237" s="838"/>
      <c r="DW237" s="838"/>
      <c r="DX237" s="838"/>
      <c r="DY237" s="838"/>
      <c r="DZ237" s="838"/>
      <c r="EA237" s="838"/>
      <c r="EB237" s="838"/>
      <c r="EC237" s="838"/>
      <c r="ED237" s="838"/>
      <c r="EE237" s="852"/>
      <c r="EG237" s="682">
        <f>IF('4 SUPERFICIES'!A46="MICRO DER",85,IF('4 SUPERFICIES'!A46="MICRO IZQ",85,IF('4 SUPERFICIES'!A46="MICRO SEN",170,IF('4 SUPERFICIES'!A46="DIAMETRO",3.14*'4 SUPERFICIES'!C46/2,IF('4 SUPERFICIES'!A46="MOSTRADOR",136,IF('4 SUPERFICIES'!A46="PORTA",65,IF('4 SUPERFICIES'!A46="PITO Q",90,IF('4 SUPERFICIES'!A46="PITO P",90,'4 SUPERFICIES'!A46))))))))</f>
        <v>0</v>
      </c>
      <c r="EH237" s="682"/>
      <c r="EI237" s="682">
        <f>IF('4 SUPERFICIES'!A46="DIAMETRO",0,IF('4 SUPERFICIES'!C46="PRINCIPAL",160,IF('4 SUPERFICIES'!C46="BADE",190,IF('4 SUPERFICIES'!C46="RETORNO",100,IF('4 SUPERFICIES'!C46="R 60",100,IF('4 SUPERFICIES'!C46="R60",100,'4 SUPERFICIES'!C46))))))</f>
        <v>0</v>
      </c>
      <c r="EJ237" s="682"/>
      <c r="EK237" s="682">
        <f>IF('4 SUPERFICIES'!$F46='4 SUPERFICIES'!$AG$15,((EG237*2)+(EI237*2))*'4 SUPERFICIES'!AB46,0)</f>
        <v>0</v>
      </c>
      <c r="EL237" s="682"/>
      <c r="EM237" s="682">
        <f>IF('4 SUPERFICIES'!$F46='4 SUPERFICIES'!$AG$16,((EG237*2)+(EI237*2))*'4 SUPERFICIES'!AB46,0)</f>
        <v>0</v>
      </c>
      <c r="EO237" s="682">
        <f>IF('4 SUPERFICIES'!$F46='4 SUPERFICIES'!$AG$17,((EG237*2)+(EI237*2))*'4 SUPERFICIES'!AB46,0)</f>
        <v>0</v>
      </c>
      <c r="EP237" s="838"/>
      <c r="EQ237" s="682">
        <f>IF('4 SUPERFICIES'!$F46='4 SUPERFICIES'!$AG$18,((EG237*2)+(EI237*2))*'4 SUPERFICIES'!AB46,0)</f>
        <v>0</v>
      </c>
      <c r="ER237" s="838"/>
      <c r="ES237" s="858"/>
      <c r="ET237" s="858"/>
      <c r="EU237" s="858"/>
      <c r="EV237" s="858"/>
      <c r="EW237" s="838"/>
      <c r="EX237" s="838"/>
      <c r="EY237" s="838"/>
      <c r="EZ237" s="838"/>
      <c r="FA237" s="838"/>
      <c r="FB237" s="838"/>
      <c r="FC237" s="838"/>
      <c r="FD237" s="838"/>
      <c r="FE237" s="838"/>
      <c r="FF237" s="838"/>
      <c r="FG237" s="838"/>
      <c r="FH237" s="838"/>
      <c r="FI237" s="838"/>
      <c r="FJ237" s="838"/>
      <c r="FK237" s="838"/>
      <c r="FL237" s="838"/>
      <c r="FM237" s="838"/>
      <c r="FN237" s="838"/>
      <c r="FO237" s="838"/>
      <c r="FP237" s="838"/>
      <c r="GM237" s="858"/>
      <c r="GN237" s="838"/>
      <c r="GO237" s="858"/>
      <c r="GP237" s="858"/>
      <c r="GQ237" s="858"/>
      <c r="GR237" s="838"/>
      <c r="GS237" s="838"/>
      <c r="HF237" s="700">
        <v>27.5</v>
      </c>
      <c r="HH237" s="591">
        <v>27.5</v>
      </c>
    </row>
    <row r="238" spans="1:216" ht="26.25" x14ac:dyDescent="0.4">
      <c r="A238" s="876">
        <f>IF(OR('5 ALMACEN '!V40="CURVO",'5 ALMACEN '!V40="CURVOS",),1,0)</f>
        <v>0</v>
      </c>
      <c r="B238" s="877" t="s">
        <v>500</v>
      </c>
      <c r="C238" s="878"/>
      <c r="D238" s="879">
        <f>IF($A$230=1,IF(OR('5 ALMACEN '!$D39='1 PISO TECHO'!$C$29,'5 ALMACEN '!$D39='1 P-T +'!$C$31,'5 ALMACEN '!$D39='2 MEDIA ALTURA'!$C$42,'5 ALMACEN '!$D39='2 M-A +'!$C$40,),'5 ALMACEN '!$B39+'5 ALMACEN '!$C39,0))</f>
        <v>0</v>
      </c>
      <c r="E238" s="879">
        <f>IF($A$230=1,IF(OR('5 ALMACEN '!$D40='1 PISO TECHO'!$C$29,'5 ALMACEN '!$D40='1 P-T +'!$C$31,'5 ALMACEN '!$D40='2 MEDIA ALTURA'!$C$42,'5 ALMACEN '!$D40='2 M-A +'!$C$40,),'5 ALMACEN '!$B40+'5 ALMACEN '!$C40,0))</f>
        <v>0</v>
      </c>
      <c r="F238" s="879">
        <f>IF($A$230=1,IF(OR('5 ALMACEN '!$D41='1 PISO TECHO'!$C$29,'5 ALMACEN '!$D41='1 P-T +'!$C$31,'5 ALMACEN '!$D41='2 MEDIA ALTURA'!$C$42,'5 ALMACEN '!$D41='2 M-A +'!$C$40,),'5 ALMACEN '!$B41+'5 ALMACEN '!$C41,0))</f>
        <v>0</v>
      </c>
      <c r="G238" s="879">
        <f>IF($A$230=1,IF(OR('5 ALMACEN '!$D42='1 PISO TECHO'!$C$29,'5 ALMACEN '!$D42='1 P-T +'!$C$31,'5 ALMACEN '!$D42='2 MEDIA ALTURA'!$C$42,'5 ALMACEN '!$D42='2 M-A +'!$C$40,),'5 ALMACEN '!$B42+'5 ALMACEN '!$C42,0))</f>
        <v>0</v>
      </c>
      <c r="AK238" s="777" t="b">
        <f>IF('4 SUPERFICIES'!$A47&gt;10,IF('4 SUPERFICIES'!$A47&lt;31.1,IF('4 SUPERFICIES'!$C47&gt;10,IF('4 SUPERFICIES'!$C47&lt;57.6,'4 SUPERFICIES'!$AB47,0))))</f>
        <v>0</v>
      </c>
      <c r="AL238" s="777" t="b">
        <f>IF('4 SUPERFICIES'!$A47&gt;10,IF('4 SUPERFICIES'!$A47&lt;31.1,IF('4 SUPERFICIES'!$C47&gt;57.6,IF('4 SUPERFICIES'!$C47&lt;71.6,'4 SUPERFICIES'!$AB47,0))))</f>
        <v>0</v>
      </c>
      <c r="AM238" s="777" t="b">
        <f>IF('4 SUPERFICIES'!$A47&gt;10,IF('4 SUPERFICIES'!$A47&lt;31.1,IF('4 SUPERFICIES'!$C47&gt;71.5,IF('4 SUPERFICIES'!$C47&lt;85.6,'4 SUPERFICIES'!$AB47,0))))</f>
        <v>0</v>
      </c>
      <c r="AN238" s="777" t="b">
        <f>IF('4 SUPERFICIES'!$A47&gt;10,IF('4 SUPERFICIES'!$A47&lt;31.1,IF('4 SUPERFICIES'!$C47&gt;85.5,IF('4 SUPERFICIES'!$C47&lt;113.6,'4 SUPERFICIES'!$AB47,0))))</f>
        <v>0</v>
      </c>
      <c r="AO238" s="777" t="b">
        <f>IF('4 SUPERFICIES'!$A47&gt;10,IF('4 SUPERFICIES'!$A47&lt;31.1,IF('4 SUPERFICIES'!$C47&gt;113.5,IF('4 SUPERFICIES'!$C47&lt;141.6,'4 SUPERFICIES'!$AB47,0))))</f>
        <v>0</v>
      </c>
      <c r="AP238" s="777" t="b">
        <f>IF('4 SUPERFICIES'!$A47&gt;10,IF('4 SUPERFICIES'!$A47&lt;31.1,IF('4 SUPERFICIES'!$C47&gt;141.5,IF('4 SUPERFICIES'!$C47&lt;180.6,'4 SUPERFICIES'!$AB47,0))))</f>
        <v>0</v>
      </c>
      <c r="AQ238" s="777" t="b">
        <f>IF('4 SUPERFICIES'!$A47&gt;10,IF('4 SUPERFICIES'!$A47&lt;31.1,IF('4 SUPERFICIES'!$C47&gt;180.5,IF('4 SUPERFICIES'!$C47&lt;240.1,'4 SUPERFICIES'!$AB47,0))))</f>
        <v>0</v>
      </c>
      <c r="AS238" s="777" t="b">
        <f>IF('4 SUPERFICIES'!$A47&gt;31,IF('4 SUPERFICIES'!$A47&lt;45.5,IF('4 SUPERFICIES'!$C47&gt;10,IF('4 SUPERFICIES'!$C47&lt;57.6,'4 SUPERFICIES'!$AB47,0))))</f>
        <v>0</v>
      </c>
      <c r="AT238" s="777" t="b">
        <f>IF('4 SUPERFICIES'!$A47&gt;31,IF('4 SUPERFICIES'!$A47&lt;45.5,IF('4 SUPERFICIES'!$C47&gt;57.6,IF('4 SUPERFICIES'!$C47&lt;71.6,'4 SUPERFICIES'!$AB47,0))))</f>
        <v>0</v>
      </c>
      <c r="AU238" s="777" t="b">
        <f>IF('4 SUPERFICIES'!$A47&gt;31,IF('4 SUPERFICIES'!$A47&lt;45.5,IF('4 SUPERFICIES'!$C47&gt;71.5,IF('4 SUPERFICIES'!$C47&lt;85.6,'4 SUPERFICIES'!$AB47,0))))</f>
        <v>0</v>
      </c>
      <c r="AV238" s="777" t="b">
        <f>IF('4 SUPERFICIES'!$A47&gt;31,IF('4 SUPERFICIES'!$A47&lt;45.5,IF('4 SUPERFICIES'!$C47&gt;85.5,IF('4 SUPERFICIES'!$C47&lt;113.6,'4 SUPERFICIES'!$AB47,0))))</f>
        <v>0</v>
      </c>
      <c r="AW238" s="777" t="b">
        <f>IF('4 SUPERFICIES'!$A47&gt;31,IF('4 SUPERFICIES'!$A47&lt;45.5,IF('4 SUPERFICIES'!$C47&gt;113.5,IF('4 SUPERFICIES'!$C47&lt;141.6,'4 SUPERFICIES'!$AB47,0))))</f>
        <v>0</v>
      </c>
      <c r="AX238" s="777" t="b">
        <f>IF('4 SUPERFICIES'!$A47&gt;31,IF('4 SUPERFICIES'!$A47&lt;45.5,IF('4 SUPERFICIES'!$C47&gt;141.5,IF('4 SUPERFICIES'!$C47&lt;180.6,'4 SUPERFICIES'!$AB47,0))))</f>
        <v>0</v>
      </c>
      <c r="AY238" s="777" t="b">
        <f>IF('4 SUPERFICIES'!$A47&gt;31,IF('4 SUPERFICIES'!$A47&lt;45.5,IF('4 SUPERFICIES'!$C47&gt;180.5,IF('4 SUPERFICIES'!$C47&lt;240.1,'4 SUPERFICIES'!$AB47,0))))</f>
        <v>0</v>
      </c>
      <c r="BA238" s="777" t="b">
        <f>IF('4 SUPERFICIES'!$A47&gt;45.4,IF('4 SUPERFICIES'!$A47&lt;61.6,IF('4 SUPERFICIES'!$C47&gt;10,IF('4 SUPERFICIES'!$C47&lt;61.5,'4 SUPERFICIES'!$AB47,0))))</f>
        <v>0</v>
      </c>
      <c r="BB238" s="777" t="b">
        <f>IF('4 SUPERFICIES'!$A47&gt;45.4,IF('4 SUPERFICIES'!$A47&lt;61.6,IF('4 SUPERFICIES'!$C47&gt;61.1,IF('4 SUPERFICIES'!$C47&lt;71.6,'4 SUPERFICIES'!$AB47,0))))</f>
        <v>0</v>
      </c>
      <c r="BC238" s="777" t="b">
        <f>IF('4 SUPERFICIES'!$A47&gt;45.4,IF('4 SUPERFICIES'!$A47&lt;61.6,IF('4 SUPERFICIES'!$C47&gt;71.5,IF('4 SUPERFICIES'!$C47&lt;85.6,'4 SUPERFICIES'!$AB47,0))))</f>
        <v>0</v>
      </c>
      <c r="BD238" s="777" t="b">
        <f>IF('4 SUPERFICIES'!$A47&gt;45.4,IF('4 SUPERFICIES'!$A47&lt;61.6,IF('4 SUPERFICIES'!$C47&gt;85.5,IF('4 SUPERFICIES'!$C47&lt;113.6,'4 SUPERFICIES'!$AB47,0))))</f>
        <v>0</v>
      </c>
      <c r="BE238" s="777" t="b">
        <f>IF('4 SUPERFICIES'!$A47&gt;45.4,IF('4 SUPERFICIES'!$A47&lt;61.6,IF('4 SUPERFICIES'!$C47&gt;113.5,IF('4 SUPERFICIES'!$C47&lt;121.6,'4 SUPERFICIES'!$AB47,0))))</f>
        <v>0</v>
      </c>
      <c r="BF238" s="777" t="b">
        <f>IF('4 SUPERFICIES'!$A47&gt;45.4,IF('4 SUPERFICIES'!$A47&lt;61.6,IF('4 SUPERFICIES'!$C47&gt;121.5,IF('4 SUPERFICIES'!$C47&lt;127.6,'4 SUPERFICIES'!$AB47,0))))</f>
        <v>0</v>
      </c>
      <c r="BG238" s="777" t="b">
        <f>IF('4 SUPERFICIES'!$A47&gt;45.4,IF('4 SUPERFICIES'!$A47&lt;61.6,IF('4 SUPERFICIES'!$C47&gt;127.5,IF('4 SUPERFICIES'!$C47&lt;135.1,'4 SUPERFICIES'!$AB47,0))))</f>
        <v>0</v>
      </c>
      <c r="BH238" s="777" t="b">
        <f>IF('4 SUPERFICIES'!$A47&gt;45.4,IF('4 SUPERFICIES'!$A47&lt;61.6,IF('4 SUPERFICIES'!$C47&gt;135,IF('4 SUPERFICIES'!$C47&lt;141.6,'4 SUPERFICIES'!$AB47,0))))</f>
        <v>0</v>
      </c>
      <c r="BI238" s="777" t="b">
        <f>IF('4 SUPERFICIES'!$A47&gt;45.4,IF('4 SUPERFICIES'!$A47&lt;61.6,IF('4 SUPERFICIES'!$C47&gt;141.5,IF('4 SUPERFICIES'!$C47&lt;149.1,'4 SUPERFICIES'!$AB47,0))))</f>
        <v>0</v>
      </c>
      <c r="BJ238" s="777" t="b">
        <f>IF('4 SUPERFICIES'!$A47&gt;45.4,IF('4 SUPERFICIES'!$A47&lt;61.6,IF('4 SUPERFICIES'!$C47&gt;149,IF('4 SUPERFICIES'!$C47&lt;155.6,'4 SUPERFICIES'!$AB47,0))))</f>
        <v>0</v>
      </c>
      <c r="BK238" s="777" t="b">
        <f>IF('4 SUPERFICIES'!$A47&gt;45.4,IF('4 SUPERFICIES'!$A47&lt;61.6,IF('4 SUPERFICIES'!$C47&gt;155.5,IF('4 SUPERFICIES'!$C47&lt;163.1,'4 SUPERFICIES'!$AB47,0))))</f>
        <v>0</v>
      </c>
      <c r="BL238" s="777" t="b">
        <f>IF('4 SUPERFICIES'!$A47&gt;45.4,IF('4 SUPERFICIES'!$A47&lt;61.6,IF('4 SUPERFICIES'!$C47&gt;163,IF('4 SUPERFICIES'!$C47&lt;180.6,'4 SUPERFICIES'!$AB47,0))))</f>
        <v>0</v>
      </c>
      <c r="BM238" s="777" t="b">
        <f>IF('4 SUPERFICIES'!$A47&gt;45.4,IF('4 SUPERFICIES'!$A47&lt;61.6,IF('4 SUPERFICIES'!$C47&gt;180.5,IF('4 SUPERFICIES'!$C47&lt;240.1,'4 SUPERFICIES'!$AB47,0))))</f>
        <v>0</v>
      </c>
      <c r="BS238" s="847"/>
      <c r="BT238" s="847"/>
      <c r="BV238" s="777" t="b">
        <f>IF('4 SUPERFICIES'!$A47&gt;61.5,IF('4 SUPERFICIES'!$A47&lt;71.6,IF('4 SUPERFICIES'!$C47&gt;10,IF('4 SUPERFICIES'!$C47&lt;57.6,'4 SUPERFICIES'!$AB47,0))))</f>
        <v>0</v>
      </c>
      <c r="BW238" s="777" t="b">
        <f>IF('4 SUPERFICIES'!$A47&gt;61.5,IF('4 SUPERFICIES'!$A47&lt;71.6,IF('4 SUPERFICIES'!$C47&gt;57.6,IF('4 SUPERFICIES'!$C47&lt;71.6,'4 SUPERFICIES'!$AB47,0))))</f>
        <v>0</v>
      </c>
      <c r="BX238" s="777" t="b">
        <f>IF('4 SUPERFICIES'!$A47&gt;61.5,IF('4 SUPERFICIES'!$A47&lt;71.6,IF('4 SUPERFICIES'!$C47&gt;71.5,IF('4 SUPERFICIES'!$C47&lt;85.6,'4 SUPERFICIES'!$AB47,0))))</f>
        <v>0</v>
      </c>
      <c r="BY238" s="777" t="b">
        <f>IF('4 SUPERFICIES'!$A47&gt;61.5,IF('4 SUPERFICIES'!$A47&lt;71.6,IF('4 SUPERFICIES'!$C47&gt;85.5,IF('4 SUPERFICIES'!$C47&lt;113.6,'4 SUPERFICIES'!$AB47,0))))</f>
        <v>0</v>
      </c>
      <c r="BZ238" s="777" t="b">
        <f>IF('4 SUPERFICIES'!$A47&gt;61.5,IF('4 SUPERFICIES'!$A47&lt;71.6,IF('4 SUPERFICIES'!$C47&gt;113.5,IF('4 SUPERFICIES'!$C47&lt;141.6,'4 SUPERFICIES'!$AB47,0))))</f>
        <v>0</v>
      </c>
      <c r="CA238" s="777" t="b">
        <f>IF('4 SUPERFICIES'!$A47&gt;61.5,IF('4 SUPERFICIES'!$A47&lt;71.6,IF('4 SUPERFICIES'!$C47&gt;141.5,IF('4 SUPERFICIES'!$C47&lt;149.1,'4 SUPERFICIES'!$AB47,0))))</f>
        <v>0</v>
      </c>
      <c r="CB238" s="777" t="b">
        <f>IF('4 SUPERFICIES'!$A47&gt;61.5,IF('4 SUPERFICIES'!$A47&lt;71.6,IF('4 SUPERFICIES'!$C47&gt;149,IF('4 SUPERFICIES'!$C47&lt;163.1,'4 SUPERFICIES'!$AB47,0))))</f>
        <v>0</v>
      </c>
      <c r="CC238" s="777" t="b">
        <f>IF('4 SUPERFICIES'!$A47&gt;61.5,IF('4 SUPERFICIES'!$A47&lt;71.6,IF('4 SUPERFICIES'!$C47&gt;163,IF('4 SUPERFICIES'!$C47&lt;180.6,'4 SUPERFICIES'!$AB47,0))))</f>
        <v>0</v>
      </c>
      <c r="CD238" s="777" t="b">
        <f>IF('4 SUPERFICIES'!$A47&gt;61.5,IF('4 SUPERFICIES'!$A47&lt;71.6,IF('4 SUPERFICIES'!$C47&gt;180.5,IF('4 SUPERFICIES'!$C47&lt;240.1,'4 SUPERFICIES'!$AB47,0))))</f>
        <v>0</v>
      </c>
      <c r="CF238" s="777" t="b">
        <f>IF('4 SUPERFICIES'!$A47&gt;71.5,IF('4 SUPERFICIES'!$A47&lt;120.6,IF('4 SUPERFICIES'!$C47&gt;10,IF('4 SUPERFICIES'!$C47&lt;57.6,'4 SUPERFICIES'!$AB47,0))))</f>
        <v>0</v>
      </c>
      <c r="CG238" s="777" t="b">
        <f>IF('4 SUPERFICIES'!$A47&gt;71.5,IF('4 SUPERFICIES'!$A47&lt;120.6,IF('4 SUPERFICIES'!$C47&gt;57.6,IF('4 SUPERFICIES'!$C47&lt;71.6,'4 SUPERFICIES'!$AB47,0))))</f>
        <v>0</v>
      </c>
      <c r="CH238" s="777" t="b">
        <f>IF('4 SUPERFICIES'!$A47&gt;71.5,IF('4 SUPERFICIES'!$A47&lt;120.6,IF('4 SUPERFICIES'!$C47&gt;71.5,IF('4 SUPERFICIES'!$C47&lt;85.6,'4 SUPERFICIES'!$AB47,0))))</f>
        <v>0</v>
      </c>
      <c r="CI238" s="777" t="b">
        <f>IF('4 SUPERFICIES'!$A47&gt;71.5,IF('4 SUPERFICIES'!$A47&lt;120.6,IF('4 SUPERFICIES'!$C47&gt;85.5,IF('4 SUPERFICIES'!$C47&lt;113.6,'4 SUPERFICIES'!$AB47,0))))</f>
        <v>0</v>
      </c>
      <c r="CJ238" s="777" t="b">
        <f>IF('4 SUPERFICIES'!$A47&gt;71.5,IF('4 SUPERFICIES'!$A47&lt;120.6,IF('4 SUPERFICIES'!$C47&gt;113.5,IF('4 SUPERFICIES'!$C47&lt;141.6,'4 SUPERFICIES'!$AB47,0))))</f>
        <v>0</v>
      </c>
      <c r="CK238" s="777" t="b">
        <f>IF('4 SUPERFICIES'!$A47&gt;71.5,IF('4 SUPERFICIES'!$A47&lt;120.6,IF('4 SUPERFICIES'!$C47&gt;141.5,IF('4 SUPERFICIES'!$C47&lt;180.6,'4 SUPERFICIES'!$AB47,0))))</f>
        <v>0</v>
      </c>
      <c r="CL238" s="777" t="b">
        <f>IF('4 SUPERFICIES'!$A47&gt;71.5,IF('4 SUPERFICIES'!$A47&lt;120.6,IF('4 SUPERFICIES'!$C47&gt;180.5,IF('4 SUPERFICIES'!$C47&lt;240.1,'4 SUPERFICIES'!$AB47,0))))</f>
        <v>0</v>
      </c>
      <c r="CN238" s="777">
        <f>IF('4 SUPERFICIES'!$C47&lt;150,IF(OR('4 SUPERFICIES'!$A47="MICRODER",'4 SUPERFICIES'!$A47="MICRO DER",),'4 SUPERFICIES'!$AB47,0))</f>
        <v>0</v>
      </c>
      <c r="CO238" s="777" t="b">
        <f>IF('4 SUPERFICIES'!$C47&gt;149.5,IF(OR('4 SUPERFICIES'!$A47="MICRODER",'4 SUPERFICIES'!$A47="MICRO DER",),'4 SUPERFICIES'!$AB47,0))</f>
        <v>0</v>
      </c>
      <c r="CP238" s="847"/>
      <c r="CQ238" s="777">
        <f>IF('4 SUPERFICIES'!$C47&lt;150,IF(OR('4 SUPERFICIES'!$A47="MICROIZQ",'4 SUPERFICIES'!$A47="MICRO IZQ",),'4 SUPERFICIES'!$AB47,0))</f>
        <v>0</v>
      </c>
      <c r="CR238" s="777" t="b">
        <f>IF('4 SUPERFICIES'!$C47&gt;149.5,IF(OR('4 SUPERFICIES'!$A47="MICROIZQ",'4 SUPERFICIES'!$A47="MICRO IZQ",),'4 SUPERFICIES'!$AB47,0))</f>
        <v>0</v>
      </c>
      <c r="CT238" s="837">
        <f>IF(OR('4 SUPERFICIES'!$A47="MICRO SEN",'4 SUPERFICIES'!$A47="MICROSEN",),'4 SUPERFICIES'!$AB47,0)</f>
        <v>0</v>
      </c>
      <c r="CV238" s="837" t="b">
        <f>IF('4 SUPERFICIES'!$A47="DIAMETRO",IF('4 SUPERFICIES'!$C47&lt;121.1,'4 SUPERFICIES'!$AB47,0))</f>
        <v>0</v>
      </c>
      <c r="CX238" s="858"/>
      <c r="CZ238" s="837" t="b">
        <f>IF('4 SUPERFICIES'!$A47="MOSTRADOR",IF('4 SUPERFICIES'!$C47="R60",'4 SUPERFICIES'!$AB47,0))</f>
        <v>0</v>
      </c>
      <c r="DB238" s="837">
        <f>IF(OR('4 SUPERFICIES'!$A47="PORTA PRIN",'4 SUPERFICIES'!$A47="PORTAPRIN",),'4 SUPERFICIES'!$AB47,0)</f>
        <v>0</v>
      </c>
      <c r="DD238" s="837">
        <f>IF(OR('4 SUPERFICIES'!$A47="PORTA BADE",'4 SUPERFICIES'!$A47="PORTABADE",),'4 SUPERFICIES'!$AB47,0)</f>
        <v>0</v>
      </c>
      <c r="DE238" s="837"/>
      <c r="DF238" s="837">
        <f>IF(OR('4 SUPERFICIES'!$A47="RETORNO IZQ",'4 SUPERFICIES'!$A47="RETORNO DER",),'4 SUPERFICIES'!$AB147,0)</f>
        <v>0</v>
      </c>
      <c r="DG238" s="837"/>
      <c r="DH238" s="837">
        <f>IF(OR('4 SUPERFICIES'!$A47="PITO Q",'4 SUPERFICIES'!$A47="PITO P",'4 SUPERFICIES'!$A47="DIAMETRO INTEGRADA",),'4 SUPERFICIES'!$AB47,0)</f>
        <v>0</v>
      </c>
      <c r="DJ238" s="858"/>
      <c r="DK238" s="837"/>
      <c r="DL238" s="837">
        <f>IF('4 SUPERFICIES'!$A47="SUPERFICIE OVAL",'4 SUPERFICIES'!$AB47,0)</f>
        <v>0</v>
      </c>
      <c r="DO238" s="838"/>
      <c r="DP238" s="838"/>
      <c r="DQ238" s="838"/>
      <c r="DR238" s="838"/>
      <c r="DS238" s="838"/>
      <c r="DT238" s="838"/>
      <c r="DU238" s="838"/>
      <c r="DV238" s="838"/>
      <c r="DW238" s="838"/>
      <c r="DX238" s="838"/>
      <c r="DY238" s="838"/>
      <c r="DZ238" s="838"/>
      <c r="EA238" s="838"/>
      <c r="EB238" s="838"/>
      <c r="EC238" s="838"/>
      <c r="ED238" s="838"/>
      <c r="EE238" s="852"/>
      <c r="EG238" s="682">
        <f>IF('4 SUPERFICIES'!A47="MICRO DER",85,IF('4 SUPERFICIES'!A47="MICRO IZQ",85,IF('4 SUPERFICIES'!A47="MICRO SEN",170,IF('4 SUPERFICIES'!A47="DIAMETRO",3.14*'4 SUPERFICIES'!C47/2,IF('4 SUPERFICIES'!A47="MOSTRADOR",136,IF('4 SUPERFICIES'!A47="PORTA",65,IF('4 SUPERFICIES'!A47="PITO Q",90,IF('4 SUPERFICIES'!A47="PITO P",90,'4 SUPERFICIES'!A47))))))))</f>
        <v>0</v>
      </c>
      <c r="EH238" s="682"/>
      <c r="EI238" s="682">
        <f>IF('4 SUPERFICIES'!A47="DIAMETRO",0,IF('4 SUPERFICIES'!C47="PRINCIPAL",160,IF('4 SUPERFICIES'!C47="BADE",190,IF('4 SUPERFICIES'!C47="RETORNO",100,IF('4 SUPERFICIES'!C47="R 60",100,IF('4 SUPERFICIES'!C47="R60",100,'4 SUPERFICIES'!C47))))))</f>
        <v>0</v>
      </c>
      <c r="EJ238" s="682"/>
      <c r="EK238" s="682">
        <f>IF('4 SUPERFICIES'!$F47='4 SUPERFICIES'!$AG$15,((EG238*2)+(EI238*2))*'4 SUPERFICIES'!AB47,0)</f>
        <v>0</v>
      </c>
      <c r="EL238" s="682"/>
      <c r="EM238" s="682">
        <f>IF('4 SUPERFICIES'!$F47='4 SUPERFICIES'!$AG$16,((EG238*2)+(EI238*2))*'4 SUPERFICIES'!AB47,0)</f>
        <v>0</v>
      </c>
      <c r="EO238" s="682">
        <f>IF('4 SUPERFICIES'!$F47='4 SUPERFICIES'!$AG$17,((EG238*2)+(EI238*2))*'4 SUPERFICIES'!AB47,0)</f>
        <v>0</v>
      </c>
      <c r="EP238" s="838"/>
      <c r="EQ238" s="682">
        <f>IF('4 SUPERFICIES'!$F47='4 SUPERFICIES'!$AG$18,((EG238*2)+(EI238*2))*'4 SUPERFICIES'!AB47,0)</f>
        <v>0</v>
      </c>
      <c r="ER238" s="838"/>
      <c r="ES238" s="858"/>
      <c r="ET238" s="858"/>
      <c r="EU238" s="858"/>
      <c r="EV238" s="858"/>
      <c r="EW238" s="838"/>
      <c r="EX238" s="838"/>
      <c r="EY238" s="838"/>
      <c r="EZ238" s="838"/>
      <c r="FA238" s="838"/>
      <c r="FB238" s="838"/>
      <c r="FC238" s="838"/>
      <c r="FD238" s="838"/>
      <c r="FE238" s="838"/>
      <c r="FF238" s="838"/>
      <c r="FG238" s="838"/>
      <c r="FH238" s="838"/>
      <c r="FI238" s="838"/>
      <c r="FJ238" s="838"/>
      <c r="FK238" s="838"/>
      <c r="FL238" s="838"/>
      <c r="FM238" s="838"/>
      <c r="FN238" s="838"/>
      <c r="FO238" s="838"/>
      <c r="FP238" s="838"/>
      <c r="GM238" s="858"/>
      <c r="GN238" s="838"/>
      <c r="GO238" s="858"/>
      <c r="GP238" s="858"/>
      <c r="GQ238" s="858"/>
      <c r="GR238" s="838"/>
      <c r="GS238" s="838"/>
      <c r="HF238" s="700">
        <v>28</v>
      </c>
      <c r="HH238" s="591">
        <v>28</v>
      </c>
    </row>
    <row r="239" spans="1:216" ht="26.25" x14ac:dyDescent="0.4">
      <c r="A239" s="850"/>
      <c r="B239" s="887" t="s">
        <v>503</v>
      </c>
      <c r="C239" s="888"/>
      <c r="D239" s="879" t="b">
        <f>IF($A$230=0,IF(OR('5 ALMACEN '!$D39='2 MEDIA ALTURA'!$C$42,),'5 ALMACEN '!$B39+'5 ALMACEN '!$C39,0))</f>
        <v>0</v>
      </c>
      <c r="E239" s="879" t="b">
        <f>IF($A$230=0,IF(OR('5 ALMACEN '!$D40='2 MEDIA ALTURA'!$C$42,),'5 ALMACEN '!$B40+'5 ALMACEN '!$C40,0))</f>
        <v>0</v>
      </c>
      <c r="F239" s="879" t="b">
        <f>IF($A$230=0,IF(OR('5 ALMACEN '!$D41='2 MEDIA ALTURA'!$C$42,),'5 ALMACEN '!$B41+'5 ALMACEN '!$C41,0))</f>
        <v>0</v>
      </c>
      <c r="G239" s="879" t="b">
        <f>IF($A$230=0,IF(OR('5 ALMACEN '!$D42='2 MEDIA ALTURA'!$C$42,),'5 ALMACEN '!$B42+'5 ALMACEN '!$C42,0))</f>
        <v>0</v>
      </c>
      <c r="AK239" s="777" t="b">
        <f>IF('4 SUPERFICIES'!$A48&gt;10,IF('4 SUPERFICIES'!$A48&lt;31.1,IF('4 SUPERFICIES'!$C48&gt;10,IF('4 SUPERFICIES'!$C48&lt;57.6,'4 SUPERFICIES'!$AB48,0))))</f>
        <v>0</v>
      </c>
      <c r="AL239" s="777" t="b">
        <f>IF('4 SUPERFICIES'!$A48&gt;10,IF('4 SUPERFICIES'!$A48&lt;31.1,IF('4 SUPERFICIES'!$C48&gt;57.6,IF('4 SUPERFICIES'!$C48&lt;71.6,'4 SUPERFICIES'!$AB48,0))))</f>
        <v>0</v>
      </c>
      <c r="AM239" s="777" t="b">
        <f>IF('4 SUPERFICIES'!$A48&gt;10,IF('4 SUPERFICIES'!$A48&lt;31.1,IF('4 SUPERFICIES'!$C48&gt;71.5,IF('4 SUPERFICIES'!$C48&lt;85.6,'4 SUPERFICIES'!$AB48,0))))</f>
        <v>0</v>
      </c>
      <c r="AN239" s="777" t="b">
        <f>IF('4 SUPERFICIES'!$A48&gt;10,IF('4 SUPERFICIES'!$A48&lt;31.1,IF('4 SUPERFICIES'!$C48&gt;85.5,IF('4 SUPERFICIES'!$C48&lt;113.6,'4 SUPERFICIES'!$AB48,0))))</f>
        <v>0</v>
      </c>
      <c r="AO239" s="777" t="b">
        <f>IF('4 SUPERFICIES'!$A48&gt;10,IF('4 SUPERFICIES'!$A48&lt;31.1,IF('4 SUPERFICIES'!$C48&gt;113.5,IF('4 SUPERFICIES'!$C48&lt;141.6,'4 SUPERFICIES'!$AB48,0))))</f>
        <v>0</v>
      </c>
      <c r="AP239" s="777" t="b">
        <f>IF('4 SUPERFICIES'!$A48&gt;10,IF('4 SUPERFICIES'!$A48&lt;31.1,IF('4 SUPERFICIES'!$C48&gt;141.5,IF('4 SUPERFICIES'!$C48&lt;180.6,'4 SUPERFICIES'!$AB48,0))))</f>
        <v>0</v>
      </c>
      <c r="AQ239" s="777" t="b">
        <f>IF('4 SUPERFICIES'!$A48&gt;10,IF('4 SUPERFICIES'!$A48&lt;31.1,IF('4 SUPERFICIES'!$C48&gt;180.5,IF('4 SUPERFICIES'!$C48&lt;240.1,'4 SUPERFICIES'!$AB48,0))))</f>
        <v>0</v>
      </c>
      <c r="AS239" s="777" t="b">
        <f>IF('4 SUPERFICIES'!$A48&gt;31,IF('4 SUPERFICIES'!$A48&lt;45.5,IF('4 SUPERFICIES'!$C48&gt;10,IF('4 SUPERFICIES'!$C48&lt;57.6,'4 SUPERFICIES'!$AB48,0))))</f>
        <v>0</v>
      </c>
      <c r="AT239" s="777" t="b">
        <f>IF('4 SUPERFICIES'!$A48&gt;31,IF('4 SUPERFICIES'!$A48&lt;45.5,IF('4 SUPERFICIES'!$C48&gt;57.6,IF('4 SUPERFICIES'!$C48&lt;71.6,'4 SUPERFICIES'!$AB48,0))))</f>
        <v>0</v>
      </c>
      <c r="AU239" s="777" t="b">
        <f>IF('4 SUPERFICIES'!$A48&gt;31,IF('4 SUPERFICIES'!$A48&lt;45.5,IF('4 SUPERFICIES'!$C48&gt;71.5,IF('4 SUPERFICIES'!$C48&lt;85.6,'4 SUPERFICIES'!$AB48,0))))</f>
        <v>0</v>
      </c>
      <c r="AV239" s="777" t="b">
        <f>IF('4 SUPERFICIES'!$A48&gt;31,IF('4 SUPERFICIES'!$A48&lt;45.5,IF('4 SUPERFICIES'!$C48&gt;85.5,IF('4 SUPERFICIES'!$C48&lt;113.6,'4 SUPERFICIES'!$AB48,0))))</f>
        <v>0</v>
      </c>
      <c r="AW239" s="777" t="b">
        <f>IF('4 SUPERFICIES'!$A48&gt;31,IF('4 SUPERFICIES'!$A48&lt;45.5,IF('4 SUPERFICIES'!$C48&gt;113.5,IF('4 SUPERFICIES'!$C48&lt;141.6,'4 SUPERFICIES'!$AB48,0))))</f>
        <v>0</v>
      </c>
      <c r="AX239" s="777" t="b">
        <f>IF('4 SUPERFICIES'!$A48&gt;31,IF('4 SUPERFICIES'!$A48&lt;45.5,IF('4 SUPERFICIES'!$C48&gt;141.5,IF('4 SUPERFICIES'!$C48&lt;180.6,'4 SUPERFICIES'!$AB48,0))))</f>
        <v>0</v>
      </c>
      <c r="AY239" s="777" t="b">
        <f>IF('4 SUPERFICIES'!$A48&gt;31,IF('4 SUPERFICIES'!$A48&lt;45.5,IF('4 SUPERFICIES'!$C48&gt;180.5,IF('4 SUPERFICIES'!$C48&lt;240.1,'4 SUPERFICIES'!$AB48,0))))</f>
        <v>0</v>
      </c>
      <c r="BA239" s="777" t="b">
        <f>IF('4 SUPERFICIES'!$A48&gt;45.4,IF('4 SUPERFICIES'!$A48&lt;61.6,IF('4 SUPERFICIES'!$C48&gt;10,IF('4 SUPERFICIES'!$C48&lt;61.5,'4 SUPERFICIES'!$AB48,0))))</f>
        <v>0</v>
      </c>
      <c r="BB239" s="777" t="b">
        <f>IF('4 SUPERFICIES'!$A48&gt;45.4,IF('4 SUPERFICIES'!$A48&lt;61.6,IF('4 SUPERFICIES'!$C48&gt;61.1,IF('4 SUPERFICIES'!$C48&lt;71.6,'4 SUPERFICIES'!$AB48,0))))</f>
        <v>0</v>
      </c>
      <c r="BC239" s="777" t="b">
        <f>IF('4 SUPERFICIES'!$A48&gt;45.4,IF('4 SUPERFICIES'!$A48&lt;61.6,IF('4 SUPERFICIES'!$C48&gt;71.5,IF('4 SUPERFICIES'!$C48&lt;85.6,'4 SUPERFICIES'!$AB48,0))))</f>
        <v>0</v>
      </c>
      <c r="BD239" s="777" t="b">
        <f>IF('4 SUPERFICIES'!$A48&gt;45.4,IF('4 SUPERFICIES'!$A48&lt;61.6,IF('4 SUPERFICIES'!$C48&gt;85.5,IF('4 SUPERFICIES'!$C48&lt;113.6,'4 SUPERFICIES'!$AB48,0))))</f>
        <v>0</v>
      </c>
      <c r="BE239" s="777" t="b">
        <f>IF('4 SUPERFICIES'!$A48&gt;45.4,IF('4 SUPERFICIES'!$A48&lt;61.6,IF('4 SUPERFICIES'!$C48&gt;113.5,IF('4 SUPERFICIES'!$C48&lt;121.6,'4 SUPERFICIES'!$AB48,0))))</f>
        <v>0</v>
      </c>
      <c r="BF239" s="777" t="b">
        <f>IF('4 SUPERFICIES'!$A48&gt;45.4,IF('4 SUPERFICIES'!$A48&lt;61.6,IF('4 SUPERFICIES'!$C48&gt;121.5,IF('4 SUPERFICIES'!$C48&lt;127.6,'4 SUPERFICIES'!$AB48,0))))</f>
        <v>0</v>
      </c>
      <c r="BG239" s="777" t="b">
        <f>IF('4 SUPERFICIES'!$A48&gt;45.4,IF('4 SUPERFICIES'!$A48&lt;61.6,IF('4 SUPERFICIES'!$C48&gt;127.5,IF('4 SUPERFICIES'!$C48&lt;135.1,'4 SUPERFICIES'!$AB48,0))))</f>
        <v>0</v>
      </c>
      <c r="BH239" s="777" t="b">
        <f>IF('4 SUPERFICIES'!$A48&gt;45.4,IF('4 SUPERFICIES'!$A48&lt;61.6,IF('4 SUPERFICIES'!$C48&gt;135,IF('4 SUPERFICIES'!$C48&lt;141.6,'4 SUPERFICIES'!$AB48,0))))</f>
        <v>0</v>
      </c>
      <c r="BI239" s="777" t="b">
        <f>IF('4 SUPERFICIES'!$A48&gt;45.4,IF('4 SUPERFICIES'!$A48&lt;61.6,IF('4 SUPERFICIES'!$C48&gt;141.5,IF('4 SUPERFICIES'!$C48&lt;149.1,'4 SUPERFICIES'!$AB48,0))))</f>
        <v>0</v>
      </c>
      <c r="BJ239" s="777" t="b">
        <f>IF('4 SUPERFICIES'!$A48&gt;45.4,IF('4 SUPERFICIES'!$A48&lt;61.6,IF('4 SUPERFICIES'!$C48&gt;149,IF('4 SUPERFICIES'!$C48&lt;155.6,'4 SUPERFICIES'!$AB48,0))))</f>
        <v>0</v>
      </c>
      <c r="BK239" s="777" t="b">
        <f>IF('4 SUPERFICIES'!$A48&gt;45.4,IF('4 SUPERFICIES'!$A48&lt;61.6,IF('4 SUPERFICIES'!$C48&gt;155.5,IF('4 SUPERFICIES'!$C48&lt;163.1,'4 SUPERFICIES'!$AB48,0))))</f>
        <v>0</v>
      </c>
      <c r="BL239" s="777" t="b">
        <f>IF('4 SUPERFICIES'!$A48&gt;45.4,IF('4 SUPERFICIES'!$A48&lt;61.6,IF('4 SUPERFICIES'!$C48&gt;163,IF('4 SUPERFICIES'!$C48&lt;180.6,'4 SUPERFICIES'!$AB48,0))))</f>
        <v>0</v>
      </c>
      <c r="BM239" s="777" t="b">
        <f>IF('4 SUPERFICIES'!$A48&gt;45.4,IF('4 SUPERFICIES'!$A48&lt;61.6,IF('4 SUPERFICIES'!$C48&gt;180.5,IF('4 SUPERFICIES'!$C48&lt;240.1,'4 SUPERFICIES'!$AB48,0))))</f>
        <v>0</v>
      </c>
      <c r="BO239" s="837" t="s">
        <v>768</v>
      </c>
      <c r="BP239" s="837"/>
      <c r="BQ239" s="837"/>
      <c r="BS239" s="678" t="s">
        <v>771</v>
      </c>
      <c r="BT239" s="837"/>
      <c r="BV239" s="777" t="b">
        <f>IF('4 SUPERFICIES'!$A48&gt;61.5,IF('4 SUPERFICIES'!$A48&lt;71.6,IF('4 SUPERFICIES'!$C48&gt;10,IF('4 SUPERFICIES'!$C48&lt;57.6,'4 SUPERFICIES'!$AB48,0))))</f>
        <v>0</v>
      </c>
      <c r="BW239" s="777" t="b">
        <f>IF('4 SUPERFICIES'!$A48&gt;61.5,IF('4 SUPERFICIES'!$A48&lt;71.6,IF('4 SUPERFICIES'!$C48&gt;57.6,IF('4 SUPERFICIES'!$C48&lt;71.6,'4 SUPERFICIES'!$AB48,0))))</f>
        <v>0</v>
      </c>
      <c r="BX239" s="777" t="b">
        <f>IF('4 SUPERFICIES'!$A48&gt;61.5,IF('4 SUPERFICIES'!$A48&lt;71.6,IF('4 SUPERFICIES'!$C48&gt;71.5,IF('4 SUPERFICIES'!$C48&lt;85.6,'4 SUPERFICIES'!$AB48,0))))</f>
        <v>0</v>
      </c>
      <c r="BY239" s="777" t="b">
        <f>IF('4 SUPERFICIES'!$A48&gt;61.5,IF('4 SUPERFICIES'!$A48&lt;71.6,IF('4 SUPERFICIES'!$C48&gt;85.5,IF('4 SUPERFICIES'!$C48&lt;113.6,'4 SUPERFICIES'!$AB48,0))))</f>
        <v>0</v>
      </c>
      <c r="BZ239" s="777" t="b">
        <f>IF('4 SUPERFICIES'!$A48&gt;61.5,IF('4 SUPERFICIES'!$A48&lt;71.6,IF('4 SUPERFICIES'!$C48&gt;113.5,IF('4 SUPERFICIES'!$C48&lt;141.6,'4 SUPERFICIES'!$AB48,0))))</f>
        <v>0</v>
      </c>
      <c r="CA239" s="777" t="b">
        <f>IF('4 SUPERFICIES'!$A48&gt;61.5,IF('4 SUPERFICIES'!$A48&lt;71.6,IF('4 SUPERFICIES'!$C48&gt;141.5,IF('4 SUPERFICIES'!$C48&lt;149.1,'4 SUPERFICIES'!$AB48,0))))</f>
        <v>0</v>
      </c>
      <c r="CB239" s="777" t="b">
        <f>IF('4 SUPERFICIES'!$A48&gt;61.5,IF('4 SUPERFICIES'!$A48&lt;71.6,IF('4 SUPERFICIES'!$C48&gt;149,IF('4 SUPERFICIES'!$C48&lt;163.1,'4 SUPERFICIES'!$AB48,0))))</f>
        <v>0</v>
      </c>
      <c r="CC239" s="777" t="b">
        <f>IF('4 SUPERFICIES'!$A48&gt;61.5,IF('4 SUPERFICIES'!$A48&lt;71.6,IF('4 SUPERFICIES'!$C48&gt;163,IF('4 SUPERFICIES'!$C48&lt;180.6,'4 SUPERFICIES'!$AB48,0))))</f>
        <v>0</v>
      </c>
      <c r="CD239" s="777" t="b">
        <f>IF('4 SUPERFICIES'!$A48&gt;61.5,IF('4 SUPERFICIES'!$A48&lt;71.6,IF('4 SUPERFICIES'!$C48&gt;180.5,IF('4 SUPERFICIES'!$C48&lt;240.1,'4 SUPERFICIES'!$AB48,0))))</f>
        <v>0</v>
      </c>
      <c r="CF239" s="777" t="b">
        <f>IF('4 SUPERFICIES'!$A48&gt;71.5,IF('4 SUPERFICIES'!$A48&lt;120.6,IF('4 SUPERFICIES'!$C48&gt;10,IF('4 SUPERFICIES'!$C48&lt;57.6,'4 SUPERFICIES'!$AB48,0))))</f>
        <v>0</v>
      </c>
      <c r="CG239" s="777" t="b">
        <f>IF('4 SUPERFICIES'!$A48&gt;71.5,IF('4 SUPERFICIES'!$A48&lt;120.6,IF('4 SUPERFICIES'!$C48&gt;57.6,IF('4 SUPERFICIES'!$C48&lt;71.6,'4 SUPERFICIES'!$AB48,0))))</f>
        <v>0</v>
      </c>
      <c r="CH239" s="777" t="b">
        <f>IF('4 SUPERFICIES'!$A48&gt;71.5,IF('4 SUPERFICIES'!$A48&lt;120.6,IF('4 SUPERFICIES'!$C48&gt;71.5,IF('4 SUPERFICIES'!$C48&lt;85.6,'4 SUPERFICIES'!$AB48,0))))</f>
        <v>0</v>
      </c>
      <c r="CI239" s="777" t="b">
        <f>IF('4 SUPERFICIES'!$A48&gt;71.5,IF('4 SUPERFICIES'!$A48&lt;120.6,IF('4 SUPERFICIES'!$C48&gt;85.5,IF('4 SUPERFICIES'!$C48&lt;113.6,'4 SUPERFICIES'!$AB48,0))))</f>
        <v>0</v>
      </c>
      <c r="CJ239" s="777" t="b">
        <f>IF('4 SUPERFICIES'!$A48&gt;71.5,IF('4 SUPERFICIES'!$A48&lt;120.6,IF('4 SUPERFICIES'!$C48&gt;113.5,IF('4 SUPERFICIES'!$C48&lt;141.6,'4 SUPERFICIES'!$AB48,0))))</f>
        <v>0</v>
      </c>
      <c r="CK239" s="777" t="b">
        <f>IF('4 SUPERFICIES'!$A48&gt;71.5,IF('4 SUPERFICIES'!$A48&lt;120.6,IF('4 SUPERFICIES'!$C48&gt;141.5,IF('4 SUPERFICIES'!$C48&lt;180.6,'4 SUPERFICIES'!$AB48,0))))</f>
        <v>0</v>
      </c>
      <c r="CL239" s="777" t="b">
        <f>IF('4 SUPERFICIES'!$A48&gt;71.5,IF('4 SUPERFICIES'!$A48&lt;120.6,IF('4 SUPERFICIES'!$C48&gt;180.5,IF('4 SUPERFICIES'!$C48&lt;240.1,'4 SUPERFICIES'!$AB48,0))))</f>
        <v>0</v>
      </c>
      <c r="CN239" s="777">
        <f>IF('4 SUPERFICIES'!$C48&lt;150,IF(OR('4 SUPERFICIES'!$A48="MICRODER",'4 SUPERFICIES'!$A48="MICRO DER",),'4 SUPERFICIES'!$AB48,0))</f>
        <v>0</v>
      </c>
      <c r="CO239" s="777" t="b">
        <f>IF('4 SUPERFICIES'!$C48&gt;149.5,IF(OR('4 SUPERFICIES'!$A48="MICRODER",'4 SUPERFICIES'!$A48="MICRO DER",),'4 SUPERFICIES'!$AB48,0))</f>
        <v>0</v>
      </c>
      <c r="CP239" s="847"/>
      <c r="CQ239" s="777">
        <f>IF('4 SUPERFICIES'!$C48&lt;150,IF(OR('4 SUPERFICIES'!$A48="MICROIZQ",'4 SUPERFICIES'!$A48="MICRO IZQ",),'4 SUPERFICIES'!$AB48,0))</f>
        <v>0</v>
      </c>
      <c r="CR239" s="777" t="b">
        <f>IF('4 SUPERFICIES'!$C48&gt;149.5,IF(OR('4 SUPERFICIES'!$A48="MICROIZQ",'4 SUPERFICIES'!$A48="MICRO IZQ",),'4 SUPERFICIES'!$AB48,0))</f>
        <v>0</v>
      </c>
      <c r="CT239" s="837">
        <f>IF(OR('4 SUPERFICIES'!$A48="MICRO SEN",'4 SUPERFICIES'!$A48="MICROSEN",),'4 SUPERFICIES'!$AB48,0)</f>
        <v>0</v>
      </c>
      <c r="CV239" s="837" t="b">
        <f>IF('4 SUPERFICIES'!$A48="DIAMETRO",IF('4 SUPERFICIES'!$C48&lt;121.1,'4 SUPERFICIES'!$AB48,0))</f>
        <v>0</v>
      </c>
      <c r="CX239" s="858"/>
      <c r="CZ239" s="837" t="b">
        <f>IF('4 SUPERFICIES'!$A48="MOSTRADOR",IF('4 SUPERFICIES'!$C48="R60",'4 SUPERFICIES'!$AB48,0))</f>
        <v>0</v>
      </c>
      <c r="DB239" s="837">
        <f>IF(OR('4 SUPERFICIES'!$A48="PORTA PRIN",'4 SUPERFICIES'!$A48="PORTAPRIN",),'4 SUPERFICIES'!$AB48,0)</f>
        <v>0</v>
      </c>
      <c r="DD239" s="837">
        <f>IF(OR('4 SUPERFICIES'!$A48="PORTA BADE",'4 SUPERFICIES'!$A48="PORTABADE",),'4 SUPERFICIES'!$AB48,0)</f>
        <v>0</v>
      </c>
      <c r="DE239" s="837"/>
      <c r="DF239" s="837">
        <f>IF(OR('4 SUPERFICIES'!$A48="RETORNO IZQ",'4 SUPERFICIES'!$A48="RETORNO DER",),'4 SUPERFICIES'!$AB148,0)</f>
        <v>0</v>
      </c>
      <c r="DG239" s="837"/>
      <c r="DH239" s="837">
        <f>IF(OR('4 SUPERFICIES'!$A48="PITO Q",'4 SUPERFICIES'!$A48="PITO P",'4 SUPERFICIES'!$A48="DIAMETRO INTEGRADA",),'4 SUPERFICIES'!$AB48,0)</f>
        <v>0</v>
      </c>
      <c r="DJ239" s="858"/>
      <c r="DK239" s="837"/>
      <c r="DL239" s="837">
        <f>IF('4 SUPERFICIES'!$A48="SUPERFICIE OVAL",'4 SUPERFICIES'!$AB48,0)</f>
        <v>0</v>
      </c>
      <c r="DO239" s="838"/>
      <c r="DP239" s="838"/>
      <c r="DQ239" s="838"/>
      <c r="DR239" s="838"/>
      <c r="DS239" s="838"/>
      <c r="DT239" s="838"/>
      <c r="DU239" s="838"/>
      <c r="DV239" s="838"/>
      <c r="DW239" s="838"/>
      <c r="DX239" s="838"/>
      <c r="DY239" s="838"/>
      <c r="DZ239" s="838"/>
      <c r="EA239" s="838"/>
      <c r="EB239" s="838"/>
      <c r="EC239" s="838"/>
      <c r="ED239" s="838"/>
      <c r="EE239" s="852"/>
      <c r="EG239" s="682">
        <f>IF('4 SUPERFICIES'!A48="MICRO DER",85,IF('4 SUPERFICIES'!A48="MICRO IZQ",85,IF('4 SUPERFICIES'!A48="MICRO SEN",170,IF('4 SUPERFICIES'!A48="DIAMETRO",3.14*'4 SUPERFICIES'!C48/2,IF('4 SUPERFICIES'!A48="MOSTRADOR",136,IF('4 SUPERFICIES'!A48="PORTA",65,IF('4 SUPERFICIES'!A48="PITO Q",90,IF('4 SUPERFICIES'!A48="PITO P",90,'4 SUPERFICIES'!A48))))))))</f>
        <v>0</v>
      </c>
      <c r="EH239" s="682"/>
      <c r="EI239" s="682">
        <f>IF('4 SUPERFICIES'!A48="DIAMETRO",0,IF('4 SUPERFICIES'!C48="PRINCIPAL",160,IF('4 SUPERFICIES'!C48="BADE",190,IF('4 SUPERFICIES'!C48="RETORNO",100,IF('4 SUPERFICIES'!C48="R 60",100,IF('4 SUPERFICIES'!C48="R60",100,'4 SUPERFICIES'!C48))))))</f>
        <v>0</v>
      </c>
      <c r="EJ239" s="682"/>
      <c r="EK239" s="682">
        <f>IF('4 SUPERFICIES'!$F48='4 SUPERFICIES'!$AG$15,((EG239*2)+(EI239*2))*'4 SUPERFICIES'!AB48,0)</f>
        <v>0</v>
      </c>
      <c r="EL239" s="682"/>
      <c r="EM239" s="682">
        <f>IF('4 SUPERFICIES'!$F48='4 SUPERFICIES'!$AG$16,((EG239*2)+(EI239*2))*'4 SUPERFICIES'!AB48,0)</f>
        <v>0</v>
      </c>
      <c r="EO239" s="682">
        <f>IF('4 SUPERFICIES'!$F48='4 SUPERFICIES'!$AG$17,((EG239*2)+(EI239*2))*'4 SUPERFICIES'!AB48,0)</f>
        <v>0</v>
      </c>
      <c r="EP239" s="838"/>
      <c r="EQ239" s="682">
        <f>IF('4 SUPERFICIES'!$F48='4 SUPERFICIES'!$AG$18,((EG239*2)+(EI239*2))*'4 SUPERFICIES'!AB48,0)</f>
        <v>0</v>
      </c>
      <c r="ER239" s="838"/>
      <c r="ES239" s="858"/>
      <c r="ET239" s="858"/>
      <c r="EU239" s="858"/>
      <c r="EV239" s="858"/>
      <c r="EW239" s="838"/>
      <c r="EX239" s="838"/>
      <c r="EY239" s="838"/>
      <c r="EZ239" s="838"/>
      <c r="FA239" s="838"/>
      <c r="FB239" s="838"/>
      <c r="FC239" s="838"/>
      <c r="FD239" s="838"/>
      <c r="FE239" s="838"/>
      <c r="FF239" s="838"/>
      <c r="FG239" s="838"/>
      <c r="FH239" s="838"/>
      <c r="FI239" s="838"/>
      <c r="FJ239" s="838"/>
      <c r="FK239" s="838"/>
      <c r="FL239" s="838"/>
      <c r="FM239" s="838"/>
      <c r="FN239" s="838"/>
      <c r="FO239" s="838"/>
      <c r="FP239" s="838"/>
      <c r="GM239" s="858"/>
      <c r="GN239" s="838"/>
      <c r="GO239" s="858"/>
      <c r="GP239" s="858"/>
      <c r="GQ239" s="858"/>
      <c r="GR239" s="838"/>
      <c r="GS239" s="838"/>
      <c r="HF239" s="700">
        <v>28.5</v>
      </c>
      <c r="HH239" s="591">
        <v>28.5</v>
      </c>
    </row>
    <row r="240" spans="1:216" x14ac:dyDescent="0.35">
      <c r="AK240" s="777" t="b">
        <f>IF('4 SUPERFICIES'!$A49&gt;10,IF('4 SUPERFICIES'!$A49&lt;31.1,IF('4 SUPERFICIES'!$C49&gt;10,IF('4 SUPERFICIES'!$C49&lt;57.6,'4 SUPERFICIES'!$AB49,0))))</f>
        <v>0</v>
      </c>
      <c r="AL240" s="777" t="b">
        <f>IF('4 SUPERFICIES'!$A49&gt;10,IF('4 SUPERFICIES'!$A49&lt;31.1,IF('4 SUPERFICIES'!$C49&gt;57.6,IF('4 SUPERFICIES'!$C49&lt;71.6,'4 SUPERFICIES'!$AB49,0))))</f>
        <v>0</v>
      </c>
      <c r="AM240" s="777" t="b">
        <f>IF('4 SUPERFICIES'!$A49&gt;10,IF('4 SUPERFICIES'!$A49&lt;31.1,IF('4 SUPERFICIES'!$C49&gt;71.5,IF('4 SUPERFICIES'!$C49&lt;85.6,'4 SUPERFICIES'!$AB49,0))))</f>
        <v>0</v>
      </c>
      <c r="AN240" s="777" t="b">
        <f>IF('4 SUPERFICIES'!$A49&gt;10,IF('4 SUPERFICIES'!$A49&lt;31.1,IF('4 SUPERFICIES'!$C49&gt;85.5,IF('4 SUPERFICIES'!$C49&lt;113.6,'4 SUPERFICIES'!$AB49,0))))</f>
        <v>0</v>
      </c>
      <c r="AO240" s="777" t="b">
        <f>IF('4 SUPERFICIES'!$A49&gt;10,IF('4 SUPERFICIES'!$A49&lt;31.1,IF('4 SUPERFICIES'!$C49&gt;113.5,IF('4 SUPERFICIES'!$C49&lt;141.6,'4 SUPERFICIES'!$AB49,0))))</f>
        <v>0</v>
      </c>
      <c r="AP240" s="777" t="b">
        <f>IF('4 SUPERFICIES'!$A49&gt;10,IF('4 SUPERFICIES'!$A49&lt;31.1,IF('4 SUPERFICIES'!$C49&gt;141.5,IF('4 SUPERFICIES'!$C49&lt;180.6,'4 SUPERFICIES'!$AB49,0))))</f>
        <v>0</v>
      </c>
      <c r="AQ240" s="777" t="b">
        <f>IF('4 SUPERFICIES'!$A49&gt;10,IF('4 SUPERFICIES'!$A49&lt;31.1,IF('4 SUPERFICIES'!$C49&gt;180.5,IF('4 SUPERFICIES'!$C49&lt;240.1,'4 SUPERFICIES'!$AB49,0))))</f>
        <v>0</v>
      </c>
      <c r="AS240" s="777" t="b">
        <f>IF('4 SUPERFICIES'!$A49&gt;31,IF('4 SUPERFICIES'!$A49&lt;45.5,IF('4 SUPERFICIES'!$C49&gt;10,IF('4 SUPERFICIES'!$C49&lt;57.6,'4 SUPERFICIES'!$AB49,0))))</f>
        <v>0</v>
      </c>
      <c r="AT240" s="777" t="b">
        <f>IF('4 SUPERFICIES'!$A49&gt;31,IF('4 SUPERFICIES'!$A49&lt;45.5,IF('4 SUPERFICIES'!$C49&gt;57.6,IF('4 SUPERFICIES'!$C49&lt;71.6,'4 SUPERFICIES'!$AB49,0))))</f>
        <v>0</v>
      </c>
      <c r="AU240" s="777" t="b">
        <f>IF('4 SUPERFICIES'!$A49&gt;31,IF('4 SUPERFICIES'!$A49&lt;45.5,IF('4 SUPERFICIES'!$C49&gt;71.5,IF('4 SUPERFICIES'!$C49&lt;85.6,'4 SUPERFICIES'!$AB49,0))))</f>
        <v>0</v>
      </c>
      <c r="AV240" s="777" t="b">
        <f>IF('4 SUPERFICIES'!$A49&gt;31,IF('4 SUPERFICIES'!$A49&lt;45.5,IF('4 SUPERFICIES'!$C49&gt;85.5,IF('4 SUPERFICIES'!$C49&lt;113.6,'4 SUPERFICIES'!$AB49,0))))</f>
        <v>0</v>
      </c>
      <c r="AW240" s="777" t="b">
        <f>IF('4 SUPERFICIES'!$A49&gt;31,IF('4 SUPERFICIES'!$A49&lt;45.5,IF('4 SUPERFICIES'!$C49&gt;113.5,IF('4 SUPERFICIES'!$C49&lt;141.6,'4 SUPERFICIES'!$AB49,0))))</f>
        <v>0</v>
      </c>
      <c r="AX240" s="777" t="b">
        <f>IF('4 SUPERFICIES'!$A49&gt;31,IF('4 SUPERFICIES'!$A49&lt;45.5,IF('4 SUPERFICIES'!$C49&gt;141.5,IF('4 SUPERFICIES'!$C49&lt;180.6,'4 SUPERFICIES'!$AB49,0))))</f>
        <v>0</v>
      </c>
      <c r="AY240" s="777" t="b">
        <f>IF('4 SUPERFICIES'!$A49&gt;31,IF('4 SUPERFICIES'!$A49&lt;45.5,IF('4 SUPERFICIES'!$C49&gt;180.5,IF('4 SUPERFICIES'!$C49&lt;240.1,'4 SUPERFICIES'!$AB49,0))))</f>
        <v>0</v>
      </c>
      <c r="BA240" s="777" t="b">
        <f>IF('4 SUPERFICIES'!$A49&gt;45.4,IF('4 SUPERFICIES'!$A49&lt;61.6,IF('4 SUPERFICIES'!$C49&gt;10,IF('4 SUPERFICIES'!$C49&lt;61.5,'4 SUPERFICIES'!$AB49,0))))</f>
        <v>0</v>
      </c>
      <c r="BB240" s="777" t="b">
        <f>IF('4 SUPERFICIES'!$A49&gt;45.4,IF('4 SUPERFICIES'!$A49&lt;61.6,IF('4 SUPERFICIES'!$C49&gt;61.1,IF('4 SUPERFICIES'!$C49&lt;71.6,'4 SUPERFICIES'!$AB49,0))))</f>
        <v>0</v>
      </c>
      <c r="BC240" s="777" t="b">
        <f>IF('4 SUPERFICIES'!$A49&gt;45.4,IF('4 SUPERFICIES'!$A49&lt;61.6,IF('4 SUPERFICIES'!$C49&gt;71.5,IF('4 SUPERFICIES'!$C49&lt;85.6,'4 SUPERFICIES'!$AB49,0))))</f>
        <v>0</v>
      </c>
      <c r="BD240" s="777" t="b">
        <f>IF('4 SUPERFICIES'!$A49&gt;45.4,IF('4 SUPERFICIES'!$A49&lt;61.6,IF('4 SUPERFICIES'!$C49&gt;85.5,IF('4 SUPERFICIES'!$C49&lt;113.6,'4 SUPERFICIES'!$AB49,0))))</f>
        <v>0</v>
      </c>
      <c r="BE240" s="777" t="b">
        <f>IF('4 SUPERFICIES'!$A49&gt;45.4,IF('4 SUPERFICIES'!$A49&lt;61.6,IF('4 SUPERFICIES'!$C49&gt;113.5,IF('4 SUPERFICIES'!$C49&lt;121.6,'4 SUPERFICIES'!$AB49,0))))</f>
        <v>0</v>
      </c>
      <c r="BF240" s="777" t="b">
        <f>IF('4 SUPERFICIES'!$A49&gt;45.4,IF('4 SUPERFICIES'!$A49&lt;61.6,IF('4 SUPERFICIES'!$C49&gt;121.5,IF('4 SUPERFICIES'!$C49&lt;127.6,'4 SUPERFICIES'!$AB49,0))))</f>
        <v>0</v>
      </c>
      <c r="BG240" s="777" t="b">
        <f>IF('4 SUPERFICIES'!$A49&gt;45.4,IF('4 SUPERFICIES'!$A49&lt;61.6,IF('4 SUPERFICIES'!$C49&gt;127.5,IF('4 SUPERFICIES'!$C49&lt;135.1,'4 SUPERFICIES'!$AB49,0))))</f>
        <v>0</v>
      </c>
      <c r="BH240" s="777" t="b">
        <f>IF('4 SUPERFICIES'!$A49&gt;45.4,IF('4 SUPERFICIES'!$A49&lt;61.6,IF('4 SUPERFICIES'!$C49&gt;135,IF('4 SUPERFICIES'!$C49&lt;141.6,'4 SUPERFICIES'!$AB49,0))))</f>
        <v>0</v>
      </c>
      <c r="BI240" s="777" t="b">
        <f>IF('4 SUPERFICIES'!$A49&gt;45.4,IF('4 SUPERFICIES'!$A49&lt;61.6,IF('4 SUPERFICIES'!$C49&gt;141.5,IF('4 SUPERFICIES'!$C49&lt;149.1,'4 SUPERFICIES'!$AB49,0))))</f>
        <v>0</v>
      </c>
      <c r="BJ240" s="777" t="b">
        <f>IF('4 SUPERFICIES'!$A49&gt;45.4,IF('4 SUPERFICIES'!$A49&lt;61.6,IF('4 SUPERFICIES'!$C49&gt;149,IF('4 SUPERFICIES'!$C49&lt;155.6,'4 SUPERFICIES'!$AB49,0))))</f>
        <v>0</v>
      </c>
      <c r="BK240" s="777" t="b">
        <f>IF('4 SUPERFICIES'!$A49&gt;45.4,IF('4 SUPERFICIES'!$A49&lt;61.6,IF('4 SUPERFICIES'!$C49&gt;155.5,IF('4 SUPERFICIES'!$C49&lt;163.1,'4 SUPERFICIES'!$AB49,0))))</f>
        <v>0</v>
      </c>
      <c r="BL240" s="777" t="b">
        <f>IF('4 SUPERFICIES'!$A49&gt;45.4,IF('4 SUPERFICIES'!$A49&lt;61.6,IF('4 SUPERFICIES'!$C49&gt;163,IF('4 SUPERFICIES'!$C49&lt;180.6,'4 SUPERFICIES'!$AB49,0))))</f>
        <v>0</v>
      </c>
      <c r="BM240" s="777" t="b">
        <f>IF('4 SUPERFICIES'!$A49&gt;45.4,IF('4 SUPERFICIES'!$A49&lt;61.6,IF('4 SUPERFICIES'!$C49&gt;180.5,IF('4 SUPERFICIES'!$C49&lt;240.1,'4 SUPERFICIES'!$AB49,0))))</f>
        <v>0</v>
      </c>
      <c r="BP240" s="845"/>
      <c r="BR240" s="866"/>
      <c r="BS240" s="866"/>
      <c r="BT240" s="849"/>
      <c r="BV240" s="777" t="b">
        <f>IF('4 SUPERFICIES'!$A49&gt;61.5,IF('4 SUPERFICIES'!$A49&lt;71.6,IF('4 SUPERFICIES'!$C49&gt;10,IF('4 SUPERFICIES'!$C49&lt;57.6,'4 SUPERFICIES'!$AB49,0))))</f>
        <v>0</v>
      </c>
      <c r="BW240" s="777" t="b">
        <f>IF('4 SUPERFICIES'!$A49&gt;61.5,IF('4 SUPERFICIES'!$A49&lt;71.6,IF('4 SUPERFICIES'!$C49&gt;57.6,IF('4 SUPERFICIES'!$C49&lt;71.6,'4 SUPERFICIES'!$AB49,0))))</f>
        <v>0</v>
      </c>
      <c r="BX240" s="777" t="b">
        <f>IF('4 SUPERFICIES'!$A49&gt;61.5,IF('4 SUPERFICIES'!$A49&lt;71.6,IF('4 SUPERFICIES'!$C49&gt;71.5,IF('4 SUPERFICIES'!$C49&lt;85.6,'4 SUPERFICIES'!$AB49,0))))</f>
        <v>0</v>
      </c>
      <c r="BY240" s="777" t="b">
        <f>IF('4 SUPERFICIES'!$A49&gt;61.5,IF('4 SUPERFICIES'!$A49&lt;71.6,IF('4 SUPERFICIES'!$C49&gt;85.5,IF('4 SUPERFICIES'!$C49&lt;113.6,'4 SUPERFICIES'!$AB49,0))))</f>
        <v>0</v>
      </c>
      <c r="BZ240" s="777" t="b">
        <f>IF('4 SUPERFICIES'!$A49&gt;61.5,IF('4 SUPERFICIES'!$A49&lt;71.6,IF('4 SUPERFICIES'!$C49&gt;113.5,IF('4 SUPERFICIES'!$C49&lt;141.6,'4 SUPERFICIES'!$AB49,0))))</f>
        <v>0</v>
      </c>
      <c r="CA240" s="777" t="b">
        <f>IF('4 SUPERFICIES'!$A49&gt;61.5,IF('4 SUPERFICIES'!$A49&lt;71.6,IF('4 SUPERFICIES'!$C49&gt;141.5,IF('4 SUPERFICIES'!$C49&lt;149.1,'4 SUPERFICIES'!$AB49,0))))</f>
        <v>0</v>
      </c>
      <c r="CB240" s="777" t="b">
        <f>IF('4 SUPERFICIES'!$A49&gt;61.5,IF('4 SUPERFICIES'!$A49&lt;71.6,IF('4 SUPERFICIES'!$C49&gt;149,IF('4 SUPERFICIES'!$C49&lt;163.1,'4 SUPERFICIES'!$AB49,0))))</f>
        <v>0</v>
      </c>
      <c r="CC240" s="777" t="b">
        <f>IF('4 SUPERFICIES'!$A49&gt;61.5,IF('4 SUPERFICIES'!$A49&lt;71.6,IF('4 SUPERFICIES'!$C49&gt;163,IF('4 SUPERFICIES'!$C49&lt;180.6,'4 SUPERFICIES'!$AB49,0))))</f>
        <v>0</v>
      </c>
      <c r="CD240" s="777" t="b">
        <f>IF('4 SUPERFICIES'!$A49&gt;61.5,IF('4 SUPERFICIES'!$A49&lt;71.6,IF('4 SUPERFICIES'!$C49&gt;180.5,IF('4 SUPERFICIES'!$C49&lt;240.1,'4 SUPERFICIES'!$AB49,0))))</f>
        <v>0</v>
      </c>
      <c r="CF240" s="777" t="b">
        <f>IF('4 SUPERFICIES'!$A49&gt;71.5,IF('4 SUPERFICIES'!$A49&lt;120.6,IF('4 SUPERFICIES'!$C49&gt;10,IF('4 SUPERFICIES'!$C49&lt;57.6,'4 SUPERFICIES'!$AB49,0))))</f>
        <v>0</v>
      </c>
      <c r="CG240" s="777" t="b">
        <f>IF('4 SUPERFICIES'!$A49&gt;71.5,IF('4 SUPERFICIES'!$A49&lt;120.6,IF('4 SUPERFICIES'!$C49&gt;57.6,IF('4 SUPERFICIES'!$C49&lt;71.6,'4 SUPERFICIES'!$AB49,0))))</f>
        <v>0</v>
      </c>
      <c r="CH240" s="777" t="b">
        <f>IF('4 SUPERFICIES'!$A49&gt;71.5,IF('4 SUPERFICIES'!$A49&lt;120.6,IF('4 SUPERFICIES'!$C49&gt;71.5,IF('4 SUPERFICIES'!$C49&lt;85.6,'4 SUPERFICIES'!$AB49,0))))</f>
        <v>0</v>
      </c>
      <c r="CI240" s="777" t="b">
        <f>IF('4 SUPERFICIES'!$A49&gt;71.5,IF('4 SUPERFICIES'!$A49&lt;120.6,IF('4 SUPERFICIES'!$C49&gt;85.5,IF('4 SUPERFICIES'!$C49&lt;113.6,'4 SUPERFICIES'!$AB49,0))))</f>
        <v>0</v>
      </c>
      <c r="CJ240" s="777" t="b">
        <f>IF('4 SUPERFICIES'!$A49&gt;71.5,IF('4 SUPERFICIES'!$A49&lt;120.6,IF('4 SUPERFICIES'!$C49&gt;113.5,IF('4 SUPERFICIES'!$C49&lt;141.6,'4 SUPERFICIES'!$AB49,0))))</f>
        <v>0</v>
      </c>
      <c r="CK240" s="777" t="b">
        <f>IF('4 SUPERFICIES'!$A49&gt;71.5,IF('4 SUPERFICIES'!$A49&lt;120.6,IF('4 SUPERFICIES'!$C49&gt;141.5,IF('4 SUPERFICIES'!$C49&lt;180.6,'4 SUPERFICIES'!$AB49,0))))</f>
        <v>0</v>
      </c>
      <c r="CL240" s="777" t="b">
        <f>IF('4 SUPERFICIES'!$A49&gt;71.5,IF('4 SUPERFICIES'!$A49&lt;120.6,IF('4 SUPERFICIES'!$C49&gt;180.5,IF('4 SUPERFICIES'!$C49&lt;240.1,'4 SUPERFICIES'!$AB49,0))))</f>
        <v>0</v>
      </c>
      <c r="CN240" s="777">
        <f>IF('4 SUPERFICIES'!$C49&lt;150,IF(OR('4 SUPERFICIES'!$A49="MICRODER",'4 SUPERFICIES'!$A49="MICRO DER",),'4 SUPERFICIES'!$AB49,0))</f>
        <v>0</v>
      </c>
      <c r="CO240" s="777" t="b">
        <f>IF('4 SUPERFICIES'!$C49&gt;149.5,IF(OR('4 SUPERFICIES'!$A49="MICRODER",'4 SUPERFICIES'!$A49="MICRO DER",),'4 SUPERFICIES'!$AB49,0))</f>
        <v>0</v>
      </c>
      <c r="CP240" s="847"/>
      <c r="CQ240" s="777">
        <f>IF('4 SUPERFICIES'!$C49&lt;150,IF(OR('4 SUPERFICIES'!$A49="MICROIZQ",'4 SUPERFICIES'!$A49="MICRO IZQ",),'4 SUPERFICIES'!$AB49,0))</f>
        <v>0</v>
      </c>
      <c r="CR240" s="777" t="b">
        <f>IF('4 SUPERFICIES'!$C49&gt;149.5,IF(OR('4 SUPERFICIES'!$A49="MICROIZQ",'4 SUPERFICIES'!$A49="MICRO IZQ",),'4 SUPERFICIES'!$AB49,0))</f>
        <v>0</v>
      </c>
      <c r="CT240" s="837">
        <f>IF(OR('4 SUPERFICIES'!$A49="MICRO SEN",'4 SUPERFICIES'!$A49="MICROSEN",),'4 SUPERFICIES'!$AB49,0)</f>
        <v>0</v>
      </c>
      <c r="CV240" s="837" t="b">
        <f>IF('4 SUPERFICIES'!$A49="DIAMETRO",IF('4 SUPERFICIES'!$C49&lt;121.1,'4 SUPERFICIES'!$AB49,0))</f>
        <v>0</v>
      </c>
      <c r="CX240" s="858"/>
      <c r="CZ240" s="837" t="b">
        <f>IF('4 SUPERFICIES'!$A49="MOSTRADOR",IF('4 SUPERFICIES'!$C49="R60",'4 SUPERFICIES'!$AB49,0))</f>
        <v>0</v>
      </c>
      <c r="DB240" s="837">
        <f>IF(OR('4 SUPERFICIES'!$A49="PORTA PRIN",'4 SUPERFICIES'!$A49="PORTAPRIN",),'4 SUPERFICIES'!$AB49,0)</f>
        <v>0</v>
      </c>
      <c r="DD240" s="837">
        <f>IF(OR('4 SUPERFICIES'!$A49="PORTA BADE",'4 SUPERFICIES'!$A49="PORTABADE",),'4 SUPERFICIES'!$AB49,0)</f>
        <v>0</v>
      </c>
      <c r="DE240" s="837"/>
      <c r="DF240" s="837">
        <f>IF(OR('4 SUPERFICIES'!$A49="RETORNO IZQ",'4 SUPERFICIES'!$A49="RETORNO DER",),'4 SUPERFICIES'!$AB149,0)</f>
        <v>0</v>
      </c>
      <c r="DG240" s="837"/>
      <c r="DH240" s="837">
        <f>IF(OR('4 SUPERFICIES'!$A49="PITO Q",'4 SUPERFICIES'!$A49="PITO P",'4 SUPERFICIES'!$A49="DIAMETRO INTEGRADA",),'4 SUPERFICIES'!$AB49,0)</f>
        <v>0</v>
      </c>
      <c r="DJ240" s="858"/>
      <c r="DK240" s="837"/>
      <c r="DL240" s="837">
        <f>IF('4 SUPERFICIES'!$A49="SUPERFICIE OVAL",'4 SUPERFICIES'!$AB49,0)</f>
        <v>0</v>
      </c>
      <c r="DO240" s="838"/>
      <c r="DP240" s="838"/>
      <c r="DQ240" s="838"/>
      <c r="DR240" s="838"/>
      <c r="DS240" s="838"/>
      <c r="DT240" s="838"/>
      <c r="DU240" s="838"/>
      <c r="DV240" s="838"/>
      <c r="DW240" s="838"/>
      <c r="DX240" s="838"/>
      <c r="DY240" s="838"/>
      <c r="DZ240" s="838"/>
      <c r="EA240" s="838"/>
      <c r="EB240" s="838"/>
      <c r="EC240" s="838"/>
      <c r="ED240" s="838"/>
      <c r="EE240" s="852"/>
      <c r="EG240" s="682">
        <f>IF('4 SUPERFICIES'!A49="MICRO DER",85,IF('4 SUPERFICIES'!A49="MICRO IZQ",85,IF('4 SUPERFICIES'!A49="MICRO SEN",170,IF('4 SUPERFICIES'!A49="DIAMETRO",3.14*'4 SUPERFICIES'!C49/2,IF('4 SUPERFICIES'!A49="MOSTRADOR",136,IF('4 SUPERFICIES'!A49="PORTA",65,IF('4 SUPERFICIES'!A49="PITO Q",90,IF('4 SUPERFICIES'!A49="PITO P",90,'4 SUPERFICIES'!A49))))))))</f>
        <v>0</v>
      </c>
      <c r="EH240" s="682"/>
      <c r="EI240" s="682">
        <f>IF('4 SUPERFICIES'!A49="DIAMETRO",0,IF('4 SUPERFICIES'!C49="PRINCIPAL",160,IF('4 SUPERFICIES'!C49="BADE",190,IF('4 SUPERFICIES'!C49="RETORNO",100,IF('4 SUPERFICIES'!C49="R 60",100,IF('4 SUPERFICIES'!C49="R60",100,'4 SUPERFICIES'!C49))))))</f>
        <v>0</v>
      </c>
      <c r="EJ240" s="682"/>
      <c r="EK240" s="682">
        <f>IF('4 SUPERFICIES'!$F49='4 SUPERFICIES'!$AG$15,((EG240*2)+(EI240*2))*'4 SUPERFICIES'!AB49,0)</f>
        <v>0</v>
      </c>
      <c r="EL240" s="682"/>
      <c r="EM240" s="682">
        <f>IF('4 SUPERFICIES'!$F49='4 SUPERFICIES'!$AG$16,((EG240*2)+(EI240*2))*'4 SUPERFICIES'!AB49,0)</f>
        <v>0</v>
      </c>
      <c r="EO240" s="682">
        <f>IF('4 SUPERFICIES'!$F49='4 SUPERFICIES'!$AG$17,((EG240*2)+(EI240*2))*'4 SUPERFICIES'!AB49,0)</f>
        <v>0</v>
      </c>
      <c r="EP240" s="838"/>
      <c r="EQ240" s="682">
        <f>IF('4 SUPERFICIES'!$F49='4 SUPERFICIES'!$AG$18,((EG240*2)+(EI240*2))*'4 SUPERFICIES'!AB49,0)</f>
        <v>0</v>
      </c>
      <c r="ER240" s="838"/>
      <c r="ES240" s="858"/>
      <c r="ET240" s="858"/>
      <c r="EU240" s="858"/>
      <c r="EV240" s="858"/>
      <c r="EW240" s="838"/>
      <c r="EX240" s="838"/>
      <c r="EY240" s="838"/>
      <c r="EZ240" s="838"/>
      <c r="FA240" s="838"/>
      <c r="FB240" s="838"/>
      <c r="FC240" s="838"/>
      <c r="FD240" s="838"/>
      <c r="FE240" s="838"/>
      <c r="FF240" s="838"/>
      <c r="FG240" s="838"/>
      <c r="FH240" s="838"/>
      <c r="FI240" s="838"/>
      <c r="FJ240" s="838"/>
      <c r="FK240" s="838"/>
      <c r="FL240" s="838"/>
      <c r="FM240" s="838"/>
      <c r="FN240" s="838"/>
      <c r="FO240" s="838"/>
      <c r="FP240" s="838"/>
      <c r="GM240" s="858"/>
      <c r="GN240" s="838"/>
      <c r="GO240" s="858"/>
      <c r="GP240" s="858"/>
      <c r="GQ240" s="858"/>
      <c r="GR240" s="838"/>
      <c r="GS240" s="838"/>
      <c r="HF240" s="700">
        <v>29</v>
      </c>
      <c r="HH240" s="591">
        <v>29</v>
      </c>
    </row>
    <row r="241" spans="4:216" ht="26.25" x14ac:dyDescent="0.4">
      <c r="D241" s="879">
        <f>IF($A$230=1,IF('5 ALMACEN '!$D39='2 M-A +'!$C$41,'5 ALMACEN '!$B39+'5 ALMACEN '!$C39,0))</f>
        <v>0</v>
      </c>
      <c r="E241" s="879">
        <f>IF($A$230=1,IF('5 ALMACEN '!$D40='2 M-A +'!$C$41,'5 ALMACEN '!$B40+'5 ALMACEN '!$C40,0))</f>
        <v>0</v>
      </c>
      <c r="F241" s="879">
        <f>IF($A$230=1,IF('5 ALMACEN '!$D41='2 M-A +'!$C$41,'5 ALMACEN '!$B41+'5 ALMACEN '!$C41,0))</f>
        <v>0</v>
      </c>
      <c r="G241" s="879">
        <f>IF($A$230=1,IF('5 ALMACEN '!$D42='2 M-A +'!$C$41,'5 ALMACEN '!$B42+'5 ALMACEN '!$C42,0))</f>
        <v>0</v>
      </c>
      <c r="AK241" s="777" t="b">
        <f>IF('4 SUPERFICIES'!$A50&gt;10,IF('4 SUPERFICIES'!$A50&lt;31.1,IF('4 SUPERFICIES'!$C50&gt;10,IF('4 SUPERFICIES'!$C50&lt;57.6,'4 SUPERFICIES'!$AB50,0))))</f>
        <v>0</v>
      </c>
      <c r="AL241" s="777" t="b">
        <f>IF('4 SUPERFICIES'!$A50&gt;10,IF('4 SUPERFICIES'!$A50&lt;31.1,IF('4 SUPERFICIES'!$C50&gt;57.6,IF('4 SUPERFICIES'!$C50&lt;71.6,'4 SUPERFICIES'!$AB50,0))))</f>
        <v>0</v>
      </c>
      <c r="AM241" s="777" t="b">
        <f>IF('4 SUPERFICIES'!$A50&gt;10,IF('4 SUPERFICIES'!$A50&lt;31.1,IF('4 SUPERFICIES'!$C50&gt;71.5,IF('4 SUPERFICIES'!$C50&lt;85.6,'4 SUPERFICIES'!$AB50,0))))</f>
        <v>0</v>
      </c>
      <c r="AN241" s="777" t="b">
        <f>IF('4 SUPERFICIES'!$A50&gt;10,IF('4 SUPERFICIES'!$A50&lt;31.1,IF('4 SUPERFICIES'!$C50&gt;85.5,IF('4 SUPERFICIES'!$C50&lt;113.6,'4 SUPERFICIES'!$AB50,0))))</f>
        <v>0</v>
      </c>
      <c r="AO241" s="777" t="b">
        <f>IF('4 SUPERFICIES'!$A50&gt;10,IF('4 SUPERFICIES'!$A50&lt;31.1,IF('4 SUPERFICIES'!$C50&gt;113.5,IF('4 SUPERFICIES'!$C50&lt;141.6,'4 SUPERFICIES'!$AB50,0))))</f>
        <v>0</v>
      </c>
      <c r="AP241" s="777" t="b">
        <f>IF('4 SUPERFICIES'!$A50&gt;10,IF('4 SUPERFICIES'!$A50&lt;31.1,IF('4 SUPERFICIES'!$C50&gt;141.5,IF('4 SUPERFICIES'!$C50&lt;180.6,'4 SUPERFICIES'!$AB50,0))))</f>
        <v>0</v>
      </c>
      <c r="AQ241" s="777" t="b">
        <f>IF('4 SUPERFICIES'!$A50&gt;10,IF('4 SUPERFICIES'!$A50&lt;31.1,IF('4 SUPERFICIES'!$C50&gt;180.5,IF('4 SUPERFICIES'!$C50&lt;240.1,'4 SUPERFICIES'!$AB50,0))))</f>
        <v>0</v>
      </c>
      <c r="AS241" s="777" t="b">
        <f>IF('4 SUPERFICIES'!$A50&gt;31,IF('4 SUPERFICIES'!$A50&lt;45.5,IF('4 SUPERFICIES'!$C50&gt;10,IF('4 SUPERFICIES'!$C50&lt;57.6,'4 SUPERFICIES'!$AB50,0))))</f>
        <v>0</v>
      </c>
      <c r="AT241" s="777" t="b">
        <f>IF('4 SUPERFICIES'!$A50&gt;31,IF('4 SUPERFICIES'!$A50&lt;45.5,IF('4 SUPERFICIES'!$C50&gt;57.6,IF('4 SUPERFICIES'!$C50&lt;71.6,'4 SUPERFICIES'!$AB50,0))))</f>
        <v>0</v>
      </c>
      <c r="AU241" s="777" t="b">
        <f>IF('4 SUPERFICIES'!$A50&gt;31,IF('4 SUPERFICIES'!$A50&lt;45.5,IF('4 SUPERFICIES'!$C50&gt;71.5,IF('4 SUPERFICIES'!$C50&lt;85.6,'4 SUPERFICIES'!$AB50,0))))</f>
        <v>0</v>
      </c>
      <c r="AV241" s="777" t="b">
        <f>IF('4 SUPERFICIES'!$A50&gt;31,IF('4 SUPERFICIES'!$A50&lt;45.5,IF('4 SUPERFICIES'!$C50&gt;85.5,IF('4 SUPERFICIES'!$C50&lt;113.6,'4 SUPERFICIES'!$AB50,0))))</f>
        <v>0</v>
      </c>
      <c r="AW241" s="777" t="b">
        <f>IF('4 SUPERFICIES'!$A50&gt;31,IF('4 SUPERFICIES'!$A50&lt;45.5,IF('4 SUPERFICIES'!$C50&gt;113.5,IF('4 SUPERFICIES'!$C50&lt;141.6,'4 SUPERFICIES'!$AB50,0))))</f>
        <v>0</v>
      </c>
      <c r="AX241" s="777" t="b">
        <f>IF('4 SUPERFICIES'!$A50&gt;31,IF('4 SUPERFICIES'!$A50&lt;45.5,IF('4 SUPERFICIES'!$C50&gt;141.5,IF('4 SUPERFICIES'!$C50&lt;180.6,'4 SUPERFICIES'!$AB50,0))))</f>
        <v>0</v>
      </c>
      <c r="AY241" s="777" t="b">
        <f>IF('4 SUPERFICIES'!$A50&gt;31,IF('4 SUPERFICIES'!$A50&lt;45.5,IF('4 SUPERFICIES'!$C50&gt;180.5,IF('4 SUPERFICIES'!$C50&lt;240.1,'4 SUPERFICIES'!$AB50,0))))</f>
        <v>0</v>
      </c>
      <c r="BA241" s="777" t="b">
        <f>IF('4 SUPERFICIES'!$A50&gt;45.4,IF('4 SUPERFICIES'!$A50&lt;61.6,IF('4 SUPERFICIES'!$C50&gt;10,IF('4 SUPERFICIES'!$C50&lt;61.5,'4 SUPERFICIES'!$AB50,0))))</f>
        <v>0</v>
      </c>
      <c r="BB241" s="777" t="b">
        <f>IF('4 SUPERFICIES'!$A50&gt;45.4,IF('4 SUPERFICIES'!$A50&lt;61.6,IF('4 SUPERFICIES'!$C50&gt;61.1,IF('4 SUPERFICIES'!$C50&lt;71.6,'4 SUPERFICIES'!$AB50,0))))</f>
        <v>0</v>
      </c>
      <c r="BC241" s="777" t="b">
        <f>IF('4 SUPERFICIES'!$A50&gt;45.4,IF('4 SUPERFICIES'!$A50&lt;61.6,IF('4 SUPERFICIES'!$C50&gt;71.5,IF('4 SUPERFICIES'!$C50&lt;85.6,'4 SUPERFICIES'!$AB50,0))))</f>
        <v>0</v>
      </c>
      <c r="BD241" s="777" t="b">
        <f>IF('4 SUPERFICIES'!$A50&gt;45.4,IF('4 SUPERFICIES'!$A50&lt;61.6,IF('4 SUPERFICIES'!$C50&gt;85.5,IF('4 SUPERFICIES'!$C50&lt;113.6,'4 SUPERFICIES'!$AB50,0))))</f>
        <v>0</v>
      </c>
      <c r="BE241" s="777" t="b">
        <f>IF('4 SUPERFICIES'!$A50&gt;45.4,IF('4 SUPERFICIES'!$A50&lt;61.6,IF('4 SUPERFICIES'!$C50&gt;113.5,IF('4 SUPERFICIES'!$C50&lt;121.6,'4 SUPERFICIES'!$AB50,0))))</f>
        <v>0</v>
      </c>
      <c r="BF241" s="777" t="b">
        <f>IF('4 SUPERFICIES'!$A50&gt;45.4,IF('4 SUPERFICIES'!$A50&lt;61.6,IF('4 SUPERFICIES'!$C50&gt;121.5,IF('4 SUPERFICIES'!$C50&lt;127.6,'4 SUPERFICIES'!$AB50,0))))</f>
        <v>0</v>
      </c>
      <c r="BG241" s="777" t="b">
        <f>IF('4 SUPERFICIES'!$A50&gt;45.4,IF('4 SUPERFICIES'!$A50&lt;61.6,IF('4 SUPERFICIES'!$C50&gt;127.5,IF('4 SUPERFICIES'!$C50&lt;135.1,'4 SUPERFICIES'!$AB50,0))))</f>
        <v>0</v>
      </c>
      <c r="BH241" s="777" t="b">
        <f>IF('4 SUPERFICIES'!$A50&gt;45.4,IF('4 SUPERFICIES'!$A50&lt;61.6,IF('4 SUPERFICIES'!$C50&gt;135,IF('4 SUPERFICIES'!$C50&lt;141.6,'4 SUPERFICIES'!$AB50,0))))</f>
        <v>0</v>
      </c>
      <c r="BI241" s="777" t="b">
        <f>IF('4 SUPERFICIES'!$A50&gt;45.4,IF('4 SUPERFICIES'!$A50&lt;61.6,IF('4 SUPERFICIES'!$C50&gt;141.5,IF('4 SUPERFICIES'!$C50&lt;149.1,'4 SUPERFICIES'!$AB50,0))))</f>
        <v>0</v>
      </c>
      <c r="BJ241" s="777" t="b">
        <f>IF('4 SUPERFICIES'!$A50&gt;45.4,IF('4 SUPERFICIES'!$A50&lt;61.6,IF('4 SUPERFICIES'!$C50&gt;149,IF('4 SUPERFICIES'!$C50&lt;155.6,'4 SUPERFICIES'!$AB50,0))))</f>
        <v>0</v>
      </c>
      <c r="BK241" s="777" t="b">
        <f>IF('4 SUPERFICIES'!$A50&gt;45.4,IF('4 SUPERFICIES'!$A50&lt;61.6,IF('4 SUPERFICIES'!$C50&gt;155.5,IF('4 SUPERFICIES'!$C50&lt;163.1,'4 SUPERFICIES'!$AB50,0))))</f>
        <v>0</v>
      </c>
      <c r="BL241" s="777" t="b">
        <f>IF('4 SUPERFICIES'!$A50&gt;45.4,IF('4 SUPERFICIES'!$A50&lt;61.6,IF('4 SUPERFICIES'!$C50&gt;163,IF('4 SUPERFICIES'!$C50&lt;180.6,'4 SUPERFICIES'!$AB50,0))))</f>
        <v>0</v>
      </c>
      <c r="BM241" s="777" t="b">
        <f>IF('4 SUPERFICIES'!$A50&gt;45.4,IF('4 SUPERFICIES'!$A50&lt;61.6,IF('4 SUPERFICIES'!$C50&gt;180.5,IF('4 SUPERFICIES'!$C50&lt;240.1,'4 SUPERFICIES'!$AB50,0))))</f>
        <v>0</v>
      </c>
      <c r="BO241" s="869" t="s">
        <v>508</v>
      </c>
      <c r="BQ241" s="870">
        <f>+$AK$249</f>
        <v>0</v>
      </c>
      <c r="BS241" s="869"/>
      <c r="BT241" s="870">
        <f>+$AK$252</f>
        <v>0</v>
      </c>
      <c r="BV241" s="777" t="b">
        <f>IF('4 SUPERFICIES'!$A50&gt;61.5,IF('4 SUPERFICIES'!$A50&lt;71.6,IF('4 SUPERFICIES'!$C50&gt;10,IF('4 SUPERFICIES'!$C50&lt;57.6,'4 SUPERFICIES'!$AB50,0))))</f>
        <v>0</v>
      </c>
      <c r="BW241" s="777" t="b">
        <f>IF('4 SUPERFICIES'!$A50&gt;61.5,IF('4 SUPERFICIES'!$A50&lt;71.6,IF('4 SUPERFICIES'!$C50&gt;57.6,IF('4 SUPERFICIES'!$C50&lt;71.6,'4 SUPERFICIES'!$AB50,0))))</f>
        <v>0</v>
      </c>
      <c r="BX241" s="777" t="b">
        <f>IF('4 SUPERFICIES'!$A50&gt;61.5,IF('4 SUPERFICIES'!$A50&lt;71.6,IF('4 SUPERFICIES'!$C50&gt;71.5,IF('4 SUPERFICIES'!$C50&lt;85.6,'4 SUPERFICIES'!$AB50,0))))</f>
        <v>0</v>
      </c>
      <c r="BY241" s="777" t="b">
        <f>IF('4 SUPERFICIES'!$A50&gt;61.5,IF('4 SUPERFICIES'!$A50&lt;71.6,IF('4 SUPERFICIES'!$C50&gt;85.5,IF('4 SUPERFICIES'!$C50&lt;113.6,'4 SUPERFICIES'!$AB50,0))))</f>
        <v>0</v>
      </c>
      <c r="BZ241" s="777" t="b">
        <f>IF('4 SUPERFICIES'!$A50&gt;61.5,IF('4 SUPERFICIES'!$A50&lt;71.6,IF('4 SUPERFICIES'!$C50&gt;113.5,IF('4 SUPERFICIES'!$C50&lt;141.6,'4 SUPERFICIES'!$AB50,0))))</f>
        <v>0</v>
      </c>
      <c r="CA241" s="777" t="b">
        <f>IF('4 SUPERFICIES'!$A50&gt;61.5,IF('4 SUPERFICIES'!$A50&lt;71.6,IF('4 SUPERFICIES'!$C50&gt;141.5,IF('4 SUPERFICIES'!$C50&lt;149.1,'4 SUPERFICIES'!$AB50,0))))</f>
        <v>0</v>
      </c>
      <c r="CB241" s="777" t="b">
        <f>IF('4 SUPERFICIES'!$A50&gt;61.5,IF('4 SUPERFICIES'!$A50&lt;71.6,IF('4 SUPERFICIES'!$C50&gt;149,IF('4 SUPERFICIES'!$C50&lt;163.1,'4 SUPERFICIES'!$AB50,0))))</f>
        <v>0</v>
      </c>
      <c r="CC241" s="777" t="b">
        <f>IF('4 SUPERFICIES'!$A50&gt;61.5,IF('4 SUPERFICIES'!$A50&lt;71.6,IF('4 SUPERFICIES'!$C50&gt;163,IF('4 SUPERFICIES'!$C50&lt;180.6,'4 SUPERFICIES'!$AB50,0))))</f>
        <v>0</v>
      </c>
      <c r="CD241" s="777" t="b">
        <f>IF('4 SUPERFICIES'!$A50&gt;61.5,IF('4 SUPERFICIES'!$A50&lt;71.6,IF('4 SUPERFICIES'!$C50&gt;180.5,IF('4 SUPERFICIES'!$C50&lt;240.1,'4 SUPERFICIES'!$AB50,0))))</f>
        <v>0</v>
      </c>
      <c r="CF241" s="777" t="b">
        <f>IF('4 SUPERFICIES'!$A50&gt;71.5,IF('4 SUPERFICIES'!$A50&lt;120.6,IF('4 SUPERFICIES'!$C50&gt;10,IF('4 SUPERFICIES'!$C50&lt;57.6,'4 SUPERFICIES'!$AB50,0))))</f>
        <v>0</v>
      </c>
      <c r="CG241" s="777" t="b">
        <f>IF('4 SUPERFICIES'!$A50&gt;71.5,IF('4 SUPERFICIES'!$A50&lt;120.6,IF('4 SUPERFICIES'!$C50&gt;57.6,IF('4 SUPERFICIES'!$C50&lt;71.6,'4 SUPERFICIES'!$AB50,0))))</f>
        <v>0</v>
      </c>
      <c r="CH241" s="777" t="b">
        <f>IF('4 SUPERFICIES'!$A50&gt;71.5,IF('4 SUPERFICIES'!$A50&lt;120.6,IF('4 SUPERFICIES'!$C50&gt;71.5,IF('4 SUPERFICIES'!$C50&lt;85.6,'4 SUPERFICIES'!$AB50,0))))</f>
        <v>0</v>
      </c>
      <c r="CI241" s="777" t="b">
        <f>IF('4 SUPERFICIES'!$A50&gt;71.5,IF('4 SUPERFICIES'!$A50&lt;120.6,IF('4 SUPERFICIES'!$C50&gt;85.5,IF('4 SUPERFICIES'!$C50&lt;113.6,'4 SUPERFICIES'!$AB50,0))))</f>
        <v>0</v>
      </c>
      <c r="CJ241" s="777" t="b">
        <f>IF('4 SUPERFICIES'!$A50&gt;71.5,IF('4 SUPERFICIES'!$A50&lt;120.6,IF('4 SUPERFICIES'!$C50&gt;113.5,IF('4 SUPERFICIES'!$C50&lt;141.6,'4 SUPERFICIES'!$AB50,0))))</f>
        <v>0</v>
      </c>
      <c r="CK241" s="777" t="b">
        <f>IF('4 SUPERFICIES'!$A50&gt;71.5,IF('4 SUPERFICIES'!$A50&lt;120.6,IF('4 SUPERFICIES'!$C50&gt;141.5,IF('4 SUPERFICIES'!$C50&lt;180.6,'4 SUPERFICIES'!$AB50,0))))</f>
        <v>0</v>
      </c>
      <c r="CL241" s="777" t="b">
        <f>IF('4 SUPERFICIES'!$A50&gt;71.5,IF('4 SUPERFICIES'!$A50&lt;120.6,IF('4 SUPERFICIES'!$C50&gt;180.5,IF('4 SUPERFICIES'!$C50&lt;240.1,'4 SUPERFICIES'!$AB50,0))))</f>
        <v>0</v>
      </c>
      <c r="CN241" s="777">
        <f>IF('4 SUPERFICIES'!$C50&lt;150,IF(OR('4 SUPERFICIES'!$A50="MICRODER",'4 SUPERFICIES'!$A50="MICRO DER",),'4 SUPERFICIES'!$AB50,0))</f>
        <v>0</v>
      </c>
      <c r="CO241" s="777" t="b">
        <f>IF('4 SUPERFICIES'!$C50&gt;149.5,IF(OR('4 SUPERFICIES'!$A50="MICRODER",'4 SUPERFICIES'!$A50="MICRO DER",),'4 SUPERFICIES'!$AB50,0))</f>
        <v>0</v>
      </c>
      <c r="CP241" s="847"/>
      <c r="CQ241" s="777">
        <f>IF('4 SUPERFICIES'!$C50&lt;150,IF(OR('4 SUPERFICIES'!$A50="MICROIZQ",'4 SUPERFICIES'!$A50="MICRO IZQ",),'4 SUPERFICIES'!$AB50,0))</f>
        <v>0</v>
      </c>
      <c r="CR241" s="777" t="b">
        <f>IF('4 SUPERFICIES'!$C50&gt;149.5,IF(OR('4 SUPERFICIES'!$A50="MICROIZQ",'4 SUPERFICIES'!$A50="MICRO IZQ",),'4 SUPERFICIES'!$AB50,0))</f>
        <v>0</v>
      </c>
      <c r="CT241" s="837">
        <f>IF(OR('4 SUPERFICIES'!$A50="MICRO SEN",'4 SUPERFICIES'!$A50="MICROSEN",),'4 SUPERFICIES'!$AB50,0)</f>
        <v>0</v>
      </c>
      <c r="CV241" s="837" t="b">
        <f>IF('4 SUPERFICIES'!$A50="DIAMETRO",IF('4 SUPERFICIES'!$C50&lt;121.1,'4 SUPERFICIES'!$AB50,0))</f>
        <v>0</v>
      </c>
      <c r="CX241" s="858"/>
      <c r="CZ241" s="837" t="b">
        <f>IF('4 SUPERFICIES'!$A50="MOSTRADOR",IF('4 SUPERFICIES'!$C50="R60",'4 SUPERFICIES'!$AB50,0))</f>
        <v>0</v>
      </c>
      <c r="DB241" s="837">
        <f>IF(OR('4 SUPERFICIES'!$A50="PORTA PRIN",'4 SUPERFICIES'!$A50="PORTAPRIN",),'4 SUPERFICIES'!$AB50,0)</f>
        <v>0</v>
      </c>
      <c r="DD241" s="837">
        <f>IF(OR('4 SUPERFICIES'!$A50="PORTA BADE",'4 SUPERFICIES'!$A50="PORTABADE",),'4 SUPERFICIES'!$AB50,0)</f>
        <v>0</v>
      </c>
      <c r="DE241" s="837"/>
      <c r="DF241" s="837">
        <f>IF(OR('4 SUPERFICIES'!$A50="RETORNO IZQ",'4 SUPERFICIES'!$A50="RETORNO DER",),'4 SUPERFICIES'!$AB150,0)</f>
        <v>0</v>
      </c>
      <c r="DG241" s="837"/>
      <c r="DH241" s="837">
        <f>IF(OR('4 SUPERFICIES'!$A50="PITO Q",'4 SUPERFICIES'!$A50="PITO P",'4 SUPERFICIES'!$A50="DIAMETRO INTEGRADA",),'4 SUPERFICIES'!$AB50,0)</f>
        <v>0</v>
      </c>
      <c r="DJ241" s="858"/>
      <c r="DK241" s="837"/>
      <c r="DL241" s="837">
        <f>IF('4 SUPERFICIES'!$A50="SUPERFICIE OVAL",'4 SUPERFICIES'!$AB50,0)</f>
        <v>0</v>
      </c>
      <c r="DO241" s="838"/>
      <c r="DP241" s="838"/>
      <c r="DQ241" s="838"/>
      <c r="DR241" s="838"/>
      <c r="DS241" s="838"/>
      <c r="DT241" s="838"/>
      <c r="DU241" s="838"/>
      <c r="DV241" s="838"/>
      <c r="DW241" s="838"/>
      <c r="DX241" s="838"/>
      <c r="DY241" s="838"/>
      <c r="DZ241" s="838"/>
      <c r="EA241" s="838"/>
      <c r="EB241" s="838"/>
      <c r="EC241" s="838"/>
      <c r="ED241" s="838"/>
      <c r="EE241" s="852"/>
      <c r="EG241" s="682">
        <f>IF('4 SUPERFICIES'!A50="MICRO DER",85,IF('4 SUPERFICIES'!A50="MICRO IZQ",85,IF('4 SUPERFICIES'!A50="MICRO SEN",170,IF('4 SUPERFICIES'!A50="DIAMETRO",3.14*'4 SUPERFICIES'!C50/2,IF('4 SUPERFICIES'!A50="MOSTRADOR",136,IF('4 SUPERFICIES'!A50="PORTA",65,IF('4 SUPERFICIES'!A50="PITO Q",90,IF('4 SUPERFICIES'!A50="PITO P",90,'4 SUPERFICIES'!A50))))))))</f>
        <v>0</v>
      </c>
      <c r="EH241" s="682"/>
      <c r="EI241" s="682">
        <f>IF('4 SUPERFICIES'!A50="DIAMETRO",0,IF('4 SUPERFICIES'!C50="PRINCIPAL",160,IF('4 SUPERFICIES'!C50="BADE",190,IF('4 SUPERFICIES'!C50="RETORNO",100,IF('4 SUPERFICIES'!C50="R 60",100,IF('4 SUPERFICIES'!C50="R60",100,'4 SUPERFICIES'!C50))))))</f>
        <v>0</v>
      </c>
      <c r="EJ241" s="682"/>
      <c r="EK241" s="682">
        <f>IF('4 SUPERFICIES'!$F50='4 SUPERFICIES'!$AG$15,((EG241*2)+(EI241*2))*'4 SUPERFICIES'!AB50,0)</f>
        <v>0</v>
      </c>
      <c r="EL241" s="682"/>
      <c r="EM241" s="682">
        <f>IF('4 SUPERFICIES'!$F50='4 SUPERFICIES'!$AG$16,((EG241*2)+(EI241*2))*'4 SUPERFICIES'!AB50,0)</f>
        <v>0</v>
      </c>
      <c r="EO241" s="682">
        <f>IF('4 SUPERFICIES'!$F50='4 SUPERFICIES'!$AG$17,((EG241*2)+(EI241*2))*'4 SUPERFICIES'!AB50,0)</f>
        <v>0</v>
      </c>
      <c r="EP241" s="838"/>
      <c r="EQ241" s="682">
        <f>IF('4 SUPERFICIES'!$F50='4 SUPERFICIES'!$AG$18,((EG241*2)+(EI241*2))*'4 SUPERFICIES'!AB50,0)</f>
        <v>0</v>
      </c>
      <c r="ER241" s="838"/>
      <c r="ES241" s="858"/>
      <c r="ET241" s="858"/>
      <c r="EU241" s="858"/>
      <c r="EV241" s="858"/>
      <c r="EW241" s="838"/>
      <c r="EX241" s="838"/>
      <c r="EY241" s="838"/>
      <c r="EZ241" s="838"/>
      <c r="FA241" s="838"/>
      <c r="FB241" s="838"/>
      <c r="FC241" s="838"/>
      <c r="FD241" s="838"/>
      <c r="FE241" s="838"/>
      <c r="FF241" s="838"/>
      <c r="FG241" s="838"/>
      <c r="FH241" s="838"/>
      <c r="FI241" s="838"/>
      <c r="FJ241" s="838"/>
      <c r="FK241" s="838"/>
      <c r="FL241" s="838"/>
      <c r="FM241" s="838"/>
      <c r="FN241" s="838"/>
      <c r="FO241" s="838"/>
      <c r="FP241" s="838"/>
      <c r="GM241" s="858"/>
      <c r="GN241" s="838"/>
      <c r="GO241" s="858"/>
      <c r="GP241" s="858"/>
      <c r="GQ241" s="858"/>
      <c r="GR241" s="838"/>
      <c r="GS241" s="838"/>
      <c r="HF241" s="700">
        <v>29.5</v>
      </c>
      <c r="HH241" s="591">
        <v>29.5</v>
      </c>
    </row>
    <row r="242" spans="4:216" ht="26.25" x14ac:dyDescent="0.4">
      <c r="D242" s="879" t="b">
        <f>IF($A$230=0,IF('5 ALMACEN '!$D39='2 M-A +'!$C$41,'5 ALMACEN '!$B39+'5 ALMACEN '!$C39,0))</f>
        <v>0</v>
      </c>
      <c r="E242" s="879" t="b">
        <f>IF($A$230=0,IF('5 ALMACEN '!$D40='2 M-A +'!$C$41,'5 ALMACEN '!$B40+'5 ALMACEN '!$C40,0))</f>
        <v>0</v>
      </c>
      <c r="F242" s="879" t="b">
        <f>IF($A$230=0,IF('5 ALMACEN '!$D41='2 M-A +'!$C$41,'5 ALMACEN '!$B41+'5 ALMACEN '!$C41,0))</f>
        <v>0</v>
      </c>
      <c r="G242" s="879" t="b">
        <f>IF($A$230=0,IF('5 ALMACEN '!$D42='2 M-A +'!$C$41,'5 ALMACEN '!$B42+'5 ALMACEN '!$C42,0))</f>
        <v>0</v>
      </c>
      <c r="AK242" s="777" t="b">
        <f>IF('4 SUPERFICIES'!$A51&gt;10,IF('4 SUPERFICIES'!$A51&lt;31.1,IF('4 SUPERFICIES'!$C51&gt;10,IF('4 SUPERFICIES'!$C51&lt;57.6,'4 SUPERFICIES'!$AB51,0))))</f>
        <v>0</v>
      </c>
      <c r="AL242" s="777" t="b">
        <f>IF('4 SUPERFICIES'!$A51&gt;10,IF('4 SUPERFICIES'!$A51&lt;31.1,IF('4 SUPERFICIES'!$C51&gt;57.6,IF('4 SUPERFICIES'!$C51&lt;71.6,'4 SUPERFICIES'!$AB51,0))))</f>
        <v>0</v>
      </c>
      <c r="AM242" s="777" t="b">
        <f>IF('4 SUPERFICIES'!$A51&gt;10,IF('4 SUPERFICIES'!$A51&lt;31.1,IF('4 SUPERFICIES'!$C51&gt;71.5,IF('4 SUPERFICIES'!$C51&lt;85.6,'4 SUPERFICIES'!$AB51,0))))</f>
        <v>0</v>
      </c>
      <c r="AN242" s="777" t="b">
        <f>IF('4 SUPERFICIES'!$A51&gt;10,IF('4 SUPERFICIES'!$A51&lt;31.1,IF('4 SUPERFICIES'!$C51&gt;85.5,IF('4 SUPERFICIES'!$C51&lt;113.6,'4 SUPERFICIES'!$AB51,0))))</f>
        <v>0</v>
      </c>
      <c r="AO242" s="777" t="b">
        <f>IF('4 SUPERFICIES'!$A51&gt;10,IF('4 SUPERFICIES'!$A51&lt;31.1,IF('4 SUPERFICIES'!$C51&gt;113.5,IF('4 SUPERFICIES'!$C51&lt;141.6,'4 SUPERFICIES'!$AB51,0))))</f>
        <v>0</v>
      </c>
      <c r="AP242" s="777" t="b">
        <f>IF('4 SUPERFICIES'!$A51&gt;10,IF('4 SUPERFICIES'!$A51&lt;31.1,IF('4 SUPERFICIES'!$C51&gt;141.5,IF('4 SUPERFICIES'!$C51&lt;180.6,'4 SUPERFICIES'!$AB51,0))))</f>
        <v>0</v>
      </c>
      <c r="AQ242" s="777" t="b">
        <f>IF('4 SUPERFICIES'!$A51&gt;10,IF('4 SUPERFICIES'!$A51&lt;31.1,IF('4 SUPERFICIES'!$C51&gt;180.5,IF('4 SUPERFICIES'!$C51&lt;240.1,'4 SUPERFICIES'!$AB51,0))))</f>
        <v>0</v>
      </c>
      <c r="AS242" s="777" t="b">
        <f>IF('4 SUPERFICIES'!$A51&gt;31,IF('4 SUPERFICIES'!$A51&lt;45.5,IF('4 SUPERFICIES'!$C51&gt;10,IF('4 SUPERFICIES'!$C51&lt;57.6,'4 SUPERFICIES'!$AB51,0))))</f>
        <v>0</v>
      </c>
      <c r="AT242" s="777" t="b">
        <f>IF('4 SUPERFICIES'!$A51&gt;31,IF('4 SUPERFICIES'!$A51&lt;45.5,IF('4 SUPERFICIES'!$C51&gt;57.6,IF('4 SUPERFICIES'!$C51&lt;71.6,'4 SUPERFICIES'!$AB51,0))))</f>
        <v>0</v>
      </c>
      <c r="AU242" s="777" t="b">
        <f>IF('4 SUPERFICIES'!$A51&gt;31,IF('4 SUPERFICIES'!$A51&lt;45.5,IF('4 SUPERFICIES'!$C51&gt;71.5,IF('4 SUPERFICIES'!$C51&lt;85.6,'4 SUPERFICIES'!$AB51,0))))</f>
        <v>0</v>
      </c>
      <c r="AV242" s="777" t="b">
        <f>IF('4 SUPERFICIES'!$A51&gt;31,IF('4 SUPERFICIES'!$A51&lt;45.5,IF('4 SUPERFICIES'!$C51&gt;85.5,IF('4 SUPERFICIES'!$C51&lt;113.6,'4 SUPERFICIES'!$AB51,0))))</f>
        <v>0</v>
      </c>
      <c r="AW242" s="777" t="b">
        <f>IF('4 SUPERFICIES'!$A51&gt;31,IF('4 SUPERFICIES'!$A51&lt;45.5,IF('4 SUPERFICIES'!$C51&gt;113.5,IF('4 SUPERFICIES'!$C51&lt;141.6,'4 SUPERFICIES'!$AB51,0))))</f>
        <v>0</v>
      </c>
      <c r="AX242" s="777" t="b">
        <f>IF('4 SUPERFICIES'!$A51&gt;31,IF('4 SUPERFICIES'!$A51&lt;45.5,IF('4 SUPERFICIES'!$C51&gt;141.5,IF('4 SUPERFICIES'!$C51&lt;180.6,'4 SUPERFICIES'!$AB51,0))))</f>
        <v>0</v>
      </c>
      <c r="AY242" s="777" t="b">
        <f>IF('4 SUPERFICIES'!$A51&gt;31,IF('4 SUPERFICIES'!$A51&lt;45.5,IF('4 SUPERFICIES'!$C51&gt;180.5,IF('4 SUPERFICIES'!$C51&lt;240.1,'4 SUPERFICIES'!$AB51,0))))</f>
        <v>0</v>
      </c>
      <c r="BA242" s="777" t="b">
        <f>IF('4 SUPERFICIES'!$A51&gt;45.4,IF('4 SUPERFICIES'!$A51&lt;61.6,IF('4 SUPERFICIES'!$C51&gt;10,IF('4 SUPERFICIES'!$C51&lt;61.5,'4 SUPERFICIES'!$AB51,0))))</f>
        <v>0</v>
      </c>
      <c r="BB242" s="777" t="b">
        <f>IF('4 SUPERFICIES'!$A51&gt;45.4,IF('4 SUPERFICIES'!$A51&lt;61.6,IF('4 SUPERFICIES'!$C51&gt;61.1,IF('4 SUPERFICIES'!$C51&lt;71.6,'4 SUPERFICIES'!$AB51,0))))</f>
        <v>0</v>
      </c>
      <c r="BC242" s="777" t="b">
        <f>IF('4 SUPERFICIES'!$A51&gt;45.4,IF('4 SUPERFICIES'!$A51&lt;61.6,IF('4 SUPERFICIES'!$C51&gt;71.5,IF('4 SUPERFICIES'!$C51&lt;85.6,'4 SUPERFICIES'!$AB51,0))))</f>
        <v>0</v>
      </c>
      <c r="BD242" s="777" t="b">
        <f>IF('4 SUPERFICIES'!$A51&gt;45.4,IF('4 SUPERFICIES'!$A51&lt;61.6,IF('4 SUPERFICIES'!$C51&gt;85.5,IF('4 SUPERFICIES'!$C51&lt;113.6,'4 SUPERFICIES'!$AB51,0))))</f>
        <v>0</v>
      </c>
      <c r="BE242" s="777" t="b">
        <f>IF('4 SUPERFICIES'!$A51&gt;45.4,IF('4 SUPERFICIES'!$A51&lt;61.6,IF('4 SUPERFICIES'!$C51&gt;113.5,IF('4 SUPERFICIES'!$C51&lt;121.6,'4 SUPERFICIES'!$AB51,0))))</f>
        <v>0</v>
      </c>
      <c r="BF242" s="777" t="b">
        <f>IF('4 SUPERFICIES'!$A51&gt;45.4,IF('4 SUPERFICIES'!$A51&lt;61.6,IF('4 SUPERFICIES'!$C51&gt;121.5,IF('4 SUPERFICIES'!$C51&lt;127.6,'4 SUPERFICIES'!$AB51,0))))</f>
        <v>0</v>
      </c>
      <c r="BG242" s="777" t="b">
        <f>IF('4 SUPERFICIES'!$A51&gt;45.4,IF('4 SUPERFICIES'!$A51&lt;61.6,IF('4 SUPERFICIES'!$C51&gt;127.5,IF('4 SUPERFICIES'!$C51&lt;135.1,'4 SUPERFICIES'!$AB51,0))))</f>
        <v>0</v>
      </c>
      <c r="BH242" s="777" t="b">
        <f>IF('4 SUPERFICIES'!$A51&gt;45.4,IF('4 SUPERFICIES'!$A51&lt;61.6,IF('4 SUPERFICIES'!$C51&gt;135,IF('4 SUPERFICIES'!$C51&lt;141.6,'4 SUPERFICIES'!$AB51,0))))</f>
        <v>0</v>
      </c>
      <c r="BI242" s="777" t="b">
        <f>IF('4 SUPERFICIES'!$A51&gt;45.4,IF('4 SUPERFICIES'!$A51&lt;61.6,IF('4 SUPERFICIES'!$C51&gt;141.5,IF('4 SUPERFICIES'!$C51&lt;149.1,'4 SUPERFICIES'!$AB51,0))))</f>
        <v>0</v>
      </c>
      <c r="BJ242" s="777" t="b">
        <f>IF('4 SUPERFICIES'!$A51&gt;45.4,IF('4 SUPERFICIES'!$A51&lt;61.6,IF('4 SUPERFICIES'!$C51&gt;149,IF('4 SUPERFICIES'!$C51&lt;155.6,'4 SUPERFICIES'!$AB51,0))))</f>
        <v>0</v>
      </c>
      <c r="BK242" s="777" t="b">
        <f>IF('4 SUPERFICIES'!$A51&gt;45.4,IF('4 SUPERFICIES'!$A51&lt;61.6,IF('4 SUPERFICIES'!$C51&gt;155.5,IF('4 SUPERFICIES'!$C51&lt;163.1,'4 SUPERFICIES'!$AB51,0))))</f>
        <v>0</v>
      </c>
      <c r="BL242" s="777" t="b">
        <f>IF('4 SUPERFICIES'!$A51&gt;45.4,IF('4 SUPERFICIES'!$A51&lt;61.6,IF('4 SUPERFICIES'!$C51&gt;163,IF('4 SUPERFICIES'!$C51&lt;180.6,'4 SUPERFICIES'!$AB51,0))))</f>
        <v>0</v>
      </c>
      <c r="BM242" s="777" t="b">
        <f>IF('4 SUPERFICIES'!$A51&gt;45.4,IF('4 SUPERFICIES'!$A51&lt;61.6,IF('4 SUPERFICIES'!$C51&gt;180.5,IF('4 SUPERFICIES'!$C51&lt;240.1,'4 SUPERFICIES'!$AB51,0))))</f>
        <v>0</v>
      </c>
      <c r="BO242" s="869" t="s">
        <v>510</v>
      </c>
      <c r="BQ242" s="870">
        <f>+$AL$249</f>
        <v>0</v>
      </c>
      <c r="BS242" s="869"/>
      <c r="BT242" s="870">
        <f>+$AL$252</f>
        <v>0</v>
      </c>
      <c r="BV242" s="777" t="b">
        <f>IF('4 SUPERFICIES'!$A51&gt;61.5,IF('4 SUPERFICIES'!$A51&lt;71.6,IF('4 SUPERFICIES'!$C51&gt;10,IF('4 SUPERFICIES'!$C51&lt;57.6,'4 SUPERFICIES'!$AB51,0))))</f>
        <v>0</v>
      </c>
      <c r="BW242" s="777" t="b">
        <f>IF('4 SUPERFICIES'!$A51&gt;61.5,IF('4 SUPERFICIES'!$A51&lt;71.6,IF('4 SUPERFICIES'!$C51&gt;57.6,IF('4 SUPERFICIES'!$C51&lt;71.6,'4 SUPERFICIES'!$AB51,0))))</f>
        <v>0</v>
      </c>
      <c r="BX242" s="777" t="b">
        <f>IF('4 SUPERFICIES'!$A51&gt;61.5,IF('4 SUPERFICIES'!$A51&lt;71.6,IF('4 SUPERFICIES'!$C51&gt;71.5,IF('4 SUPERFICIES'!$C51&lt;85.6,'4 SUPERFICIES'!$AB51,0))))</f>
        <v>0</v>
      </c>
      <c r="BY242" s="777" t="b">
        <f>IF('4 SUPERFICIES'!$A51&gt;61.5,IF('4 SUPERFICIES'!$A51&lt;71.6,IF('4 SUPERFICIES'!$C51&gt;85.5,IF('4 SUPERFICIES'!$C51&lt;113.6,'4 SUPERFICIES'!$AB51,0))))</f>
        <v>0</v>
      </c>
      <c r="BZ242" s="777" t="b">
        <f>IF('4 SUPERFICIES'!$A51&gt;61.5,IF('4 SUPERFICIES'!$A51&lt;71.6,IF('4 SUPERFICIES'!$C51&gt;113.5,IF('4 SUPERFICIES'!$C51&lt;141.6,'4 SUPERFICIES'!$AB51,0))))</f>
        <v>0</v>
      </c>
      <c r="CA242" s="777" t="b">
        <f>IF('4 SUPERFICIES'!$A51&gt;61.5,IF('4 SUPERFICIES'!$A51&lt;71.6,IF('4 SUPERFICIES'!$C51&gt;141.5,IF('4 SUPERFICIES'!$C51&lt;149.1,'4 SUPERFICIES'!$AB51,0))))</f>
        <v>0</v>
      </c>
      <c r="CB242" s="777" t="b">
        <f>IF('4 SUPERFICIES'!$A51&gt;61.5,IF('4 SUPERFICIES'!$A51&lt;71.6,IF('4 SUPERFICIES'!$C51&gt;149,IF('4 SUPERFICIES'!$C51&lt;163.1,'4 SUPERFICIES'!$AB51,0))))</f>
        <v>0</v>
      </c>
      <c r="CC242" s="777" t="b">
        <f>IF('4 SUPERFICIES'!$A51&gt;61.5,IF('4 SUPERFICIES'!$A51&lt;71.6,IF('4 SUPERFICIES'!$C51&gt;163,IF('4 SUPERFICIES'!$C51&lt;180.6,'4 SUPERFICIES'!$AB51,0))))</f>
        <v>0</v>
      </c>
      <c r="CD242" s="777" t="b">
        <f>IF('4 SUPERFICIES'!$A51&gt;61.5,IF('4 SUPERFICIES'!$A51&lt;71.6,IF('4 SUPERFICIES'!$C51&gt;180.5,IF('4 SUPERFICIES'!$C51&lt;240.1,'4 SUPERFICIES'!$AB51,0))))</f>
        <v>0</v>
      </c>
      <c r="CF242" s="777" t="b">
        <f>IF('4 SUPERFICIES'!$A51&gt;71.5,IF('4 SUPERFICIES'!$A51&lt;120.6,IF('4 SUPERFICIES'!$C51&gt;10,IF('4 SUPERFICIES'!$C51&lt;57.6,'4 SUPERFICIES'!$AB51,0))))</f>
        <v>0</v>
      </c>
      <c r="CG242" s="777" t="b">
        <f>IF('4 SUPERFICIES'!$A51&gt;71.5,IF('4 SUPERFICIES'!$A51&lt;120.6,IF('4 SUPERFICIES'!$C51&gt;57.6,IF('4 SUPERFICIES'!$C51&lt;71.6,'4 SUPERFICIES'!$AB51,0))))</f>
        <v>0</v>
      </c>
      <c r="CH242" s="777" t="b">
        <f>IF('4 SUPERFICIES'!$A51&gt;71.5,IF('4 SUPERFICIES'!$A51&lt;120.6,IF('4 SUPERFICIES'!$C51&gt;71.5,IF('4 SUPERFICIES'!$C51&lt;85.6,'4 SUPERFICIES'!$AB51,0))))</f>
        <v>0</v>
      </c>
      <c r="CI242" s="777" t="b">
        <f>IF('4 SUPERFICIES'!$A51&gt;71.5,IF('4 SUPERFICIES'!$A51&lt;120.6,IF('4 SUPERFICIES'!$C51&gt;85.5,IF('4 SUPERFICIES'!$C51&lt;113.6,'4 SUPERFICIES'!$AB51,0))))</f>
        <v>0</v>
      </c>
      <c r="CJ242" s="777" t="b">
        <f>IF('4 SUPERFICIES'!$A51&gt;71.5,IF('4 SUPERFICIES'!$A51&lt;120.6,IF('4 SUPERFICIES'!$C51&gt;113.5,IF('4 SUPERFICIES'!$C51&lt;141.6,'4 SUPERFICIES'!$AB51,0))))</f>
        <v>0</v>
      </c>
      <c r="CK242" s="777" t="b">
        <f>IF('4 SUPERFICIES'!$A51&gt;71.5,IF('4 SUPERFICIES'!$A51&lt;120.6,IF('4 SUPERFICIES'!$C51&gt;141.5,IF('4 SUPERFICIES'!$C51&lt;180.6,'4 SUPERFICIES'!$AB51,0))))</f>
        <v>0</v>
      </c>
      <c r="CL242" s="777" t="b">
        <f>IF('4 SUPERFICIES'!$A51&gt;71.5,IF('4 SUPERFICIES'!$A51&lt;120.6,IF('4 SUPERFICIES'!$C51&gt;180.5,IF('4 SUPERFICIES'!$C51&lt;240.1,'4 SUPERFICIES'!$AB51,0))))</f>
        <v>0</v>
      </c>
      <c r="CN242" s="777">
        <f>IF('4 SUPERFICIES'!$C51&lt;150,IF(OR('4 SUPERFICIES'!$A51="MICRODER",'4 SUPERFICIES'!$A51="MICRO DER",),'4 SUPERFICIES'!$AB51,0))</f>
        <v>0</v>
      </c>
      <c r="CO242" s="777" t="b">
        <f>IF('4 SUPERFICIES'!$C51&gt;149.5,IF(OR('4 SUPERFICIES'!$A51="MICRODER",'4 SUPERFICIES'!$A51="MICRO DER",),'4 SUPERFICIES'!$AB51,0))</f>
        <v>0</v>
      </c>
      <c r="CP242" s="847"/>
      <c r="CQ242" s="777">
        <f>IF('4 SUPERFICIES'!$C51&lt;150,IF(OR('4 SUPERFICIES'!$A51="MICROIZQ",'4 SUPERFICIES'!$A51="MICRO IZQ",),'4 SUPERFICIES'!$AB51,0))</f>
        <v>0</v>
      </c>
      <c r="CR242" s="777" t="b">
        <f>IF('4 SUPERFICIES'!$C51&gt;149.5,IF(OR('4 SUPERFICIES'!$A51="MICROIZQ",'4 SUPERFICIES'!$A51="MICRO IZQ",),'4 SUPERFICIES'!$AB51,0))</f>
        <v>0</v>
      </c>
      <c r="CT242" s="837">
        <f>IF(OR('4 SUPERFICIES'!$A51="MICRO SEN",'4 SUPERFICIES'!$A51="MICROSEN",),'4 SUPERFICIES'!$AB51,0)</f>
        <v>0</v>
      </c>
      <c r="CV242" s="837" t="b">
        <f>IF('4 SUPERFICIES'!$A51="DIAMETRO",IF('4 SUPERFICIES'!$C51&lt;121.1,'4 SUPERFICIES'!$AB51,0))</f>
        <v>0</v>
      </c>
      <c r="CX242" s="858"/>
      <c r="CZ242" s="837" t="b">
        <f>IF('4 SUPERFICIES'!$A51="MOSTRADOR",IF('4 SUPERFICIES'!$C51="R60",'4 SUPERFICIES'!$AB51,0))</f>
        <v>0</v>
      </c>
      <c r="DB242" s="837">
        <f>IF(OR('4 SUPERFICIES'!$A51="PORTA PRIN",'4 SUPERFICIES'!$A51="PORTAPRIN",),'4 SUPERFICIES'!$AB51,0)</f>
        <v>0</v>
      </c>
      <c r="DD242" s="837">
        <f>IF(OR('4 SUPERFICIES'!$A51="PORTA BADE",'4 SUPERFICIES'!$A51="PORTABADE",),'4 SUPERFICIES'!$AB51,0)</f>
        <v>0</v>
      </c>
      <c r="DE242" s="837"/>
      <c r="DF242" s="837">
        <f>IF(OR('4 SUPERFICIES'!$A51="RETORNO IZQ",'4 SUPERFICIES'!$A51="RETORNO DER",),'4 SUPERFICIES'!$AB151,0)</f>
        <v>0</v>
      </c>
      <c r="DG242" s="837"/>
      <c r="DH242" s="837">
        <f>IF(OR('4 SUPERFICIES'!$A51="PITO Q",'4 SUPERFICIES'!$A51="PITO P",'4 SUPERFICIES'!$A51="DIAMETRO INTEGRADA",),'4 SUPERFICIES'!$AB51,0)</f>
        <v>0</v>
      </c>
      <c r="DJ242" s="858"/>
      <c r="DK242" s="837"/>
      <c r="DL242" s="837">
        <f>IF('4 SUPERFICIES'!$A51="SUPERFICIE OVAL",'4 SUPERFICIES'!$AB51,0)</f>
        <v>0</v>
      </c>
      <c r="DM242" s="838"/>
      <c r="DN242" s="838"/>
      <c r="DO242" s="838"/>
      <c r="DP242" s="838"/>
      <c r="DQ242" s="838"/>
      <c r="DR242" s="838"/>
      <c r="DS242" s="838"/>
      <c r="DT242" s="838"/>
      <c r="DU242" s="838"/>
      <c r="DV242" s="838"/>
      <c r="DW242" s="838"/>
      <c r="DX242" s="838"/>
      <c r="DY242" s="838"/>
      <c r="DZ242" s="838"/>
      <c r="EA242" s="838"/>
      <c r="EB242" s="838"/>
      <c r="EC242" s="838"/>
      <c r="ED242" s="838"/>
      <c r="EE242" s="852"/>
      <c r="EG242" s="682">
        <f>IF('4 SUPERFICIES'!A51="MICRO DER",85,IF('4 SUPERFICIES'!A51="MICRO IZQ",85,IF('4 SUPERFICIES'!A51="MICRO SEN",170,IF('4 SUPERFICIES'!A51="DIAMETRO",3.14*'4 SUPERFICIES'!C51/2,IF('4 SUPERFICIES'!A51="MOSTRADOR",136,IF('4 SUPERFICIES'!A51="PORTA",65,IF('4 SUPERFICIES'!A51="PITO Q",90,IF('4 SUPERFICIES'!A51="PITO P",90,'4 SUPERFICIES'!A51))))))))</f>
        <v>0</v>
      </c>
      <c r="EH242" s="682"/>
      <c r="EI242" s="682">
        <f>IF('4 SUPERFICIES'!A51="DIAMETRO",0,IF('4 SUPERFICIES'!C51="PRINCIPAL",160,IF('4 SUPERFICIES'!C51="BADE",190,IF('4 SUPERFICIES'!C51="RETORNO",100,IF('4 SUPERFICIES'!C51="R 60",100,IF('4 SUPERFICIES'!C51="R60",100,'4 SUPERFICIES'!C51))))))</f>
        <v>0</v>
      </c>
      <c r="EJ242" s="682"/>
      <c r="EK242" s="682">
        <f>IF('4 SUPERFICIES'!$F51='4 SUPERFICIES'!$AG$15,((EG242*2)+(EI242*2))*'4 SUPERFICIES'!AB51,0)</f>
        <v>0</v>
      </c>
      <c r="EL242" s="682"/>
      <c r="EM242" s="682">
        <f>IF('4 SUPERFICIES'!$F51='4 SUPERFICIES'!$AG$16,((EG242*2)+(EI242*2))*'4 SUPERFICIES'!AB51,0)</f>
        <v>0</v>
      </c>
      <c r="EO242" s="682">
        <f>IF('4 SUPERFICIES'!$F51='4 SUPERFICIES'!$AG$17,((EG242*2)+(EI242*2))*'4 SUPERFICIES'!AB51,0)</f>
        <v>0</v>
      </c>
      <c r="EP242" s="838"/>
      <c r="EQ242" s="682">
        <f>IF('4 SUPERFICIES'!$F51='4 SUPERFICIES'!$AG$18,((EG242*2)+(EI242*2))*'4 SUPERFICIES'!AB51,0)</f>
        <v>0</v>
      </c>
      <c r="ER242" s="838"/>
      <c r="ES242" s="858"/>
      <c r="ET242" s="858"/>
      <c r="EU242" s="858"/>
      <c r="EV242" s="858"/>
      <c r="EW242" s="838"/>
      <c r="EX242" s="838"/>
      <c r="EY242" s="838"/>
      <c r="EZ242" s="838"/>
      <c r="FA242" s="838"/>
      <c r="FB242" s="838"/>
      <c r="FC242" s="838"/>
      <c r="FD242" s="838"/>
      <c r="FE242" s="838"/>
      <c r="FF242" s="838"/>
      <c r="FG242" s="838"/>
      <c r="FH242" s="838"/>
      <c r="FI242" s="838"/>
      <c r="FJ242" s="838"/>
      <c r="FK242" s="838"/>
      <c r="FL242" s="838"/>
      <c r="FM242" s="838"/>
      <c r="FN242" s="838"/>
      <c r="FO242" s="838"/>
      <c r="FP242" s="838"/>
      <c r="GM242" s="858"/>
      <c r="GN242" s="838"/>
      <c r="GO242" s="858"/>
      <c r="GP242" s="858"/>
      <c r="GQ242" s="858"/>
      <c r="GR242" s="838"/>
      <c r="GS242" s="838"/>
      <c r="HF242" s="700">
        <v>30</v>
      </c>
      <c r="HH242" s="591">
        <v>30</v>
      </c>
    </row>
    <row r="243" spans="4:216" ht="26.25" x14ac:dyDescent="0.4">
      <c r="AK243" s="777" t="b">
        <f>IF('4 SUPERFICIES'!$A52&gt;10,IF('4 SUPERFICIES'!$A52&lt;31.1,IF('4 SUPERFICIES'!$C52&gt;10,IF('4 SUPERFICIES'!$C52&lt;57.6,'4 SUPERFICIES'!$AB52,0))))</f>
        <v>0</v>
      </c>
      <c r="AL243" s="777" t="b">
        <f>IF('4 SUPERFICIES'!$A52&gt;10,IF('4 SUPERFICIES'!$A52&lt;31.1,IF('4 SUPERFICIES'!$C52&gt;57.6,IF('4 SUPERFICIES'!$C52&lt;71.6,'4 SUPERFICIES'!$AB52,0))))</f>
        <v>0</v>
      </c>
      <c r="AM243" s="777" t="b">
        <f>IF('4 SUPERFICIES'!$A52&gt;10,IF('4 SUPERFICIES'!$A52&lt;31.1,IF('4 SUPERFICIES'!$C52&gt;71.5,IF('4 SUPERFICIES'!$C52&lt;85.6,'4 SUPERFICIES'!$AB52,0))))</f>
        <v>0</v>
      </c>
      <c r="AN243" s="777" t="b">
        <f>IF('4 SUPERFICIES'!$A52&gt;10,IF('4 SUPERFICIES'!$A52&lt;31.1,IF('4 SUPERFICIES'!$C52&gt;85.5,IF('4 SUPERFICIES'!$C52&lt;113.6,'4 SUPERFICIES'!$AB52,0))))</f>
        <v>0</v>
      </c>
      <c r="AO243" s="777" t="b">
        <f>IF('4 SUPERFICIES'!$A52&gt;10,IF('4 SUPERFICIES'!$A52&lt;31.1,IF('4 SUPERFICIES'!$C52&gt;113.5,IF('4 SUPERFICIES'!$C52&lt;141.6,'4 SUPERFICIES'!$AB52,0))))</f>
        <v>0</v>
      </c>
      <c r="AP243" s="777" t="b">
        <f>IF('4 SUPERFICIES'!$A52&gt;10,IF('4 SUPERFICIES'!$A52&lt;31.1,IF('4 SUPERFICIES'!$C52&gt;141.5,IF('4 SUPERFICIES'!$C52&lt;180.6,'4 SUPERFICIES'!$AB52,0))))</f>
        <v>0</v>
      </c>
      <c r="AQ243" s="777" t="b">
        <f>IF('4 SUPERFICIES'!$A52&gt;10,IF('4 SUPERFICIES'!$A52&lt;31.1,IF('4 SUPERFICIES'!$C52&gt;180.5,IF('4 SUPERFICIES'!$C52&lt;240.1,'4 SUPERFICIES'!$AB52,0))))</f>
        <v>0</v>
      </c>
      <c r="AS243" s="777" t="b">
        <f>IF('4 SUPERFICIES'!$A52&gt;31,IF('4 SUPERFICIES'!$A52&lt;45.5,IF('4 SUPERFICIES'!$C52&gt;10,IF('4 SUPERFICIES'!$C52&lt;57.6,'4 SUPERFICIES'!$AB52,0))))</f>
        <v>0</v>
      </c>
      <c r="AT243" s="777" t="b">
        <f>IF('4 SUPERFICIES'!$A52&gt;31,IF('4 SUPERFICIES'!$A52&lt;45.5,IF('4 SUPERFICIES'!$C52&gt;57.6,IF('4 SUPERFICIES'!$C52&lt;71.6,'4 SUPERFICIES'!$AB52,0))))</f>
        <v>0</v>
      </c>
      <c r="AU243" s="777" t="b">
        <f>IF('4 SUPERFICIES'!$A52&gt;31,IF('4 SUPERFICIES'!$A52&lt;45.5,IF('4 SUPERFICIES'!$C52&gt;71.5,IF('4 SUPERFICIES'!$C52&lt;85.6,'4 SUPERFICIES'!$AB52,0))))</f>
        <v>0</v>
      </c>
      <c r="AV243" s="777" t="b">
        <f>IF('4 SUPERFICIES'!$A52&gt;31,IF('4 SUPERFICIES'!$A52&lt;45.5,IF('4 SUPERFICIES'!$C52&gt;85.5,IF('4 SUPERFICIES'!$C52&lt;113.6,'4 SUPERFICIES'!$AB52,0))))</f>
        <v>0</v>
      </c>
      <c r="AW243" s="777" t="b">
        <f>IF('4 SUPERFICIES'!$A52&gt;31,IF('4 SUPERFICIES'!$A52&lt;45.5,IF('4 SUPERFICIES'!$C52&gt;113.5,IF('4 SUPERFICIES'!$C52&lt;141.6,'4 SUPERFICIES'!$AB52,0))))</f>
        <v>0</v>
      </c>
      <c r="AX243" s="777" t="b">
        <f>IF('4 SUPERFICIES'!$A52&gt;31,IF('4 SUPERFICIES'!$A52&lt;45.5,IF('4 SUPERFICIES'!$C52&gt;141.5,IF('4 SUPERFICIES'!$C52&lt;180.6,'4 SUPERFICIES'!$AB52,0))))</f>
        <v>0</v>
      </c>
      <c r="AY243" s="777" t="b">
        <f>IF('4 SUPERFICIES'!$A52&gt;31,IF('4 SUPERFICIES'!$A52&lt;45.5,IF('4 SUPERFICIES'!$C52&gt;180.5,IF('4 SUPERFICIES'!$C52&lt;240.1,'4 SUPERFICIES'!$AB52,0))))</f>
        <v>0</v>
      </c>
      <c r="BA243" s="777" t="b">
        <f>IF('4 SUPERFICIES'!$A52&gt;45.4,IF('4 SUPERFICIES'!$A52&lt;61.6,IF('4 SUPERFICIES'!$C52&gt;10,IF('4 SUPERFICIES'!$C52&lt;61.5,'4 SUPERFICIES'!$AB52,0))))</f>
        <v>0</v>
      </c>
      <c r="BB243" s="777" t="b">
        <f>IF('4 SUPERFICIES'!$A52&gt;45.4,IF('4 SUPERFICIES'!$A52&lt;61.6,IF('4 SUPERFICIES'!$C52&gt;61.1,IF('4 SUPERFICIES'!$C52&lt;71.6,'4 SUPERFICIES'!$AB52,0))))</f>
        <v>0</v>
      </c>
      <c r="BC243" s="777" t="b">
        <f>IF('4 SUPERFICIES'!$A52&gt;45.4,IF('4 SUPERFICIES'!$A52&lt;61.6,IF('4 SUPERFICIES'!$C52&gt;71.5,IF('4 SUPERFICIES'!$C52&lt;85.6,'4 SUPERFICIES'!$AB52,0))))</f>
        <v>0</v>
      </c>
      <c r="BD243" s="777" t="b">
        <f>IF('4 SUPERFICIES'!$A52&gt;45.4,IF('4 SUPERFICIES'!$A52&lt;61.6,IF('4 SUPERFICIES'!$C52&gt;85.5,IF('4 SUPERFICIES'!$C52&lt;113.6,'4 SUPERFICIES'!$AB52,0))))</f>
        <v>0</v>
      </c>
      <c r="BE243" s="777" t="b">
        <f>IF('4 SUPERFICIES'!$A52&gt;45.4,IF('4 SUPERFICIES'!$A52&lt;61.6,IF('4 SUPERFICIES'!$C52&gt;113.5,IF('4 SUPERFICIES'!$C52&lt;121.6,'4 SUPERFICIES'!$AB52,0))))</f>
        <v>0</v>
      </c>
      <c r="BF243" s="777" t="b">
        <f>IF('4 SUPERFICIES'!$A52&gt;45.4,IF('4 SUPERFICIES'!$A52&lt;61.6,IF('4 SUPERFICIES'!$C52&gt;121.5,IF('4 SUPERFICIES'!$C52&lt;127.6,'4 SUPERFICIES'!$AB52,0))))</f>
        <v>0</v>
      </c>
      <c r="BG243" s="777" t="b">
        <f>IF('4 SUPERFICIES'!$A52&gt;45.4,IF('4 SUPERFICIES'!$A52&lt;61.6,IF('4 SUPERFICIES'!$C52&gt;127.5,IF('4 SUPERFICIES'!$C52&lt;135.1,'4 SUPERFICIES'!$AB52,0))))</f>
        <v>0</v>
      </c>
      <c r="BH243" s="777" t="b">
        <f>IF('4 SUPERFICIES'!$A52&gt;45.4,IF('4 SUPERFICIES'!$A52&lt;61.6,IF('4 SUPERFICIES'!$C52&gt;135,IF('4 SUPERFICIES'!$C52&lt;141.6,'4 SUPERFICIES'!$AB52,0))))</f>
        <v>0</v>
      </c>
      <c r="BI243" s="777" t="b">
        <f>IF('4 SUPERFICIES'!$A52&gt;45.4,IF('4 SUPERFICIES'!$A52&lt;61.6,IF('4 SUPERFICIES'!$C52&gt;141.5,IF('4 SUPERFICIES'!$C52&lt;149.1,'4 SUPERFICIES'!$AB52,0))))</f>
        <v>0</v>
      </c>
      <c r="BJ243" s="777" t="b">
        <f>IF('4 SUPERFICIES'!$A52&gt;45.4,IF('4 SUPERFICIES'!$A52&lt;61.6,IF('4 SUPERFICIES'!$C52&gt;149,IF('4 SUPERFICIES'!$C52&lt;155.6,'4 SUPERFICIES'!$AB52,0))))</f>
        <v>0</v>
      </c>
      <c r="BK243" s="777" t="b">
        <f>IF('4 SUPERFICIES'!$A52&gt;45.4,IF('4 SUPERFICIES'!$A52&lt;61.6,IF('4 SUPERFICIES'!$C52&gt;155.5,IF('4 SUPERFICIES'!$C52&lt;163.1,'4 SUPERFICIES'!$AB52,0))))</f>
        <v>0</v>
      </c>
      <c r="BL243" s="777" t="b">
        <f>IF('4 SUPERFICIES'!$A52&gt;45.4,IF('4 SUPERFICIES'!$A52&lt;61.6,IF('4 SUPERFICIES'!$C52&gt;163,IF('4 SUPERFICIES'!$C52&lt;180.6,'4 SUPERFICIES'!$AB52,0))))</f>
        <v>0</v>
      </c>
      <c r="BM243" s="777" t="b">
        <f>IF('4 SUPERFICIES'!$A52&gt;45.4,IF('4 SUPERFICIES'!$A52&lt;61.6,IF('4 SUPERFICIES'!$C52&gt;180.5,IF('4 SUPERFICIES'!$C52&lt;240.1,'4 SUPERFICIES'!$AB52,0))))</f>
        <v>0</v>
      </c>
      <c r="BN243" s="837"/>
      <c r="BO243" s="869" t="s">
        <v>512</v>
      </c>
      <c r="BQ243" s="870">
        <f>+$AM$249</f>
        <v>0</v>
      </c>
      <c r="BS243" s="869"/>
      <c r="BT243" s="870">
        <f>+$AM$252</f>
        <v>0</v>
      </c>
      <c r="BU243" s="837"/>
      <c r="BV243" s="777" t="b">
        <f>IF('4 SUPERFICIES'!$A52&gt;61.5,IF('4 SUPERFICIES'!$A52&lt;71.6,IF('4 SUPERFICIES'!$C52&gt;10,IF('4 SUPERFICIES'!$C52&lt;57.6,'4 SUPERFICIES'!$AB52,0))))</f>
        <v>0</v>
      </c>
      <c r="BW243" s="777" t="b">
        <f>IF('4 SUPERFICIES'!$A52&gt;61.5,IF('4 SUPERFICIES'!$A52&lt;71.6,IF('4 SUPERFICIES'!$C52&gt;57.6,IF('4 SUPERFICIES'!$C52&lt;71.6,'4 SUPERFICIES'!$AB52,0))))</f>
        <v>0</v>
      </c>
      <c r="BX243" s="777" t="b">
        <f>IF('4 SUPERFICIES'!$A52&gt;61.5,IF('4 SUPERFICIES'!$A52&lt;71.6,IF('4 SUPERFICIES'!$C52&gt;71.5,IF('4 SUPERFICIES'!$C52&lt;85.6,'4 SUPERFICIES'!$AB52,0))))</f>
        <v>0</v>
      </c>
      <c r="BY243" s="777" t="b">
        <f>IF('4 SUPERFICIES'!$A52&gt;61.5,IF('4 SUPERFICIES'!$A52&lt;71.6,IF('4 SUPERFICIES'!$C52&gt;85.5,IF('4 SUPERFICIES'!$C52&lt;113.6,'4 SUPERFICIES'!$AB52,0))))</f>
        <v>0</v>
      </c>
      <c r="BZ243" s="777" t="b">
        <f>IF('4 SUPERFICIES'!$A52&gt;61.5,IF('4 SUPERFICIES'!$A52&lt;71.6,IF('4 SUPERFICIES'!$C52&gt;113.5,IF('4 SUPERFICIES'!$C52&lt;141.6,'4 SUPERFICIES'!$AB52,0))))</f>
        <v>0</v>
      </c>
      <c r="CA243" s="777" t="b">
        <f>IF('4 SUPERFICIES'!$A52&gt;61.5,IF('4 SUPERFICIES'!$A52&lt;71.6,IF('4 SUPERFICIES'!$C52&gt;141.5,IF('4 SUPERFICIES'!$C52&lt;149.1,'4 SUPERFICIES'!$AB52,0))))</f>
        <v>0</v>
      </c>
      <c r="CB243" s="777" t="b">
        <f>IF('4 SUPERFICIES'!$A52&gt;61.5,IF('4 SUPERFICIES'!$A52&lt;71.6,IF('4 SUPERFICIES'!$C52&gt;149,IF('4 SUPERFICIES'!$C52&lt;163.1,'4 SUPERFICIES'!$AB52,0))))</f>
        <v>0</v>
      </c>
      <c r="CC243" s="777" t="b">
        <f>IF('4 SUPERFICIES'!$A52&gt;61.5,IF('4 SUPERFICIES'!$A52&lt;71.6,IF('4 SUPERFICIES'!$C52&gt;163,IF('4 SUPERFICIES'!$C52&lt;180.6,'4 SUPERFICIES'!$AB52,0))))</f>
        <v>0</v>
      </c>
      <c r="CD243" s="777" t="b">
        <f>IF('4 SUPERFICIES'!$A52&gt;61.5,IF('4 SUPERFICIES'!$A52&lt;71.6,IF('4 SUPERFICIES'!$C52&gt;180.5,IF('4 SUPERFICIES'!$C52&lt;240.1,'4 SUPERFICIES'!$AB52,0))))</f>
        <v>0</v>
      </c>
      <c r="CF243" s="777" t="b">
        <f>IF('4 SUPERFICIES'!$A52&gt;71.5,IF('4 SUPERFICIES'!$A52&lt;120.6,IF('4 SUPERFICIES'!$C52&gt;10,IF('4 SUPERFICIES'!$C52&lt;57.6,'4 SUPERFICIES'!$AB52,0))))</f>
        <v>0</v>
      </c>
      <c r="CG243" s="777" t="b">
        <f>IF('4 SUPERFICIES'!$A52&gt;71.5,IF('4 SUPERFICIES'!$A52&lt;120.6,IF('4 SUPERFICIES'!$C52&gt;57.6,IF('4 SUPERFICIES'!$C52&lt;71.6,'4 SUPERFICIES'!$AB52,0))))</f>
        <v>0</v>
      </c>
      <c r="CH243" s="777" t="b">
        <f>IF('4 SUPERFICIES'!$A52&gt;71.5,IF('4 SUPERFICIES'!$A52&lt;120.6,IF('4 SUPERFICIES'!$C52&gt;71.5,IF('4 SUPERFICIES'!$C52&lt;85.6,'4 SUPERFICIES'!$AB52,0))))</f>
        <v>0</v>
      </c>
      <c r="CI243" s="777" t="b">
        <f>IF('4 SUPERFICIES'!$A52&gt;71.5,IF('4 SUPERFICIES'!$A52&lt;120.6,IF('4 SUPERFICIES'!$C52&gt;85.5,IF('4 SUPERFICIES'!$C52&lt;113.6,'4 SUPERFICIES'!$AB52,0))))</f>
        <v>0</v>
      </c>
      <c r="CJ243" s="777" t="b">
        <f>IF('4 SUPERFICIES'!$A52&gt;71.5,IF('4 SUPERFICIES'!$A52&lt;120.6,IF('4 SUPERFICIES'!$C52&gt;113.5,IF('4 SUPERFICIES'!$C52&lt;141.6,'4 SUPERFICIES'!$AB52,0))))</f>
        <v>0</v>
      </c>
      <c r="CK243" s="777" t="b">
        <f>IF('4 SUPERFICIES'!$A52&gt;71.5,IF('4 SUPERFICIES'!$A52&lt;120.6,IF('4 SUPERFICIES'!$C52&gt;141.5,IF('4 SUPERFICIES'!$C52&lt;180.6,'4 SUPERFICIES'!$AB52,0))))</f>
        <v>0</v>
      </c>
      <c r="CL243" s="777" t="b">
        <f>IF('4 SUPERFICIES'!$A52&gt;71.5,IF('4 SUPERFICIES'!$A52&lt;120.6,IF('4 SUPERFICIES'!$C52&gt;180.5,IF('4 SUPERFICIES'!$C52&lt;240.1,'4 SUPERFICIES'!$AB52,0))))</f>
        <v>0</v>
      </c>
      <c r="CN243" s="777">
        <f>IF('4 SUPERFICIES'!$C52&lt;150,IF(OR('4 SUPERFICIES'!$A52="MICRODER",'4 SUPERFICIES'!$A52="MICRO DER",),'4 SUPERFICIES'!$AB52,0))</f>
        <v>0</v>
      </c>
      <c r="CO243" s="777" t="b">
        <f>IF('4 SUPERFICIES'!$C52&gt;149.5,IF(OR('4 SUPERFICIES'!$A52="MICRODER",'4 SUPERFICIES'!$A52="MICRO DER",),'4 SUPERFICIES'!$AB52,0))</f>
        <v>0</v>
      </c>
      <c r="CP243" s="847"/>
      <c r="CQ243" s="777">
        <f>IF('4 SUPERFICIES'!$C52&lt;150,IF(OR('4 SUPERFICIES'!$A52="MICROIZQ",'4 SUPERFICIES'!$A52="MICRO IZQ",),'4 SUPERFICIES'!$AB52,0))</f>
        <v>0</v>
      </c>
      <c r="CR243" s="777" t="b">
        <f>IF('4 SUPERFICIES'!$C52&gt;149.5,IF(OR('4 SUPERFICIES'!$A52="MICROIZQ",'4 SUPERFICIES'!$A52="MICRO IZQ",),'4 SUPERFICIES'!$AB52,0))</f>
        <v>0</v>
      </c>
      <c r="CT243" s="837">
        <f>IF(OR('4 SUPERFICIES'!$A52="MICRO SEN",'4 SUPERFICIES'!$A52="MICROSEN",),'4 SUPERFICIES'!$AB52,0)</f>
        <v>0</v>
      </c>
      <c r="CV243" s="837" t="b">
        <f>IF('4 SUPERFICIES'!$A52="DIAMETRO",IF('4 SUPERFICIES'!$C52&lt;121.1,'4 SUPERFICIES'!$AB52,0))</f>
        <v>0</v>
      </c>
      <c r="CX243" s="858"/>
      <c r="CZ243" s="837" t="b">
        <f>IF('4 SUPERFICIES'!$A52="MOSTRADOR",IF('4 SUPERFICIES'!$C52="R60",'4 SUPERFICIES'!$AB52,0))</f>
        <v>0</v>
      </c>
      <c r="DB243" s="837">
        <f>IF(OR('4 SUPERFICIES'!$A52="PORTA PRIN",'4 SUPERFICIES'!$A52="PORTAPRIN",),'4 SUPERFICIES'!$AB52,0)</f>
        <v>0</v>
      </c>
      <c r="DD243" s="837">
        <f>IF(OR('4 SUPERFICIES'!$A52="PORTA BADE",'4 SUPERFICIES'!$A52="PORTABADE",),'4 SUPERFICIES'!$AB52,0)</f>
        <v>0</v>
      </c>
      <c r="DE243" s="837"/>
      <c r="DF243" s="837">
        <f>IF(OR('4 SUPERFICIES'!$A52="RETORNO IZQ",'4 SUPERFICIES'!$A52="RETORNO DER",),'4 SUPERFICIES'!$AB152,0)</f>
        <v>0</v>
      </c>
      <c r="DG243" s="837"/>
      <c r="DH243" s="837">
        <f>IF(OR('4 SUPERFICIES'!$A52="PITO Q",'4 SUPERFICIES'!$A52="PITO P",'4 SUPERFICIES'!$A52="DIAMETRO INTEGRADA",),'4 SUPERFICIES'!$AB52,0)</f>
        <v>0</v>
      </c>
      <c r="DJ243" s="858"/>
      <c r="DK243" s="837"/>
      <c r="DL243" s="837">
        <f>IF('4 SUPERFICIES'!$A52="SUPERFICIE OVAL",'4 SUPERFICIES'!$AB52,0)</f>
        <v>0</v>
      </c>
      <c r="DM243" s="838"/>
      <c r="DN243" s="838"/>
      <c r="DO243" s="838"/>
      <c r="DP243" s="838"/>
      <c r="DQ243" s="838"/>
      <c r="DR243" s="838"/>
      <c r="DS243" s="838"/>
      <c r="DT243" s="838"/>
      <c r="DU243" s="838"/>
      <c r="DV243" s="838"/>
      <c r="DW243" s="838"/>
      <c r="DX243" s="838"/>
      <c r="DY243" s="838"/>
      <c r="DZ243" s="838"/>
      <c r="EA243" s="838"/>
      <c r="EB243" s="838"/>
      <c r="EC243" s="838"/>
      <c r="ED243" s="838"/>
      <c r="EE243" s="852"/>
      <c r="EG243" s="682">
        <f>IF('4 SUPERFICIES'!A52="MICRO DER",85,IF('4 SUPERFICIES'!A52="MICRO IZQ",85,IF('4 SUPERFICIES'!A52="MICRO SEN",170,IF('4 SUPERFICIES'!A52="DIAMETRO",3.14*'4 SUPERFICIES'!C52/2,IF('4 SUPERFICIES'!A52="MOSTRADOR",136,IF('4 SUPERFICIES'!A52="PORTA",65,IF('4 SUPERFICIES'!A52="PITO Q",90,IF('4 SUPERFICIES'!A52="PITO P",90,'4 SUPERFICIES'!A52))))))))</f>
        <v>0</v>
      </c>
      <c r="EH243" s="682"/>
      <c r="EI243" s="682">
        <f>IF('4 SUPERFICIES'!A52="DIAMETRO",0,IF('4 SUPERFICIES'!C52="PRINCIPAL",160,IF('4 SUPERFICIES'!C52="BADE",190,IF('4 SUPERFICIES'!C52="RETORNO",100,IF('4 SUPERFICIES'!C52="R 60",100,IF('4 SUPERFICIES'!C52="R60",100,'4 SUPERFICIES'!C52))))))</f>
        <v>0</v>
      </c>
      <c r="EJ243" s="682"/>
      <c r="EK243" s="682">
        <f>IF('4 SUPERFICIES'!$F52='4 SUPERFICIES'!$AG$15,((EG243*2)+(EI243*2))*'4 SUPERFICIES'!AB52,0)</f>
        <v>0</v>
      </c>
      <c r="EL243" s="682"/>
      <c r="EM243" s="682">
        <f>IF('4 SUPERFICIES'!$F52='4 SUPERFICIES'!$AG$16,((EG243*2)+(EI243*2))*'4 SUPERFICIES'!AB52,0)</f>
        <v>0</v>
      </c>
      <c r="EO243" s="682">
        <f>IF('4 SUPERFICIES'!$F52='4 SUPERFICIES'!$AG$17,((EG243*2)+(EI243*2))*'4 SUPERFICIES'!AB52,0)</f>
        <v>0</v>
      </c>
      <c r="EP243" s="838"/>
      <c r="EQ243" s="682">
        <f>IF('4 SUPERFICIES'!$F52='4 SUPERFICIES'!$AG$18,((EG243*2)+(EI243*2))*'4 SUPERFICIES'!AB52,0)</f>
        <v>0</v>
      </c>
      <c r="ER243" s="838"/>
      <c r="ES243" s="858"/>
      <c r="ET243" s="858"/>
      <c r="EU243" s="858"/>
      <c r="EV243" s="858"/>
      <c r="EW243" s="838"/>
      <c r="EX243" s="838"/>
      <c r="EY243" s="838"/>
      <c r="EZ243" s="838"/>
      <c r="FA243" s="838"/>
      <c r="FB243" s="838"/>
      <c r="FC243" s="838"/>
      <c r="FD243" s="838"/>
      <c r="FE243" s="838"/>
      <c r="FF243" s="838"/>
      <c r="FG243" s="838"/>
      <c r="FH243" s="838"/>
      <c r="FI243" s="838"/>
      <c r="FJ243" s="838"/>
      <c r="FK243" s="838"/>
      <c r="FL243" s="838"/>
      <c r="FM243" s="838"/>
      <c r="FN243" s="838"/>
      <c r="FO243" s="838"/>
      <c r="FP243" s="838"/>
      <c r="GM243" s="858"/>
      <c r="GN243" s="838"/>
      <c r="GO243" s="858"/>
      <c r="GP243" s="858"/>
      <c r="GQ243" s="858"/>
      <c r="GR243" s="838"/>
      <c r="GS243" s="838"/>
      <c r="HF243" s="700">
        <v>30.5</v>
      </c>
      <c r="HH243" s="591">
        <v>30.5</v>
      </c>
    </row>
    <row r="244" spans="4:216" ht="26.25" x14ac:dyDescent="0.4">
      <c r="AK244" s="777" t="b">
        <f>IF('4 SUPERFICIES'!$A53&gt;10,IF('4 SUPERFICIES'!$A53&lt;31.1,IF('4 SUPERFICIES'!$C53&gt;10,IF('4 SUPERFICIES'!$C53&lt;57.6,'4 SUPERFICIES'!$AB53,0))))</f>
        <v>0</v>
      </c>
      <c r="AL244" s="777" t="b">
        <f>IF('4 SUPERFICIES'!$A53&gt;10,IF('4 SUPERFICIES'!$A53&lt;31.1,IF('4 SUPERFICIES'!$C53&gt;57.6,IF('4 SUPERFICIES'!$C53&lt;71.6,'4 SUPERFICIES'!$AB53,0))))</f>
        <v>0</v>
      </c>
      <c r="AM244" s="777" t="b">
        <f>IF('4 SUPERFICIES'!$A53&gt;10,IF('4 SUPERFICIES'!$A53&lt;31.1,IF('4 SUPERFICIES'!$C53&gt;71.5,IF('4 SUPERFICIES'!$C53&lt;85.6,'4 SUPERFICIES'!$AB53,0))))</f>
        <v>0</v>
      </c>
      <c r="AN244" s="777" t="b">
        <f>IF('4 SUPERFICIES'!$A53&gt;10,IF('4 SUPERFICIES'!$A53&lt;31.1,IF('4 SUPERFICIES'!$C53&gt;85.5,IF('4 SUPERFICIES'!$C53&lt;113.6,'4 SUPERFICIES'!$AB53,0))))</f>
        <v>0</v>
      </c>
      <c r="AO244" s="777" t="b">
        <f>IF('4 SUPERFICIES'!$A53&gt;10,IF('4 SUPERFICIES'!$A53&lt;31.1,IF('4 SUPERFICIES'!$C53&gt;113.5,IF('4 SUPERFICIES'!$C53&lt;141.6,'4 SUPERFICIES'!$AB53,0))))</f>
        <v>0</v>
      </c>
      <c r="AP244" s="777" t="b">
        <f>IF('4 SUPERFICIES'!$A53&gt;10,IF('4 SUPERFICIES'!$A53&lt;31.1,IF('4 SUPERFICIES'!$C53&gt;141.5,IF('4 SUPERFICIES'!$C53&lt;180.6,'4 SUPERFICIES'!$AB53,0))))</f>
        <v>0</v>
      </c>
      <c r="AQ244" s="777" t="b">
        <f>IF('4 SUPERFICIES'!$A53&gt;10,IF('4 SUPERFICIES'!$A53&lt;31.1,IF('4 SUPERFICIES'!$C53&gt;180.5,IF('4 SUPERFICIES'!$C53&lt;240.1,'4 SUPERFICIES'!$AB53,0))))</f>
        <v>0</v>
      </c>
      <c r="AS244" s="777" t="b">
        <f>IF('4 SUPERFICIES'!$A53&gt;31,IF('4 SUPERFICIES'!$A53&lt;45.5,IF('4 SUPERFICIES'!$C53&gt;10,IF('4 SUPERFICIES'!$C53&lt;57.6,'4 SUPERFICIES'!$AB53,0))))</f>
        <v>0</v>
      </c>
      <c r="AT244" s="777" t="b">
        <f>IF('4 SUPERFICIES'!$A53&gt;31,IF('4 SUPERFICIES'!$A53&lt;45.5,IF('4 SUPERFICIES'!$C53&gt;57.6,IF('4 SUPERFICIES'!$C53&lt;71.6,'4 SUPERFICIES'!$AB53,0))))</f>
        <v>0</v>
      </c>
      <c r="AU244" s="777" t="b">
        <f>IF('4 SUPERFICIES'!$A53&gt;31,IF('4 SUPERFICIES'!$A53&lt;45.5,IF('4 SUPERFICIES'!$C53&gt;71.5,IF('4 SUPERFICIES'!$C53&lt;85.6,'4 SUPERFICIES'!$AB53,0))))</f>
        <v>0</v>
      </c>
      <c r="AV244" s="777" t="b">
        <f>IF('4 SUPERFICIES'!$A53&gt;31,IF('4 SUPERFICIES'!$A53&lt;45.5,IF('4 SUPERFICIES'!$C53&gt;85.5,IF('4 SUPERFICIES'!$C53&lt;113.6,'4 SUPERFICIES'!$AB53,0))))</f>
        <v>0</v>
      </c>
      <c r="AW244" s="777" t="b">
        <f>IF('4 SUPERFICIES'!$A53&gt;31,IF('4 SUPERFICIES'!$A53&lt;45.5,IF('4 SUPERFICIES'!$C53&gt;113.5,IF('4 SUPERFICIES'!$C53&lt;141.6,'4 SUPERFICIES'!$AB53,0))))</f>
        <v>0</v>
      </c>
      <c r="AX244" s="777" t="b">
        <f>IF('4 SUPERFICIES'!$A53&gt;31,IF('4 SUPERFICIES'!$A53&lt;45.5,IF('4 SUPERFICIES'!$C53&gt;141.5,IF('4 SUPERFICIES'!$C53&lt;180.6,'4 SUPERFICIES'!$AB53,0))))</f>
        <v>0</v>
      </c>
      <c r="AY244" s="777" t="b">
        <f>IF('4 SUPERFICIES'!$A53&gt;31,IF('4 SUPERFICIES'!$A53&lt;45.5,IF('4 SUPERFICIES'!$C53&gt;180.5,IF('4 SUPERFICIES'!$C53&lt;240.1,'4 SUPERFICIES'!$AB53,0))))</f>
        <v>0</v>
      </c>
      <c r="BA244" s="777" t="b">
        <f>IF('4 SUPERFICIES'!$A53&gt;45.4,IF('4 SUPERFICIES'!$A53&lt;61.6,IF('4 SUPERFICIES'!$C53&gt;10,IF('4 SUPERFICIES'!$C53&lt;61.5,'4 SUPERFICIES'!$AB53,0))))</f>
        <v>0</v>
      </c>
      <c r="BB244" s="777" t="b">
        <f>IF('4 SUPERFICIES'!$A53&gt;45.4,IF('4 SUPERFICIES'!$A53&lt;61.6,IF('4 SUPERFICIES'!$C53&gt;61.1,IF('4 SUPERFICIES'!$C53&lt;71.6,'4 SUPERFICIES'!$AB53,0))))</f>
        <v>0</v>
      </c>
      <c r="BC244" s="777" t="b">
        <f>IF('4 SUPERFICIES'!$A53&gt;45.4,IF('4 SUPERFICIES'!$A53&lt;61.6,IF('4 SUPERFICIES'!$C53&gt;71.5,IF('4 SUPERFICIES'!$C53&lt;85.6,'4 SUPERFICIES'!$AB53,0))))</f>
        <v>0</v>
      </c>
      <c r="BD244" s="777" t="b">
        <f>IF('4 SUPERFICIES'!$A53&gt;45.4,IF('4 SUPERFICIES'!$A53&lt;61.6,IF('4 SUPERFICIES'!$C53&gt;85.5,IF('4 SUPERFICIES'!$C53&lt;113.6,'4 SUPERFICIES'!$AB53,0))))</f>
        <v>0</v>
      </c>
      <c r="BE244" s="777" t="b">
        <f>IF('4 SUPERFICIES'!$A53&gt;45.4,IF('4 SUPERFICIES'!$A53&lt;61.6,IF('4 SUPERFICIES'!$C53&gt;113.5,IF('4 SUPERFICIES'!$C53&lt;121.6,'4 SUPERFICIES'!$AB53,0))))</f>
        <v>0</v>
      </c>
      <c r="BF244" s="777" t="b">
        <f>IF('4 SUPERFICIES'!$A53&gt;45.4,IF('4 SUPERFICIES'!$A53&lt;61.6,IF('4 SUPERFICIES'!$C53&gt;121.5,IF('4 SUPERFICIES'!$C53&lt;127.6,'4 SUPERFICIES'!$AB53,0))))</f>
        <v>0</v>
      </c>
      <c r="BG244" s="777" t="b">
        <f>IF('4 SUPERFICIES'!$A53&gt;45.4,IF('4 SUPERFICIES'!$A53&lt;61.6,IF('4 SUPERFICIES'!$C53&gt;127.5,IF('4 SUPERFICIES'!$C53&lt;135.1,'4 SUPERFICIES'!$AB53,0))))</f>
        <v>0</v>
      </c>
      <c r="BH244" s="777" t="b">
        <f>IF('4 SUPERFICIES'!$A53&gt;45.4,IF('4 SUPERFICIES'!$A53&lt;61.6,IF('4 SUPERFICIES'!$C53&gt;135,IF('4 SUPERFICIES'!$C53&lt;141.6,'4 SUPERFICIES'!$AB53,0))))</f>
        <v>0</v>
      </c>
      <c r="BI244" s="777" t="b">
        <f>IF('4 SUPERFICIES'!$A53&gt;45.4,IF('4 SUPERFICIES'!$A53&lt;61.6,IF('4 SUPERFICIES'!$C53&gt;141.5,IF('4 SUPERFICIES'!$C53&lt;149.1,'4 SUPERFICIES'!$AB53,0))))</f>
        <v>0</v>
      </c>
      <c r="BJ244" s="777" t="b">
        <f>IF('4 SUPERFICIES'!$A53&gt;45.4,IF('4 SUPERFICIES'!$A53&lt;61.6,IF('4 SUPERFICIES'!$C53&gt;149,IF('4 SUPERFICIES'!$C53&lt;155.6,'4 SUPERFICIES'!$AB53,0))))</f>
        <v>0</v>
      </c>
      <c r="BK244" s="777" t="b">
        <f>IF('4 SUPERFICIES'!$A53&gt;45.4,IF('4 SUPERFICIES'!$A53&lt;61.6,IF('4 SUPERFICIES'!$C53&gt;155.5,IF('4 SUPERFICIES'!$C53&lt;163.1,'4 SUPERFICIES'!$AB53,0))))</f>
        <v>0</v>
      </c>
      <c r="BL244" s="777" t="b">
        <f>IF('4 SUPERFICIES'!$A53&gt;45.4,IF('4 SUPERFICIES'!$A53&lt;61.6,IF('4 SUPERFICIES'!$C53&gt;163,IF('4 SUPERFICIES'!$C53&lt;180.6,'4 SUPERFICIES'!$AB53,0))))</f>
        <v>0</v>
      </c>
      <c r="BM244" s="777" t="b">
        <f>IF('4 SUPERFICIES'!$A53&gt;45.4,IF('4 SUPERFICIES'!$A53&lt;61.6,IF('4 SUPERFICIES'!$C53&gt;180.5,IF('4 SUPERFICIES'!$C53&lt;240.1,'4 SUPERFICIES'!$AB53,0))))</f>
        <v>0</v>
      </c>
      <c r="BO244" s="869" t="s">
        <v>515</v>
      </c>
      <c r="BQ244" s="870">
        <f>+$AN$249</f>
        <v>0</v>
      </c>
      <c r="BS244" s="869"/>
      <c r="BT244" s="870">
        <f>+$AN$252</f>
        <v>0</v>
      </c>
      <c r="BV244" s="777" t="b">
        <f>IF('4 SUPERFICIES'!$A53&gt;61.5,IF('4 SUPERFICIES'!$A53&lt;71.6,IF('4 SUPERFICIES'!$C53&gt;10,IF('4 SUPERFICIES'!$C53&lt;57.6,'4 SUPERFICIES'!$AB53,0))))</f>
        <v>0</v>
      </c>
      <c r="BW244" s="777" t="b">
        <f>IF('4 SUPERFICIES'!$A53&gt;61.5,IF('4 SUPERFICIES'!$A53&lt;71.6,IF('4 SUPERFICIES'!$C53&gt;57.6,IF('4 SUPERFICIES'!$C53&lt;71.6,'4 SUPERFICIES'!$AB53,0))))</f>
        <v>0</v>
      </c>
      <c r="BX244" s="777" t="b">
        <f>IF('4 SUPERFICIES'!$A53&gt;61.5,IF('4 SUPERFICIES'!$A53&lt;71.6,IF('4 SUPERFICIES'!$C53&gt;71.5,IF('4 SUPERFICIES'!$C53&lt;85.6,'4 SUPERFICIES'!$AB53,0))))</f>
        <v>0</v>
      </c>
      <c r="BY244" s="777" t="b">
        <f>IF('4 SUPERFICIES'!$A53&gt;61.5,IF('4 SUPERFICIES'!$A53&lt;71.6,IF('4 SUPERFICIES'!$C53&gt;85.5,IF('4 SUPERFICIES'!$C53&lt;113.6,'4 SUPERFICIES'!$AB53,0))))</f>
        <v>0</v>
      </c>
      <c r="BZ244" s="777" t="b">
        <f>IF('4 SUPERFICIES'!$A53&gt;61.5,IF('4 SUPERFICIES'!$A53&lt;71.6,IF('4 SUPERFICIES'!$C53&gt;113.5,IF('4 SUPERFICIES'!$C53&lt;141.6,'4 SUPERFICIES'!$AB53,0))))</f>
        <v>0</v>
      </c>
      <c r="CA244" s="777" t="b">
        <f>IF('4 SUPERFICIES'!$A53&gt;61.5,IF('4 SUPERFICIES'!$A53&lt;71.6,IF('4 SUPERFICIES'!$C53&gt;141.5,IF('4 SUPERFICIES'!$C53&lt;149.1,'4 SUPERFICIES'!$AB53,0))))</f>
        <v>0</v>
      </c>
      <c r="CB244" s="777" t="b">
        <f>IF('4 SUPERFICIES'!$A53&gt;61.5,IF('4 SUPERFICIES'!$A53&lt;71.6,IF('4 SUPERFICIES'!$C53&gt;149,IF('4 SUPERFICIES'!$C53&lt;163.1,'4 SUPERFICIES'!$AB53,0))))</f>
        <v>0</v>
      </c>
      <c r="CC244" s="777" t="b">
        <f>IF('4 SUPERFICIES'!$A53&gt;61.5,IF('4 SUPERFICIES'!$A53&lt;71.6,IF('4 SUPERFICIES'!$C53&gt;163,IF('4 SUPERFICIES'!$C53&lt;180.6,'4 SUPERFICIES'!$AB53,0))))</f>
        <v>0</v>
      </c>
      <c r="CD244" s="777" t="b">
        <f>IF('4 SUPERFICIES'!$A53&gt;61.5,IF('4 SUPERFICIES'!$A53&lt;71.6,IF('4 SUPERFICIES'!$C53&gt;180.5,IF('4 SUPERFICIES'!$C53&lt;240.1,'4 SUPERFICIES'!$AB53,0))))</f>
        <v>0</v>
      </c>
      <c r="CF244" s="777" t="b">
        <f>IF('4 SUPERFICIES'!$A53&gt;71.5,IF('4 SUPERFICIES'!$A53&lt;120.6,IF('4 SUPERFICIES'!$C53&gt;10,IF('4 SUPERFICIES'!$C53&lt;57.6,'4 SUPERFICIES'!$AB53,0))))</f>
        <v>0</v>
      </c>
      <c r="CG244" s="777" t="b">
        <f>IF('4 SUPERFICIES'!$A53&gt;71.5,IF('4 SUPERFICIES'!$A53&lt;120.6,IF('4 SUPERFICIES'!$C53&gt;57.6,IF('4 SUPERFICIES'!$C53&lt;71.6,'4 SUPERFICIES'!$AB53,0))))</f>
        <v>0</v>
      </c>
      <c r="CH244" s="777" t="b">
        <f>IF('4 SUPERFICIES'!$A53&gt;71.5,IF('4 SUPERFICIES'!$A53&lt;120.6,IF('4 SUPERFICIES'!$C53&gt;71.5,IF('4 SUPERFICIES'!$C53&lt;85.6,'4 SUPERFICIES'!$AB53,0))))</f>
        <v>0</v>
      </c>
      <c r="CI244" s="777" t="b">
        <f>IF('4 SUPERFICIES'!$A53&gt;71.5,IF('4 SUPERFICIES'!$A53&lt;120.6,IF('4 SUPERFICIES'!$C53&gt;85.5,IF('4 SUPERFICIES'!$C53&lt;113.6,'4 SUPERFICIES'!$AB53,0))))</f>
        <v>0</v>
      </c>
      <c r="CJ244" s="777" t="b">
        <f>IF('4 SUPERFICIES'!$A53&gt;71.5,IF('4 SUPERFICIES'!$A53&lt;120.6,IF('4 SUPERFICIES'!$C53&gt;113.5,IF('4 SUPERFICIES'!$C53&lt;141.6,'4 SUPERFICIES'!$AB53,0))))</f>
        <v>0</v>
      </c>
      <c r="CK244" s="777" t="b">
        <f>IF('4 SUPERFICIES'!$A53&gt;71.5,IF('4 SUPERFICIES'!$A53&lt;120.6,IF('4 SUPERFICIES'!$C53&gt;141.5,IF('4 SUPERFICIES'!$C53&lt;180.6,'4 SUPERFICIES'!$AB53,0))))</f>
        <v>0</v>
      </c>
      <c r="CL244" s="777" t="b">
        <f>IF('4 SUPERFICIES'!$A53&gt;71.5,IF('4 SUPERFICIES'!$A53&lt;120.6,IF('4 SUPERFICIES'!$C53&gt;180.5,IF('4 SUPERFICIES'!$C53&lt;240.1,'4 SUPERFICIES'!$AB53,0))))</f>
        <v>0</v>
      </c>
      <c r="CN244" s="777">
        <f>IF('4 SUPERFICIES'!$C53&lt;150,IF(OR('4 SUPERFICIES'!$A53="MICRODER",'4 SUPERFICIES'!$A53="MICRO DER",),'4 SUPERFICIES'!$AB53,0))</f>
        <v>0</v>
      </c>
      <c r="CO244" s="777" t="b">
        <f>IF('4 SUPERFICIES'!$C53&gt;149.5,IF(OR('4 SUPERFICIES'!$A53="MICRODER",'4 SUPERFICIES'!$A53="MICRO DER",),'4 SUPERFICIES'!$AB53,0))</f>
        <v>0</v>
      </c>
      <c r="CP244" s="847"/>
      <c r="CQ244" s="777">
        <f>IF('4 SUPERFICIES'!$C53&lt;150,IF(OR('4 SUPERFICIES'!$A53="MICROIZQ",'4 SUPERFICIES'!$A53="MICRO IZQ",),'4 SUPERFICIES'!$AB53,0))</f>
        <v>0</v>
      </c>
      <c r="CR244" s="777" t="b">
        <f>IF('4 SUPERFICIES'!$C53&gt;149.5,IF(OR('4 SUPERFICIES'!$A53="MICROIZQ",'4 SUPERFICIES'!$A53="MICRO IZQ",),'4 SUPERFICIES'!$AB53,0))</f>
        <v>0</v>
      </c>
      <c r="CT244" s="837">
        <f>IF(OR('4 SUPERFICIES'!$A53="MICRO SEN",'4 SUPERFICIES'!$A53="MICROSEN",),'4 SUPERFICIES'!$AB53,0)</f>
        <v>0</v>
      </c>
      <c r="CV244" s="837" t="b">
        <f>IF('4 SUPERFICIES'!$A53="DIAMETRO",IF('4 SUPERFICIES'!$C53&lt;121.1,'4 SUPERFICIES'!$AB53,0))</f>
        <v>0</v>
      </c>
      <c r="CX244" s="858"/>
      <c r="CZ244" s="837" t="b">
        <f>IF('4 SUPERFICIES'!$A53="MOSTRADOR",IF('4 SUPERFICIES'!$C53="R60",'4 SUPERFICIES'!$AB53,0))</f>
        <v>0</v>
      </c>
      <c r="DB244" s="837">
        <f>IF(OR('4 SUPERFICIES'!$A53="PORTA PRIN",'4 SUPERFICIES'!$A53="PORTAPRIN",),'4 SUPERFICIES'!$AB53,0)</f>
        <v>0</v>
      </c>
      <c r="DD244" s="837">
        <f>IF(OR('4 SUPERFICIES'!$A53="PORTA BADE",'4 SUPERFICIES'!$A53="PORTABADE",),'4 SUPERFICIES'!$AB53,0)</f>
        <v>0</v>
      </c>
      <c r="DE244" s="837"/>
      <c r="DF244" s="837">
        <f>IF(OR('4 SUPERFICIES'!$A53="RETORNO IZQ",'4 SUPERFICIES'!$A53="RETORNO DER",),'4 SUPERFICIES'!$AB153,0)</f>
        <v>0</v>
      </c>
      <c r="DG244" s="837"/>
      <c r="DH244" s="837">
        <f>IF(OR('4 SUPERFICIES'!$A53="PITO Q",'4 SUPERFICIES'!$A53="PITO P",'4 SUPERFICIES'!$A53="DIAMETRO INTEGRADA",),'4 SUPERFICIES'!$AB53,0)</f>
        <v>0</v>
      </c>
      <c r="DJ244" s="858"/>
      <c r="DK244" s="837"/>
      <c r="DL244" s="837">
        <f>IF('4 SUPERFICIES'!$A53="SUPERFICIE OVAL",'4 SUPERFICIES'!$AB53,0)</f>
        <v>0</v>
      </c>
      <c r="DM244" s="838"/>
      <c r="DN244" s="838"/>
      <c r="DO244" s="838"/>
      <c r="DP244" s="838"/>
      <c r="DQ244" s="838"/>
      <c r="DR244" s="838"/>
      <c r="DS244" s="838"/>
      <c r="DT244" s="838"/>
      <c r="DU244" s="838"/>
      <c r="DV244" s="838"/>
      <c r="DW244" s="838"/>
      <c r="DX244" s="838"/>
      <c r="DY244" s="838"/>
      <c r="DZ244" s="838"/>
      <c r="EA244" s="838"/>
      <c r="EB244" s="838"/>
      <c r="EC244" s="838"/>
      <c r="ED244" s="838"/>
      <c r="EE244" s="852"/>
      <c r="EG244" s="682">
        <f>IF('4 SUPERFICIES'!A53="MICRO DER",85,IF('4 SUPERFICIES'!A53="MICRO IZQ",85,IF('4 SUPERFICIES'!A53="MICRO SEN",170,IF('4 SUPERFICIES'!A53="DIAMETRO",3.14*'4 SUPERFICIES'!C53/2,IF('4 SUPERFICIES'!A53="MOSTRADOR",136,IF('4 SUPERFICIES'!A53="PORTA",65,IF('4 SUPERFICIES'!A53="PITO Q",90,IF('4 SUPERFICIES'!A53="PITO P",90,'4 SUPERFICIES'!A53))))))))</f>
        <v>0</v>
      </c>
      <c r="EH244" s="682"/>
      <c r="EI244" s="682">
        <f>IF('4 SUPERFICIES'!A53="DIAMETRO",0,IF('4 SUPERFICIES'!C53="PRINCIPAL",160,IF('4 SUPERFICIES'!C53="BADE",190,IF('4 SUPERFICIES'!C53="RETORNO",100,IF('4 SUPERFICIES'!C53="R 60",100,IF('4 SUPERFICIES'!C53="R60",100,'4 SUPERFICIES'!C53))))))</f>
        <v>0</v>
      </c>
      <c r="EJ244" s="682"/>
      <c r="EK244" s="682">
        <f>IF('4 SUPERFICIES'!$F53='4 SUPERFICIES'!$AG$15,((EG244*2)+(EI244*2))*'4 SUPERFICIES'!AB53,0)</f>
        <v>0</v>
      </c>
      <c r="EL244" s="682"/>
      <c r="EM244" s="682">
        <f>IF('4 SUPERFICIES'!$F53='4 SUPERFICIES'!$AG$16,((EG244*2)+(EI244*2))*'4 SUPERFICIES'!AB53,0)</f>
        <v>0</v>
      </c>
      <c r="EO244" s="682">
        <f>IF('4 SUPERFICIES'!$F53='4 SUPERFICIES'!$AG$17,((EG244*2)+(EI244*2))*'4 SUPERFICIES'!AB53,0)</f>
        <v>0</v>
      </c>
      <c r="EP244" s="838"/>
      <c r="EQ244" s="682">
        <f>IF('4 SUPERFICIES'!$F53='4 SUPERFICIES'!$AG$18,((EG244*2)+(EI244*2))*'4 SUPERFICIES'!AB53,0)</f>
        <v>0</v>
      </c>
      <c r="ER244" s="838"/>
      <c r="ES244" s="858"/>
      <c r="ET244" s="858"/>
      <c r="EU244" s="858"/>
      <c r="EV244" s="858"/>
      <c r="EW244" s="838"/>
      <c r="EX244" s="838"/>
      <c r="EY244" s="838"/>
      <c r="EZ244" s="838"/>
      <c r="FA244" s="838"/>
      <c r="FB244" s="838"/>
      <c r="FC244" s="838"/>
      <c r="FD244" s="838"/>
      <c r="FE244" s="838"/>
      <c r="FF244" s="838"/>
      <c r="FG244" s="838"/>
      <c r="FH244" s="838"/>
      <c r="FI244" s="838"/>
      <c r="FJ244" s="838"/>
      <c r="FK244" s="838"/>
      <c r="FL244" s="838"/>
      <c r="FM244" s="838"/>
      <c r="FN244" s="838"/>
      <c r="FO244" s="838"/>
      <c r="FP244" s="838"/>
      <c r="GM244" s="858"/>
      <c r="GN244" s="838"/>
      <c r="GO244" s="858"/>
      <c r="GP244" s="858"/>
      <c r="GQ244" s="858"/>
      <c r="GR244" s="838"/>
      <c r="GS244" s="838"/>
      <c r="HF244" s="700">
        <v>31</v>
      </c>
      <c r="HH244" s="591">
        <v>31</v>
      </c>
    </row>
    <row r="245" spans="4:216" ht="26.25" x14ac:dyDescent="0.4">
      <c r="AK245" s="777" t="b">
        <f>IF('4 SUPERFICIES'!$A54&gt;10,IF('4 SUPERFICIES'!$A54&lt;31.1,IF('4 SUPERFICIES'!$C54&gt;10,IF('4 SUPERFICIES'!$C54&lt;57.6,'4 SUPERFICIES'!$AB54,0))))</f>
        <v>0</v>
      </c>
      <c r="AL245" s="777" t="b">
        <f>IF('4 SUPERFICIES'!$A54&gt;10,IF('4 SUPERFICIES'!$A54&lt;31.1,IF('4 SUPERFICIES'!$C54&gt;57.6,IF('4 SUPERFICIES'!$C54&lt;71.6,'4 SUPERFICIES'!$AB54,0))))</f>
        <v>0</v>
      </c>
      <c r="AM245" s="777" t="b">
        <f>IF('4 SUPERFICIES'!$A54&gt;10,IF('4 SUPERFICIES'!$A54&lt;31.1,IF('4 SUPERFICIES'!$C54&gt;71.5,IF('4 SUPERFICIES'!$C54&lt;85.6,'4 SUPERFICIES'!$AB54,0))))</f>
        <v>0</v>
      </c>
      <c r="AN245" s="777" t="b">
        <f>IF('4 SUPERFICIES'!$A54&gt;10,IF('4 SUPERFICIES'!$A54&lt;31.1,IF('4 SUPERFICIES'!$C54&gt;85.5,IF('4 SUPERFICIES'!$C54&lt;113.6,'4 SUPERFICIES'!$AB54,0))))</f>
        <v>0</v>
      </c>
      <c r="AO245" s="777" t="b">
        <f>IF('4 SUPERFICIES'!$A54&gt;10,IF('4 SUPERFICIES'!$A54&lt;31.1,IF('4 SUPERFICIES'!$C54&gt;113.5,IF('4 SUPERFICIES'!$C54&lt;141.6,'4 SUPERFICIES'!$AB54,0))))</f>
        <v>0</v>
      </c>
      <c r="AP245" s="777" t="b">
        <f>IF('4 SUPERFICIES'!$A54&gt;10,IF('4 SUPERFICIES'!$A54&lt;31.1,IF('4 SUPERFICIES'!$C54&gt;141.5,IF('4 SUPERFICIES'!$C54&lt;180.6,'4 SUPERFICIES'!$AB54,0))))</f>
        <v>0</v>
      </c>
      <c r="AQ245" s="777" t="b">
        <f>IF('4 SUPERFICIES'!$A54&gt;10,IF('4 SUPERFICIES'!$A54&lt;31.1,IF('4 SUPERFICIES'!$C54&gt;180.5,IF('4 SUPERFICIES'!$C54&lt;240.1,'4 SUPERFICIES'!$AB54,0))))</f>
        <v>0</v>
      </c>
      <c r="AS245" s="777" t="b">
        <f>IF('4 SUPERFICIES'!$A54&gt;31,IF('4 SUPERFICIES'!$A54&lt;45.5,IF('4 SUPERFICIES'!$C54&gt;10,IF('4 SUPERFICIES'!$C54&lt;57.6,'4 SUPERFICIES'!$AB54,0))))</f>
        <v>0</v>
      </c>
      <c r="AT245" s="777" t="b">
        <f>IF('4 SUPERFICIES'!$A54&gt;31,IF('4 SUPERFICIES'!$A54&lt;45.5,IF('4 SUPERFICIES'!$C54&gt;57.6,IF('4 SUPERFICIES'!$C54&lt;71.6,'4 SUPERFICIES'!$AB54,0))))</f>
        <v>0</v>
      </c>
      <c r="AU245" s="777" t="b">
        <f>IF('4 SUPERFICIES'!$A54&gt;31,IF('4 SUPERFICIES'!$A54&lt;45.5,IF('4 SUPERFICIES'!$C54&gt;71.5,IF('4 SUPERFICIES'!$C54&lt;85.6,'4 SUPERFICIES'!$AB54,0))))</f>
        <v>0</v>
      </c>
      <c r="AV245" s="777" t="b">
        <f>IF('4 SUPERFICIES'!$A54&gt;31,IF('4 SUPERFICIES'!$A54&lt;45.5,IF('4 SUPERFICIES'!$C54&gt;85.5,IF('4 SUPERFICIES'!$C54&lt;113.6,'4 SUPERFICIES'!$AB54,0))))</f>
        <v>0</v>
      </c>
      <c r="AW245" s="777" t="b">
        <f>IF('4 SUPERFICIES'!$A54&gt;31,IF('4 SUPERFICIES'!$A54&lt;45.5,IF('4 SUPERFICIES'!$C54&gt;113.5,IF('4 SUPERFICIES'!$C54&lt;141.6,'4 SUPERFICIES'!$AB54,0))))</f>
        <v>0</v>
      </c>
      <c r="AX245" s="777" t="b">
        <f>IF('4 SUPERFICIES'!$A54&gt;31,IF('4 SUPERFICIES'!$A54&lt;45.5,IF('4 SUPERFICIES'!$C54&gt;141.5,IF('4 SUPERFICIES'!$C54&lt;180.6,'4 SUPERFICIES'!$AB54,0))))</f>
        <v>0</v>
      </c>
      <c r="AY245" s="777" t="b">
        <f>IF('4 SUPERFICIES'!$A54&gt;31,IF('4 SUPERFICIES'!$A54&lt;45.5,IF('4 SUPERFICIES'!$C54&gt;180.5,IF('4 SUPERFICIES'!$C54&lt;240.1,'4 SUPERFICIES'!$AB54,0))))</f>
        <v>0</v>
      </c>
      <c r="BA245" s="777" t="b">
        <f>IF('4 SUPERFICIES'!$A54&gt;45.4,IF('4 SUPERFICIES'!$A54&lt;61.6,IF('4 SUPERFICIES'!$C54&gt;10,IF('4 SUPERFICIES'!$C54&lt;61.5,'4 SUPERFICIES'!$AB54,0))))</f>
        <v>0</v>
      </c>
      <c r="BB245" s="777" t="b">
        <f>IF('4 SUPERFICIES'!$A54&gt;45.4,IF('4 SUPERFICIES'!$A54&lt;61.6,IF('4 SUPERFICIES'!$C54&gt;61.1,IF('4 SUPERFICIES'!$C54&lt;71.6,'4 SUPERFICIES'!$AB54,0))))</f>
        <v>0</v>
      </c>
      <c r="BC245" s="777" t="b">
        <f>IF('4 SUPERFICIES'!$A54&gt;45.4,IF('4 SUPERFICIES'!$A54&lt;61.6,IF('4 SUPERFICIES'!$C54&gt;71.5,IF('4 SUPERFICIES'!$C54&lt;85.6,'4 SUPERFICIES'!$AB54,0))))</f>
        <v>0</v>
      </c>
      <c r="BD245" s="777" t="b">
        <f>IF('4 SUPERFICIES'!$A54&gt;45.4,IF('4 SUPERFICIES'!$A54&lt;61.6,IF('4 SUPERFICIES'!$C54&gt;85.5,IF('4 SUPERFICIES'!$C54&lt;113.6,'4 SUPERFICIES'!$AB54,0))))</f>
        <v>0</v>
      </c>
      <c r="BE245" s="777" t="b">
        <f>IF('4 SUPERFICIES'!$A54&gt;45.4,IF('4 SUPERFICIES'!$A54&lt;61.6,IF('4 SUPERFICIES'!$C54&gt;113.5,IF('4 SUPERFICIES'!$C54&lt;121.6,'4 SUPERFICIES'!$AB54,0))))</f>
        <v>0</v>
      </c>
      <c r="BF245" s="777" t="b">
        <f>IF('4 SUPERFICIES'!$A54&gt;45.4,IF('4 SUPERFICIES'!$A54&lt;61.6,IF('4 SUPERFICIES'!$C54&gt;121.5,IF('4 SUPERFICIES'!$C54&lt;127.6,'4 SUPERFICIES'!$AB54,0))))</f>
        <v>0</v>
      </c>
      <c r="BG245" s="777" t="b">
        <f>IF('4 SUPERFICIES'!$A54&gt;45.4,IF('4 SUPERFICIES'!$A54&lt;61.6,IF('4 SUPERFICIES'!$C54&gt;127.5,IF('4 SUPERFICIES'!$C54&lt;135.1,'4 SUPERFICIES'!$AB54,0))))</f>
        <v>0</v>
      </c>
      <c r="BH245" s="777" t="b">
        <f>IF('4 SUPERFICIES'!$A54&gt;45.4,IF('4 SUPERFICIES'!$A54&lt;61.6,IF('4 SUPERFICIES'!$C54&gt;135,IF('4 SUPERFICIES'!$C54&lt;141.6,'4 SUPERFICIES'!$AB54,0))))</f>
        <v>0</v>
      </c>
      <c r="BI245" s="777" t="b">
        <f>IF('4 SUPERFICIES'!$A54&gt;45.4,IF('4 SUPERFICIES'!$A54&lt;61.6,IF('4 SUPERFICIES'!$C54&gt;141.5,IF('4 SUPERFICIES'!$C54&lt;149.1,'4 SUPERFICIES'!$AB54,0))))</f>
        <v>0</v>
      </c>
      <c r="BJ245" s="777" t="b">
        <f>IF('4 SUPERFICIES'!$A54&gt;45.4,IF('4 SUPERFICIES'!$A54&lt;61.6,IF('4 SUPERFICIES'!$C54&gt;149,IF('4 SUPERFICIES'!$C54&lt;155.6,'4 SUPERFICIES'!$AB54,0))))</f>
        <v>0</v>
      </c>
      <c r="BK245" s="777" t="b">
        <f>IF('4 SUPERFICIES'!$A54&gt;45.4,IF('4 SUPERFICIES'!$A54&lt;61.6,IF('4 SUPERFICIES'!$C54&gt;155.5,IF('4 SUPERFICIES'!$C54&lt;163.1,'4 SUPERFICIES'!$AB54,0))))</f>
        <v>0</v>
      </c>
      <c r="BL245" s="777" t="b">
        <f>IF('4 SUPERFICIES'!$A54&gt;45.4,IF('4 SUPERFICIES'!$A54&lt;61.6,IF('4 SUPERFICIES'!$C54&gt;163,IF('4 SUPERFICIES'!$C54&lt;180.6,'4 SUPERFICIES'!$AB54,0))))</f>
        <v>0</v>
      </c>
      <c r="BM245" s="777" t="b">
        <f>IF('4 SUPERFICIES'!$A54&gt;45.4,IF('4 SUPERFICIES'!$A54&lt;61.6,IF('4 SUPERFICIES'!$C54&gt;180.5,IF('4 SUPERFICIES'!$C54&lt;240.1,'4 SUPERFICIES'!$AB54,0))))</f>
        <v>0</v>
      </c>
      <c r="BO245" s="869" t="s">
        <v>516</v>
      </c>
      <c r="BQ245" s="870">
        <f>+$AO$249</f>
        <v>0</v>
      </c>
      <c r="BS245" s="869"/>
      <c r="BT245" s="870">
        <f>+$AO$252</f>
        <v>0</v>
      </c>
      <c r="BV245" s="777" t="b">
        <f>IF('4 SUPERFICIES'!$A54&gt;61.5,IF('4 SUPERFICIES'!$A54&lt;71.6,IF('4 SUPERFICIES'!$C54&gt;10,IF('4 SUPERFICIES'!$C54&lt;57.6,'4 SUPERFICIES'!$AB54,0))))</f>
        <v>0</v>
      </c>
      <c r="BW245" s="777" t="b">
        <f>IF('4 SUPERFICIES'!$A54&gt;61.5,IF('4 SUPERFICIES'!$A54&lt;71.6,IF('4 SUPERFICIES'!$C54&gt;57.6,IF('4 SUPERFICIES'!$C54&lt;71.6,'4 SUPERFICIES'!$AB54,0))))</f>
        <v>0</v>
      </c>
      <c r="BX245" s="777" t="b">
        <f>IF('4 SUPERFICIES'!$A54&gt;61.5,IF('4 SUPERFICIES'!$A54&lt;71.6,IF('4 SUPERFICIES'!$C54&gt;71.5,IF('4 SUPERFICIES'!$C54&lt;85.6,'4 SUPERFICIES'!$AB54,0))))</f>
        <v>0</v>
      </c>
      <c r="BY245" s="777" t="b">
        <f>IF('4 SUPERFICIES'!$A54&gt;61.5,IF('4 SUPERFICIES'!$A54&lt;71.6,IF('4 SUPERFICIES'!$C54&gt;85.5,IF('4 SUPERFICIES'!$C54&lt;113.6,'4 SUPERFICIES'!$AB54,0))))</f>
        <v>0</v>
      </c>
      <c r="BZ245" s="777" t="b">
        <f>IF('4 SUPERFICIES'!$A54&gt;61.5,IF('4 SUPERFICIES'!$A54&lt;71.6,IF('4 SUPERFICIES'!$C54&gt;113.5,IF('4 SUPERFICIES'!$C54&lt;141.6,'4 SUPERFICIES'!$AB54,0))))</f>
        <v>0</v>
      </c>
      <c r="CA245" s="777" t="b">
        <f>IF('4 SUPERFICIES'!$A54&gt;61.5,IF('4 SUPERFICIES'!$A54&lt;71.6,IF('4 SUPERFICIES'!$C54&gt;141.5,IF('4 SUPERFICIES'!$C54&lt;149.1,'4 SUPERFICIES'!$AB54,0))))</f>
        <v>0</v>
      </c>
      <c r="CB245" s="777" t="b">
        <f>IF('4 SUPERFICIES'!$A54&gt;61.5,IF('4 SUPERFICIES'!$A54&lt;71.6,IF('4 SUPERFICIES'!$C54&gt;149,IF('4 SUPERFICIES'!$C54&lt;163.1,'4 SUPERFICIES'!$AB54,0))))</f>
        <v>0</v>
      </c>
      <c r="CC245" s="777" t="b">
        <f>IF('4 SUPERFICIES'!$A54&gt;61.5,IF('4 SUPERFICIES'!$A54&lt;71.6,IF('4 SUPERFICIES'!$C54&gt;163,IF('4 SUPERFICIES'!$C54&lt;180.6,'4 SUPERFICIES'!$AB54,0))))</f>
        <v>0</v>
      </c>
      <c r="CD245" s="777" t="b">
        <f>IF('4 SUPERFICIES'!$A54&gt;61.5,IF('4 SUPERFICIES'!$A54&lt;71.6,IF('4 SUPERFICIES'!$C54&gt;180.5,IF('4 SUPERFICIES'!$C54&lt;240.1,'4 SUPERFICIES'!$AB54,0))))</f>
        <v>0</v>
      </c>
      <c r="CF245" s="777" t="b">
        <f>IF('4 SUPERFICIES'!$A54&gt;71.5,IF('4 SUPERFICIES'!$A54&lt;120.6,IF('4 SUPERFICIES'!$C54&gt;10,IF('4 SUPERFICIES'!$C54&lt;57.6,'4 SUPERFICIES'!$AB54,0))))</f>
        <v>0</v>
      </c>
      <c r="CG245" s="777" t="b">
        <f>IF('4 SUPERFICIES'!$A54&gt;71.5,IF('4 SUPERFICIES'!$A54&lt;120.6,IF('4 SUPERFICIES'!$C54&gt;57.6,IF('4 SUPERFICIES'!$C54&lt;71.6,'4 SUPERFICIES'!$AB54,0))))</f>
        <v>0</v>
      </c>
      <c r="CH245" s="777" t="b">
        <f>IF('4 SUPERFICIES'!$A54&gt;71.5,IF('4 SUPERFICIES'!$A54&lt;120.6,IF('4 SUPERFICIES'!$C54&gt;71.5,IF('4 SUPERFICIES'!$C54&lt;85.6,'4 SUPERFICIES'!$AB54,0))))</f>
        <v>0</v>
      </c>
      <c r="CI245" s="777" t="b">
        <f>IF('4 SUPERFICIES'!$A54&gt;71.5,IF('4 SUPERFICIES'!$A54&lt;120.6,IF('4 SUPERFICIES'!$C54&gt;85.5,IF('4 SUPERFICIES'!$C54&lt;113.6,'4 SUPERFICIES'!$AB54,0))))</f>
        <v>0</v>
      </c>
      <c r="CJ245" s="777" t="b">
        <f>IF('4 SUPERFICIES'!$A54&gt;71.5,IF('4 SUPERFICIES'!$A54&lt;120.6,IF('4 SUPERFICIES'!$C54&gt;113.5,IF('4 SUPERFICIES'!$C54&lt;141.6,'4 SUPERFICIES'!$AB54,0))))</f>
        <v>0</v>
      </c>
      <c r="CK245" s="777" t="b">
        <f>IF('4 SUPERFICIES'!$A54&gt;71.5,IF('4 SUPERFICIES'!$A54&lt;120.6,IF('4 SUPERFICIES'!$C54&gt;141.5,IF('4 SUPERFICIES'!$C54&lt;180.6,'4 SUPERFICIES'!$AB54,0))))</f>
        <v>0</v>
      </c>
      <c r="CL245" s="777" t="b">
        <f>IF('4 SUPERFICIES'!$A54&gt;71.5,IF('4 SUPERFICIES'!$A54&lt;120.6,IF('4 SUPERFICIES'!$C54&gt;180.5,IF('4 SUPERFICIES'!$C54&lt;240.1,'4 SUPERFICIES'!$AB54,0))))</f>
        <v>0</v>
      </c>
      <c r="CN245" s="777">
        <f>IF('4 SUPERFICIES'!$C54&lt;150,IF(OR('4 SUPERFICIES'!$A54="MICRODER",'4 SUPERFICIES'!$A54="MICRO DER",),'4 SUPERFICIES'!$AB54,0))</f>
        <v>0</v>
      </c>
      <c r="CO245" s="777" t="b">
        <f>IF('4 SUPERFICIES'!$C54&gt;149.5,IF(OR('4 SUPERFICIES'!$A54="MICRODER",'4 SUPERFICIES'!$A54="MICRO DER",),'4 SUPERFICIES'!$AB54,0))</f>
        <v>0</v>
      </c>
      <c r="CP245" s="847"/>
      <c r="CQ245" s="777">
        <f>IF('4 SUPERFICIES'!$C54&lt;150,IF(OR('4 SUPERFICIES'!$A54="MICROIZQ",'4 SUPERFICIES'!$A54="MICRO IZQ",),'4 SUPERFICIES'!$AB54,0))</f>
        <v>0</v>
      </c>
      <c r="CR245" s="777" t="b">
        <f>IF('4 SUPERFICIES'!$C54&gt;149.5,IF(OR('4 SUPERFICIES'!$A54="MICROIZQ",'4 SUPERFICIES'!$A54="MICRO IZQ",),'4 SUPERFICIES'!$AB54,0))</f>
        <v>0</v>
      </c>
      <c r="CT245" s="837">
        <f>IF(OR('4 SUPERFICIES'!$A54="MICRO SEN",'4 SUPERFICIES'!$A54="MICROSEN",),'4 SUPERFICIES'!$AB54,0)</f>
        <v>0</v>
      </c>
      <c r="CV245" s="837" t="b">
        <f>IF('4 SUPERFICIES'!$A54="DIAMETRO",IF('4 SUPERFICIES'!$C54&lt;121.1,'4 SUPERFICIES'!$AB54,0))</f>
        <v>0</v>
      </c>
      <c r="CX245" s="858"/>
      <c r="CZ245" s="837" t="b">
        <f>IF('4 SUPERFICIES'!$A54="MOSTRADOR",IF('4 SUPERFICIES'!$C54="R60",'4 SUPERFICIES'!$AB54,0))</f>
        <v>0</v>
      </c>
      <c r="DB245" s="837">
        <f>IF(OR('4 SUPERFICIES'!$A54="PORTA PRIN",'4 SUPERFICIES'!$A54="PORTAPRIN",),'4 SUPERFICIES'!$AB54,0)</f>
        <v>0</v>
      </c>
      <c r="DD245" s="837">
        <f>IF(OR('4 SUPERFICIES'!$A54="PORTA BADE",'4 SUPERFICIES'!$A54="PORTABADE",),'4 SUPERFICIES'!$AB54,0)</f>
        <v>0</v>
      </c>
      <c r="DE245" s="837"/>
      <c r="DF245" s="837">
        <f>IF(OR('4 SUPERFICIES'!$A54="RETORNO IZQ",'4 SUPERFICIES'!$A54="RETORNO DER",),'4 SUPERFICIES'!$AB154,0)</f>
        <v>0</v>
      </c>
      <c r="DG245" s="837"/>
      <c r="DH245" s="837">
        <f>IF(OR('4 SUPERFICIES'!$A54="PITO Q",'4 SUPERFICIES'!$A54="PITO P",'4 SUPERFICIES'!$A54="DIAMETRO INTEGRADA",),'4 SUPERFICIES'!$AB54,0)</f>
        <v>0</v>
      </c>
      <c r="DJ245" s="858"/>
      <c r="DK245" s="837"/>
      <c r="DL245" s="837">
        <f>IF('4 SUPERFICIES'!$A54="SUPERFICIE OVAL",'4 SUPERFICIES'!$AB54,0)</f>
        <v>0</v>
      </c>
      <c r="DM245" s="838"/>
      <c r="DN245" s="838"/>
      <c r="DO245" s="838"/>
      <c r="DP245" s="838"/>
      <c r="DQ245" s="838"/>
      <c r="DR245" s="838"/>
      <c r="DS245" s="838"/>
      <c r="DT245" s="838"/>
      <c r="DU245" s="838"/>
      <c r="DV245" s="838"/>
      <c r="DW245" s="838"/>
      <c r="DX245" s="838"/>
      <c r="DY245" s="838"/>
      <c r="DZ245" s="838"/>
      <c r="EA245" s="838"/>
      <c r="EB245" s="838"/>
      <c r="EC245" s="838"/>
      <c r="ED245" s="838"/>
      <c r="EE245" s="852"/>
      <c r="EG245" s="682">
        <f>IF('4 SUPERFICIES'!A54="MICRO DER",85,IF('4 SUPERFICIES'!A54="MICRO IZQ",85,IF('4 SUPERFICIES'!A54="MICRO SEN",170,IF('4 SUPERFICIES'!A54="DIAMETRO",3.14*'4 SUPERFICIES'!C54/2,IF('4 SUPERFICIES'!A54="MOSTRADOR",136,IF('4 SUPERFICIES'!A54="PORTA",65,IF('4 SUPERFICIES'!A54="PITO Q",90,IF('4 SUPERFICIES'!A54="PITO P",90,'4 SUPERFICIES'!A54))))))))</f>
        <v>0</v>
      </c>
      <c r="EH245" s="682"/>
      <c r="EI245" s="682">
        <f>IF('4 SUPERFICIES'!A54="DIAMETRO",0,IF('4 SUPERFICIES'!C54="PRINCIPAL",160,IF('4 SUPERFICIES'!C54="BADE",190,IF('4 SUPERFICIES'!C54="RETORNO",100,IF('4 SUPERFICIES'!C54="R 60",100,IF('4 SUPERFICIES'!C54="R60",100,'4 SUPERFICIES'!C54))))))</f>
        <v>0</v>
      </c>
      <c r="EJ245" s="682"/>
      <c r="EK245" s="682">
        <f>IF('4 SUPERFICIES'!$F54='4 SUPERFICIES'!$AG$15,((EG245*2)+(EI245*2))*'4 SUPERFICIES'!AB54,0)</f>
        <v>0</v>
      </c>
      <c r="EL245" s="682"/>
      <c r="EM245" s="682">
        <f>IF('4 SUPERFICIES'!$F54='4 SUPERFICIES'!$AG$16,((EG245*2)+(EI245*2))*'4 SUPERFICIES'!AB54,0)</f>
        <v>0</v>
      </c>
      <c r="EO245" s="682">
        <f>IF('4 SUPERFICIES'!$F54='4 SUPERFICIES'!$AG$17,((EG245*2)+(EI245*2))*'4 SUPERFICIES'!AB54,0)</f>
        <v>0</v>
      </c>
      <c r="EP245" s="838"/>
      <c r="EQ245" s="682">
        <f>IF('4 SUPERFICIES'!$F54='4 SUPERFICIES'!$AG$18,((EG245*2)+(EI245*2))*'4 SUPERFICIES'!AB54,0)</f>
        <v>0</v>
      </c>
      <c r="ER245" s="838"/>
      <c r="ES245" s="858"/>
      <c r="ET245" s="858"/>
      <c r="EU245" s="858"/>
      <c r="EV245" s="858"/>
      <c r="EW245" s="838"/>
      <c r="EX245" s="838"/>
      <c r="EY245" s="838"/>
      <c r="EZ245" s="838"/>
      <c r="FA245" s="838"/>
      <c r="FB245" s="838"/>
      <c r="FC245" s="838"/>
      <c r="FD245" s="838"/>
      <c r="FE245" s="838"/>
      <c r="FF245" s="838"/>
      <c r="FG245" s="838"/>
      <c r="FH245" s="838"/>
      <c r="FI245" s="838"/>
      <c r="FJ245" s="838"/>
      <c r="FK245" s="838"/>
      <c r="FL245" s="838"/>
      <c r="FM245" s="838"/>
      <c r="FN245" s="838"/>
      <c r="FO245" s="838"/>
      <c r="FP245" s="838"/>
      <c r="GM245" s="858"/>
      <c r="GN245" s="838"/>
      <c r="GO245" s="858"/>
      <c r="GP245" s="858"/>
      <c r="GQ245" s="858"/>
      <c r="GR245" s="838"/>
      <c r="GS245" s="838"/>
      <c r="HF245" s="700">
        <v>31.5</v>
      </c>
      <c r="HH245" s="591">
        <v>31.5</v>
      </c>
    </row>
    <row r="246" spans="4:216" ht="26.25" x14ac:dyDescent="0.4">
      <c r="AK246" s="777" t="b">
        <f>IF('4 SUPERFICIES'!$A55&gt;10,IF('4 SUPERFICIES'!$A55&lt;31.1,IF('4 SUPERFICIES'!$C55&gt;10,IF('4 SUPERFICIES'!$C55&lt;57.6,'4 SUPERFICIES'!$AB55,0))))</f>
        <v>0</v>
      </c>
      <c r="AL246" s="777" t="b">
        <f>IF('4 SUPERFICIES'!$A55&gt;10,IF('4 SUPERFICIES'!$A55&lt;31.1,IF('4 SUPERFICIES'!$C55&gt;57.6,IF('4 SUPERFICIES'!$C55&lt;71.6,'4 SUPERFICIES'!$AB55,0))))</f>
        <v>0</v>
      </c>
      <c r="AM246" s="777" t="b">
        <f>IF('4 SUPERFICIES'!$A55&gt;10,IF('4 SUPERFICIES'!$A55&lt;31.1,IF('4 SUPERFICIES'!$C55&gt;71.5,IF('4 SUPERFICIES'!$C55&lt;85.6,'4 SUPERFICIES'!$AB55,0))))</f>
        <v>0</v>
      </c>
      <c r="AN246" s="777" t="b">
        <f>IF('4 SUPERFICIES'!$A55&gt;10,IF('4 SUPERFICIES'!$A55&lt;31.1,IF('4 SUPERFICIES'!$C55&gt;85.5,IF('4 SUPERFICIES'!$C55&lt;113.6,'4 SUPERFICIES'!$AB55,0))))</f>
        <v>0</v>
      </c>
      <c r="AO246" s="777" t="b">
        <f>IF('4 SUPERFICIES'!$A55&gt;10,IF('4 SUPERFICIES'!$A55&lt;31.1,IF('4 SUPERFICIES'!$C55&gt;113.5,IF('4 SUPERFICIES'!$C55&lt;141.6,'4 SUPERFICIES'!$AB55,0))))</f>
        <v>0</v>
      </c>
      <c r="AP246" s="777" t="b">
        <f>IF('4 SUPERFICIES'!$A55&gt;10,IF('4 SUPERFICIES'!$A55&lt;31.1,IF('4 SUPERFICIES'!$C55&gt;141.5,IF('4 SUPERFICIES'!$C55&lt;180.6,'4 SUPERFICIES'!$AB55,0))))</f>
        <v>0</v>
      </c>
      <c r="AQ246" s="777" t="b">
        <f>IF('4 SUPERFICIES'!$A55&gt;10,IF('4 SUPERFICIES'!$A55&lt;31.1,IF('4 SUPERFICIES'!$C55&gt;180.5,IF('4 SUPERFICIES'!$C55&lt;240.1,'4 SUPERFICIES'!$AB55,0))))</f>
        <v>0</v>
      </c>
      <c r="AS246" s="777" t="b">
        <f>IF('4 SUPERFICIES'!$A55&gt;31,IF('4 SUPERFICIES'!$A55&lt;45.5,IF('4 SUPERFICIES'!$C55&gt;10,IF('4 SUPERFICIES'!$C55&lt;57.6,'4 SUPERFICIES'!$AB55,0))))</f>
        <v>0</v>
      </c>
      <c r="AT246" s="777" t="b">
        <f>IF('4 SUPERFICIES'!$A55&gt;31,IF('4 SUPERFICIES'!$A55&lt;45.5,IF('4 SUPERFICIES'!$C55&gt;57.6,IF('4 SUPERFICIES'!$C55&lt;71.6,'4 SUPERFICIES'!$AB55,0))))</f>
        <v>0</v>
      </c>
      <c r="AU246" s="777" t="b">
        <f>IF('4 SUPERFICIES'!$A55&gt;31,IF('4 SUPERFICIES'!$A55&lt;45.5,IF('4 SUPERFICIES'!$C55&gt;71.5,IF('4 SUPERFICIES'!$C55&lt;85.6,'4 SUPERFICIES'!$AB55,0))))</f>
        <v>0</v>
      </c>
      <c r="AV246" s="777" t="b">
        <f>IF('4 SUPERFICIES'!$A55&gt;31,IF('4 SUPERFICIES'!$A55&lt;45.5,IF('4 SUPERFICIES'!$C55&gt;85.5,IF('4 SUPERFICIES'!$C55&lt;113.6,'4 SUPERFICIES'!$AB55,0))))</f>
        <v>0</v>
      </c>
      <c r="AW246" s="777" t="b">
        <f>IF('4 SUPERFICIES'!$A55&gt;31,IF('4 SUPERFICIES'!$A55&lt;45.5,IF('4 SUPERFICIES'!$C55&gt;113.5,IF('4 SUPERFICIES'!$C55&lt;141.6,'4 SUPERFICIES'!$AB55,0))))</f>
        <v>0</v>
      </c>
      <c r="AX246" s="777" t="b">
        <f>IF('4 SUPERFICIES'!$A55&gt;31,IF('4 SUPERFICIES'!$A55&lt;45.5,IF('4 SUPERFICIES'!$C55&gt;141.5,IF('4 SUPERFICIES'!$C55&lt;180.6,'4 SUPERFICIES'!$AB55,0))))</f>
        <v>0</v>
      </c>
      <c r="AY246" s="777" t="b">
        <f>IF('4 SUPERFICIES'!$A55&gt;31,IF('4 SUPERFICIES'!$A55&lt;45.5,IF('4 SUPERFICIES'!$C55&gt;180.5,IF('4 SUPERFICIES'!$C55&lt;240.1,'4 SUPERFICIES'!$AB55,0))))</f>
        <v>0</v>
      </c>
      <c r="BA246" s="777" t="b">
        <f>IF('4 SUPERFICIES'!$A55&gt;45.4,IF('4 SUPERFICIES'!$A55&lt;61.6,IF('4 SUPERFICIES'!$C55&gt;10,IF('4 SUPERFICIES'!$C55&lt;61.5,'4 SUPERFICIES'!$AB55,0))))</f>
        <v>0</v>
      </c>
      <c r="BB246" s="777" t="b">
        <f>IF('4 SUPERFICIES'!$A55&gt;45.4,IF('4 SUPERFICIES'!$A55&lt;61.6,IF('4 SUPERFICIES'!$C55&gt;61.1,IF('4 SUPERFICIES'!$C55&lt;71.6,'4 SUPERFICIES'!$AB55,0))))</f>
        <v>0</v>
      </c>
      <c r="BC246" s="777" t="b">
        <f>IF('4 SUPERFICIES'!$A55&gt;45.4,IF('4 SUPERFICIES'!$A55&lt;61.6,IF('4 SUPERFICIES'!$C55&gt;71.5,IF('4 SUPERFICIES'!$C55&lt;85.6,'4 SUPERFICIES'!$AB55,0))))</f>
        <v>0</v>
      </c>
      <c r="BD246" s="777" t="b">
        <f>IF('4 SUPERFICIES'!$A55&gt;45.4,IF('4 SUPERFICIES'!$A55&lt;61.6,IF('4 SUPERFICIES'!$C55&gt;85.5,IF('4 SUPERFICIES'!$C55&lt;113.6,'4 SUPERFICIES'!$AB55,0))))</f>
        <v>0</v>
      </c>
      <c r="BE246" s="777" t="b">
        <f>IF('4 SUPERFICIES'!$A55&gt;45.4,IF('4 SUPERFICIES'!$A55&lt;61.6,IF('4 SUPERFICIES'!$C55&gt;113.5,IF('4 SUPERFICIES'!$C55&lt;121.6,'4 SUPERFICIES'!$AB55,0))))</f>
        <v>0</v>
      </c>
      <c r="BF246" s="777" t="b">
        <f>IF('4 SUPERFICIES'!$A55&gt;45.4,IF('4 SUPERFICIES'!$A55&lt;61.6,IF('4 SUPERFICIES'!$C55&gt;121.5,IF('4 SUPERFICIES'!$C55&lt;127.6,'4 SUPERFICIES'!$AB55,0))))</f>
        <v>0</v>
      </c>
      <c r="BG246" s="777" t="b">
        <f>IF('4 SUPERFICIES'!$A55&gt;45.4,IF('4 SUPERFICIES'!$A55&lt;61.6,IF('4 SUPERFICIES'!$C55&gt;127.5,IF('4 SUPERFICIES'!$C55&lt;135.1,'4 SUPERFICIES'!$AB55,0))))</f>
        <v>0</v>
      </c>
      <c r="BH246" s="777" t="b">
        <f>IF('4 SUPERFICIES'!$A55&gt;45.4,IF('4 SUPERFICIES'!$A55&lt;61.6,IF('4 SUPERFICIES'!$C55&gt;135,IF('4 SUPERFICIES'!$C55&lt;141.6,'4 SUPERFICIES'!$AB55,0))))</f>
        <v>0</v>
      </c>
      <c r="BI246" s="777" t="b">
        <f>IF('4 SUPERFICIES'!$A55&gt;45.4,IF('4 SUPERFICIES'!$A55&lt;61.6,IF('4 SUPERFICIES'!$C55&gt;141.5,IF('4 SUPERFICIES'!$C55&lt;149.1,'4 SUPERFICIES'!$AB55,0))))</f>
        <v>0</v>
      </c>
      <c r="BJ246" s="777" t="b">
        <f>IF('4 SUPERFICIES'!$A55&gt;45.4,IF('4 SUPERFICIES'!$A55&lt;61.6,IF('4 SUPERFICIES'!$C55&gt;149,IF('4 SUPERFICIES'!$C55&lt;155.6,'4 SUPERFICIES'!$AB55,0))))</f>
        <v>0</v>
      </c>
      <c r="BK246" s="777" t="b">
        <f>IF('4 SUPERFICIES'!$A55&gt;45.4,IF('4 SUPERFICIES'!$A55&lt;61.6,IF('4 SUPERFICIES'!$C55&gt;155.5,IF('4 SUPERFICIES'!$C55&lt;163.1,'4 SUPERFICIES'!$AB55,0))))</f>
        <v>0</v>
      </c>
      <c r="BL246" s="777" t="b">
        <f>IF('4 SUPERFICIES'!$A55&gt;45.4,IF('4 SUPERFICIES'!$A55&lt;61.6,IF('4 SUPERFICIES'!$C55&gt;163,IF('4 SUPERFICIES'!$C55&lt;180.6,'4 SUPERFICIES'!$AB55,0))))</f>
        <v>0</v>
      </c>
      <c r="BM246" s="777" t="b">
        <f>IF('4 SUPERFICIES'!$A55&gt;45.4,IF('4 SUPERFICIES'!$A55&lt;61.6,IF('4 SUPERFICIES'!$C55&gt;180.5,IF('4 SUPERFICIES'!$C55&lt;240.1,'4 SUPERFICIES'!$AB55,0))))</f>
        <v>0</v>
      </c>
      <c r="BO246" s="869" t="s">
        <v>517</v>
      </c>
      <c r="BQ246" s="870">
        <f>+$AS$249</f>
        <v>0</v>
      </c>
      <c r="BS246" s="869"/>
      <c r="BT246" s="870">
        <f>+$AS$252</f>
        <v>0</v>
      </c>
      <c r="BV246" s="777" t="b">
        <f>IF('4 SUPERFICIES'!$A55&gt;61.5,IF('4 SUPERFICIES'!$A55&lt;71.6,IF('4 SUPERFICIES'!$C55&gt;10,IF('4 SUPERFICIES'!$C55&lt;57.6,'4 SUPERFICIES'!$AB55,0))))</f>
        <v>0</v>
      </c>
      <c r="BW246" s="777" t="b">
        <f>IF('4 SUPERFICIES'!$A55&gt;61.5,IF('4 SUPERFICIES'!$A55&lt;71.6,IF('4 SUPERFICIES'!$C55&gt;57.6,IF('4 SUPERFICIES'!$C55&lt;71.6,'4 SUPERFICIES'!$AB55,0))))</f>
        <v>0</v>
      </c>
      <c r="BX246" s="777" t="b">
        <f>IF('4 SUPERFICIES'!$A55&gt;61.5,IF('4 SUPERFICIES'!$A55&lt;71.6,IF('4 SUPERFICIES'!$C55&gt;71.5,IF('4 SUPERFICIES'!$C55&lt;85.6,'4 SUPERFICIES'!$AB55,0))))</f>
        <v>0</v>
      </c>
      <c r="BY246" s="777" t="b">
        <f>IF('4 SUPERFICIES'!$A55&gt;61.5,IF('4 SUPERFICIES'!$A55&lt;71.6,IF('4 SUPERFICIES'!$C55&gt;85.5,IF('4 SUPERFICIES'!$C55&lt;113.6,'4 SUPERFICIES'!$AB55,0))))</f>
        <v>0</v>
      </c>
      <c r="BZ246" s="777" t="b">
        <f>IF('4 SUPERFICIES'!$A55&gt;61.5,IF('4 SUPERFICIES'!$A55&lt;71.6,IF('4 SUPERFICIES'!$C55&gt;113.5,IF('4 SUPERFICIES'!$C55&lt;141.6,'4 SUPERFICIES'!$AB55,0))))</f>
        <v>0</v>
      </c>
      <c r="CA246" s="777" t="b">
        <f>IF('4 SUPERFICIES'!$A55&gt;61.5,IF('4 SUPERFICIES'!$A55&lt;71.6,IF('4 SUPERFICIES'!$C55&gt;141.5,IF('4 SUPERFICIES'!$C55&lt;149.1,'4 SUPERFICIES'!$AB55,0))))</f>
        <v>0</v>
      </c>
      <c r="CB246" s="777" t="b">
        <f>IF('4 SUPERFICIES'!$A55&gt;61.5,IF('4 SUPERFICIES'!$A55&lt;71.6,IF('4 SUPERFICIES'!$C55&gt;149,IF('4 SUPERFICIES'!$C55&lt;163.1,'4 SUPERFICIES'!$AB55,0))))</f>
        <v>0</v>
      </c>
      <c r="CC246" s="777" t="b">
        <f>IF('4 SUPERFICIES'!$A55&gt;61.5,IF('4 SUPERFICIES'!$A55&lt;71.6,IF('4 SUPERFICIES'!$C55&gt;163,IF('4 SUPERFICIES'!$C55&lt;180.6,'4 SUPERFICIES'!$AB55,0))))</f>
        <v>0</v>
      </c>
      <c r="CD246" s="777" t="b">
        <f>IF('4 SUPERFICIES'!$A55&gt;61.5,IF('4 SUPERFICIES'!$A55&lt;71.6,IF('4 SUPERFICIES'!$C55&gt;180.5,IF('4 SUPERFICIES'!$C55&lt;240.1,'4 SUPERFICIES'!$AB55,0))))</f>
        <v>0</v>
      </c>
      <c r="CF246" s="777" t="b">
        <f>IF('4 SUPERFICIES'!$A55&gt;71.5,IF('4 SUPERFICIES'!$A55&lt;120.6,IF('4 SUPERFICIES'!$C55&gt;10,IF('4 SUPERFICIES'!$C55&lt;57.6,'4 SUPERFICIES'!$AB55,0))))</f>
        <v>0</v>
      </c>
      <c r="CG246" s="777" t="b">
        <f>IF('4 SUPERFICIES'!$A55&gt;71.5,IF('4 SUPERFICIES'!$A55&lt;120.6,IF('4 SUPERFICIES'!$C55&gt;57.6,IF('4 SUPERFICIES'!$C55&lt;71.6,'4 SUPERFICIES'!$AB55,0))))</f>
        <v>0</v>
      </c>
      <c r="CH246" s="777" t="b">
        <f>IF('4 SUPERFICIES'!$A55&gt;71.5,IF('4 SUPERFICIES'!$A55&lt;120.6,IF('4 SUPERFICIES'!$C55&gt;71.5,IF('4 SUPERFICIES'!$C55&lt;85.6,'4 SUPERFICIES'!$AB55,0))))</f>
        <v>0</v>
      </c>
      <c r="CI246" s="777" t="b">
        <f>IF('4 SUPERFICIES'!$A55&gt;71.5,IF('4 SUPERFICIES'!$A55&lt;120.6,IF('4 SUPERFICIES'!$C55&gt;85.5,IF('4 SUPERFICIES'!$C55&lt;113.6,'4 SUPERFICIES'!$AB55,0))))</f>
        <v>0</v>
      </c>
      <c r="CJ246" s="777" t="b">
        <f>IF('4 SUPERFICIES'!$A55&gt;71.5,IF('4 SUPERFICIES'!$A55&lt;120.6,IF('4 SUPERFICIES'!$C55&gt;113.5,IF('4 SUPERFICIES'!$C55&lt;141.6,'4 SUPERFICIES'!$AB55,0))))</f>
        <v>0</v>
      </c>
      <c r="CK246" s="777" t="b">
        <f>IF('4 SUPERFICIES'!$A55&gt;71.5,IF('4 SUPERFICIES'!$A55&lt;120.6,IF('4 SUPERFICIES'!$C55&gt;141.5,IF('4 SUPERFICIES'!$C55&lt;180.6,'4 SUPERFICIES'!$AB55,0))))</f>
        <v>0</v>
      </c>
      <c r="CL246" s="777" t="b">
        <f>IF('4 SUPERFICIES'!$A55&gt;71.5,IF('4 SUPERFICIES'!$A55&lt;120.6,IF('4 SUPERFICIES'!$C55&gt;180.5,IF('4 SUPERFICIES'!$C55&lt;240.1,'4 SUPERFICIES'!$AB55,0))))</f>
        <v>0</v>
      </c>
      <c r="CN246" s="777">
        <f>IF('4 SUPERFICIES'!$C55&lt;150,IF(OR('4 SUPERFICIES'!$A55="MICRODER",'4 SUPERFICIES'!$A55="MICRO DER",),'4 SUPERFICIES'!$AB55,0))</f>
        <v>0</v>
      </c>
      <c r="CO246" s="777" t="b">
        <f>IF('4 SUPERFICIES'!$C55&gt;149.5,IF(OR('4 SUPERFICIES'!$A55="MICRODER",'4 SUPERFICIES'!$A55="MICRO DER",),'4 SUPERFICIES'!$AB55,0))</f>
        <v>0</v>
      </c>
      <c r="CP246" s="847"/>
      <c r="CQ246" s="777">
        <f>IF('4 SUPERFICIES'!$C55&lt;150,IF(OR('4 SUPERFICIES'!$A55="MICROIZQ",'4 SUPERFICIES'!$A55="MICRO IZQ",),'4 SUPERFICIES'!$AB55,0))</f>
        <v>0</v>
      </c>
      <c r="CR246" s="777" t="b">
        <f>IF('4 SUPERFICIES'!$C55&gt;149.5,IF(OR('4 SUPERFICIES'!$A55="MICROIZQ",'4 SUPERFICIES'!$A55="MICRO IZQ",),'4 SUPERFICIES'!$AB55,0))</f>
        <v>0</v>
      </c>
      <c r="CT246" s="837">
        <f>IF(OR('4 SUPERFICIES'!$A55="MICRO SEN",'4 SUPERFICIES'!$A55="MICROSEN",),'4 SUPERFICIES'!$AB55,0)</f>
        <v>0</v>
      </c>
      <c r="CV246" s="837" t="b">
        <f>IF('4 SUPERFICIES'!$A55="DIAMETRO",IF('4 SUPERFICIES'!$C55&lt;121.1,'4 SUPERFICIES'!$AB55,0))</f>
        <v>0</v>
      </c>
      <c r="CX246" s="858"/>
      <c r="CZ246" s="837" t="b">
        <f>IF('4 SUPERFICIES'!$A55="MOSTRADOR",IF('4 SUPERFICIES'!$C55="R60",'4 SUPERFICIES'!$AB55,0))</f>
        <v>0</v>
      </c>
      <c r="DB246" s="837">
        <f>IF(OR('4 SUPERFICIES'!$A55="PORTA PRIN",'4 SUPERFICIES'!$A55="PORTAPRIN",),'4 SUPERFICIES'!$AB55,0)</f>
        <v>0</v>
      </c>
      <c r="DD246" s="837">
        <f>IF(OR('4 SUPERFICIES'!$A55="PORTA BADE",'4 SUPERFICIES'!$A55="PORTABADE",),'4 SUPERFICIES'!$AB55,0)</f>
        <v>0</v>
      </c>
      <c r="DE246" s="837"/>
      <c r="DF246" s="837">
        <f>IF(OR('4 SUPERFICIES'!$A55="RETORNO IZQ",'4 SUPERFICIES'!$A55="RETORNO DER",),'4 SUPERFICIES'!$AB155,0)</f>
        <v>0</v>
      </c>
      <c r="DG246" s="837"/>
      <c r="DH246" s="837">
        <f>IF(OR('4 SUPERFICIES'!$A55="PITO Q",'4 SUPERFICIES'!$A55="PITO P",'4 SUPERFICIES'!$A55="DIAMETRO INTEGRADA",),'4 SUPERFICIES'!$AB55,0)</f>
        <v>0</v>
      </c>
      <c r="DJ246" s="858"/>
      <c r="DK246" s="837"/>
      <c r="DL246" s="837">
        <f>IF('4 SUPERFICIES'!$A55="SUPERFICIE OVAL",'4 SUPERFICIES'!$AB55,0)</f>
        <v>0</v>
      </c>
      <c r="DM246" s="838"/>
      <c r="DN246" s="838"/>
      <c r="DO246" s="838"/>
      <c r="DP246" s="838"/>
      <c r="DQ246" s="838"/>
      <c r="DR246" s="838"/>
      <c r="DS246" s="838"/>
      <c r="DT246" s="838"/>
      <c r="DU246" s="838"/>
      <c r="DV246" s="838"/>
      <c r="DW246" s="838"/>
      <c r="DX246" s="838"/>
      <c r="DY246" s="838"/>
      <c r="DZ246" s="838"/>
      <c r="EA246" s="838"/>
      <c r="EB246" s="858"/>
      <c r="EC246" s="838"/>
      <c r="ED246" s="838"/>
      <c r="EE246" s="852"/>
      <c r="EG246" s="682">
        <f>IF('4 SUPERFICIES'!A55="MICRO DER",85,IF('4 SUPERFICIES'!A55="MICRO IZQ",85,IF('4 SUPERFICIES'!A55="MICRO SEN",170,IF('4 SUPERFICIES'!A55="DIAMETRO",3.14*'4 SUPERFICIES'!C55/2,IF('4 SUPERFICIES'!A55="MOSTRADOR",136,IF('4 SUPERFICIES'!A55="PORTA",65,IF('4 SUPERFICIES'!A55="PITO Q",90,IF('4 SUPERFICIES'!A55="PITO P",90,'4 SUPERFICIES'!A55))))))))</f>
        <v>0</v>
      </c>
      <c r="EH246" s="682"/>
      <c r="EI246" s="682">
        <f>IF('4 SUPERFICIES'!A55="DIAMETRO",0,IF('4 SUPERFICIES'!C55="PRINCIPAL",160,IF('4 SUPERFICIES'!C55="BADE",190,IF('4 SUPERFICIES'!C55="RETORNO",100,IF('4 SUPERFICIES'!C55="R 60",100,IF('4 SUPERFICIES'!C55="R60",100,'4 SUPERFICIES'!C55))))))</f>
        <v>0</v>
      </c>
      <c r="EJ246" s="682"/>
      <c r="EK246" s="682">
        <f>IF('4 SUPERFICIES'!$F55='4 SUPERFICIES'!$AG$15,((EG246*2)+(EI246*2))*'4 SUPERFICIES'!AB55,0)</f>
        <v>0</v>
      </c>
      <c r="EL246" s="682"/>
      <c r="EM246" s="682">
        <f>IF('4 SUPERFICIES'!$F55='4 SUPERFICIES'!$AG$16,((EG246*2)+(EI246*2))*'4 SUPERFICIES'!AB55,0)</f>
        <v>0</v>
      </c>
      <c r="EO246" s="682">
        <f>IF('4 SUPERFICIES'!$F55='4 SUPERFICIES'!$AG$17,((EG246*2)+(EI246*2))*'4 SUPERFICIES'!AB55,0)</f>
        <v>0</v>
      </c>
      <c r="EP246" s="838"/>
      <c r="EQ246" s="682">
        <f>IF('4 SUPERFICIES'!$F55='4 SUPERFICIES'!$AG$18,((EG246*2)+(EI246*2))*'4 SUPERFICIES'!AB55,0)</f>
        <v>0</v>
      </c>
      <c r="ER246" s="838"/>
      <c r="ES246" s="858"/>
      <c r="ET246" s="858"/>
      <c r="EU246" s="858"/>
      <c r="EV246" s="858"/>
      <c r="EW246" s="838"/>
      <c r="EX246" s="838"/>
      <c r="EY246" s="838"/>
      <c r="EZ246" s="838"/>
      <c r="FA246" s="838"/>
      <c r="FB246" s="838"/>
      <c r="FC246" s="838"/>
      <c r="FD246" s="838"/>
      <c r="FE246" s="838"/>
      <c r="FF246" s="838"/>
      <c r="FG246" s="838"/>
      <c r="FH246" s="838"/>
      <c r="FI246" s="838"/>
      <c r="FJ246" s="838"/>
      <c r="FK246" s="838"/>
      <c r="FL246" s="838"/>
      <c r="FM246" s="838"/>
      <c r="FN246" s="838"/>
      <c r="FO246" s="838"/>
      <c r="FP246" s="838"/>
      <c r="GM246" s="858"/>
      <c r="GN246" s="838"/>
      <c r="GO246" s="858"/>
      <c r="GP246" s="858"/>
      <c r="GQ246" s="858"/>
      <c r="GR246" s="838"/>
      <c r="GS246" s="838"/>
      <c r="HF246" s="700">
        <v>32</v>
      </c>
      <c r="HH246" s="591">
        <v>32</v>
      </c>
    </row>
    <row r="247" spans="4:216" ht="26.25" x14ac:dyDescent="0.4">
      <c r="AK247" s="777" t="b">
        <f>IF('4 SUPERFICIES'!$A56&gt;10,IF('4 SUPERFICIES'!$A56&lt;31.1,IF('4 SUPERFICIES'!$C56&gt;10,IF('4 SUPERFICIES'!$C56&lt;57.6,'4 SUPERFICIES'!$AB56,0))))</f>
        <v>0</v>
      </c>
      <c r="AL247" s="777" t="b">
        <f>IF('4 SUPERFICIES'!$A56&gt;10,IF('4 SUPERFICIES'!$A56&lt;31.1,IF('4 SUPERFICIES'!$C56&gt;57.6,IF('4 SUPERFICIES'!$C56&lt;71.6,'4 SUPERFICIES'!$AB56,0))))</f>
        <v>0</v>
      </c>
      <c r="AM247" s="777" t="b">
        <f>IF('4 SUPERFICIES'!$A56&gt;10,IF('4 SUPERFICIES'!$A56&lt;31.1,IF('4 SUPERFICIES'!$C56&gt;71.5,IF('4 SUPERFICIES'!$C56&lt;85.6,'4 SUPERFICIES'!$AB56,0))))</f>
        <v>0</v>
      </c>
      <c r="AN247" s="777" t="b">
        <f>IF('4 SUPERFICIES'!$A56&gt;10,IF('4 SUPERFICIES'!$A56&lt;31.1,IF('4 SUPERFICIES'!$C56&gt;85.5,IF('4 SUPERFICIES'!$C56&lt;113.6,'4 SUPERFICIES'!$AB56,0))))</f>
        <v>0</v>
      </c>
      <c r="AO247" s="777" t="b">
        <f>IF('4 SUPERFICIES'!$A56&gt;10,IF('4 SUPERFICIES'!$A56&lt;31.1,IF('4 SUPERFICIES'!$C56&gt;113.5,IF('4 SUPERFICIES'!$C56&lt;141.6,'4 SUPERFICIES'!$AB56,0))))</f>
        <v>0</v>
      </c>
      <c r="AP247" s="777" t="b">
        <f>IF('4 SUPERFICIES'!$A56&gt;10,IF('4 SUPERFICIES'!$A56&lt;31.1,IF('4 SUPERFICIES'!$C56&gt;141.5,IF('4 SUPERFICIES'!$C56&lt;180.6,'4 SUPERFICIES'!$AB56,0))))</f>
        <v>0</v>
      </c>
      <c r="AQ247" s="777" t="b">
        <f>IF('4 SUPERFICIES'!$A56&gt;10,IF('4 SUPERFICIES'!$A56&lt;31.1,IF('4 SUPERFICIES'!$C56&gt;180.5,IF('4 SUPERFICIES'!$C56&lt;240.1,'4 SUPERFICIES'!$AB56,0))))</f>
        <v>0</v>
      </c>
      <c r="AS247" s="777" t="b">
        <f>IF('4 SUPERFICIES'!$A56&gt;31,IF('4 SUPERFICIES'!$A56&lt;45.5,IF('4 SUPERFICIES'!$C56&gt;10,IF('4 SUPERFICIES'!$C56&lt;57.6,'4 SUPERFICIES'!$AB56,0))))</f>
        <v>0</v>
      </c>
      <c r="AT247" s="777" t="b">
        <f>IF('4 SUPERFICIES'!$A56&gt;31,IF('4 SUPERFICIES'!$A56&lt;45.5,IF('4 SUPERFICIES'!$C56&gt;57.6,IF('4 SUPERFICIES'!$C56&lt;71.6,'4 SUPERFICIES'!$AB56,0))))</f>
        <v>0</v>
      </c>
      <c r="AU247" s="777" t="b">
        <f>IF('4 SUPERFICIES'!$A56&gt;31,IF('4 SUPERFICIES'!$A56&lt;45.5,IF('4 SUPERFICIES'!$C56&gt;71.5,IF('4 SUPERFICIES'!$C56&lt;85.6,'4 SUPERFICIES'!$AB56,0))))</f>
        <v>0</v>
      </c>
      <c r="AV247" s="777" t="b">
        <f>IF('4 SUPERFICIES'!$A56&gt;31,IF('4 SUPERFICIES'!$A56&lt;45.5,IF('4 SUPERFICIES'!$C56&gt;85.5,IF('4 SUPERFICIES'!$C56&lt;113.6,'4 SUPERFICIES'!$AB56,0))))</f>
        <v>0</v>
      </c>
      <c r="AW247" s="777" t="b">
        <f>IF('4 SUPERFICIES'!$A56&gt;31,IF('4 SUPERFICIES'!$A56&lt;45.5,IF('4 SUPERFICIES'!$C56&gt;113.5,IF('4 SUPERFICIES'!$C56&lt;141.6,'4 SUPERFICIES'!$AB56,0))))</f>
        <v>0</v>
      </c>
      <c r="AX247" s="777" t="b">
        <f>IF('4 SUPERFICIES'!$A56&gt;31,IF('4 SUPERFICIES'!$A56&lt;45.5,IF('4 SUPERFICIES'!$C56&gt;141.5,IF('4 SUPERFICIES'!$C56&lt;180.6,'4 SUPERFICIES'!$AB56,0))))</f>
        <v>0</v>
      </c>
      <c r="AY247" s="777" t="b">
        <f>IF('4 SUPERFICIES'!$A56&gt;31,IF('4 SUPERFICIES'!$A56&lt;45.5,IF('4 SUPERFICIES'!$C56&gt;180.5,IF('4 SUPERFICIES'!$C56&lt;240.1,'4 SUPERFICIES'!$AB56,0))))</f>
        <v>0</v>
      </c>
      <c r="BA247" s="777" t="b">
        <f>IF('4 SUPERFICIES'!$A56&gt;45.4,IF('4 SUPERFICIES'!$A56&lt;61.6,IF('4 SUPERFICIES'!$C56&gt;10,IF('4 SUPERFICIES'!$C56&lt;61.5,'4 SUPERFICIES'!$AB56,0))))</f>
        <v>0</v>
      </c>
      <c r="BB247" s="777" t="b">
        <f>IF('4 SUPERFICIES'!$A56&gt;45.4,IF('4 SUPERFICIES'!$A56&lt;61.6,IF('4 SUPERFICIES'!$C56&gt;61.1,IF('4 SUPERFICIES'!$C56&lt;71.6,'4 SUPERFICIES'!$AB56,0))))</f>
        <v>0</v>
      </c>
      <c r="BC247" s="777" t="b">
        <f>IF('4 SUPERFICIES'!$A56&gt;45.4,IF('4 SUPERFICIES'!$A56&lt;61.6,IF('4 SUPERFICIES'!$C56&gt;71.5,IF('4 SUPERFICIES'!$C56&lt;85.6,'4 SUPERFICIES'!$AB56,0))))</f>
        <v>0</v>
      </c>
      <c r="BD247" s="777" t="b">
        <f>IF('4 SUPERFICIES'!$A56&gt;45.4,IF('4 SUPERFICIES'!$A56&lt;61.6,IF('4 SUPERFICIES'!$C56&gt;85.5,IF('4 SUPERFICIES'!$C56&lt;113.6,'4 SUPERFICIES'!$AB56,0))))</f>
        <v>0</v>
      </c>
      <c r="BE247" s="777" t="b">
        <f>IF('4 SUPERFICIES'!$A56&gt;45.4,IF('4 SUPERFICIES'!$A56&lt;61.6,IF('4 SUPERFICIES'!$C56&gt;113.5,IF('4 SUPERFICIES'!$C56&lt;121.6,'4 SUPERFICIES'!$AB56,0))))</f>
        <v>0</v>
      </c>
      <c r="BF247" s="777" t="b">
        <f>IF('4 SUPERFICIES'!$A56&gt;45.4,IF('4 SUPERFICIES'!$A56&lt;61.6,IF('4 SUPERFICIES'!$C56&gt;121.5,IF('4 SUPERFICIES'!$C56&lt;127.6,'4 SUPERFICIES'!$AB56,0))))</f>
        <v>0</v>
      </c>
      <c r="BG247" s="777" t="b">
        <f>IF('4 SUPERFICIES'!$A56&gt;45.4,IF('4 SUPERFICIES'!$A56&lt;61.6,IF('4 SUPERFICIES'!$C56&gt;127.5,IF('4 SUPERFICIES'!$C56&lt;135.1,'4 SUPERFICIES'!$AB56,0))))</f>
        <v>0</v>
      </c>
      <c r="BH247" s="777" t="b">
        <f>IF('4 SUPERFICIES'!$A56&gt;45.4,IF('4 SUPERFICIES'!$A56&lt;61.6,IF('4 SUPERFICIES'!$C56&gt;135,IF('4 SUPERFICIES'!$C56&lt;141.6,'4 SUPERFICIES'!$AB56,0))))</f>
        <v>0</v>
      </c>
      <c r="BI247" s="777" t="b">
        <f>IF('4 SUPERFICIES'!$A56&gt;45.4,IF('4 SUPERFICIES'!$A56&lt;61.6,IF('4 SUPERFICIES'!$C56&gt;141.5,IF('4 SUPERFICIES'!$C56&lt;149.1,'4 SUPERFICIES'!$AB56,0))))</f>
        <v>0</v>
      </c>
      <c r="BJ247" s="777" t="b">
        <f>IF('4 SUPERFICIES'!$A56&gt;45.4,IF('4 SUPERFICIES'!$A56&lt;61.6,IF('4 SUPERFICIES'!$C56&gt;149,IF('4 SUPERFICIES'!$C56&lt;155.6,'4 SUPERFICIES'!$AB56,0))))</f>
        <v>0</v>
      </c>
      <c r="BK247" s="777" t="b">
        <f>IF('4 SUPERFICIES'!$A56&gt;45.4,IF('4 SUPERFICIES'!$A56&lt;61.6,IF('4 SUPERFICIES'!$C56&gt;155.5,IF('4 SUPERFICIES'!$C56&lt;163.1,'4 SUPERFICIES'!$AB56,0))))</f>
        <v>0</v>
      </c>
      <c r="BL247" s="777" t="b">
        <f>IF('4 SUPERFICIES'!$A56&gt;45.4,IF('4 SUPERFICIES'!$A56&lt;61.6,IF('4 SUPERFICIES'!$C56&gt;163,IF('4 SUPERFICIES'!$C56&lt;180.6,'4 SUPERFICIES'!$AB56,0))))</f>
        <v>0</v>
      </c>
      <c r="BM247" s="777" t="b">
        <f>IF('4 SUPERFICIES'!$A56&gt;45.4,IF('4 SUPERFICIES'!$A56&lt;61.6,IF('4 SUPERFICIES'!$C56&gt;180.5,IF('4 SUPERFICIES'!$C56&lt;240.1,'4 SUPERFICIES'!$AB56,0))))</f>
        <v>0</v>
      </c>
      <c r="BO247" s="869" t="s">
        <v>518</v>
      </c>
      <c r="BQ247" s="870">
        <f>+$AT$249</f>
        <v>0</v>
      </c>
      <c r="BS247" s="869"/>
      <c r="BT247" s="870">
        <f>+$AT$252</f>
        <v>0</v>
      </c>
      <c r="BV247" s="777" t="b">
        <f>IF('4 SUPERFICIES'!$A56&gt;61.5,IF('4 SUPERFICIES'!$A56&lt;71.6,IF('4 SUPERFICIES'!$C56&gt;10,IF('4 SUPERFICIES'!$C56&lt;57.6,'4 SUPERFICIES'!$AB56,0))))</f>
        <v>0</v>
      </c>
      <c r="BW247" s="777" t="b">
        <f>IF('4 SUPERFICIES'!$A56&gt;61.5,IF('4 SUPERFICIES'!$A56&lt;71.6,IF('4 SUPERFICIES'!$C56&gt;57.6,IF('4 SUPERFICIES'!$C56&lt;71.6,'4 SUPERFICIES'!$AB56,0))))</f>
        <v>0</v>
      </c>
      <c r="BX247" s="777" t="b">
        <f>IF('4 SUPERFICIES'!$A56&gt;61.5,IF('4 SUPERFICIES'!$A56&lt;71.6,IF('4 SUPERFICIES'!$C56&gt;71.5,IF('4 SUPERFICIES'!$C56&lt;85.6,'4 SUPERFICIES'!$AB56,0))))</f>
        <v>0</v>
      </c>
      <c r="BY247" s="777" t="b">
        <f>IF('4 SUPERFICIES'!$A56&gt;61.5,IF('4 SUPERFICIES'!$A56&lt;71.6,IF('4 SUPERFICIES'!$C56&gt;85.5,IF('4 SUPERFICIES'!$C56&lt;113.6,'4 SUPERFICIES'!$AB56,0))))</f>
        <v>0</v>
      </c>
      <c r="BZ247" s="777" t="b">
        <f>IF('4 SUPERFICIES'!$A56&gt;61.5,IF('4 SUPERFICIES'!$A56&lt;71.6,IF('4 SUPERFICIES'!$C56&gt;113.5,IF('4 SUPERFICIES'!$C56&lt;141.6,'4 SUPERFICIES'!$AB56,0))))</f>
        <v>0</v>
      </c>
      <c r="CA247" s="777" t="b">
        <f>IF('4 SUPERFICIES'!$A56&gt;61.5,IF('4 SUPERFICIES'!$A56&lt;71.6,IF('4 SUPERFICIES'!$C56&gt;141.5,IF('4 SUPERFICIES'!$C56&lt;149.1,'4 SUPERFICIES'!$AB56,0))))</f>
        <v>0</v>
      </c>
      <c r="CB247" s="777" t="b">
        <f>IF('4 SUPERFICIES'!$A56&gt;61.5,IF('4 SUPERFICIES'!$A56&lt;71.6,IF('4 SUPERFICIES'!$C56&gt;149,IF('4 SUPERFICIES'!$C56&lt;163.1,'4 SUPERFICIES'!$AB56,0))))</f>
        <v>0</v>
      </c>
      <c r="CC247" s="777" t="b">
        <f>IF('4 SUPERFICIES'!$A56&gt;61.5,IF('4 SUPERFICIES'!$A56&lt;71.6,IF('4 SUPERFICIES'!$C56&gt;163,IF('4 SUPERFICIES'!$C56&lt;180.6,'4 SUPERFICIES'!$AB56,0))))</f>
        <v>0</v>
      </c>
      <c r="CD247" s="777" t="b">
        <f>IF('4 SUPERFICIES'!$A56&gt;61.5,IF('4 SUPERFICIES'!$A56&lt;71.6,IF('4 SUPERFICIES'!$C56&gt;180.5,IF('4 SUPERFICIES'!$C56&lt;240.1,'4 SUPERFICIES'!$AB56,0))))</f>
        <v>0</v>
      </c>
      <c r="CF247" s="777" t="b">
        <f>IF('4 SUPERFICIES'!$A56&gt;71.5,IF('4 SUPERFICIES'!$A56&lt;120.6,IF('4 SUPERFICIES'!$C56&gt;10,IF('4 SUPERFICIES'!$C56&lt;57.6,'4 SUPERFICIES'!$AB56,0))))</f>
        <v>0</v>
      </c>
      <c r="CG247" s="777" t="b">
        <f>IF('4 SUPERFICIES'!$A56&gt;71.5,IF('4 SUPERFICIES'!$A56&lt;120.6,IF('4 SUPERFICIES'!$C56&gt;57.6,IF('4 SUPERFICIES'!$C56&lt;71.6,'4 SUPERFICIES'!$AB56,0))))</f>
        <v>0</v>
      </c>
      <c r="CH247" s="777" t="b">
        <f>IF('4 SUPERFICIES'!$A56&gt;71.5,IF('4 SUPERFICIES'!$A56&lt;120.6,IF('4 SUPERFICIES'!$C56&gt;71.5,IF('4 SUPERFICIES'!$C56&lt;85.6,'4 SUPERFICIES'!$AB56,0))))</f>
        <v>0</v>
      </c>
      <c r="CI247" s="777" t="b">
        <f>IF('4 SUPERFICIES'!$A56&gt;71.5,IF('4 SUPERFICIES'!$A56&lt;120.6,IF('4 SUPERFICIES'!$C56&gt;85.5,IF('4 SUPERFICIES'!$C56&lt;113.6,'4 SUPERFICIES'!$AB56,0))))</f>
        <v>0</v>
      </c>
      <c r="CJ247" s="777" t="b">
        <f>IF('4 SUPERFICIES'!$A56&gt;71.5,IF('4 SUPERFICIES'!$A56&lt;120.6,IF('4 SUPERFICIES'!$C56&gt;113.5,IF('4 SUPERFICIES'!$C56&lt;141.6,'4 SUPERFICIES'!$AB56,0))))</f>
        <v>0</v>
      </c>
      <c r="CK247" s="777" t="b">
        <f>IF('4 SUPERFICIES'!$A56&gt;71.5,IF('4 SUPERFICIES'!$A56&lt;120.6,IF('4 SUPERFICIES'!$C56&gt;141.5,IF('4 SUPERFICIES'!$C56&lt;180.6,'4 SUPERFICIES'!$AB56,0))))</f>
        <v>0</v>
      </c>
      <c r="CL247" s="777" t="b">
        <f>IF('4 SUPERFICIES'!$A56&gt;71.5,IF('4 SUPERFICIES'!$A56&lt;120.6,IF('4 SUPERFICIES'!$C56&gt;180.5,IF('4 SUPERFICIES'!$C56&lt;240.1,'4 SUPERFICIES'!$AB56,0))))</f>
        <v>0</v>
      </c>
      <c r="CN247" s="777">
        <f>IF('4 SUPERFICIES'!$C56&lt;150,IF(OR('4 SUPERFICIES'!$A56="MICRODER",'4 SUPERFICIES'!$A56="MICRO DER",),'4 SUPERFICIES'!$AB56,0))</f>
        <v>0</v>
      </c>
      <c r="CO247" s="777" t="b">
        <f>IF('4 SUPERFICIES'!$C56&gt;149.5,IF(OR('4 SUPERFICIES'!$A56="MICRODER",'4 SUPERFICIES'!$A56="MICRO DER",),'4 SUPERFICIES'!$AB56,0))</f>
        <v>0</v>
      </c>
      <c r="CP247" s="847"/>
      <c r="CQ247" s="777">
        <f>IF('4 SUPERFICIES'!$C56&lt;150,IF(OR('4 SUPERFICIES'!$A56="MICROIZQ",'4 SUPERFICIES'!$A56="MICRO IZQ",),'4 SUPERFICIES'!$AB56,0))</f>
        <v>0</v>
      </c>
      <c r="CR247" s="777" t="b">
        <f>IF('4 SUPERFICIES'!$C56&gt;149.5,IF(OR('4 SUPERFICIES'!$A56="MICROIZQ",'4 SUPERFICIES'!$A56="MICRO IZQ",),'4 SUPERFICIES'!$AB56,0))</f>
        <v>0</v>
      </c>
      <c r="CT247" s="837">
        <f>IF(OR('4 SUPERFICIES'!$A56="MICRO SEN",'4 SUPERFICIES'!$A56="MICROSEN",),'4 SUPERFICIES'!$AB56,0)</f>
        <v>0</v>
      </c>
      <c r="CV247" s="837" t="b">
        <f>IF('4 SUPERFICIES'!$A56="DIAMETRO",IF('4 SUPERFICIES'!$C56&lt;121.1,'4 SUPERFICIES'!$AB56,0))</f>
        <v>0</v>
      </c>
      <c r="CX247" s="858"/>
      <c r="CZ247" s="837" t="b">
        <f>IF('4 SUPERFICIES'!$A56="MOSTRADOR",IF('4 SUPERFICIES'!$C56="R60",'4 SUPERFICIES'!$AB56,0))</f>
        <v>0</v>
      </c>
      <c r="DB247" s="837">
        <f>IF(OR('4 SUPERFICIES'!$A56="PORTA PRIN",'4 SUPERFICIES'!$A56="PORTAPRIN",),'4 SUPERFICIES'!$AB56,0)</f>
        <v>0</v>
      </c>
      <c r="DD247" s="837">
        <f>IF(OR('4 SUPERFICIES'!$A56="PORTA BADE",'4 SUPERFICIES'!$A56="PORTABADE",),'4 SUPERFICIES'!$AB56,0)</f>
        <v>0</v>
      </c>
      <c r="DE247" s="837"/>
      <c r="DF247" s="837">
        <f>IF(OR('4 SUPERFICIES'!$A56="RETORNO IZQ",'4 SUPERFICIES'!$A56="RETORNO DER",),'4 SUPERFICIES'!$AB156,0)</f>
        <v>0</v>
      </c>
      <c r="DG247" s="837"/>
      <c r="DH247" s="837">
        <f>IF(OR('4 SUPERFICIES'!$A56="PITO Q",'4 SUPERFICIES'!$A56="PITO P",'4 SUPERFICIES'!$A56="DIAMETRO INTEGRADA",),'4 SUPERFICIES'!$AB56,0)</f>
        <v>0</v>
      </c>
      <c r="DJ247" s="858"/>
      <c r="DK247" s="837"/>
      <c r="DL247" s="837">
        <f>IF('4 SUPERFICIES'!$A56="SUPERFICIE OVAL",'4 SUPERFICIES'!$AB56,0)</f>
        <v>0</v>
      </c>
      <c r="DM247" s="838"/>
      <c r="DN247" s="838"/>
      <c r="DO247" s="838"/>
      <c r="DP247" s="838"/>
      <c r="DQ247" s="838"/>
      <c r="DR247" s="838"/>
      <c r="DS247" s="838"/>
      <c r="DT247" s="838"/>
      <c r="DU247" s="838"/>
      <c r="DV247" s="838"/>
      <c r="DW247" s="838"/>
      <c r="DX247" s="838"/>
      <c r="DY247" s="838"/>
      <c r="DZ247" s="838"/>
      <c r="EA247" s="838"/>
      <c r="EB247" s="838"/>
      <c r="EC247" s="838"/>
      <c r="ED247" s="838"/>
      <c r="EE247" s="852"/>
      <c r="EG247" s="682">
        <f>IF('4 SUPERFICIES'!A56="MICRO DER",85,IF('4 SUPERFICIES'!A56="MICRO IZQ",85,IF('4 SUPERFICIES'!A56="MICRO SEN",170,IF('4 SUPERFICIES'!A56="DIAMETRO",3.14*'4 SUPERFICIES'!C56/2,IF('4 SUPERFICIES'!A56="MOSTRADOR",136,IF('4 SUPERFICIES'!A56="PORTA",65,IF('4 SUPERFICIES'!A56="PITO Q",90,IF('4 SUPERFICIES'!A56="PITO P",90,'4 SUPERFICIES'!A56))))))))</f>
        <v>0</v>
      </c>
      <c r="EH247" s="682"/>
      <c r="EI247" s="682">
        <f>IF('4 SUPERFICIES'!A56="DIAMETRO",0,IF('4 SUPERFICIES'!C56="PRINCIPAL",160,IF('4 SUPERFICIES'!C56="BADE",190,IF('4 SUPERFICIES'!C56="RETORNO",100,IF('4 SUPERFICIES'!C56="R 60",100,IF('4 SUPERFICIES'!C56="R60",100,'4 SUPERFICIES'!C56))))))</f>
        <v>0</v>
      </c>
      <c r="EJ247" s="682"/>
      <c r="EK247" s="682">
        <f>IF('4 SUPERFICIES'!$F56='4 SUPERFICIES'!$AG$15,((EG247*2)+(EI247*2))*'4 SUPERFICIES'!AB56,0)</f>
        <v>0</v>
      </c>
      <c r="EL247" s="682"/>
      <c r="EM247" s="682">
        <f>IF('4 SUPERFICIES'!$F56='4 SUPERFICIES'!$AG$16,((EG247*2)+(EI247*2))*'4 SUPERFICIES'!AB56,0)</f>
        <v>0</v>
      </c>
      <c r="EO247" s="682">
        <f>IF('4 SUPERFICIES'!$F56='4 SUPERFICIES'!$AG$17,((EG247*2)+(EI247*2))*'4 SUPERFICIES'!AB56,0)</f>
        <v>0</v>
      </c>
      <c r="EP247" s="838"/>
      <c r="EQ247" s="682">
        <f>IF('4 SUPERFICIES'!$F56='4 SUPERFICIES'!$AG$18,((EG247*2)+(EI247*2))*'4 SUPERFICIES'!AB56,0)</f>
        <v>0</v>
      </c>
      <c r="ER247" s="838"/>
      <c r="ES247" s="858"/>
      <c r="ET247" s="858"/>
      <c r="EU247" s="858"/>
      <c r="EV247" s="858"/>
      <c r="EW247" s="838"/>
      <c r="EX247" s="838"/>
      <c r="EY247" s="838"/>
      <c r="EZ247" s="838"/>
      <c r="FA247" s="838"/>
      <c r="FB247" s="838"/>
      <c r="FC247" s="838"/>
      <c r="FD247" s="838"/>
      <c r="FE247" s="838"/>
      <c r="FF247" s="838"/>
      <c r="FG247" s="838"/>
      <c r="FH247" s="838"/>
      <c r="FI247" s="838"/>
      <c r="FJ247" s="838"/>
      <c r="FK247" s="838"/>
      <c r="FL247" s="838"/>
      <c r="FM247" s="838"/>
      <c r="FN247" s="838"/>
      <c r="FO247" s="838"/>
      <c r="FP247" s="838"/>
      <c r="GM247" s="858"/>
      <c r="GN247" s="838"/>
      <c r="GO247" s="858"/>
      <c r="GP247" s="858"/>
      <c r="GQ247" s="858"/>
      <c r="GR247" s="838"/>
      <c r="GS247" s="838"/>
      <c r="HF247" s="700">
        <v>32.5</v>
      </c>
      <c r="HH247" s="591">
        <v>32.5</v>
      </c>
    </row>
    <row r="248" spans="4:216" ht="26.25" x14ac:dyDescent="0.4">
      <c r="AK248" s="839"/>
      <c r="AL248" s="839"/>
      <c r="AM248" s="839"/>
      <c r="AN248" s="839"/>
      <c r="AO248" s="839"/>
      <c r="AP248" s="839"/>
      <c r="AQ248" s="839"/>
      <c r="AS248" s="839"/>
      <c r="AT248" s="839"/>
      <c r="AU248" s="839"/>
      <c r="AV248" s="839"/>
      <c r="AW248" s="839"/>
      <c r="AX248" s="839"/>
      <c r="AY248" s="839"/>
      <c r="BA248" s="839"/>
      <c r="BB248" s="839"/>
      <c r="BC248" s="839"/>
      <c r="BD248" s="839"/>
      <c r="BE248" s="839"/>
      <c r="BF248" s="839"/>
      <c r="BG248" s="839"/>
      <c r="BH248" s="839"/>
      <c r="BI248" s="839"/>
      <c r="BJ248" s="839"/>
      <c r="BK248" s="839"/>
      <c r="BL248" s="839"/>
      <c r="BM248" s="839"/>
      <c r="BO248" s="869" t="s">
        <v>519</v>
      </c>
      <c r="BQ248" s="870">
        <f>+$AU$249</f>
        <v>0</v>
      </c>
      <c r="BS248" s="869"/>
      <c r="BT248" s="870">
        <f>+$AU$252</f>
        <v>0</v>
      </c>
      <c r="BV248" s="838"/>
      <c r="BW248" s="838"/>
      <c r="BX248" s="838"/>
      <c r="BY248" s="838"/>
      <c r="BZ248" s="838"/>
      <c r="CA248" s="838"/>
      <c r="CB248" s="838"/>
      <c r="CC248" s="838"/>
      <c r="CD248" s="838"/>
      <c r="CE248" s="838"/>
      <c r="CF248" s="838"/>
      <c r="CG248" s="838"/>
      <c r="CH248" s="838"/>
      <c r="CI248" s="838"/>
      <c r="CJ248" s="838"/>
      <c r="CK248" s="838"/>
      <c r="CL248" s="838"/>
      <c r="CM248" s="838"/>
      <c r="CN248" s="838"/>
      <c r="CO248" s="838"/>
      <c r="CP248" s="852"/>
      <c r="CQ248" s="838"/>
      <c r="CR248" s="838"/>
      <c r="CS248" s="852"/>
      <c r="CT248" s="858"/>
      <c r="CU248" s="838"/>
      <c r="CV248" s="858"/>
      <c r="CW248" s="838"/>
      <c r="CX248" s="858"/>
      <c r="CY248" s="838"/>
      <c r="CZ248" s="858"/>
      <c r="DA248" s="838"/>
      <c r="DB248" s="858"/>
      <c r="DC248" s="838"/>
      <c r="DD248" s="858"/>
      <c r="DE248" s="858"/>
      <c r="DF248" s="858"/>
      <c r="DG248" s="838"/>
      <c r="DH248" s="858"/>
      <c r="DI248" s="838"/>
      <c r="DJ248" s="858"/>
      <c r="DK248" s="838"/>
      <c r="DL248" s="858"/>
      <c r="DM248" s="838"/>
      <c r="DN248" s="838"/>
      <c r="DO248" s="838"/>
      <c r="DP248" s="838"/>
      <c r="DQ248" s="838"/>
      <c r="DR248" s="838"/>
      <c r="DS248" s="838"/>
      <c r="DT248" s="838"/>
      <c r="DU248" s="838"/>
      <c r="DV248" s="838"/>
      <c r="DW248" s="838"/>
      <c r="DX248" s="838"/>
      <c r="DY248" s="838"/>
      <c r="DZ248" s="838"/>
      <c r="EA248" s="838"/>
      <c r="EB248" s="838"/>
      <c r="EC248" s="838"/>
      <c r="ED248" s="838"/>
      <c r="EE248" s="852"/>
      <c r="EG248" s="682"/>
      <c r="EH248" s="682"/>
      <c r="EI248" s="682"/>
      <c r="EJ248" s="682"/>
      <c r="EK248" s="1154">
        <f>SUM(EK202:EK247)/100</f>
        <v>0</v>
      </c>
      <c r="EL248" s="1154"/>
      <c r="EM248" s="1154">
        <f>SUM(EM202:EM247)/100</f>
        <v>0</v>
      </c>
      <c r="EO248" s="1154">
        <f>(SUM(EO202:EO247)/100)*1.07</f>
        <v>0</v>
      </c>
      <c r="EP248" s="838"/>
      <c r="EQ248" s="1154">
        <f>(SUM(EQ202:EQ247)/100)*1.07</f>
        <v>0</v>
      </c>
      <c r="ER248" s="838"/>
      <c r="ES248" s="858"/>
      <c r="ET248" s="858"/>
      <c r="EU248" s="858"/>
      <c r="EV248" s="858"/>
      <c r="EW248" s="838"/>
      <c r="EX248" s="838"/>
      <c r="EY248" s="838"/>
      <c r="EZ248" s="838"/>
      <c r="FA248" s="838"/>
      <c r="FB248" s="838"/>
      <c r="FC248" s="838"/>
      <c r="FD248" s="838"/>
      <c r="FE248" s="838"/>
      <c r="FF248" s="838"/>
      <c r="FG248" s="838"/>
      <c r="FH248" s="838"/>
      <c r="FI248" s="838"/>
      <c r="FJ248" s="838"/>
      <c r="FK248" s="838"/>
      <c r="FL248" s="838"/>
      <c r="FM248" s="838"/>
      <c r="FN248" s="838"/>
      <c r="FO248" s="838"/>
      <c r="FP248" s="838"/>
      <c r="GM248" s="858"/>
      <c r="GN248" s="838"/>
      <c r="GO248" s="858"/>
      <c r="GP248" s="858"/>
      <c r="GQ248" s="858"/>
      <c r="GR248" s="838"/>
      <c r="GS248" s="838"/>
      <c r="HF248" s="700">
        <v>33</v>
      </c>
      <c r="HH248" s="591">
        <v>33</v>
      </c>
    </row>
    <row r="249" spans="4:216" ht="26.25" x14ac:dyDescent="0.4">
      <c r="AK249" s="838">
        <f>SUMIF('4 SUPERFICIES'!$E$11:$E$56,'4 SUPERFICIES'!$AG$11,FORMULAS!AK$202:AK$247)</f>
        <v>0</v>
      </c>
      <c r="AL249" s="838">
        <f>SUMIF('4 SUPERFICIES'!$E$11:$E$56,'4 SUPERFICIES'!$AG$11,FORMULAS!AL$202:AL$247)</f>
        <v>0</v>
      </c>
      <c r="AM249" s="838">
        <f>SUMIF('4 SUPERFICIES'!$E$11:$E$56,'4 SUPERFICIES'!$AG$11,FORMULAS!AM$202:AM$247)</f>
        <v>0</v>
      </c>
      <c r="AN249" s="838">
        <f>SUMIF('4 SUPERFICIES'!$E$11:$E$56,'4 SUPERFICIES'!$AG$11,FORMULAS!AN$202:AN$247)</f>
        <v>0</v>
      </c>
      <c r="AO249" s="838">
        <f>SUMIF('4 SUPERFICIES'!$E$11:$E$56,'4 SUPERFICIES'!$AG$11,FORMULAS!AO$202:AO$247)</f>
        <v>0</v>
      </c>
      <c r="AP249" s="838">
        <f>SUMIF('4 SUPERFICIES'!$E$11:$E$56,'4 SUPERFICIES'!$AG$11,FORMULAS!AP$202:AP$247)</f>
        <v>0</v>
      </c>
      <c r="AQ249" s="838">
        <f>SUMIF('4 SUPERFICIES'!$E$11:$E$56,'4 SUPERFICIES'!$AG$11,FORMULAS!AQ$202:AQ$247)</f>
        <v>0</v>
      </c>
      <c r="AR249" s="838"/>
      <c r="AS249" s="838">
        <f>SUMIF('4 SUPERFICIES'!$E$11:$E$56,'4 SUPERFICIES'!$AG$11,FORMULAS!AS$202:AS$247)</f>
        <v>0</v>
      </c>
      <c r="AT249" s="838">
        <f>SUMIF('4 SUPERFICIES'!$E$11:$E$56,'4 SUPERFICIES'!$AG$11,FORMULAS!AT$202:AT$247)</f>
        <v>0</v>
      </c>
      <c r="AU249" s="838">
        <f>SUMIF('4 SUPERFICIES'!$E$11:$E$56,'4 SUPERFICIES'!$AG$11,FORMULAS!AU$202:AU$247)</f>
        <v>0</v>
      </c>
      <c r="AV249" s="838">
        <f>SUMIF('4 SUPERFICIES'!$E$11:$E$56,'4 SUPERFICIES'!$AG$11,FORMULAS!AV$202:AV$247)</f>
        <v>0</v>
      </c>
      <c r="AW249" s="838">
        <f>SUMIF('4 SUPERFICIES'!$E$11:$E$56,'4 SUPERFICIES'!$AG$11,FORMULAS!AW$202:AW$247)</f>
        <v>0</v>
      </c>
      <c r="AX249" s="838">
        <f>SUMIF('4 SUPERFICIES'!$E$11:$E$56,'4 SUPERFICIES'!$AG$11,FORMULAS!AX$202:AX$247)</f>
        <v>0</v>
      </c>
      <c r="AY249" s="838">
        <f>SUMIF('4 SUPERFICIES'!$E$11:$E$56,'4 SUPERFICIES'!$AG$11,FORMULAS!AY$202:AY$247)</f>
        <v>0</v>
      </c>
      <c r="AZ249" s="838"/>
      <c r="BA249" s="838">
        <f>SUMIF('4 SUPERFICIES'!$E$11:$E$56,'4 SUPERFICIES'!$AG$11,FORMULAS!BA$202:BA$247)</f>
        <v>0</v>
      </c>
      <c r="BB249" s="838">
        <f>SUMIF('4 SUPERFICIES'!$E$11:$E$56,'4 SUPERFICIES'!$AG$11,FORMULAS!BB$202:BB$247)</f>
        <v>0</v>
      </c>
      <c r="BC249" s="838">
        <f>SUMIF('4 SUPERFICIES'!$E$11:$E$56,'4 SUPERFICIES'!$AG$11,FORMULAS!BC$202:BC$247)</f>
        <v>0</v>
      </c>
      <c r="BD249" s="838">
        <f>SUMIF('4 SUPERFICIES'!$E$11:$E$56,'4 SUPERFICIES'!$AG$11,FORMULAS!BD$202:BD$247)</f>
        <v>0</v>
      </c>
      <c r="BE249" s="838">
        <f>SUMIF('4 SUPERFICIES'!$E$11:$E$56,'4 SUPERFICIES'!$AG$11,FORMULAS!BE$202:BE$247)</f>
        <v>0</v>
      </c>
      <c r="BF249" s="838">
        <f>SUMIF('4 SUPERFICIES'!$E$11:$E$56,'4 SUPERFICIES'!$AG$11,FORMULAS!BF$202:BF$247)</f>
        <v>0</v>
      </c>
      <c r="BG249" s="838">
        <f>SUMIF('4 SUPERFICIES'!$E$11:$E$56,'4 SUPERFICIES'!$AG$11,FORMULAS!BG$202:BG$247)</f>
        <v>0</v>
      </c>
      <c r="BH249" s="838">
        <f>SUMIF('4 SUPERFICIES'!$E$11:$E$56,'4 SUPERFICIES'!$AG$11,FORMULAS!BH$202:BH$247)</f>
        <v>0</v>
      </c>
      <c r="BI249" s="838">
        <f>SUMIF('4 SUPERFICIES'!$E$11:$E$56,'4 SUPERFICIES'!$AG$11,FORMULAS!BI$202:BI$247)</f>
        <v>0</v>
      </c>
      <c r="BJ249" s="838">
        <f>SUMIF('4 SUPERFICIES'!$E$11:$E$56,'4 SUPERFICIES'!$AG$11,FORMULAS!BJ$202:BJ$247)</f>
        <v>0</v>
      </c>
      <c r="BK249" s="838">
        <f>SUMIF('4 SUPERFICIES'!$E$11:$E$56,'4 SUPERFICIES'!$AG$11,FORMULAS!BK$202:BK$247)</f>
        <v>0</v>
      </c>
      <c r="BL249" s="838">
        <f>SUMIF('4 SUPERFICIES'!$E$11:$E$56,'4 SUPERFICIES'!$AG$11,FORMULAS!BL$202:BL$247)</f>
        <v>0</v>
      </c>
      <c r="BM249" s="838">
        <f>SUMIF('4 SUPERFICIES'!$E$11:$E$56,'4 SUPERFICIES'!$AG$11,FORMULAS!BM$202:BM$247)</f>
        <v>0</v>
      </c>
      <c r="BO249" s="869" t="s">
        <v>521</v>
      </c>
      <c r="BQ249" s="870">
        <f>+$AV$249</f>
        <v>0</v>
      </c>
      <c r="BS249" s="869"/>
      <c r="BT249" s="870">
        <f>+$AV$252</f>
        <v>0</v>
      </c>
      <c r="BV249" s="838">
        <f>SUMIF('4 SUPERFICIES'!$E$11:$E$56,'4 SUPERFICIES'!$AG$11,FORMULAS!BV$202:BV$247)</f>
        <v>0</v>
      </c>
      <c r="BW249" s="838">
        <f>SUMIF('4 SUPERFICIES'!$E$11:$E$56,'4 SUPERFICIES'!$AG$11,FORMULAS!BW$202:BW$247)</f>
        <v>0</v>
      </c>
      <c r="BX249" s="838">
        <f>SUMIF('4 SUPERFICIES'!$E$11:$E$56,'4 SUPERFICIES'!$AG$11,FORMULAS!BX$202:BX$247)</f>
        <v>0</v>
      </c>
      <c r="BY249" s="838">
        <f>SUMIF('4 SUPERFICIES'!$E$11:$E$56,'4 SUPERFICIES'!$AG$11,FORMULAS!BY$202:BY$247)</f>
        <v>0</v>
      </c>
      <c r="BZ249" s="838">
        <f>SUMIF('4 SUPERFICIES'!$E$11:$E$56,'4 SUPERFICIES'!$AG$11,FORMULAS!BZ$202:BZ$247)</f>
        <v>0</v>
      </c>
      <c r="CA249" s="838">
        <f>SUMIF('4 SUPERFICIES'!$E$11:$E$56,'4 SUPERFICIES'!$AG$11,FORMULAS!CA$202:CA$247)</f>
        <v>0</v>
      </c>
      <c r="CB249" s="838">
        <f>SUMIF('4 SUPERFICIES'!$E$11:$E$56,'4 SUPERFICIES'!$AG$11,FORMULAS!CB$202:CB$247)</f>
        <v>0</v>
      </c>
      <c r="CC249" s="838">
        <f>SUMIF('4 SUPERFICIES'!$E$11:$E$56,'4 SUPERFICIES'!$AG$11,FORMULAS!CC$202:CC$247)</f>
        <v>0</v>
      </c>
      <c r="CD249" s="838">
        <f>SUMIF('4 SUPERFICIES'!$E$11:$E$56,'4 SUPERFICIES'!$AG$11,FORMULAS!CD$202:CD$247)</f>
        <v>0</v>
      </c>
      <c r="CE249" s="838"/>
      <c r="CF249" s="838">
        <f>SUMIF('4 SUPERFICIES'!$E$11:$E$56,'4 SUPERFICIES'!$AG$11,FORMULAS!CF$202:CF$247)</f>
        <v>0</v>
      </c>
      <c r="CG249" s="838">
        <f>SUMIF('4 SUPERFICIES'!$E$11:$E$56,'4 SUPERFICIES'!$AG$11,FORMULAS!CG$202:CG$247)</f>
        <v>0</v>
      </c>
      <c r="CH249" s="838">
        <f>SUMIF('4 SUPERFICIES'!$E$11:$E$56,'4 SUPERFICIES'!$AG$11,FORMULAS!CH$202:CH$247)</f>
        <v>0</v>
      </c>
      <c r="CI249" s="838">
        <f>SUMIF('4 SUPERFICIES'!$E$11:$E$56,'4 SUPERFICIES'!$AG$11,FORMULAS!CI$202:CI$247)</f>
        <v>0</v>
      </c>
      <c r="CJ249" s="838">
        <f>SUMIF('4 SUPERFICIES'!$E$11:$E$56,'4 SUPERFICIES'!$AG$11,FORMULAS!CJ$202:CJ$247)</f>
        <v>0</v>
      </c>
      <c r="CK249" s="838">
        <f>SUMIF('4 SUPERFICIES'!$E$11:$E$56,'4 SUPERFICIES'!$AG$11,FORMULAS!CK$202:CK$247)</f>
        <v>0</v>
      </c>
      <c r="CL249" s="838">
        <f>SUMIF('4 SUPERFICIES'!$E$11:$E$56,'4 SUPERFICIES'!$AG$11,FORMULAS!CL$202:CL$247)</f>
        <v>0</v>
      </c>
      <c r="CM249" s="838"/>
      <c r="CN249" s="838">
        <f>SUMIF('4 SUPERFICIES'!$E$11:$E$56,'4 SUPERFICIES'!$AG$11,FORMULAS!CN$202:CN$247)</f>
        <v>0</v>
      </c>
      <c r="CO249" s="838">
        <f>SUMIF('4 SUPERFICIES'!$E$11:$E$56,'4 SUPERFICIES'!$AG$11,FORMULAS!CO$202:CO$247)</f>
        <v>0</v>
      </c>
      <c r="CP249" s="852"/>
      <c r="CQ249" s="838">
        <f>SUMIF('4 SUPERFICIES'!$E$11:$E$56,'4 SUPERFICIES'!$AG$11,FORMULAS!CQ$202:CQ$247)</f>
        <v>0</v>
      </c>
      <c r="CR249" s="838">
        <f>SUMIF('4 SUPERFICIES'!$E$11:$E$56,'4 SUPERFICIES'!$AG$11,FORMULAS!CR$202:CR$247)</f>
        <v>0</v>
      </c>
      <c r="CS249" s="838"/>
      <c r="CT249" s="838">
        <f>SUMIF('4 SUPERFICIES'!$E$11:$E$56,'4 SUPERFICIES'!$AG$11,FORMULAS!CT$202:CT$247)</f>
        <v>0</v>
      </c>
      <c r="CU249" s="838"/>
      <c r="CV249" s="838">
        <f>SUMIF('4 SUPERFICIES'!$E$11:$E$56,'4 SUPERFICIES'!$AG$11,FORMULAS!CV$202:CV$247)</f>
        <v>0</v>
      </c>
      <c r="CW249" s="838"/>
      <c r="CX249" s="858"/>
      <c r="CY249" s="838"/>
      <c r="CZ249" s="838">
        <f>SUMIF('4 SUPERFICIES'!$E$11:$E$56,'4 SUPERFICIES'!$AG$11,FORMULAS!CZ$202:CZ$247)</f>
        <v>0</v>
      </c>
      <c r="DA249" s="838"/>
      <c r="DB249" s="838">
        <f>SUMIF('4 SUPERFICIES'!$E$11:$E$56,'4 SUPERFICIES'!$AG$11,FORMULAS!DB$202:DB$247)</f>
        <v>0</v>
      </c>
      <c r="DC249" s="838"/>
      <c r="DD249" s="838">
        <f>SUMIF('4 SUPERFICIES'!$E$11:$E$56,'4 SUPERFICIES'!$AG$11,FORMULAS!DD$202:DD$247)</f>
        <v>0</v>
      </c>
      <c r="DE249" s="858"/>
      <c r="DF249" s="838">
        <f>SUMIF('4 SUPERFICIES'!$E$11:$E$56,'4 SUPERFICIES'!$AG$11,FORMULAS!DF$202:DF$247)</f>
        <v>0</v>
      </c>
      <c r="DG249" s="858"/>
      <c r="DH249" s="838">
        <f>SUMIF('4 SUPERFICIES'!$E$11:$E$56,'4 SUPERFICIES'!$AG$11,FORMULAS!DH$202:DH$247)</f>
        <v>0</v>
      </c>
      <c r="DI249" s="838"/>
      <c r="DJ249" s="858"/>
      <c r="DK249" s="858"/>
      <c r="DL249" s="838">
        <f>SUMIF('4 SUPERFICIES'!$E$11:$E$56,'4 SUPERFICIES'!$AG$11,FORMULAS!DL$202:DL$247)</f>
        <v>0</v>
      </c>
      <c r="DM249" s="838"/>
      <c r="DN249" s="838"/>
      <c r="DO249" s="838"/>
      <c r="DP249" s="838"/>
      <c r="DQ249" s="838"/>
      <c r="DR249" s="838"/>
      <c r="DS249" s="838"/>
      <c r="DT249" s="838"/>
      <c r="DU249" s="838"/>
      <c r="DV249" s="838"/>
      <c r="DW249" s="838"/>
      <c r="DX249" s="838"/>
      <c r="DY249" s="838"/>
      <c r="DZ249" s="838"/>
      <c r="EA249" s="838"/>
      <c r="EB249" s="838"/>
      <c r="EC249" s="838"/>
      <c r="ED249" s="838"/>
      <c r="EE249" s="852"/>
      <c r="EP249" s="838"/>
      <c r="EQ249" s="858"/>
      <c r="ER249" s="838"/>
      <c r="ES249" s="858"/>
      <c r="ET249" s="858"/>
      <c r="EU249" s="858"/>
      <c r="EV249" s="858"/>
      <c r="EW249" s="838"/>
      <c r="EX249" s="838"/>
      <c r="EY249" s="838"/>
      <c r="EZ249" s="838"/>
      <c r="FA249" s="838"/>
      <c r="FB249" s="838"/>
      <c r="FC249" s="838"/>
      <c r="FD249" s="838"/>
      <c r="FE249" s="838"/>
      <c r="FF249" s="838"/>
      <c r="FG249" s="838"/>
      <c r="FH249" s="838"/>
      <c r="FI249" s="838"/>
      <c r="FJ249" s="838"/>
      <c r="FK249" s="838"/>
      <c r="FL249" s="838"/>
      <c r="FM249" s="838"/>
      <c r="FN249" s="838"/>
      <c r="FO249" s="838"/>
      <c r="FP249" s="838"/>
      <c r="GM249" s="858"/>
      <c r="GN249" s="838"/>
      <c r="GO249" s="858"/>
      <c r="GP249" s="858"/>
      <c r="GQ249" s="858"/>
      <c r="GR249" s="838"/>
      <c r="GS249" s="838"/>
      <c r="HF249" s="700">
        <v>33.5</v>
      </c>
      <c r="HH249" s="591">
        <v>33.5</v>
      </c>
    </row>
    <row r="250" spans="4:216" ht="26.25" x14ac:dyDescent="0.4">
      <c r="AK250" s="838">
        <f>SUMIF('4 SUPERFICIES'!$E$11:$E$56,'4 SUPERFICIES'!$AG$12,FORMULAS!AK$202:AK$247)</f>
        <v>0</v>
      </c>
      <c r="AL250" s="838">
        <f>SUMIF('4 SUPERFICIES'!$E$11:$E$56,'4 SUPERFICIES'!$AG$12,FORMULAS!AL$202:AL$247)</f>
        <v>0</v>
      </c>
      <c r="AM250" s="838">
        <f>SUMIF('4 SUPERFICIES'!$E$11:$E$56,'4 SUPERFICIES'!$AG$12,FORMULAS!AM$202:AM$247)</f>
        <v>0</v>
      </c>
      <c r="AN250" s="838">
        <f>SUMIF('4 SUPERFICIES'!$E$11:$E$56,'4 SUPERFICIES'!$AG$12,FORMULAS!AN$202:AN$247)</f>
        <v>0</v>
      </c>
      <c r="AO250" s="838">
        <f>SUMIF('4 SUPERFICIES'!$E$11:$E$56,'4 SUPERFICIES'!$AG$12,FORMULAS!AO$202:AO$247)</f>
        <v>0</v>
      </c>
      <c r="AP250" s="838">
        <f>SUMIF('4 SUPERFICIES'!$E$11:$E$56,'4 SUPERFICIES'!$AG$12,FORMULAS!AP$202:AP$247)</f>
        <v>0</v>
      </c>
      <c r="AQ250" s="838">
        <f>SUMIF('4 SUPERFICIES'!$E$11:$E$56,'4 SUPERFICIES'!$AG$12,FORMULAS!AQ$202:AQ$247)</f>
        <v>0</v>
      </c>
      <c r="AR250" s="838"/>
      <c r="AS250" s="838">
        <f>SUMIF('4 SUPERFICIES'!$E$11:$E$56,'4 SUPERFICIES'!$AG$12,FORMULAS!AS$202:AS$247)</f>
        <v>0</v>
      </c>
      <c r="AT250" s="838">
        <f>SUMIF('4 SUPERFICIES'!$E$11:$E$56,'4 SUPERFICIES'!$AG$12,FORMULAS!AT$202:AT$247)</f>
        <v>0</v>
      </c>
      <c r="AU250" s="838">
        <f>SUMIF('4 SUPERFICIES'!$E$11:$E$56,'4 SUPERFICIES'!$AG$12,FORMULAS!AU$202:AU$247)</f>
        <v>0</v>
      </c>
      <c r="AV250" s="838">
        <f>SUMIF('4 SUPERFICIES'!$E$11:$E$56,'4 SUPERFICIES'!$AG$12,FORMULAS!AV$202:AV$247)</f>
        <v>0</v>
      </c>
      <c r="AW250" s="838">
        <f>SUMIF('4 SUPERFICIES'!$E$11:$E$56,'4 SUPERFICIES'!$AG$12,FORMULAS!AW$202:AW$247)</f>
        <v>0</v>
      </c>
      <c r="AX250" s="838">
        <f>SUMIF('4 SUPERFICIES'!$E$11:$E$56,'4 SUPERFICIES'!$AG$12,FORMULAS!AX$202:AX$247)</f>
        <v>0</v>
      </c>
      <c r="AY250" s="838">
        <f>SUMIF('4 SUPERFICIES'!$E$11:$E$56,'4 SUPERFICIES'!$AG$12,FORMULAS!AY$202:AY$247)</f>
        <v>0</v>
      </c>
      <c r="AZ250" s="838"/>
      <c r="BA250" s="838">
        <f>SUMIF('4 SUPERFICIES'!$E$11:$E$56,'4 SUPERFICIES'!$AG$12,FORMULAS!BA$202:BA$247)</f>
        <v>0</v>
      </c>
      <c r="BB250" s="838">
        <f>SUMIF('4 SUPERFICIES'!$E$11:$E$56,'4 SUPERFICIES'!$AG$12,FORMULAS!BB$202:BB$247)</f>
        <v>0</v>
      </c>
      <c r="BC250" s="838">
        <f>SUMIF('4 SUPERFICIES'!$E$11:$E$56,'4 SUPERFICIES'!$AG$12,FORMULAS!BC$202:BC$247)</f>
        <v>0</v>
      </c>
      <c r="BD250" s="838">
        <f>SUMIF('4 SUPERFICIES'!$E$11:$E$56,'4 SUPERFICIES'!$AG$12,FORMULAS!BD$202:BD$247)</f>
        <v>0</v>
      </c>
      <c r="BE250" s="838">
        <f>SUMIF('4 SUPERFICIES'!$E$11:$E$56,'4 SUPERFICIES'!$AG$12,FORMULAS!BE$202:BE$247)</f>
        <v>0</v>
      </c>
      <c r="BF250" s="838">
        <f>SUMIF('4 SUPERFICIES'!$E$11:$E$56,'4 SUPERFICIES'!$AG$12,FORMULAS!BF$202:BF$247)</f>
        <v>0</v>
      </c>
      <c r="BG250" s="838">
        <f>SUMIF('4 SUPERFICIES'!$E$11:$E$56,'4 SUPERFICIES'!$AG$12,FORMULAS!BG$202:BG$247)</f>
        <v>0</v>
      </c>
      <c r="BH250" s="838">
        <f>SUMIF('4 SUPERFICIES'!$E$11:$E$56,'4 SUPERFICIES'!$AG$12,FORMULAS!BH$202:BH$247)</f>
        <v>0</v>
      </c>
      <c r="BI250" s="838">
        <f>SUMIF('4 SUPERFICIES'!$E$11:$E$56,'4 SUPERFICIES'!$AG$12,FORMULAS!BI$202:BI$247)</f>
        <v>0</v>
      </c>
      <c r="BJ250" s="838">
        <f>SUMIF('4 SUPERFICIES'!$E$11:$E$56,'4 SUPERFICIES'!$AG$12,FORMULAS!BJ$202:BJ$247)</f>
        <v>0</v>
      </c>
      <c r="BK250" s="838">
        <f>SUMIF('4 SUPERFICIES'!$E$11:$E$56,'4 SUPERFICIES'!$AG$12,FORMULAS!BK$202:BK$247)</f>
        <v>0</v>
      </c>
      <c r="BL250" s="838">
        <f>SUMIF('4 SUPERFICIES'!$E$11:$E$56,'4 SUPERFICIES'!$AG$12,FORMULAS!BL$202:BL$247)</f>
        <v>0</v>
      </c>
      <c r="BM250" s="838">
        <f>SUMIF('4 SUPERFICIES'!$E$11:$E$56,'4 SUPERFICIES'!$AG$12,FORMULAS!BM$202:BM$247)</f>
        <v>0</v>
      </c>
      <c r="BO250" s="869" t="s">
        <v>523</v>
      </c>
      <c r="BQ250" s="870">
        <f>+$AW$249</f>
        <v>0</v>
      </c>
      <c r="BS250" s="869"/>
      <c r="BT250" s="870">
        <f>+$AW$252</f>
        <v>0</v>
      </c>
      <c r="BV250" s="838">
        <f>SUMIF('4 SUPERFICIES'!$E$11:$E$56,'4 SUPERFICIES'!$AG$12,FORMULAS!BV$202:BV$247)</f>
        <v>0</v>
      </c>
      <c r="BW250" s="838">
        <f>SUMIF('4 SUPERFICIES'!$E$11:$E$56,'4 SUPERFICIES'!$AG$12,FORMULAS!BW$202:BW$247)</f>
        <v>0</v>
      </c>
      <c r="BX250" s="838">
        <f>SUMIF('4 SUPERFICIES'!$E$11:$E$56,'4 SUPERFICIES'!$AG$12,FORMULAS!BX$202:BX$247)</f>
        <v>0</v>
      </c>
      <c r="BY250" s="838">
        <f>SUMIF('4 SUPERFICIES'!$E$11:$E$56,'4 SUPERFICIES'!$AG$12,FORMULAS!BY$202:BY$247)</f>
        <v>0</v>
      </c>
      <c r="BZ250" s="838">
        <f>SUMIF('4 SUPERFICIES'!$E$11:$E$56,'4 SUPERFICIES'!$AG$12,FORMULAS!BZ$202:BZ$247)</f>
        <v>0</v>
      </c>
      <c r="CA250" s="838">
        <f>SUMIF('4 SUPERFICIES'!$E$11:$E$56,'4 SUPERFICIES'!$AG$12,FORMULAS!CA$202:CA$247)</f>
        <v>0</v>
      </c>
      <c r="CB250" s="838">
        <f>SUMIF('4 SUPERFICIES'!$E$11:$E$56,'4 SUPERFICIES'!$AG$12,FORMULAS!CB$202:CB$247)</f>
        <v>0</v>
      </c>
      <c r="CC250" s="838">
        <f>SUMIF('4 SUPERFICIES'!$E$11:$E$56,'4 SUPERFICIES'!$AG$12,FORMULAS!CC$202:CC$247)</f>
        <v>0</v>
      </c>
      <c r="CD250" s="838">
        <f>SUMIF('4 SUPERFICIES'!$E$11:$E$56,'4 SUPERFICIES'!$AG$12,FORMULAS!CD$202:CD$247)</f>
        <v>0</v>
      </c>
      <c r="CE250" s="838"/>
      <c r="CF250" s="838">
        <f>SUMIF('4 SUPERFICIES'!$E$11:$E$56,'4 SUPERFICIES'!$AG$12,FORMULAS!CF$202:CF$247)</f>
        <v>0</v>
      </c>
      <c r="CG250" s="838">
        <f>SUMIF('4 SUPERFICIES'!$E$11:$E$56,'4 SUPERFICIES'!$AG$12,FORMULAS!CG$202:CG$247)</f>
        <v>0</v>
      </c>
      <c r="CH250" s="838">
        <f>SUMIF('4 SUPERFICIES'!$E$11:$E$56,'4 SUPERFICIES'!$AG$12,FORMULAS!CH$202:CH$247)</f>
        <v>0</v>
      </c>
      <c r="CI250" s="838">
        <f>SUMIF('4 SUPERFICIES'!$E$11:$E$56,'4 SUPERFICIES'!$AG$12,FORMULAS!CI$202:CI$247)</f>
        <v>0</v>
      </c>
      <c r="CJ250" s="838">
        <f>SUMIF('4 SUPERFICIES'!$E$11:$E$56,'4 SUPERFICIES'!$AG$12,FORMULAS!CJ$202:CJ$247)</f>
        <v>0</v>
      </c>
      <c r="CK250" s="838">
        <f>SUMIF('4 SUPERFICIES'!$E$11:$E$56,'4 SUPERFICIES'!$AG$12,FORMULAS!CK$202:CK$247)</f>
        <v>0</v>
      </c>
      <c r="CL250" s="838">
        <f>SUMIF('4 SUPERFICIES'!$E$11:$E$56,'4 SUPERFICIES'!$AG$12,FORMULAS!CL$202:CL$247)</f>
        <v>0</v>
      </c>
      <c r="CM250" s="838"/>
      <c r="CN250" s="838">
        <f>SUMIF('4 SUPERFICIES'!$E$11:$E$56,'4 SUPERFICIES'!$AG$12,FORMULAS!CN$202:CN$247)</f>
        <v>0</v>
      </c>
      <c r="CO250" s="838">
        <f>SUMIF('4 SUPERFICIES'!$E$11:$E$56,'4 SUPERFICIES'!$AG$12,FORMULAS!CO$202:CO$247)</f>
        <v>0</v>
      </c>
      <c r="CP250" s="852"/>
      <c r="CQ250" s="838">
        <f>SUMIF('4 SUPERFICIES'!$E$11:$E$56,'4 SUPERFICIES'!$AG$12,FORMULAS!CQ$202:CQ$247)</f>
        <v>0</v>
      </c>
      <c r="CR250" s="838">
        <f>SUMIF('4 SUPERFICIES'!$E$11:$E$56,'4 SUPERFICIES'!$AG$12,FORMULAS!CR$202:CR$247)</f>
        <v>0</v>
      </c>
      <c r="CS250" s="838"/>
      <c r="CT250" s="838">
        <f>SUMIF('4 SUPERFICIES'!$E$11:$E$56,'4 SUPERFICIES'!$AG$12,FORMULAS!CT$202:CT$247)</f>
        <v>0</v>
      </c>
      <c r="CU250" s="838"/>
      <c r="CV250" s="838">
        <f>SUMIF('4 SUPERFICIES'!$E$11:$E$56,'4 SUPERFICIES'!$AG$12,FORMULAS!CV$202:CV$247)</f>
        <v>0</v>
      </c>
      <c r="CW250" s="838"/>
      <c r="CX250" s="858"/>
      <c r="CY250" s="838"/>
      <c r="CZ250" s="838">
        <f>SUMIF('4 SUPERFICIES'!$E$11:$E$56,'4 SUPERFICIES'!$AG$12,FORMULAS!CZ$202:CZ$247)</f>
        <v>0</v>
      </c>
      <c r="DA250" s="838"/>
      <c r="DB250" s="838">
        <f>SUMIF('4 SUPERFICIES'!$E$11:$E$56,'4 SUPERFICIES'!$AG$12,FORMULAS!DB$202:DB$247)</f>
        <v>0</v>
      </c>
      <c r="DC250" s="838"/>
      <c r="DD250" s="838">
        <f>SUMIF('4 SUPERFICIES'!$E$11:$E$56,'4 SUPERFICIES'!$AG$12,FORMULAS!DD$202:DD$247)</f>
        <v>0</v>
      </c>
      <c r="DE250" s="858"/>
      <c r="DF250" s="838">
        <f>SUMIF('4 SUPERFICIES'!$E$11:$E$56,'4 SUPERFICIES'!$AG$12,FORMULAS!DF$202:DF$247)</f>
        <v>0</v>
      </c>
      <c r="DG250" s="858"/>
      <c r="DH250" s="838">
        <f>SUMIF('4 SUPERFICIES'!$E$11:$E$56,'4 SUPERFICIES'!$AG$12,FORMULAS!DH$202:DH$247)</f>
        <v>0</v>
      </c>
      <c r="DI250" s="838"/>
      <c r="DJ250" s="858"/>
      <c r="DK250" s="858"/>
      <c r="DL250" s="838">
        <f>SUMIF('4 SUPERFICIES'!$E$11:$E$56,'4 SUPERFICIES'!$AG$12,FORMULAS!DL$202:DL$247)</f>
        <v>0</v>
      </c>
      <c r="DM250" s="838"/>
      <c r="DN250" s="838"/>
      <c r="DO250" s="838"/>
      <c r="DP250" s="838"/>
      <c r="DQ250" s="838"/>
      <c r="DR250" s="838"/>
      <c r="DS250" s="838"/>
      <c r="DT250" s="838"/>
      <c r="DU250" s="838"/>
      <c r="DV250" s="838"/>
      <c r="DW250" s="838"/>
      <c r="DX250" s="838"/>
      <c r="DY250" s="838"/>
      <c r="DZ250" s="838"/>
      <c r="EA250" s="838"/>
      <c r="EB250" s="838"/>
      <c r="EC250" s="838"/>
      <c r="ED250" s="838"/>
      <c r="EE250" s="852"/>
      <c r="EP250" s="838"/>
      <c r="EQ250" s="858"/>
      <c r="ER250" s="838"/>
      <c r="ES250" s="858"/>
      <c r="ET250" s="858"/>
      <c r="EU250" s="858"/>
      <c r="EV250" s="858"/>
      <c r="EW250" s="838"/>
      <c r="EX250" s="838"/>
      <c r="EY250" s="838"/>
      <c r="EZ250" s="838"/>
      <c r="FA250" s="838"/>
      <c r="FB250" s="838"/>
      <c r="FC250" s="838"/>
      <c r="FD250" s="838"/>
      <c r="FE250" s="838"/>
      <c r="FF250" s="838"/>
      <c r="FG250" s="838"/>
      <c r="FH250" s="838"/>
      <c r="FI250" s="838"/>
      <c r="FJ250" s="838"/>
      <c r="FK250" s="838"/>
      <c r="FL250" s="838"/>
      <c r="FM250" s="838"/>
      <c r="FN250" s="838"/>
      <c r="FO250" s="838"/>
      <c r="FP250" s="838"/>
      <c r="GM250" s="858"/>
      <c r="GN250" s="838"/>
      <c r="GO250" s="858"/>
      <c r="GP250" s="858"/>
      <c r="GQ250" s="858"/>
      <c r="GR250" s="838"/>
      <c r="GS250" s="838"/>
      <c r="HF250" s="700">
        <v>34</v>
      </c>
      <c r="HH250" s="591">
        <v>34</v>
      </c>
    </row>
    <row r="251" spans="4:216" ht="26.25" x14ac:dyDescent="0.4">
      <c r="AK251" s="838">
        <f>SUMIF('4 SUPERFICIES'!$E$11:$E$56,'4 SUPERFICIES'!$AG$13,FORMULAS!AK$202:AK$247)</f>
        <v>0</v>
      </c>
      <c r="AL251" s="838">
        <f>SUMIF('4 SUPERFICIES'!$E$11:$E$56,'4 SUPERFICIES'!$AG$13,FORMULAS!AL$202:AL$247)</f>
        <v>0</v>
      </c>
      <c r="AM251" s="838">
        <f>SUMIF('4 SUPERFICIES'!$E$11:$E$56,'4 SUPERFICIES'!$AG$13,FORMULAS!AM$202:AM$247)</f>
        <v>0</v>
      </c>
      <c r="AN251" s="838">
        <f>SUMIF('4 SUPERFICIES'!$E$11:$E$56,'4 SUPERFICIES'!$AG$13,FORMULAS!AN$202:AN$247)</f>
        <v>0</v>
      </c>
      <c r="AO251" s="838">
        <f>SUMIF('4 SUPERFICIES'!$E$11:$E$56,'4 SUPERFICIES'!$AG$13,FORMULAS!AO$202:AO$247)</f>
        <v>0</v>
      </c>
      <c r="AP251" s="838">
        <f>SUMIF('4 SUPERFICIES'!$E$11:$E$56,'4 SUPERFICIES'!$AG$13,FORMULAS!AP$202:AP$247)</f>
        <v>0</v>
      </c>
      <c r="AQ251" s="838">
        <f>SUMIF('4 SUPERFICIES'!$E$11:$E$56,'4 SUPERFICIES'!$AG$13,FORMULAS!AQ$202:AQ$247)</f>
        <v>0</v>
      </c>
      <c r="AR251" s="838"/>
      <c r="AS251" s="838">
        <f>SUMIF('4 SUPERFICIES'!$E$11:$E$56,'4 SUPERFICIES'!$AG$13,FORMULAS!AS$202:AS$247)</f>
        <v>0</v>
      </c>
      <c r="AT251" s="838">
        <f>SUMIF('4 SUPERFICIES'!$E$11:$E$56,'4 SUPERFICIES'!$AG$13,FORMULAS!AT$202:AT$247)</f>
        <v>0</v>
      </c>
      <c r="AU251" s="838">
        <f>SUMIF('4 SUPERFICIES'!$E$11:$E$56,'4 SUPERFICIES'!$AG$13,FORMULAS!AU$202:AU$247)</f>
        <v>0</v>
      </c>
      <c r="AV251" s="838">
        <f>SUMIF('4 SUPERFICIES'!$E$11:$E$56,'4 SUPERFICIES'!$AG$13,FORMULAS!AV$202:AV$247)</f>
        <v>0</v>
      </c>
      <c r="AW251" s="838">
        <f>SUMIF('4 SUPERFICIES'!$E$11:$E$56,'4 SUPERFICIES'!$AG$13,FORMULAS!AW$202:AW$247)</f>
        <v>0</v>
      </c>
      <c r="AX251" s="838">
        <f>SUMIF('4 SUPERFICIES'!$E$11:$E$56,'4 SUPERFICIES'!$AG$13,FORMULAS!AX$202:AX$247)</f>
        <v>0</v>
      </c>
      <c r="AY251" s="838">
        <f>SUMIF('4 SUPERFICIES'!$E$11:$E$56,'4 SUPERFICIES'!$AG$13,FORMULAS!AY$202:AY$247)</f>
        <v>0</v>
      </c>
      <c r="AZ251" s="838"/>
      <c r="BA251" s="838">
        <f>SUMIF('4 SUPERFICIES'!$E$11:$E$56,'4 SUPERFICIES'!$AG$13,FORMULAS!BA$202:BA$247)</f>
        <v>0</v>
      </c>
      <c r="BB251" s="838">
        <f>SUMIF('4 SUPERFICIES'!$E$11:$E$56,'4 SUPERFICIES'!$AG$13,FORMULAS!BB$202:BB$247)</f>
        <v>0</v>
      </c>
      <c r="BC251" s="838">
        <f>SUMIF('4 SUPERFICIES'!$E$11:$E$56,'4 SUPERFICIES'!$AG$13,FORMULAS!BC$202:BC$247)</f>
        <v>0</v>
      </c>
      <c r="BD251" s="838">
        <f>SUMIF('4 SUPERFICIES'!$E$11:$E$56,'4 SUPERFICIES'!$AG$13,FORMULAS!BD$202:BD$247)</f>
        <v>0</v>
      </c>
      <c r="BE251" s="838">
        <f>SUMIF('4 SUPERFICIES'!$E$11:$E$56,'4 SUPERFICIES'!$AG$13,FORMULAS!BE$202:BE$247)</f>
        <v>0</v>
      </c>
      <c r="BF251" s="838">
        <f>SUMIF('4 SUPERFICIES'!$E$11:$E$56,'4 SUPERFICIES'!$AG$13,FORMULAS!BF$202:BF$247)</f>
        <v>0</v>
      </c>
      <c r="BG251" s="838">
        <f>SUMIF('4 SUPERFICIES'!$E$11:$E$56,'4 SUPERFICIES'!$AG$13,FORMULAS!BG$202:BG$247)</f>
        <v>0</v>
      </c>
      <c r="BH251" s="838">
        <f>SUMIF('4 SUPERFICIES'!$E$11:$E$56,'4 SUPERFICIES'!$AG$13,FORMULAS!BH$202:BH$247)</f>
        <v>0</v>
      </c>
      <c r="BI251" s="838">
        <f>SUMIF('4 SUPERFICIES'!$E$11:$E$56,'4 SUPERFICIES'!$AG$13,FORMULAS!BI$202:BI$247)</f>
        <v>0</v>
      </c>
      <c r="BJ251" s="838">
        <f>SUMIF('4 SUPERFICIES'!$E$11:$E$56,'4 SUPERFICIES'!$AG$13,FORMULAS!BJ$202:BJ$247)</f>
        <v>0</v>
      </c>
      <c r="BK251" s="838">
        <f>SUMIF('4 SUPERFICIES'!$E$11:$E$56,'4 SUPERFICIES'!$AG$13,FORMULAS!BK$202:BK$247)</f>
        <v>0</v>
      </c>
      <c r="BL251" s="838">
        <f>SUMIF('4 SUPERFICIES'!$E$11:$E$56,'4 SUPERFICIES'!$AG$13,FORMULAS!BL$202:BL$247)</f>
        <v>0</v>
      </c>
      <c r="BM251" s="838">
        <f>SUMIF('4 SUPERFICIES'!$E$11:$E$56,'4 SUPERFICIES'!$AG$13,FORMULAS!BM$202:BM$247)</f>
        <v>0</v>
      </c>
      <c r="BO251" s="869" t="s">
        <v>525</v>
      </c>
      <c r="BQ251" s="870">
        <f>+$BA$249</f>
        <v>0</v>
      </c>
      <c r="BS251" s="869"/>
      <c r="BT251" s="870">
        <f>+$BA$252</f>
        <v>0</v>
      </c>
      <c r="BV251" s="838">
        <f>SUMIF('4 SUPERFICIES'!$E$11:$E$56,'4 SUPERFICIES'!$AG$13,FORMULAS!BV$202:BV$247)</f>
        <v>0</v>
      </c>
      <c r="BW251" s="838">
        <f>SUMIF('4 SUPERFICIES'!$E$11:$E$56,'4 SUPERFICIES'!$AG$13,FORMULAS!BW$202:BW$247)</f>
        <v>0</v>
      </c>
      <c r="BX251" s="838">
        <f>SUMIF('4 SUPERFICIES'!$E$11:$E$56,'4 SUPERFICIES'!$AG$13,FORMULAS!BX$202:BX$247)</f>
        <v>0</v>
      </c>
      <c r="BY251" s="838">
        <f>SUMIF('4 SUPERFICIES'!$E$11:$E$56,'4 SUPERFICIES'!$AG$13,FORMULAS!BY$202:BY$247)</f>
        <v>0</v>
      </c>
      <c r="BZ251" s="838">
        <f>SUMIF('4 SUPERFICIES'!$E$11:$E$56,'4 SUPERFICIES'!$AG$13,FORMULAS!BZ$202:BZ$247)</f>
        <v>0</v>
      </c>
      <c r="CA251" s="838">
        <f>SUMIF('4 SUPERFICIES'!$E$11:$E$56,'4 SUPERFICIES'!$AG$13,FORMULAS!CA$202:CA$247)</f>
        <v>0</v>
      </c>
      <c r="CB251" s="838">
        <f>SUMIF('4 SUPERFICIES'!$E$11:$E$56,'4 SUPERFICIES'!$AG$13,FORMULAS!CB$202:CB$247)</f>
        <v>0</v>
      </c>
      <c r="CC251" s="838">
        <f>SUMIF('4 SUPERFICIES'!$E$11:$E$56,'4 SUPERFICIES'!$AG$13,FORMULAS!CC$202:CC$247)</f>
        <v>0</v>
      </c>
      <c r="CD251" s="838">
        <f>SUMIF('4 SUPERFICIES'!$E$11:$E$56,'4 SUPERFICIES'!$AG$13,FORMULAS!CD$202:CD$247)</f>
        <v>0</v>
      </c>
      <c r="CE251" s="838"/>
      <c r="CF251" s="838">
        <f>SUMIF('4 SUPERFICIES'!$E$11:$E$56,'4 SUPERFICIES'!$AG$13,FORMULAS!CF$202:CF$247)</f>
        <v>0</v>
      </c>
      <c r="CG251" s="838">
        <f>SUMIF('4 SUPERFICIES'!$E$11:$E$56,'4 SUPERFICIES'!$AG$13,FORMULAS!CG$202:CG$247)</f>
        <v>0</v>
      </c>
      <c r="CH251" s="838">
        <f>SUMIF('4 SUPERFICIES'!$E$11:$E$56,'4 SUPERFICIES'!$AG$13,FORMULAS!CH$202:CH$247)</f>
        <v>0</v>
      </c>
      <c r="CI251" s="838">
        <f>SUMIF('4 SUPERFICIES'!$E$11:$E$56,'4 SUPERFICIES'!$AG$13,FORMULAS!CI$202:CI$247)</f>
        <v>0</v>
      </c>
      <c r="CJ251" s="838">
        <f>SUMIF('4 SUPERFICIES'!$E$11:$E$56,'4 SUPERFICIES'!$AG$13,FORMULAS!CJ$202:CJ$247)</f>
        <v>0</v>
      </c>
      <c r="CK251" s="838">
        <f>SUMIF('4 SUPERFICIES'!$E$11:$E$56,'4 SUPERFICIES'!$AG$13,FORMULAS!CK$202:CK$247)</f>
        <v>0</v>
      </c>
      <c r="CL251" s="838">
        <f>SUMIF('4 SUPERFICIES'!$E$11:$E$56,'4 SUPERFICIES'!$AG$13,FORMULAS!CL$202:CL$247)</f>
        <v>0</v>
      </c>
      <c r="CM251" s="838"/>
      <c r="CN251" s="838">
        <f>SUMIF('4 SUPERFICIES'!$E$11:$E$56,'4 SUPERFICIES'!$AG$13,FORMULAS!CN$202:CN$247)</f>
        <v>0</v>
      </c>
      <c r="CO251" s="838">
        <f>SUMIF('4 SUPERFICIES'!$E$11:$E$56,'4 SUPERFICIES'!$AG$13,FORMULAS!CO$202:CO$247)</f>
        <v>0</v>
      </c>
      <c r="CP251" s="852"/>
      <c r="CQ251" s="838">
        <f>SUMIF('4 SUPERFICIES'!$E$11:$E$56,'4 SUPERFICIES'!$AG$13,FORMULAS!CQ$202:CQ$247)</f>
        <v>0</v>
      </c>
      <c r="CR251" s="838">
        <f>SUMIF('4 SUPERFICIES'!$E$11:$E$56,'4 SUPERFICIES'!$AG$13,FORMULAS!CR$202:CR$247)</f>
        <v>0</v>
      </c>
      <c r="CS251" s="838"/>
      <c r="CT251" s="838">
        <f>SUMIF('4 SUPERFICIES'!$E$11:$E$56,'4 SUPERFICIES'!$AG$13,FORMULAS!CT$202:CT$247)</f>
        <v>0</v>
      </c>
      <c r="CU251" s="838"/>
      <c r="CV251" s="838">
        <f>SUMIF('4 SUPERFICIES'!$E$11:$E$56,'4 SUPERFICIES'!$AG$13,FORMULAS!CV$202:CV$247)</f>
        <v>0</v>
      </c>
      <c r="CW251" s="838"/>
      <c r="CX251" s="858"/>
      <c r="CY251" s="838"/>
      <c r="CZ251" s="838">
        <f>SUMIF('4 SUPERFICIES'!$E$11:$E$56,'4 SUPERFICIES'!$AG$13,FORMULAS!CZ$202:CZ$247)</f>
        <v>0</v>
      </c>
      <c r="DA251" s="838"/>
      <c r="DB251" s="838">
        <f>SUMIF('4 SUPERFICIES'!$E$11:$E$56,'4 SUPERFICIES'!$AG$13,FORMULAS!DB$202:DB$247)</f>
        <v>0</v>
      </c>
      <c r="DC251" s="838"/>
      <c r="DD251" s="838">
        <f>SUMIF('4 SUPERFICIES'!$E$11:$E$56,'4 SUPERFICIES'!$AG$13,FORMULAS!DD$202:DD$247)</f>
        <v>0</v>
      </c>
      <c r="DE251" s="858"/>
      <c r="DF251" s="838">
        <f>SUMIF('4 SUPERFICIES'!$E$11:$E$56,'4 SUPERFICIES'!$AG$13,FORMULAS!DF$202:DF$247)</f>
        <v>0</v>
      </c>
      <c r="DG251" s="858"/>
      <c r="DH251" s="838">
        <f>SUMIF('4 SUPERFICIES'!$E$11:$E$56,'4 SUPERFICIES'!$AG$13,FORMULAS!DH$202:DH$247)</f>
        <v>0</v>
      </c>
      <c r="DI251" s="838"/>
      <c r="DJ251" s="858"/>
      <c r="DK251" s="858"/>
      <c r="DL251" s="838">
        <f>SUMIF('4 SUPERFICIES'!$E$11:$E$56,'4 SUPERFICIES'!$AG$13,FORMULAS!DL$202:DL$247)</f>
        <v>0</v>
      </c>
      <c r="DM251" s="838"/>
      <c r="DN251" s="838"/>
      <c r="DO251" s="838"/>
      <c r="DP251" s="838"/>
      <c r="DQ251" s="838"/>
      <c r="DR251" s="838"/>
      <c r="DS251" s="838"/>
      <c r="DT251" s="838"/>
      <c r="DU251" s="838"/>
      <c r="DV251" s="838"/>
      <c r="DW251" s="838"/>
      <c r="DX251" s="838"/>
      <c r="DY251" s="838"/>
      <c r="DZ251" s="838"/>
      <c r="EA251" s="838"/>
      <c r="EB251" s="838"/>
      <c r="EC251" s="838"/>
      <c r="ED251" s="838"/>
      <c r="EE251" s="852"/>
      <c r="EP251" s="838"/>
      <c r="EQ251" s="858"/>
      <c r="ER251" s="838"/>
      <c r="ES251" s="858"/>
      <c r="ET251" s="858"/>
      <c r="EU251" s="858"/>
      <c r="EV251" s="858"/>
      <c r="EW251" s="838"/>
      <c r="EX251" s="838"/>
      <c r="EY251" s="838"/>
      <c r="EZ251" s="838"/>
      <c r="FA251" s="838"/>
      <c r="FB251" s="838"/>
      <c r="FC251" s="838"/>
      <c r="FD251" s="838"/>
      <c r="FE251" s="838"/>
      <c r="FF251" s="838"/>
      <c r="FG251" s="838"/>
      <c r="FH251" s="838"/>
      <c r="FI251" s="838"/>
      <c r="FJ251" s="838"/>
      <c r="FK251" s="838"/>
      <c r="FL251" s="838"/>
      <c r="FM251" s="838"/>
      <c r="FN251" s="838"/>
      <c r="FO251" s="838"/>
      <c r="FP251" s="838"/>
      <c r="GM251" s="858"/>
      <c r="GN251" s="838"/>
      <c r="GO251" s="858"/>
      <c r="GP251" s="838"/>
      <c r="GQ251" s="858"/>
      <c r="GR251" s="838"/>
      <c r="GS251" s="838"/>
      <c r="HF251" s="700">
        <v>34.5</v>
      </c>
      <c r="HH251" s="591">
        <v>34.5</v>
      </c>
    </row>
    <row r="252" spans="4:216" ht="26.25" x14ac:dyDescent="0.4">
      <c r="AK252" s="838">
        <f>SUMIF('4 SUPERFICIES'!$E$11:$E$56,'4 SUPERFICIES'!$AG$14,FORMULAS!AK$202:AK$247)</f>
        <v>0</v>
      </c>
      <c r="AL252" s="838">
        <f>SUMIF('4 SUPERFICIES'!$E$11:$E$56,'4 SUPERFICIES'!$AG$14,FORMULAS!AL$202:AL$247)</f>
        <v>0</v>
      </c>
      <c r="AM252" s="838">
        <f>SUMIF('4 SUPERFICIES'!$E$11:$E$56,'4 SUPERFICIES'!$AG$14,FORMULAS!AM$202:AM$247)</f>
        <v>0</v>
      </c>
      <c r="AN252" s="838">
        <f>SUMIF('4 SUPERFICIES'!$E$11:$E$56,'4 SUPERFICIES'!$AG$14,FORMULAS!AN$202:AN$247)</f>
        <v>0</v>
      </c>
      <c r="AO252" s="838">
        <f>SUMIF('4 SUPERFICIES'!$E$11:$E$56,'4 SUPERFICIES'!$AG$14,FORMULAS!AO$202:AO$247)</f>
        <v>0</v>
      </c>
      <c r="AP252" s="838">
        <f>SUMIF('4 SUPERFICIES'!$E$11:$E$56,'4 SUPERFICIES'!$AG$14,FORMULAS!AP$202:AP$247)</f>
        <v>0</v>
      </c>
      <c r="AQ252" s="838">
        <f>SUMIF('4 SUPERFICIES'!$E$11:$E$56,'4 SUPERFICIES'!$AG$14,FORMULAS!AQ$202:AQ$247)</f>
        <v>0</v>
      </c>
      <c r="AR252" s="838"/>
      <c r="AS252" s="838">
        <f>SUMIF('4 SUPERFICIES'!$E$11:$E$56,'4 SUPERFICIES'!$AG$14,FORMULAS!AS$202:AS$247)</f>
        <v>0</v>
      </c>
      <c r="AT252" s="838">
        <f>SUMIF('4 SUPERFICIES'!$E$11:$E$56,'4 SUPERFICIES'!$AG$14,FORMULAS!AT$202:AT$247)</f>
        <v>0</v>
      </c>
      <c r="AU252" s="838">
        <f>SUMIF('4 SUPERFICIES'!$E$11:$E$56,'4 SUPERFICIES'!$AG$14,FORMULAS!AU$202:AU$247)</f>
        <v>0</v>
      </c>
      <c r="AV252" s="838">
        <f>SUMIF('4 SUPERFICIES'!$E$11:$E$56,'4 SUPERFICIES'!$AG$14,FORMULAS!AV$202:AV$247)</f>
        <v>0</v>
      </c>
      <c r="AW252" s="838">
        <f>SUMIF('4 SUPERFICIES'!$E$11:$E$56,'4 SUPERFICIES'!$AG$14,FORMULAS!AW$202:AW$247)</f>
        <v>0</v>
      </c>
      <c r="AX252" s="838">
        <f>SUMIF('4 SUPERFICIES'!$E$11:$E$56,'4 SUPERFICIES'!$AG$14,FORMULAS!AX$202:AX$247)</f>
        <v>0</v>
      </c>
      <c r="AY252" s="838">
        <f>SUMIF('4 SUPERFICIES'!$E$11:$E$56,'4 SUPERFICIES'!$AG$14,FORMULAS!AY$202:AY$247)</f>
        <v>0</v>
      </c>
      <c r="AZ252" s="838"/>
      <c r="BA252" s="838">
        <f>SUMIF('4 SUPERFICIES'!$E$11:$E$56,'4 SUPERFICIES'!$AG$14,FORMULAS!BA$202:BA$247)</f>
        <v>0</v>
      </c>
      <c r="BB252" s="838">
        <f>SUMIF('4 SUPERFICIES'!$E$11:$E$56,'4 SUPERFICIES'!$AG$14,FORMULAS!BB$202:BB$247)</f>
        <v>0</v>
      </c>
      <c r="BC252" s="838">
        <f>SUMIF('4 SUPERFICIES'!$E$11:$E$56,'4 SUPERFICIES'!$AG$14,FORMULAS!BC$202:BC$247)</f>
        <v>0</v>
      </c>
      <c r="BD252" s="838">
        <f>SUMIF('4 SUPERFICIES'!$E$11:$E$56,'4 SUPERFICIES'!$AG$14,FORMULAS!BD$202:BD$247)</f>
        <v>0</v>
      </c>
      <c r="BE252" s="838">
        <f>SUMIF('4 SUPERFICIES'!$E$11:$E$56,'4 SUPERFICIES'!$AG$14,FORMULAS!BE$202:BE$247)</f>
        <v>0</v>
      </c>
      <c r="BF252" s="838">
        <f>SUMIF('4 SUPERFICIES'!$E$11:$E$56,'4 SUPERFICIES'!$AG$14,FORMULAS!BF$202:BF$247)</f>
        <v>0</v>
      </c>
      <c r="BG252" s="838">
        <f>SUMIF('4 SUPERFICIES'!$E$11:$E$56,'4 SUPERFICIES'!$AG$14,FORMULAS!BG$202:BG$247)</f>
        <v>0</v>
      </c>
      <c r="BH252" s="838">
        <f>SUMIF('4 SUPERFICIES'!$E$11:$E$56,'4 SUPERFICIES'!$AG$14,FORMULAS!BH$202:BH$247)</f>
        <v>0</v>
      </c>
      <c r="BI252" s="838">
        <f>SUMIF('4 SUPERFICIES'!$E$11:$E$56,'4 SUPERFICIES'!$AG$14,FORMULAS!BI$202:BI$247)</f>
        <v>0</v>
      </c>
      <c r="BJ252" s="838">
        <f>SUMIF('4 SUPERFICIES'!$E$11:$E$56,'4 SUPERFICIES'!$AG$14,FORMULAS!BJ$202:BJ$247)</f>
        <v>0</v>
      </c>
      <c r="BK252" s="838">
        <f>SUMIF('4 SUPERFICIES'!$E$11:$E$56,'4 SUPERFICIES'!$AG$14,FORMULAS!BK$202:BK$247)</f>
        <v>0</v>
      </c>
      <c r="BL252" s="838">
        <f>SUMIF('4 SUPERFICIES'!$E$11:$E$56,'4 SUPERFICIES'!$AG$14,FORMULAS!BL$202:BL$247)</f>
        <v>0</v>
      </c>
      <c r="BM252" s="838">
        <f>SUMIF('4 SUPERFICIES'!$E$11:$E$56,'4 SUPERFICIES'!$AG$14,FORMULAS!BM$202:BM$247)</f>
        <v>0</v>
      </c>
      <c r="BO252" s="869" t="s">
        <v>528</v>
      </c>
      <c r="BQ252" s="870">
        <f>+$BB$249+$CG$249*2</f>
        <v>0</v>
      </c>
      <c r="BS252" s="869"/>
      <c r="BT252" s="870">
        <f>+$BB$252+$CG$252*2</f>
        <v>0</v>
      </c>
      <c r="BV252" s="838">
        <f>SUMIF('4 SUPERFICIES'!$E$11:$E$56,'4 SUPERFICIES'!$AG$14,FORMULAS!BV$202:BV$247)</f>
        <v>0</v>
      </c>
      <c r="BW252" s="838">
        <f>SUMIF('4 SUPERFICIES'!$E$11:$E$56,'4 SUPERFICIES'!$AG$14,FORMULAS!BW$202:BW$247)</f>
        <v>0</v>
      </c>
      <c r="BX252" s="838">
        <f>SUMIF('4 SUPERFICIES'!$E$11:$E$56,'4 SUPERFICIES'!$AG$14,FORMULAS!BX$202:BX$247)</f>
        <v>0</v>
      </c>
      <c r="BY252" s="838">
        <f>SUMIF('4 SUPERFICIES'!$E$11:$E$56,'4 SUPERFICIES'!$AG$14,FORMULAS!BY$202:BY$247)</f>
        <v>0</v>
      </c>
      <c r="BZ252" s="838">
        <f>SUMIF('4 SUPERFICIES'!$E$11:$E$56,'4 SUPERFICIES'!$AG$14,FORMULAS!BZ$202:BZ$247)</f>
        <v>0</v>
      </c>
      <c r="CA252" s="838">
        <f>SUMIF('4 SUPERFICIES'!$E$11:$E$56,'4 SUPERFICIES'!$AG$14,FORMULAS!CA$202:CA$247)</f>
        <v>0</v>
      </c>
      <c r="CB252" s="838">
        <f>SUMIF('4 SUPERFICIES'!$E$11:$E$56,'4 SUPERFICIES'!$AG$14,FORMULAS!CB$202:CB$247)</f>
        <v>0</v>
      </c>
      <c r="CC252" s="838">
        <f>SUMIF('4 SUPERFICIES'!$E$11:$E$56,'4 SUPERFICIES'!$AG$14,FORMULAS!CC$202:CC$247)</f>
        <v>0</v>
      </c>
      <c r="CD252" s="838">
        <f>SUMIF('4 SUPERFICIES'!$E$11:$E$56,'4 SUPERFICIES'!$AG$14,FORMULAS!CD$202:CD$247)</f>
        <v>0</v>
      </c>
      <c r="CE252" s="838"/>
      <c r="CF252" s="838">
        <f>SUMIF('4 SUPERFICIES'!$E$11:$E$56,'4 SUPERFICIES'!$AG$14,FORMULAS!CF$202:CF$247)</f>
        <v>0</v>
      </c>
      <c r="CG252" s="838">
        <f>SUMIF('4 SUPERFICIES'!$E$11:$E$56,'4 SUPERFICIES'!$AG$14,FORMULAS!CG$202:CG$247)</f>
        <v>0</v>
      </c>
      <c r="CH252" s="838">
        <f>SUMIF('4 SUPERFICIES'!$E$11:$E$56,'4 SUPERFICIES'!$AG$14,FORMULAS!CH$202:CH$247)</f>
        <v>0</v>
      </c>
      <c r="CI252" s="838">
        <f>SUMIF('4 SUPERFICIES'!$E$11:$E$56,'4 SUPERFICIES'!$AG$14,FORMULAS!CI$202:CI$247)</f>
        <v>0</v>
      </c>
      <c r="CJ252" s="838">
        <f>SUMIF('4 SUPERFICIES'!$E$11:$E$56,'4 SUPERFICIES'!$AG$14,FORMULAS!CJ$202:CJ$247)</f>
        <v>0</v>
      </c>
      <c r="CK252" s="838">
        <f>SUMIF('4 SUPERFICIES'!$E$11:$E$56,'4 SUPERFICIES'!$AG$14,FORMULAS!CK$202:CK$247)</f>
        <v>0</v>
      </c>
      <c r="CL252" s="838">
        <f>SUMIF('4 SUPERFICIES'!$E$11:$E$56,'4 SUPERFICIES'!$AG$14,FORMULAS!CL$202:CL$247)</f>
        <v>0</v>
      </c>
      <c r="CM252" s="838"/>
      <c r="CN252" s="838">
        <f>SUMIF('4 SUPERFICIES'!$E$11:$E$56,'4 SUPERFICIES'!$AG$14,FORMULAS!CN$202:CN$247)</f>
        <v>0</v>
      </c>
      <c r="CO252" s="838">
        <f>SUMIF('4 SUPERFICIES'!$E$11:$E$56,'4 SUPERFICIES'!$AG$14,FORMULAS!CO$202:CO$247)</f>
        <v>0</v>
      </c>
      <c r="CP252" s="852"/>
      <c r="CQ252" s="838">
        <f>SUMIF('4 SUPERFICIES'!$E$11:$E$56,'4 SUPERFICIES'!$AG$14,FORMULAS!CQ$202:CQ$247)</f>
        <v>0</v>
      </c>
      <c r="CR252" s="838">
        <f>SUMIF('4 SUPERFICIES'!$E$11:$E$56,'4 SUPERFICIES'!$AG$14,FORMULAS!CR$202:CR$247)</f>
        <v>0</v>
      </c>
      <c r="CS252" s="838"/>
      <c r="CT252" s="838">
        <f>SUMIF('4 SUPERFICIES'!$E$11:$E$56,'4 SUPERFICIES'!$AG$14,FORMULAS!CT$202:CT$247)</f>
        <v>0</v>
      </c>
      <c r="CU252" s="838"/>
      <c r="CV252" s="838">
        <f>SUMIF('4 SUPERFICIES'!$E$11:$E$56,'4 SUPERFICIES'!$AG$14,FORMULAS!CV$202:CV$247)</f>
        <v>0</v>
      </c>
      <c r="CW252" s="838"/>
      <c r="CX252" s="858"/>
      <c r="CY252" s="838"/>
      <c r="CZ252" s="838">
        <f>SUMIF('4 SUPERFICIES'!$E$11:$E$56,'4 SUPERFICIES'!$AG$14,FORMULAS!CZ$202:CZ$247)</f>
        <v>0</v>
      </c>
      <c r="DA252" s="838"/>
      <c r="DB252" s="838">
        <f>SUMIF('4 SUPERFICIES'!$E$11:$E$56,'4 SUPERFICIES'!$AG$14,FORMULAS!DB$202:DB$247)</f>
        <v>0</v>
      </c>
      <c r="DC252" s="838"/>
      <c r="DD252" s="838">
        <f>SUMIF('4 SUPERFICIES'!$E$11:$E$56,'4 SUPERFICIES'!$AG$14,FORMULAS!DD$202:DD$247)</f>
        <v>0</v>
      </c>
      <c r="DE252" s="858"/>
      <c r="DF252" s="838">
        <f>SUMIF('4 SUPERFICIES'!$E$11:$E$56,'4 SUPERFICIES'!$AG$14,FORMULAS!DF$202:DF$247)</f>
        <v>0</v>
      </c>
      <c r="DG252" s="858"/>
      <c r="DH252" s="838">
        <f>SUMIF('4 SUPERFICIES'!$E$11:$E$56,'4 SUPERFICIES'!$AG$14,FORMULAS!DH$202:DH$247)</f>
        <v>0</v>
      </c>
      <c r="DI252" s="838"/>
      <c r="DJ252" s="858"/>
      <c r="DK252" s="858"/>
      <c r="DL252" s="838">
        <f>SUMIF('4 SUPERFICIES'!$E$11:$E$56,'4 SUPERFICIES'!$AG$14,FORMULAS!DL$202:DL$247)</f>
        <v>0</v>
      </c>
      <c r="DM252" s="838"/>
      <c r="DN252" s="838"/>
      <c r="DO252" s="838"/>
      <c r="DP252" s="838"/>
      <c r="DQ252" s="852"/>
      <c r="DR252" s="838"/>
      <c r="DS252" s="838"/>
      <c r="DT252" s="838"/>
      <c r="DU252" s="838"/>
      <c r="DV252" s="838"/>
      <c r="DW252" s="838"/>
      <c r="DX252" s="838"/>
      <c r="DY252" s="838"/>
      <c r="DZ252" s="838"/>
      <c r="EA252" s="838"/>
      <c r="EB252" s="838"/>
      <c r="EC252" s="838"/>
      <c r="ED252" s="838"/>
      <c r="EE252" s="852"/>
      <c r="EP252" s="838"/>
      <c r="EQ252" s="858"/>
      <c r="ER252" s="838"/>
      <c r="ES252" s="858"/>
      <c r="ET252" s="858"/>
      <c r="EU252" s="858"/>
      <c r="EV252" s="858"/>
      <c r="EW252" s="838"/>
      <c r="EX252" s="838"/>
      <c r="EY252" s="838"/>
      <c r="EZ252" s="838"/>
      <c r="FA252" s="838"/>
      <c r="FB252" s="838"/>
      <c r="FC252" s="838"/>
      <c r="FD252" s="838"/>
      <c r="FE252" s="838"/>
      <c r="FF252" s="838"/>
      <c r="FG252" s="838"/>
      <c r="FH252" s="838"/>
      <c r="FI252" s="838"/>
      <c r="FJ252" s="838"/>
      <c r="FK252" s="838"/>
      <c r="FL252" s="838"/>
      <c r="FM252" s="838"/>
      <c r="FN252" s="838"/>
      <c r="FO252" s="838"/>
      <c r="FP252" s="838"/>
      <c r="GM252" s="838"/>
      <c r="GN252" s="838"/>
      <c r="GO252" s="838"/>
      <c r="GP252" s="838"/>
      <c r="GQ252" s="838"/>
      <c r="GR252" s="838"/>
      <c r="GS252" s="838"/>
      <c r="HF252" s="700">
        <v>35</v>
      </c>
      <c r="HH252" s="591">
        <v>35</v>
      </c>
    </row>
    <row r="253" spans="4:216" ht="26.25" x14ac:dyDescent="0.4">
      <c r="AK253" s="838"/>
      <c r="AL253" s="838"/>
      <c r="AM253" s="838"/>
      <c r="AN253" s="838"/>
      <c r="AO253" s="838"/>
      <c r="AP253" s="838"/>
      <c r="AQ253" s="838"/>
      <c r="AR253" s="838"/>
      <c r="AS253" s="838"/>
      <c r="AT253" s="838"/>
      <c r="AU253" s="838"/>
      <c r="AV253" s="838"/>
      <c r="AW253" s="838"/>
      <c r="AX253" s="838"/>
      <c r="AY253" s="838"/>
      <c r="AZ253" s="838"/>
      <c r="BA253" s="838"/>
      <c r="BB253" s="838"/>
      <c r="BC253" s="838"/>
      <c r="BD253" s="838"/>
      <c r="BE253" s="838"/>
      <c r="BF253" s="838"/>
      <c r="BG253" s="838"/>
      <c r="BH253" s="838"/>
      <c r="BI253" s="838"/>
      <c r="BJ253" s="838"/>
      <c r="BK253" s="838"/>
      <c r="BL253" s="838"/>
      <c r="BM253" s="838"/>
      <c r="BO253" s="869" t="s">
        <v>530</v>
      </c>
      <c r="BQ253" s="870">
        <f>+$BC$249+$CH$249*2</f>
        <v>0</v>
      </c>
      <c r="BS253" s="869"/>
      <c r="BT253" s="870">
        <f>+$BC$252+$CH$252*2</f>
        <v>0</v>
      </c>
      <c r="BV253" s="838"/>
      <c r="BW253" s="838"/>
      <c r="BX253" s="838"/>
      <c r="BY253" s="838"/>
      <c r="BZ253" s="838"/>
      <c r="CA253" s="838"/>
      <c r="CB253" s="838"/>
      <c r="CC253" s="838"/>
      <c r="CD253" s="838"/>
      <c r="CE253" s="838"/>
      <c r="CF253" s="838"/>
      <c r="CG253" s="838"/>
      <c r="CH253" s="838"/>
      <c r="CI253" s="838"/>
      <c r="CJ253" s="838"/>
      <c r="CK253" s="838"/>
      <c r="CL253" s="838"/>
      <c r="CM253" s="838"/>
      <c r="CN253" s="838"/>
      <c r="CO253" s="838"/>
      <c r="CP253" s="852"/>
      <c r="CQ253" s="838"/>
      <c r="CR253" s="838"/>
      <c r="CS253" s="838"/>
      <c r="CT253" s="858"/>
      <c r="CU253" s="838"/>
      <c r="CV253" s="858"/>
      <c r="CW253" s="838"/>
      <c r="CX253" s="858"/>
      <c r="CY253" s="838"/>
      <c r="CZ253" s="858"/>
      <c r="DA253" s="838"/>
      <c r="DB253" s="858"/>
      <c r="DC253" s="838"/>
      <c r="DD253" s="858"/>
      <c r="DE253" s="858"/>
      <c r="DF253" s="858"/>
      <c r="DG253" s="858"/>
      <c r="DH253" s="858"/>
      <c r="DI253" s="838"/>
      <c r="DJ253" s="858"/>
      <c r="DK253" s="858"/>
      <c r="DL253" s="858"/>
      <c r="DM253" s="838"/>
      <c r="DN253" s="838"/>
      <c r="DQ253" s="852"/>
      <c r="DW253" s="837"/>
      <c r="DX253" s="837"/>
      <c r="DY253" s="837"/>
      <c r="DZ253" s="837"/>
      <c r="EA253" s="838"/>
      <c r="EB253" s="838"/>
      <c r="EC253" s="838"/>
      <c r="ED253" s="838"/>
      <c r="EE253" s="852"/>
      <c r="EP253" s="838"/>
      <c r="EQ253" s="858"/>
      <c r="ER253" s="838"/>
      <c r="ES253" s="858"/>
      <c r="ET253" s="858"/>
      <c r="EU253" s="858"/>
      <c r="EV253" s="838"/>
      <c r="HF253" s="700">
        <v>35.5</v>
      </c>
      <c r="HH253" s="591">
        <v>35.5</v>
      </c>
    </row>
    <row r="254" spans="4:216" ht="26.25" x14ac:dyDescent="0.4">
      <c r="AK254" s="838"/>
      <c r="AL254" s="838"/>
      <c r="AM254" s="838"/>
      <c r="AN254" s="838"/>
      <c r="AO254" s="838"/>
      <c r="AP254" s="838"/>
      <c r="AQ254" s="838"/>
      <c r="AR254" s="838"/>
      <c r="AS254" s="838"/>
      <c r="AT254" s="838"/>
      <c r="AU254" s="838"/>
      <c r="AV254" s="838"/>
      <c r="AW254" s="838"/>
      <c r="AX254" s="838"/>
      <c r="AY254" s="838"/>
      <c r="AZ254" s="838"/>
      <c r="BA254" s="838"/>
      <c r="BB254" s="838"/>
      <c r="BC254" s="838"/>
      <c r="BD254" s="838"/>
      <c r="BE254" s="838"/>
      <c r="BF254" s="838"/>
      <c r="BG254" s="838"/>
      <c r="BH254" s="838"/>
      <c r="BI254" s="838"/>
      <c r="BJ254" s="838"/>
      <c r="BK254" s="838"/>
      <c r="BL254" s="838"/>
      <c r="BM254" s="838"/>
      <c r="BO254" s="869" t="s">
        <v>531</v>
      </c>
      <c r="BQ254" s="870">
        <f>+$BD$249+$CI$249*2</f>
        <v>0</v>
      </c>
      <c r="BS254" s="869"/>
      <c r="BT254" s="870">
        <f>+$BD$252+$CI$252*2</f>
        <v>0</v>
      </c>
      <c r="BV254" s="838"/>
      <c r="BW254" s="838"/>
      <c r="BX254" s="838"/>
      <c r="BY254" s="838"/>
      <c r="BZ254" s="838"/>
      <c r="CA254" s="838"/>
      <c r="CB254" s="838"/>
      <c r="CC254" s="838"/>
      <c r="CD254" s="838"/>
      <c r="CE254" s="838"/>
      <c r="CF254" s="838"/>
      <c r="CG254" s="838"/>
      <c r="CH254" s="838"/>
      <c r="CI254" s="838"/>
      <c r="CJ254" s="838"/>
      <c r="CK254" s="838"/>
      <c r="CL254" s="838"/>
      <c r="CM254" s="838"/>
      <c r="CN254" s="838"/>
      <c r="CO254" s="838"/>
      <c r="CP254" s="852"/>
      <c r="CQ254" s="838"/>
      <c r="CR254" s="838"/>
      <c r="CS254" s="838"/>
      <c r="CT254" s="858"/>
      <c r="CU254" s="838"/>
      <c r="CV254" s="858"/>
      <c r="CW254" s="838"/>
      <c r="CX254" s="858"/>
      <c r="CY254" s="838"/>
      <c r="CZ254" s="858"/>
      <c r="DA254" s="838"/>
      <c r="DB254" s="858"/>
      <c r="DC254" s="838"/>
      <c r="DD254" s="858"/>
      <c r="DE254" s="858"/>
      <c r="DF254" s="858"/>
      <c r="DG254" s="858"/>
      <c r="DH254" s="858"/>
      <c r="DI254" s="838"/>
      <c r="DJ254" s="858"/>
      <c r="DK254" s="858"/>
      <c r="DL254" s="858"/>
      <c r="DM254" s="838"/>
      <c r="DN254" s="838"/>
      <c r="DQ254" s="852"/>
      <c r="DW254" s="840"/>
      <c r="DX254" s="840"/>
      <c r="DY254" s="840"/>
      <c r="DZ254" s="840"/>
      <c r="EA254" s="838"/>
      <c r="EB254" s="838"/>
      <c r="EC254" s="838"/>
      <c r="ED254" s="838"/>
      <c r="EE254" s="838"/>
      <c r="EP254" s="838"/>
      <c r="EQ254" s="838"/>
      <c r="ER254" s="838"/>
      <c r="ES254" s="838"/>
      <c r="ET254" s="838"/>
      <c r="EU254" s="838"/>
      <c r="EV254" s="838"/>
      <c r="HF254" s="700">
        <v>36</v>
      </c>
      <c r="HH254" s="591">
        <v>36</v>
      </c>
    </row>
    <row r="255" spans="4:216" ht="26.25" x14ac:dyDescent="0.4">
      <c r="AK255" s="838"/>
      <c r="AL255" s="838"/>
      <c r="AM255" s="838"/>
      <c r="AN255" s="838"/>
      <c r="AO255" s="838"/>
      <c r="AP255" s="838"/>
      <c r="AQ255" s="838"/>
      <c r="AR255" s="838"/>
      <c r="AS255" s="838"/>
      <c r="AT255" s="838"/>
      <c r="AU255" s="838"/>
      <c r="AV255" s="838"/>
      <c r="AW255" s="838"/>
      <c r="AX255" s="838"/>
      <c r="AY255" s="838"/>
      <c r="AZ255" s="838"/>
      <c r="BA255" s="838"/>
      <c r="BB255" s="838"/>
      <c r="BC255" s="838"/>
      <c r="BD255" s="838"/>
      <c r="BE255" s="838"/>
      <c r="BF255" s="838"/>
      <c r="BG255" s="838"/>
      <c r="BH255" s="838"/>
      <c r="BI255" s="838"/>
      <c r="BJ255" s="838"/>
      <c r="BK255" s="838"/>
      <c r="BL255" s="838"/>
      <c r="BM255" s="838"/>
      <c r="BO255" s="869" t="s">
        <v>533</v>
      </c>
      <c r="BQ255" s="870">
        <f>+$BE$249+$CF$249*2</f>
        <v>0</v>
      </c>
      <c r="BS255" s="869"/>
      <c r="BT255" s="870">
        <f>+$BE$252+$CF$252*2</f>
        <v>0</v>
      </c>
      <c r="BV255" s="838"/>
      <c r="BW255" s="838"/>
      <c r="BX255" s="838"/>
      <c r="BY255" s="838"/>
      <c r="BZ255" s="838"/>
      <c r="CA255" s="838"/>
      <c r="CB255" s="838"/>
      <c r="CC255" s="838"/>
      <c r="CD255" s="838"/>
      <c r="CE255" s="838"/>
      <c r="CF255" s="838"/>
      <c r="CG255" s="838"/>
      <c r="CH255" s="838"/>
      <c r="CI255" s="838"/>
      <c r="CJ255" s="838"/>
      <c r="CK255" s="838"/>
      <c r="CL255" s="838"/>
      <c r="CM255" s="838"/>
      <c r="CN255" s="838"/>
      <c r="CO255" s="838"/>
      <c r="CP255" s="852"/>
      <c r="CQ255" s="838"/>
      <c r="CR255" s="838"/>
      <c r="CS255" s="838"/>
      <c r="CT255" s="858"/>
      <c r="CU255" s="838"/>
      <c r="CV255" s="858"/>
      <c r="CW255" s="838"/>
      <c r="CX255" s="858"/>
      <c r="CY255" s="838"/>
      <c r="CZ255" s="858"/>
      <c r="DA255" s="838"/>
      <c r="DB255" s="858"/>
      <c r="DC255" s="838"/>
      <c r="DD255" s="858"/>
      <c r="DE255" s="858"/>
      <c r="DF255" s="858"/>
      <c r="DG255" s="858"/>
      <c r="DH255" s="858"/>
      <c r="DI255" s="838"/>
      <c r="DJ255" s="858"/>
      <c r="DK255" s="858"/>
      <c r="DL255" s="858"/>
      <c r="DM255" s="838"/>
      <c r="DN255" s="838"/>
      <c r="DQ255" s="872"/>
      <c r="DW255" s="837"/>
      <c r="DX255" s="837"/>
      <c r="DY255" s="837"/>
      <c r="DZ255" s="837"/>
      <c r="HF255" s="700">
        <v>36.5</v>
      </c>
      <c r="HH255" s="591">
        <v>36.5</v>
      </c>
    </row>
    <row r="256" spans="4:216" ht="26.25" x14ac:dyDescent="0.4">
      <c r="AK256" s="838"/>
      <c r="AL256" s="838"/>
      <c r="AM256" s="838"/>
      <c r="AN256" s="838"/>
      <c r="AO256" s="838"/>
      <c r="AP256" s="838"/>
      <c r="AQ256" s="838"/>
      <c r="AR256" s="838"/>
      <c r="AS256" s="838"/>
      <c r="AT256" s="838"/>
      <c r="AU256" s="838"/>
      <c r="AV256" s="838"/>
      <c r="AW256" s="838"/>
      <c r="AX256" s="838"/>
      <c r="AY256" s="838"/>
      <c r="AZ256" s="838"/>
      <c r="BA256" s="838"/>
      <c r="BB256" s="838"/>
      <c r="BC256" s="838"/>
      <c r="BD256" s="838"/>
      <c r="BE256" s="838"/>
      <c r="BF256" s="838"/>
      <c r="BG256" s="838"/>
      <c r="BH256" s="838"/>
      <c r="BI256" s="838"/>
      <c r="BJ256" s="838"/>
      <c r="BK256" s="838"/>
      <c r="BL256" s="838"/>
      <c r="BM256" s="838"/>
      <c r="BO256" s="869" t="s">
        <v>535</v>
      </c>
      <c r="BQ256" s="870">
        <f>+$BF$249</f>
        <v>0</v>
      </c>
      <c r="BS256" s="869"/>
      <c r="BT256" s="870">
        <f>+$BF$252</f>
        <v>0</v>
      </c>
      <c r="DM256" s="838"/>
      <c r="DN256" s="838"/>
      <c r="DQ256" s="852"/>
      <c r="FP256" s="837"/>
      <c r="HF256" s="700">
        <v>37</v>
      </c>
      <c r="HH256" s="591">
        <v>37</v>
      </c>
    </row>
    <row r="257" spans="37:216" ht="26.25" x14ac:dyDescent="0.4">
      <c r="AK257" s="838"/>
      <c r="AL257" s="838"/>
      <c r="AM257" s="838"/>
      <c r="AN257" s="838"/>
      <c r="AO257" s="838"/>
      <c r="AP257" s="838"/>
      <c r="AQ257" s="838"/>
      <c r="AR257" s="838"/>
      <c r="AS257" s="838"/>
      <c r="AT257" s="838"/>
      <c r="AU257" s="838"/>
      <c r="AV257" s="838"/>
      <c r="AW257" s="838"/>
      <c r="AX257" s="838"/>
      <c r="AY257" s="838"/>
      <c r="AZ257" s="838"/>
      <c r="BA257" s="838"/>
      <c r="BB257" s="838"/>
      <c r="BC257" s="838"/>
      <c r="BD257" s="838"/>
      <c r="BE257" s="838"/>
      <c r="BF257" s="838"/>
      <c r="BG257" s="838"/>
      <c r="BH257" s="838"/>
      <c r="BI257" s="838"/>
      <c r="BJ257" s="838"/>
      <c r="BK257" s="838"/>
      <c r="BL257" s="838"/>
      <c r="BM257" s="838"/>
      <c r="BO257" s="869" t="s">
        <v>537</v>
      </c>
      <c r="BQ257" s="870">
        <f>+$BG$249</f>
        <v>0</v>
      </c>
      <c r="BS257" s="869"/>
      <c r="BT257" s="870">
        <f>+$BG$252</f>
        <v>0</v>
      </c>
      <c r="BV257" s="838"/>
      <c r="BW257" s="838"/>
      <c r="BX257" s="838"/>
      <c r="BY257" s="838"/>
      <c r="BZ257" s="838"/>
      <c r="CA257" s="838"/>
      <c r="CB257" s="838"/>
      <c r="CC257" s="838"/>
      <c r="CD257" s="838"/>
      <c r="CE257" s="838"/>
      <c r="CF257" s="838"/>
      <c r="CG257" s="838"/>
      <c r="CH257" s="838"/>
      <c r="CI257" s="838"/>
      <c r="CJ257" s="838"/>
      <c r="CK257" s="838"/>
      <c r="CL257" s="838"/>
      <c r="CM257" s="838"/>
      <c r="CN257" s="838"/>
      <c r="CO257" s="838"/>
      <c r="CP257" s="852"/>
      <c r="CQ257" s="838"/>
      <c r="CR257" s="838"/>
      <c r="CS257" s="838"/>
      <c r="CT257" s="858"/>
      <c r="CU257" s="838"/>
      <c r="CV257" s="858"/>
      <c r="CW257" s="838"/>
      <c r="CX257" s="858"/>
      <c r="CY257" s="838"/>
      <c r="CZ257" s="858"/>
      <c r="DA257" s="838"/>
      <c r="DB257" s="858"/>
      <c r="DC257" s="838"/>
      <c r="DD257" s="858"/>
      <c r="DE257" s="858"/>
      <c r="DF257" s="858"/>
      <c r="DG257" s="858"/>
      <c r="DH257" s="858"/>
      <c r="DI257" s="838"/>
      <c r="DJ257" s="858"/>
      <c r="DK257" s="858"/>
      <c r="DL257" s="858"/>
      <c r="DM257" s="838"/>
      <c r="DN257" s="838"/>
      <c r="DQ257" s="852"/>
      <c r="FP257" s="837"/>
      <c r="HF257" s="700">
        <v>37.5</v>
      </c>
      <c r="HH257" s="591">
        <v>37.5</v>
      </c>
    </row>
    <row r="258" spans="37:216" ht="26.25" x14ac:dyDescent="0.4">
      <c r="AK258" s="838"/>
      <c r="AL258" s="838"/>
      <c r="AM258" s="838"/>
      <c r="AN258" s="838"/>
      <c r="AO258" s="838"/>
      <c r="AP258" s="838"/>
      <c r="AQ258" s="838"/>
      <c r="AR258" s="838"/>
      <c r="AS258" s="838"/>
      <c r="AT258" s="838"/>
      <c r="AU258" s="838"/>
      <c r="AV258" s="838"/>
      <c r="AW258" s="838"/>
      <c r="AX258" s="838"/>
      <c r="AY258" s="838"/>
      <c r="AZ258" s="838"/>
      <c r="BA258" s="838"/>
      <c r="BB258" s="838"/>
      <c r="BC258" s="838"/>
      <c r="BD258" s="838"/>
      <c r="BE258" s="838"/>
      <c r="BF258" s="838"/>
      <c r="BG258" s="838"/>
      <c r="BH258" s="838"/>
      <c r="BI258" s="838"/>
      <c r="BJ258" s="838"/>
      <c r="BK258" s="838"/>
      <c r="BL258" s="838"/>
      <c r="BM258" s="838"/>
      <c r="BO258" s="869" t="s">
        <v>539</v>
      </c>
      <c r="BQ258" s="870">
        <f>+$BH$249+$CJ$249*2</f>
        <v>0</v>
      </c>
      <c r="BS258" s="869"/>
      <c r="BT258" s="870">
        <f>+$BH$252+$CJ$252*2</f>
        <v>0</v>
      </c>
      <c r="BV258" s="838"/>
      <c r="BW258" s="838"/>
      <c r="BX258" s="838"/>
      <c r="BY258" s="838"/>
      <c r="BZ258" s="838"/>
      <c r="CA258" s="838"/>
      <c r="CB258" s="838"/>
      <c r="CC258" s="838"/>
      <c r="CD258" s="838"/>
      <c r="CE258" s="838"/>
      <c r="CF258" s="838"/>
      <c r="CG258" s="838"/>
      <c r="CH258" s="838"/>
      <c r="CI258" s="838"/>
      <c r="CJ258" s="838"/>
      <c r="CK258" s="838"/>
      <c r="CL258" s="838"/>
      <c r="CM258" s="838"/>
      <c r="CN258" s="838"/>
      <c r="CO258" s="838"/>
      <c r="CP258" s="852"/>
      <c r="CQ258" s="838"/>
      <c r="CR258" s="838"/>
      <c r="CS258" s="838"/>
      <c r="CT258" s="858"/>
      <c r="CU258" s="838"/>
      <c r="CV258" s="858"/>
      <c r="CW258" s="838"/>
      <c r="CX258" s="858"/>
      <c r="CY258" s="838"/>
      <c r="CZ258" s="858"/>
      <c r="DA258" s="838"/>
      <c r="DB258" s="858"/>
      <c r="DC258" s="838"/>
      <c r="DD258" s="858"/>
      <c r="DE258" s="858"/>
      <c r="DF258" s="858"/>
      <c r="DG258" s="858"/>
      <c r="DH258" s="858"/>
      <c r="DI258" s="838"/>
      <c r="DJ258" s="858"/>
      <c r="DK258" s="858"/>
      <c r="DL258" s="858"/>
      <c r="DM258" s="838"/>
      <c r="DN258" s="838"/>
      <c r="DQ258" s="852"/>
      <c r="HF258" s="700">
        <v>38</v>
      </c>
      <c r="HH258" s="591">
        <v>38</v>
      </c>
    </row>
    <row r="259" spans="37:216" ht="26.25" x14ac:dyDescent="0.4">
      <c r="AK259" s="838"/>
      <c r="AL259" s="838"/>
      <c r="AM259" s="838"/>
      <c r="AN259" s="838"/>
      <c r="AO259" s="838"/>
      <c r="AP259" s="838"/>
      <c r="AQ259" s="838"/>
      <c r="AR259" s="838"/>
      <c r="AS259" s="838"/>
      <c r="AT259" s="838"/>
      <c r="AU259" s="838"/>
      <c r="AV259" s="838"/>
      <c r="AW259" s="838"/>
      <c r="AX259" s="838"/>
      <c r="AY259" s="838"/>
      <c r="AZ259" s="838"/>
      <c r="BA259" s="838"/>
      <c r="BB259" s="838"/>
      <c r="BC259" s="838"/>
      <c r="BD259" s="838"/>
      <c r="BE259" s="838"/>
      <c r="BF259" s="838"/>
      <c r="BG259" s="838"/>
      <c r="BH259" s="838"/>
      <c r="BI259" s="838"/>
      <c r="BJ259" s="838"/>
      <c r="BK259" s="838"/>
      <c r="BL259" s="838"/>
      <c r="BM259" s="838"/>
      <c r="BO259" s="869" t="s">
        <v>540</v>
      </c>
      <c r="BQ259" s="870">
        <f>+$BI$249</f>
        <v>0</v>
      </c>
      <c r="BS259" s="869"/>
      <c r="BT259" s="870">
        <f>+$BI$252</f>
        <v>0</v>
      </c>
      <c r="BV259" s="838"/>
      <c r="BW259" s="838"/>
      <c r="BX259" s="838"/>
      <c r="BY259" s="838"/>
      <c r="BZ259" s="838"/>
      <c r="CA259" s="838"/>
      <c r="CB259" s="838"/>
      <c r="CC259" s="838"/>
      <c r="CD259" s="838"/>
      <c r="CE259" s="838"/>
      <c r="CF259" s="838"/>
      <c r="CG259" s="838"/>
      <c r="CH259" s="838"/>
      <c r="CI259" s="838"/>
      <c r="CJ259" s="838"/>
      <c r="CK259" s="838"/>
      <c r="CL259" s="838"/>
      <c r="CM259" s="838"/>
      <c r="CN259" s="838"/>
      <c r="CO259" s="838"/>
      <c r="CP259" s="852"/>
      <c r="CQ259" s="838"/>
      <c r="CR259" s="838"/>
      <c r="CS259" s="838"/>
      <c r="CT259" s="858"/>
      <c r="CU259" s="838"/>
      <c r="CV259" s="858"/>
      <c r="CW259" s="838"/>
      <c r="CX259" s="858"/>
      <c r="CY259" s="838"/>
      <c r="CZ259" s="858"/>
      <c r="DA259" s="838"/>
      <c r="DB259" s="858"/>
      <c r="DC259" s="838"/>
      <c r="DD259" s="858"/>
      <c r="DE259" s="858"/>
      <c r="DF259" s="858"/>
      <c r="DG259" s="858"/>
      <c r="DH259" s="858"/>
      <c r="DI259" s="838"/>
      <c r="DJ259" s="858"/>
      <c r="DK259" s="858"/>
      <c r="DL259" s="858"/>
      <c r="DM259" s="838"/>
      <c r="DN259" s="838"/>
      <c r="HF259" s="700">
        <v>38.5</v>
      </c>
      <c r="HH259" s="591">
        <v>38.5</v>
      </c>
    </row>
    <row r="260" spans="37:216" ht="26.25" x14ac:dyDescent="0.4">
      <c r="AK260" s="838"/>
      <c r="AL260" s="838"/>
      <c r="AM260" s="838"/>
      <c r="AN260" s="838"/>
      <c r="AO260" s="838"/>
      <c r="AP260" s="838"/>
      <c r="AQ260" s="838"/>
      <c r="AR260" s="838"/>
      <c r="AS260" s="838"/>
      <c r="AT260" s="838"/>
      <c r="AU260" s="838"/>
      <c r="AV260" s="838"/>
      <c r="AW260" s="838"/>
      <c r="AX260" s="838"/>
      <c r="AY260" s="838"/>
      <c r="AZ260" s="838"/>
      <c r="BA260" s="838"/>
      <c r="BB260" s="838"/>
      <c r="BC260" s="838"/>
      <c r="BD260" s="838"/>
      <c r="BE260" s="838"/>
      <c r="BF260" s="838"/>
      <c r="BG260" s="838"/>
      <c r="BH260" s="838"/>
      <c r="BI260" s="838"/>
      <c r="BJ260" s="838"/>
      <c r="BK260" s="838"/>
      <c r="BL260" s="838"/>
      <c r="BM260" s="838"/>
      <c r="BO260" s="869" t="s">
        <v>541</v>
      </c>
      <c r="BQ260" s="870">
        <f>+$BJ$249</f>
        <v>0</v>
      </c>
      <c r="BS260" s="869"/>
      <c r="BT260" s="870">
        <f>+$BJ$252</f>
        <v>0</v>
      </c>
      <c r="BV260" s="838"/>
      <c r="BW260" s="838"/>
      <c r="BX260" s="838"/>
      <c r="BY260" s="838"/>
      <c r="BZ260" s="838"/>
      <c r="CA260" s="838"/>
      <c r="CB260" s="838"/>
      <c r="CC260" s="838"/>
      <c r="CD260" s="838"/>
      <c r="CE260" s="838"/>
      <c r="CF260" s="838"/>
      <c r="CG260" s="838"/>
      <c r="CH260" s="838"/>
      <c r="CI260" s="838"/>
      <c r="CJ260" s="838"/>
      <c r="CK260" s="838"/>
      <c r="CL260" s="838"/>
      <c r="CM260" s="838"/>
      <c r="CN260" s="838"/>
      <c r="CO260" s="838"/>
      <c r="CP260" s="852"/>
      <c r="CQ260" s="838"/>
      <c r="CR260" s="838"/>
      <c r="CS260" s="838"/>
      <c r="CT260" s="858"/>
      <c r="CU260" s="838"/>
      <c r="CV260" s="858"/>
      <c r="CW260" s="838"/>
      <c r="CX260" s="858"/>
      <c r="CY260" s="838"/>
      <c r="CZ260" s="858"/>
      <c r="DA260" s="838"/>
      <c r="DB260" s="858"/>
      <c r="DC260" s="838"/>
      <c r="DD260" s="858"/>
      <c r="DE260" s="858"/>
      <c r="DF260" s="858"/>
      <c r="DG260" s="858"/>
      <c r="DH260" s="858"/>
      <c r="DI260" s="838"/>
      <c r="DJ260" s="858"/>
      <c r="DK260" s="858"/>
      <c r="DL260" s="858"/>
      <c r="DM260" s="838"/>
      <c r="DN260" s="838"/>
      <c r="HF260" s="700">
        <v>39</v>
      </c>
      <c r="HH260" s="591">
        <v>39</v>
      </c>
    </row>
    <row r="261" spans="37:216" ht="26.25" x14ac:dyDescent="0.4">
      <c r="AK261" s="838"/>
      <c r="AL261" s="838"/>
      <c r="AM261" s="838"/>
      <c r="AN261" s="838"/>
      <c r="AO261" s="838"/>
      <c r="AP261" s="838"/>
      <c r="AQ261" s="838"/>
      <c r="AR261" s="838"/>
      <c r="AS261" s="838"/>
      <c r="AT261" s="838"/>
      <c r="AU261" s="838"/>
      <c r="AV261" s="838"/>
      <c r="AW261" s="838"/>
      <c r="AX261" s="838"/>
      <c r="AY261" s="838"/>
      <c r="AZ261" s="838"/>
      <c r="BA261" s="838"/>
      <c r="BB261" s="838"/>
      <c r="BC261" s="838"/>
      <c r="BD261" s="838"/>
      <c r="BE261" s="838"/>
      <c r="BF261" s="838"/>
      <c r="BG261" s="838"/>
      <c r="BH261" s="838"/>
      <c r="BI261" s="838"/>
      <c r="BJ261" s="838"/>
      <c r="BK261" s="838"/>
      <c r="BL261" s="838"/>
      <c r="BM261" s="838"/>
      <c r="BO261" s="869" t="s">
        <v>542</v>
      </c>
      <c r="BQ261" s="870">
        <f>+$BK$249</f>
        <v>0</v>
      </c>
      <c r="BS261" s="869"/>
      <c r="BT261" s="870">
        <f>+$BK$252</f>
        <v>0</v>
      </c>
      <c r="BV261" s="838"/>
      <c r="BW261" s="838"/>
      <c r="BX261" s="838"/>
      <c r="BY261" s="838"/>
      <c r="BZ261" s="838"/>
      <c r="CA261" s="838"/>
      <c r="CB261" s="838"/>
      <c r="CC261" s="838"/>
      <c r="CD261" s="838"/>
      <c r="CE261" s="838"/>
      <c r="CF261" s="838"/>
      <c r="CG261" s="838"/>
      <c r="CH261" s="838"/>
      <c r="CI261" s="838"/>
      <c r="CJ261" s="838"/>
      <c r="CK261" s="838"/>
      <c r="CL261" s="838"/>
      <c r="CM261" s="838"/>
      <c r="CN261" s="838"/>
      <c r="CO261" s="838"/>
      <c r="CP261" s="852"/>
      <c r="CQ261" s="838"/>
      <c r="CR261" s="838"/>
      <c r="CS261" s="838"/>
      <c r="CT261" s="858"/>
      <c r="CU261" s="838"/>
      <c r="CV261" s="858"/>
      <c r="CW261" s="838"/>
      <c r="CX261" s="858"/>
      <c r="CY261" s="838"/>
      <c r="CZ261" s="858"/>
      <c r="DA261" s="838"/>
      <c r="DB261" s="858"/>
      <c r="DC261" s="838"/>
      <c r="DD261" s="858"/>
      <c r="DE261" s="858"/>
      <c r="DF261" s="858"/>
      <c r="DG261" s="858"/>
      <c r="DH261" s="858"/>
      <c r="DI261" s="838"/>
      <c r="DJ261" s="858"/>
      <c r="DK261" s="858"/>
      <c r="DL261" s="858"/>
      <c r="DM261" s="838"/>
      <c r="DN261" s="838"/>
      <c r="HF261" s="700">
        <v>39.5</v>
      </c>
      <c r="HH261" s="591">
        <v>39.5</v>
      </c>
    </row>
    <row r="262" spans="37:216" ht="26.25" x14ac:dyDescent="0.4">
      <c r="AK262" s="838"/>
      <c r="AL262" s="838"/>
      <c r="AM262" s="838"/>
      <c r="AN262" s="838"/>
      <c r="AO262" s="838"/>
      <c r="AP262" s="838"/>
      <c r="AQ262" s="838"/>
      <c r="AR262" s="838"/>
      <c r="AS262" s="838"/>
      <c r="AT262" s="838"/>
      <c r="AU262" s="838"/>
      <c r="AV262" s="838"/>
      <c r="AW262" s="838"/>
      <c r="AX262" s="838"/>
      <c r="AY262" s="838"/>
      <c r="AZ262" s="838"/>
      <c r="BA262" s="838"/>
      <c r="BB262" s="838"/>
      <c r="BC262" s="838"/>
      <c r="BD262" s="838"/>
      <c r="BE262" s="838"/>
      <c r="BF262" s="838"/>
      <c r="BG262" s="838"/>
      <c r="BH262" s="838"/>
      <c r="BI262" s="838"/>
      <c r="BJ262" s="838"/>
      <c r="BK262" s="838"/>
      <c r="BL262" s="838"/>
      <c r="BM262" s="838"/>
      <c r="BO262" s="869" t="s">
        <v>543</v>
      </c>
      <c r="BQ262" s="870">
        <f>($AP$249+$AQ$249)/2+($AX$249+$AY$249)+($BL$249+$BM$249)+($CK$249+$CL$249)*2</f>
        <v>0</v>
      </c>
      <c r="BS262" s="869"/>
      <c r="BT262" s="870">
        <f>($AP$252+$AQ$252)/2+($AX$252+$AY$252)+($BL$252+$BM$252)+($CK$252+$CL$252)*2</f>
        <v>0</v>
      </c>
      <c r="BV262" s="838"/>
      <c r="BW262" s="838"/>
      <c r="BX262" s="838"/>
      <c r="BY262" s="838"/>
      <c r="BZ262" s="838"/>
      <c r="CA262" s="838"/>
      <c r="CB262" s="838"/>
      <c r="CC262" s="838"/>
      <c r="CD262" s="838"/>
      <c r="CE262" s="838"/>
      <c r="CF262" s="838"/>
      <c r="CG262" s="838"/>
      <c r="CH262" s="838"/>
      <c r="CI262" s="838"/>
      <c r="CJ262" s="838"/>
      <c r="CK262" s="838"/>
      <c r="CL262" s="838"/>
      <c r="CM262" s="838"/>
      <c r="CN262" s="838"/>
      <c r="CO262" s="838"/>
      <c r="CP262" s="852"/>
      <c r="CQ262" s="838"/>
      <c r="CR262" s="838"/>
      <c r="CS262" s="838"/>
      <c r="CT262" s="858"/>
      <c r="CU262" s="838"/>
      <c r="CV262" s="858"/>
      <c r="CW262" s="838"/>
      <c r="CX262" s="858"/>
      <c r="CY262" s="838"/>
      <c r="CZ262" s="858"/>
      <c r="DA262" s="838"/>
      <c r="DB262" s="858"/>
      <c r="DC262" s="838"/>
      <c r="DD262" s="858"/>
      <c r="DE262" s="858"/>
      <c r="DF262" s="858"/>
      <c r="DG262" s="858"/>
      <c r="DH262" s="858"/>
      <c r="DI262" s="838"/>
      <c r="DJ262" s="858"/>
      <c r="DK262" s="858"/>
      <c r="DL262" s="858"/>
      <c r="DM262" s="838"/>
      <c r="DN262" s="838"/>
      <c r="EX262" s="847"/>
      <c r="EY262" s="847"/>
      <c r="FA262" s="838"/>
      <c r="FB262" s="838"/>
      <c r="FC262" s="838"/>
      <c r="FD262" s="838"/>
      <c r="FE262" s="838"/>
      <c r="FF262" s="838"/>
      <c r="FG262" s="838"/>
      <c r="FH262" s="838"/>
      <c r="FI262" s="838"/>
      <c r="FJ262" s="838"/>
      <c r="FK262" s="838"/>
      <c r="FL262" s="838"/>
      <c r="FM262" s="838"/>
      <c r="FN262" s="838"/>
      <c r="FO262" s="838"/>
      <c r="FP262" s="838"/>
      <c r="GM262" s="838"/>
      <c r="GN262" s="838"/>
      <c r="GO262" s="838"/>
      <c r="GP262" s="838"/>
      <c r="GQ262" s="838"/>
      <c r="GR262" s="838"/>
      <c r="HF262" s="700">
        <v>40</v>
      </c>
      <c r="HH262" s="591">
        <v>40</v>
      </c>
    </row>
    <row r="263" spans="37:216" ht="26.25" x14ac:dyDescent="0.4">
      <c r="AK263" s="838"/>
      <c r="AL263" s="838"/>
      <c r="AM263" s="838"/>
      <c r="AN263" s="838"/>
      <c r="AO263" s="838"/>
      <c r="AP263" s="838"/>
      <c r="AQ263" s="838"/>
      <c r="AR263" s="838"/>
      <c r="AS263" s="838"/>
      <c r="AT263" s="838"/>
      <c r="AU263" s="838"/>
      <c r="AV263" s="838"/>
      <c r="AW263" s="838"/>
      <c r="AX263" s="838"/>
      <c r="AY263" s="838"/>
      <c r="AZ263" s="838"/>
      <c r="BA263" s="838"/>
      <c r="BB263" s="838"/>
      <c r="BC263" s="838"/>
      <c r="BD263" s="838"/>
      <c r="BE263" s="838"/>
      <c r="BF263" s="838"/>
      <c r="BG263" s="838"/>
      <c r="BH263" s="838"/>
      <c r="BI263" s="838"/>
      <c r="BJ263" s="838"/>
      <c r="BK263" s="838"/>
      <c r="BL263" s="838"/>
      <c r="BM263" s="838"/>
      <c r="BO263" s="869" t="s">
        <v>544</v>
      </c>
      <c r="BQ263" s="870">
        <f>+$BV$249</f>
        <v>0</v>
      </c>
      <c r="BS263" s="869"/>
      <c r="BT263" s="870">
        <f>+$BV$252</f>
        <v>0</v>
      </c>
      <c r="BV263" s="838"/>
      <c r="BW263" s="838"/>
      <c r="BX263" s="838"/>
      <c r="BY263" s="838"/>
      <c r="BZ263" s="838"/>
      <c r="CA263" s="838"/>
      <c r="CB263" s="838"/>
      <c r="CC263" s="838"/>
      <c r="CD263" s="838"/>
      <c r="CE263" s="838"/>
      <c r="CF263" s="838"/>
      <c r="CG263" s="838"/>
      <c r="CH263" s="838"/>
      <c r="CI263" s="838"/>
      <c r="CJ263" s="838"/>
      <c r="CK263" s="838"/>
      <c r="CL263" s="838"/>
      <c r="CM263" s="838"/>
      <c r="CN263" s="838"/>
      <c r="CO263" s="838"/>
      <c r="CP263" s="852"/>
      <c r="CQ263" s="838"/>
      <c r="CR263" s="838"/>
      <c r="CS263" s="838"/>
      <c r="CT263" s="858"/>
      <c r="CU263" s="838"/>
      <c r="CV263" s="858"/>
      <c r="CW263" s="838"/>
      <c r="CX263" s="858"/>
      <c r="CY263" s="838"/>
      <c r="CZ263" s="858"/>
      <c r="DA263" s="838"/>
      <c r="DB263" s="858"/>
      <c r="DC263" s="838"/>
      <c r="DD263" s="858"/>
      <c r="DE263" s="858"/>
      <c r="DF263" s="858"/>
      <c r="DG263" s="858"/>
      <c r="DH263" s="858"/>
      <c r="DI263" s="838"/>
      <c r="DJ263" s="858"/>
      <c r="DK263" s="858"/>
      <c r="DL263" s="858"/>
      <c r="DM263" s="838"/>
      <c r="DN263" s="838"/>
      <c r="DO263" s="838"/>
      <c r="DP263" s="838"/>
      <c r="DQ263" s="838"/>
      <c r="DR263" s="838"/>
      <c r="DS263" s="838"/>
      <c r="DT263" s="838"/>
      <c r="DU263" s="838"/>
      <c r="DV263" s="838"/>
      <c r="DW263" s="838"/>
      <c r="DX263" s="838"/>
      <c r="DY263" s="838"/>
      <c r="DZ263" s="838"/>
      <c r="FA263" s="838"/>
      <c r="FB263" s="838"/>
      <c r="FC263" s="838"/>
      <c r="FD263" s="838"/>
      <c r="FE263" s="838"/>
      <c r="FF263" s="838"/>
      <c r="FG263" s="838"/>
      <c r="FH263" s="838"/>
      <c r="FI263" s="838"/>
      <c r="FJ263" s="838"/>
      <c r="FK263" s="838"/>
      <c r="FL263" s="838"/>
      <c r="FM263" s="838"/>
      <c r="FN263" s="838"/>
      <c r="FO263" s="838"/>
      <c r="FP263" s="838"/>
      <c r="GM263" s="838"/>
      <c r="GN263" s="838"/>
      <c r="GO263" s="838"/>
      <c r="GP263" s="838"/>
      <c r="GQ263" s="838"/>
      <c r="GR263" s="838"/>
      <c r="HF263" s="700">
        <v>40.5</v>
      </c>
      <c r="HH263" s="591">
        <v>40.5</v>
      </c>
    </row>
    <row r="264" spans="37:216" ht="26.25" x14ac:dyDescent="0.4">
      <c r="AK264" s="838"/>
      <c r="AL264" s="838"/>
      <c r="AM264" s="838"/>
      <c r="AN264" s="838"/>
      <c r="AO264" s="838"/>
      <c r="AP264" s="838"/>
      <c r="AQ264" s="838"/>
      <c r="AR264" s="838"/>
      <c r="AS264" s="838"/>
      <c r="AT264" s="838"/>
      <c r="AU264" s="838"/>
      <c r="AV264" s="838"/>
      <c r="AW264" s="838"/>
      <c r="AX264" s="838"/>
      <c r="AY264" s="838"/>
      <c r="AZ264" s="838"/>
      <c r="BA264" s="838"/>
      <c r="BB264" s="838"/>
      <c r="BC264" s="838"/>
      <c r="BD264" s="838"/>
      <c r="BE264" s="838"/>
      <c r="BF264" s="838"/>
      <c r="BG264" s="838"/>
      <c r="BH264" s="838"/>
      <c r="BI264" s="838"/>
      <c r="BJ264" s="838"/>
      <c r="BK264" s="838"/>
      <c r="BL264" s="838"/>
      <c r="BM264" s="838"/>
      <c r="BO264" s="869" t="s">
        <v>546</v>
      </c>
      <c r="BQ264" s="870">
        <f>+$BW$249+$BX$249+$DF$249</f>
        <v>0</v>
      </c>
      <c r="BS264" s="869"/>
      <c r="BT264" s="870">
        <f>+$BW$252+$BX$252+$DF$252</f>
        <v>0</v>
      </c>
      <c r="BV264" s="838"/>
      <c r="BW264" s="838"/>
      <c r="BX264" s="838"/>
      <c r="BY264" s="838"/>
      <c r="BZ264" s="838"/>
      <c r="CA264" s="838"/>
      <c r="CB264" s="838"/>
      <c r="CC264" s="838"/>
      <c r="CD264" s="838"/>
      <c r="CE264" s="838"/>
      <c r="CF264" s="838"/>
      <c r="CG264" s="838"/>
      <c r="CH264" s="838"/>
      <c r="CI264" s="838"/>
      <c r="CJ264" s="838"/>
      <c r="CK264" s="838"/>
      <c r="CL264" s="838"/>
      <c r="CM264" s="838"/>
      <c r="CN264" s="838"/>
      <c r="CO264" s="838"/>
      <c r="CP264" s="852"/>
      <c r="CQ264" s="838"/>
      <c r="CR264" s="838"/>
      <c r="CS264" s="838"/>
      <c r="CT264" s="858"/>
      <c r="CU264" s="838"/>
      <c r="CV264" s="858"/>
      <c r="CW264" s="838"/>
      <c r="CX264" s="858"/>
      <c r="CY264" s="838"/>
      <c r="CZ264" s="858"/>
      <c r="DA264" s="838"/>
      <c r="DB264" s="858"/>
      <c r="DC264" s="838"/>
      <c r="DD264" s="858"/>
      <c r="DE264" s="858"/>
      <c r="DF264" s="858"/>
      <c r="DG264" s="858"/>
      <c r="DH264" s="858"/>
      <c r="DI264" s="838"/>
      <c r="DJ264" s="858"/>
      <c r="DK264" s="858"/>
      <c r="DL264" s="858"/>
      <c r="DM264" s="838"/>
      <c r="DN264" s="838"/>
      <c r="DO264" s="838"/>
      <c r="DP264" s="858"/>
      <c r="DQ264" s="858"/>
      <c r="DR264" s="858"/>
      <c r="DS264" s="858"/>
      <c r="DT264" s="858"/>
      <c r="DU264" s="858"/>
      <c r="DV264" s="858"/>
      <c r="DW264" s="858"/>
      <c r="DX264" s="858"/>
      <c r="DY264" s="858"/>
      <c r="DZ264" s="858"/>
      <c r="EA264" s="838"/>
      <c r="EB264" s="838"/>
      <c r="EC264" s="838"/>
      <c r="ED264" s="838"/>
      <c r="EE264" s="838"/>
      <c r="EP264" s="838"/>
      <c r="EQ264" s="838"/>
      <c r="ER264" s="838"/>
      <c r="ES264" s="838"/>
      <c r="ET264" s="838"/>
      <c r="EU264" s="838"/>
      <c r="EV264" s="838"/>
      <c r="EW264" s="971"/>
      <c r="EX264" s="971"/>
      <c r="EY264" s="971"/>
      <c r="EZ264" s="971"/>
      <c r="FA264" s="853"/>
      <c r="FB264" s="853"/>
      <c r="FC264" s="858"/>
      <c r="FD264" s="858"/>
      <c r="FE264" s="858"/>
      <c r="FF264" s="858"/>
      <c r="FG264" s="858"/>
      <c r="FH264" s="858"/>
      <c r="FI264" s="858"/>
      <c r="FJ264" s="858"/>
      <c r="FK264" s="858"/>
      <c r="FL264" s="858"/>
      <c r="FM264" s="858"/>
      <c r="FN264" s="858"/>
      <c r="FO264" s="858"/>
      <c r="FP264" s="838"/>
      <c r="GM264" s="858"/>
      <c r="GN264" s="858"/>
      <c r="GO264" s="858"/>
      <c r="GP264" s="858"/>
      <c r="GQ264" s="858"/>
      <c r="GR264" s="838"/>
      <c r="HF264" s="700">
        <v>41</v>
      </c>
      <c r="HH264" s="591">
        <v>41</v>
      </c>
    </row>
    <row r="265" spans="37:216" ht="26.25" x14ac:dyDescent="0.4">
      <c r="AK265" s="838"/>
      <c r="AL265" s="838"/>
      <c r="AM265" s="838"/>
      <c r="AN265" s="838"/>
      <c r="AO265" s="838"/>
      <c r="AP265" s="838"/>
      <c r="AQ265" s="838"/>
      <c r="AR265" s="838"/>
      <c r="AS265" s="838"/>
      <c r="AT265" s="838"/>
      <c r="AU265" s="838"/>
      <c r="AV265" s="838"/>
      <c r="AW265" s="838"/>
      <c r="AX265" s="838"/>
      <c r="AY265" s="838"/>
      <c r="AZ265" s="838"/>
      <c r="BA265" s="838"/>
      <c r="BB265" s="838"/>
      <c r="BC265" s="838"/>
      <c r="BD265" s="838"/>
      <c r="BE265" s="838"/>
      <c r="BF265" s="838"/>
      <c r="BG265" s="838"/>
      <c r="BH265" s="838"/>
      <c r="BI265" s="838"/>
      <c r="BJ265" s="838"/>
      <c r="BK265" s="838"/>
      <c r="BL265" s="838"/>
      <c r="BM265" s="838"/>
      <c r="BO265" s="869" t="s">
        <v>548</v>
      </c>
      <c r="BQ265" s="870">
        <f>+$BY$249</f>
        <v>0</v>
      </c>
      <c r="BS265" s="869"/>
      <c r="BT265" s="870">
        <f>+$BY$252</f>
        <v>0</v>
      </c>
      <c r="BV265" s="838"/>
      <c r="BW265" s="838"/>
      <c r="BX265" s="838"/>
      <c r="BY265" s="838"/>
      <c r="BZ265" s="838"/>
      <c r="CA265" s="838"/>
      <c r="CB265" s="838"/>
      <c r="CC265" s="838"/>
      <c r="CD265" s="838"/>
      <c r="CE265" s="838"/>
      <c r="CF265" s="838"/>
      <c r="CG265" s="838"/>
      <c r="CH265" s="838"/>
      <c r="CI265" s="838"/>
      <c r="CJ265" s="838"/>
      <c r="CK265" s="838"/>
      <c r="CL265" s="838"/>
      <c r="CM265" s="838"/>
      <c r="CN265" s="838"/>
      <c r="CO265" s="838"/>
      <c r="CP265" s="852"/>
      <c r="CQ265" s="838"/>
      <c r="CR265" s="838"/>
      <c r="CS265" s="838"/>
      <c r="CT265" s="858"/>
      <c r="CU265" s="838"/>
      <c r="CV265" s="858"/>
      <c r="CW265" s="838"/>
      <c r="CX265" s="858"/>
      <c r="CY265" s="838"/>
      <c r="CZ265" s="858"/>
      <c r="DA265" s="838"/>
      <c r="DB265" s="858"/>
      <c r="DC265" s="838"/>
      <c r="DD265" s="858"/>
      <c r="DE265" s="858"/>
      <c r="DF265" s="858"/>
      <c r="DG265" s="858"/>
      <c r="DH265" s="858"/>
      <c r="DI265" s="838"/>
      <c r="DJ265" s="858"/>
      <c r="DK265" s="858"/>
      <c r="DL265" s="858"/>
      <c r="DM265" s="838"/>
      <c r="DN265" s="838"/>
      <c r="DO265" s="838"/>
      <c r="DP265" s="858"/>
      <c r="DQ265" s="858"/>
      <c r="DR265" s="858"/>
      <c r="DS265" s="858"/>
      <c r="DT265" s="858"/>
      <c r="DU265" s="858"/>
      <c r="DV265" s="858"/>
      <c r="DW265" s="838"/>
      <c r="DX265" s="858"/>
      <c r="DY265" s="858"/>
      <c r="DZ265" s="858"/>
      <c r="EA265" s="838"/>
      <c r="EB265" s="838"/>
      <c r="EC265" s="838"/>
      <c r="ED265" s="838"/>
      <c r="EE265" s="838"/>
      <c r="EP265" s="838"/>
      <c r="EQ265" s="838"/>
      <c r="ER265" s="838"/>
      <c r="ES265" s="838"/>
      <c r="ET265" s="838"/>
      <c r="EU265" s="838"/>
      <c r="EV265" s="838"/>
      <c r="EW265" s="865"/>
      <c r="EX265" s="971"/>
      <c r="EY265" s="971"/>
      <c r="EZ265" s="847"/>
      <c r="FA265" s="853"/>
      <c r="FB265" s="853"/>
      <c r="FC265" s="858"/>
      <c r="FD265" s="858"/>
      <c r="FE265" s="858"/>
      <c r="FF265" s="858"/>
      <c r="FG265" s="858"/>
      <c r="FH265" s="858"/>
      <c r="FI265" s="858"/>
      <c r="FJ265" s="838"/>
      <c r="FK265" s="858"/>
      <c r="FL265" s="858"/>
      <c r="FM265" s="858"/>
      <c r="FN265" s="858"/>
      <c r="FO265" s="858"/>
      <c r="FP265" s="838"/>
      <c r="GM265" s="838"/>
      <c r="GN265" s="838"/>
      <c r="GO265" s="838"/>
      <c r="GP265" s="838"/>
      <c r="GQ265" s="838"/>
      <c r="GR265" s="838"/>
      <c r="HF265" s="700">
        <v>41.5</v>
      </c>
      <c r="HH265" s="591">
        <v>41.5</v>
      </c>
    </row>
    <row r="266" spans="37:216" ht="26.25" x14ac:dyDescent="0.4">
      <c r="AK266" s="838"/>
      <c r="AL266" s="838"/>
      <c r="AM266" s="838"/>
      <c r="AN266" s="838"/>
      <c r="AO266" s="838"/>
      <c r="AP266" s="838"/>
      <c r="AQ266" s="838"/>
      <c r="AR266" s="838"/>
      <c r="AS266" s="838"/>
      <c r="AT266" s="838"/>
      <c r="AU266" s="838"/>
      <c r="AV266" s="838"/>
      <c r="AW266" s="838"/>
      <c r="AX266" s="838"/>
      <c r="AY266" s="838"/>
      <c r="AZ266" s="838"/>
      <c r="BA266" s="838"/>
      <c r="BB266" s="838"/>
      <c r="BC266" s="838"/>
      <c r="BD266" s="838"/>
      <c r="BE266" s="838"/>
      <c r="BF266" s="838"/>
      <c r="BG266" s="838"/>
      <c r="BH266" s="838"/>
      <c r="BI266" s="838"/>
      <c r="BJ266" s="838"/>
      <c r="BK266" s="838"/>
      <c r="BL266" s="838"/>
      <c r="BM266" s="838"/>
      <c r="BO266" s="869" t="s">
        <v>549</v>
      </c>
      <c r="BQ266" s="870">
        <f>+$BZ$249</f>
        <v>0</v>
      </c>
      <c r="BS266" s="869"/>
      <c r="BT266" s="870">
        <f>+$BZ$252</f>
        <v>0</v>
      </c>
      <c r="BV266" s="838"/>
      <c r="BW266" s="838"/>
      <c r="BX266" s="838"/>
      <c r="BY266" s="838"/>
      <c r="BZ266" s="838"/>
      <c r="CA266" s="838"/>
      <c r="CB266" s="838"/>
      <c r="CC266" s="838"/>
      <c r="CD266" s="777">
        <f>SUM('4 SUPERFICIES'!H11:H56,'4 SUPERFICIES'!J11:J56,'4 SUPERFICIES'!L11:L56,'4 SUP +'!L11:L56,'4 SUP +'!J11:J56,'4 SUP +'!H11:H56)</f>
        <v>0</v>
      </c>
      <c r="CE266" s="838" t="s">
        <v>992</v>
      </c>
      <c r="CF266" s="838"/>
      <c r="CG266" s="838"/>
      <c r="CH266" s="838"/>
      <c r="CI266" s="838"/>
      <c r="CJ266" s="838"/>
      <c r="CK266" s="838"/>
      <c r="CL266" s="838"/>
      <c r="CM266" s="838"/>
      <c r="CN266" s="838"/>
      <c r="CO266" s="838"/>
      <c r="CP266" s="852"/>
      <c r="CQ266" s="838"/>
      <c r="CR266" s="838"/>
      <c r="CS266" s="838"/>
      <c r="CT266" s="858"/>
      <c r="CU266" s="838"/>
      <c r="CV266" s="858"/>
      <c r="CW266" s="838"/>
      <c r="CX266" s="858"/>
      <c r="CY266" s="838"/>
      <c r="CZ266" s="858"/>
      <c r="DA266" s="838"/>
      <c r="DB266" s="858"/>
      <c r="DC266" s="838"/>
      <c r="DD266" s="858"/>
      <c r="DE266" s="858"/>
      <c r="DF266" s="858"/>
      <c r="DG266" s="858"/>
      <c r="DH266" s="858"/>
      <c r="DI266" s="838"/>
      <c r="DJ266" s="858"/>
      <c r="DK266" s="858"/>
      <c r="DL266" s="858"/>
      <c r="DM266" s="838"/>
      <c r="DN266" s="838"/>
      <c r="DO266" s="838"/>
      <c r="DP266" s="838"/>
      <c r="DQ266" s="855"/>
      <c r="DR266" s="838"/>
      <c r="DS266" s="1096"/>
      <c r="DT266" s="1096"/>
      <c r="DU266" s="838"/>
      <c r="DV266" s="999"/>
      <c r="DW266" s="838"/>
      <c r="DX266" s="838"/>
      <c r="DY266" s="855"/>
      <c r="DZ266" s="838"/>
      <c r="EA266" s="838"/>
      <c r="EB266" s="838"/>
      <c r="EC266" s="858"/>
      <c r="ED266" s="858"/>
      <c r="EE266" s="858"/>
      <c r="EP266" s="858"/>
      <c r="EQ266" s="858"/>
      <c r="ER266" s="858"/>
      <c r="ES266" s="858"/>
      <c r="ET266" s="858"/>
      <c r="EU266" s="858"/>
      <c r="EV266" s="858"/>
      <c r="EW266" s="866"/>
      <c r="EX266" s="866"/>
      <c r="EY266" s="849"/>
      <c r="EZ266" s="847"/>
      <c r="FA266" s="852"/>
      <c r="FB266" s="999"/>
      <c r="FC266" s="838"/>
      <c r="FD266" s="1096"/>
      <c r="FE266" s="1096"/>
      <c r="FF266" s="1096"/>
      <c r="FG266" s="1096"/>
      <c r="FH266" s="838"/>
      <c r="FI266" s="999"/>
      <c r="FJ266" s="838"/>
      <c r="FK266" s="838"/>
      <c r="FL266" s="855"/>
      <c r="FM266" s="838"/>
      <c r="FN266" s="1096"/>
      <c r="FO266" s="1096"/>
      <c r="FP266" s="838"/>
      <c r="GM266" s="1081"/>
      <c r="GN266" s="855"/>
      <c r="GO266" s="1098"/>
      <c r="GP266" s="855"/>
      <c r="GQ266" s="1098"/>
      <c r="GR266" s="838"/>
      <c r="HF266" s="700">
        <v>42</v>
      </c>
      <c r="HH266" s="591">
        <v>42</v>
      </c>
    </row>
    <row r="267" spans="37:216" ht="26.25" x14ac:dyDescent="0.4">
      <c r="AK267" s="838"/>
      <c r="AL267" s="838"/>
      <c r="AM267" s="838"/>
      <c r="AN267" s="838"/>
      <c r="AO267" s="838"/>
      <c r="AP267" s="838"/>
      <c r="AQ267" s="838"/>
      <c r="AR267" s="838"/>
      <c r="AS267" s="838"/>
      <c r="AT267" s="838"/>
      <c r="AU267" s="838"/>
      <c r="AV267" s="838"/>
      <c r="AW267" s="838"/>
      <c r="AX267" s="838"/>
      <c r="AY267" s="838"/>
      <c r="AZ267" s="838"/>
      <c r="BA267" s="838"/>
      <c r="BB267" s="838"/>
      <c r="BC267" s="838"/>
      <c r="BD267" s="838"/>
      <c r="BE267" s="838"/>
      <c r="BF267" s="838"/>
      <c r="BG267" s="838"/>
      <c r="BH267" s="838"/>
      <c r="BI267" s="838"/>
      <c r="BJ267" s="838"/>
      <c r="BK267" s="838"/>
      <c r="BL267" s="838"/>
      <c r="BM267" s="838"/>
      <c r="BO267" s="869" t="s">
        <v>550</v>
      </c>
      <c r="BQ267" s="870">
        <f>+$CA$249</f>
        <v>0</v>
      </c>
      <c r="BS267" s="869"/>
      <c r="BT267" s="870">
        <f>+$CA$252</f>
        <v>0</v>
      </c>
      <c r="BV267" s="838"/>
      <c r="BW267" s="838"/>
      <c r="BX267" s="838"/>
      <c r="BY267" s="838"/>
      <c r="BZ267" s="838"/>
      <c r="CA267" s="838"/>
      <c r="CB267" s="838"/>
      <c r="CC267" s="838"/>
      <c r="CD267" s="838"/>
      <c r="CE267" s="838"/>
      <c r="CF267" s="838"/>
      <c r="CG267" s="838"/>
      <c r="CH267" s="838"/>
      <c r="CI267" s="838"/>
      <c r="CJ267" s="838"/>
      <c r="CK267" s="838"/>
      <c r="CL267" s="838"/>
      <c r="CM267" s="838"/>
      <c r="CN267" s="838"/>
      <c r="CO267" s="838"/>
      <c r="CP267" s="852"/>
      <c r="CQ267" s="838"/>
      <c r="CR267" s="838"/>
      <c r="CS267" s="838"/>
      <c r="CT267" s="858"/>
      <c r="CU267" s="838"/>
      <c r="CV267" s="858"/>
      <c r="CW267" s="838"/>
      <c r="CX267" s="858"/>
      <c r="CY267" s="838"/>
      <c r="CZ267" s="858"/>
      <c r="DA267" s="838"/>
      <c r="DB267" s="858"/>
      <c r="DC267" s="838"/>
      <c r="DD267" s="858"/>
      <c r="DE267" s="858"/>
      <c r="DF267" s="858"/>
      <c r="DG267" s="858"/>
      <c r="DH267" s="858"/>
      <c r="DI267" s="838"/>
      <c r="DJ267" s="858"/>
      <c r="DK267" s="858"/>
      <c r="DL267" s="858"/>
      <c r="DM267" s="838"/>
      <c r="DN267" s="838"/>
      <c r="DO267" s="838"/>
      <c r="DP267" s="838"/>
      <c r="DQ267" s="838"/>
      <c r="DR267" s="838"/>
      <c r="DS267" s="838"/>
      <c r="DT267" s="838"/>
      <c r="DU267" s="838"/>
      <c r="DV267" s="838"/>
      <c r="DW267" s="838"/>
      <c r="DX267" s="838"/>
      <c r="DY267" s="838"/>
      <c r="DZ267" s="838"/>
      <c r="EA267" s="838"/>
      <c r="EB267" s="838"/>
      <c r="EC267" s="853"/>
      <c r="ED267" s="853"/>
      <c r="EE267" s="853"/>
      <c r="EP267" s="838"/>
      <c r="EQ267" s="838"/>
      <c r="ER267" s="838"/>
      <c r="ES267" s="838"/>
      <c r="ET267" s="838"/>
      <c r="EU267" s="838"/>
      <c r="EV267" s="838"/>
      <c r="EW267" s="847"/>
      <c r="EX267" s="847"/>
      <c r="EY267" s="847"/>
      <c r="EZ267" s="847"/>
      <c r="FA267" s="852"/>
      <c r="FB267" s="852"/>
      <c r="FC267" s="838"/>
      <c r="FD267" s="838"/>
      <c r="FE267" s="838"/>
      <c r="FF267" s="838"/>
      <c r="FG267" s="838"/>
      <c r="FH267" s="838"/>
      <c r="FI267" s="838"/>
      <c r="FJ267" s="838"/>
      <c r="FK267" s="838"/>
      <c r="FL267" s="838"/>
      <c r="FM267" s="838"/>
      <c r="FN267" s="838"/>
      <c r="FO267" s="838"/>
      <c r="FP267" s="838"/>
      <c r="GM267" s="858"/>
      <c r="GN267" s="838"/>
      <c r="GO267" s="858"/>
      <c r="GP267" s="858"/>
      <c r="GQ267" s="858"/>
      <c r="GR267" s="838"/>
      <c r="HF267" s="700">
        <v>42.5</v>
      </c>
      <c r="HH267" s="591">
        <v>42.5</v>
      </c>
    </row>
    <row r="268" spans="37:216" ht="26.25" x14ac:dyDescent="0.4">
      <c r="AK268" s="838"/>
      <c r="AL268" s="838"/>
      <c r="AM268" s="838"/>
      <c r="AN268" s="838"/>
      <c r="AO268" s="838"/>
      <c r="AP268" s="838"/>
      <c r="AQ268" s="838"/>
      <c r="AR268" s="838"/>
      <c r="AS268" s="838"/>
      <c r="AT268" s="838"/>
      <c r="AU268" s="838"/>
      <c r="AV268" s="838"/>
      <c r="AW268" s="838"/>
      <c r="AX268" s="838"/>
      <c r="AY268" s="838"/>
      <c r="AZ268" s="838"/>
      <c r="BA268" s="838"/>
      <c r="BB268" s="838"/>
      <c r="BC268" s="838"/>
      <c r="BD268" s="838"/>
      <c r="BE268" s="838"/>
      <c r="BF268" s="838"/>
      <c r="BG268" s="838"/>
      <c r="BH268" s="838"/>
      <c r="BI268" s="838"/>
      <c r="BJ268" s="838"/>
      <c r="BK268" s="838"/>
      <c r="BL268" s="838"/>
      <c r="BM268" s="838"/>
      <c r="BO268" s="869" t="s">
        <v>551</v>
      </c>
      <c r="BQ268" s="870">
        <f>+$CB$249+$DD$249</f>
        <v>0</v>
      </c>
      <c r="BS268" s="869"/>
      <c r="BT268" s="870">
        <f>+$CB$252+$DD$252</f>
        <v>0</v>
      </c>
      <c r="BV268" s="838"/>
      <c r="BW268" s="838"/>
      <c r="BX268" s="838"/>
      <c r="BY268" s="838"/>
      <c r="BZ268" s="838"/>
      <c r="CA268" s="838"/>
      <c r="CB268" s="838"/>
      <c r="CC268" s="838"/>
      <c r="CD268" s="838"/>
      <c r="CE268" s="838"/>
      <c r="CF268" s="838"/>
      <c r="CG268" s="838"/>
      <c r="CH268" s="838"/>
      <c r="CI268" s="838"/>
      <c r="CJ268" s="838"/>
      <c r="CK268" s="838"/>
      <c r="CL268" s="838"/>
      <c r="CM268" s="838"/>
      <c r="CN268" s="838"/>
      <c r="CO268" s="838"/>
      <c r="CP268" s="852"/>
      <c r="CQ268" s="838"/>
      <c r="CR268" s="838"/>
      <c r="CS268" s="838"/>
      <c r="CT268" s="858"/>
      <c r="CU268" s="838"/>
      <c r="CV268" s="858"/>
      <c r="CW268" s="838"/>
      <c r="CX268" s="858"/>
      <c r="CY268" s="838"/>
      <c r="CZ268" s="858"/>
      <c r="DA268" s="838"/>
      <c r="DB268" s="858"/>
      <c r="DC268" s="838"/>
      <c r="DD268" s="858"/>
      <c r="DE268" s="858"/>
      <c r="DF268" s="858"/>
      <c r="DG268" s="858"/>
      <c r="DH268" s="858"/>
      <c r="DI268" s="838"/>
      <c r="DJ268" s="858"/>
      <c r="DK268" s="858"/>
      <c r="DL268" s="858"/>
      <c r="DM268" s="838"/>
      <c r="DN268" s="838"/>
      <c r="DO268" s="838"/>
      <c r="DP268" s="838"/>
      <c r="DQ268" s="838"/>
      <c r="DR268" s="838"/>
      <c r="DS268" s="838"/>
      <c r="DT268" s="838"/>
      <c r="DU268" s="838"/>
      <c r="DV268" s="838"/>
      <c r="DW268" s="838"/>
      <c r="DX268" s="838"/>
      <c r="DY268" s="838"/>
      <c r="DZ268" s="838"/>
      <c r="EA268" s="999"/>
      <c r="EB268" s="838"/>
      <c r="EC268" s="1085"/>
      <c r="ED268" s="1085"/>
      <c r="EE268" s="1097"/>
      <c r="EP268" s="855"/>
      <c r="EQ268" s="1098"/>
      <c r="ER268" s="855"/>
      <c r="ES268" s="1098"/>
      <c r="ET268" s="1098"/>
      <c r="EU268" s="1081"/>
      <c r="EV268" s="855"/>
      <c r="EW268" s="847"/>
      <c r="EX268" s="847"/>
      <c r="EY268" s="847"/>
      <c r="EZ268" s="847"/>
      <c r="FA268" s="852"/>
      <c r="FB268" s="852"/>
      <c r="FC268" s="838"/>
      <c r="FD268" s="838"/>
      <c r="FE268" s="838"/>
      <c r="FF268" s="838"/>
      <c r="FG268" s="838"/>
      <c r="FH268" s="838"/>
      <c r="FI268" s="838"/>
      <c r="FJ268" s="838"/>
      <c r="FK268" s="838"/>
      <c r="FL268" s="838"/>
      <c r="FM268" s="838"/>
      <c r="FN268" s="838"/>
      <c r="FO268" s="838"/>
      <c r="FP268" s="838"/>
      <c r="GM268" s="858"/>
      <c r="GN268" s="838"/>
      <c r="GO268" s="858"/>
      <c r="GP268" s="858"/>
      <c r="GQ268" s="858"/>
      <c r="GR268" s="838"/>
      <c r="HF268" s="700">
        <v>43</v>
      </c>
      <c r="HH268" s="591">
        <v>43</v>
      </c>
    </row>
    <row r="269" spans="37:216" ht="26.25" x14ac:dyDescent="0.4">
      <c r="AK269" s="838"/>
      <c r="AL269" s="838"/>
      <c r="AM269" s="838"/>
      <c r="AN269" s="838"/>
      <c r="AO269" s="838"/>
      <c r="AP269" s="838"/>
      <c r="AQ269" s="838"/>
      <c r="AR269" s="838"/>
      <c r="AS269" s="838"/>
      <c r="AT269" s="838"/>
      <c r="AU269" s="838"/>
      <c r="AV269" s="838"/>
      <c r="AW269" s="838"/>
      <c r="AX269" s="838"/>
      <c r="AY269" s="838"/>
      <c r="AZ269" s="838"/>
      <c r="BA269" s="838"/>
      <c r="BB269" s="838"/>
      <c r="BC269" s="838"/>
      <c r="BD269" s="838"/>
      <c r="BE269" s="838"/>
      <c r="BF269" s="838"/>
      <c r="BG269" s="838"/>
      <c r="BH269" s="838"/>
      <c r="BI269" s="838"/>
      <c r="BJ269" s="838"/>
      <c r="BK269" s="838"/>
      <c r="BL269" s="838"/>
      <c r="BM269" s="838"/>
      <c r="BO269" s="869" t="s">
        <v>552</v>
      </c>
      <c r="BQ269" s="870">
        <f>+$CC$249+$CD$249+$DB$249</f>
        <v>0</v>
      </c>
      <c r="BS269" s="869"/>
      <c r="BT269" s="870">
        <f>+$CC$252+$CD$252+$DB$252</f>
        <v>0</v>
      </c>
      <c r="BV269" s="838"/>
      <c r="BW269" s="838"/>
      <c r="BX269" s="838"/>
      <c r="BY269" s="838"/>
      <c r="BZ269" s="838"/>
      <c r="CA269" s="838"/>
      <c r="CB269" s="838"/>
      <c r="CC269" s="838"/>
      <c r="CD269" s="838"/>
      <c r="CE269" s="838"/>
      <c r="CF269" s="838"/>
      <c r="CG269" s="838"/>
      <c r="CH269" s="838"/>
      <c r="CI269" s="838"/>
      <c r="CJ269" s="838"/>
      <c r="CK269" s="838"/>
      <c r="CL269" s="838"/>
      <c r="CM269" s="838"/>
      <c r="CN269" s="838"/>
      <c r="CO269" s="838"/>
      <c r="CP269" s="852"/>
      <c r="CQ269" s="838"/>
      <c r="CR269" s="838"/>
      <c r="CS269" s="838"/>
      <c r="CT269" s="858"/>
      <c r="CU269" s="838"/>
      <c r="CV269" s="858"/>
      <c r="CW269" s="838"/>
      <c r="CX269" s="858"/>
      <c r="CY269" s="838"/>
      <c r="CZ269" s="858"/>
      <c r="DA269" s="838"/>
      <c r="DB269" s="858"/>
      <c r="DC269" s="838"/>
      <c r="DD269" s="858"/>
      <c r="DE269" s="858"/>
      <c r="DF269" s="858"/>
      <c r="DG269" s="858"/>
      <c r="DH269" s="858"/>
      <c r="DI269" s="838"/>
      <c r="DJ269" s="858"/>
      <c r="DK269" s="858"/>
      <c r="DL269" s="858"/>
      <c r="DM269" s="838"/>
      <c r="DN269" s="838"/>
      <c r="DO269" s="838"/>
      <c r="DP269" s="838"/>
      <c r="DQ269" s="838"/>
      <c r="DR269" s="838"/>
      <c r="DS269" s="838"/>
      <c r="DT269" s="838"/>
      <c r="DU269" s="838"/>
      <c r="DV269" s="838"/>
      <c r="DW269" s="838"/>
      <c r="DX269" s="838"/>
      <c r="DY269" s="838"/>
      <c r="DZ269" s="838"/>
      <c r="EA269" s="838"/>
      <c r="EB269" s="838"/>
      <c r="EC269" s="838"/>
      <c r="ED269" s="838"/>
      <c r="EE269" s="852"/>
      <c r="EP269" s="838"/>
      <c r="EQ269" s="858"/>
      <c r="ER269" s="838"/>
      <c r="ES269" s="858"/>
      <c r="ET269" s="858"/>
      <c r="EU269" s="858"/>
      <c r="EV269" s="858"/>
      <c r="EW269" s="847"/>
      <c r="EX269" s="847"/>
      <c r="EY269" s="847"/>
      <c r="EZ269" s="847"/>
      <c r="FA269" s="852"/>
      <c r="FB269" s="852"/>
      <c r="FC269" s="838"/>
      <c r="FD269" s="838"/>
      <c r="FE269" s="838"/>
      <c r="FF269" s="838"/>
      <c r="FG269" s="838"/>
      <c r="FH269" s="838"/>
      <c r="FI269" s="838"/>
      <c r="FJ269" s="838"/>
      <c r="FK269" s="838"/>
      <c r="FL269" s="838"/>
      <c r="FM269" s="838"/>
      <c r="FN269" s="838"/>
      <c r="FO269" s="838"/>
      <c r="FP269" s="838"/>
      <c r="GM269" s="858"/>
      <c r="GN269" s="838"/>
      <c r="GO269" s="858"/>
      <c r="GP269" s="858"/>
      <c r="GQ269" s="858"/>
      <c r="GR269" s="838"/>
      <c r="HF269" s="700">
        <v>43.5</v>
      </c>
      <c r="HH269" s="591">
        <v>43.5</v>
      </c>
    </row>
    <row r="270" spans="37:216" ht="26.25" x14ac:dyDescent="0.4">
      <c r="AK270" s="838"/>
      <c r="AL270" s="838"/>
      <c r="AM270" s="838"/>
      <c r="AN270" s="838"/>
      <c r="AO270" s="838"/>
      <c r="AP270" s="838"/>
      <c r="AQ270" s="838"/>
      <c r="AR270" s="838"/>
      <c r="AS270" s="838"/>
      <c r="AT270" s="838"/>
      <c r="AU270" s="838"/>
      <c r="AV270" s="838"/>
      <c r="AW270" s="838"/>
      <c r="AX270" s="838"/>
      <c r="AY270" s="838"/>
      <c r="AZ270" s="838"/>
      <c r="BA270" s="838"/>
      <c r="BB270" s="838"/>
      <c r="BC270" s="838"/>
      <c r="BD270" s="838"/>
      <c r="BE270" s="838"/>
      <c r="BF270" s="838"/>
      <c r="BG270" s="838"/>
      <c r="BH270" s="838"/>
      <c r="BI270" s="838"/>
      <c r="BJ270" s="838"/>
      <c r="BK270" s="838"/>
      <c r="BL270" s="838"/>
      <c r="BM270" s="838"/>
      <c r="BO270" s="869" t="s">
        <v>553</v>
      </c>
      <c r="BQ270" s="870">
        <f>+$CN$249+$CO$249*1.6</f>
        <v>0</v>
      </c>
      <c r="BS270" s="869"/>
      <c r="BT270" s="870">
        <f>+$CN$252+$CO$252*1.6</f>
        <v>0</v>
      </c>
      <c r="BV270" s="838"/>
      <c r="BW270" s="838"/>
      <c r="BX270" s="838"/>
      <c r="BY270" s="838"/>
      <c r="BZ270" s="838"/>
      <c r="CA270" s="838"/>
      <c r="CB270" s="838"/>
      <c r="CC270" s="838"/>
      <c r="CD270" s="838"/>
      <c r="CE270" s="838"/>
      <c r="CF270" s="838"/>
      <c r="CG270" s="838"/>
      <c r="CH270" s="838"/>
      <c r="CI270" s="838"/>
      <c r="CJ270" s="838"/>
      <c r="CK270" s="838"/>
      <c r="CL270" s="838"/>
      <c r="CM270" s="838"/>
      <c r="CN270" s="838"/>
      <c r="CO270" s="838"/>
      <c r="CP270" s="852"/>
      <c r="CQ270" s="838"/>
      <c r="CR270" s="838"/>
      <c r="CS270" s="838"/>
      <c r="CT270" s="858"/>
      <c r="CU270" s="838"/>
      <c r="CV270" s="858"/>
      <c r="CW270" s="838"/>
      <c r="CX270" s="858"/>
      <c r="CY270" s="838"/>
      <c r="CZ270" s="858"/>
      <c r="DA270" s="838"/>
      <c r="DB270" s="858"/>
      <c r="DC270" s="838"/>
      <c r="DD270" s="858"/>
      <c r="DE270" s="858"/>
      <c r="DF270" s="858"/>
      <c r="DG270" s="858"/>
      <c r="DH270" s="858"/>
      <c r="DI270" s="838"/>
      <c r="DJ270" s="858"/>
      <c r="DK270" s="858"/>
      <c r="DL270" s="858"/>
      <c r="DM270" s="838"/>
      <c r="DN270" s="838"/>
      <c r="DO270" s="838"/>
      <c r="DP270" s="838"/>
      <c r="DQ270" s="838"/>
      <c r="DR270" s="838"/>
      <c r="DS270" s="838"/>
      <c r="DT270" s="838"/>
      <c r="DU270" s="838"/>
      <c r="DV270" s="838"/>
      <c r="DW270" s="838"/>
      <c r="DX270" s="838"/>
      <c r="DY270" s="838"/>
      <c r="DZ270" s="838"/>
      <c r="EA270" s="838"/>
      <c r="EB270" s="838"/>
      <c r="EC270" s="838"/>
      <c r="ED270" s="838"/>
      <c r="EE270" s="852"/>
      <c r="EP270" s="838"/>
      <c r="EQ270" s="858"/>
      <c r="ER270" s="838"/>
      <c r="ES270" s="858"/>
      <c r="ET270" s="858"/>
      <c r="EU270" s="858"/>
      <c r="EV270" s="858"/>
      <c r="EW270" s="847"/>
      <c r="EX270" s="847"/>
      <c r="EY270" s="847"/>
      <c r="EZ270" s="847"/>
      <c r="FA270" s="852"/>
      <c r="FB270" s="852"/>
      <c r="FC270" s="838"/>
      <c r="FD270" s="838"/>
      <c r="FE270" s="838"/>
      <c r="FF270" s="838"/>
      <c r="FG270" s="838"/>
      <c r="FH270" s="838"/>
      <c r="FI270" s="838"/>
      <c r="FJ270" s="838"/>
      <c r="FK270" s="838"/>
      <c r="FL270" s="838"/>
      <c r="FM270" s="838"/>
      <c r="FN270" s="838"/>
      <c r="FO270" s="838"/>
      <c r="FP270" s="838"/>
      <c r="GM270" s="858"/>
      <c r="GN270" s="838"/>
      <c r="GO270" s="858"/>
      <c r="GP270" s="858"/>
      <c r="GQ270" s="858"/>
      <c r="GR270" s="838"/>
      <c r="HF270" s="700">
        <v>44</v>
      </c>
      <c r="HH270" s="591">
        <v>44</v>
      </c>
    </row>
    <row r="271" spans="37:216" ht="26.25" x14ac:dyDescent="0.4">
      <c r="AK271" s="838"/>
      <c r="AL271" s="838"/>
      <c r="AM271" s="838"/>
      <c r="AN271" s="838"/>
      <c r="AO271" s="838"/>
      <c r="AP271" s="838"/>
      <c r="AQ271" s="838"/>
      <c r="AR271" s="838"/>
      <c r="AS271" s="838"/>
      <c r="AT271" s="838"/>
      <c r="AU271" s="838"/>
      <c r="AV271" s="838"/>
      <c r="AW271" s="838"/>
      <c r="AX271" s="838"/>
      <c r="AY271" s="838"/>
      <c r="AZ271" s="838"/>
      <c r="BA271" s="838"/>
      <c r="BB271" s="838"/>
      <c r="BC271" s="838"/>
      <c r="BD271" s="838"/>
      <c r="BE271" s="838"/>
      <c r="BF271" s="838"/>
      <c r="BG271" s="838"/>
      <c r="BH271" s="838"/>
      <c r="BI271" s="838"/>
      <c r="BJ271" s="838"/>
      <c r="BK271" s="838"/>
      <c r="BL271" s="838"/>
      <c r="BM271" s="838"/>
      <c r="BO271" s="869" t="s">
        <v>554</v>
      </c>
      <c r="BQ271" s="870">
        <f>+$CQ$249+$CR$249*1.6</f>
        <v>0</v>
      </c>
      <c r="BS271" s="869"/>
      <c r="BT271" s="870">
        <f>+$CQ$252+$CR$252*1.6</f>
        <v>0</v>
      </c>
      <c r="BV271" s="838"/>
      <c r="BW271" s="838"/>
      <c r="BX271" s="838"/>
      <c r="BY271" s="838"/>
      <c r="BZ271" s="838"/>
      <c r="CA271" s="838"/>
      <c r="CB271" s="838"/>
      <c r="CC271" s="838"/>
      <c r="CD271" s="838"/>
      <c r="CE271" s="838"/>
      <c r="CF271" s="838"/>
      <c r="CG271" s="838"/>
      <c r="CH271" s="838"/>
      <c r="CI271" s="838"/>
      <c r="CJ271" s="838"/>
      <c r="CK271" s="838"/>
      <c r="CL271" s="838"/>
      <c r="CM271" s="838"/>
      <c r="CN271" s="838"/>
      <c r="CO271" s="838"/>
      <c r="CP271" s="852"/>
      <c r="CQ271" s="838"/>
      <c r="CR271" s="838"/>
      <c r="CS271" s="838"/>
      <c r="CT271" s="858"/>
      <c r="CU271" s="838"/>
      <c r="CV271" s="858"/>
      <c r="CW271" s="838"/>
      <c r="CX271" s="858"/>
      <c r="CY271" s="838"/>
      <c r="CZ271" s="858"/>
      <c r="DA271" s="838"/>
      <c r="DB271" s="858"/>
      <c r="DC271" s="838"/>
      <c r="DD271" s="858"/>
      <c r="DE271" s="858"/>
      <c r="DF271" s="858"/>
      <c r="DG271" s="858"/>
      <c r="DH271" s="858"/>
      <c r="DI271" s="838"/>
      <c r="DJ271" s="858"/>
      <c r="DK271" s="858"/>
      <c r="DL271" s="858"/>
      <c r="DM271" s="838"/>
      <c r="DN271" s="838"/>
      <c r="DO271" s="838"/>
      <c r="DP271" s="838"/>
      <c r="DQ271" s="838"/>
      <c r="DR271" s="838"/>
      <c r="DS271" s="838"/>
      <c r="DT271" s="838"/>
      <c r="DU271" s="838"/>
      <c r="DV271" s="838"/>
      <c r="DW271" s="838"/>
      <c r="DX271" s="838"/>
      <c r="DY271" s="838"/>
      <c r="DZ271" s="838"/>
      <c r="EA271" s="838"/>
      <c r="EB271" s="838"/>
      <c r="EC271" s="838"/>
      <c r="ED271" s="838"/>
      <c r="EE271" s="852"/>
      <c r="EP271" s="838"/>
      <c r="EQ271" s="858"/>
      <c r="ER271" s="838"/>
      <c r="ES271" s="858"/>
      <c r="ET271" s="858"/>
      <c r="EU271" s="858"/>
      <c r="EV271" s="858"/>
      <c r="EW271" s="847"/>
      <c r="EX271" s="847"/>
      <c r="EY271" s="847"/>
      <c r="EZ271" s="847"/>
      <c r="FA271" s="852"/>
      <c r="FB271" s="852"/>
      <c r="FC271" s="838"/>
      <c r="FD271" s="838"/>
      <c r="FE271" s="838"/>
      <c r="FF271" s="838"/>
      <c r="FG271" s="838"/>
      <c r="FH271" s="838"/>
      <c r="FI271" s="838"/>
      <c r="FJ271" s="838"/>
      <c r="FK271" s="838"/>
      <c r="FL271" s="838"/>
      <c r="FM271" s="838"/>
      <c r="FN271" s="838"/>
      <c r="FO271" s="838"/>
      <c r="FP271" s="838"/>
      <c r="GM271" s="858"/>
      <c r="GN271" s="838"/>
      <c r="GO271" s="858"/>
      <c r="GP271" s="858"/>
      <c r="GQ271" s="858"/>
      <c r="GR271" s="838"/>
      <c r="HF271" s="700">
        <v>44.5</v>
      </c>
      <c r="HH271" s="591">
        <v>44.5</v>
      </c>
    </row>
    <row r="272" spans="37:216" ht="26.25" x14ac:dyDescent="0.4">
      <c r="AK272" s="838"/>
      <c r="AL272" s="838"/>
      <c r="AM272" s="838"/>
      <c r="AN272" s="838"/>
      <c r="AO272" s="838"/>
      <c r="AP272" s="838"/>
      <c r="AQ272" s="838"/>
      <c r="AR272" s="838"/>
      <c r="AS272" s="838"/>
      <c r="AT272" s="838"/>
      <c r="AU272" s="838"/>
      <c r="AV272" s="838"/>
      <c r="AW272" s="838"/>
      <c r="AX272" s="838"/>
      <c r="AY272" s="838"/>
      <c r="AZ272" s="838"/>
      <c r="BA272" s="838"/>
      <c r="BB272" s="838"/>
      <c r="BC272" s="838"/>
      <c r="BD272" s="838"/>
      <c r="BE272" s="838"/>
      <c r="BF272" s="838"/>
      <c r="BG272" s="838"/>
      <c r="BH272" s="838"/>
      <c r="BI272" s="838"/>
      <c r="BJ272" s="838"/>
      <c r="BK272" s="838"/>
      <c r="BL272" s="838"/>
      <c r="BM272" s="838"/>
      <c r="BO272" s="869" t="s">
        <v>555</v>
      </c>
      <c r="BQ272" s="870">
        <f>+$CT$249</f>
        <v>0</v>
      </c>
      <c r="BS272" s="869"/>
      <c r="BT272" s="870">
        <f>+$CT$252</f>
        <v>0</v>
      </c>
      <c r="BV272" s="838"/>
      <c r="BW272" s="838"/>
      <c r="BX272" s="838"/>
      <c r="BY272" s="838"/>
      <c r="BZ272" s="838"/>
      <c r="CA272" s="838"/>
      <c r="CB272" s="838"/>
      <c r="CC272" s="838"/>
      <c r="CD272" s="838"/>
      <c r="CE272" s="838"/>
      <c r="CF272" s="838"/>
      <c r="CG272" s="838"/>
      <c r="CH272" s="838"/>
      <c r="CI272" s="838"/>
      <c r="CJ272" s="838"/>
      <c r="CK272" s="838"/>
      <c r="CL272" s="838"/>
      <c r="CM272" s="838"/>
      <c r="CN272" s="838"/>
      <c r="CO272" s="838"/>
      <c r="CP272" s="852"/>
      <c r="CQ272" s="838"/>
      <c r="CR272" s="838"/>
      <c r="CS272" s="838"/>
      <c r="CT272" s="858"/>
      <c r="CU272" s="838"/>
      <c r="CV272" s="858"/>
      <c r="CW272" s="838"/>
      <c r="CX272" s="858"/>
      <c r="CY272" s="838"/>
      <c r="CZ272" s="858"/>
      <c r="DA272" s="838"/>
      <c r="DB272" s="858"/>
      <c r="DC272" s="838"/>
      <c r="DD272" s="858"/>
      <c r="DE272" s="858"/>
      <c r="DF272" s="858"/>
      <c r="DG272" s="858"/>
      <c r="DH272" s="858"/>
      <c r="DI272" s="838"/>
      <c r="DJ272" s="858"/>
      <c r="DK272" s="858"/>
      <c r="DL272" s="858"/>
      <c r="DM272" s="838"/>
      <c r="DN272" s="838"/>
      <c r="DO272" s="838"/>
      <c r="DP272" s="838"/>
      <c r="DQ272" s="838"/>
      <c r="DR272" s="838"/>
      <c r="DS272" s="838"/>
      <c r="DT272" s="838"/>
      <c r="DU272" s="838"/>
      <c r="DV272" s="838"/>
      <c r="DW272" s="838"/>
      <c r="DX272" s="838"/>
      <c r="DY272" s="838"/>
      <c r="DZ272" s="838"/>
      <c r="EA272" s="838"/>
      <c r="EB272" s="838"/>
      <c r="EC272" s="838"/>
      <c r="ED272" s="838"/>
      <c r="EE272" s="852"/>
      <c r="EP272" s="838"/>
      <c r="EQ272" s="858"/>
      <c r="ER272" s="838"/>
      <c r="ES272" s="858"/>
      <c r="ET272" s="858"/>
      <c r="EU272" s="858"/>
      <c r="EV272" s="858"/>
      <c r="EW272" s="847"/>
      <c r="EX272" s="847"/>
      <c r="EY272" s="847"/>
      <c r="EZ272" s="847"/>
      <c r="FA272" s="852"/>
      <c r="FB272" s="852"/>
      <c r="FC272" s="838"/>
      <c r="FD272" s="838"/>
      <c r="FE272" s="838"/>
      <c r="FF272" s="838"/>
      <c r="FG272" s="838"/>
      <c r="FH272" s="838"/>
      <c r="FI272" s="838"/>
      <c r="FJ272" s="838"/>
      <c r="FK272" s="838"/>
      <c r="FL272" s="838"/>
      <c r="FM272" s="838"/>
      <c r="FN272" s="838"/>
      <c r="FO272" s="838"/>
      <c r="FP272" s="838"/>
      <c r="GM272" s="858"/>
      <c r="GN272" s="838"/>
      <c r="GO272" s="858"/>
      <c r="GP272" s="858"/>
      <c r="GQ272" s="858"/>
      <c r="GR272" s="838"/>
      <c r="HF272" s="700">
        <v>45</v>
      </c>
      <c r="HH272" s="591">
        <v>45</v>
      </c>
    </row>
    <row r="273" spans="37:216" ht="26.25" x14ac:dyDescent="0.4">
      <c r="AK273" s="838"/>
      <c r="AL273" s="838"/>
      <c r="AM273" s="838"/>
      <c r="AN273" s="838"/>
      <c r="AO273" s="838"/>
      <c r="AP273" s="838"/>
      <c r="AQ273" s="838"/>
      <c r="AR273" s="838"/>
      <c r="AS273" s="838"/>
      <c r="AT273" s="838"/>
      <c r="AU273" s="838"/>
      <c r="AV273" s="838"/>
      <c r="AW273" s="838"/>
      <c r="AX273" s="838"/>
      <c r="AY273" s="838"/>
      <c r="AZ273" s="838"/>
      <c r="BA273" s="838"/>
      <c r="BB273" s="838"/>
      <c r="BC273" s="838"/>
      <c r="BD273" s="838"/>
      <c r="BE273" s="838"/>
      <c r="BF273" s="838"/>
      <c r="BG273" s="838"/>
      <c r="BH273" s="838"/>
      <c r="BI273" s="838"/>
      <c r="BJ273" s="838"/>
      <c r="BK273" s="838"/>
      <c r="BL273" s="838"/>
      <c r="BM273" s="838"/>
      <c r="BO273" s="869" t="s">
        <v>556</v>
      </c>
      <c r="BQ273" s="870">
        <f>+$CV$249+$DL$249</f>
        <v>0</v>
      </c>
      <c r="BS273" s="869"/>
      <c r="BT273" s="870">
        <f>+$CV$252+$DL$252</f>
        <v>0</v>
      </c>
      <c r="BV273" s="838"/>
      <c r="BW273" s="838"/>
      <c r="BX273" s="838"/>
      <c r="BY273" s="838"/>
      <c r="BZ273" s="838"/>
      <c r="CA273" s="838"/>
      <c r="CB273" s="838"/>
      <c r="CC273" s="838"/>
      <c r="CD273" s="838"/>
      <c r="CE273" s="838"/>
      <c r="CF273" s="838"/>
      <c r="CG273" s="838"/>
      <c r="CH273" s="838"/>
      <c r="CI273" s="838"/>
      <c r="CJ273" s="838"/>
      <c r="CK273" s="838"/>
      <c r="CL273" s="838"/>
      <c r="CM273" s="838"/>
      <c r="CN273" s="838"/>
      <c r="CO273" s="838"/>
      <c r="CP273" s="852"/>
      <c r="CQ273" s="838"/>
      <c r="CR273" s="838"/>
      <c r="CS273" s="838"/>
      <c r="CT273" s="858"/>
      <c r="CU273" s="838"/>
      <c r="CV273" s="858"/>
      <c r="CW273" s="838"/>
      <c r="CX273" s="858"/>
      <c r="CY273" s="838"/>
      <c r="CZ273" s="858"/>
      <c r="DA273" s="838"/>
      <c r="DB273" s="858"/>
      <c r="DC273" s="838"/>
      <c r="DD273" s="858"/>
      <c r="DE273" s="858"/>
      <c r="DF273" s="858"/>
      <c r="DG273" s="858"/>
      <c r="DH273" s="858"/>
      <c r="DI273" s="838"/>
      <c r="DJ273" s="858"/>
      <c r="DK273" s="858"/>
      <c r="DL273" s="858"/>
      <c r="DM273" s="838"/>
      <c r="DN273" s="838"/>
      <c r="DO273" s="838"/>
      <c r="DP273" s="838"/>
      <c r="DQ273" s="838"/>
      <c r="DR273" s="838"/>
      <c r="DS273" s="838"/>
      <c r="DT273" s="838"/>
      <c r="DU273" s="838"/>
      <c r="DV273" s="838"/>
      <c r="DW273" s="838"/>
      <c r="DX273" s="838"/>
      <c r="DY273" s="838"/>
      <c r="DZ273" s="838"/>
      <c r="EA273" s="838"/>
      <c r="EB273" s="838"/>
      <c r="EC273" s="838"/>
      <c r="ED273" s="838"/>
      <c r="EE273" s="852"/>
      <c r="EP273" s="838"/>
      <c r="EQ273" s="858"/>
      <c r="ER273" s="838"/>
      <c r="ES273" s="858"/>
      <c r="ET273" s="858"/>
      <c r="EU273" s="858"/>
      <c r="EV273" s="858"/>
      <c r="EW273" s="847"/>
      <c r="EX273" s="847"/>
      <c r="EY273" s="847"/>
      <c r="EZ273" s="847"/>
      <c r="FA273" s="852"/>
      <c r="FB273" s="852"/>
      <c r="FC273" s="838"/>
      <c r="FD273" s="838"/>
      <c r="FE273" s="838"/>
      <c r="FF273" s="838"/>
      <c r="FG273" s="838"/>
      <c r="FH273" s="838"/>
      <c r="FI273" s="838"/>
      <c r="FJ273" s="838"/>
      <c r="FK273" s="838"/>
      <c r="FL273" s="838"/>
      <c r="FM273" s="838"/>
      <c r="FN273" s="838"/>
      <c r="FO273" s="838"/>
      <c r="FP273" s="838"/>
      <c r="GM273" s="858"/>
      <c r="GN273" s="838"/>
      <c r="GO273" s="858"/>
      <c r="GP273" s="858"/>
      <c r="GQ273" s="858"/>
      <c r="GR273" s="838"/>
      <c r="HF273" s="700">
        <v>45.5</v>
      </c>
      <c r="HH273" s="591">
        <v>45.5</v>
      </c>
    </row>
    <row r="274" spans="37:216" ht="26.25" x14ac:dyDescent="0.4">
      <c r="AK274" s="838"/>
      <c r="AL274" s="838"/>
      <c r="AM274" s="838"/>
      <c r="AN274" s="838"/>
      <c r="AO274" s="838"/>
      <c r="AP274" s="838"/>
      <c r="AQ274" s="838"/>
      <c r="AR274" s="838"/>
      <c r="AS274" s="838"/>
      <c r="AT274" s="838"/>
      <c r="AU274" s="838"/>
      <c r="AV274" s="838"/>
      <c r="AW274" s="838"/>
      <c r="AX274" s="838"/>
      <c r="AY274" s="838"/>
      <c r="AZ274" s="838"/>
      <c r="BA274" s="838"/>
      <c r="BB274" s="838"/>
      <c r="BC274" s="838"/>
      <c r="BD274" s="838"/>
      <c r="BE274" s="838"/>
      <c r="BF274" s="838"/>
      <c r="BG274" s="838"/>
      <c r="BH274" s="838"/>
      <c r="BI274" s="838"/>
      <c r="BJ274" s="838"/>
      <c r="BK274" s="838"/>
      <c r="BL274" s="838"/>
      <c r="BM274" s="838"/>
      <c r="BO274" s="869" t="s">
        <v>557</v>
      </c>
      <c r="BQ274" s="870"/>
      <c r="BS274" s="869"/>
      <c r="BT274" s="870"/>
      <c r="BV274" s="838"/>
      <c r="BW274" s="838"/>
      <c r="BX274" s="838"/>
      <c r="BY274" s="838"/>
      <c r="BZ274" s="838"/>
      <c r="CA274" s="838"/>
      <c r="CB274" s="838"/>
      <c r="CC274" s="838"/>
      <c r="CD274" s="838"/>
      <c r="CE274" s="838"/>
      <c r="CF274" s="838"/>
      <c r="CG274" s="838"/>
      <c r="CH274" s="838"/>
      <c r="CI274" s="838"/>
      <c r="CJ274" s="838"/>
      <c r="CK274" s="838"/>
      <c r="CL274" s="838"/>
      <c r="CM274" s="838"/>
      <c r="CN274" s="838"/>
      <c r="CO274" s="838"/>
      <c r="CP274" s="852"/>
      <c r="CQ274" s="838"/>
      <c r="CR274" s="838"/>
      <c r="CS274" s="852"/>
      <c r="CT274" s="858"/>
      <c r="CU274" s="838"/>
      <c r="CV274" s="858"/>
      <c r="CW274" s="838"/>
      <c r="CX274" s="858"/>
      <c r="CY274" s="838"/>
      <c r="CZ274" s="858"/>
      <c r="DA274" s="838"/>
      <c r="DB274" s="858"/>
      <c r="DC274" s="838"/>
      <c r="DD274" s="858"/>
      <c r="DE274" s="858"/>
      <c r="DF274" s="858"/>
      <c r="DG274" s="838"/>
      <c r="DH274" s="858"/>
      <c r="DI274" s="838"/>
      <c r="DJ274" s="858"/>
      <c r="DK274" s="838"/>
      <c r="DL274" s="858"/>
      <c r="DM274" s="838"/>
      <c r="DN274" s="838"/>
      <c r="DO274" s="838"/>
      <c r="DP274" s="838"/>
      <c r="DQ274" s="838"/>
      <c r="DR274" s="838"/>
      <c r="DS274" s="838"/>
      <c r="DT274" s="838"/>
      <c r="DU274" s="838"/>
      <c r="DV274" s="838"/>
      <c r="DW274" s="838"/>
      <c r="DX274" s="838"/>
      <c r="DY274" s="838"/>
      <c r="DZ274" s="838"/>
      <c r="EA274" s="838"/>
      <c r="EB274" s="838"/>
      <c r="EC274" s="838"/>
      <c r="ED274" s="838"/>
      <c r="EE274" s="852"/>
      <c r="EP274" s="838"/>
      <c r="EQ274" s="858"/>
      <c r="ER274" s="838"/>
      <c r="ES274" s="858"/>
      <c r="ET274" s="858"/>
      <c r="EU274" s="858"/>
      <c r="EV274" s="858"/>
      <c r="EW274" s="847"/>
      <c r="EX274" s="847"/>
      <c r="EY274" s="847"/>
      <c r="EZ274" s="847"/>
      <c r="FA274" s="852"/>
      <c r="FB274" s="852"/>
      <c r="FC274" s="838"/>
      <c r="FD274" s="838"/>
      <c r="FE274" s="838"/>
      <c r="FF274" s="838"/>
      <c r="FG274" s="838"/>
      <c r="FH274" s="838"/>
      <c r="FI274" s="838"/>
      <c r="FJ274" s="838"/>
      <c r="FK274" s="838"/>
      <c r="FL274" s="838"/>
      <c r="FM274" s="838"/>
      <c r="FN274" s="838"/>
      <c r="FO274" s="838"/>
      <c r="FP274" s="838"/>
      <c r="GM274" s="858"/>
      <c r="GN274" s="838"/>
      <c r="GO274" s="858"/>
      <c r="GP274" s="858"/>
      <c r="GQ274" s="858"/>
      <c r="GR274" s="838"/>
      <c r="HF274" s="700">
        <v>46</v>
      </c>
      <c r="HH274" s="591">
        <v>46</v>
      </c>
    </row>
    <row r="275" spans="37:216" ht="26.25" x14ac:dyDescent="0.4">
      <c r="AK275" s="838"/>
      <c r="AL275" s="852"/>
      <c r="AM275" s="838"/>
      <c r="AN275" s="838"/>
      <c r="AO275" s="838"/>
      <c r="AP275" s="838"/>
      <c r="AQ275" s="838"/>
      <c r="AR275" s="838"/>
      <c r="AS275" s="838"/>
      <c r="AT275" s="838"/>
      <c r="AU275" s="838"/>
      <c r="AV275" s="838"/>
      <c r="AW275" s="838"/>
      <c r="AX275" s="838"/>
      <c r="AY275" s="838"/>
      <c r="AZ275" s="838"/>
      <c r="BA275" s="838"/>
      <c r="BB275" s="838"/>
      <c r="BC275" s="838"/>
      <c r="BD275" s="838"/>
      <c r="BE275" s="838"/>
      <c r="BF275" s="838"/>
      <c r="BG275" s="838"/>
      <c r="BH275" s="838"/>
      <c r="BI275" s="838"/>
      <c r="BJ275" s="838"/>
      <c r="BK275" s="838"/>
      <c r="BL275" s="838"/>
      <c r="BM275" s="838"/>
      <c r="BO275" s="869" t="s">
        <v>558</v>
      </c>
      <c r="BQ275" s="870">
        <f>+$CZ$249</f>
        <v>0</v>
      </c>
      <c r="BS275" s="869"/>
      <c r="BT275" s="870">
        <f>+$CZ$252</f>
        <v>0</v>
      </c>
      <c r="CN275" s="871"/>
      <c r="CO275" s="847"/>
      <c r="CP275" s="847"/>
      <c r="CQ275" s="847"/>
      <c r="CR275" s="871"/>
      <c r="CS275" s="847"/>
      <c r="CT275" s="847"/>
      <c r="DO275" s="838"/>
      <c r="DP275" s="838"/>
      <c r="DQ275" s="838"/>
      <c r="DR275" s="838"/>
      <c r="DS275" s="838"/>
      <c r="DT275" s="838"/>
      <c r="DU275" s="838"/>
      <c r="DV275" s="838"/>
      <c r="DW275" s="838"/>
      <c r="DX275" s="838"/>
      <c r="DY275" s="838"/>
      <c r="DZ275" s="838"/>
      <c r="EA275" s="838"/>
      <c r="EB275" s="838"/>
      <c r="EC275" s="838"/>
      <c r="ED275" s="838"/>
      <c r="EE275" s="852"/>
      <c r="EP275" s="838"/>
      <c r="EQ275" s="858"/>
      <c r="ER275" s="838"/>
      <c r="ES275" s="858"/>
      <c r="ET275" s="858"/>
      <c r="EU275" s="858"/>
      <c r="EV275" s="858"/>
      <c r="EW275" s="847"/>
      <c r="EX275" s="847"/>
      <c r="EY275" s="847"/>
      <c r="EZ275" s="847"/>
      <c r="FA275" s="852"/>
      <c r="FB275" s="852"/>
      <c r="FC275" s="838"/>
      <c r="FD275" s="838"/>
      <c r="FE275" s="838"/>
      <c r="FF275" s="838"/>
      <c r="FG275" s="838"/>
      <c r="FH275" s="838"/>
      <c r="FI275" s="838"/>
      <c r="FJ275" s="838"/>
      <c r="FK275" s="838"/>
      <c r="FL275" s="838"/>
      <c r="FM275" s="838"/>
      <c r="FN275" s="838"/>
      <c r="FO275" s="838"/>
      <c r="FP275" s="838"/>
      <c r="GM275" s="858"/>
      <c r="GN275" s="838"/>
      <c r="GO275" s="858"/>
      <c r="GP275" s="858"/>
      <c r="GQ275" s="858"/>
      <c r="GR275" s="838"/>
      <c r="HF275" s="700">
        <v>46.5</v>
      </c>
      <c r="HH275" s="591">
        <v>46.5</v>
      </c>
    </row>
    <row r="276" spans="37:216" ht="26.25" x14ac:dyDescent="0.4">
      <c r="AL276" s="852"/>
      <c r="BO276" s="869" t="s">
        <v>559</v>
      </c>
      <c r="BQ276" s="870">
        <f>+$DH$249</f>
        <v>0</v>
      </c>
      <c r="BS276" s="869"/>
      <c r="BT276" s="870">
        <f>+$DH$252</f>
        <v>0</v>
      </c>
      <c r="CN276" s="871"/>
      <c r="CO276" s="847"/>
      <c r="CP276" s="847"/>
      <c r="CQ276" s="847"/>
      <c r="CR276" s="871"/>
      <c r="CS276" s="847"/>
      <c r="CT276" s="847"/>
      <c r="DO276" s="838"/>
      <c r="DP276" s="838"/>
      <c r="DQ276" s="838"/>
      <c r="DR276" s="838"/>
      <c r="DS276" s="838"/>
      <c r="DT276" s="838"/>
      <c r="DU276" s="838"/>
      <c r="DV276" s="838"/>
      <c r="DW276" s="838"/>
      <c r="DX276" s="838"/>
      <c r="DY276" s="838"/>
      <c r="DZ276" s="838"/>
      <c r="EA276" s="838"/>
      <c r="EB276" s="838"/>
      <c r="EC276" s="838"/>
      <c r="ED276" s="838"/>
      <c r="EE276" s="852"/>
      <c r="EP276" s="838"/>
      <c r="EQ276" s="858"/>
      <c r="ER276" s="838"/>
      <c r="ES276" s="858"/>
      <c r="ET276" s="858"/>
      <c r="EU276" s="858"/>
      <c r="EV276" s="858"/>
      <c r="EW276" s="847"/>
      <c r="EX276" s="847"/>
      <c r="EY276" s="847"/>
      <c r="EZ276" s="847"/>
      <c r="FA276" s="852"/>
      <c r="FB276" s="852"/>
      <c r="FC276" s="838"/>
      <c r="FD276" s="838"/>
      <c r="FE276" s="838"/>
      <c r="FF276" s="838"/>
      <c r="FG276" s="838"/>
      <c r="FH276" s="838"/>
      <c r="FI276" s="838"/>
      <c r="FJ276" s="838"/>
      <c r="FK276" s="838"/>
      <c r="FL276" s="838"/>
      <c r="FM276" s="838"/>
      <c r="FN276" s="838"/>
      <c r="FO276" s="838"/>
      <c r="FP276" s="838"/>
      <c r="GM276" s="858"/>
      <c r="GN276" s="838"/>
      <c r="GO276" s="858"/>
      <c r="GP276" s="858"/>
      <c r="GQ276" s="858"/>
      <c r="GR276" s="838"/>
      <c r="HF276" s="700">
        <v>47</v>
      </c>
      <c r="HH276" s="591">
        <v>47</v>
      </c>
    </row>
    <row r="277" spans="37:216" ht="26.25" x14ac:dyDescent="0.4">
      <c r="AL277" s="852"/>
      <c r="BO277" s="871"/>
      <c r="BP277" s="847"/>
      <c r="BQ277" s="847"/>
      <c r="BR277" s="847"/>
      <c r="BS277" s="847"/>
      <c r="CN277" s="871"/>
      <c r="CO277" s="847"/>
      <c r="CP277" s="847"/>
      <c r="CQ277" s="847"/>
      <c r="CR277" s="871"/>
      <c r="CS277" s="847"/>
      <c r="CT277" s="847"/>
      <c r="DO277" s="838"/>
      <c r="DP277" s="838"/>
      <c r="DQ277" s="838"/>
      <c r="DR277" s="838"/>
      <c r="DS277" s="838"/>
      <c r="DT277" s="838"/>
      <c r="DU277" s="838"/>
      <c r="DV277" s="838"/>
      <c r="DW277" s="838"/>
      <c r="DX277" s="838"/>
      <c r="DY277" s="838"/>
      <c r="DZ277" s="838"/>
      <c r="EA277" s="838"/>
      <c r="EB277" s="838"/>
      <c r="EC277" s="838"/>
      <c r="ED277" s="838"/>
      <c r="EE277" s="852"/>
      <c r="EP277" s="838"/>
      <c r="EQ277" s="858"/>
      <c r="ER277" s="838"/>
      <c r="ES277" s="858"/>
      <c r="ET277" s="858"/>
      <c r="EU277" s="858"/>
      <c r="EV277" s="858"/>
      <c r="EW277" s="847"/>
      <c r="EX277" s="847"/>
      <c r="EY277" s="847"/>
      <c r="EZ277" s="847"/>
      <c r="FA277" s="852"/>
      <c r="FB277" s="852"/>
      <c r="FC277" s="838"/>
      <c r="FD277" s="838"/>
      <c r="FE277" s="838"/>
      <c r="FF277" s="838"/>
      <c r="FG277" s="838"/>
      <c r="FH277" s="838"/>
      <c r="FI277" s="838"/>
      <c r="FJ277" s="838"/>
      <c r="FK277" s="838"/>
      <c r="FL277" s="838"/>
      <c r="FM277" s="838"/>
      <c r="FN277" s="838"/>
      <c r="FO277" s="838"/>
      <c r="FP277" s="838"/>
      <c r="GM277" s="858"/>
      <c r="GN277" s="838"/>
      <c r="GO277" s="858"/>
      <c r="GP277" s="858"/>
      <c r="GQ277" s="858"/>
      <c r="GR277" s="838"/>
      <c r="HF277" s="700">
        <v>47.5</v>
      </c>
      <c r="HH277" s="591">
        <v>47.5</v>
      </c>
    </row>
    <row r="278" spans="37:216" ht="26.25" x14ac:dyDescent="0.4">
      <c r="AL278" s="872"/>
      <c r="BO278" s="871"/>
      <c r="BP278" s="847"/>
      <c r="BQ278" s="847"/>
      <c r="BR278" s="847"/>
      <c r="BS278" s="847"/>
      <c r="CN278" s="871"/>
      <c r="CO278" s="847"/>
      <c r="CP278" s="847"/>
      <c r="CQ278" s="847"/>
      <c r="CR278" s="871"/>
      <c r="CS278" s="847"/>
      <c r="CT278" s="847"/>
      <c r="DO278" s="838"/>
      <c r="DP278" s="838"/>
      <c r="DQ278" s="838"/>
      <c r="DR278" s="838"/>
      <c r="DS278" s="838"/>
      <c r="DT278" s="838"/>
      <c r="DU278" s="838"/>
      <c r="DV278" s="838"/>
      <c r="DW278" s="838"/>
      <c r="DX278" s="838"/>
      <c r="DY278" s="838"/>
      <c r="DZ278" s="838"/>
      <c r="EA278" s="838"/>
      <c r="EB278" s="838"/>
      <c r="EC278" s="838"/>
      <c r="ED278" s="838"/>
      <c r="EE278" s="852"/>
      <c r="EP278" s="838"/>
      <c r="EQ278" s="858"/>
      <c r="ER278" s="838"/>
      <c r="ES278" s="858"/>
      <c r="ET278" s="858"/>
      <c r="EU278" s="858"/>
      <c r="EV278" s="858"/>
      <c r="EW278" s="847"/>
      <c r="EX278" s="847"/>
      <c r="EY278" s="847"/>
      <c r="EZ278" s="847"/>
      <c r="FA278" s="852"/>
      <c r="FB278" s="852"/>
      <c r="FC278" s="838"/>
      <c r="FD278" s="838"/>
      <c r="FE278" s="838"/>
      <c r="FF278" s="838"/>
      <c r="FG278" s="838"/>
      <c r="FH278" s="838"/>
      <c r="FI278" s="838"/>
      <c r="FJ278" s="838"/>
      <c r="FK278" s="838"/>
      <c r="FL278" s="838"/>
      <c r="FM278" s="838"/>
      <c r="FN278" s="838"/>
      <c r="FO278" s="838"/>
      <c r="FP278" s="838"/>
      <c r="GM278" s="858"/>
      <c r="GN278" s="838"/>
      <c r="GO278" s="858"/>
      <c r="GP278" s="858"/>
      <c r="GQ278" s="858"/>
      <c r="GR278" s="838"/>
      <c r="HF278" s="700">
        <v>48</v>
      </c>
      <c r="HH278" s="591">
        <v>48</v>
      </c>
    </row>
    <row r="279" spans="37:216" ht="26.25" x14ac:dyDescent="0.4">
      <c r="AL279" s="852"/>
      <c r="CN279" s="871"/>
      <c r="CO279" s="847"/>
      <c r="CP279" s="847"/>
      <c r="CQ279" s="847"/>
      <c r="CR279" s="871"/>
      <c r="CS279" s="847"/>
      <c r="CT279" s="847"/>
      <c r="DO279" s="838"/>
      <c r="DP279" s="838"/>
      <c r="DQ279" s="838"/>
      <c r="DR279" s="838"/>
      <c r="DS279" s="838"/>
      <c r="DT279" s="838"/>
      <c r="DU279" s="838"/>
      <c r="DV279" s="838"/>
      <c r="DW279" s="838"/>
      <c r="DX279" s="838"/>
      <c r="DY279" s="838"/>
      <c r="DZ279" s="838"/>
      <c r="EA279" s="838"/>
      <c r="EB279" s="838"/>
      <c r="EC279" s="838"/>
      <c r="ED279" s="838"/>
      <c r="EE279" s="852"/>
      <c r="EP279" s="838"/>
      <c r="EQ279" s="858"/>
      <c r="ER279" s="838"/>
      <c r="ES279" s="858"/>
      <c r="ET279" s="858"/>
      <c r="EU279" s="858"/>
      <c r="EV279" s="858"/>
      <c r="EW279" s="847"/>
      <c r="EX279" s="847"/>
      <c r="EY279" s="847"/>
      <c r="EZ279" s="847"/>
      <c r="FA279" s="852"/>
      <c r="FB279" s="852"/>
      <c r="FC279" s="838"/>
      <c r="FD279" s="838"/>
      <c r="FE279" s="838"/>
      <c r="FF279" s="838"/>
      <c r="FG279" s="838"/>
      <c r="FH279" s="838"/>
      <c r="FI279" s="838"/>
      <c r="FJ279" s="838"/>
      <c r="FK279" s="838"/>
      <c r="FL279" s="838"/>
      <c r="FM279" s="838"/>
      <c r="FN279" s="838"/>
      <c r="FO279" s="838"/>
      <c r="FP279" s="838"/>
      <c r="GM279" s="858"/>
      <c r="GN279" s="838"/>
      <c r="GO279" s="858"/>
      <c r="GP279" s="858"/>
      <c r="GQ279" s="858"/>
      <c r="GR279" s="838"/>
      <c r="HF279" s="700">
        <v>48.5</v>
      </c>
      <c r="HH279" s="591">
        <v>48.5</v>
      </c>
    </row>
    <row r="280" spans="37:216" ht="26.25" x14ac:dyDescent="0.4">
      <c r="AL280" s="852"/>
      <c r="CN280" s="871"/>
      <c r="CO280" s="847"/>
      <c r="CP280" s="847"/>
      <c r="CQ280" s="847"/>
      <c r="CR280" s="871"/>
      <c r="CS280" s="847"/>
      <c r="CT280" s="847"/>
      <c r="DO280" s="838"/>
      <c r="DP280" s="838"/>
      <c r="DQ280" s="838"/>
      <c r="DR280" s="838"/>
      <c r="DS280" s="838"/>
      <c r="DT280" s="838"/>
      <c r="DU280" s="838"/>
      <c r="DV280" s="838"/>
      <c r="DW280" s="838"/>
      <c r="DX280" s="838"/>
      <c r="DY280" s="838"/>
      <c r="DZ280" s="838"/>
      <c r="EA280" s="838"/>
      <c r="EB280" s="838"/>
      <c r="EC280" s="838"/>
      <c r="ED280" s="838"/>
      <c r="EE280" s="852"/>
      <c r="EP280" s="838"/>
      <c r="EQ280" s="858"/>
      <c r="ER280" s="838"/>
      <c r="ES280" s="858"/>
      <c r="ET280" s="858"/>
      <c r="EU280" s="858"/>
      <c r="EV280" s="858"/>
      <c r="EW280" s="847"/>
      <c r="EX280" s="847"/>
      <c r="EY280" s="847"/>
      <c r="EZ280" s="847"/>
      <c r="FA280" s="852"/>
      <c r="FB280" s="852"/>
      <c r="FC280" s="838"/>
      <c r="FD280" s="838"/>
      <c r="FE280" s="838"/>
      <c r="FF280" s="838"/>
      <c r="FG280" s="838"/>
      <c r="FH280" s="838"/>
      <c r="FI280" s="838"/>
      <c r="FJ280" s="838"/>
      <c r="FK280" s="838"/>
      <c r="FL280" s="838"/>
      <c r="FM280" s="838"/>
      <c r="FN280" s="838"/>
      <c r="FO280" s="838"/>
      <c r="FP280" s="838"/>
      <c r="GM280" s="858"/>
      <c r="GN280" s="838"/>
      <c r="GO280" s="858"/>
      <c r="GP280" s="858"/>
      <c r="GQ280" s="858"/>
      <c r="GR280" s="838"/>
      <c r="HF280" s="700">
        <v>49</v>
      </c>
      <c r="HH280" s="591">
        <v>49</v>
      </c>
    </row>
    <row r="281" spans="37:216" ht="26.25" x14ac:dyDescent="0.4">
      <c r="AL281" s="852"/>
      <c r="BO281" s="837"/>
      <c r="BP281" s="837"/>
      <c r="BQ281" s="837"/>
      <c r="BR281" s="837"/>
      <c r="BS281" s="837"/>
      <c r="BT281" s="837"/>
      <c r="CN281" s="871"/>
      <c r="CO281" s="847"/>
      <c r="CP281" s="847"/>
      <c r="CQ281" s="847"/>
      <c r="CR281" s="871"/>
      <c r="CS281" s="847"/>
      <c r="CT281" s="847"/>
      <c r="DO281" s="838"/>
      <c r="DP281" s="838"/>
      <c r="DQ281" s="838"/>
      <c r="DR281" s="838"/>
      <c r="DS281" s="838"/>
      <c r="DT281" s="838"/>
      <c r="DU281" s="838"/>
      <c r="DV281" s="838"/>
      <c r="DW281" s="838"/>
      <c r="DX281" s="838"/>
      <c r="DY281" s="838"/>
      <c r="DZ281" s="838"/>
      <c r="EA281" s="838"/>
      <c r="EB281" s="838"/>
      <c r="EC281" s="838"/>
      <c r="ED281" s="838"/>
      <c r="EE281" s="852"/>
      <c r="EP281" s="838"/>
      <c r="EQ281" s="858"/>
      <c r="ER281" s="838"/>
      <c r="ES281" s="858"/>
      <c r="ET281" s="858"/>
      <c r="EU281" s="858"/>
      <c r="EV281" s="858"/>
      <c r="EW281" s="847"/>
      <c r="EX281" s="847"/>
      <c r="EY281" s="847"/>
      <c r="EZ281" s="847"/>
      <c r="FA281" s="852"/>
      <c r="FB281" s="852"/>
      <c r="FC281" s="838"/>
      <c r="FD281" s="838"/>
      <c r="FE281" s="838"/>
      <c r="FF281" s="838"/>
      <c r="FG281" s="838"/>
      <c r="FH281" s="838"/>
      <c r="FI281" s="838"/>
      <c r="FJ281" s="838"/>
      <c r="FK281" s="838"/>
      <c r="FL281" s="838"/>
      <c r="FM281" s="838"/>
      <c r="FN281" s="838"/>
      <c r="FO281" s="838"/>
      <c r="FP281" s="838"/>
      <c r="GM281" s="858"/>
      <c r="GN281" s="838"/>
      <c r="GO281" s="858"/>
      <c r="GP281" s="858"/>
      <c r="GQ281" s="858"/>
      <c r="GR281" s="838"/>
      <c r="HF281" s="700">
        <v>49.5</v>
      </c>
      <c r="HH281" s="591">
        <v>49.5</v>
      </c>
    </row>
    <row r="282" spans="37:216" ht="26.25" x14ac:dyDescent="0.4">
      <c r="CN282" s="871"/>
      <c r="CO282" s="847"/>
      <c r="CP282" s="847"/>
      <c r="CQ282" s="847"/>
      <c r="CR282" s="871"/>
      <c r="CS282" s="847"/>
      <c r="CT282" s="847"/>
      <c r="DO282" s="838"/>
      <c r="DP282" s="838"/>
      <c r="DQ282" s="838"/>
      <c r="DR282" s="838"/>
      <c r="DS282" s="838"/>
      <c r="DT282" s="838"/>
      <c r="DU282" s="838"/>
      <c r="DV282" s="838"/>
      <c r="DW282" s="838"/>
      <c r="DX282" s="838"/>
      <c r="DY282" s="838"/>
      <c r="DZ282" s="838"/>
      <c r="EA282" s="838"/>
      <c r="EB282" s="838"/>
      <c r="EC282" s="838"/>
      <c r="ED282" s="838"/>
      <c r="EE282" s="852"/>
      <c r="EP282" s="838"/>
      <c r="EQ282" s="858"/>
      <c r="ER282" s="838"/>
      <c r="ES282" s="858"/>
      <c r="ET282" s="858"/>
      <c r="EU282" s="858"/>
      <c r="EV282" s="858"/>
      <c r="EW282" s="847"/>
      <c r="EX282" s="847"/>
      <c r="EY282" s="847"/>
      <c r="EZ282" s="847"/>
      <c r="FA282" s="852"/>
      <c r="FB282" s="852"/>
      <c r="FC282" s="838"/>
      <c r="FD282" s="838"/>
      <c r="FE282" s="838"/>
      <c r="FF282" s="838"/>
      <c r="FG282" s="838"/>
      <c r="FH282" s="838"/>
      <c r="FI282" s="838"/>
      <c r="FJ282" s="838"/>
      <c r="FK282" s="838"/>
      <c r="FL282" s="838"/>
      <c r="FM282" s="838"/>
      <c r="FN282" s="838"/>
      <c r="FO282" s="838"/>
      <c r="FP282" s="838"/>
      <c r="GM282" s="858"/>
      <c r="GN282" s="838"/>
      <c r="GO282" s="858"/>
      <c r="GP282" s="858"/>
      <c r="GQ282" s="858"/>
      <c r="GR282" s="838"/>
      <c r="HF282" s="700">
        <v>50</v>
      </c>
      <c r="HH282" s="591">
        <v>50</v>
      </c>
    </row>
    <row r="283" spans="37:216" ht="26.25" x14ac:dyDescent="0.4">
      <c r="CN283" s="871"/>
      <c r="CO283" s="847"/>
      <c r="CP283" s="847"/>
      <c r="CQ283" s="847"/>
      <c r="CR283" s="871"/>
      <c r="CS283" s="847"/>
      <c r="CT283" s="847"/>
      <c r="DO283" s="838"/>
      <c r="DP283" s="838"/>
      <c r="DQ283" s="838"/>
      <c r="DR283" s="838"/>
      <c r="DS283" s="838"/>
      <c r="DT283" s="838"/>
      <c r="DU283" s="838"/>
      <c r="DV283" s="838"/>
      <c r="DW283" s="838"/>
      <c r="DX283" s="838"/>
      <c r="DY283" s="838"/>
      <c r="DZ283" s="838"/>
      <c r="EA283" s="838"/>
      <c r="EB283" s="838"/>
      <c r="EC283" s="838"/>
      <c r="ED283" s="838"/>
      <c r="EE283" s="852"/>
      <c r="EP283" s="838"/>
      <c r="EQ283" s="858"/>
      <c r="ER283" s="838"/>
      <c r="ES283" s="858"/>
      <c r="ET283" s="858"/>
      <c r="EU283" s="858"/>
      <c r="EV283" s="858"/>
      <c r="EW283" s="847"/>
      <c r="EX283" s="847"/>
      <c r="EY283" s="847"/>
      <c r="EZ283" s="847"/>
      <c r="FA283" s="852"/>
      <c r="FB283" s="852"/>
      <c r="FC283" s="838"/>
      <c r="FD283" s="838"/>
      <c r="FE283" s="838"/>
      <c r="FF283" s="838"/>
      <c r="FG283" s="838"/>
      <c r="FH283" s="838"/>
      <c r="FI283" s="838"/>
      <c r="FJ283" s="838"/>
      <c r="FK283" s="838"/>
      <c r="FL283" s="838"/>
      <c r="FM283" s="838"/>
      <c r="FN283" s="838"/>
      <c r="FO283" s="838"/>
      <c r="FP283" s="838"/>
      <c r="GM283" s="858"/>
      <c r="GN283" s="838"/>
      <c r="GO283" s="858"/>
      <c r="GP283" s="858"/>
      <c r="GQ283" s="858"/>
      <c r="GR283" s="838"/>
      <c r="HF283" s="700">
        <v>50.5</v>
      </c>
      <c r="HH283" s="591">
        <v>50.5</v>
      </c>
    </row>
    <row r="284" spans="37:216" ht="26.25" x14ac:dyDescent="0.4">
      <c r="CN284" s="871"/>
      <c r="CO284" s="847"/>
      <c r="CP284" s="847"/>
      <c r="CQ284" s="847"/>
      <c r="CR284" s="871"/>
      <c r="CS284" s="847"/>
      <c r="CT284" s="847"/>
      <c r="DO284" s="838"/>
      <c r="DP284" s="838"/>
      <c r="DQ284" s="838"/>
      <c r="DR284" s="838"/>
      <c r="DS284" s="838"/>
      <c r="DT284" s="838"/>
      <c r="DU284" s="838"/>
      <c r="DV284" s="838"/>
      <c r="DW284" s="838"/>
      <c r="DX284" s="838"/>
      <c r="DY284" s="838"/>
      <c r="DZ284" s="838"/>
      <c r="EA284" s="838"/>
      <c r="EB284" s="838"/>
      <c r="EC284" s="838"/>
      <c r="ED284" s="838"/>
      <c r="EE284" s="852"/>
      <c r="EP284" s="838"/>
      <c r="EQ284" s="858"/>
      <c r="ER284" s="838"/>
      <c r="ES284" s="858"/>
      <c r="ET284" s="858"/>
      <c r="EU284" s="858"/>
      <c r="EV284" s="858"/>
      <c r="EW284" s="847"/>
      <c r="EX284" s="847"/>
      <c r="EY284" s="847"/>
      <c r="EZ284" s="847"/>
      <c r="FA284" s="852"/>
      <c r="FB284" s="852"/>
      <c r="FC284" s="838"/>
      <c r="FD284" s="838"/>
      <c r="FE284" s="838"/>
      <c r="FF284" s="838"/>
      <c r="FG284" s="838"/>
      <c r="FH284" s="838"/>
      <c r="FI284" s="838"/>
      <c r="FJ284" s="838"/>
      <c r="FK284" s="838"/>
      <c r="FL284" s="838"/>
      <c r="FM284" s="838"/>
      <c r="FN284" s="838"/>
      <c r="FO284" s="838"/>
      <c r="FP284" s="838"/>
      <c r="GM284" s="858"/>
      <c r="GN284" s="838"/>
      <c r="GO284" s="858"/>
      <c r="GP284" s="858"/>
      <c r="GQ284" s="858"/>
      <c r="GR284" s="838"/>
      <c r="HF284" s="700">
        <v>51</v>
      </c>
      <c r="HH284" s="591">
        <v>51</v>
      </c>
    </row>
    <row r="285" spans="37:216" x14ac:dyDescent="0.35">
      <c r="DO285" s="838"/>
      <c r="DP285" s="838"/>
      <c r="DQ285" s="838"/>
      <c r="DR285" s="838"/>
      <c r="DS285" s="838"/>
      <c r="DT285" s="838"/>
      <c r="DU285" s="838"/>
      <c r="DV285" s="838"/>
      <c r="DW285" s="838"/>
      <c r="DX285" s="838"/>
      <c r="DY285" s="838"/>
      <c r="DZ285" s="838"/>
      <c r="EA285" s="838"/>
      <c r="EB285" s="838"/>
      <c r="EC285" s="838"/>
      <c r="ED285" s="838"/>
      <c r="EE285" s="852"/>
      <c r="EP285" s="838"/>
      <c r="EQ285" s="858"/>
      <c r="ER285" s="838"/>
      <c r="ES285" s="858"/>
      <c r="ET285" s="858"/>
      <c r="EU285" s="858"/>
      <c r="EV285" s="858"/>
      <c r="EW285" s="847"/>
      <c r="EX285" s="847"/>
      <c r="EY285" s="847"/>
      <c r="EZ285" s="847"/>
      <c r="FA285" s="852"/>
      <c r="FB285" s="852"/>
      <c r="FC285" s="838"/>
      <c r="FD285" s="838"/>
      <c r="FE285" s="838"/>
      <c r="FF285" s="838"/>
      <c r="FG285" s="838"/>
      <c r="FH285" s="838"/>
      <c r="FI285" s="838"/>
      <c r="FJ285" s="838"/>
      <c r="FK285" s="838"/>
      <c r="FL285" s="838"/>
      <c r="FM285" s="838"/>
      <c r="FN285" s="838"/>
      <c r="FO285" s="838"/>
      <c r="FP285" s="838"/>
      <c r="GM285" s="858"/>
      <c r="GN285" s="838"/>
      <c r="GO285" s="858"/>
      <c r="GP285" s="858"/>
      <c r="GQ285" s="858"/>
      <c r="GR285" s="838"/>
      <c r="HF285" s="700">
        <v>51.5</v>
      </c>
      <c r="HH285" s="591">
        <v>51.5</v>
      </c>
    </row>
    <row r="286" spans="37:216" x14ac:dyDescent="0.35">
      <c r="DN286" s="838"/>
      <c r="DO286" s="838"/>
      <c r="DP286" s="838"/>
      <c r="DQ286" s="838"/>
      <c r="DR286" s="838"/>
      <c r="DS286" s="838"/>
      <c r="DT286" s="838"/>
      <c r="DU286" s="838"/>
      <c r="DV286" s="838"/>
      <c r="DW286" s="838"/>
      <c r="DX286" s="838"/>
      <c r="DY286" s="838"/>
      <c r="DZ286" s="838"/>
      <c r="EA286" s="838"/>
      <c r="EB286" s="838"/>
      <c r="EC286" s="838"/>
      <c r="ED286" s="838"/>
      <c r="EE286" s="852"/>
      <c r="EP286" s="838"/>
      <c r="EQ286" s="858"/>
      <c r="ER286" s="838"/>
      <c r="ES286" s="858"/>
      <c r="ET286" s="858"/>
      <c r="EU286" s="858"/>
      <c r="EV286" s="858"/>
      <c r="EW286" s="847"/>
      <c r="EX286" s="847"/>
      <c r="EY286" s="847"/>
      <c r="EZ286" s="847"/>
      <c r="FA286" s="852"/>
      <c r="FB286" s="852"/>
      <c r="FC286" s="838"/>
      <c r="FD286" s="838"/>
      <c r="FE286" s="838"/>
      <c r="FF286" s="838"/>
      <c r="FG286" s="838"/>
      <c r="FH286" s="838"/>
      <c r="FI286" s="838"/>
      <c r="FJ286" s="838"/>
      <c r="FK286" s="838"/>
      <c r="FL286" s="838"/>
      <c r="FM286" s="838"/>
      <c r="FN286" s="838"/>
      <c r="FO286" s="838"/>
      <c r="FP286" s="838"/>
      <c r="GM286" s="858"/>
      <c r="GN286" s="838"/>
      <c r="GO286" s="858"/>
      <c r="GP286" s="858"/>
      <c r="GQ286" s="858"/>
      <c r="GR286" s="838"/>
      <c r="HF286" s="700">
        <v>52</v>
      </c>
      <c r="HH286" s="591">
        <v>52</v>
      </c>
    </row>
    <row r="287" spans="37:216" x14ac:dyDescent="0.35">
      <c r="AK287" s="837" t="s">
        <v>836</v>
      </c>
      <c r="AL287" s="837"/>
      <c r="AM287" s="837"/>
      <c r="AN287" s="837"/>
      <c r="AO287" s="837"/>
      <c r="AP287" s="837"/>
      <c r="AQ287" s="837"/>
      <c r="AR287" s="837"/>
      <c r="AS287" s="837"/>
      <c r="AT287" s="837"/>
      <c r="AU287" s="837"/>
      <c r="AV287" s="837"/>
      <c r="AW287" s="837" t="s">
        <v>836</v>
      </c>
      <c r="AX287" s="837"/>
      <c r="AY287" s="837"/>
      <c r="AZ287" s="837"/>
      <c r="BA287" s="837"/>
      <c r="BB287" s="837"/>
      <c r="BC287" s="837"/>
      <c r="BD287" s="837"/>
      <c r="BE287" s="837"/>
      <c r="BF287" s="837"/>
      <c r="BG287" s="837"/>
      <c r="BH287" s="837"/>
      <c r="BI287" s="837" t="s">
        <v>836</v>
      </c>
      <c r="BJ287" s="837"/>
      <c r="BK287" s="837"/>
      <c r="BL287" s="837"/>
      <c r="BM287" s="837"/>
      <c r="BN287" s="837"/>
      <c r="BO287" s="837"/>
      <c r="BP287" s="837"/>
      <c r="BQ287" s="837"/>
      <c r="BR287" s="837"/>
      <c r="BS287" s="837"/>
      <c r="BT287" s="837"/>
      <c r="BU287" s="837" t="s">
        <v>836</v>
      </c>
      <c r="BV287" s="837"/>
      <c r="BY287" s="837"/>
      <c r="BZ287" s="837"/>
      <c r="CA287" s="837"/>
      <c r="CB287" s="837"/>
      <c r="CC287" s="837"/>
      <c r="CD287" s="837"/>
      <c r="CE287" s="837"/>
      <c r="CF287" s="837"/>
      <c r="CG287" s="837" t="s">
        <v>836</v>
      </c>
      <c r="CH287" s="837"/>
      <c r="CI287" s="837"/>
      <c r="CJ287" s="837"/>
      <c r="CK287" s="837"/>
      <c r="CL287" s="837"/>
      <c r="CM287" s="837"/>
      <c r="CN287" s="837"/>
      <c r="CO287" s="837"/>
      <c r="CP287" s="837"/>
      <c r="CQ287" s="837"/>
      <c r="CR287" s="837"/>
      <c r="CS287" s="837" t="s">
        <v>836</v>
      </c>
      <c r="CT287" s="837"/>
      <c r="CU287" s="837"/>
      <c r="CV287" s="837"/>
      <c r="CW287" s="837"/>
      <c r="CX287" s="837"/>
      <c r="CY287" s="837"/>
      <c r="CZ287" s="837"/>
      <c r="DA287" s="837"/>
      <c r="DB287" s="837"/>
      <c r="DC287" s="837"/>
      <c r="DD287" s="837"/>
      <c r="DE287" s="837" t="s">
        <v>769</v>
      </c>
      <c r="DF287" s="837"/>
      <c r="DG287" s="837"/>
      <c r="DH287" s="837"/>
      <c r="DI287" s="837"/>
      <c r="DJ287" s="837"/>
      <c r="DK287" s="837"/>
      <c r="DL287" s="837"/>
      <c r="DM287" s="678"/>
      <c r="DN287" s="859"/>
      <c r="DO287" s="838"/>
      <c r="DP287" s="838"/>
      <c r="DQ287" s="838"/>
      <c r="DR287" s="838"/>
      <c r="DS287" s="838"/>
      <c r="DT287" s="838"/>
      <c r="DU287" s="838"/>
      <c r="DV287" s="838"/>
      <c r="DW287" s="838"/>
      <c r="DX287" s="838"/>
      <c r="DY287" s="838"/>
      <c r="DZ287" s="838"/>
      <c r="EA287" s="838"/>
      <c r="EB287" s="838"/>
      <c r="EC287" s="838"/>
      <c r="ED287" s="838"/>
      <c r="EE287" s="852"/>
      <c r="EP287" s="838"/>
      <c r="EQ287" s="858"/>
      <c r="ER287" s="838"/>
      <c r="ES287" s="858"/>
      <c r="ET287" s="858"/>
      <c r="EU287" s="858"/>
      <c r="EV287" s="858"/>
      <c r="EW287" s="847"/>
      <c r="EX287" s="847"/>
      <c r="EY287" s="847"/>
      <c r="EZ287" s="847"/>
      <c r="FA287" s="852"/>
      <c r="FB287" s="852"/>
      <c r="FC287" s="838"/>
      <c r="FD287" s="838"/>
      <c r="FE287" s="838"/>
      <c r="FF287" s="838"/>
      <c r="FG287" s="838"/>
      <c r="FH287" s="838"/>
      <c r="FI287" s="838"/>
      <c r="FJ287" s="838"/>
      <c r="FK287" s="838"/>
      <c r="FL287" s="838"/>
      <c r="FM287" s="838"/>
      <c r="FN287" s="838"/>
      <c r="FO287" s="838"/>
      <c r="FP287" s="838"/>
      <c r="GM287" s="858"/>
      <c r="GN287" s="838"/>
      <c r="GO287" s="858"/>
      <c r="GP287" s="858"/>
      <c r="GQ287" s="858"/>
      <c r="GR287" s="838"/>
      <c r="HF287" s="700">
        <v>52.5</v>
      </c>
      <c r="HH287" s="591">
        <v>52.5</v>
      </c>
    </row>
    <row r="288" spans="37:216" x14ac:dyDescent="0.35">
      <c r="AK288" s="837" t="s">
        <v>779</v>
      </c>
      <c r="AL288" s="837"/>
      <c r="AM288" s="837"/>
      <c r="AN288" s="837"/>
      <c r="AO288" s="837"/>
      <c r="AP288" s="837"/>
      <c r="AQ288" s="837"/>
      <c r="AS288" s="837" t="s">
        <v>782</v>
      </c>
      <c r="AT288" s="837"/>
      <c r="AU288" s="837"/>
      <c r="AV288" s="837"/>
      <c r="AW288" s="837"/>
      <c r="AX288" s="837"/>
      <c r="AY288" s="837"/>
      <c r="AZ288" s="837"/>
      <c r="BA288" s="837" t="s">
        <v>780</v>
      </c>
      <c r="BB288" s="837"/>
      <c r="BC288" s="837"/>
      <c r="BD288" s="837"/>
      <c r="BE288" s="837"/>
      <c r="BF288" s="837"/>
      <c r="BG288" s="837"/>
      <c r="BH288" s="837"/>
      <c r="BI288" s="837"/>
      <c r="BJ288" s="837"/>
      <c r="BK288" s="837"/>
      <c r="BL288" s="837"/>
      <c r="BM288" s="837"/>
      <c r="BO288" s="837" t="s">
        <v>769</v>
      </c>
      <c r="BP288" s="837"/>
      <c r="BQ288" s="837"/>
      <c r="BR288" s="678"/>
      <c r="BS288" s="837" t="s">
        <v>770</v>
      </c>
      <c r="BT288" s="837"/>
      <c r="BV288" s="837" t="s">
        <v>781</v>
      </c>
      <c r="BY288" s="837"/>
      <c r="BZ288" s="837"/>
      <c r="CA288" s="837"/>
      <c r="CB288" s="837"/>
      <c r="CC288" s="837"/>
      <c r="CD288" s="837"/>
      <c r="CF288" s="837">
        <v>120</v>
      </c>
      <c r="CG288" s="837"/>
      <c r="CH288" s="837"/>
      <c r="CI288" s="837"/>
      <c r="CJ288" s="837"/>
      <c r="CK288" s="837"/>
      <c r="CL288" s="837"/>
      <c r="CN288" s="971"/>
      <c r="CO288" s="971"/>
      <c r="CP288" s="971"/>
      <c r="CQ288" s="865"/>
      <c r="CR288" s="971"/>
      <c r="CS288" s="971"/>
      <c r="CT288" s="971"/>
      <c r="DN288" s="838"/>
      <c r="DO288" s="838"/>
      <c r="DP288" s="838"/>
      <c r="DQ288" s="838"/>
      <c r="DR288" s="838"/>
      <c r="DS288" s="838"/>
      <c r="DT288" s="838"/>
      <c r="DU288" s="838"/>
      <c r="DV288" s="838"/>
      <c r="DW288" s="838"/>
      <c r="DX288" s="838"/>
      <c r="DY288" s="838"/>
      <c r="DZ288" s="838"/>
      <c r="EA288" s="838"/>
      <c r="EB288" s="838"/>
      <c r="EC288" s="838"/>
      <c r="ED288" s="838"/>
      <c r="EE288" s="852"/>
      <c r="EP288" s="838"/>
      <c r="EQ288" s="858"/>
      <c r="ER288" s="838"/>
      <c r="ES288" s="858"/>
      <c r="ET288" s="858"/>
      <c r="EU288" s="858"/>
      <c r="EV288" s="858"/>
      <c r="EW288" s="847"/>
      <c r="EX288" s="847"/>
      <c r="EY288" s="847"/>
      <c r="EZ288" s="847"/>
      <c r="FA288" s="852"/>
      <c r="FB288" s="852"/>
      <c r="FC288" s="838"/>
      <c r="FD288" s="838"/>
      <c r="FE288" s="838"/>
      <c r="FF288" s="838"/>
      <c r="FG288" s="838"/>
      <c r="FH288" s="838"/>
      <c r="FI288" s="838"/>
      <c r="FJ288" s="838"/>
      <c r="FK288" s="838"/>
      <c r="FL288" s="838"/>
      <c r="FM288" s="838"/>
      <c r="FN288" s="838"/>
      <c r="FO288" s="838"/>
      <c r="FP288" s="838"/>
      <c r="GM288" s="858"/>
      <c r="GN288" s="838"/>
      <c r="GO288" s="858"/>
      <c r="GP288" s="858"/>
      <c r="GQ288" s="858"/>
      <c r="GR288" s="838"/>
      <c r="HF288" s="700">
        <v>53</v>
      </c>
      <c r="HH288" s="591">
        <v>53</v>
      </c>
    </row>
    <row r="289" spans="37:216" ht="26.25" x14ac:dyDescent="0.4">
      <c r="AK289" s="777">
        <v>57.5</v>
      </c>
      <c r="AL289" s="845">
        <v>71.5</v>
      </c>
      <c r="AM289" s="777">
        <v>85.5</v>
      </c>
      <c r="AN289" s="866">
        <v>113.5</v>
      </c>
      <c r="AO289" s="866">
        <v>141.5</v>
      </c>
      <c r="AP289" s="777">
        <v>180.5</v>
      </c>
      <c r="AQ289" s="849">
        <v>240</v>
      </c>
      <c r="AS289" s="777">
        <v>57.5</v>
      </c>
      <c r="AT289" s="845">
        <v>71.5</v>
      </c>
      <c r="AU289" s="777">
        <v>85.5</v>
      </c>
      <c r="AV289" s="866">
        <v>113.5</v>
      </c>
      <c r="AW289" s="866">
        <v>141.5</v>
      </c>
      <c r="AX289" s="777">
        <v>180.5</v>
      </c>
      <c r="AY289" s="849">
        <v>240</v>
      </c>
      <c r="AZ289" s="849"/>
      <c r="BA289" s="777">
        <v>57.5</v>
      </c>
      <c r="BB289" s="845">
        <v>71.5</v>
      </c>
      <c r="BC289" s="777">
        <v>85.5</v>
      </c>
      <c r="BD289" s="866">
        <v>113.5</v>
      </c>
      <c r="BE289" s="866">
        <v>121.5</v>
      </c>
      <c r="BF289" s="866">
        <v>127.5</v>
      </c>
      <c r="BG289" s="866">
        <v>135</v>
      </c>
      <c r="BH289" s="866">
        <v>141.5</v>
      </c>
      <c r="BI289" s="866">
        <v>149</v>
      </c>
      <c r="BJ289" s="866">
        <v>155.5</v>
      </c>
      <c r="BK289" s="866">
        <v>163</v>
      </c>
      <c r="BL289" s="777">
        <v>180.5</v>
      </c>
      <c r="BM289" s="849">
        <v>240</v>
      </c>
      <c r="BP289" s="845"/>
      <c r="BR289" s="866"/>
      <c r="BS289" s="866"/>
      <c r="BT289" s="849"/>
      <c r="BV289" s="777">
        <v>57.5</v>
      </c>
      <c r="BW289" s="845">
        <v>71.5</v>
      </c>
      <c r="BX289" s="777">
        <v>85.5</v>
      </c>
      <c r="BY289" s="866">
        <v>113.5</v>
      </c>
      <c r="BZ289" s="866">
        <v>141.5</v>
      </c>
      <c r="CA289" s="866">
        <v>149</v>
      </c>
      <c r="CB289" s="866">
        <v>163</v>
      </c>
      <c r="CC289" s="777">
        <v>180.5</v>
      </c>
      <c r="CD289" s="849">
        <v>240</v>
      </c>
      <c r="CF289" s="777">
        <v>57.5</v>
      </c>
      <c r="CG289" s="845">
        <v>71.5</v>
      </c>
      <c r="CH289" s="777">
        <v>85.5</v>
      </c>
      <c r="CI289" s="866">
        <v>113.5</v>
      </c>
      <c r="CJ289" s="866">
        <v>141.5</v>
      </c>
      <c r="CK289" s="777">
        <v>180.5</v>
      </c>
      <c r="CL289" s="849">
        <v>240</v>
      </c>
      <c r="CN289" s="1001" t="s">
        <v>783</v>
      </c>
      <c r="CO289" s="1001"/>
      <c r="CP289" s="865"/>
      <c r="CQ289" s="1001" t="s">
        <v>784</v>
      </c>
      <c r="CR289" s="1001"/>
      <c r="CS289" s="845"/>
      <c r="CT289" s="867" t="s">
        <v>785</v>
      </c>
      <c r="CU289" s="867"/>
      <c r="CV289" s="867" t="s">
        <v>786</v>
      </c>
      <c r="CW289" s="845"/>
      <c r="CX289" s="1098"/>
      <c r="CY289" s="845"/>
      <c r="CZ289" s="867" t="s">
        <v>787</v>
      </c>
      <c r="DA289" s="845"/>
      <c r="DB289" s="867" t="s">
        <v>788</v>
      </c>
      <c r="DC289" s="845"/>
      <c r="DD289" s="867" t="s">
        <v>789</v>
      </c>
      <c r="DE289" s="867"/>
      <c r="DF289" s="868" t="s">
        <v>790</v>
      </c>
      <c r="DG289" s="845"/>
      <c r="DH289" s="868" t="s">
        <v>791</v>
      </c>
      <c r="DI289" s="845"/>
      <c r="DJ289" s="1098"/>
      <c r="DK289" s="845"/>
      <c r="DL289" s="867" t="s">
        <v>792</v>
      </c>
      <c r="DN289" s="838"/>
      <c r="DO289" s="838"/>
      <c r="DP289" s="838"/>
      <c r="DQ289" s="838"/>
      <c r="DR289" s="838"/>
      <c r="DS289" s="838"/>
      <c r="DT289" s="838"/>
      <c r="DU289" s="838"/>
      <c r="DV289" s="838"/>
      <c r="DW289" s="838"/>
      <c r="DX289" s="838"/>
      <c r="DY289" s="838"/>
      <c r="DZ289" s="838"/>
      <c r="EA289" s="838"/>
      <c r="EB289" s="838"/>
      <c r="EC289" s="838"/>
      <c r="ED289" s="838"/>
      <c r="EP289" s="838"/>
      <c r="EQ289" s="858"/>
      <c r="ER289" s="838"/>
      <c r="ES289" s="858"/>
      <c r="ET289" s="858"/>
      <c r="EU289" s="858"/>
      <c r="EV289" s="858"/>
      <c r="EW289" s="847"/>
      <c r="EX289" s="847"/>
      <c r="EY289" s="847"/>
      <c r="EZ289" s="847"/>
      <c r="FA289" s="852"/>
      <c r="FB289" s="852"/>
      <c r="FC289" s="838"/>
      <c r="FD289" s="838"/>
      <c r="FE289" s="838"/>
      <c r="FF289" s="838"/>
      <c r="FG289" s="838"/>
      <c r="FH289" s="838"/>
      <c r="FI289" s="838"/>
      <c r="FJ289" s="838"/>
      <c r="FK289" s="838"/>
      <c r="FL289" s="838"/>
      <c r="FM289" s="838"/>
      <c r="FN289" s="838"/>
      <c r="FO289" s="838"/>
      <c r="FP289" s="838"/>
      <c r="GM289" s="858"/>
      <c r="GN289" s="838"/>
      <c r="GO289" s="858"/>
      <c r="GP289" s="858"/>
      <c r="GQ289" s="858"/>
      <c r="GR289" s="838"/>
      <c r="HF289" s="700">
        <v>53.5</v>
      </c>
      <c r="HH289" s="591">
        <v>53.5</v>
      </c>
    </row>
    <row r="290" spans="37:216" ht="26.25" x14ac:dyDescent="0.4">
      <c r="AK290" s="777" t="b">
        <f>IF('4 SUP +'!$A11&gt;10,IF('4 SUP +'!$A11&lt;31.1,IF('4 SUP +'!$C11&gt;10,IF('4 SUP +'!$C11&lt;57.6,'4 SUP +'!$AB11,0))))</f>
        <v>0</v>
      </c>
      <c r="AL290" s="777" t="b">
        <f>IF('4 SUP +'!$A11&gt;10,IF('4 SUP +'!$A11&lt;31.1,IF('4 SUP +'!$C11&gt;57.6,IF('4 SUP +'!$C11&lt;71.6,'4 SUP +'!$AB11,0))))</f>
        <v>0</v>
      </c>
      <c r="AM290" s="777" t="b">
        <f>IF('4 SUP +'!$A11&gt;10,IF('4 SUP +'!$A11&lt;31.1,IF('4 SUP +'!$C11&gt;71.5,IF('4 SUP +'!$C11&lt;85.6,'4 SUP +'!$AB11,0))))</f>
        <v>0</v>
      </c>
      <c r="AN290" s="777" t="b">
        <f>IF('4 SUP +'!$A11&gt;10,IF('4 SUP +'!$A11&lt;31.1,IF('4 SUP +'!$C11&gt;85.5,IF('4 SUP +'!$C11&lt;113.6,'4 SUP +'!$AB11,0))))</f>
        <v>0</v>
      </c>
      <c r="AO290" s="777" t="b">
        <f>IF('4 SUP +'!$A11&gt;10,IF('4 SUP +'!$A11&lt;31.1,IF('4 SUP +'!$C11&gt;113.5,IF('4 SUP +'!$C11&lt;141.6,'4 SUP +'!$AB11,0))))</f>
        <v>0</v>
      </c>
      <c r="AP290" s="777" t="b">
        <f>IF('4 SUP +'!$A11&gt;10,IF('4 SUP +'!$A11&lt;31.1,IF('4 SUP +'!$C11&gt;141.5,IF('4 SUP +'!$C11&lt;180.6,'4 SUP +'!$AB11,0))))</f>
        <v>0</v>
      </c>
      <c r="AQ290" s="777" t="b">
        <f>IF('4 SUP +'!$A11&gt;10,IF('4 SUP +'!$A11&lt;31.1,IF('4 SUP +'!$C11&gt;180.5,IF('4 SUP +'!$C11&lt;240.1,'4 SUP +'!$AB11,0))))</f>
        <v>0</v>
      </c>
      <c r="AS290" s="777" t="b">
        <f>IF('4 SUP +'!$A11&gt;31,IF('4 SUP +'!$A11&lt;45.5,IF('4 SUP +'!$C11&gt;10,IF('4 SUP +'!$C11&lt;57.6,'4 SUP +'!$AB11,0))))</f>
        <v>0</v>
      </c>
      <c r="AT290" s="777" t="b">
        <f>IF('4 SUP +'!$A11&gt;31,IF('4 SUP +'!$A11&lt;45.5,IF('4 SUP +'!$C11&gt;57.6,IF('4 SUP +'!$C11&lt;71.6,'4 SUP +'!$AB11,0))))</f>
        <v>0</v>
      </c>
      <c r="AU290" s="777" t="b">
        <f>IF('4 SUP +'!$A11&gt;31,IF('4 SUP +'!$A11&lt;45.5,IF('4 SUP +'!$C11&gt;71.5,IF('4 SUP +'!$C11&lt;85.6,'4 SUP +'!$AB11,0))))</f>
        <v>0</v>
      </c>
      <c r="AV290" s="777" t="b">
        <f>IF('4 SUP +'!$A11&gt;31,IF('4 SUP +'!$A11&lt;45.5,IF('4 SUP +'!$C11&gt;85.5,IF('4 SUP +'!$C11&lt;113.6,'4 SUP +'!$AB11,0))))</f>
        <v>0</v>
      </c>
      <c r="AW290" s="777" t="b">
        <f>IF('4 SUP +'!$A11&gt;31,IF('4 SUP +'!$A11&lt;45.5,IF('4 SUP +'!$C11&gt;113.5,IF('4 SUP +'!$C11&lt;141.6,'4 SUP +'!$AB11,0))))</f>
        <v>0</v>
      </c>
      <c r="AX290" s="777" t="b">
        <f>IF('4 SUP +'!$A11&gt;31,IF('4 SUP +'!$A11&lt;45.5,IF('4 SUP +'!$C11&gt;141.5,IF('4 SUP +'!$C11&lt;180.6,'4 SUP +'!$AB11,0))))</f>
        <v>0</v>
      </c>
      <c r="AY290" s="777" t="b">
        <f>IF('4 SUP +'!$A11&gt;31,IF('4 SUP +'!$A11&lt;45.5,IF('4 SUP +'!$C11&gt;180.5,IF('4 SUP +'!$C11&lt;240.1,'4 SUP +'!$AB11,0))))</f>
        <v>0</v>
      </c>
      <c r="BA290" s="777" t="b">
        <f>IF('4 SUP +'!$A11&gt;45.4,IF('4 SUP +'!$A11&lt;61.6,IF('4 SUP +'!$C11&gt;10,IF('4 SUP +'!$C11&lt;61.5,'4 SUP +'!$AB11,0))))</f>
        <v>0</v>
      </c>
      <c r="BB290" s="777" t="b">
        <f>IF('4 SUP +'!$A11&gt;45.4,IF('4 SUP +'!$A11&lt;61.6,IF('4 SUP +'!$C11&gt;61.1,IF('4 SUP +'!$C11&lt;71.6,'4 SUP +'!$AB11,0))))</f>
        <v>0</v>
      </c>
      <c r="BC290" s="777" t="b">
        <f>IF('4 SUP +'!$A11&gt;45.4,IF('4 SUP +'!$A11&lt;61.6,IF('4 SUP +'!$C11&gt;71.5,IF('4 SUP +'!$C11&lt;85.6,'4 SUP +'!$AB11,0))))</f>
        <v>0</v>
      </c>
      <c r="BD290" s="777" t="b">
        <f>IF('4 SUP +'!$A11&gt;45.4,IF('4 SUP +'!$A11&lt;61.6,IF('4 SUP +'!$C11&gt;85.5,IF('4 SUP +'!$C11&lt;113.6,'4 SUP +'!$AB11,0))))</f>
        <v>0</v>
      </c>
      <c r="BE290" s="777" t="b">
        <f>IF('4 SUP +'!$A11&gt;45.4,IF('4 SUP +'!$A11&lt;61.6,IF('4 SUP +'!$C11&gt;113.5,IF('4 SUP +'!$C11&lt;121.6,'4 SUP +'!$AB11,0))))</f>
        <v>0</v>
      </c>
      <c r="BF290" s="777" t="b">
        <f>IF('4 SUP +'!$A11&gt;45.4,IF('4 SUP +'!$A11&lt;61.6,IF('4 SUP +'!$C11&gt;121.5,IF('4 SUP +'!$C11&lt;127.6,'4 SUP +'!$AB11,0))))</f>
        <v>0</v>
      </c>
      <c r="BG290" s="777" t="b">
        <f>IF('4 SUP +'!$A11&gt;45.4,IF('4 SUP +'!$A11&lt;61.6,IF('4 SUP +'!$C11&gt;127.5,IF('4 SUP +'!$C11&lt;135.1,'4 SUP +'!$AB11,0))))</f>
        <v>0</v>
      </c>
      <c r="BH290" s="777" t="b">
        <f>IF('4 SUP +'!$A11&gt;45.4,IF('4 SUP +'!$A11&lt;61.6,IF('4 SUP +'!$C11&gt;135,IF('4 SUP +'!$C11&lt;141.6,'4 SUP +'!$AB11,0))))</f>
        <v>0</v>
      </c>
      <c r="BI290" s="777" t="b">
        <f>IF('4 SUP +'!$A11&gt;45.4,IF('4 SUP +'!$A11&lt;61.6,IF('4 SUP +'!$C11&gt;141.5,IF('4 SUP +'!$C11&lt;149.1,'4 SUP +'!$AB11,0))))</f>
        <v>0</v>
      </c>
      <c r="BJ290" s="777" t="b">
        <f>IF('4 SUP +'!$A11&gt;45.4,IF('4 SUP +'!$A11&lt;61.6,IF('4 SUP +'!$C11&gt;149,IF('4 SUP +'!$C11&lt;155.6,'4 SUP +'!$AB11,0))))</f>
        <v>0</v>
      </c>
      <c r="BK290" s="777" t="b">
        <f>IF('4 SUP +'!$A11&gt;45.4,IF('4 SUP +'!$A11&lt;61.6,IF('4 SUP +'!$C11&gt;155.5,IF('4 SUP +'!$C11&lt;163.1,'4 SUP +'!$AB11,0))))</f>
        <v>0</v>
      </c>
      <c r="BL290" s="777" t="b">
        <f>IF('4 SUP +'!$A11&gt;45.4,IF('4 SUP +'!$A11&lt;61.6,IF('4 SUP +'!$C11&gt;163,IF('4 SUP +'!$C11&lt;180.6,'4 SUP +'!$AB11,0))))</f>
        <v>0</v>
      </c>
      <c r="BM290" s="777" t="b">
        <f>IF('4 SUP +'!$A11&gt;45.4,IF('4 SUP +'!$A11&lt;61.6,IF('4 SUP +'!$C11&gt;180.5,IF('4 SUP +'!$C11&lt;240.1,'4 SUP +'!$AB11,0))))</f>
        <v>0</v>
      </c>
      <c r="BO290" s="869" t="s">
        <v>508</v>
      </c>
      <c r="BQ290" s="870">
        <f>+$AK$338</f>
        <v>0</v>
      </c>
      <c r="BS290" s="869"/>
      <c r="BT290" s="870">
        <f>+$AK$339</f>
        <v>0</v>
      </c>
      <c r="BV290" s="777" t="b">
        <f>IF('4 SUP +'!$A11&gt;61.5,IF('4 SUP +'!$A11&lt;71.6,IF('4 SUP +'!$C11&gt;10,IF('4 SUP +'!$C11&lt;57.6,'4 SUP +'!$AB11,0))))</f>
        <v>0</v>
      </c>
      <c r="BW290" s="777" t="b">
        <f>IF('4 SUP +'!$A11&gt;61.5,IF('4 SUP +'!$A11&lt;71.6,IF('4 SUP +'!$C11&gt;57.6,IF('4 SUP +'!$C11&lt;71.6,'4 SUP +'!$AB11,0))))</f>
        <v>0</v>
      </c>
      <c r="BX290" s="777" t="b">
        <f>IF('4 SUP +'!$A11&gt;61.5,IF('4 SUP +'!$A11&lt;71.6,IF('4 SUP +'!$C11&gt;71.5,IF('4 SUP +'!$C11&lt;85.6,'4 SUP +'!$AB11,0))))</f>
        <v>0</v>
      </c>
      <c r="BY290" s="777" t="b">
        <f>IF('4 SUP +'!$A11&gt;61.5,IF('4 SUP +'!$A11&lt;71.6,IF('4 SUP +'!$C11&gt;85.5,IF('4 SUP +'!$C11&lt;113.6,'4 SUP +'!$AB11,0))))</f>
        <v>0</v>
      </c>
      <c r="BZ290" s="777" t="b">
        <f>IF('4 SUP +'!$A11&gt;61.5,IF('4 SUP +'!$A11&lt;71.6,IF('4 SUP +'!$C11&gt;113.5,IF('4 SUP +'!$C11&lt;141.6,'4 SUP +'!$AB11,0))))</f>
        <v>0</v>
      </c>
      <c r="CA290" s="777" t="b">
        <f>IF('4 SUP +'!$A11&gt;61.5,IF('4 SUP +'!$A11&lt;71.6,IF('4 SUP +'!$C11&gt;141.5,IF('4 SUP +'!$C11&lt;149.1,'4 SUP +'!$AB11,0))))</f>
        <v>0</v>
      </c>
      <c r="CB290" s="777" t="b">
        <f>IF('4 SUP +'!$A11&gt;61.5,IF('4 SUP +'!$A11&lt;71.6,IF('4 SUP +'!$C11&gt;149,IF('4 SUP +'!$C11&lt;163.1,'4 SUP +'!$AB11,0))))</f>
        <v>0</v>
      </c>
      <c r="CC290" s="777" t="b">
        <f>IF('4 SUP +'!$A11&gt;61.5,IF('4 SUP +'!$A11&lt;71.6,IF('4 SUP +'!$C11&gt;163,IF('4 SUP +'!$C11&lt;180.6,'4 SUP +'!$AB11,0))))</f>
        <v>0</v>
      </c>
      <c r="CD290" s="777" t="b">
        <f>IF('4 SUP +'!$A11&gt;61.5,IF('4 SUP +'!$A11&lt;71.6,IF('4 SUP +'!$C11&gt;180.5,IF('4 SUP +'!$C11&lt;240.1,'4 SUP +'!$AB11,0))))</f>
        <v>0</v>
      </c>
      <c r="CF290" s="777" t="b">
        <f>IF('4 SUP +'!$A11&gt;71.5,IF('4 SUP +'!$A11&lt;120.6,IF('4 SUP +'!$C11&gt;10,IF('4 SUP +'!$C11&lt;57.6,'4 SUP +'!$AB11,0))))</f>
        <v>0</v>
      </c>
      <c r="CG290" s="777" t="b">
        <f>IF('4 SUP +'!$A11&gt;71.5,IF('4 SUP +'!$A11&lt;120.6,IF('4 SUP +'!$C11&gt;57.6,IF('4 SUP +'!$C11&lt;71.6,'4 SUP +'!$AB11,0))))</f>
        <v>0</v>
      </c>
      <c r="CH290" s="777" t="b">
        <f>IF('4 SUP +'!$A11&gt;71.5,IF('4 SUP +'!$A11&lt;120.6,IF('4 SUP +'!$C11&gt;71.5,IF('4 SUP +'!$C11&lt;85.6,'4 SUP +'!$AB11,0))))</f>
        <v>0</v>
      </c>
      <c r="CI290" s="777" t="b">
        <f>IF('4 SUP +'!$A11&gt;71.5,IF('4 SUP +'!$A11&lt;120.6,IF('4 SUP +'!$C11&gt;85.5,IF('4 SUP +'!$C11&lt;113.6,'4 SUP +'!$AB11,0))))</f>
        <v>0</v>
      </c>
      <c r="CJ290" s="777" t="b">
        <f>IF('4 SUP +'!$A11&gt;71.5,IF('4 SUP +'!$A11&lt;120.6,IF('4 SUP +'!$C11&gt;113.5,IF('4 SUP +'!$C11&lt;141.6,'4 SUP +'!$AB11,0))))</f>
        <v>0</v>
      </c>
      <c r="CK290" s="777" t="b">
        <f>IF('4 SUP +'!$A11&gt;71.5,IF('4 SUP +'!$A11&lt;120.6,IF('4 SUP +'!$C11&gt;141.5,IF('4 SUP +'!$C11&lt;180.6,'4 SUP +'!$AB11,0))))</f>
        <v>0</v>
      </c>
      <c r="CL290" s="777" t="b">
        <f>IF('4 SUP +'!$A11&gt;71.5,IF('4 SUP +'!$A11&lt;120.6,IF('4 SUP +'!$C11&gt;180.5,IF('4 SUP +'!$C11&lt;240.1,'4 SUP +'!$AB11,0))))</f>
        <v>0</v>
      </c>
      <c r="CN290" s="777">
        <f>IF('4 SUP +'!$C11&lt;150,IF(OR('4 SUP +'!$A11="MICRODER",'4 SUP +'!$A11="MICRO DER",),'4 SUP +'!$AB11,0))</f>
        <v>0</v>
      </c>
      <c r="CO290" s="777" t="b">
        <f>IF('4 SUP +'!$C11&gt;149.5,IF(OR('4 SUP +'!$A11="MICRODER",'4 SUP +'!$A11="MICRO DER",),'4 SUP +'!$AB11,0))</f>
        <v>0</v>
      </c>
      <c r="CP290" s="847"/>
      <c r="CQ290" s="777">
        <f>IF('4 SUP +'!$C11&lt;150,IF(OR('4 SUP +'!$A11="MICROIZQ",'4 SUP +'!$A11="MICRO IZQ",),'4 SUP +'!$AB11,0))</f>
        <v>0</v>
      </c>
      <c r="CR290" s="777" t="b">
        <f>IF('4 SUP +'!$C11&gt;149.5,IF(OR('4 SUP +'!$A11="MICROIZQ",'4 SUP +'!$A11="MICRO IZQ",),'4 SUP +'!$AB11,0))</f>
        <v>0</v>
      </c>
      <c r="CT290" s="837">
        <f>IF(OR('4 SUP +'!$A11="MICRO SEN",'4 SUP +'!$A11="MICROSEN",),'4 SUP +'!$AB11,0)</f>
        <v>0</v>
      </c>
      <c r="CV290" s="837" t="b">
        <f>IF('4 SUP +'!$A11="DIAMETRO",IF('4 SUP +'!$C11&lt;121.1,'4 SUP +'!$AB11,0))</f>
        <v>0</v>
      </c>
      <c r="CX290" s="858"/>
      <c r="CZ290" s="837" t="b">
        <f>IF('4 SUP +'!$A11="MOSTRADOR",IF('4 SUP +'!$C11="R60",'4 SUP +'!$AB11,0))</f>
        <v>0</v>
      </c>
      <c r="DB290" s="837">
        <f>IF(OR('4 SUP +'!$A11="PORTA PRIN",'4 SUP +'!$A11="PORTAPRIN",),'4 SUP +'!$AB11,0)</f>
        <v>0</v>
      </c>
      <c r="DD290" s="837">
        <f>IF(OR('4 SUP +'!$A11="PORTA BADE",'4 SUP +'!$A11="PORTABADE",),'4 SUP +'!$AB11,0)</f>
        <v>0</v>
      </c>
      <c r="DE290" s="837"/>
      <c r="DF290" s="837">
        <f>IF(OR('4 SUP +'!$A11="RETORNO IZQ",'4 SUP +'!$A11="RETORNO DER",),'4 SUP +'!$AB199,0)</f>
        <v>0</v>
      </c>
      <c r="DG290" s="837"/>
      <c r="DH290" s="837">
        <f>IF(OR('4 SUP +'!$A11="PITO Q",'4 SUP +'!$A11="PITO P",'4 SUP +'!$A11="DIAMETRO INTEGRADA",),'4 SUP +'!$AB11,0)</f>
        <v>0</v>
      </c>
      <c r="DJ290" s="858"/>
      <c r="DK290" s="837"/>
      <c r="DL290" s="837">
        <f>IF('4 SUP +'!$A11="SUPERFICIE OVAL",'4 SUP +'!$AB11,0)</f>
        <v>0</v>
      </c>
      <c r="DN290" s="838"/>
      <c r="DO290" s="838"/>
      <c r="DP290" s="838"/>
      <c r="DQ290" s="838"/>
      <c r="DR290" s="838"/>
      <c r="DS290" s="838"/>
      <c r="DT290" s="838"/>
      <c r="DU290" s="838"/>
      <c r="DV290" s="838"/>
      <c r="DW290" s="838"/>
      <c r="DX290" s="838"/>
      <c r="DY290" s="838"/>
      <c r="DZ290" s="838"/>
      <c r="EA290" s="838"/>
      <c r="EB290" s="858"/>
      <c r="EC290" s="838"/>
      <c r="ED290" s="838"/>
      <c r="EG290" s="837" t="s">
        <v>234</v>
      </c>
      <c r="EH290" s="837"/>
      <c r="EI290" s="837"/>
      <c r="EJ290" s="837"/>
      <c r="EK290" s="837"/>
      <c r="EL290" s="837"/>
      <c r="EO290" s="837"/>
      <c r="EP290" s="838"/>
      <c r="EQ290" s="858"/>
      <c r="ER290" s="838"/>
      <c r="ES290" s="858"/>
      <c r="ET290" s="858"/>
      <c r="EU290" s="858"/>
      <c r="EV290" s="858"/>
      <c r="EW290" s="847"/>
      <c r="EX290" s="847"/>
      <c r="EY290" s="847"/>
      <c r="EZ290" s="847"/>
      <c r="FA290" s="852"/>
      <c r="FB290" s="852"/>
      <c r="FC290" s="838"/>
      <c r="FD290" s="838"/>
      <c r="FE290" s="838"/>
      <c r="FF290" s="838"/>
      <c r="FG290" s="838"/>
      <c r="FH290" s="838"/>
      <c r="FI290" s="838"/>
      <c r="FJ290" s="838"/>
      <c r="FK290" s="838"/>
      <c r="FL290" s="838"/>
      <c r="FM290" s="838"/>
      <c r="FN290" s="838"/>
      <c r="FO290" s="838"/>
      <c r="FP290" s="838"/>
      <c r="GM290" s="858"/>
      <c r="GN290" s="838"/>
      <c r="GO290" s="858"/>
      <c r="GP290" s="858"/>
      <c r="GQ290" s="858"/>
      <c r="GR290" s="838"/>
      <c r="HF290" s="700">
        <v>54</v>
      </c>
      <c r="HH290" s="591">
        <v>54</v>
      </c>
    </row>
    <row r="291" spans="37:216" ht="26.25" x14ac:dyDescent="0.4">
      <c r="AK291" s="777" t="b">
        <f>IF('4 SUP +'!$A12&gt;10,IF('4 SUP +'!$A12&lt;31.1,IF('4 SUP +'!$C12&gt;10,IF('4 SUP +'!$C12&lt;57.6,'4 SUP +'!$AB12,0))))</f>
        <v>0</v>
      </c>
      <c r="AL291" s="777" t="b">
        <f>IF('4 SUP +'!$A12&gt;10,IF('4 SUP +'!$A12&lt;31.1,IF('4 SUP +'!$C12&gt;57.6,IF('4 SUP +'!$C12&lt;71.6,'4 SUP +'!$AB12,0))))</f>
        <v>0</v>
      </c>
      <c r="AM291" s="777" t="b">
        <f>IF('4 SUP +'!$A12&gt;10,IF('4 SUP +'!$A12&lt;31.1,IF('4 SUP +'!$C12&gt;71.5,IF('4 SUP +'!$C12&lt;85.6,'4 SUP +'!$AB12,0))))</f>
        <v>0</v>
      </c>
      <c r="AN291" s="777" t="b">
        <f>IF('4 SUP +'!$A12&gt;10,IF('4 SUP +'!$A12&lt;31.1,IF('4 SUP +'!$C12&gt;85.5,IF('4 SUP +'!$C12&lt;113.6,'4 SUP +'!$AB12,0))))</f>
        <v>0</v>
      </c>
      <c r="AO291" s="777" t="b">
        <f>IF('4 SUP +'!$A12&gt;10,IF('4 SUP +'!$A12&lt;31.1,IF('4 SUP +'!$C12&gt;113.5,IF('4 SUP +'!$C12&lt;141.6,'4 SUP +'!$AB12,0))))</f>
        <v>0</v>
      </c>
      <c r="AP291" s="777" t="b">
        <f>IF('4 SUP +'!$A12&gt;10,IF('4 SUP +'!$A12&lt;31.1,IF('4 SUP +'!$C12&gt;141.5,IF('4 SUP +'!$C12&lt;180.6,'4 SUP +'!$AB12,0))))</f>
        <v>0</v>
      </c>
      <c r="AQ291" s="777" t="b">
        <f>IF('4 SUP +'!$A12&gt;10,IF('4 SUP +'!$A12&lt;31.1,IF('4 SUP +'!$C12&gt;180.5,IF('4 SUP +'!$C12&lt;240.1,'4 SUP +'!$AB12,0))))</f>
        <v>0</v>
      </c>
      <c r="AS291" s="777" t="b">
        <f>IF('4 SUP +'!$A12&gt;31,IF('4 SUP +'!$A12&lt;45.5,IF('4 SUP +'!$C12&gt;10,IF('4 SUP +'!$C12&lt;57.6,'4 SUP +'!$AB12,0))))</f>
        <v>0</v>
      </c>
      <c r="AT291" s="777" t="b">
        <f>IF('4 SUP +'!$A12&gt;31,IF('4 SUP +'!$A12&lt;45.5,IF('4 SUP +'!$C12&gt;57.6,IF('4 SUP +'!$C12&lt;71.6,'4 SUP +'!$AB12,0))))</f>
        <v>0</v>
      </c>
      <c r="AU291" s="777" t="b">
        <f>IF('4 SUP +'!$A12&gt;31,IF('4 SUP +'!$A12&lt;45.5,IF('4 SUP +'!$C12&gt;71.5,IF('4 SUP +'!$C12&lt;85.6,'4 SUP +'!$AB12,0))))</f>
        <v>0</v>
      </c>
      <c r="AV291" s="777" t="b">
        <f>IF('4 SUP +'!$A12&gt;31,IF('4 SUP +'!$A12&lt;45.5,IF('4 SUP +'!$C12&gt;85.5,IF('4 SUP +'!$C12&lt;113.6,'4 SUP +'!$AB12,0))))</f>
        <v>0</v>
      </c>
      <c r="AW291" s="777" t="b">
        <f>IF('4 SUP +'!$A12&gt;31,IF('4 SUP +'!$A12&lt;45.5,IF('4 SUP +'!$C12&gt;113.5,IF('4 SUP +'!$C12&lt;141.6,'4 SUP +'!$AB12,0))))</f>
        <v>0</v>
      </c>
      <c r="AX291" s="777" t="b">
        <f>IF('4 SUP +'!$A12&gt;31,IF('4 SUP +'!$A12&lt;45.5,IF('4 SUP +'!$C12&gt;141.5,IF('4 SUP +'!$C12&lt;180.6,'4 SUP +'!$AB12,0))))</f>
        <v>0</v>
      </c>
      <c r="AY291" s="777" t="b">
        <f>IF('4 SUP +'!$A12&gt;31,IF('4 SUP +'!$A12&lt;45.5,IF('4 SUP +'!$C12&gt;180.5,IF('4 SUP +'!$C12&lt;240.1,'4 SUP +'!$AB12,0))))</f>
        <v>0</v>
      </c>
      <c r="BA291" s="777" t="b">
        <f>IF('4 SUP +'!$A12&gt;45.4,IF('4 SUP +'!$A12&lt;61.6,IF('4 SUP +'!$C12&gt;10,IF('4 SUP +'!$C12&lt;61.5,'4 SUP +'!$AB12,0))))</f>
        <v>0</v>
      </c>
      <c r="BB291" s="777" t="b">
        <f>IF('4 SUP +'!$A12&gt;45.4,IF('4 SUP +'!$A12&lt;61.6,IF('4 SUP +'!$C12&gt;61.1,IF('4 SUP +'!$C12&lt;71.6,'4 SUP +'!$AB12,0))))</f>
        <v>0</v>
      </c>
      <c r="BC291" s="777" t="b">
        <f>IF('4 SUP +'!$A12&gt;45.4,IF('4 SUP +'!$A12&lt;61.6,IF('4 SUP +'!$C12&gt;71.5,IF('4 SUP +'!$C12&lt;85.6,'4 SUP +'!$AB12,0))))</f>
        <v>0</v>
      </c>
      <c r="BD291" s="777" t="b">
        <f>IF('4 SUP +'!$A12&gt;45.4,IF('4 SUP +'!$A12&lt;61.6,IF('4 SUP +'!$C12&gt;85.5,IF('4 SUP +'!$C12&lt;113.6,'4 SUP +'!$AB12,0))))</f>
        <v>0</v>
      </c>
      <c r="BE291" s="777" t="b">
        <f>IF('4 SUP +'!$A12&gt;45.4,IF('4 SUP +'!$A12&lt;61.6,IF('4 SUP +'!$C12&gt;113.5,IF('4 SUP +'!$C12&lt;121.6,'4 SUP +'!$AB12,0))))</f>
        <v>0</v>
      </c>
      <c r="BF291" s="777" t="b">
        <f>IF('4 SUP +'!$A12&gt;45.4,IF('4 SUP +'!$A12&lt;61.6,IF('4 SUP +'!$C12&gt;121.5,IF('4 SUP +'!$C12&lt;127.6,'4 SUP +'!$AB12,0))))</f>
        <v>0</v>
      </c>
      <c r="BG291" s="777" t="b">
        <f>IF('4 SUP +'!$A12&gt;45.4,IF('4 SUP +'!$A12&lt;61.6,IF('4 SUP +'!$C12&gt;127.5,IF('4 SUP +'!$C12&lt;135.1,'4 SUP +'!$AB12,0))))</f>
        <v>0</v>
      </c>
      <c r="BH291" s="777" t="b">
        <f>IF('4 SUP +'!$A12&gt;45.4,IF('4 SUP +'!$A12&lt;61.6,IF('4 SUP +'!$C12&gt;135,IF('4 SUP +'!$C12&lt;141.6,'4 SUP +'!$AB12,0))))</f>
        <v>0</v>
      </c>
      <c r="BI291" s="777" t="b">
        <f>IF('4 SUP +'!$A12&gt;45.4,IF('4 SUP +'!$A12&lt;61.6,IF('4 SUP +'!$C12&gt;141.5,IF('4 SUP +'!$C12&lt;149.1,'4 SUP +'!$AB12,0))))</f>
        <v>0</v>
      </c>
      <c r="BJ291" s="777" t="b">
        <f>IF('4 SUP +'!$A12&gt;45.4,IF('4 SUP +'!$A12&lt;61.6,IF('4 SUP +'!$C12&gt;149,IF('4 SUP +'!$C12&lt;155.6,'4 SUP +'!$AB12,0))))</f>
        <v>0</v>
      </c>
      <c r="BK291" s="777" t="b">
        <f>IF('4 SUP +'!$A12&gt;45.4,IF('4 SUP +'!$A12&lt;61.6,IF('4 SUP +'!$C12&gt;155.5,IF('4 SUP +'!$C12&lt;163.1,'4 SUP +'!$AB12,0))))</f>
        <v>0</v>
      </c>
      <c r="BL291" s="777" t="b">
        <f>IF('4 SUP +'!$A12&gt;45.4,IF('4 SUP +'!$A12&lt;61.6,IF('4 SUP +'!$C12&gt;163,IF('4 SUP +'!$C12&lt;180.6,'4 SUP +'!$AB12,0))))</f>
        <v>0</v>
      </c>
      <c r="BM291" s="777" t="b">
        <f>IF('4 SUP +'!$A12&gt;45.4,IF('4 SUP +'!$A12&lt;61.6,IF('4 SUP +'!$C12&gt;180.5,IF('4 SUP +'!$C12&lt;240.1,'4 SUP +'!$AB12,0))))</f>
        <v>0</v>
      </c>
      <c r="BO291" s="869" t="s">
        <v>510</v>
      </c>
      <c r="BQ291" s="870">
        <f>+$AL$338</f>
        <v>0</v>
      </c>
      <c r="BS291" s="869"/>
      <c r="BT291" s="870">
        <f>+$AL$339</f>
        <v>0</v>
      </c>
      <c r="BV291" s="777" t="b">
        <f>IF('4 SUP +'!$A12&gt;61.5,IF('4 SUP +'!$A12&lt;71.6,IF('4 SUP +'!$C12&gt;10,IF('4 SUP +'!$C12&lt;57.6,'4 SUP +'!$AB12,0))))</f>
        <v>0</v>
      </c>
      <c r="BW291" s="777" t="b">
        <f>IF('4 SUP +'!$A12&gt;61.5,IF('4 SUP +'!$A12&lt;71.6,IF('4 SUP +'!$C12&gt;57.6,IF('4 SUP +'!$C12&lt;71.6,'4 SUP +'!$AB12,0))))</f>
        <v>0</v>
      </c>
      <c r="BX291" s="777" t="b">
        <f>IF('4 SUP +'!$A12&gt;61.5,IF('4 SUP +'!$A12&lt;71.6,IF('4 SUP +'!$C12&gt;71.5,IF('4 SUP +'!$C12&lt;85.6,'4 SUP +'!$AB12,0))))</f>
        <v>0</v>
      </c>
      <c r="BY291" s="777" t="b">
        <f>IF('4 SUP +'!$A12&gt;61.5,IF('4 SUP +'!$A12&lt;71.6,IF('4 SUP +'!$C12&gt;85.5,IF('4 SUP +'!$C12&lt;113.6,'4 SUP +'!$AB12,0))))</f>
        <v>0</v>
      </c>
      <c r="BZ291" s="777" t="b">
        <f>IF('4 SUP +'!$A12&gt;61.5,IF('4 SUP +'!$A12&lt;71.6,IF('4 SUP +'!$C12&gt;113.5,IF('4 SUP +'!$C12&lt;141.6,'4 SUP +'!$AB12,0))))</f>
        <v>0</v>
      </c>
      <c r="CA291" s="777" t="b">
        <f>IF('4 SUP +'!$A12&gt;61.5,IF('4 SUP +'!$A12&lt;71.6,IF('4 SUP +'!$C12&gt;141.5,IF('4 SUP +'!$C12&lt;149.1,'4 SUP +'!$AB12,0))))</f>
        <v>0</v>
      </c>
      <c r="CB291" s="777" t="b">
        <f>IF('4 SUP +'!$A12&gt;61.5,IF('4 SUP +'!$A12&lt;71.6,IF('4 SUP +'!$C12&gt;149,IF('4 SUP +'!$C12&lt;163.1,'4 SUP +'!$AB12,0))))</f>
        <v>0</v>
      </c>
      <c r="CC291" s="777" t="b">
        <f>IF('4 SUP +'!$A12&gt;61.5,IF('4 SUP +'!$A12&lt;71.6,IF('4 SUP +'!$C12&gt;163,IF('4 SUP +'!$C12&lt;180.6,'4 SUP +'!$AB12,0))))</f>
        <v>0</v>
      </c>
      <c r="CD291" s="777" t="b">
        <f>IF('4 SUP +'!$A12&gt;61.5,IF('4 SUP +'!$A12&lt;71.6,IF('4 SUP +'!$C12&gt;180.5,IF('4 SUP +'!$C12&lt;240.1,'4 SUP +'!$AB12,0))))</f>
        <v>0</v>
      </c>
      <c r="CF291" s="777" t="b">
        <f>IF('4 SUP +'!$A12&gt;71.5,IF('4 SUP +'!$A12&lt;120.6,IF('4 SUP +'!$C12&gt;10,IF('4 SUP +'!$C12&lt;57.6,'4 SUP +'!$AB12,0))))</f>
        <v>0</v>
      </c>
      <c r="CG291" s="777" t="b">
        <f>IF('4 SUP +'!$A12&gt;71.5,IF('4 SUP +'!$A12&lt;120.6,IF('4 SUP +'!$C12&gt;57.6,IF('4 SUP +'!$C12&lt;71.6,'4 SUP +'!$AB12,0))))</f>
        <v>0</v>
      </c>
      <c r="CH291" s="777" t="b">
        <f>IF('4 SUP +'!$A12&gt;71.5,IF('4 SUP +'!$A12&lt;120.6,IF('4 SUP +'!$C12&gt;71.5,IF('4 SUP +'!$C12&lt;85.6,'4 SUP +'!$AB12,0))))</f>
        <v>0</v>
      </c>
      <c r="CI291" s="777" t="b">
        <f>IF('4 SUP +'!$A12&gt;71.5,IF('4 SUP +'!$A12&lt;120.6,IF('4 SUP +'!$C12&gt;85.5,IF('4 SUP +'!$C12&lt;113.6,'4 SUP +'!$AB12,0))))</f>
        <v>0</v>
      </c>
      <c r="CJ291" s="777" t="b">
        <f>IF('4 SUP +'!$A12&gt;71.5,IF('4 SUP +'!$A12&lt;120.6,IF('4 SUP +'!$C12&gt;113.5,IF('4 SUP +'!$C12&lt;141.6,'4 SUP +'!$AB12,0))))</f>
        <v>0</v>
      </c>
      <c r="CK291" s="777" t="b">
        <f>IF('4 SUP +'!$A12&gt;71.5,IF('4 SUP +'!$A12&lt;120.6,IF('4 SUP +'!$C12&gt;141.5,IF('4 SUP +'!$C12&lt;180.6,'4 SUP +'!$AB12,0))))</f>
        <v>0</v>
      </c>
      <c r="CL291" s="777" t="b">
        <f>IF('4 SUP +'!$A12&gt;71.5,IF('4 SUP +'!$A12&lt;120.6,IF('4 SUP +'!$C12&gt;180.5,IF('4 SUP +'!$C12&lt;240.1,'4 SUP +'!$AB12,0))))</f>
        <v>0</v>
      </c>
      <c r="CN291" s="777">
        <f>IF('4 SUP +'!$C12&lt;150,IF(OR('4 SUP +'!$A12="MICRODER",'4 SUP +'!$A12="MICRO DER",),'4 SUP +'!$AB12,0))</f>
        <v>0</v>
      </c>
      <c r="CO291" s="777" t="b">
        <f>IF('4 SUP +'!$C12&gt;149.5,IF(OR('4 SUP +'!$A12="MICRODER",'4 SUP +'!$A12="MICRO DER",),'4 SUP +'!$AB12,0))</f>
        <v>0</v>
      </c>
      <c r="CP291" s="847"/>
      <c r="CQ291" s="777">
        <f>IF('4 SUP +'!$C12&lt;150,IF(OR('4 SUP +'!$A12="MICROIZQ",'4 SUP +'!$A12="MICRO IZQ",),'4 SUP +'!$AB12,0))</f>
        <v>0</v>
      </c>
      <c r="CR291" s="777" t="b">
        <f>IF('4 SUP +'!$C12&gt;149.5,IF(OR('4 SUP +'!$A12="MICROIZQ",'4 SUP +'!$A12="MICRO IZQ",),'4 SUP +'!$AB12,0))</f>
        <v>0</v>
      </c>
      <c r="CT291" s="837">
        <f>IF(OR('4 SUP +'!$A12="MICRO SEN",'4 SUP +'!$A12="MICROSEN",),'4 SUP +'!$AB12,0)</f>
        <v>0</v>
      </c>
      <c r="CV291" s="837" t="b">
        <f>IF('4 SUP +'!$A12="DIAMETRO",IF('4 SUP +'!$C12&lt;121.1,'4 SUP +'!$AB12,0))</f>
        <v>0</v>
      </c>
      <c r="CX291" s="858"/>
      <c r="CZ291" s="837" t="b">
        <f>IF('4 SUP +'!$A12="MOSTRADOR",IF('4 SUP +'!$C12="R60",'4 SUP +'!$AB12,0))</f>
        <v>0</v>
      </c>
      <c r="DB291" s="837">
        <f>IF(OR('4 SUP +'!$A12="PORTA PRIN",'4 SUP +'!$A12="PORTAPRIN",),'4 SUP +'!$AB12,0)</f>
        <v>0</v>
      </c>
      <c r="DD291" s="837">
        <f>IF(OR('4 SUP +'!$A12="PORTA BADE",'4 SUP +'!$A12="PORTABADE",),'4 SUP +'!$AB12,0)</f>
        <v>0</v>
      </c>
      <c r="DE291" s="837"/>
      <c r="DF291" s="837">
        <f>IF(OR('4 SUP +'!$A12="RETORNO IZQ",'4 SUP +'!$A12="RETORNO DER",),'4 SUP +'!$AB200,0)</f>
        <v>0</v>
      </c>
      <c r="DG291" s="837"/>
      <c r="DH291" s="837">
        <f>IF(OR('4 SUP +'!$A12="PITO Q",'4 SUP +'!$A12="PITO P",'4 SUP +'!$A12="DIAMETRO INTEGRADA",),'4 SUP +'!$AB12,0)</f>
        <v>0</v>
      </c>
      <c r="DJ291" s="858"/>
      <c r="DK291" s="837"/>
      <c r="DL291" s="837">
        <f>IF('4 SUP +'!$A12="SUPERFICIE OVAL",'4 SUP +'!$AB12,0)</f>
        <v>0</v>
      </c>
      <c r="DN291" s="838"/>
      <c r="DO291" s="838"/>
      <c r="DP291" s="838"/>
      <c r="DQ291" s="838"/>
      <c r="DR291" s="838"/>
      <c r="DS291" s="838"/>
      <c r="DT291" s="838"/>
      <c r="DU291" s="838"/>
      <c r="DV291" s="838"/>
      <c r="DW291" s="838"/>
      <c r="DX291" s="838"/>
      <c r="DY291" s="838"/>
      <c r="DZ291" s="838"/>
      <c r="EA291" s="838"/>
      <c r="EB291" s="838"/>
      <c r="EC291" s="838"/>
      <c r="ED291" s="838"/>
      <c r="EG291" s="837" t="s">
        <v>233</v>
      </c>
      <c r="EH291" s="837"/>
      <c r="EI291" s="837"/>
      <c r="EK291" s="777" t="s">
        <v>753</v>
      </c>
      <c r="EO291" s="777" t="s">
        <v>95</v>
      </c>
      <c r="EP291" s="838"/>
      <c r="EQ291" s="858"/>
      <c r="ER291" s="838"/>
      <c r="ES291" s="858"/>
      <c r="ET291" s="858"/>
      <c r="EU291" s="858"/>
      <c r="EV291" s="858"/>
      <c r="EW291" s="847"/>
      <c r="EX291" s="847"/>
      <c r="EY291" s="847"/>
      <c r="EZ291" s="847"/>
      <c r="FA291" s="852"/>
      <c r="FB291" s="852"/>
      <c r="FC291" s="838"/>
      <c r="FD291" s="838"/>
      <c r="FE291" s="838"/>
      <c r="FF291" s="838"/>
      <c r="FG291" s="838"/>
      <c r="FH291" s="838"/>
      <c r="FI291" s="838"/>
      <c r="FJ291" s="838"/>
      <c r="FK291" s="838"/>
      <c r="FL291" s="838"/>
      <c r="FM291" s="838"/>
      <c r="FN291" s="838"/>
      <c r="FO291" s="838"/>
      <c r="FP291" s="838"/>
      <c r="GM291" s="858"/>
      <c r="GN291" s="838"/>
      <c r="GO291" s="858"/>
      <c r="GP291" s="858"/>
      <c r="GQ291" s="858"/>
      <c r="GR291" s="838"/>
      <c r="HF291" s="700">
        <v>54.5</v>
      </c>
      <c r="HH291" s="591">
        <v>54.5</v>
      </c>
    </row>
    <row r="292" spans="37:216" ht="26.25" x14ac:dyDescent="0.4">
      <c r="AK292" s="777" t="b">
        <f>IF('4 SUP +'!$A13&gt;10,IF('4 SUP +'!$A13&lt;31.1,IF('4 SUP +'!$C13&gt;10,IF('4 SUP +'!$C13&lt;57.6,'4 SUP +'!$AB13,0))))</f>
        <v>0</v>
      </c>
      <c r="AL292" s="777" t="b">
        <f>IF('4 SUP +'!$A13&gt;10,IF('4 SUP +'!$A13&lt;31.1,IF('4 SUP +'!$C13&gt;57.6,IF('4 SUP +'!$C13&lt;71.6,'4 SUP +'!$AB13,0))))</f>
        <v>0</v>
      </c>
      <c r="AM292" s="777" t="b">
        <f>IF('4 SUP +'!$A13&gt;10,IF('4 SUP +'!$A13&lt;31.1,IF('4 SUP +'!$C13&gt;71.5,IF('4 SUP +'!$C13&lt;85.6,'4 SUP +'!$AB13,0))))</f>
        <v>0</v>
      </c>
      <c r="AN292" s="777" t="b">
        <f>IF('4 SUP +'!$A13&gt;10,IF('4 SUP +'!$A13&lt;31.1,IF('4 SUP +'!$C13&gt;85.5,IF('4 SUP +'!$C13&lt;113.6,'4 SUP +'!$AB13,0))))</f>
        <v>0</v>
      </c>
      <c r="AO292" s="777" t="b">
        <f>IF('4 SUP +'!$A13&gt;10,IF('4 SUP +'!$A13&lt;31.1,IF('4 SUP +'!$C13&gt;113.5,IF('4 SUP +'!$C13&lt;141.6,'4 SUP +'!$AB13,0))))</f>
        <v>0</v>
      </c>
      <c r="AP292" s="777" t="b">
        <f>IF('4 SUP +'!$A13&gt;10,IF('4 SUP +'!$A13&lt;31.1,IF('4 SUP +'!$C13&gt;141.5,IF('4 SUP +'!$C13&lt;180.6,'4 SUP +'!$AB13,0))))</f>
        <v>0</v>
      </c>
      <c r="AQ292" s="777" t="b">
        <f>IF('4 SUP +'!$A13&gt;10,IF('4 SUP +'!$A13&lt;31.1,IF('4 SUP +'!$C13&gt;180.5,IF('4 SUP +'!$C13&lt;240.1,'4 SUP +'!$AB13,0))))</f>
        <v>0</v>
      </c>
      <c r="AS292" s="777" t="b">
        <f>IF('4 SUP +'!$A13&gt;31,IF('4 SUP +'!$A13&lt;45.5,IF('4 SUP +'!$C13&gt;10,IF('4 SUP +'!$C13&lt;57.6,'4 SUP +'!$AB13,0))))</f>
        <v>0</v>
      </c>
      <c r="AT292" s="777" t="b">
        <f>IF('4 SUP +'!$A13&gt;31,IF('4 SUP +'!$A13&lt;45.5,IF('4 SUP +'!$C13&gt;57.6,IF('4 SUP +'!$C13&lt;71.6,'4 SUP +'!$AB13,0))))</f>
        <v>0</v>
      </c>
      <c r="AU292" s="777" t="b">
        <f>IF('4 SUP +'!$A13&gt;31,IF('4 SUP +'!$A13&lt;45.5,IF('4 SUP +'!$C13&gt;71.5,IF('4 SUP +'!$C13&lt;85.6,'4 SUP +'!$AB13,0))))</f>
        <v>0</v>
      </c>
      <c r="AV292" s="777" t="b">
        <f>IF('4 SUP +'!$A13&gt;31,IF('4 SUP +'!$A13&lt;45.5,IF('4 SUP +'!$C13&gt;85.5,IF('4 SUP +'!$C13&lt;113.6,'4 SUP +'!$AB13,0))))</f>
        <v>0</v>
      </c>
      <c r="AW292" s="777" t="b">
        <f>IF('4 SUP +'!$A13&gt;31,IF('4 SUP +'!$A13&lt;45.5,IF('4 SUP +'!$C13&gt;113.5,IF('4 SUP +'!$C13&lt;141.6,'4 SUP +'!$AB13,0))))</f>
        <v>0</v>
      </c>
      <c r="AX292" s="777" t="b">
        <f>IF('4 SUP +'!$A13&gt;31,IF('4 SUP +'!$A13&lt;45.5,IF('4 SUP +'!$C13&gt;141.5,IF('4 SUP +'!$C13&lt;180.6,'4 SUP +'!$AB13,0))))</f>
        <v>0</v>
      </c>
      <c r="AY292" s="777" t="b">
        <f>IF('4 SUP +'!$A13&gt;31,IF('4 SUP +'!$A13&lt;45.5,IF('4 SUP +'!$C13&gt;180.5,IF('4 SUP +'!$C13&lt;240.1,'4 SUP +'!$AB13,0))))</f>
        <v>0</v>
      </c>
      <c r="BA292" s="777" t="b">
        <f>IF('4 SUP +'!$A13&gt;45.4,IF('4 SUP +'!$A13&lt;61.6,IF('4 SUP +'!$C13&gt;10,IF('4 SUP +'!$C13&lt;61.5,'4 SUP +'!$AB13,0))))</f>
        <v>0</v>
      </c>
      <c r="BB292" s="777" t="b">
        <f>IF('4 SUP +'!$A13&gt;45.4,IF('4 SUP +'!$A13&lt;61.6,IF('4 SUP +'!$C13&gt;61.1,IF('4 SUP +'!$C13&lt;71.6,'4 SUP +'!$AB13,0))))</f>
        <v>0</v>
      </c>
      <c r="BC292" s="777" t="b">
        <f>IF('4 SUP +'!$A13&gt;45.4,IF('4 SUP +'!$A13&lt;61.6,IF('4 SUP +'!$C13&gt;71.5,IF('4 SUP +'!$C13&lt;85.6,'4 SUP +'!$AB13,0))))</f>
        <v>0</v>
      </c>
      <c r="BD292" s="777" t="b">
        <f>IF('4 SUP +'!$A13&gt;45.4,IF('4 SUP +'!$A13&lt;61.6,IF('4 SUP +'!$C13&gt;85.5,IF('4 SUP +'!$C13&lt;113.6,'4 SUP +'!$AB13,0))))</f>
        <v>0</v>
      </c>
      <c r="BE292" s="777" t="b">
        <f>IF('4 SUP +'!$A13&gt;45.4,IF('4 SUP +'!$A13&lt;61.6,IF('4 SUP +'!$C13&gt;113.5,IF('4 SUP +'!$C13&lt;121.6,'4 SUP +'!$AB13,0))))</f>
        <v>0</v>
      </c>
      <c r="BF292" s="777" t="b">
        <f>IF('4 SUP +'!$A13&gt;45.4,IF('4 SUP +'!$A13&lt;61.6,IF('4 SUP +'!$C13&gt;121.5,IF('4 SUP +'!$C13&lt;127.6,'4 SUP +'!$AB13,0))))</f>
        <v>0</v>
      </c>
      <c r="BG292" s="777" t="b">
        <f>IF('4 SUP +'!$A13&gt;45.4,IF('4 SUP +'!$A13&lt;61.6,IF('4 SUP +'!$C13&gt;127.5,IF('4 SUP +'!$C13&lt;135.1,'4 SUP +'!$AB13,0))))</f>
        <v>0</v>
      </c>
      <c r="BH292" s="777" t="b">
        <f>IF('4 SUP +'!$A13&gt;45.4,IF('4 SUP +'!$A13&lt;61.6,IF('4 SUP +'!$C13&gt;135,IF('4 SUP +'!$C13&lt;141.6,'4 SUP +'!$AB13,0))))</f>
        <v>0</v>
      </c>
      <c r="BI292" s="777" t="b">
        <f>IF('4 SUP +'!$A13&gt;45.4,IF('4 SUP +'!$A13&lt;61.6,IF('4 SUP +'!$C13&gt;141.5,IF('4 SUP +'!$C13&lt;149.1,'4 SUP +'!$AB13,0))))</f>
        <v>0</v>
      </c>
      <c r="BJ292" s="777" t="b">
        <f>IF('4 SUP +'!$A13&gt;45.4,IF('4 SUP +'!$A13&lt;61.6,IF('4 SUP +'!$C13&gt;149,IF('4 SUP +'!$C13&lt;155.6,'4 SUP +'!$AB13,0))))</f>
        <v>0</v>
      </c>
      <c r="BK292" s="777" t="b">
        <f>IF('4 SUP +'!$A13&gt;45.4,IF('4 SUP +'!$A13&lt;61.6,IF('4 SUP +'!$C13&gt;155.5,IF('4 SUP +'!$C13&lt;163.1,'4 SUP +'!$AB13,0))))</f>
        <v>0</v>
      </c>
      <c r="BL292" s="777" t="b">
        <f>IF('4 SUP +'!$A13&gt;45.4,IF('4 SUP +'!$A13&lt;61.6,IF('4 SUP +'!$C13&gt;163,IF('4 SUP +'!$C13&lt;180.6,'4 SUP +'!$AB13,0))))</f>
        <v>0</v>
      </c>
      <c r="BM292" s="777" t="b">
        <f>IF('4 SUP +'!$A13&gt;45.4,IF('4 SUP +'!$A13&lt;61.6,IF('4 SUP +'!$C13&gt;180.5,IF('4 SUP +'!$C13&lt;240.1,'4 SUP +'!$AB13,0))))</f>
        <v>0</v>
      </c>
      <c r="BO292" s="869" t="s">
        <v>512</v>
      </c>
      <c r="BQ292" s="870">
        <f>+$AM$338</f>
        <v>0</v>
      </c>
      <c r="BS292" s="869"/>
      <c r="BT292" s="870">
        <f>+$AM$339</f>
        <v>0</v>
      </c>
      <c r="BV292" s="777" t="b">
        <f>IF('4 SUP +'!$A13&gt;61.5,IF('4 SUP +'!$A13&lt;71.6,IF('4 SUP +'!$C13&gt;10,IF('4 SUP +'!$C13&lt;57.6,'4 SUP +'!$AB13,0))))</f>
        <v>0</v>
      </c>
      <c r="BW292" s="777" t="b">
        <f>IF('4 SUP +'!$A13&gt;61.5,IF('4 SUP +'!$A13&lt;71.6,IF('4 SUP +'!$C13&gt;57.6,IF('4 SUP +'!$C13&lt;71.6,'4 SUP +'!$AB13,0))))</f>
        <v>0</v>
      </c>
      <c r="BX292" s="777" t="b">
        <f>IF('4 SUP +'!$A13&gt;61.5,IF('4 SUP +'!$A13&lt;71.6,IF('4 SUP +'!$C13&gt;71.5,IF('4 SUP +'!$C13&lt;85.6,'4 SUP +'!$AB13,0))))</f>
        <v>0</v>
      </c>
      <c r="BY292" s="777" t="b">
        <f>IF('4 SUP +'!$A13&gt;61.5,IF('4 SUP +'!$A13&lt;71.6,IF('4 SUP +'!$C13&gt;85.5,IF('4 SUP +'!$C13&lt;113.6,'4 SUP +'!$AB13,0))))</f>
        <v>0</v>
      </c>
      <c r="BZ292" s="777" t="b">
        <f>IF('4 SUP +'!$A13&gt;61.5,IF('4 SUP +'!$A13&lt;71.6,IF('4 SUP +'!$C13&gt;113.5,IF('4 SUP +'!$C13&lt;141.6,'4 SUP +'!$AB13,0))))</f>
        <v>0</v>
      </c>
      <c r="CA292" s="777" t="b">
        <f>IF('4 SUP +'!$A13&gt;61.5,IF('4 SUP +'!$A13&lt;71.6,IF('4 SUP +'!$C13&gt;141.5,IF('4 SUP +'!$C13&lt;149.1,'4 SUP +'!$AB13,0))))</f>
        <v>0</v>
      </c>
      <c r="CB292" s="777" t="b">
        <f>IF('4 SUP +'!$A13&gt;61.5,IF('4 SUP +'!$A13&lt;71.6,IF('4 SUP +'!$C13&gt;149,IF('4 SUP +'!$C13&lt;163.1,'4 SUP +'!$AB13,0))))</f>
        <v>0</v>
      </c>
      <c r="CC292" s="777" t="b">
        <f>IF('4 SUP +'!$A13&gt;61.5,IF('4 SUP +'!$A13&lt;71.6,IF('4 SUP +'!$C13&gt;163,IF('4 SUP +'!$C13&lt;180.6,'4 SUP +'!$AB13,0))))</f>
        <v>0</v>
      </c>
      <c r="CD292" s="777" t="b">
        <f>IF('4 SUP +'!$A13&gt;61.5,IF('4 SUP +'!$A13&lt;71.6,IF('4 SUP +'!$C13&gt;180.5,IF('4 SUP +'!$C13&lt;240.1,'4 SUP +'!$AB13,0))))</f>
        <v>0</v>
      </c>
      <c r="CF292" s="777" t="b">
        <f>IF('4 SUP +'!$A13&gt;71.5,IF('4 SUP +'!$A13&lt;120.6,IF('4 SUP +'!$C13&gt;10,IF('4 SUP +'!$C13&lt;57.6,'4 SUP +'!$AB13,0))))</f>
        <v>0</v>
      </c>
      <c r="CG292" s="777" t="b">
        <f>IF('4 SUP +'!$A13&gt;71.5,IF('4 SUP +'!$A13&lt;120.6,IF('4 SUP +'!$C13&gt;57.6,IF('4 SUP +'!$C13&lt;71.6,'4 SUP +'!$AB13,0))))</f>
        <v>0</v>
      </c>
      <c r="CH292" s="777" t="b">
        <f>IF('4 SUP +'!$A13&gt;71.5,IF('4 SUP +'!$A13&lt;120.6,IF('4 SUP +'!$C13&gt;71.5,IF('4 SUP +'!$C13&lt;85.6,'4 SUP +'!$AB13,0))))</f>
        <v>0</v>
      </c>
      <c r="CI292" s="777" t="b">
        <f>IF('4 SUP +'!$A13&gt;71.5,IF('4 SUP +'!$A13&lt;120.6,IF('4 SUP +'!$C13&gt;85.5,IF('4 SUP +'!$C13&lt;113.6,'4 SUP +'!$AB13,0))))</f>
        <v>0</v>
      </c>
      <c r="CJ292" s="777" t="b">
        <f>IF('4 SUP +'!$A13&gt;71.5,IF('4 SUP +'!$A13&lt;120.6,IF('4 SUP +'!$C13&gt;113.5,IF('4 SUP +'!$C13&lt;141.6,'4 SUP +'!$AB13,0))))</f>
        <v>0</v>
      </c>
      <c r="CK292" s="777" t="b">
        <f>IF('4 SUP +'!$A13&gt;71.5,IF('4 SUP +'!$A13&lt;120.6,IF('4 SUP +'!$C13&gt;141.5,IF('4 SUP +'!$C13&lt;180.6,'4 SUP +'!$AB13,0))))</f>
        <v>0</v>
      </c>
      <c r="CL292" s="777" t="b">
        <f>IF('4 SUP +'!$A13&gt;71.5,IF('4 SUP +'!$A13&lt;120.6,IF('4 SUP +'!$C13&gt;180.5,IF('4 SUP +'!$C13&lt;240.1,'4 SUP +'!$AB13,0))))</f>
        <v>0</v>
      </c>
      <c r="CN292" s="777">
        <f>IF('4 SUP +'!$C13&lt;150,IF(OR('4 SUP +'!$A13="MICRODER",'4 SUP +'!$A13="MICRO DER",),'4 SUP +'!$AB13,0))</f>
        <v>0</v>
      </c>
      <c r="CO292" s="777" t="b">
        <f>IF('4 SUP +'!$C13&gt;149.5,IF(OR('4 SUP +'!$A13="MICRODER",'4 SUP +'!$A13="MICRO DER",),'4 SUP +'!$AB13,0))</f>
        <v>0</v>
      </c>
      <c r="CP292" s="847"/>
      <c r="CQ292" s="777">
        <f>IF('4 SUP +'!$C13&lt;150,IF(OR('4 SUP +'!$A13="MICROIZQ",'4 SUP +'!$A13="MICRO IZQ",),'4 SUP +'!$AB13,0))</f>
        <v>0</v>
      </c>
      <c r="CR292" s="777" t="b">
        <f>IF('4 SUP +'!$C13&gt;149.5,IF(OR('4 SUP +'!$A13="MICROIZQ",'4 SUP +'!$A13="MICRO IZQ",),'4 SUP +'!$AB13,0))</f>
        <v>0</v>
      </c>
      <c r="CT292" s="837">
        <f>IF(OR('4 SUP +'!$A13="MICRO SEN",'4 SUP +'!$A13="MICROSEN",),'4 SUP +'!$AB13,0)</f>
        <v>0</v>
      </c>
      <c r="CV292" s="837" t="b">
        <f>IF('4 SUP +'!$A13="DIAMETRO",IF('4 SUP +'!$C13&lt;121.1,'4 SUP +'!$AB13,0))</f>
        <v>0</v>
      </c>
      <c r="CX292" s="858"/>
      <c r="CZ292" s="837" t="b">
        <f>IF('4 SUP +'!$A13="MOSTRADOR",IF('4 SUP +'!$C13="R60",'4 SUP +'!$AB13,0))</f>
        <v>0</v>
      </c>
      <c r="DB292" s="837">
        <f>IF(OR('4 SUP +'!$A13="PORTA PRIN",'4 SUP +'!$A13="PORTAPRIN",),'4 SUP +'!$AB13,0)</f>
        <v>0</v>
      </c>
      <c r="DD292" s="837">
        <f>IF(OR('4 SUP +'!$A13="PORTA BADE",'4 SUP +'!$A13="PORTABADE",),'4 SUP +'!$AB13,0)</f>
        <v>0</v>
      </c>
      <c r="DE292" s="837"/>
      <c r="DF292" s="837">
        <f>IF(OR('4 SUP +'!$A13="RETORNO IZQ",'4 SUP +'!$A13="RETORNO DER",),'4 SUP +'!$AB201,0)</f>
        <v>0</v>
      </c>
      <c r="DG292" s="837"/>
      <c r="DH292" s="837">
        <f>IF(OR('4 SUP +'!$A13="PITO Q",'4 SUP +'!$A13="PITO P",'4 SUP +'!$A13="DIAMETRO INTEGRADA",),'4 SUP +'!$AB13,0)</f>
        <v>0</v>
      </c>
      <c r="DJ292" s="858"/>
      <c r="DK292" s="837"/>
      <c r="DL292" s="837">
        <f>IF('4 SUP +'!$A13="SUPERFICIE OVAL",'4 SUP +'!$AB13,0)</f>
        <v>0</v>
      </c>
      <c r="DN292" s="838"/>
      <c r="DO292" s="838"/>
      <c r="DP292" s="838"/>
      <c r="DQ292" s="838"/>
      <c r="DR292" s="838"/>
      <c r="DS292" s="838"/>
      <c r="DT292" s="838"/>
      <c r="DU292" s="838"/>
      <c r="DV292" s="838"/>
      <c r="DW292" s="838"/>
      <c r="DX292" s="838"/>
      <c r="DY292" s="838"/>
      <c r="DZ292" s="838"/>
      <c r="EA292" s="838"/>
      <c r="EB292" s="838"/>
      <c r="EC292" s="838"/>
      <c r="ED292" s="838"/>
      <c r="EG292" s="682">
        <f>IF('4 SUP +'!A11="MICRO DER",85,IF('4 SUP +'!A11="MICRO IZQ",85,IF('4 SUP +'!A11="MICRO SEN",170,IF('4 SUP +'!A11="DIAMETRO",3.14*'4 SUP +'!C11/2,IF('4 SUP +'!A11="MOSTRADOR",136,IF('4 SUP +'!A11="PORTA",65,IF('4 SUP +'!A11="PITO Q",90,IF('4 SUP +'!A11="PITO P",90,'4 SUP +'!A11))))))))</f>
        <v>0</v>
      </c>
      <c r="EH292" s="682"/>
      <c r="EI292" s="682">
        <f>IF('4 SUP +'!A11="DIAMETRO",0,IF('4 SUP +'!C11="PRINCIPAL",160,IF('4 SUP +'!C11="BADE",190,IF('4 SUP +'!C11="RETORNO",100,IF('4 SUP +'!C11="R 60",100,IF('4 SUP +'!C11="R60",100,'4 SUP +'!C11))))))</f>
        <v>0</v>
      </c>
      <c r="EJ292" s="682"/>
      <c r="EK292" s="682">
        <f>IF('4 SUP +'!$F11='4 SUP +'!$AG$15,((EG292*2)+(EI292*2))*'4 SUP +'!AB11,0)</f>
        <v>0</v>
      </c>
      <c r="EL292" s="682"/>
      <c r="EM292" s="682">
        <f>IF('4 SUP +'!$F11='4 SUP +'!$AG$16,((EG292*2)+(EI292*2))*'4 SUP +'!AB11,0)</f>
        <v>0</v>
      </c>
      <c r="EO292" s="682">
        <f>IF('4 SUP +'!$F11='4 SUP +'!$AG$17,((EG292*2)+(EI292*2))*'4 SUP +'!AB11,0)</f>
        <v>0</v>
      </c>
      <c r="EP292" s="838"/>
      <c r="EQ292" s="682">
        <f>IF('4 SUP +'!$F11='4 SUP +'!$AG$18,((EG292*2)+(EI292*2))*'4 SUP +'!AB11,0)</f>
        <v>0</v>
      </c>
      <c r="ER292" s="838"/>
      <c r="ES292" s="858"/>
      <c r="ET292" s="858"/>
      <c r="EU292" s="858"/>
      <c r="EV292" s="858"/>
      <c r="EW292" s="847"/>
      <c r="EX292" s="847"/>
      <c r="EY292" s="847"/>
      <c r="EZ292" s="847"/>
      <c r="FA292" s="852"/>
      <c r="FB292" s="852"/>
      <c r="FC292" s="838"/>
      <c r="FD292" s="838"/>
      <c r="FE292" s="838"/>
      <c r="FF292" s="838"/>
      <c r="FG292" s="838"/>
      <c r="FH292" s="838"/>
      <c r="FI292" s="838"/>
      <c r="FJ292" s="838"/>
      <c r="FK292" s="838"/>
      <c r="FL292" s="838"/>
      <c r="FM292" s="838"/>
      <c r="FN292" s="838"/>
      <c r="FO292" s="838"/>
      <c r="FP292" s="838"/>
      <c r="GM292" s="858"/>
      <c r="GN292" s="838"/>
      <c r="GO292" s="858"/>
      <c r="GP292" s="858"/>
      <c r="GQ292" s="858"/>
      <c r="GR292" s="838"/>
      <c r="HF292" s="700">
        <v>55</v>
      </c>
      <c r="HH292" s="591">
        <v>55</v>
      </c>
    </row>
    <row r="293" spans="37:216" ht="26.25" x14ac:dyDescent="0.4">
      <c r="AK293" s="777" t="b">
        <f>IF('4 SUP +'!$A14&gt;10,IF('4 SUP +'!$A14&lt;31.1,IF('4 SUP +'!$C14&gt;10,IF('4 SUP +'!$C14&lt;57.6,'4 SUP +'!$AB14,0))))</f>
        <v>0</v>
      </c>
      <c r="AL293" s="777" t="b">
        <f>IF('4 SUP +'!$A14&gt;10,IF('4 SUP +'!$A14&lt;31.1,IF('4 SUP +'!$C14&gt;57.6,IF('4 SUP +'!$C14&lt;71.6,'4 SUP +'!$AB14,0))))</f>
        <v>0</v>
      </c>
      <c r="AM293" s="777" t="b">
        <f>IF('4 SUP +'!$A14&gt;10,IF('4 SUP +'!$A14&lt;31.1,IF('4 SUP +'!$C14&gt;71.5,IF('4 SUP +'!$C14&lt;85.6,'4 SUP +'!$AB14,0))))</f>
        <v>0</v>
      </c>
      <c r="AN293" s="777" t="b">
        <f>IF('4 SUP +'!$A14&gt;10,IF('4 SUP +'!$A14&lt;31.1,IF('4 SUP +'!$C14&gt;85.5,IF('4 SUP +'!$C14&lt;113.6,'4 SUP +'!$AB14,0))))</f>
        <v>0</v>
      </c>
      <c r="AO293" s="777" t="b">
        <f>IF('4 SUP +'!$A14&gt;10,IF('4 SUP +'!$A14&lt;31.1,IF('4 SUP +'!$C14&gt;113.5,IF('4 SUP +'!$C14&lt;141.6,'4 SUP +'!$AB14,0))))</f>
        <v>0</v>
      </c>
      <c r="AP293" s="777" t="b">
        <f>IF('4 SUP +'!$A14&gt;10,IF('4 SUP +'!$A14&lt;31.1,IF('4 SUP +'!$C14&gt;141.5,IF('4 SUP +'!$C14&lt;180.6,'4 SUP +'!$AB14,0))))</f>
        <v>0</v>
      </c>
      <c r="AQ293" s="777" t="b">
        <f>IF('4 SUP +'!$A14&gt;10,IF('4 SUP +'!$A14&lt;31.1,IF('4 SUP +'!$C14&gt;180.5,IF('4 SUP +'!$C14&lt;240.1,'4 SUP +'!$AB14,0))))</f>
        <v>0</v>
      </c>
      <c r="AS293" s="777" t="b">
        <f>IF('4 SUP +'!$A14&gt;31,IF('4 SUP +'!$A14&lt;45.5,IF('4 SUP +'!$C14&gt;10,IF('4 SUP +'!$C14&lt;57.6,'4 SUP +'!$AB14,0))))</f>
        <v>0</v>
      </c>
      <c r="AT293" s="777" t="b">
        <f>IF('4 SUP +'!$A14&gt;31,IF('4 SUP +'!$A14&lt;45.5,IF('4 SUP +'!$C14&gt;57.6,IF('4 SUP +'!$C14&lt;71.6,'4 SUP +'!$AB14,0))))</f>
        <v>0</v>
      </c>
      <c r="AU293" s="777" t="b">
        <f>IF('4 SUP +'!$A14&gt;31,IF('4 SUP +'!$A14&lt;45.5,IF('4 SUP +'!$C14&gt;71.5,IF('4 SUP +'!$C14&lt;85.6,'4 SUP +'!$AB14,0))))</f>
        <v>0</v>
      </c>
      <c r="AV293" s="777" t="b">
        <f>IF('4 SUP +'!$A14&gt;31,IF('4 SUP +'!$A14&lt;45.5,IF('4 SUP +'!$C14&gt;85.5,IF('4 SUP +'!$C14&lt;113.6,'4 SUP +'!$AB14,0))))</f>
        <v>0</v>
      </c>
      <c r="AW293" s="777" t="b">
        <f>IF('4 SUP +'!$A14&gt;31,IF('4 SUP +'!$A14&lt;45.5,IF('4 SUP +'!$C14&gt;113.5,IF('4 SUP +'!$C14&lt;141.6,'4 SUP +'!$AB14,0))))</f>
        <v>0</v>
      </c>
      <c r="AX293" s="777" t="b">
        <f>IF('4 SUP +'!$A14&gt;31,IF('4 SUP +'!$A14&lt;45.5,IF('4 SUP +'!$C14&gt;141.5,IF('4 SUP +'!$C14&lt;180.6,'4 SUP +'!$AB14,0))))</f>
        <v>0</v>
      </c>
      <c r="AY293" s="777" t="b">
        <f>IF('4 SUP +'!$A14&gt;31,IF('4 SUP +'!$A14&lt;45.5,IF('4 SUP +'!$C14&gt;180.5,IF('4 SUP +'!$C14&lt;240.1,'4 SUP +'!$AB14,0))))</f>
        <v>0</v>
      </c>
      <c r="BA293" s="777" t="b">
        <f>IF('4 SUP +'!$A14&gt;45.4,IF('4 SUP +'!$A14&lt;61.6,IF('4 SUP +'!$C14&gt;10,IF('4 SUP +'!$C14&lt;61.5,'4 SUP +'!$AB14,0))))</f>
        <v>0</v>
      </c>
      <c r="BB293" s="777" t="b">
        <f>IF('4 SUP +'!$A14&gt;45.4,IF('4 SUP +'!$A14&lt;61.6,IF('4 SUP +'!$C14&gt;61.1,IF('4 SUP +'!$C14&lt;71.6,'4 SUP +'!$AB14,0))))</f>
        <v>0</v>
      </c>
      <c r="BC293" s="777" t="b">
        <f>IF('4 SUP +'!$A14&gt;45.4,IF('4 SUP +'!$A14&lt;61.6,IF('4 SUP +'!$C14&gt;71.5,IF('4 SUP +'!$C14&lt;85.6,'4 SUP +'!$AB14,0))))</f>
        <v>0</v>
      </c>
      <c r="BD293" s="777" t="b">
        <f>IF('4 SUP +'!$A14&gt;45.4,IF('4 SUP +'!$A14&lt;61.6,IF('4 SUP +'!$C14&gt;85.5,IF('4 SUP +'!$C14&lt;113.6,'4 SUP +'!$AB14,0))))</f>
        <v>0</v>
      </c>
      <c r="BE293" s="777" t="b">
        <f>IF('4 SUP +'!$A14&gt;45.4,IF('4 SUP +'!$A14&lt;61.6,IF('4 SUP +'!$C14&gt;113.5,IF('4 SUP +'!$C14&lt;121.6,'4 SUP +'!$AB14,0))))</f>
        <v>0</v>
      </c>
      <c r="BF293" s="777" t="b">
        <f>IF('4 SUP +'!$A14&gt;45.4,IF('4 SUP +'!$A14&lt;61.6,IF('4 SUP +'!$C14&gt;121.5,IF('4 SUP +'!$C14&lt;127.6,'4 SUP +'!$AB14,0))))</f>
        <v>0</v>
      </c>
      <c r="BG293" s="777" t="b">
        <f>IF('4 SUP +'!$A14&gt;45.4,IF('4 SUP +'!$A14&lt;61.6,IF('4 SUP +'!$C14&gt;127.5,IF('4 SUP +'!$C14&lt;135.1,'4 SUP +'!$AB14,0))))</f>
        <v>0</v>
      </c>
      <c r="BH293" s="777" t="b">
        <f>IF('4 SUP +'!$A14&gt;45.4,IF('4 SUP +'!$A14&lt;61.6,IF('4 SUP +'!$C14&gt;135,IF('4 SUP +'!$C14&lt;141.6,'4 SUP +'!$AB14,0))))</f>
        <v>0</v>
      </c>
      <c r="BI293" s="777" t="b">
        <f>IF('4 SUP +'!$A14&gt;45.4,IF('4 SUP +'!$A14&lt;61.6,IF('4 SUP +'!$C14&gt;141.5,IF('4 SUP +'!$C14&lt;149.1,'4 SUP +'!$AB14,0))))</f>
        <v>0</v>
      </c>
      <c r="BJ293" s="777" t="b">
        <f>IF('4 SUP +'!$A14&gt;45.4,IF('4 SUP +'!$A14&lt;61.6,IF('4 SUP +'!$C14&gt;149,IF('4 SUP +'!$C14&lt;155.6,'4 SUP +'!$AB14,0))))</f>
        <v>0</v>
      </c>
      <c r="BK293" s="777" t="b">
        <f>IF('4 SUP +'!$A14&gt;45.4,IF('4 SUP +'!$A14&lt;61.6,IF('4 SUP +'!$C14&gt;155.5,IF('4 SUP +'!$C14&lt;163.1,'4 SUP +'!$AB14,0))))</f>
        <v>0</v>
      </c>
      <c r="BL293" s="777" t="b">
        <f>IF('4 SUP +'!$A14&gt;45.4,IF('4 SUP +'!$A14&lt;61.6,IF('4 SUP +'!$C14&gt;163,IF('4 SUP +'!$C14&lt;180.6,'4 SUP +'!$AB14,0))))</f>
        <v>0</v>
      </c>
      <c r="BM293" s="777" t="b">
        <f>IF('4 SUP +'!$A14&gt;45.4,IF('4 SUP +'!$A14&lt;61.6,IF('4 SUP +'!$C14&gt;180.5,IF('4 SUP +'!$C14&lt;240.1,'4 SUP +'!$AB14,0))))</f>
        <v>0</v>
      </c>
      <c r="BO293" s="869" t="s">
        <v>515</v>
      </c>
      <c r="BQ293" s="870">
        <f>+$AN$338</f>
        <v>0</v>
      </c>
      <c r="BS293" s="869"/>
      <c r="BT293" s="870">
        <f>+$AN$339</f>
        <v>0</v>
      </c>
      <c r="BV293" s="777" t="b">
        <f>IF('4 SUP +'!$A14&gt;61.5,IF('4 SUP +'!$A14&lt;71.6,IF('4 SUP +'!$C14&gt;10,IF('4 SUP +'!$C14&lt;57.6,'4 SUP +'!$AB14,0))))</f>
        <v>0</v>
      </c>
      <c r="BW293" s="777" t="b">
        <f>IF('4 SUP +'!$A14&gt;61.5,IF('4 SUP +'!$A14&lt;71.6,IF('4 SUP +'!$C14&gt;57.6,IF('4 SUP +'!$C14&lt;71.6,'4 SUP +'!$AB14,0))))</f>
        <v>0</v>
      </c>
      <c r="BX293" s="777" t="b">
        <f>IF('4 SUP +'!$A14&gt;61.5,IF('4 SUP +'!$A14&lt;71.6,IF('4 SUP +'!$C14&gt;71.5,IF('4 SUP +'!$C14&lt;85.6,'4 SUP +'!$AB14,0))))</f>
        <v>0</v>
      </c>
      <c r="BY293" s="777" t="b">
        <f>IF('4 SUP +'!$A14&gt;61.5,IF('4 SUP +'!$A14&lt;71.6,IF('4 SUP +'!$C14&gt;85.5,IF('4 SUP +'!$C14&lt;113.6,'4 SUP +'!$AB14,0))))</f>
        <v>0</v>
      </c>
      <c r="BZ293" s="777" t="b">
        <f>IF('4 SUP +'!$A14&gt;61.5,IF('4 SUP +'!$A14&lt;71.6,IF('4 SUP +'!$C14&gt;113.5,IF('4 SUP +'!$C14&lt;141.6,'4 SUP +'!$AB14,0))))</f>
        <v>0</v>
      </c>
      <c r="CA293" s="777" t="b">
        <f>IF('4 SUP +'!$A14&gt;61.5,IF('4 SUP +'!$A14&lt;71.6,IF('4 SUP +'!$C14&gt;141.5,IF('4 SUP +'!$C14&lt;149.1,'4 SUP +'!$AB14,0))))</f>
        <v>0</v>
      </c>
      <c r="CB293" s="777" t="b">
        <f>IF('4 SUP +'!$A14&gt;61.5,IF('4 SUP +'!$A14&lt;71.6,IF('4 SUP +'!$C14&gt;149,IF('4 SUP +'!$C14&lt;163.1,'4 SUP +'!$AB14,0))))</f>
        <v>0</v>
      </c>
      <c r="CC293" s="777" t="b">
        <f>IF('4 SUP +'!$A14&gt;61.5,IF('4 SUP +'!$A14&lt;71.6,IF('4 SUP +'!$C14&gt;163,IF('4 SUP +'!$C14&lt;180.6,'4 SUP +'!$AB14,0))))</f>
        <v>0</v>
      </c>
      <c r="CD293" s="777" t="b">
        <f>IF('4 SUP +'!$A14&gt;61.5,IF('4 SUP +'!$A14&lt;71.6,IF('4 SUP +'!$C14&gt;180.5,IF('4 SUP +'!$C14&lt;240.1,'4 SUP +'!$AB14,0))))</f>
        <v>0</v>
      </c>
      <c r="CF293" s="777" t="b">
        <f>IF('4 SUP +'!$A14&gt;71.5,IF('4 SUP +'!$A14&lt;120.6,IF('4 SUP +'!$C14&gt;10,IF('4 SUP +'!$C14&lt;57.6,'4 SUP +'!$AB14,0))))</f>
        <v>0</v>
      </c>
      <c r="CG293" s="777" t="b">
        <f>IF('4 SUP +'!$A14&gt;71.5,IF('4 SUP +'!$A14&lt;120.6,IF('4 SUP +'!$C14&gt;57.6,IF('4 SUP +'!$C14&lt;71.6,'4 SUP +'!$AB14,0))))</f>
        <v>0</v>
      </c>
      <c r="CH293" s="777" t="b">
        <f>IF('4 SUP +'!$A14&gt;71.5,IF('4 SUP +'!$A14&lt;120.6,IF('4 SUP +'!$C14&gt;71.5,IF('4 SUP +'!$C14&lt;85.6,'4 SUP +'!$AB14,0))))</f>
        <v>0</v>
      </c>
      <c r="CI293" s="777" t="b">
        <f>IF('4 SUP +'!$A14&gt;71.5,IF('4 SUP +'!$A14&lt;120.6,IF('4 SUP +'!$C14&gt;85.5,IF('4 SUP +'!$C14&lt;113.6,'4 SUP +'!$AB14,0))))</f>
        <v>0</v>
      </c>
      <c r="CJ293" s="777" t="b">
        <f>IF('4 SUP +'!$A14&gt;71.5,IF('4 SUP +'!$A14&lt;120.6,IF('4 SUP +'!$C14&gt;113.5,IF('4 SUP +'!$C14&lt;141.6,'4 SUP +'!$AB14,0))))</f>
        <v>0</v>
      </c>
      <c r="CK293" s="777" t="b">
        <f>IF('4 SUP +'!$A14&gt;71.5,IF('4 SUP +'!$A14&lt;120.6,IF('4 SUP +'!$C14&gt;141.5,IF('4 SUP +'!$C14&lt;180.6,'4 SUP +'!$AB14,0))))</f>
        <v>0</v>
      </c>
      <c r="CL293" s="777" t="b">
        <f>IF('4 SUP +'!$A14&gt;71.5,IF('4 SUP +'!$A14&lt;120.6,IF('4 SUP +'!$C14&gt;180.5,IF('4 SUP +'!$C14&lt;240.1,'4 SUP +'!$AB14,0))))</f>
        <v>0</v>
      </c>
      <c r="CN293" s="777">
        <f>IF('4 SUP +'!$C14&lt;150,IF(OR('4 SUP +'!$A14="MICRODER",'4 SUP +'!$A14="MICRO DER",),'4 SUP +'!$AB14,0))</f>
        <v>0</v>
      </c>
      <c r="CO293" s="777" t="b">
        <f>IF('4 SUP +'!$C14&gt;149.5,IF(OR('4 SUP +'!$A14="MICRODER",'4 SUP +'!$A14="MICRO DER",),'4 SUP +'!$AB14,0))</f>
        <v>0</v>
      </c>
      <c r="CP293" s="847"/>
      <c r="CQ293" s="777">
        <f>IF('4 SUP +'!$C14&lt;150,IF(OR('4 SUP +'!$A14="MICROIZQ",'4 SUP +'!$A14="MICRO IZQ",),'4 SUP +'!$AB14,0))</f>
        <v>0</v>
      </c>
      <c r="CR293" s="777" t="b">
        <f>IF('4 SUP +'!$C14&gt;149.5,IF(OR('4 SUP +'!$A14="MICROIZQ",'4 SUP +'!$A14="MICRO IZQ",),'4 SUP +'!$AB14,0))</f>
        <v>0</v>
      </c>
      <c r="CT293" s="837">
        <f>IF(OR('4 SUP +'!$A14="MICRO SEN",'4 SUP +'!$A14="MICROSEN",),'4 SUP +'!$AB14,0)</f>
        <v>0</v>
      </c>
      <c r="CV293" s="837" t="b">
        <f>IF('4 SUP +'!$A14="DIAMETRO",IF('4 SUP +'!$C14&lt;121.1,'4 SUP +'!$AB14,0))</f>
        <v>0</v>
      </c>
      <c r="CX293" s="858"/>
      <c r="CZ293" s="837" t="b">
        <f>IF('4 SUP +'!$A14="MOSTRADOR",IF('4 SUP +'!$C14="R60",'4 SUP +'!$AB14,0))</f>
        <v>0</v>
      </c>
      <c r="DB293" s="837">
        <f>IF(OR('4 SUP +'!$A14="PORTA PRIN",'4 SUP +'!$A14="PORTAPRIN",),'4 SUP +'!$AB14,0)</f>
        <v>0</v>
      </c>
      <c r="DD293" s="837">
        <f>IF(OR('4 SUP +'!$A14="PORTA BADE",'4 SUP +'!$A14="PORTABADE",),'4 SUP +'!$AB14,0)</f>
        <v>0</v>
      </c>
      <c r="DE293" s="837"/>
      <c r="DF293" s="837">
        <f>IF(OR('4 SUP +'!$A14="RETORNO IZQ",'4 SUP +'!$A14="RETORNO DER",),'4 SUP +'!$AB202,0)</f>
        <v>0</v>
      </c>
      <c r="DG293" s="837"/>
      <c r="DH293" s="837">
        <f>IF(OR('4 SUP +'!$A14="PITO Q",'4 SUP +'!$A14="PITO P",'4 SUP +'!$A14="DIAMETRO INTEGRADA",),'4 SUP +'!$AB14,0)</f>
        <v>0</v>
      </c>
      <c r="DJ293" s="858"/>
      <c r="DK293" s="837"/>
      <c r="DL293" s="837">
        <f>IF('4 SUP +'!$A14="SUPERFICIE OVAL",'4 SUP +'!$AB14,0)</f>
        <v>0</v>
      </c>
      <c r="DN293" s="838"/>
      <c r="DO293" s="838"/>
      <c r="DP293" s="838"/>
      <c r="DQ293" s="838"/>
      <c r="DR293" s="838"/>
      <c r="DS293" s="838"/>
      <c r="DT293" s="838"/>
      <c r="DU293" s="838"/>
      <c r="DV293" s="838"/>
      <c r="DW293" s="838"/>
      <c r="DX293" s="838"/>
      <c r="DY293" s="838"/>
      <c r="DZ293" s="838"/>
      <c r="EA293" s="838"/>
      <c r="EB293" s="838"/>
      <c r="EC293" s="838"/>
      <c r="ED293" s="838"/>
      <c r="EG293" s="682">
        <f>IF('4 SUP +'!A12="MICRO DER",85,IF('4 SUP +'!A12="MICRO IZQ",85,IF('4 SUP +'!A12="MICRO SEN",170,IF('4 SUP +'!A12="DIAMETRO",3.14*'4 SUP +'!C12/2,IF('4 SUP +'!A12="MOSTRADOR",136,IF('4 SUP +'!A12="PORTA",65,IF('4 SUP +'!A12="PITO Q",90,IF('4 SUP +'!A12="PITO P",90,'4 SUP +'!A12))))))))</f>
        <v>0</v>
      </c>
      <c r="EH293" s="682"/>
      <c r="EI293" s="682">
        <f>IF('4 SUP +'!A12="DIAMETRO",0,IF('4 SUP +'!C12="PRINCIPAL",160,IF('4 SUP +'!C12="BADE",190,IF('4 SUP +'!C12="RETORNO",100,IF('4 SUP +'!C12="R 60",100,IF('4 SUP +'!C12="R60",100,'4 SUP +'!C12))))))</f>
        <v>0</v>
      </c>
      <c r="EJ293" s="682"/>
      <c r="EK293" s="682">
        <f>IF('4 SUP +'!$F12='4 SUP +'!$AG$15,((EG293*2)+(EI293*2))*'4 SUP +'!AB12,0)</f>
        <v>0</v>
      </c>
      <c r="EL293" s="682"/>
      <c r="EM293" s="682">
        <f>IF('4 SUP +'!$F12='4 SUP +'!$AG$16,((EG293*2)+(EI293*2))*'4 SUP +'!AB12,0)</f>
        <v>0</v>
      </c>
      <c r="EO293" s="682">
        <f>IF('4 SUP +'!$F12='4 SUP +'!$AG$17,((EG293*2)+(EI293*2))*'4 SUP +'!AB12,0)</f>
        <v>0</v>
      </c>
      <c r="EP293" s="838"/>
      <c r="EQ293" s="682">
        <f>IF('4 SUP +'!$F12='4 SUP +'!$AG$18,((EG293*2)+(EI293*2))*'4 SUP +'!AB12,0)</f>
        <v>0</v>
      </c>
      <c r="ER293" s="838"/>
      <c r="ES293" s="858"/>
      <c r="ET293" s="858"/>
      <c r="EU293" s="858"/>
      <c r="EV293" s="858"/>
      <c r="EW293" s="847"/>
      <c r="EX293" s="847"/>
      <c r="EY293" s="847"/>
      <c r="EZ293" s="847"/>
      <c r="FA293" s="852"/>
      <c r="FB293" s="852"/>
      <c r="FC293" s="838"/>
      <c r="FD293" s="838"/>
      <c r="FE293" s="838"/>
      <c r="FF293" s="838"/>
      <c r="FG293" s="838"/>
      <c r="FH293" s="838"/>
      <c r="FI293" s="838"/>
      <c r="FJ293" s="838"/>
      <c r="FK293" s="838"/>
      <c r="FL293" s="838"/>
      <c r="FM293" s="838"/>
      <c r="FN293" s="838"/>
      <c r="FO293" s="838"/>
      <c r="FP293" s="838"/>
      <c r="GM293" s="858"/>
      <c r="GN293" s="838"/>
      <c r="GO293" s="858"/>
      <c r="GP293" s="858"/>
      <c r="GQ293" s="858"/>
      <c r="GR293" s="838"/>
      <c r="HF293" s="700">
        <v>55.5</v>
      </c>
      <c r="HH293" s="591">
        <v>55.5</v>
      </c>
    </row>
    <row r="294" spans="37:216" ht="26.25" x14ac:dyDescent="0.4">
      <c r="AK294" s="777" t="b">
        <f>IF('4 SUP +'!$A15&gt;10,IF('4 SUP +'!$A15&lt;31.1,IF('4 SUP +'!$C15&gt;10,IF('4 SUP +'!$C15&lt;57.6,'4 SUP +'!$AB15,0))))</f>
        <v>0</v>
      </c>
      <c r="AL294" s="777" t="b">
        <f>IF('4 SUP +'!$A15&gt;10,IF('4 SUP +'!$A15&lt;31.1,IF('4 SUP +'!$C15&gt;57.6,IF('4 SUP +'!$C15&lt;71.6,'4 SUP +'!$AB15,0))))</f>
        <v>0</v>
      </c>
      <c r="AM294" s="777" t="b">
        <f>IF('4 SUP +'!$A15&gt;10,IF('4 SUP +'!$A15&lt;31.1,IF('4 SUP +'!$C15&gt;71.5,IF('4 SUP +'!$C15&lt;85.6,'4 SUP +'!$AB15,0))))</f>
        <v>0</v>
      </c>
      <c r="AN294" s="777" t="b">
        <f>IF('4 SUP +'!$A15&gt;10,IF('4 SUP +'!$A15&lt;31.1,IF('4 SUP +'!$C15&gt;85.5,IF('4 SUP +'!$C15&lt;113.6,'4 SUP +'!$AB15,0))))</f>
        <v>0</v>
      </c>
      <c r="AO294" s="777" t="b">
        <f>IF('4 SUP +'!$A15&gt;10,IF('4 SUP +'!$A15&lt;31.1,IF('4 SUP +'!$C15&gt;113.5,IF('4 SUP +'!$C15&lt;141.6,'4 SUP +'!$AB15,0))))</f>
        <v>0</v>
      </c>
      <c r="AP294" s="777" t="b">
        <f>IF('4 SUP +'!$A15&gt;10,IF('4 SUP +'!$A15&lt;31.1,IF('4 SUP +'!$C15&gt;141.5,IF('4 SUP +'!$C15&lt;180.6,'4 SUP +'!$AB15,0))))</f>
        <v>0</v>
      </c>
      <c r="AQ294" s="777" t="b">
        <f>IF('4 SUP +'!$A15&gt;10,IF('4 SUP +'!$A15&lt;31.1,IF('4 SUP +'!$C15&gt;180.5,IF('4 SUP +'!$C15&lt;240.1,'4 SUP +'!$AB15,0))))</f>
        <v>0</v>
      </c>
      <c r="AS294" s="777" t="b">
        <f>IF('4 SUP +'!$A15&gt;31,IF('4 SUP +'!$A15&lt;45.5,IF('4 SUP +'!$C15&gt;10,IF('4 SUP +'!$C15&lt;57.6,'4 SUP +'!$AB15,0))))</f>
        <v>0</v>
      </c>
      <c r="AT294" s="777" t="b">
        <f>IF('4 SUP +'!$A15&gt;31,IF('4 SUP +'!$A15&lt;45.5,IF('4 SUP +'!$C15&gt;57.6,IF('4 SUP +'!$C15&lt;71.6,'4 SUP +'!$AB15,0))))</f>
        <v>0</v>
      </c>
      <c r="AU294" s="777" t="b">
        <f>IF('4 SUP +'!$A15&gt;31,IF('4 SUP +'!$A15&lt;45.5,IF('4 SUP +'!$C15&gt;71.5,IF('4 SUP +'!$C15&lt;85.6,'4 SUP +'!$AB15,0))))</f>
        <v>0</v>
      </c>
      <c r="AV294" s="777" t="b">
        <f>IF('4 SUP +'!$A15&gt;31,IF('4 SUP +'!$A15&lt;45.5,IF('4 SUP +'!$C15&gt;85.5,IF('4 SUP +'!$C15&lt;113.6,'4 SUP +'!$AB15,0))))</f>
        <v>0</v>
      </c>
      <c r="AW294" s="777" t="b">
        <f>IF('4 SUP +'!$A15&gt;31,IF('4 SUP +'!$A15&lt;45.5,IF('4 SUP +'!$C15&gt;113.5,IF('4 SUP +'!$C15&lt;141.6,'4 SUP +'!$AB15,0))))</f>
        <v>0</v>
      </c>
      <c r="AX294" s="777" t="b">
        <f>IF('4 SUP +'!$A15&gt;31,IF('4 SUP +'!$A15&lt;45.5,IF('4 SUP +'!$C15&gt;141.5,IF('4 SUP +'!$C15&lt;180.6,'4 SUP +'!$AB15,0))))</f>
        <v>0</v>
      </c>
      <c r="AY294" s="777" t="b">
        <f>IF('4 SUP +'!$A15&gt;31,IF('4 SUP +'!$A15&lt;45.5,IF('4 SUP +'!$C15&gt;180.5,IF('4 SUP +'!$C15&lt;240.1,'4 SUP +'!$AB15,0))))</f>
        <v>0</v>
      </c>
      <c r="BA294" s="777" t="b">
        <f>IF('4 SUP +'!$A15&gt;45.4,IF('4 SUP +'!$A15&lt;61.6,IF('4 SUP +'!$C15&gt;10,IF('4 SUP +'!$C15&lt;61.5,'4 SUP +'!$AB15,0))))</f>
        <v>0</v>
      </c>
      <c r="BB294" s="777" t="b">
        <f>IF('4 SUP +'!$A15&gt;45.4,IF('4 SUP +'!$A15&lt;61.6,IF('4 SUP +'!$C15&gt;61.1,IF('4 SUP +'!$C15&lt;71.6,'4 SUP +'!$AB15,0))))</f>
        <v>0</v>
      </c>
      <c r="BC294" s="777" t="b">
        <f>IF('4 SUP +'!$A15&gt;45.4,IF('4 SUP +'!$A15&lt;61.6,IF('4 SUP +'!$C15&gt;71.5,IF('4 SUP +'!$C15&lt;85.6,'4 SUP +'!$AB15,0))))</f>
        <v>0</v>
      </c>
      <c r="BD294" s="777" t="b">
        <f>IF('4 SUP +'!$A15&gt;45.4,IF('4 SUP +'!$A15&lt;61.6,IF('4 SUP +'!$C15&gt;85.5,IF('4 SUP +'!$C15&lt;113.6,'4 SUP +'!$AB15,0))))</f>
        <v>0</v>
      </c>
      <c r="BE294" s="777" t="b">
        <f>IF('4 SUP +'!$A15&gt;45.4,IF('4 SUP +'!$A15&lt;61.6,IF('4 SUP +'!$C15&gt;113.5,IF('4 SUP +'!$C15&lt;121.6,'4 SUP +'!$AB15,0))))</f>
        <v>0</v>
      </c>
      <c r="BF294" s="777" t="b">
        <f>IF('4 SUP +'!$A15&gt;45.4,IF('4 SUP +'!$A15&lt;61.6,IF('4 SUP +'!$C15&gt;121.5,IF('4 SUP +'!$C15&lt;127.6,'4 SUP +'!$AB15,0))))</f>
        <v>0</v>
      </c>
      <c r="BG294" s="777" t="b">
        <f>IF('4 SUP +'!$A15&gt;45.4,IF('4 SUP +'!$A15&lt;61.6,IF('4 SUP +'!$C15&gt;127.5,IF('4 SUP +'!$C15&lt;135.1,'4 SUP +'!$AB15,0))))</f>
        <v>0</v>
      </c>
      <c r="BH294" s="777" t="b">
        <f>IF('4 SUP +'!$A15&gt;45.4,IF('4 SUP +'!$A15&lt;61.6,IF('4 SUP +'!$C15&gt;135,IF('4 SUP +'!$C15&lt;141.6,'4 SUP +'!$AB15,0))))</f>
        <v>0</v>
      </c>
      <c r="BI294" s="777" t="b">
        <f>IF('4 SUP +'!$A15&gt;45.4,IF('4 SUP +'!$A15&lt;61.6,IF('4 SUP +'!$C15&gt;141.5,IF('4 SUP +'!$C15&lt;149.1,'4 SUP +'!$AB15,0))))</f>
        <v>0</v>
      </c>
      <c r="BJ294" s="777" t="b">
        <f>IF('4 SUP +'!$A15&gt;45.4,IF('4 SUP +'!$A15&lt;61.6,IF('4 SUP +'!$C15&gt;149,IF('4 SUP +'!$C15&lt;155.6,'4 SUP +'!$AB15,0))))</f>
        <v>0</v>
      </c>
      <c r="BK294" s="777" t="b">
        <f>IF('4 SUP +'!$A15&gt;45.4,IF('4 SUP +'!$A15&lt;61.6,IF('4 SUP +'!$C15&gt;155.5,IF('4 SUP +'!$C15&lt;163.1,'4 SUP +'!$AB15,0))))</f>
        <v>0</v>
      </c>
      <c r="BL294" s="777" t="b">
        <f>IF('4 SUP +'!$A15&gt;45.4,IF('4 SUP +'!$A15&lt;61.6,IF('4 SUP +'!$C15&gt;163,IF('4 SUP +'!$C15&lt;180.6,'4 SUP +'!$AB15,0))))</f>
        <v>0</v>
      </c>
      <c r="BM294" s="777" t="b">
        <f>IF('4 SUP +'!$A15&gt;45.4,IF('4 SUP +'!$A15&lt;61.6,IF('4 SUP +'!$C15&gt;180.5,IF('4 SUP +'!$C15&lt;240.1,'4 SUP +'!$AB15,0))))</f>
        <v>0</v>
      </c>
      <c r="BO294" s="869" t="s">
        <v>516</v>
      </c>
      <c r="BQ294" s="870">
        <f>+$AO$338</f>
        <v>0</v>
      </c>
      <c r="BS294" s="869"/>
      <c r="BT294" s="870">
        <f>+$AO$339</f>
        <v>0</v>
      </c>
      <c r="BV294" s="777" t="b">
        <f>IF('4 SUP +'!$A15&gt;61.5,IF('4 SUP +'!$A15&lt;71.6,IF('4 SUP +'!$C15&gt;10,IF('4 SUP +'!$C15&lt;57.6,'4 SUP +'!$AB15,0))))</f>
        <v>0</v>
      </c>
      <c r="BW294" s="777" t="b">
        <f>IF('4 SUP +'!$A15&gt;61.5,IF('4 SUP +'!$A15&lt;71.6,IF('4 SUP +'!$C15&gt;57.6,IF('4 SUP +'!$C15&lt;71.6,'4 SUP +'!$AB15,0))))</f>
        <v>0</v>
      </c>
      <c r="BX294" s="777" t="b">
        <f>IF('4 SUP +'!$A15&gt;61.5,IF('4 SUP +'!$A15&lt;71.6,IF('4 SUP +'!$C15&gt;71.5,IF('4 SUP +'!$C15&lt;85.6,'4 SUP +'!$AB15,0))))</f>
        <v>0</v>
      </c>
      <c r="BY294" s="777" t="b">
        <f>IF('4 SUP +'!$A15&gt;61.5,IF('4 SUP +'!$A15&lt;71.6,IF('4 SUP +'!$C15&gt;85.5,IF('4 SUP +'!$C15&lt;113.6,'4 SUP +'!$AB15,0))))</f>
        <v>0</v>
      </c>
      <c r="BZ294" s="777" t="b">
        <f>IF('4 SUP +'!$A15&gt;61.5,IF('4 SUP +'!$A15&lt;71.6,IF('4 SUP +'!$C15&gt;113.5,IF('4 SUP +'!$C15&lt;141.6,'4 SUP +'!$AB15,0))))</f>
        <v>0</v>
      </c>
      <c r="CA294" s="777" t="b">
        <f>IF('4 SUP +'!$A15&gt;61.5,IF('4 SUP +'!$A15&lt;71.6,IF('4 SUP +'!$C15&gt;141.5,IF('4 SUP +'!$C15&lt;149.1,'4 SUP +'!$AB15,0))))</f>
        <v>0</v>
      </c>
      <c r="CB294" s="777" t="b">
        <f>IF('4 SUP +'!$A15&gt;61.5,IF('4 SUP +'!$A15&lt;71.6,IF('4 SUP +'!$C15&gt;149,IF('4 SUP +'!$C15&lt;163.1,'4 SUP +'!$AB15,0))))</f>
        <v>0</v>
      </c>
      <c r="CC294" s="777" t="b">
        <f>IF('4 SUP +'!$A15&gt;61.5,IF('4 SUP +'!$A15&lt;71.6,IF('4 SUP +'!$C15&gt;163,IF('4 SUP +'!$C15&lt;180.6,'4 SUP +'!$AB15,0))))</f>
        <v>0</v>
      </c>
      <c r="CD294" s="777" t="b">
        <f>IF('4 SUP +'!$A15&gt;61.5,IF('4 SUP +'!$A15&lt;71.6,IF('4 SUP +'!$C15&gt;180.5,IF('4 SUP +'!$C15&lt;240.1,'4 SUP +'!$AB15,0))))</f>
        <v>0</v>
      </c>
      <c r="CF294" s="777" t="b">
        <f>IF('4 SUP +'!$A15&gt;71.5,IF('4 SUP +'!$A15&lt;120.6,IF('4 SUP +'!$C15&gt;10,IF('4 SUP +'!$C15&lt;57.6,'4 SUP +'!$AB15,0))))</f>
        <v>0</v>
      </c>
      <c r="CG294" s="777" t="b">
        <f>IF('4 SUP +'!$A15&gt;71.5,IF('4 SUP +'!$A15&lt;120.6,IF('4 SUP +'!$C15&gt;57.6,IF('4 SUP +'!$C15&lt;71.6,'4 SUP +'!$AB15,0))))</f>
        <v>0</v>
      </c>
      <c r="CH294" s="777" t="b">
        <f>IF('4 SUP +'!$A15&gt;71.5,IF('4 SUP +'!$A15&lt;120.6,IF('4 SUP +'!$C15&gt;71.5,IF('4 SUP +'!$C15&lt;85.6,'4 SUP +'!$AB15,0))))</f>
        <v>0</v>
      </c>
      <c r="CI294" s="777" t="b">
        <f>IF('4 SUP +'!$A15&gt;71.5,IF('4 SUP +'!$A15&lt;120.6,IF('4 SUP +'!$C15&gt;85.5,IF('4 SUP +'!$C15&lt;113.6,'4 SUP +'!$AB15,0))))</f>
        <v>0</v>
      </c>
      <c r="CJ294" s="777" t="b">
        <f>IF('4 SUP +'!$A15&gt;71.5,IF('4 SUP +'!$A15&lt;120.6,IF('4 SUP +'!$C15&gt;113.5,IF('4 SUP +'!$C15&lt;141.6,'4 SUP +'!$AB15,0))))</f>
        <v>0</v>
      </c>
      <c r="CK294" s="777" t="b">
        <f>IF('4 SUP +'!$A15&gt;71.5,IF('4 SUP +'!$A15&lt;120.6,IF('4 SUP +'!$C15&gt;141.5,IF('4 SUP +'!$C15&lt;180.6,'4 SUP +'!$AB15,0))))</f>
        <v>0</v>
      </c>
      <c r="CL294" s="777" t="b">
        <f>IF('4 SUP +'!$A15&gt;71.5,IF('4 SUP +'!$A15&lt;120.6,IF('4 SUP +'!$C15&gt;180.5,IF('4 SUP +'!$C15&lt;240.1,'4 SUP +'!$AB15,0))))</f>
        <v>0</v>
      </c>
      <c r="CN294" s="777">
        <f>IF('4 SUP +'!$C15&lt;150,IF(OR('4 SUP +'!$A15="MICRODER",'4 SUP +'!$A15="MICRO DER",),'4 SUP +'!$AB15,0))</f>
        <v>0</v>
      </c>
      <c r="CO294" s="777" t="b">
        <f>IF('4 SUP +'!$C15&gt;149.5,IF(OR('4 SUP +'!$A15="MICRODER",'4 SUP +'!$A15="MICRO DER",),'4 SUP +'!$AB15,0))</f>
        <v>0</v>
      </c>
      <c r="CP294" s="847"/>
      <c r="CQ294" s="777">
        <f>IF('4 SUP +'!$C15&lt;150,IF(OR('4 SUP +'!$A15="MICROIZQ",'4 SUP +'!$A15="MICRO IZQ",),'4 SUP +'!$AB15,0))</f>
        <v>0</v>
      </c>
      <c r="CR294" s="777" t="b">
        <f>IF('4 SUP +'!$C15&gt;149.5,IF(OR('4 SUP +'!$A15="MICROIZQ",'4 SUP +'!$A15="MICRO IZQ",),'4 SUP +'!$AB15,0))</f>
        <v>0</v>
      </c>
      <c r="CT294" s="837">
        <f>IF(OR('4 SUP +'!$A15="MICRO SEN",'4 SUP +'!$A15="MICROSEN",),'4 SUP +'!$AB15,0)</f>
        <v>0</v>
      </c>
      <c r="CV294" s="837" t="b">
        <f>IF('4 SUP +'!$A15="DIAMETRO",IF('4 SUP +'!$C15&lt;121.1,'4 SUP +'!$AB15,0))</f>
        <v>0</v>
      </c>
      <c r="CX294" s="858"/>
      <c r="CZ294" s="837" t="b">
        <f>IF('4 SUP +'!$A15="MOSTRADOR",IF('4 SUP +'!$C15="R60",'4 SUP +'!$AB15,0))</f>
        <v>0</v>
      </c>
      <c r="DB294" s="837">
        <f>IF(OR('4 SUP +'!$A15="PORTA PRIN",'4 SUP +'!$A15="PORTAPRIN",),'4 SUP +'!$AB15,0)</f>
        <v>0</v>
      </c>
      <c r="DD294" s="837">
        <f>IF(OR('4 SUP +'!$A15="PORTA BADE",'4 SUP +'!$A15="PORTABADE",),'4 SUP +'!$AB15,0)</f>
        <v>0</v>
      </c>
      <c r="DE294" s="837"/>
      <c r="DF294" s="837">
        <f>IF(OR('4 SUP +'!$A15="RETORNO IZQ",'4 SUP +'!$A15="RETORNO DER",),'4 SUP +'!$AB203,0)</f>
        <v>0</v>
      </c>
      <c r="DG294" s="837"/>
      <c r="DH294" s="837">
        <f>IF(OR('4 SUP +'!$A15="PITO Q",'4 SUP +'!$A15="PITO P",'4 SUP +'!$A15="DIAMETRO INTEGRADA",),'4 SUP +'!$AB15,0)</f>
        <v>0</v>
      </c>
      <c r="DJ294" s="858"/>
      <c r="DK294" s="837"/>
      <c r="DL294" s="837">
        <f>IF('4 SUP +'!$A15="SUPERFICIE OVAL",'4 SUP +'!$AB15,0)</f>
        <v>0</v>
      </c>
      <c r="DN294" s="838"/>
      <c r="DO294" s="838"/>
      <c r="DP294" s="838"/>
      <c r="DQ294" s="838"/>
      <c r="DR294" s="838"/>
      <c r="DS294" s="838"/>
      <c r="DT294" s="838"/>
      <c r="DU294" s="838"/>
      <c r="DV294" s="838"/>
      <c r="DW294" s="838"/>
      <c r="DX294" s="838"/>
      <c r="DY294" s="838"/>
      <c r="DZ294" s="838"/>
      <c r="EA294" s="838"/>
      <c r="EB294" s="838"/>
      <c r="EC294" s="838"/>
      <c r="ED294" s="838"/>
      <c r="EG294" s="682">
        <f>IF('4 SUP +'!A13="MICRO DER",85,IF('4 SUP +'!A13="MICRO IZQ",85,IF('4 SUP +'!A13="MICRO SEN",170,IF('4 SUP +'!A13="DIAMETRO",3.14*'4 SUP +'!C13/2,IF('4 SUP +'!A13="MOSTRADOR",136,IF('4 SUP +'!A13="PORTA",65,IF('4 SUP +'!A13="PITO Q",90,IF('4 SUP +'!A13="PITO P",90,'4 SUP +'!A13))))))))</f>
        <v>0</v>
      </c>
      <c r="EH294" s="682"/>
      <c r="EI294" s="682">
        <f>IF('4 SUP +'!A13="DIAMETRO",0,IF('4 SUP +'!C13="PRINCIPAL",160,IF('4 SUP +'!C13="BADE",190,IF('4 SUP +'!C13="RETORNO",100,IF('4 SUP +'!C13="R 60",100,IF('4 SUP +'!C13="R60",100,'4 SUP +'!C13))))))</f>
        <v>0</v>
      </c>
      <c r="EJ294" s="682"/>
      <c r="EK294" s="682">
        <f>IF('4 SUP +'!$F13='4 SUP +'!$AG$15,((EG294*2)+(EI294*2))*'4 SUP +'!AB13,0)</f>
        <v>0</v>
      </c>
      <c r="EL294" s="682"/>
      <c r="EM294" s="682">
        <f>IF('4 SUP +'!$F13='4 SUP +'!$AG$16,((EG294*2)+(EI294*2))*'4 SUP +'!AB13,0)</f>
        <v>0</v>
      </c>
      <c r="EO294" s="682">
        <f>IF('4 SUP +'!$F13='4 SUP +'!$AG$17,((EG294*2)+(EI294*2))*'4 SUP +'!AB13,0)</f>
        <v>0</v>
      </c>
      <c r="EP294" s="838"/>
      <c r="EQ294" s="682">
        <f>IF('4 SUP +'!$F13='4 SUP +'!$AG$18,((EG294*2)+(EI294*2))*'4 SUP +'!AB13,0)</f>
        <v>0</v>
      </c>
      <c r="ER294" s="838"/>
      <c r="ES294" s="858"/>
      <c r="ET294" s="858"/>
      <c r="EU294" s="858"/>
      <c r="EV294" s="858"/>
      <c r="EW294" s="847"/>
      <c r="EX294" s="847"/>
      <c r="EY294" s="847"/>
      <c r="EZ294" s="847"/>
      <c r="FA294" s="852"/>
      <c r="FB294" s="852"/>
      <c r="FC294" s="838"/>
      <c r="FD294" s="838"/>
      <c r="FE294" s="838"/>
      <c r="FF294" s="838"/>
      <c r="FG294" s="838"/>
      <c r="FH294" s="838"/>
      <c r="FI294" s="838"/>
      <c r="FJ294" s="838"/>
      <c r="FK294" s="838"/>
      <c r="FL294" s="838"/>
      <c r="FM294" s="838"/>
      <c r="FN294" s="838"/>
      <c r="FO294" s="838"/>
      <c r="FP294" s="838"/>
      <c r="GM294" s="858"/>
      <c r="GN294" s="838"/>
      <c r="GO294" s="858"/>
      <c r="GP294" s="858"/>
      <c r="GQ294" s="858"/>
      <c r="GR294" s="838"/>
      <c r="HF294" s="700">
        <v>56</v>
      </c>
      <c r="HH294" s="591">
        <v>56</v>
      </c>
    </row>
    <row r="295" spans="37:216" ht="26.25" x14ac:dyDescent="0.4">
      <c r="AK295" s="777" t="b">
        <f>IF('4 SUP +'!$A16&gt;10,IF('4 SUP +'!$A16&lt;31.1,IF('4 SUP +'!$C16&gt;10,IF('4 SUP +'!$C16&lt;57.6,'4 SUP +'!$AB16,0))))</f>
        <v>0</v>
      </c>
      <c r="AL295" s="777" t="b">
        <f>IF('4 SUP +'!$A16&gt;10,IF('4 SUP +'!$A16&lt;31.1,IF('4 SUP +'!$C16&gt;57.6,IF('4 SUP +'!$C16&lt;71.6,'4 SUP +'!$AB16,0))))</f>
        <v>0</v>
      </c>
      <c r="AM295" s="777" t="b">
        <f>IF('4 SUP +'!$A16&gt;10,IF('4 SUP +'!$A16&lt;31.1,IF('4 SUP +'!$C16&gt;71.5,IF('4 SUP +'!$C16&lt;85.6,'4 SUP +'!$AB16,0))))</f>
        <v>0</v>
      </c>
      <c r="AN295" s="777" t="b">
        <f>IF('4 SUP +'!$A16&gt;10,IF('4 SUP +'!$A16&lt;31.1,IF('4 SUP +'!$C16&gt;85.5,IF('4 SUP +'!$C16&lt;113.6,'4 SUP +'!$AB16,0))))</f>
        <v>0</v>
      </c>
      <c r="AO295" s="777" t="b">
        <f>IF('4 SUP +'!$A16&gt;10,IF('4 SUP +'!$A16&lt;31.1,IF('4 SUP +'!$C16&gt;113.5,IF('4 SUP +'!$C16&lt;141.6,'4 SUP +'!$AB16,0))))</f>
        <v>0</v>
      </c>
      <c r="AP295" s="777" t="b">
        <f>IF('4 SUP +'!$A16&gt;10,IF('4 SUP +'!$A16&lt;31.1,IF('4 SUP +'!$C16&gt;141.5,IF('4 SUP +'!$C16&lt;180.6,'4 SUP +'!$AB16,0))))</f>
        <v>0</v>
      </c>
      <c r="AQ295" s="777" t="b">
        <f>IF('4 SUP +'!$A16&gt;10,IF('4 SUP +'!$A16&lt;31.1,IF('4 SUP +'!$C16&gt;180.5,IF('4 SUP +'!$C16&lt;240.1,'4 SUP +'!$AB16,0))))</f>
        <v>0</v>
      </c>
      <c r="AS295" s="777" t="b">
        <f>IF('4 SUP +'!$A16&gt;31,IF('4 SUP +'!$A16&lt;45.5,IF('4 SUP +'!$C16&gt;10,IF('4 SUP +'!$C16&lt;57.6,'4 SUP +'!$AB16,0))))</f>
        <v>0</v>
      </c>
      <c r="AT295" s="777" t="b">
        <f>IF('4 SUP +'!$A16&gt;31,IF('4 SUP +'!$A16&lt;45.5,IF('4 SUP +'!$C16&gt;57.6,IF('4 SUP +'!$C16&lt;71.6,'4 SUP +'!$AB16,0))))</f>
        <v>0</v>
      </c>
      <c r="AU295" s="777" t="b">
        <f>IF('4 SUP +'!$A16&gt;31,IF('4 SUP +'!$A16&lt;45.5,IF('4 SUP +'!$C16&gt;71.5,IF('4 SUP +'!$C16&lt;85.6,'4 SUP +'!$AB16,0))))</f>
        <v>0</v>
      </c>
      <c r="AV295" s="777" t="b">
        <f>IF('4 SUP +'!$A16&gt;31,IF('4 SUP +'!$A16&lt;45.5,IF('4 SUP +'!$C16&gt;85.5,IF('4 SUP +'!$C16&lt;113.6,'4 SUP +'!$AB16,0))))</f>
        <v>0</v>
      </c>
      <c r="AW295" s="777" t="b">
        <f>IF('4 SUP +'!$A16&gt;31,IF('4 SUP +'!$A16&lt;45.5,IF('4 SUP +'!$C16&gt;113.5,IF('4 SUP +'!$C16&lt;141.6,'4 SUP +'!$AB16,0))))</f>
        <v>0</v>
      </c>
      <c r="AX295" s="777" t="b">
        <f>IF('4 SUP +'!$A16&gt;31,IF('4 SUP +'!$A16&lt;45.5,IF('4 SUP +'!$C16&gt;141.5,IF('4 SUP +'!$C16&lt;180.6,'4 SUP +'!$AB16,0))))</f>
        <v>0</v>
      </c>
      <c r="AY295" s="777" t="b">
        <f>IF('4 SUP +'!$A16&gt;31,IF('4 SUP +'!$A16&lt;45.5,IF('4 SUP +'!$C16&gt;180.5,IF('4 SUP +'!$C16&lt;240.1,'4 SUP +'!$AB16,0))))</f>
        <v>0</v>
      </c>
      <c r="BA295" s="777" t="b">
        <f>IF('4 SUP +'!$A16&gt;45.4,IF('4 SUP +'!$A16&lt;61.6,IF('4 SUP +'!$C16&gt;10,IF('4 SUP +'!$C16&lt;61.5,'4 SUP +'!$AB16,0))))</f>
        <v>0</v>
      </c>
      <c r="BB295" s="777" t="b">
        <f>IF('4 SUP +'!$A16&gt;45.4,IF('4 SUP +'!$A16&lt;61.6,IF('4 SUP +'!$C16&gt;61.1,IF('4 SUP +'!$C16&lt;71.6,'4 SUP +'!$AB16,0))))</f>
        <v>0</v>
      </c>
      <c r="BC295" s="777" t="b">
        <f>IF('4 SUP +'!$A16&gt;45.4,IF('4 SUP +'!$A16&lt;61.6,IF('4 SUP +'!$C16&gt;71.5,IF('4 SUP +'!$C16&lt;85.6,'4 SUP +'!$AB16,0))))</f>
        <v>0</v>
      </c>
      <c r="BD295" s="777" t="b">
        <f>IF('4 SUP +'!$A16&gt;45.4,IF('4 SUP +'!$A16&lt;61.6,IF('4 SUP +'!$C16&gt;85.5,IF('4 SUP +'!$C16&lt;113.6,'4 SUP +'!$AB16,0))))</f>
        <v>0</v>
      </c>
      <c r="BE295" s="777" t="b">
        <f>IF('4 SUP +'!$A16&gt;45.4,IF('4 SUP +'!$A16&lt;61.6,IF('4 SUP +'!$C16&gt;113.5,IF('4 SUP +'!$C16&lt;121.6,'4 SUP +'!$AB16,0))))</f>
        <v>0</v>
      </c>
      <c r="BF295" s="777" t="b">
        <f>IF('4 SUP +'!$A16&gt;45.4,IF('4 SUP +'!$A16&lt;61.6,IF('4 SUP +'!$C16&gt;121.5,IF('4 SUP +'!$C16&lt;127.6,'4 SUP +'!$AB16,0))))</f>
        <v>0</v>
      </c>
      <c r="BG295" s="777" t="b">
        <f>IF('4 SUP +'!$A16&gt;45.4,IF('4 SUP +'!$A16&lt;61.6,IF('4 SUP +'!$C16&gt;127.5,IF('4 SUP +'!$C16&lt;135.1,'4 SUP +'!$AB16,0))))</f>
        <v>0</v>
      </c>
      <c r="BH295" s="777" t="b">
        <f>IF('4 SUP +'!$A16&gt;45.4,IF('4 SUP +'!$A16&lt;61.6,IF('4 SUP +'!$C16&gt;135,IF('4 SUP +'!$C16&lt;141.6,'4 SUP +'!$AB16,0))))</f>
        <v>0</v>
      </c>
      <c r="BI295" s="777" t="b">
        <f>IF('4 SUP +'!$A16&gt;45.4,IF('4 SUP +'!$A16&lt;61.6,IF('4 SUP +'!$C16&gt;141.5,IF('4 SUP +'!$C16&lt;149.1,'4 SUP +'!$AB16,0))))</f>
        <v>0</v>
      </c>
      <c r="BJ295" s="777" t="b">
        <f>IF('4 SUP +'!$A16&gt;45.4,IF('4 SUP +'!$A16&lt;61.6,IF('4 SUP +'!$C16&gt;149,IF('4 SUP +'!$C16&lt;155.6,'4 SUP +'!$AB16,0))))</f>
        <v>0</v>
      </c>
      <c r="BK295" s="777" t="b">
        <f>IF('4 SUP +'!$A16&gt;45.4,IF('4 SUP +'!$A16&lt;61.6,IF('4 SUP +'!$C16&gt;155.5,IF('4 SUP +'!$C16&lt;163.1,'4 SUP +'!$AB16,0))))</f>
        <v>0</v>
      </c>
      <c r="BL295" s="777" t="b">
        <f>IF('4 SUP +'!$A16&gt;45.4,IF('4 SUP +'!$A16&lt;61.6,IF('4 SUP +'!$C16&gt;163,IF('4 SUP +'!$C16&lt;180.6,'4 SUP +'!$AB16,0))))</f>
        <v>0</v>
      </c>
      <c r="BM295" s="777" t="b">
        <f>IF('4 SUP +'!$A16&gt;45.4,IF('4 SUP +'!$A16&lt;61.6,IF('4 SUP +'!$C16&gt;180.5,IF('4 SUP +'!$C16&lt;240.1,'4 SUP +'!$AB16,0))))</f>
        <v>0</v>
      </c>
      <c r="BO295" s="869" t="s">
        <v>517</v>
      </c>
      <c r="BQ295" s="870">
        <f>+$AS$338</f>
        <v>0</v>
      </c>
      <c r="BS295" s="869"/>
      <c r="BT295" s="870">
        <f>+$AS$339</f>
        <v>0</v>
      </c>
      <c r="BV295" s="777" t="b">
        <f>IF('4 SUP +'!$A16&gt;61.5,IF('4 SUP +'!$A16&lt;71.6,IF('4 SUP +'!$C16&gt;10,IF('4 SUP +'!$C16&lt;57.6,'4 SUP +'!$AB16,0))))</f>
        <v>0</v>
      </c>
      <c r="BW295" s="777" t="b">
        <f>IF('4 SUP +'!$A16&gt;61.5,IF('4 SUP +'!$A16&lt;71.6,IF('4 SUP +'!$C16&gt;57.6,IF('4 SUP +'!$C16&lt;71.6,'4 SUP +'!$AB16,0))))</f>
        <v>0</v>
      </c>
      <c r="BX295" s="777" t="b">
        <f>IF('4 SUP +'!$A16&gt;61.5,IF('4 SUP +'!$A16&lt;71.6,IF('4 SUP +'!$C16&gt;71.5,IF('4 SUP +'!$C16&lt;85.6,'4 SUP +'!$AB16,0))))</f>
        <v>0</v>
      </c>
      <c r="BY295" s="777" t="b">
        <f>IF('4 SUP +'!$A16&gt;61.5,IF('4 SUP +'!$A16&lt;71.6,IF('4 SUP +'!$C16&gt;85.5,IF('4 SUP +'!$C16&lt;113.6,'4 SUP +'!$AB16,0))))</f>
        <v>0</v>
      </c>
      <c r="BZ295" s="777" t="b">
        <f>IF('4 SUP +'!$A16&gt;61.5,IF('4 SUP +'!$A16&lt;71.6,IF('4 SUP +'!$C16&gt;113.5,IF('4 SUP +'!$C16&lt;141.6,'4 SUP +'!$AB16,0))))</f>
        <v>0</v>
      </c>
      <c r="CA295" s="777" t="b">
        <f>IF('4 SUP +'!$A16&gt;61.5,IF('4 SUP +'!$A16&lt;71.6,IF('4 SUP +'!$C16&gt;141.5,IF('4 SUP +'!$C16&lt;149.1,'4 SUP +'!$AB16,0))))</f>
        <v>0</v>
      </c>
      <c r="CB295" s="777" t="b">
        <f>IF('4 SUP +'!$A16&gt;61.5,IF('4 SUP +'!$A16&lt;71.6,IF('4 SUP +'!$C16&gt;149,IF('4 SUP +'!$C16&lt;163.1,'4 SUP +'!$AB16,0))))</f>
        <v>0</v>
      </c>
      <c r="CC295" s="777" t="b">
        <f>IF('4 SUP +'!$A16&gt;61.5,IF('4 SUP +'!$A16&lt;71.6,IF('4 SUP +'!$C16&gt;163,IF('4 SUP +'!$C16&lt;180.6,'4 SUP +'!$AB16,0))))</f>
        <v>0</v>
      </c>
      <c r="CD295" s="777" t="b">
        <f>IF('4 SUP +'!$A16&gt;61.5,IF('4 SUP +'!$A16&lt;71.6,IF('4 SUP +'!$C16&gt;180.5,IF('4 SUP +'!$C16&lt;240.1,'4 SUP +'!$AB16,0))))</f>
        <v>0</v>
      </c>
      <c r="CF295" s="777" t="b">
        <f>IF('4 SUP +'!$A16&gt;71.5,IF('4 SUP +'!$A16&lt;120.6,IF('4 SUP +'!$C16&gt;10,IF('4 SUP +'!$C16&lt;57.6,'4 SUP +'!$AB16,0))))</f>
        <v>0</v>
      </c>
      <c r="CG295" s="777" t="b">
        <f>IF('4 SUP +'!$A16&gt;71.5,IF('4 SUP +'!$A16&lt;120.6,IF('4 SUP +'!$C16&gt;57.6,IF('4 SUP +'!$C16&lt;71.6,'4 SUP +'!$AB16,0))))</f>
        <v>0</v>
      </c>
      <c r="CH295" s="777" t="b">
        <f>IF('4 SUP +'!$A16&gt;71.5,IF('4 SUP +'!$A16&lt;120.6,IF('4 SUP +'!$C16&gt;71.5,IF('4 SUP +'!$C16&lt;85.6,'4 SUP +'!$AB16,0))))</f>
        <v>0</v>
      </c>
      <c r="CI295" s="777" t="b">
        <f>IF('4 SUP +'!$A16&gt;71.5,IF('4 SUP +'!$A16&lt;120.6,IF('4 SUP +'!$C16&gt;85.5,IF('4 SUP +'!$C16&lt;113.6,'4 SUP +'!$AB16,0))))</f>
        <v>0</v>
      </c>
      <c r="CJ295" s="777" t="b">
        <f>IF('4 SUP +'!$A16&gt;71.5,IF('4 SUP +'!$A16&lt;120.6,IF('4 SUP +'!$C16&gt;113.5,IF('4 SUP +'!$C16&lt;141.6,'4 SUP +'!$AB16,0))))</f>
        <v>0</v>
      </c>
      <c r="CK295" s="777" t="b">
        <f>IF('4 SUP +'!$A16&gt;71.5,IF('4 SUP +'!$A16&lt;120.6,IF('4 SUP +'!$C16&gt;141.5,IF('4 SUP +'!$C16&lt;180.6,'4 SUP +'!$AB16,0))))</f>
        <v>0</v>
      </c>
      <c r="CL295" s="777" t="b">
        <f>IF('4 SUP +'!$A16&gt;71.5,IF('4 SUP +'!$A16&lt;120.6,IF('4 SUP +'!$C16&gt;180.5,IF('4 SUP +'!$C16&lt;240.1,'4 SUP +'!$AB16,0))))</f>
        <v>0</v>
      </c>
      <c r="CN295" s="777">
        <f>IF('4 SUP +'!$C16&lt;150,IF(OR('4 SUP +'!$A16="MICRODER",'4 SUP +'!$A16="MICRO DER",),'4 SUP +'!$AB16,0))</f>
        <v>0</v>
      </c>
      <c r="CO295" s="777" t="b">
        <f>IF('4 SUP +'!$C16&gt;149.5,IF(OR('4 SUP +'!$A16="MICRODER",'4 SUP +'!$A16="MICRO DER",),'4 SUP +'!$AB16,0))</f>
        <v>0</v>
      </c>
      <c r="CP295" s="847"/>
      <c r="CQ295" s="777">
        <f>IF('4 SUP +'!$C16&lt;150,IF(OR('4 SUP +'!$A16="MICROIZQ",'4 SUP +'!$A16="MICRO IZQ",),'4 SUP +'!$AB16,0))</f>
        <v>0</v>
      </c>
      <c r="CR295" s="777" t="b">
        <f>IF('4 SUP +'!$C16&gt;149.5,IF(OR('4 SUP +'!$A16="MICROIZQ",'4 SUP +'!$A16="MICRO IZQ",),'4 SUP +'!$AB16,0))</f>
        <v>0</v>
      </c>
      <c r="CT295" s="837">
        <f>IF(OR('4 SUP +'!$A16="MICRO SEN",'4 SUP +'!$A16="MICROSEN",),'4 SUP +'!$AB16,0)</f>
        <v>0</v>
      </c>
      <c r="CV295" s="837" t="b">
        <f>IF('4 SUP +'!$A16="DIAMETRO",IF('4 SUP +'!$C16&lt;121.1,'4 SUP +'!$AB16,0))</f>
        <v>0</v>
      </c>
      <c r="CX295" s="858"/>
      <c r="CZ295" s="837" t="b">
        <f>IF('4 SUP +'!$A16="MOSTRADOR",IF('4 SUP +'!$C16="R60",'4 SUP +'!$AB16,0))</f>
        <v>0</v>
      </c>
      <c r="DB295" s="837">
        <f>IF(OR('4 SUP +'!$A16="PORTA PRIN",'4 SUP +'!$A16="PORTAPRIN",),'4 SUP +'!$AB16,0)</f>
        <v>0</v>
      </c>
      <c r="DD295" s="837">
        <f>IF(OR('4 SUP +'!$A16="PORTA BADE",'4 SUP +'!$A16="PORTABADE",),'4 SUP +'!$AB16,0)</f>
        <v>0</v>
      </c>
      <c r="DE295" s="837"/>
      <c r="DF295" s="837">
        <f>IF(OR('4 SUP +'!$A16="RETORNO IZQ",'4 SUP +'!$A16="RETORNO DER",),'4 SUP +'!$AB204,0)</f>
        <v>0</v>
      </c>
      <c r="DG295" s="837"/>
      <c r="DH295" s="837">
        <f>IF(OR('4 SUP +'!$A16="PITO Q",'4 SUP +'!$A16="PITO P",'4 SUP +'!$A16="DIAMETRO INTEGRADA",),'4 SUP +'!$AB16,0)</f>
        <v>0</v>
      </c>
      <c r="DJ295" s="858"/>
      <c r="DK295" s="837"/>
      <c r="DL295" s="837">
        <f>IF('4 SUP +'!$A16="SUPERFICIE OVAL",'4 SUP +'!$AB16,0)</f>
        <v>0</v>
      </c>
      <c r="DN295" s="838"/>
      <c r="DO295" s="838"/>
      <c r="DP295" s="838"/>
      <c r="DQ295" s="838"/>
      <c r="DR295" s="838"/>
      <c r="DS295" s="838"/>
      <c r="DT295" s="838"/>
      <c r="DU295" s="838"/>
      <c r="DV295" s="838"/>
      <c r="DW295" s="838"/>
      <c r="DX295" s="838"/>
      <c r="DY295" s="838"/>
      <c r="DZ295" s="838"/>
      <c r="EA295" s="838"/>
      <c r="EB295" s="838"/>
      <c r="EC295" s="838"/>
      <c r="ED295" s="838"/>
      <c r="EG295" s="682">
        <f>IF('4 SUP +'!A14="MICRO DER",85,IF('4 SUP +'!A14="MICRO IZQ",85,IF('4 SUP +'!A14="MICRO SEN",170,IF('4 SUP +'!A14="DIAMETRO",3.14*'4 SUP +'!C14/2,IF('4 SUP +'!A14="MOSTRADOR",136,IF('4 SUP +'!A14="PORTA",65,IF('4 SUP +'!A14="PITO Q",90,IF('4 SUP +'!A14="PITO P",90,'4 SUP +'!A14))))))))</f>
        <v>0</v>
      </c>
      <c r="EH295" s="682"/>
      <c r="EI295" s="682">
        <f>IF('4 SUP +'!A14="DIAMETRO",0,IF('4 SUP +'!C14="PRINCIPAL",160,IF('4 SUP +'!C14="BADE",190,IF('4 SUP +'!C14="RETORNO",100,IF('4 SUP +'!C14="R 60",100,IF('4 SUP +'!C14="R60",100,'4 SUP +'!C14))))))</f>
        <v>0</v>
      </c>
      <c r="EJ295" s="682"/>
      <c r="EK295" s="682">
        <f>IF('4 SUP +'!$F14='4 SUP +'!$AG$15,((EG295*2)+(EI295*2))*'4 SUP +'!AB14,0)</f>
        <v>0</v>
      </c>
      <c r="EL295" s="682"/>
      <c r="EM295" s="682">
        <f>IF('4 SUP +'!$F14='4 SUP +'!$AG$16,((EG295*2)+(EI295*2))*'4 SUP +'!AB14,0)</f>
        <v>0</v>
      </c>
      <c r="EO295" s="682">
        <f>IF('4 SUP +'!$F14='4 SUP +'!$AG$17,((EG295*2)+(EI295*2))*'4 SUP +'!AB14,0)</f>
        <v>0</v>
      </c>
      <c r="EP295" s="838"/>
      <c r="EQ295" s="682">
        <f>IF('4 SUP +'!$F14='4 SUP +'!$AG$18,((EG295*2)+(EI295*2))*'4 SUP +'!AB14,0)</f>
        <v>0</v>
      </c>
      <c r="ER295" s="838"/>
      <c r="ES295" s="858"/>
      <c r="ET295" s="858"/>
      <c r="EU295" s="858"/>
      <c r="EV295" s="858"/>
      <c r="EW295" s="847"/>
      <c r="EX295" s="847"/>
      <c r="EY295" s="847"/>
      <c r="EZ295" s="847"/>
      <c r="FA295" s="852"/>
      <c r="FB295" s="852"/>
      <c r="FC295" s="838"/>
      <c r="FD295" s="838"/>
      <c r="FE295" s="838"/>
      <c r="FF295" s="838"/>
      <c r="FG295" s="838"/>
      <c r="FH295" s="838"/>
      <c r="FI295" s="838"/>
      <c r="FJ295" s="838"/>
      <c r="FK295" s="838"/>
      <c r="FL295" s="838"/>
      <c r="FM295" s="838"/>
      <c r="FN295" s="838"/>
      <c r="FO295" s="838"/>
      <c r="FP295" s="838"/>
      <c r="GM295" s="858"/>
      <c r="GN295" s="838"/>
      <c r="GO295" s="858"/>
      <c r="GP295" s="838"/>
      <c r="GQ295" s="858"/>
      <c r="GR295" s="838"/>
      <c r="HF295" s="700">
        <v>56.5</v>
      </c>
      <c r="HH295" s="591">
        <v>56.5</v>
      </c>
    </row>
    <row r="296" spans="37:216" ht="26.25" x14ac:dyDescent="0.4">
      <c r="AK296" s="777" t="b">
        <f>IF('4 SUP +'!$A17&gt;10,IF('4 SUP +'!$A17&lt;31.1,IF('4 SUP +'!$C17&gt;10,IF('4 SUP +'!$C17&lt;57.6,'4 SUP +'!$AB17,0))))</f>
        <v>0</v>
      </c>
      <c r="AL296" s="777" t="b">
        <f>IF('4 SUP +'!$A17&gt;10,IF('4 SUP +'!$A17&lt;31.1,IF('4 SUP +'!$C17&gt;57.6,IF('4 SUP +'!$C17&lt;71.6,'4 SUP +'!$AB17,0))))</f>
        <v>0</v>
      </c>
      <c r="AM296" s="777" t="b">
        <f>IF('4 SUP +'!$A17&gt;10,IF('4 SUP +'!$A17&lt;31.1,IF('4 SUP +'!$C17&gt;71.5,IF('4 SUP +'!$C17&lt;85.6,'4 SUP +'!$AB17,0))))</f>
        <v>0</v>
      </c>
      <c r="AN296" s="777" t="b">
        <f>IF('4 SUP +'!$A17&gt;10,IF('4 SUP +'!$A17&lt;31.1,IF('4 SUP +'!$C17&gt;85.5,IF('4 SUP +'!$C17&lt;113.6,'4 SUP +'!$AB17,0))))</f>
        <v>0</v>
      </c>
      <c r="AO296" s="777" t="b">
        <f>IF('4 SUP +'!$A17&gt;10,IF('4 SUP +'!$A17&lt;31.1,IF('4 SUP +'!$C17&gt;113.5,IF('4 SUP +'!$C17&lt;141.6,'4 SUP +'!$AB17,0))))</f>
        <v>0</v>
      </c>
      <c r="AP296" s="777" t="b">
        <f>IF('4 SUP +'!$A17&gt;10,IF('4 SUP +'!$A17&lt;31.1,IF('4 SUP +'!$C17&gt;141.5,IF('4 SUP +'!$C17&lt;180.6,'4 SUP +'!$AB17,0))))</f>
        <v>0</v>
      </c>
      <c r="AQ296" s="777" t="b">
        <f>IF('4 SUP +'!$A17&gt;10,IF('4 SUP +'!$A17&lt;31.1,IF('4 SUP +'!$C17&gt;180.5,IF('4 SUP +'!$C17&lt;240.1,'4 SUP +'!$AB17,0))))</f>
        <v>0</v>
      </c>
      <c r="AS296" s="777" t="b">
        <f>IF('4 SUP +'!$A17&gt;31,IF('4 SUP +'!$A17&lt;45.5,IF('4 SUP +'!$C17&gt;10,IF('4 SUP +'!$C17&lt;57.6,'4 SUP +'!$AB17,0))))</f>
        <v>0</v>
      </c>
      <c r="AT296" s="777" t="b">
        <f>IF('4 SUP +'!$A17&gt;31,IF('4 SUP +'!$A17&lt;45.5,IF('4 SUP +'!$C17&gt;57.6,IF('4 SUP +'!$C17&lt;71.6,'4 SUP +'!$AB17,0))))</f>
        <v>0</v>
      </c>
      <c r="AU296" s="777" t="b">
        <f>IF('4 SUP +'!$A17&gt;31,IF('4 SUP +'!$A17&lt;45.5,IF('4 SUP +'!$C17&gt;71.5,IF('4 SUP +'!$C17&lt;85.6,'4 SUP +'!$AB17,0))))</f>
        <v>0</v>
      </c>
      <c r="AV296" s="777" t="b">
        <f>IF('4 SUP +'!$A17&gt;31,IF('4 SUP +'!$A17&lt;45.5,IF('4 SUP +'!$C17&gt;85.5,IF('4 SUP +'!$C17&lt;113.6,'4 SUP +'!$AB17,0))))</f>
        <v>0</v>
      </c>
      <c r="AW296" s="777" t="b">
        <f>IF('4 SUP +'!$A17&gt;31,IF('4 SUP +'!$A17&lt;45.5,IF('4 SUP +'!$C17&gt;113.5,IF('4 SUP +'!$C17&lt;141.6,'4 SUP +'!$AB17,0))))</f>
        <v>0</v>
      </c>
      <c r="AX296" s="777" t="b">
        <f>IF('4 SUP +'!$A17&gt;31,IF('4 SUP +'!$A17&lt;45.5,IF('4 SUP +'!$C17&gt;141.5,IF('4 SUP +'!$C17&lt;180.6,'4 SUP +'!$AB17,0))))</f>
        <v>0</v>
      </c>
      <c r="AY296" s="777" t="b">
        <f>IF('4 SUP +'!$A17&gt;31,IF('4 SUP +'!$A17&lt;45.5,IF('4 SUP +'!$C17&gt;180.5,IF('4 SUP +'!$C17&lt;240.1,'4 SUP +'!$AB17,0))))</f>
        <v>0</v>
      </c>
      <c r="BA296" s="777" t="b">
        <f>IF('4 SUP +'!$A17&gt;45.4,IF('4 SUP +'!$A17&lt;61.6,IF('4 SUP +'!$C17&gt;10,IF('4 SUP +'!$C17&lt;61.5,'4 SUP +'!$AB17,0))))</f>
        <v>0</v>
      </c>
      <c r="BB296" s="777" t="b">
        <f>IF('4 SUP +'!$A17&gt;45.4,IF('4 SUP +'!$A17&lt;61.6,IF('4 SUP +'!$C17&gt;61.1,IF('4 SUP +'!$C17&lt;71.6,'4 SUP +'!$AB17,0))))</f>
        <v>0</v>
      </c>
      <c r="BC296" s="777" t="b">
        <f>IF('4 SUP +'!$A17&gt;45.4,IF('4 SUP +'!$A17&lt;61.6,IF('4 SUP +'!$C17&gt;71.5,IF('4 SUP +'!$C17&lt;85.6,'4 SUP +'!$AB17,0))))</f>
        <v>0</v>
      </c>
      <c r="BD296" s="777" t="b">
        <f>IF('4 SUP +'!$A17&gt;45.4,IF('4 SUP +'!$A17&lt;61.6,IF('4 SUP +'!$C17&gt;85.5,IF('4 SUP +'!$C17&lt;113.6,'4 SUP +'!$AB17,0))))</f>
        <v>0</v>
      </c>
      <c r="BE296" s="777" t="b">
        <f>IF('4 SUP +'!$A17&gt;45.4,IF('4 SUP +'!$A17&lt;61.6,IF('4 SUP +'!$C17&gt;113.5,IF('4 SUP +'!$C17&lt;121.6,'4 SUP +'!$AB17,0))))</f>
        <v>0</v>
      </c>
      <c r="BF296" s="777" t="b">
        <f>IF('4 SUP +'!$A17&gt;45.4,IF('4 SUP +'!$A17&lt;61.6,IF('4 SUP +'!$C17&gt;121.5,IF('4 SUP +'!$C17&lt;127.6,'4 SUP +'!$AB17,0))))</f>
        <v>0</v>
      </c>
      <c r="BG296" s="777" t="b">
        <f>IF('4 SUP +'!$A17&gt;45.4,IF('4 SUP +'!$A17&lt;61.6,IF('4 SUP +'!$C17&gt;127.5,IF('4 SUP +'!$C17&lt;135.1,'4 SUP +'!$AB17,0))))</f>
        <v>0</v>
      </c>
      <c r="BH296" s="777" t="b">
        <f>IF('4 SUP +'!$A17&gt;45.4,IF('4 SUP +'!$A17&lt;61.6,IF('4 SUP +'!$C17&gt;135,IF('4 SUP +'!$C17&lt;141.6,'4 SUP +'!$AB17,0))))</f>
        <v>0</v>
      </c>
      <c r="BI296" s="777" t="b">
        <f>IF('4 SUP +'!$A17&gt;45.4,IF('4 SUP +'!$A17&lt;61.6,IF('4 SUP +'!$C17&gt;141.5,IF('4 SUP +'!$C17&lt;149.1,'4 SUP +'!$AB17,0))))</f>
        <v>0</v>
      </c>
      <c r="BJ296" s="777" t="b">
        <f>IF('4 SUP +'!$A17&gt;45.4,IF('4 SUP +'!$A17&lt;61.6,IF('4 SUP +'!$C17&gt;149,IF('4 SUP +'!$C17&lt;155.6,'4 SUP +'!$AB17,0))))</f>
        <v>0</v>
      </c>
      <c r="BK296" s="777" t="b">
        <f>IF('4 SUP +'!$A17&gt;45.4,IF('4 SUP +'!$A17&lt;61.6,IF('4 SUP +'!$C17&gt;155.5,IF('4 SUP +'!$C17&lt;163.1,'4 SUP +'!$AB17,0))))</f>
        <v>0</v>
      </c>
      <c r="BL296" s="777" t="b">
        <f>IF('4 SUP +'!$A17&gt;45.4,IF('4 SUP +'!$A17&lt;61.6,IF('4 SUP +'!$C17&gt;163,IF('4 SUP +'!$C17&lt;180.6,'4 SUP +'!$AB17,0))))</f>
        <v>0</v>
      </c>
      <c r="BM296" s="777" t="b">
        <f>IF('4 SUP +'!$A17&gt;45.4,IF('4 SUP +'!$A17&lt;61.6,IF('4 SUP +'!$C17&gt;180.5,IF('4 SUP +'!$C17&lt;240.1,'4 SUP +'!$AB17,0))))</f>
        <v>0</v>
      </c>
      <c r="BO296" s="869" t="s">
        <v>518</v>
      </c>
      <c r="BQ296" s="870">
        <f>+$AT$338</f>
        <v>0</v>
      </c>
      <c r="BS296" s="869"/>
      <c r="BT296" s="870">
        <f>+$AT$339</f>
        <v>0</v>
      </c>
      <c r="BV296" s="777" t="b">
        <f>IF('4 SUP +'!$A17&gt;61.5,IF('4 SUP +'!$A17&lt;71.6,IF('4 SUP +'!$C17&gt;10,IF('4 SUP +'!$C17&lt;57.6,'4 SUP +'!$AB17,0))))</f>
        <v>0</v>
      </c>
      <c r="BW296" s="777" t="b">
        <f>IF('4 SUP +'!$A17&gt;61.5,IF('4 SUP +'!$A17&lt;71.6,IF('4 SUP +'!$C17&gt;57.6,IF('4 SUP +'!$C17&lt;71.6,'4 SUP +'!$AB17,0))))</f>
        <v>0</v>
      </c>
      <c r="BX296" s="777" t="b">
        <f>IF('4 SUP +'!$A17&gt;61.5,IF('4 SUP +'!$A17&lt;71.6,IF('4 SUP +'!$C17&gt;71.5,IF('4 SUP +'!$C17&lt;85.6,'4 SUP +'!$AB17,0))))</f>
        <v>0</v>
      </c>
      <c r="BY296" s="777" t="b">
        <f>IF('4 SUP +'!$A17&gt;61.5,IF('4 SUP +'!$A17&lt;71.6,IF('4 SUP +'!$C17&gt;85.5,IF('4 SUP +'!$C17&lt;113.6,'4 SUP +'!$AB17,0))))</f>
        <v>0</v>
      </c>
      <c r="BZ296" s="777" t="b">
        <f>IF('4 SUP +'!$A17&gt;61.5,IF('4 SUP +'!$A17&lt;71.6,IF('4 SUP +'!$C17&gt;113.5,IF('4 SUP +'!$C17&lt;141.6,'4 SUP +'!$AB17,0))))</f>
        <v>0</v>
      </c>
      <c r="CA296" s="777" t="b">
        <f>IF('4 SUP +'!$A17&gt;61.5,IF('4 SUP +'!$A17&lt;71.6,IF('4 SUP +'!$C17&gt;141.5,IF('4 SUP +'!$C17&lt;149.1,'4 SUP +'!$AB17,0))))</f>
        <v>0</v>
      </c>
      <c r="CB296" s="777" t="b">
        <f>IF('4 SUP +'!$A17&gt;61.5,IF('4 SUP +'!$A17&lt;71.6,IF('4 SUP +'!$C17&gt;149,IF('4 SUP +'!$C17&lt;163.1,'4 SUP +'!$AB17,0))))</f>
        <v>0</v>
      </c>
      <c r="CC296" s="777" t="b">
        <f>IF('4 SUP +'!$A17&gt;61.5,IF('4 SUP +'!$A17&lt;71.6,IF('4 SUP +'!$C17&gt;163,IF('4 SUP +'!$C17&lt;180.6,'4 SUP +'!$AB17,0))))</f>
        <v>0</v>
      </c>
      <c r="CD296" s="777" t="b">
        <f>IF('4 SUP +'!$A17&gt;61.5,IF('4 SUP +'!$A17&lt;71.6,IF('4 SUP +'!$C17&gt;180.5,IF('4 SUP +'!$C17&lt;240.1,'4 SUP +'!$AB17,0))))</f>
        <v>0</v>
      </c>
      <c r="CF296" s="777" t="b">
        <f>IF('4 SUP +'!$A17&gt;71.5,IF('4 SUP +'!$A17&lt;120.6,IF('4 SUP +'!$C17&gt;10,IF('4 SUP +'!$C17&lt;57.6,'4 SUP +'!$AB17,0))))</f>
        <v>0</v>
      </c>
      <c r="CG296" s="777" t="b">
        <f>IF('4 SUP +'!$A17&gt;71.5,IF('4 SUP +'!$A17&lt;120.6,IF('4 SUP +'!$C17&gt;57.6,IF('4 SUP +'!$C17&lt;71.6,'4 SUP +'!$AB17,0))))</f>
        <v>0</v>
      </c>
      <c r="CH296" s="777" t="b">
        <f>IF('4 SUP +'!$A17&gt;71.5,IF('4 SUP +'!$A17&lt;120.6,IF('4 SUP +'!$C17&gt;71.5,IF('4 SUP +'!$C17&lt;85.6,'4 SUP +'!$AB17,0))))</f>
        <v>0</v>
      </c>
      <c r="CI296" s="777" t="b">
        <f>IF('4 SUP +'!$A17&gt;71.5,IF('4 SUP +'!$A17&lt;120.6,IF('4 SUP +'!$C17&gt;85.5,IF('4 SUP +'!$C17&lt;113.6,'4 SUP +'!$AB17,0))))</f>
        <v>0</v>
      </c>
      <c r="CJ296" s="777" t="b">
        <f>IF('4 SUP +'!$A17&gt;71.5,IF('4 SUP +'!$A17&lt;120.6,IF('4 SUP +'!$C17&gt;113.5,IF('4 SUP +'!$C17&lt;141.6,'4 SUP +'!$AB17,0))))</f>
        <v>0</v>
      </c>
      <c r="CK296" s="777" t="b">
        <f>IF('4 SUP +'!$A17&gt;71.5,IF('4 SUP +'!$A17&lt;120.6,IF('4 SUP +'!$C17&gt;141.5,IF('4 SUP +'!$C17&lt;180.6,'4 SUP +'!$AB17,0))))</f>
        <v>0</v>
      </c>
      <c r="CL296" s="777" t="b">
        <f>IF('4 SUP +'!$A17&gt;71.5,IF('4 SUP +'!$A17&lt;120.6,IF('4 SUP +'!$C17&gt;180.5,IF('4 SUP +'!$C17&lt;240.1,'4 SUP +'!$AB17,0))))</f>
        <v>0</v>
      </c>
      <c r="CN296" s="777">
        <f>IF('4 SUP +'!$C17&lt;150,IF(OR('4 SUP +'!$A17="MICRODER",'4 SUP +'!$A17="MICRO DER",),'4 SUP +'!$AB17,0))</f>
        <v>0</v>
      </c>
      <c r="CO296" s="777" t="b">
        <f>IF('4 SUP +'!$C17&gt;149.5,IF(OR('4 SUP +'!$A17="MICRODER",'4 SUP +'!$A17="MICRO DER",),'4 SUP +'!$AB17,0))</f>
        <v>0</v>
      </c>
      <c r="CP296" s="847"/>
      <c r="CQ296" s="777">
        <f>IF('4 SUP +'!$C17&lt;150,IF(OR('4 SUP +'!$A17="MICROIZQ",'4 SUP +'!$A17="MICRO IZQ",),'4 SUP +'!$AB17,0))</f>
        <v>0</v>
      </c>
      <c r="CR296" s="777" t="b">
        <f>IF('4 SUP +'!$C17&gt;149.5,IF(OR('4 SUP +'!$A17="MICROIZQ",'4 SUP +'!$A17="MICRO IZQ",),'4 SUP +'!$AB17,0))</f>
        <v>0</v>
      </c>
      <c r="CT296" s="837">
        <f>IF(OR('4 SUP +'!$A17="MICRO SEN",'4 SUP +'!$A17="MICROSEN",),'4 SUP +'!$AB17,0)</f>
        <v>0</v>
      </c>
      <c r="CV296" s="837" t="b">
        <f>IF('4 SUP +'!$A17="DIAMETRO",IF('4 SUP +'!$C17&lt;121.1,'4 SUP +'!$AB17,0))</f>
        <v>0</v>
      </c>
      <c r="CX296" s="858"/>
      <c r="CZ296" s="837" t="b">
        <f>IF('4 SUP +'!$A17="MOSTRADOR",IF('4 SUP +'!$C17="R60",'4 SUP +'!$AB17,0))</f>
        <v>0</v>
      </c>
      <c r="DB296" s="837">
        <f>IF(OR('4 SUP +'!$A17="PORTA PRIN",'4 SUP +'!$A17="PORTAPRIN",),'4 SUP +'!$AB17,0)</f>
        <v>0</v>
      </c>
      <c r="DD296" s="837">
        <f>IF(OR('4 SUP +'!$A17="PORTA BADE",'4 SUP +'!$A17="PORTABADE",),'4 SUP +'!$AB17,0)</f>
        <v>0</v>
      </c>
      <c r="DE296" s="837"/>
      <c r="DF296" s="837">
        <f>IF(OR('4 SUP +'!$A17="RETORNO IZQ",'4 SUP +'!$A17="RETORNO DER",),'4 SUP +'!$AB205,0)</f>
        <v>0</v>
      </c>
      <c r="DG296" s="837"/>
      <c r="DH296" s="837">
        <f>IF(OR('4 SUP +'!$A17="PITO Q",'4 SUP +'!$A17="PITO P",'4 SUP +'!$A17="DIAMETRO INTEGRADA",),'4 SUP +'!$AB17,0)</f>
        <v>0</v>
      </c>
      <c r="DJ296" s="858"/>
      <c r="DK296" s="837"/>
      <c r="DL296" s="837">
        <f>IF('4 SUP +'!$A17="SUPERFICIE OVAL",'4 SUP +'!$AB17,0)</f>
        <v>0</v>
      </c>
      <c r="DN296" s="838"/>
      <c r="DQ296" s="852"/>
      <c r="EA296" s="838"/>
      <c r="EB296" s="838"/>
      <c r="EC296" s="838"/>
      <c r="ED296" s="838"/>
      <c r="EG296" s="682">
        <f>IF('4 SUP +'!A15="MICRO DER",85,IF('4 SUP +'!A15="MICRO IZQ",85,IF('4 SUP +'!A15="MICRO SEN",170,IF('4 SUP +'!A15="DIAMETRO",3.14*'4 SUP +'!C15/2,IF('4 SUP +'!A15="MOSTRADOR",136,IF('4 SUP +'!A15="PORTA",65,IF('4 SUP +'!A15="PITO Q",90,IF('4 SUP +'!A15="PITO P",90,'4 SUP +'!A15))))))))</f>
        <v>0</v>
      </c>
      <c r="EH296" s="682"/>
      <c r="EI296" s="682">
        <f>IF('4 SUP +'!A15="DIAMETRO",0,IF('4 SUP +'!C15="PRINCIPAL",160,IF('4 SUP +'!C15="BADE",190,IF('4 SUP +'!C15="RETORNO",100,IF('4 SUP +'!C15="R 60",100,IF('4 SUP +'!C15="R60",100,'4 SUP +'!C15))))))</f>
        <v>0</v>
      </c>
      <c r="EJ296" s="682"/>
      <c r="EK296" s="682">
        <f>IF('4 SUP +'!$F15='4 SUP +'!$AG$15,((EG296*2)+(EI296*2))*'4 SUP +'!AB15,0)</f>
        <v>0</v>
      </c>
      <c r="EL296" s="682"/>
      <c r="EM296" s="682">
        <f>IF('4 SUP +'!$F15='4 SUP +'!$AG$16,((EG296*2)+(EI296*2))*'4 SUP +'!AB15,0)</f>
        <v>0</v>
      </c>
      <c r="EO296" s="682">
        <f>IF('4 SUP +'!$F15='4 SUP +'!$AG$17,((EG296*2)+(EI296*2))*'4 SUP +'!AB15,0)</f>
        <v>0</v>
      </c>
      <c r="EP296" s="838"/>
      <c r="EQ296" s="682">
        <f>IF('4 SUP +'!$F15='4 SUP +'!$AG$18,((EG296*2)+(EI296*2))*'4 SUP +'!AB15,0)</f>
        <v>0</v>
      </c>
      <c r="ER296" s="838"/>
      <c r="ES296" s="858"/>
      <c r="ET296" s="858"/>
      <c r="EU296" s="858"/>
      <c r="EV296" s="858"/>
      <c r="EW296" s="847"/>
      <c r="EX296" s="847"/>
      <c r="EY296" s="847"/>
      <c r="EZ296" s="847"/>
      <c r="FA296" s="847"/>
      <c r="FB296" s="847"/>
      <c r="HF296" s="700">
        <v>57</v>
      </c>
      <c r="HH296" s="591">
        <v>57</v>
      </c>
    </row>
    <row r="297" spans="37:216" ht="26.25" x14ac:dyDescent="0.4">
      <c r="AK297" s="777" t="b">
        <f>IF('4 SUP +'!$A18&gt;10,IF('4 SUP +'!$A18&lt;31.1,IF('4 SUP +'!$C18&gt;10,IF('4 SUP +'!$C18&lt;57.6,'4 SUP +'!$AB18,0))))</f>
        <v>0</v>
      </c>
      <c r="AL297" s="777" t="b">
        <f>IF('4 SUP +'!$A18&gt;10,IF('4 SUP +'!$A18&lt;31.1,IF('4 SUP +'!$C18&gt;57.6,IF('4 SUP +'!$C18&lt;71.6,'4 SUP +'!$AB18,0))))</f>
        <v>0</v>
      </c>
      <c r="AM297" s="777" t="b">
        <f>IF('4 SUP +'!$A18&gt;10,IF('4 SUP +'!$A18&lt;31.1,IF('4 SUP +'!$C18&gt;71.5,IF('4 SUP +'!$C18&lt;85.6,'4 SUP +'!$AB18,0))))</f>
        <v>0</v>
      </c>
      <c r="AN297" s="777" t="b">
        <f>IF('4 SUP +'!$A18&gt;10,IF('4 SUP +'!$A18&lt;31.1,IF('4 SUP +'!$C18&gt;85.5,IF('4 SUP +'!$C18&lt;113.6,'4 SUP +'!$AB18,0))))</f>
        <v>0</v>
      </c>
      <c r="AO297" s="777" t="b">
        <f>IF('4 SUP +'!$A18&gt;10,IF('4 SUP +'!$A18&lt;31.1,IF('4 SUP +'!$C18&gt;113.5,IF('4 SUP +'!$C18&lt;141.6,'4 SUP +'!$AB18,0))))</f>
        <v>0</v>
      </c>
      <c r="AP297" s="777" t="b">
        <f>IF('4 SUP +'!$A18&gt;10,IF('4 SUP +'!$A18&lt;31.1,IF('4 SUP +'!$C18&gt;141.5,IF('4 SUP +'!$C18&lt;180.6,'4 SUP +'!$AB18,0))))</f>
        <v>0</v>
      </c>
      <c r="AQ297" s="777" t="b">
        <f>IF('4 SUP +'!$A18&gt;10,IF('4 SUP +'!$A18&lt;31.1,IF('4 SUP +'!$C18&gt;180.5,IF('4 SUP +'!$C18&lt;240.1,'4 SUP +'!$AB18,0))))</f>
        <v>0</v>
      </c>
      <c r="AS297" s="777" t="b">
        <f>IF('4 SUP +'!$A18&gt;31,IF('4 SUP +'!$A18&lt;45.5,IF('4 SUP +'!$C18&gt;10,IF('4 SUP +'!$C18&lt;57.6,'4 SUP +'!$AB18,0))))</f>
        <v>0</v>
      </c>
      <c r="AT297" s="777" t="b">
        <f>IF('4 SUP +'!$A18&gt;31,IF('4 SUP +'!$A18&lt;45.5,IF('4 SUP +'!$C18&gt;57.6,IF('4 SUP +'!$C18&lt;71.6,'4 SUP +'!$AB18,0))))</f>
        <v>0</v>
      </c>
      <c r="AU297" s="777" t="b">
        <f>IF('4 SUP +'!$A18&gt;31,IF('4 SUP +'!$A18&lt;45.5,IF('4 SUP +'!$C18&gt;71.5,IF('4 SUP +'!$C18&lt;85.6,'4 SUP +'!$AB18,0))))</f>
        <v>0</v>
      </c>
      <c r="AV297" s="777" t="b">
        <f>IF('4 SUP +'!$A18&gt;31,IF('4 SUP +'!$A18&lt;45.5,IF('4 SUP +'!$C18&gt;85.5,IF('4 SUP +'!$C18&lt;113.6,'4 SUP +'!$AB18,0))))</f>
        <v>0</v>
      </c>
      <c r="AW297" s="777" t="b">
        <f>IF('4 SUP +'!$A18&gt;31,IF('4 SUP +'!$A18&lt;45.5,IF('4 SUP +'!$C18&gt;113.5,IF('4 SUP +'!$C18&lt;141.6,'4 SUP +'!$AB18,0))))</f>
        <v>0</v>
      </c>
      <c r="AX297" s="777" t="b">
        <f>IF('4 SUP +'!$A18&gt;31,IF('4 SUP +'!$A18&lt;45.5,IF('4 SUP +'!$C18&gt;141.5,IF('4 SUP +'!$C18&lt;180.6,'4 SUP +'!$AB18,0))))</f>
        <v>0</v>
      </c>
      <c r="AY297" s="777" t="b">
        <f>IF('4 SUP +'!$A18&gt;31,IF('4 SUP +'!$A18&lt;45.5,IF('4 SUP +'!$C18&gt;180.5,IF('4 SUP +'!$C18&lt;240.1,'4 SUP +'!$AB18,0))))</f>
        <v>0</v>
      </c>
      <c r="BA297" s="777" t="b">
        <f>IF('4 SUP +'!$A18&gt;45.4,IF('4 SUP +'!$A18&lt;61.6,IF('4 SUP +'!$C18&gt;10,IF('4 SUP +'!$C18&lt;61.5,'4 SUP +'!$AB18,0))))</f>
        <v>0</v>
      </c>
      <c r="BB297" s="777" t="b">
        <f>IF('4 SUP +'!$A18&gt;45.4,IF('4 SUP +'!$A18&lt;61.6,IF('4 SUP +'!$C18&gt;61.1,IF('4 SUP +'!$C18&lt;71.6,'4 SUP +'!$AB18,0))))</f>
        <v>0</v>
      </c>
      <c r="BC297" s="777" t="b">
        <f>IF('4 SUP +'!$A18&gt;45.4,IF('4 SUP +'!$A18&lt;61.6,IF('4 SUP +'!$C18&gt;71.5,IF('4 SUP +'!$C18&lt;85.6,'4 SUP +'!$AB18,0))))</f>
        <v>0</v>
      </c>
      <c r="BD297" s="777" t="b">
        <f>IF('4 SUP +'!$A18&gt;45.4,IF('4 SUP +'!$A18&lt;61.6,IF('4 SUP +'!$C18&gt;85.5,IF('4 SUP +'!$C18&lt;113.6,'4 SUP +'!$AB18,0))))</f>
        <v>0</v>
      </c>
      <c r="BE297" s="777" t="b">
        <f>IF('4 SUP +'!$A18&gt;45.4,IF('4 SUP +'!$A18&lt;61.6,IF('4 SUP +'!$C18&gt;113.5,IF('4 SUP +'!$C18&lt;121.6,'4 SUP +'!$AB18,0))))</f>
        <v>0</v>
      </c>
      <c r="BF297" s="777" t="b">
        <f>IF('4 SUP +'!$A18&gt;45.4,IF('4 SUP +'!$A18&lt;61.6,IF('4 SUP +'!$C18&gt;121.5,IF('4 SUP +'!$C18&lt;127.6,'4 SUP +'!$AB18,0))))</f>
        <v>0</v>
      </c>
      <c r="BG297" s="777" t="b">
        <f>IF('4 SUP +'!$A18&gt;45.4,IF('4 SUP +'!$A18&lt;61.6,IF('4 SUP +'!$C18&gt;127.5,IF('4 SUP +'!$C18&lt;135.1,'4 SUP +'!$AB18,0))))</f>
        <v>0</v>
      </c>
      <c r="BH297" s="777" t="b">
        <f>IF('4 SUP +'!$A18&gt;45.4,IF('4 SUP +'!$A18&lt;61.6,IF('4 SUP +'!$C18&gt;135,IF('4 SUP +'!$C18&lt;141.6,'4 SUP +'!$AB18,0))))</f>
        <v>0</v>
      </c>
      <c r="BI297" s="777" t="b">
        <f>IF('4 SUP +'!$A18&gt;45.4,IF('4 SUP +'!$A18&lt;61.6,IF('4 SUP +'!$C18&gt;141.5,IF('4 SUP +'!$C18&lt;149.1,'4 SUP +'!$AB18,0))))</f>
        <v>0</v>
      </c>
      <c r="BJ297" s="777" t="b">
        <f>IF('4 SUP +'!$A18&gt;45.4,IF('4 SUP +'!$A18&lt;61.6,IF('4 SUP +'!$C18&gt;149,IF('4 SUP +'!$C18&lt;155.6,'4 SUP +'!$AB18,0))))</f>
        <v>0</v>
      </c>
      <c r="BK297" s="777" t="b">
        <f>IF('4 SUP +'!$A18&gt;45.4,IF('4 SUP +'!$A18&lt;61.6,IF('4 SUP +'!$C18&gt;155.5,IF('4 SUP +'!$C18&lt;163.1,'4 SUP +'!$AB18,0))))</f>
        <v>0</v>
      </c>
      <c r="BL297" s="777" t="b">
        <f>IF('4 SUP +'!$A18&gt;45.4,IF('4 SUP +'!$A18&lt;61.6,IF('4 SUP +'!$C18&gt;163,IF('4 SUP +'!$C18&lt;180.6,'4 SUP +'!$AB18,0))))</f>
        <v>0</v>
      </c>
      <c r="BM297" s="777" t="b">
        <f>IF('4 SUP +'!$A18&gt;45.4,IF('4 SUP +'!$A18&lt;61.6,IF('4 SUP +'!$C18&gt;180.5,IF('4 SUP +'!$C18&lt;240.1,'4 SUP +'!$AB18,0))))</f>
        <v>0</v>
      </c>
      <c r="BO297" s="869" t="s">
        <v>519</v>
      </c>
      <c r="BQ297" s="870">
        <f>+$AU$338</f>
        <v>0</v>
      </c>
      <c r="BS297" s="869"/>
      <c r="BT297" s="870">
        <f>+$AU$339</f>
        <v>0</v>
      </c>
      <c r="BV297" s="777" t="b">
        <f>IF('4 SUP +'!$A18&gt;61.5,IF('4 SUP +'!$A18&lt;71.6,IF('4 SUP +'!$C18&gt;10,IF('4 SUP +'!$C18&lt;57.6,'4 SUP +'!$AB18,0))))</f>
        <v>0</v>
      </c>
      <c r="BW297" s="777" t="b">
        <f>IF('4 SUP +'!$A18&gt;61.5,IF('4 SUP +'!$A18&lt;71.6,IF('4 SUP +'!$C18&gt;57.6,IF('4 SUP +'!$C18&lt;71.6,'4 SUP +'!$AB18,0))))</f>
        <v>0</v>
      </c>
      <c r="BX297" s="777" t="b">
        <f>IF('4 SUP +'!$A18&gt;61.5,IF('4 SUP +'!$A18&lt;71.6,IF('4 SUP +'!$C18&gt;71.5,IF('4 SUP +'!$C18&lt;85.6,'4 SUP +'!$AB18,0))))</f>
        <v>0</v>
      </c>
      <c r="BY297" s="777" t="b">
        <f>IF('4 SUP +'!$A18&gt;61.5,IF('4 SUP +'!$A18&lt;71.6,IF('4 SUP +'!$C18&gt;85.5,IF('4 SUP +'!$C18&lt;113.6,'4 SUP +'!$AB18,0))))</f>
        <v>0</v>
      </c>
      <c r="BZ297" s="777" t="b">
        <f>IF('4 SUP +'!$A18&gt;61.5,IF('4 SUP +'!$A18&lt;71.6,IF('4 SUP +'!$C18&gt;113.5,IF('4 SUP +'!$C18&lt;141.6,'4 SUP +'!$AB18,0))))</f>
        <v>0</v>
      </c>
      <c r="CA297" s="777" t="b">
        <f>IF('4 SUP +'!$A18&gt;61.5,IF('4 SUP +'!$A18&lt;71.6,IF('4 SUP +'!$C18&gt;141.5,IF('4 SUP +'!$C18&lt;149.1,'4 SUP +'!$AB18,0))))</f>
        <v>0</v>
      </c>
      <c r="CB297" s="777" t="b">
        <f>IF('4 SUP +'!$A18&gt;61.5,IF('4 SUP +'!$A18&lt;71.6,IF('4 SUP +'!$C18&gt;149,IF('4 SUP +'!$C18&lt;163.1,'4 SUP +'!$AB18,0))))</f>
        <v>0</v>
      </c>
      <c r="CC297" s="777" t="b">
        <f>IF('4 SUP +'!$A18&gt;61.5,IF('4 SUP +'!$A18&lt;71.6,IF('4 SUP +'!$C18&gt;163,IF('4 SUP +'!$C18&lt;180.6,'4 SUP +'!$AB18,0))))</f>
        <v>0</v>
      </c>
      <c r="CD297" s="777" t="b">
        <f>IF('4 SUP +'!$A18&gt;61.5,IF('4 SUP +'!$A18&lt;71.6,IF('4 SUP +'!$C18&gt;180.5,IF('4 SUP +'!$C18&lt;240.1,'4 SUP +'!$AB18,0))))</f>
        <v>0</v>
      </c>
      <c r="CF297" s="777" t="b">
        <f>IF('4 SUP +'!$A18&gt;71.5,IF('4 SUP +'!$A18&lt;120.6,IF('4 SUP +'!$C18&gt;10,IF('4 SUP +'!$C18&lt;57.6,'4 SUP +'!$AB18,0))))</f>
        <v>0</v>
      </c>
      <c r="CG297" s="777" t="b">
        <f>IF('4 SUP +'!$A18&gt;71.5,IF('4 SUP +'!$A18&lt;120.6,IF('4 SUP +'!$C18&gt;57.6,IF('4 SUP +'!$C18&lt;71.6,'4 SUP +'!$AB18,0))))</f>
        <v>0</v>
      </c>
      <c r="CH297" s="777" t="b">
        <f>IF('4 SUP +'!$A18&gt;71.5,IF('4 SUP +'!$A18&lt;120.6,IF('4 SUP +'!$C18&gt;71.5,IF('4 SUP +'!$C18&lt;85.6,'4 SUP +'!$AB18,0))))</f>
        <v>0</v>
      </c>
      <c r="CI297" s="777" t="b">
        <f>IF('4 SUP +'!$A18&gt;71.5,IF('4 SUP +'!$A18&lt;120.6,IF('4 SUP +'!$C18&gt;85.5,IF('4 SUP +'!$C18&lt;113.6,'4 SUP +'!$AB18,0))))</f>
        <v>0</v>
      </c>
      <c r="CJ297" s="777" t="b">
        <f>IF('4 SUP +'!$A18&gt;71.5,IF('4 SUP +'!$A18&lt;120.6,IF('4 SUP +'!$C18&gt;113.5,IF('4 SUP +'!$C18&lt;141.6,'4 SUP +'!$AB18,0))))</f>
        <v>0</v>
      </c>
      <c r="CK297" s="777" t="b">
        <f>IF('4 SUP +'!$A18&gt;71.5,IF('4 SUP +'!$A18&lt;120.6,IF('4 SUP +'!$C18&gt;141.5,IF('4 SUP +'!$C18&lt;180.6,'4 SUP +'!$AB18,0))))</f>
        <v>0</v>
      </c>
      <c r="CL297" s="777" t="b">
        <f>IF('4 SUP +'!$A18&gt;71.5,IF('4 SUP +'!$A18&lt;120.6,IF('4 SUP +'!$C18&gt;180.5,IF('4 SUP +'!$C18&lt;240.1,'4 SUP +'!$AB18,0))))</f>
        <v>0</v>
      </c>
      <c r="CN297" s="777">
        <f>IF('4 SUP +'!$C18&lt;150,IF(OR('4 SUP +'!$A18="MICRODER",'4 SUP +'!$A18="MICRO DER",),'4 SUP +'!$AB18,0))</f>
        <v>0</v>
      </c>
      <c r="CO297" s="777" t="b">
        <f>IF('4 SUP +'!$C18&gt;149.5,IF(OR('4 SUP +'!$A18="MICRODER",'4 SUP +'!$A18="MICRO DER",),'4 SUP +'!$AB18,0))</f>
        <v>0</v>
      </c>
      <c r="CP297" s="847"/>
      <c r="CQ297" s="777">
        <f>IF('4 SUP +'!$C18&lt;150,IF(OR('4 SUP +'!$A18="MICROIZQ",'4 SUP +'!$A18="MICRO IZQ",),'4 SUP +'!$AB18,0))</f>
        <v>0</v>
      </c>
      <c r="CR297" s="777" t="b">
        <f>IF('4 SUP +'!$C18&gt;149.5,IF(OR('4 SUP +'!$A18="MICROIZQ",'4 SUP +'!$A18="MICRO IZQ",),'4 SUP +'!$AB18,0))</f>
        <v>0</v>
      </c>
      <c r="CT297" s="837">
        <f>IF(OR('4 SUP +'!$A18="MICRO SEN",'4 SUP +'!$A18="MICROSEN",),'4 SUP +'!$AB18,0)</f>
        <v>0</v>
      </c>
      <c r="CV297" s="837" t="b">
        <f>IF('4 SUP +'!$A18="DIAMETRO",IF('4 SUP +'!$C18&lt;121.1,'4 SUP +'!$AB18,0))</f>
        <v>0</v>
      </c>
      <c r="CX297" s="858"/>
      <c r="CZ297" s="837" t="b">
        <f>IF('4 SUP +'!$A18="MOSTRADOR",IF('4 SUP +'!$C18="R60",'4 SUP +'!$AB18,0))</f>
        <v>0</v>
      </c>
      <c r="DB297" s="837">
        <f>IF(OR('4 SUP +'!$A18="PORTA PRIN",'4 SUP +'!$A18="PORTAPRIN",),'4 SUP +'!$AB18,0)</f>
        <v>0</v>
      </c>
      <c r="DD297" s="837">
        <f>IF(OR('4 SUP +'!$A18="PORTA BADE",'4 SUP +'!$A18="PORTABADE",),'4 SUP +'!$AB18,0)</f>
        <v>0</v>
      </c>
      <c r="DE297" s="837"/>
      <c r="DF297" s="837">
        <f>IF(OR('4 SUP +'!$A18="RETORNO IZQ",'4 SUP +'!$A18="RETORNO DER",),'4 SUP +'!$AB206,0)</f>
        <v>0</v>
      </c>
      <c r="DG297" s="837"/>
      <c r="DH297" s="837">
        <f>IF(OR('4 SUP +'!$A18="PITO Q",'4 SUP +'!$A18="PITO P",'4 SUP +'!$A18="DIAMETRO INTEGRADA",),'4 SUP +'!$AB18,0)</f>
        <v>0</v>
      </c>
      <c r="DJ297" s="858"/>
      <c r="DK297" s="837"/>
      <c r="DL297" s="837">
        <f>IF('4 SUP +'!$A18="SUPERFICIE OVAL",'4 SUP +'!$AB18,0)</f>
        <v>0</v>
      </c>
      <c r="DN297" s="838"/>
      <c r="DQ297" s="852"/>
      <c r="EA297" s="838"/>
      <c r="EB297" s="838"/>
      <c r="EC297" s="838"/>
      <c r="ED297" s="838"/>
      <c r="EG297" s="682">
        <f>IF('4 SUP +'!A16="MICRO DER",85,IF('4 SUP +'!A16="MICRO IZQ",85,IF('4 SUP +'!A16="MICRO SEN",170,IF('4 SUP +'!A16="DIAMETRO",3.14*'4 SUP +'!C16/2,IF('4 SUP +'!A16="MOSTRADOR",136,IF('4 SUP +'!A16="PORTA",65,IF('4 SUP +'!A16="PITO Q",90,IF('4 SUP +'!A16="PITO P",90,'4 SUP +'!A16))))))))</f>
        <v>0</v>
      </c>
      <c r="EH297" s="682"/>
      <c r="EI297" s="682">
        <f>IF('4 SUP +'!A16="DIAMETRO",0,IF('4 SUP +'!C16="PRINCIPAL",160,IF('4 SUP +'!C16="BADE",190,IF('4 SUP +'!C16="RETORNO",100,IF('4 SUP +'!C16="R 60",100,IF('4 SUP +'!C16="R60",100,'4 SUP +'!C16))))))</f>
        <v>0</v>
      </c>
      <c r="EJ297" s="682"/>
      <c r="EK297" s="682">
        <f>IF('4 SUP +'!$F16='4 SUP +'!$AG$15,((EG297*2)+(EI297*2))*'4 SUP +'!AB16,0)</f>
        <v>0</v>
      </c>
      <c r="EL297" s="682"/>
      <c r="EM297" s="682">
        <f>IF('4 SUP +'!$F16='4 SUP +'!$AG$16,((EG297*2)+(EI297*2))*'4 SUP +'!AB16,0)</f>
        <v>0</v>
      </c>
      <c r="EO297" s="682">
        <f>IF('4 SUP +'!$F16='4 SUP +'!$AG$17,((EG297*2)+(EI297*2))*'4 SUP +'!AB16,0)</f>
        <v>0</v>
      </c>
      <c r="EP297" s="838"/>
      <c r="EQ297" s="682">
        <f>IF('4 SUP +'!$F16='4 SUP +'!$AG$18,((EG297*2)+(EI297*2))*'4 SUP +'!AB16,0)</f>
        <v>0</v>
      </c>
      <c r="ER297" s="838"/>
      <c r="ES297" s="858"/>
      <c r="ET297" s="858"/>
      <c r="EU297" s="858"/>
      <c r="EV297" s="838"/>
      <c r="EW297" s="847"/>
      <c r="EX297" s="847"/>
      <c r="EY297" s="847"/>
      <c r="EZ297" s="847"/>
      <c r="FA297" s="847"/>
      <c r="FB297" s="847"/>
      <c r="HF297" s="700">
        <v>57.5</v>
      </c>
      <c r="HH297" s="591">
        <v>57.5</v>
      </c>
    </row>
    <row r="298" spans="37:216" ht="26.25" x14ac:dyDescent="0.4">
      <c r="AK298" s="777" t="b">
        <f>IF('4 SUP +'!$A19&gt;10,IF('4 SUP +'!$A19&lt;31.1,IF('4 SUP +'!$C19&gt;10,IF('4 SUP +'!$C19&lt;57.6,'4 SUP +'!$AB19,0))))</f>
        <v>0</v>
      </c>
      <c r="AL298" s="777" t="b">
        <f>IF('4 SUP +'!$A19&gt;10,IF('4 SUP +'!$A19&lt;31.1,IF('4 SUP +'!$C19&gt;57.6,IF('4 SUP +'!$C19&lt;71.6,'4 SUP +'!$AB19,0))))</f>
        <v>0</v>
      </c>
      <c r="AM298" s="777" t="b">
        <f>IF('4 SUP +'!$A19&gt;10,IF('4 SUP +'!$A19&lt;31.1,IF('4 SUP +'!$C19&gt;71.5,IF('4 SUP +'!$C19&lt;85.6,'4 SUP +'!$AB19,0))))</f>
        <v>0</v>
      </c>
      <c r="AN298" s="777" t="b">
        <f>IF('4 SUP +'!$A19&gt;10,IF('4 SUP +'!$A19&lt;31.1,IF('4 SUP +'!$C19&gt;85.5,IF('4 SUP +'!$C19&lt;113.6,'4 SUP +'!$AB19,0))))</f>
        <v>0</v>
      </c>
      <c r="AO298" s="777" t="b">
        <f>IF('4 SUP +'!$A19&gt;10,IF('4 SUP +'!$A19&lt;31.1,IF('4 SUP +'!$C19&gt;113.5,IF('4 SUP +'!$C19&lt;141.6,'4 SUP +'!$AB19,0))))</f>
        <v>0</v>
      </c>
      <c r="AP298" s="777" t="b">
        <f>IF('4 SUP +'!$A19&gt;10,IF('4 SUP +'!$A19&lt;31.1,IF('4 SUP +'!$C19&gt;141.5,IF('4 SUP +'!$C19&lt;180.6,'4 SUP +'!$AB19,0))))</f>
        <v>0</v>
      </c>
      <c r="AQ298" s="777" t="b">
        <f>IF('4 SUP +'!$A19&gt;10,IF('4 SUP +'!$A19&lt;31.1,IF('4 SUP +'!$C19&gt;180.5,IF('4 SUP +'!$C19&lt;240.1,'4 SUP +'!$AB19,0))))</f>
        <v>0</v>
      </c>
      <c r="AS298" s="777" t="b">
        <f>IF('4 SUP +'!$A19&gt;31,IF('4 SUP +'!$A19&lt;45.5,IF('4 SUP +'!$C19&gt;10,IF('4 SUP +'!$C19&lt;57.6,'4 SUP +'!$AB19,0))))</f>
        <v>0</v>
      </c>
      <c r="AT298" s="777" t="b">
        <f>IF('4 SUP +'!$A19&gt;31,IF('4 SUP +'!$A19&lt;45.5,IF('4 SUP +'!$C19&gt;57.6,IF('4 SUP +'!$C19&lt;71.6,'4 SUP +'!$AB19,0))))</f>
        <v>0</v>
      </c>
      <c r="AU298" s="777" t="b">
        <f>IF('4 SUP +'!$A19&gt;31,IF('4 SUP +'!$A19&lt;45.5,IF('4 SUP +'!$C19&gt;71.5,IF('4 SUP +'!$C19&lt;85.6,'4 SUP +'!$AB19,0))))</f>
        <v>0</v>
      </c>
      <c r="AV298" s="777" t="b">
        <f>IF('4 SUP +'!$A19&gt;31,IF('4 SUP +'!$A19&lt;45.5,IF('4 SUP +'!$C19&gt;85.5,IF('4 SUP +'!$C19&lt;113.6,'4 SUP +'!$AB19,0))))</f>
        <v>0</v>
      </c>
      <c r="AW298" s="777" t="b">
        <f>IF('4 SUP +'!$A19&gt;31,IF('4 SUP +'!$A19&lt;45.5,IF('4 SUP +'!$C19&gt;113.5,IF('4 SUP +'!$C19&lt;141.6,'4 SUP +'!$AB19,0))))</f>
        <v>0</v>
      </c>
      <c r="AX298" s="777" t="b">
        <f>IF('4 SUP +'!$A19&gt;31,IF('4 SUP +'!$A19&lt;45.5,IF('4 SUP +'!$C19&gt;141.5,IF('4 SUP +'!$C19&lt;180.6,'4 SUP +'!$AB19,0))))</f>
        <v>0</v>
      </c>
      <c r="AY298" s="777" t="b">
        <f>IF('4 SUP +'!$A19&gt;31,IF('4 SUP +'!$A19&lt;45.5,IF('4 SUP +'!$C19&gt;180.5,IF('4 SUP +'!$C19&lt;240.1,'4 SUP +'!$AB19,0))))</f>
        <v>0</v>
      </c>
      <c r="BA298" s="777" t="b">
        <f>IF('4 SUP +'!$A19&gt;45.4,IF('4 SUP +'!$A19&lt;61.6,IF('4 SUP +'!$C19&gt;10,IF('4 SUP +'!$C19&lt;61.5,'4 SUP +'!$AB19,0))))</f>
        <v>0</v>
      </c>
      <c r="BB298" s="777" t="b">
        <f>IF('4 SUP +'!$A19&gt;45.4,IF('4 SUP +'!$A19&lt;61.6,IF('4 SUP +'!$C19&gt;61.1,IF('4 SUP +'!$C19&lt;71.6,'4 SUP +'!$AB19,0))))</f>
        <v>0</v>
      </c>
      <c r="BC298" s="777" t="b">
        <f>IF('4 SUP +'!$A19&gt;45.4,IF('4 SUP +'!$A19&lt;61.6,IF('4 SUP +'!$C19&gt;71.5,IF('4 SUP +'!$C19&lt;85.6,'4 SUP +'!$AB19,0))))</f>
        <v>0</v>
      </c>
      <c r="BD298" s="777" t="b">
        <f>IF('4 SUP +'!$A19&gt;45.4,IF('4 SUP +'!$A19&lt;61.6,IF('4 SUP +'!$C19&gt;85.5,IF('4 SUP +'!$C19&lt;113.6,'4 SUP +'!$AB19,0))))</f>
        <v>0</v>
      </c>
      <c r="BE298" s="777" t="b">
        <f>IF('4 SUP +'!$A19&gt;45.4,IF('4 SUP +'!$A19&lt;61.6,IF('4 SUP +'!$C19&gt;113.5,IF('4 SUP +'!$C19&lt;121.6,'4 SUP +'!$AB19,0))))</f>
        <v>0</v>
      </c>
      <c r="BF298" s="777" t="b">
        <f>IF('4 SUP +'!$A19&gt;45.4,IF('4 SUP +'!$A19&lt;61.6,IF('4 SUP +'!$C19&gt;121.5,IF('4 SUP +'!$C19&lt;127.6,'4 SUP +'!$AB19,0))))</f>
        <v>0</v>
      </c>
      <c r="BG298" s="777" t="b">
        <f>IF('4 SUP +'!$A19&gt;45.4,IF('4 SUP +'!$A19&lt;61.6,IF('4 SUP +'!$C19&gt;127.5,IF('4 SUP +'!$C19&lt;135.1,'4 SUP +'!$AB19,0))))</f>
        <v>0</v>
      </c>
      <c r="BH298" s="777" t="b">
        <f>IF('4 SUP +'!$A19&gt;45.4,IF('4 SUP +'!$A19&lt;61.6,IF('4 SUP +'!$C19&gt;135,IF('4 SUP +'!$C19&lt;141.6,'4 SUP +'!$AB19,0))))</f>
        <v>0</v>
      </c>
      <c r="BI298" s="777" t="b">
        <f>IF('4 SUP +'!$A19&gt;45.4,IF('4 SUP +'!$A19&lt;61.6,IF('4 SUP +'!$C19&gt;141.5,IF('4 SUP +'!$C19&lt;149.1,'4 SUP +'!$AB19,0))))</f>
        <v>0</v>
      </c>
      <c r="BJ298" s="777" t="b">
        <f>IF('4 SUP +'!$A19&gt;45.4,IF('4 SUP +'!$A19&lt;61.6,IF('4 SUP +'!$C19&gt;149,IF('4 SUP +'!$C19&lt;155.6,'4 SUP +'!$AB19,0))))</f>
        <v>0</v>
      </c>
      <c r="BK298" s="777" t="b">
        <f>IF('4 SUP +'!$A19&gt;45.4,IF('4 SUP +'!$A19&lt;61.6,IF('4 SUP +'!$C19&gt;155.5,IF('4 SUP +'!$C19&lt;163.1,'4 SUP +'!$AB19,0))))</f>
        <v>0</v>
      </c>
      <c r="BL298" s="777" t="b">
        <f>IF('4 SUP +'!$A19&gt;45.4,IF('4 SUP +'!$A19&lt;61.6,IF('4 SUP +'!$C19&gt;163,IF('4 SUP +'!$C19&lt;180.6,'4 SUP +'!$AB19,0))))</f>
        <v>0</v>
      </c>
      <c r="BM298" s="777" t="b">
        <f>IF('4 SUP +'!$A19&gt;45.4,IF('4 SUP +'!$A19&lt;61.6,IF('4 SUP +'!$C19&gt;180.5,IF('4 SUP +'!$C19&lt;240.1,'4 SUP +'!$AB19,0))))</f>
        <v>0</v>
      </c>
      <c r="BO298" s="869" t="s">
        <v>521</v>
      </c>
      <c r="BQ298" s="870">
        <f>+$AV$338</f>
        <v>0</v>
      </c>
      <c r="BS298" s="869"/>
      <c r="BT298" s="870">
        <f>+$AV$339</f>
        <v>0</v>
      </c>
      <c r="BV298" s="777" t="b">
        <f>IF('4 SUP +'!$A19&gt;61.5,IF('4 SUP +'!$A19&lt;71.6,IF('4 SUP +'!$C19&gt;10,IF('4 SUP +'!$C19&lt;57.6,'4 SUP +'!$AB19,0))))</f>
        <v>0</v>
      </c>
      <c r="BW298" s="777" t="b">
        <f>IF('4 SUP +'!$A19&gt;61.5,IF('4 SUP +'!$A19&lt;71.6,IF('4 SUP +'!$C19&gt;57.6,IF('4 SUP +'!$C19&lt;71.6,'4 SUP +'!$AB19,0))))</f>
        <v>0</v>
      </c>
      <c r="BX298" s="777" t="b">
        <f>IF('4 SUP +'!$A19&gt;61.5,IF('4 SUP +'!$A19&lt;71.6,IF('4 SUP +'!$C19&gt;71.5,IF('4 SUP +'!$C19&lt;85.6,'4 SUP +'!$AB19,0))))</f>
        <v>0</v>
      </c>
      <c r="BY298" s="777" t="b">
        <f>IF('4 SUP +'!$A19&gt;61.5,IF('4 SUP +'!$A19&lt;71.6,IF('4 SUP +'!$C19&gt;85.5,IF('4 SUP +'!$C19&lt;113.6,'4 SUP +'!$AB19,0))))</f>
        <v>0</v>
      </c>
      <c r="BZ298" s="777" t="b">
        <f>IF('4 SUP +'!$A19&gt;61.5,IF('4 SUP +'!$A19&lt;71.6,IF('4 SUP +'!$C19&gt;113.5,IF('4 SUP +'!$C19&lt;141.6,'4 SUP +'!$AB19,0))))</f>
        <v>0</v>
      </c>
      <c r="CA298" s="777" t="b">
        <f>IF('4 SUP +'!$A19&gt;61.5,IF('4 SUP +'!$A19&lt;71.6,IF('4 SUP +'!$C19&gt;141.5,IF('4 SUP +'!$C19&lt;149.1,'4 SUP +'!$AB19,0))))</f>
        <v>0</v>
      </c>
      <c r="CB298" s="777" t="b">
        <f>IF('4 SUP +'!$A19&gt;61.5,IF('4 SUP +'!$A19&lt;71.6,IF('4 SUP +'!$C19&gt;149,IF('4 SUP +'!$C19&lt;163.1,'4 SUP +'!$AB19,0))))</f>
        <v>0</v>
      </c>
      <c r="CC298" s="777" t="b">
        <f>IF('4 SUP +'!$A19&gt;61.5,IF('4 SUP +'!$A19&lt;71.6,IF('4 SUP +'!$C19&gt;163,IF('4 SUP +'!$C19&lt;180.6,'4 SUP +'!$AB19,0))))</f>
        <v>0</v>
      </c>
      <c r="CD298" s="777" t="b">
        <f>IF('4 SUP +'!$A19&gt;61.5,IF('4 SUP +'!$A19&lt;71.6,IF('4 SUP +'!$C19&gt;180.5,IF('4 SUP +'!$C19&lt;240.1,'4 SUP +'!$AB19,0))))</f>
        <v>0</v>
      </c>
      <c r="CF298" s="777" t="b">
        <f>IF('4 SUP +'!$A19&gt;71.5,IF('4 SUP +'!$A19&lt;120.6,IF('4 SUP +'!$C19&gt;10,IF('4 SUP +'!$C19&lt;57.6,'4 SUP +'!$AB19,0))))</f>
        <v>0</v>
      </c>
      <c r="CG298" s="777" t="b">
        <f>IF('4 SUP +'!$A19&gt;71.5,IF('4 SUP +'!$A19&lt;120.6,IF('4 SUP +'!$C19&gt;57.6,IF('4 SUP +'!$C19&lt;71.6,'4 SUP +'!$AB19,0))))</f>
        <v>0</v>
      </c>
      <c r="CH298" s="777" t="b">
        <f>IF('4 SUP +'!$A19&gt;71.5,IF('4 SUP +'!$A19&lt;120.6,IF('4 SUP +'!$C19&gt;71.5,IF('4 SUP +'!$C19&lt;85.6,'4 SUP +'!$AB19,0))))</f>
        <v>0</v>
      </c>
      <c r="CI298" s="777" t="b">
        <f>IF('4 SUP +'!$A19&gt;71.5,IF('4 SUP +'!$A19&lt;120.6,IF('4 SUP +'!$C19&gt;85.5,IF('4 SUP +'!$C19&lt;113.6,'4 SUP +'!$AB19,0))))</f>
        <v>0</v>
      </c>
      <c r="CJ298" s="777" t="b">
        <f>IF('4 SUP +'!$A19&gt;71.5,IF('4 SUP +'!$A19&lt;120.6,IF('4 SUP +'!$C19&gt;113.5,IF('4 SUP +'!$C19&lt;141.6,'4 SUP +'!$AB19,0))))</f>
        <v>0</v>
      </c>
      <c r="CK298" s="777" t="b">
        <f>IF('4 SUP +'!$A19&gt;71.5,IF('4 SUP +'!$A19&lt;120.6,IF('4 SUP +'!$C19&gt;141.5,IF('4 SUP +'!$C19&lt;180.6,'4 SUP +'!$AB19,0))))</f>
        <v>0</v>
      </c>
      <c r="CL298" s="777" t="b">
        <f>IF('4 SUP +'!$A19&gt;71.5,IF('4 SUP +'!$A19&lt;120.6,IF('4 SUP +'!$C19&gt;180.5,IF('4 SUP +'!$C19&lt;240.1,'4 SUP +'!$AB19,0))))</f>
        <v>0</v>
      </c>
      <c r="CN298" s="777">
        <f>IF('4 SUP +'!$C19&lt;150,IF(OR('4 SUP +'!$A19="MICRODER",'4 SUP +'!$A19="MICRO DER",),'4 SUP +'!$AB19,0))</f>
        <v>0</v>
      </c>
      <c r="CO298" s="777" t="b">
        <f>IF('4 SUP +'!$C19&gt;149.5,IF(OR('4 SUP +'!$A19="MICRODER",'4 SUP +'!$A19="MICRO DER",),'4 SUP +'!$AB19,0))</f>
        <v>0</v>
      </c>
      <c r="CP298" s="847"/>
      <c r="CQ298" s="777">
        <f>IF('4 SUP +'!$C19&lt;150,IF(OR('4 SUP +'!$A19="MICROIZQ",'4 SUP +'!$A19="MICRO IZQ",),'4 SUP +'!$AB19,0))</f>
        <v>0</v>
      </c>
      <c r="CR298" s="777" t="b">
        <f>IF('4 SUP +'!$C19&gt;149.5,IF(OR('4 SUP +'!$A19="MICROIZQ",'4 SUP +'!$A19="MICRO IZQ",),'4 SUP +'!$AB19,0))</f>
        <v>0</v>
      </c>
      <c r="CT298" s="837">
        <f>IF(OR('4 SUP +'!$A19="MICRO SEN",'4 SUP +'!$A19="MICROSEN",),'4 SUP +'!$AB19,0)</f>
        <v>0</v>
      </c>
      <c r="CV298" s="837" t="b">
        <f>IF('4 SUP +'!$A19="DIAMETRO",IF('4 SUP +'!$C19&lt;121.1,'4 SUP +'!$AB19,0))</f>
        <v>0</v>
      </c>
      <c r="CX298" s="858"/>
      <c r="CZ298" s="837" t="b">
        <f>IF('4 SUP +'!$A19="MOSTRADOR",IF('4 SUP +'!$C19="R60",'4 SUP +'!$AB19,0))</f>
        <v>0</v>
      </c>
      <c r="DB298" s="837">
        <f>IF(OR('4 SUP +'!$A19="PORTA PRIN",'4 SUP +'!$A19="PORTAPRIN",),'4 SUP +'!$AB19,0)</f>
        <v>0</v>
      </c>
      <c r="DD298" s="837">
        <f>IF(OR('4 SUP +'!$A19="PORTA BADE",'4 SUP +'!$A19="PORTABADE",),'4 SUP +'!$AB19,0)</f>
        <v>0</v>
      </c>
      <c r="DE298" s="837"/>
      <c r="DF298" s="837">
        <f>IF(OR('4 SUP +'!$A19="RETORNO IZQ",'4 SUP +'!$A19="RETORNO DER",),'4 SUP +'!$AB207,0)</f>
        <v>0</v>
      </c>
      <c r="DG298" s="837"/>
      <c r="DH298" s="837">
        <f>IF(OR('4 SUP +'!$A19="PITO Q",'4 SUP +'!$A19="PITO P",'4 SUP +'!$A19="DIAMETRO INTEGRADA",),'4 SUP +'!$AB19,0)</f>
        <v>0</v>
      </c>
      <c r="DJ298" s="858"/>
      <c r="DK298" s="837"/>
      <c r="DL298" s="837">
        <f>IF('4 SUP +'!$A19="SUPERFICIE OVAL",'4 SUP +'!$AB19,0)</f>
        <v>0</v>
      </c>
      <c r="DN298" s="838"/>
      <c r="DQ298" s="852"/>
      <c r="EG298" s="682">
        <f>IF('4 SUP +'!A17="MICRO DER",85,IF('4 SUP +'!A17="MICRO IZQ",85,IF('4 SUP +'!A17="MICRO SEN",170,IF('4 SUP +'!A17="DIAMETRO",3.14*'4 SUP +'!C17/2,IF('4 SUP +'!A17="MOSTRADOR",136,IF('4 SUP +'!A17="PORTA",65,IF('4 SUP +'!A17="PITO Q",90,IF('4 SUP +'!A17="PITO P",90,'4 SUP +'!A17))))))))</f>
        <v>0</v>
      </c>
      <c r="EH298" s="682"/>
      <c r="EI298" s="682">
        <f>IF('4 SUP +'!A17="DIAMETRO",0,IF('4 SUP +'!C17="PRINCIPAL",160,IF('4 SUP +'!C17="BADE",190,IF('4 SUP +'!C17="RETORNO",100,IF('4 SUP +'!C17="R 60",100,IF('4 SUP +'!C17="R60",100,'4 SUP +'!C17))))))</f>
        <v>0</v>
      </c>
      <c r="EJ298" s="682"/>
      <c r="EK298" s="682">
        <f>IF('4 SUP +'!$F17='4 SUP +'!$AG$15,((EG298*2)+(EI298*2))*'4 SUP +'!AB17,0)</f>
        <v>0</v>
      </c>
      <c r="EL298" s="682"/>
      <c r="EM298" s="682">
        <f>IF('4 SUP +'!$F17='4 SUP +'!$AG$16,((EG298*2)+(EI298*2))*'4 SUP +'!AB17,0)</f>
        <v>0</v>
      </c>
      <c r="EO298" s="682">
        <f>IF('4 SUP +'!$F17='4 SUP +'!$AG$17,((EG298*2)+(EI298*2))*'4 SUP +'!AB17,0)</f>
        <v>0</v>
      </c>
      <c r="EP298" s="838"/>
      <c r="EQ298" s="682">
        <f>IF('4 SUP +'!$F17='4 SUP +'!$AG$18,((EG298*2)+(EI298*2))*'4 SUP +'!AB17,0)</f>
        <v>0</v>
      </c>
      <c r="EW298" s="847"/>
      <c r="EX298" s="847"/>
      <c r="EY298" s="847"/>
      <c r="EZ298" s="847"/>
      <c r="FA298" s="847"/>
      <c r="FB298" s="847"/>
      <c r="HF298" s="700">
        <v>58</v>
      </c>
      <c r="HH298" s="591">
        <v>58</v>
      </c>
    </row>
    <row r="299" spans="37:216" ht="26.25" x14ac:dyDescent="0.4">
      <c r="AK299" s="777" t="b">
        <f>IF('4 SUP +'!$A20&gt;10,IF('4 SUP +'!$A20&lt;31.1,IF('4 SUP +'!$C20&gt;10,IF('4 SUP +'!$C20&lt;57.6,'4 SUP +'!$AB20,0))))</f>
        <v>0</v>
      </c>
      <c r="AL299" s="777" t="b">
        <f>IF('4 SUP +'!$A20&gt;10,IF('4 SUP +'!$A20&lt;31.1,IF('4 SUP +'!$C20&gt;57.6,IF('4 SUP +'!$C20&lt;71.6,'4 SUP +'!$AB20,0))))</f>
        <v>0</v>
      </c>
      <c r="AM299" s="777" t="b">
        <f>IF('4 SUP +'!$A20&gt;10,IF('4 SUP +'!$A20&lt;31.1,IF('4 SUP +'!$C20&gt;71.5,IF('4 SUP +'!$C20&lt;85.6,'4 SUP +'!$AB20,0))))</f>
        <v>0</v>
      </c>
      <c r="AN299" s="777" t="b">
        <f>IF('4 SUP +'!$A20&gt;10,IF('4 SUP +'!$A20&lt;31.1,IF('4 SUP +'!$C20&gt;85.5,IF('4 SUP +'!$C20&lt;113.6,'4 SUP +'!$AB20,0))))</f>
        <v>0</v>
      </c>
      <c r="AO299" s="777" t="b">
        <f>IF('4 SUP +'!$A20&gt;10,IF('4 SUP +'!$A20&lt;31.1,IF('4 SUP +'!$C20&gt;113.5,IF('4 SUP +'!$C20&lt;141.6,'4 SUP +'!$AB20,0))))</f>
        <v>0</v>
      </c>
      <c r="AP299" s="777" t="b">
        <f>IF('4 SUP +'!$A20&gt;10,IF('4 SUP +'!$A20&lt;31.1,IF('4 SUP +'!$C20&gt;141.5,IF('4 SUP +'!$C20&lt;180.6,'4 SUP +'!$AB20,0))))</f>
        <v>0</v>
      </c>
      <c r="AQ299" s="777" t="b">
        <f>IF('4 SUP +'!$A20&gt;10,IF('4 SUP +'!$A20&lt;31.1,IF('4 SUP +'!$C20&gt;180.5,IF('4 SUP +'!$C20&lt;240.1,'4 SUP +'!$AB20,0))))</f>
        <v>0</v>
      </c>
      <c r="AS299" s="777" t="b">
        <f>IF('4 SUP +'!$A20&gt;31,IF('4 SUP +'!$A20&lt;45.5,IF('4 SUP +'!$C20&gt;10,IF('4 SUP +'!$C20&lt;57.6,'4 SUP +'!$AB20,0))))</f>
        <v>0</v>
      </c>
      <c r="AT299" s="777" t="b">
        <f>IF('4 SUP +'!$A20&gt;31,IF('4 SUP +'!$A20&lt;45.5,IF('4 SUP +'!$C20&gt;57.6,IF('4 SUP +'!$C20&lt;71.6,'4 SUP +'!$AB20,0))))</f>
        <v>0</v>
      </c>
      <c r="AU299" s="777" t="b">
        <f>IF('4 SUP +'!$A20&gt;31,IF('4 SUP +'!$A20&lt;45.5,IF('4 SUP +'!$C20&gt;71.5,IF('4 SUP +'!$C20&lt;85.6,'4 SUP +'!$AB20,0))))</f>
        <v>0</v>
      </c>
      <c r="AV299" s="777" t="b">
        <f>IF('4 SUP +'!$A20&gt;31,IF('4 SUP +'!$A20&lt;45.5,IF('4 SUP +'!$C20&gt;85.5,IF('4 SUP +'!$C20&lt;113.6,'4 SUP +'!$AB20,0))))</f>
        <v>0</v>
      </c>
      <c r="AW299" s="777" t="b">
        <f>IF('4 SUP +'!$A20&gt;31,IF('4 SUP +'!$A20&lt;45.5,IF('4 SUP +'!$C20&gt;113.5,IF('4 SUP +'!$C20&lt;141.6,'4 SUP +'!$AB20,0))))</f>
        <v>0</v>
      </c>
      <c r="AX299" s="777" t="b">
        <f>IF('4 SUP +'!$A20&gt;31,IF('4 SUP +'!$A20&lt;45.5,IF('4 SUP +'!$C20&gt;141.5,IF('4 SUP +'!$C20&lt;180.6,'4 SUP +'!$AB20,0))))</f>
        <v>0</v>
      </c>
      <c r="AY299" s="777" t="b">
        <f>IF('4 SUP +'!$A20&gt;31,IF('4 SUP +'!$A20&lt;45.5,IF('4 SUP +'!$C20&gt;180.5,IF('4 SUP +'!$C20&lt;240.1,'4 SUP +'!$AB20,0))))</f>
        <v>0</v>
      </c>
      <c r="BA299" s="777" t="b">
        <f>IF('4 SUP +'!$A20&gt;45.4,IF('4 SUP +'!$A20&lt;61.6,IF('4 SUP +'!$C20&gt;10,IF('4 SUP +'!$C20&lt;61.5,'4 SUP +'!$AB20,0))))</f>
        <v>0</v>
      </c>
      <c r="BB299" s="777" t="b">
        <f>IF('4 SUP +'!$A20&gt;45.4,IF('4 SUP +'!$A20&lt;61.6,IF('4 SUP +'!$C20&gt;61.1,IF('4 SUP +'!$C20&lt;71.6,'4 SUP +'!$AB20,0))))</f>
        <v>0</v>
      </c>
      <c r="BC299" s="777" t="b">
        <f>IF('4 SUP +'!$A20&gt;45.4,IF('4 SUP +'!$A20&lt;61.6,IF('4 SUP +'!$C20&gt;71.5,IF('4 SUP +'!$C20&lt;85.6,'4 SUP +'!$AB20,0))))</f>
        <v>0</v>
      </c>
      <c r="BD299" s="777" t="b">
        <f>IF('4 SUP +'!$A20&gt;45.4,IF('4 SUP +'!$A20&lt;61.6,IF('4 SUP +'!$C20&gt;85.5,IF('4 SUP +'!$C20&lt;113.6,'4 SUP +'!$AB20,0))))</f>
        <v>0</v>
      </c>
      <c r="BE299" s="777" t="b">
        <f>IF('4 SUP +'!$A20&gt;45.4,IF('4 SUP +'!$A20&lt;61.6,IF('4 SUP +'!$C20&gt;113.5,IF('4 SUP +'!$C20&lt;121.6,'4 SUP +'!$AB20,0))))</f>
        <v>0</v>
      </c>
      <c r="BF299" s="777" t="b">
        <f>IF('4 SUP +'!$A20&gt;45.4,IF('4 SUP +'!$A20&lt;61.6,IF('4 SUP +'!$C20&gt;121.5,IF('4 SUP +'!$C20&lt;127.6,'4 SUP +'!$AB20,0))))</f>
        <v>0</v>
      </c>
      <c r="BG299" s="777" t="b">
        <f>IF('4 SUP +'!$A20&gt;45.4,IF('4 SUP +'!$A20&lt;61.6,IF('4 SUP +'!$C20&gt;127.5,IF('4 SUP +'!$C20&lt;135.1,'4 SUP +'!$AB20,0))))</f>
        <v>0</v>
      </c>
      <c r="BH299" s="777" t="b">
        <f>IF('4 SUP +'!$A20&gt;45.4,IF('4 SUP +'!$A20&lt;61.6,IF('4 SUP +'!$C20&gt;135,IF('4 SUP +'!$C20&lt;141.6,'4 SUP +'!$AB20,0))))</f>
        <v>0</v>
      </c>
      <c r="BI299" s="777" t="b">
        <f>IF('4 SUP +'!$A20&gt;45.4,IF('4 SUP +'!$A20&lt;61.6,IF('4 SUP +'!$C20&gt;141.5,IF('4 SUP +'!$C20&lt;149.1,'4 SUP +'!$AB20,0))))</f>
        <v>0</v>
      </c>
      <c r="BJ299" s="777" t="b">
        <f>IF('4 SUP +'!$A20&gt;45.4,IF('4 SUP +'!$A20&lt;61.6,IF('4 SUP +'!$C20&gt;149,IF('4 SUP +'!$C20&lt;155.6,'4 SUP +'!$AB20,0))))</f>
        <v>0</v>
      </c>
      <c r="BK299" s="777" t="b">
        <f>IF('4 SUP +'!$A20&gt;45.4,IF('4 SUP +'!$A20&lt;61.6,IF('4 SUP +'!$C20&gt;155.5,IF('4 SUP +'!$C20&lt;163.1,'4 SUP +'!$AB20,0))))</f>
        <v>0</v>
      </c>
      <c r="BL299" s="777" t="b">
        <f>IF('4 SUP +'!$A20&gt;45.4,IF('4 SUP +'!$A20&lt;61.6,IF('4 SUP +'!$C20&gt;163,IF('4 SUP +'!$C20&lt;180.6,'4 SUP +'!$AB20,0))))</f>
        <v>0</v>
      </c>
      <c r="BM299" s="777" t="b">
        <f>IF('4 SUP +'!$A20&gt;45.4,IF('4 SUP +'!$A20&lt;61.6,IF('4 SUP +'!$C20&gt;180.5,IF('4 SUP +'!$C20&lt;240.1,'4 SUP +'!$AB20,0))))</f>
        <v>0</v>
      </c>
      <c r="BO299" s="869" t="s">
        <v>523</v>
      </c>
      <c r="BQ299" s="870">
        <f>+$AW$338</f>
        <v>0</v>
      </c>
      <c r="BS299" s="869"/>
      <c r="BT299" s="870">
        <f>+$AW$339</f>
        <v>0</v>
      </c>
      <c r="BV299" s="777" t="b">
        <f>IF('4 SUP +'!$A20&gt;61.5,IF('4 SUP +'!$A20&lt;71.6,IF('4 SUP +'!$C20&gt;10,IF('4 SUP +'!$C20&lt;57.6,'4 SUP +'!$AB20,0))))</f>
        <v>0</v>
      </c>
      <c r="BW299" s="777" t="b">
        <f>IF('4 SUP +'!$A20&gt;61.5,IF('4 SUP +'!$A20&lt;71.6,IF('4 SUP +'!$C20&gt;57.6,IF('4 SUP +'!$C20&lt;71.6,'4 SUP +'!$AB20,0))))</f>
        <v>0</v>
      </c>
      <c r="BX299" s="777" t="b">
        <f>IF('4 SUP +'!$A20&gt;61.5,IF('4 SUP +'!$A20&lt;71.6,IF('4 SUP +'!$C20&gt;71.5,IF('4 SUP +'!$C20&lt;85.6,'4 SUP +'!$AB20,0))))</f>
        <v>0</v>
      </c>
      <c r="BY299" s="777" t="b">
        <f>IF('4 SUP +'!$A20&gt;61.5,IF('4 SUP +'!$A20&lt;71.6,IF('4 SUP +'!$C20&gt;85.5,IF('4 SUP +'!$C20&lt;113.6,'4 SUP +'!$AB20,0))))</f>
        <v>0</v>
      </c>
      <c r="BZ299" s="777" t="b">
        <f>IF('4 SUP +'!$A20&gt;61.5,IF('4 SUP +'!$A20&lt;71.6,IF('4 SUP +'!$C20&gt;113.5,IF('4 SUP +'!$C20&lt;141.6,'4 SUP +'!$AB20,0))))</f>
        <v>0</v>
      </c>
      <c r="CA299" s="777" t="b">
        <f>IF('4 SUP +'!$A20&gt;61.5,IF('4 SUP +'!$A20&lt;71.6,IF('4 SUP +'!$C20&gt;141.5,IF('4 SUP +'!$C20&lt;149.1,'4 SUP +'!$AB20,0))))</f>
        <v>0</v>
      </c>
      <c r="CB299" s="777" t="b">
        <f>IF('4 SUP +'!$A20&gt;61.5,IF('4 SUP +'!$A20&lt;71.6,IF('4 SUP +'!$C20&gt;149,IF('4 SUP +'!$C20&lt;163.1,'4 SUP +'!$AB20,0))))</f>
        <v>0</v>
      </c>
      <c r="CC299" s="777" t="b">
        <f>IF('4 SUP +'!$A20&gt;61.5,IF('4 SUP +'!$A20&lt;71.6,IF('4 SUP +'!$C20&gt;163,IF('4 SUP +'!$C20&lt;180.6,'4 SUP +'!$AB20,0))))</f>
        <v>0</v>
      </c>
      <c r="CD299" s="777" t="b">
        <f>IF('4 SUP +'!$A20&gt;61.5,IF('4 SUP +'!$A20&lt;71.6,IF('4 SUP +'!$C20&gt;180.5,IF('4 SUP +'!$C20&lt;240.1,'4 SUP +'!$AB20,0))))</f>
        <v>0</v>
      </c>
      <c r="CF299" s="777" t="b">
        <f>IF('4 SUP +'!$A20&gt;71.5,IF('4 SUP +'!$A20&lt;120.6,IF('4 SUP +'!$C20&gt;10,IF('4 SUP +'!$C20&lt;57.6,'4 SUP +'!$AB20,0))))</f>
        <v>0</v>
      </c>
      <c r="CG299" s="777" t="b">
        <f>IF('4 SUP +'!$A20&gt;71.5,IF('4 SUP +'!$A20&lt;120.6,IF('4 SUP +'!$C20&gt;57.6,IF('4 SUP +'!$C20&lt;71.6,'4 SUP +'!$AB20,0))))</f>
        <v>0</v>
      </c>
      <c r="CH299" s="777" t="b">
        <f>IF('4 SUP +'!$A20&gt;71.5,IF('4 SUP +'!$A20&lt;120.6,IF('4 SUP +'!$C20&gt;71.5,IF('4 SUP +'!$C20&lt;85.6,'4 SUP +'!$AB20,0))))</f>
        <v>0</v>
      </c>
      <c r="CI299" s="777" t="b">
        <f>IF('4 SUP +'!$A20&gt;71.5,IF('4 SUP +'!$A20&lt;120.6,IF('4 SUP +'!$C20&gt;85.5,IF('4 SUP +'!$C20&lt;113.6,'4 SUP +'!$AB20,0))))</f>
        <v>0</v>
      </c>
      <c r="CJ299" s="777" t="b">
        <f>IF('4 SUP +'!$A20&gt;71.5,IF('4 SUP +'!$A20&lt;120.6,IF('4 SUP +'!$C20&gt;113.5,IF('4 SUP +'!$C20&lt;141.6,'4 SUP +'!$AB20,0))))</f>
        <v>0</v>
      </c>
      <c r="CK299" s="777" t="b">
        <f>IF('4 SUP +'!$A20&gt;71.5,IF('4 SUP +'!$A20&lt;120.6,IF('4 SUP +'!$C20&gt;141.5,IF('4 SUP +'!$C20&lt;180.6,'4 SUP +'!$AB20,0))))</f>
        <v>0</v>
      </c>
      <c r="CL299" s="777" t="b">
        <f>IF('4 SUP +'!$A20&gt;71.5,IF('4 SUP +'!$A20&lt;120.6,IF('4 SUP +'!$C20&gt;180.5,IF('4 SUP +'!$C20&lt;240.1,'4 SUP +'!$AB20,0))))</f>
        <v>0</v>
      </c>
      <c r="CN299" s="777">
        <f>IF('4 SUP +'!$C20&lt;150,IF(OR('4 SUP +'!$A20="MICRODER",'4 SUP +'!$A20="MICRO DER",),'4 SUP +'!$AB20,0))</f>
        <v>0</v>
      </c>
      <c r="CO299" s="777" t="b">
        <f>IF('4 SUP +'!$C20&gt;149.5,IF(OR('4 SUP +'!$A20="MICRODER",'4 SUP +'!$A20="MICRO DER",),'4 SUP +'!$AB20,0))</f>
        <v>0</v>
      </c>
      <c r="CP299" s="847"/>
      <c r="CQ299" s="777">
        <f>IF('4 SUP +'!$C20&lt;150,IF(OR('4 SUP +'!$A20="MICROIZQ",'4 SUP +'!$A20="MICRO IZQ",),'4 SUP +'!$AB20,0))</f>
        <v>0</v>
      </c>
      <c r="CR299" s="777" t="b">
        <f>IF('4 SUP +'!$C20&gt;149.5,IF(OR('4 SUP +'!$A20="MICROIZQ",'4 SUP +'!$A20="MICRO IZQ",),'4 SUP +'!$AB20,0))</f>
        <v>0</v>
      </c>
      <c r="CT299" s="837">
        <f>IF(OR('4 SUP +'!$A20="MICRO SEN",'4 SUP +'!$A20="MICROSEN",),'4 SUP +'!$AB20,0)</f>
        <v>0</v>
      </c>
      <c r="CV299" s="837" t="b">
        <f>IF('4 SUP +'!$A20="DIAMETRO",IF('4 SUP +'!$C20&lt;121.1,'4 SUP +'!$AB20,0))</f>
        <v>0</v>
      </c>
      <c r="CX299" s="858"/>
      <c r="CZ299" s="837" t="b">
        <f>IF('4 SUP +'!$A20="MOSTRADOR",IF('4 SUP +'!$C20="R60",'4 SUP +'!$AB20,0))</f>
        <v>0</v>
      </c>
      <c r="DB299" s="837">
        <f>IF(OR('4 SUP +'!$A20="PORTA PRIN",'4 SUP +'!$A20="PORTAPRIN",),'4 SUP +'!$AB20,0)</f>
        <v>0</v>
      </c>
      <c r="DD299" s="837">
        <f>IF(OR('4 SUP +'!$A20="PORTA BADE",'4 SUP +'!$A20="PORTABADE",),'4 SUP +'!$AB20,0)</f>
        <v>0</v>
      </c>
      <c r="DE299" s="837"/>
      <c r="DF299" s="837">
        <f>IF(OR('4 SUP +'!$A20="RETORNO IZQ",'4 SUP +'!$A20="RETORNO DER",),'4 SUP +'!$AB208,0)</f>
        <v>0</v>
      </c>
      <c r="DG299" s="837"/>
      <c r="DH299" s="837">
        <f>IF(OR('4 SUP +'!$A20="PITO Q",'4 SUP +'!$A20="PITO P",'4 SUP +'!$A20="DIAMETRO INTEGRADA",),'4 SUP +'!$AB20,0)</f>
        <v>0</v>
      </c>
      <c r="DJ299" s="858"/>
      <c r="DK299" s="837"/>
      <c r="DL299" s="837">
        <f>IF('4 SUP +'!$A20="SUPERFICIE OVAL",'4 SUP +'!$AB20,0)</f>
        <v>0</v>
      </c>
      <c r="DN299" s="838"/>
      <c r="DQ299" s="872"/>
      <c r="EG299" s="682">
        <f>IF('4 SUP +'!A18="MICRO DER",85,IF('4 SUP +'!A18="MICRO IZQ",85,IF('4 SUP +'!A18="MICRO SEN",170,IF('4 SUP +'!A18="DIAMETRO",3.14*'4 SUP +'!C18/2,IF('4 SUP +'!A18="MOSTRADOR",136,IF('4 SUP +'!A18="PORTA",65,IF('4 SUP +'!A18="PITO Q",90,IF('4 SUP +'!A18="PITO P",90,'4 SUP +'!A18))))))))</f>
        <v>0</v>
      </c>
      <c r="EH299" s="682"/>
      <c r="EI299" s="682">
        <f>IF('4 SUP +'!A18="DIAMETRO",0,IF('4 SUP +'!C18="PRINCIPAL",160,IF('4 SUP +'!C18="BADE",190,IF('4 SUP +'!C18="RETORNO",100,IF('4 SUP +'!C18="R 60",100,IF('4 SUP +'!C18="R60",100,'4 SUP +'!C18))))))</f>
        <v>0</v>
      </c>
      <c r="EJ299" s="682"/>
      <c r="EK299" s="682">
        <f>IF('4 SUP +'!$F18='4 SUP +'!$AG$15,((EG299*2)+(EI299*2))*'4 SUP +'!AB18,0)</f>
        <v>0</v>
      </c>
      <c r="EL299" s="682"/>
      <c r="EM299" s="682">
        <f>IF('4 SUP +'!$F18='4 SUP +'!$AG$16,((EG299*2)+(EI299*2))*'4 SUP +'!AB18,0)</f>
        <v>0</v>
      </c>
      <c r="EO299" s="682">
        <f>IF('4 SUP +'!$F18='4 SUP +'!$AG$17,((EG299*2)+(EI299*2))*'4 SUP +'!AB18,0)</f>
        <v>0</v>
      </c>
      <c r="EP299" s="838"/>
      <c r="EQ299" s="682">
        <f>IF('4 SUP +'!$F18='4 SUP +'!$AG$18,((EG299*2)+(EI299*2))*'4 SUP +'!AB18,0)</f>
        <v>0</v>
      </c>
      <c r="EW299" s="847"/>
      <c r="EX299" s="847"/>
      <c r="EY299" s="847"/>
      <c r="EZ299" s="847"/>
      <c r="FA299" s="847"/>
      <c r="FB299" s="847"/>
      <c r="HF299" s="700">
        <v>58.5</v>
      </c>
      <c r="HH299" s="591">
        <v>58.5</v>
      </c>
    </row>
    <row r="300" spans="37:216" ht="26.25" x14ac:dyDescent="0.4">
      <c r="AK300" s="777" t="b">
        <f>IF('4 SUP +'!$A21&gt;10,IF('4 SUP +'!$A21&lt;31.1,IF('4 SUP +'!$C21&gt;10,IF('4 SUP +'!$C21&lt;57.6,'4 SUP +'!$AB21,0))))</f>
        <v>0</v>
      </c>
      <c r="AL300" s="777" t="b">
        <f>IF('4 SUP +'!$A21&gt;10,IF('4 SUP +'!$A21&lt;31.1,IF('4 SUP +'!$C21&gt;57.6,IF('4 SUP +'!$C21&lt;71.6,'4 SUP +'!$AB21,0))))</f>
        <v>0</v>
      </c>
      <c r="AM300" s="777" t="b">
        <f>IF('4 SUP +'!$A21&gt;10,IF('4 SUP +'!$A21&lt;31.1,IF('4 SUP +'!$C21&gt;71.5,IF('4 SUP +'!$C21&lt;85.6,'4 SUP +'!$AB21,0))))</f>
        <v>0</v>
      </c>
      <c r="AN300" s="777" t="b">
        <f>IF('4 SUP +'!$A21&gt;10,IF('4 SUP +'!$A21&lt;31.1,IF('4 SUP +'!$C21&gt;85.5,IF('4 SUP +'!$C21&lt;113.6,'4 SUP +'!$AB21,0))))</f>
        <v>0</v>
      </c>
      <c r="AO300" s="777" t="b">
        <f>IF('4 SUP +'!$A21&gt;10,IF('4 SUP +'!$A21&lt;31.1,IF('4 SUP +'!$C21&gt;113.5,IF('4 SUP +'!$C21&lt;141.6,'4 SUP +'!$AB21,0))))</f>
        <v>0</v>
      </c>
      <c r="AP300" s="777" t="b">
        <f>IF('4 SUP +'!$A21&gt;10,IF('4 SUP +'!$A21&lt;31.1,IF('4 SUP +'!$C21&gt;141.5,IF('4 SUP +'!$C21&lt;180.6,'4 SUP +'!$AB21,0))))</f>
        <v>0</v>
      </c>
      <c r="AQ300" s="777" t="b">
        <f>IF('4 SUP +'!$A21&gt;10,IF('4 SUP +'!$A21&lt;31.1,IF('4 SUP +'!$C21&gt;180.5,IF('4 SUP +'!$C21&lt;240.1,'4 SUP +'!$AB21,0))))</f>
        <v>0</v>
      </c>
      <c r="AS300" s="777" t="b">
        <f>IF('4 SUP +'!$A21&gt;31,IF('4 SUP +'!$A21&lt;45.5,IF('4 SUP +'!$C21&gt;10,IF('4 SUP +'!$C21&lt;57.6,'4 SUP +'!$AB21,0))))</f>
        <v>0</v>
      </c>
      <c r="AT300" s="777" t="b">
        <f>IF('4 SUP +'!$A21&gt;31,IF('4 SUP +'!$A21&lt;45.5,IF('4 SUP +'!$C21&gt;57.6,IF('4 SUP +'!$C21&lt;71.6,'4 SUP +'!$AB21,0))))</f>
        <v>0</v>
      </c>
      <c r="AU300" s="777" t="b">
        <f>IF('4 SUP +'!$A21&gt;31,IF('4 SUP +'!$A21&lt;45.5,IF('4 SUP +'!$C21&gt;71.5,IF('4 SUP +'!$C21&lt;85.6,'4 SUP +'!$AB21,0))))</f>
        <v>0</v>
      </c>
      <c r="AV300" s="777" t="b">
        <f>IF('4 SUP +'!$A21&gt;31,IF('4 SUP +'!$A21&lt;45.5,IF('4 SUP +'!$C21&gt;85.5,IF('4 SUP +'!$C21&lt;113.6,'4 SUP +'!$AB21,0))))</f>
        <v>0</v>
      </c>
      <c r="AW300" s="777" t="b">
        <f>IF('4 SUP +'!$A21&gt;31,IF('4 SUP +'!$A21&lt;45.5,IF('4 SUP +'!$C21&gt;113.5,IF('4 SUP +'!$C21&lt;141.6,'4 SUP +'!$AB21,0))))</f>
        <v>0</v>
      </c>
      <c r="AX300" s="777" t="b">
        <f>IF('4 SUP +'!$A21&gt;31,IF('4 SUP +'!$A21&lt;45.5,IF('4 SUP +'!$C21&gt;141.5,IF('4 SUP +'!$C21&lt;180.6,'4 SUP +'!$AB21,0))))</f>
        <v>0</v>
      </c>
      <c r="AY300" s="777" t="b">
        <f>IF('4 SUP +'!$A21&gt;31,IF('4 SUP +'!$A21&lt;45.5,IF('4 SUP +'!$C21&gt;180.5,IF('4 SUP +'!$C21&lt;240.1,'4 SUP +'!$AB21,0))))</f>
        <v>0</v>
      </c>
      <c r="BA300" s="777" t="b">
        <f>IF('4 SUP +'!$A21&gt;45.4,IF('4 SUP +'!$A21&lt;61.6,IF('4 SUP +'!$C21&gt;10,IF('4 SUP +'!$C21&lt;61.5,'4 SUP +'!$AB21,0))))</f>
        <v>0</v>
      </c>
      <c r="BB300" s="777" t="b">
        <f>IF('4 SUP +'!$A21&gt;45.4,IF('4 SUP +'!$A21&lt;61.6,IF('4 SUP +'!$C21&gt;61.1,IF('4 SUP +'!$C21&lt;71.6,'4 SUP +'!$AB21,0))))</f>
        <v>0</v>
      </c>
      <c r="BC300" s="777" t="b">
        <f>IF('4 SUP +'!$A21&gt;45.4,IF('4 SUP +'!$A21&lt;61.6,IF('4 SUP +'!$C21&gt;71.5,IF('4 SUP +'!$C21&lt;85.6,'4 SUP +'!$AB21,0))))</f>
        <v>0</v>
      </c>
      <c r="BD300" s="777" t="b">
        <f>IF('4 SUP +'!$A21&gt;45.4,IF('4 SUP +'!$A21&lt;61.6,IF('4 SUP +'!$C21&gt;85.5,IF('4 SUP +'!$C21&lt;113.6,'4 SUP +'!$AB21,0))))</f>
        <v>0</v>
      </c>
      <c r="BE300" s="777" t="b">
        <f>IF('4 SUP +'!$A21&gt;45.4,IF('4 SUP +'!$A21&lt;61.6,IF('4 SUP +'!$C21&gt;113.5,IF('4 SUP +'!$C21&lt;121.6,'4 SUP +'!$AB21,0))))</f>
        <v>0</v>
      </c>
      <c r="BF300" s="777" t="b">
        <f>IF('4 SUP +'!$A21&gt;45.4,IF('4 SUP +'!$A21&lt;61.6,IF('4 SUP +'!$C21&gt;121.5,IF('4 SUP +'!$C21&lt;127.6,'4 SUP +'!$AB21,0))))</f>
        <v>0</v>
      </c>
      <c r="BG300" s="777" t="b">
        <f>IF('4 SUP +'!$A21&gt;45.4,IF('4 SUP +'!$A21&lt;61.6,IF('4 SUP +'!$C21&gt;127.5,IF('4 SUP +'!$C21&lt;135.1,'4 SUP +'!$AB21,0))))</f>
        <v>0</v>
      </c>
      <c r="BH300" s="777" t="b">
        <f>IF('4 SUP +'!$A21&gt;45.4,IF('4 SUP +'!$A21&lt;61.6,IF('4 SUP +'!$C21&gt;135,IF('4 SUP +'!$C21&lt;141.6,'4 SUP +'!$AB21,0))))</f>
        <v>0</v>
      </c>
      <c r="BI300" s="777" t="b">
        <f>IF('4 SUP +'!$A21&gt;45.4,IF('4 SUP +'!$A21&lt;61.6,IF('4 SUP +'!$C21&gt;141.5,IF('4 SUP +'!$C21&lt;149.1,'4 SUP +'!$AB21,0))))</f>
        <v>0</v>
      </c>
      <c r="BJ300" s="777" t="b">
        <f>IF('4 SUP +'!$A21&gt;45.4,IF('4 SUP +'!$A21&lt;61.6,IF('4 SUP +'!$C21&gt;149,IF('4 SUP +'!$C21&lt;155.6,'4 SUP +'!$AB21,0))))</f>
        <v>0</v>
      </c>
      <c r="BK300" s="777" t="b">
        <f>IF('4 SUP +'!$A21&gt;45.4,IF('4 SUP +'!$A21&lt;61.6,IF('4 SUP +'!$C21&gt;155.5,IF('4 SUP +'!$C21&lt;163.1,'4 SUP +'!$AB21,0))))</f>
        <v>0</v>
      </c>
      <c r="BL300" s="777" t="b">
        <f>IF('4 SUP +'!$A21&gt;45.4,IF('4 SUP +'!$A21&lt;61.6,IF('4 SUP +'!$C21&gt;163,IF('4 SUP +'!$C21&lt;180.6,'4 SUP +'!$AB21,0))))</f>
        <v>0</v>
      </c>
      <c r="BM300" s="777" t="b">
        <f>IF('4 SUP +'!$A21&gt;45.4,IF('4 SUP +'!$A21&lt;61.6,IF('4 SUP +'!$C21&gt;180.5,IF('4 SUP +'!$C21&lt;240.1,'4 SUP +'!$AB21,0))))</f>
        <v>0</v>
      </c>
      <c r="BO300" s="869" t="s">
        <v>525</v>
      </c>
      <c r="BQ300" s="870">
        <f>+$BA$338</f>
        <v>0</v>
      </c>
      <c r="BS300" s="869"/>
      <c r="BT300" s="870">
        <f>+$BA$339</f>
        <v>0</v>
      </c>
      <c r="BV300" s="777" t="b">
        <f>IF('4 SUP +'!$A21&gt;61.5,IF('4 SUP +'!$A21&lt;71.6,IF('4 SUP +'!$C21&gt;10,IF('4 SUP +'!$C21&lt;57.6,'4 SUP +'!$AB21,0))))</f>
        <v>0</v>
      </c>
      <c r="BW300" s="777" t="b">
        <f>IF('4 SUP +'!$A21&gt;61.5,IF('4 SUP +'!$A21&lt;71.6,IF('4 SUP +'!$C21&gt;57.6,IF('4 SUP +'!$C21&lt;71.6,'4 SUP +'!$AB21,0))))</f>
        <v>0</v>
      </c>
      <c r="BX300" s="777" t="b">
        <f>IF('4 SUP +'!$A21&gt;61.5,IF('4 SUP +'!$A21&lt;71.6,IF('4 SUP +'!$C21&gt;71.5,IF('4 SUP +'!$C21&lt;85.6,'4 SUP +'!$AB21,0))))</f>
        <v>0</v>
      </c>
      <c r="BY300" s="777" t="b">
        <f>IF('4 SUP +'!$A21&gt;61.5,IF('4 SUP +'!$A21&lt;71.6,IF('4 SUP +'!$C21&gt;85.5,IF('4 SUP +'!$C21&lt;113.6,'4 SUP +'!$AB21,0))))</f>
        <v>0</v>
      </c>
      <c r="BZ300" s="777" t="b">
        <f>IF('4 SUP +'!$A21&gt;61.5,IF('4 SUP +'!$A21&lt;71.6,IF('4 SUP +'!$C21&gt;113.5,IF('4 SUP +'!$C21&lt;141.6,'4 SUP +'!$AB21,0))))</f>
        <v>0</v>
      </c>
      <c r="CA300" s="777" t="b">
        <f>IF('4 SUP +'!$A21&gt;61.5,IF('4 SUP +'!$A21&lt;71.6,IF('4 SUP +'!$C21&gt;141.5,IF('4 SUP +'!$C21&lt;149.1,'4 SUP +'!$AB21,0))))</f>
        <v>0</v>
      </c>
      <c r="CB300" s="777" t="b">
        <f>IF('4 SUP +'!$A21&gt;61.5,IF('4 SUP +'!$A21&lt;71.6,IF('4 SUP +'!$C21&gt;149,IF('4 SUP +'!$C21&lt;163.1,'4 SUP +'!$AB21,0))))</f>
        <v>0</v>
      </c>
      <c r="CC300" s="777" t="b">
        <f>IF('4 SUP +'!$A21&gt;61.5,IF('4 SUP +'!$A21&lt;71.6,IF('4 SUP +'!$C21&gt;163,IF('4 SUP +'!$C21&lt;180.6,'4 SUP +'!$AB21,0))))</f>
        <v>0</v>
      </c>
      <c r="CD300" s="777" t="b">
        <f>IF('4 SUP +'!$A21&gt;61.5,IF('4 SUP +'!$A21&lt;71.6,IF('4 SUP +'!$C21&gt;180.5,IF('4 SUP +'!$C21&lt;240.1,'4 SUP +'!$AB21,0))))</f>
        <v>0</v>
      </c>
      <c r="CF300" s="777" t="b">
        <f>IF('4 SUP +'!$A21&gt;71.5,IF('4 SUP +'!$A21&lt;120.6,IF('4 SUP +'!$C21&gt;10,IF('4 SUP +'!$C21&lt;57.6,'4 SUP +'!$AB21,0))))</f>
        <v>0</v>
      </c>
      <c r="CG300" s="777" t="b">
        <f>IF('4 SUP +'!$A21&gt;71.5,IF('4 SUP +'!$A21&lt;120.6,IF('4 SUP +'!$C21&gt;57.6,IF('4 SUP +'!$C21&lt;71.6,'4 SUP +'!$AB21,0))))</f>
        <v>0</v>
      </c>
      <c r="CH300" s="777" t="b">
        <f>IF('4 SUP +'!$A21&gt;71.5,IF('4 SUP +'!$A21&lt;120.6,IF('4 SUP +'!$C21&gt;71.5,IF('4 SUP +'!$C21&lt;85.6,'4 SUP +'!$AB21,0))))</f>
        <v>0</v>
      </c>
      <c r="CI300" s="777" t="b">
        <f>IF('4 SUP +'!$A21&gt;71.5,IF('4 SUP +'!$A21&lt;120.6,IF('4 SUP +'!$C21&gt;85.5,IF('4 SUP +'!$C21&lt;113.6,'4 SUP +'!$AB21,0))))</f>
        <v>0</v>
      </c>
      <c r="CJ300" s="777" t="b">
        <f>IF('4 SUP +'!$A21&gt;71.5,IF('4 SUP +'!$A21&lt;120.6,IF('4 SUP +'!$C21&gt;113.5,IF('4 SUP +'!$C21&lt;141.6,'4 SUP +'!$AB21,0))))</f>
        <v>0</v>
      </c>
      <c r="CK300" s="777" t="b">
        <f>IF('4 SUP +'!$A21&gt;71.5,IF('4 SUP +'!$A21&lt;120.6,IF('4 SUP +'!$C21&gt;141.5,IF('4 SUP +'!$C21&lt;180.6,'4 SUP +'!$AB21,0))))</f>
        <v>0</v>
      </c>
      <c r="CL300" s="777" t="b">
        <f>IF('4 SUP +'!$A21&gt;71.5,IF('4 SUP +'!$A21&lt;120.6,IF('4 SUP +'!$C21&gt;180.5,IF('4 SUP +'!$C21&lt;240.1,'4 SUP +'!$AB21,0))))</f>
        <v>0</v>
      </c>
      <c r="CN300" s="777">
        <f>IF('4 SUP +'!$C21&lt;150,IF(OR('4 SUP +'!$A21="MICRODER",'4 SUP +'!$A21="MICRO DER",),'4 SUP +'!$AB21,0))</f>
        <v>0</v>
      </c>
      <c r="CO300" s="777" t="b">
        <f>IF('4 SUP +'!$C21&gt;149.5,IF(OR('4 SUP +'!$A21="MICRODER",'4 SUP +'!$A21="MICRO DER",),'4 SUP +'!$AB21,0))</f>
        <v>0</v>
      </c>
      <c r="CP300" s="847"/>
      <c r="CQ300" s="777">
        <f>IF('4 SUP +'!$C21&lt;150,IF(OR('4 SUP +'!$A21="MICROIZQ",'4 SUP +'!$A21="MICRO IZQ",),'4 SUP +'!$AB21,0))</f>
        <v>0</v>
      </c>
      <c r="CR300" s="777" t="b">
        <f>IF('4 SUP +'!$C21&gt;149.5,IF(OR('4 SUP +'!$A21="MICROIZQ",'4 SUP +'!$A21="MICRO IZQ",),'4 SUP +'!$AB21,0))</f>
        <v>0</v>
      </c>
      <c r="CT300" s="837">
        <f>IF(OR('4 SUP +'!$A21="MICRO SEN",'4 SUP +'!$A21="MICROSEN",),'4 SUP +'!$AB21,0)</f>
        <v>0</v>
      </c>
      <c r="CV300" s="837" t="b">
        <f>IF('4 SUP +'!$A21="DIAMETRO",IF('4 SUP +'!$C21&lt;121.1,'4 SUP +'!$AB21,0))</f>
        <v>0</v>
      </c>
      <c r="CX300" s="858"/>
      <c r="CZ300" s="837" t="b">
        <f>IF('4 SUP +'!$A21="MOSTRADOR",IF('4 SUP +'!$C21="R60",'4 SUP +'!$AB21,0))</f>
        <v>0</v>
      </c>
      <c r="DB300" s="837">
        <f>IF(OR('4 SUP +'!$A21="PORTA PRIN",'4 SUP +'!$A21="PORTAPRIN",),'4 SUP +'!$AB21,0)</f>
        <v>0</v>
      </c>
      <c r="DD300" s="837">
        <f>IF(OR('4 SUP +'!$A21="PORTA BADE",'4 SUP +'!$A21="PORTABADE",),'4 SUP +'!$AB21,0)</f>
        <v>0</v>
      </c>
      <c r="DE300" s="837"/>
      <c r="DF300" s="837">
        <f>IF(OR('4 SUP +'!$A21="RETORNO IZQ",'4 SUP +'!$A21="RETORNO DER",),'4 SUP +'!$AB209,0)</f>
        <v>0</v>
      </c>
      <c r="DG300" s="837"/>
      <c r="DH300" s="837">
        <f>IF(OR('4 SUP +'!$A21="PITO Q",'4 SUP +'!$A21="PITO P",'4 SUP +'!$A21="DIAMETRO INTEGRADA",),'4 SUP +'!$AB21,0)</f>
        <v>0</v>
      </c>
      <c r="DJ300" s="858"/>
      <c r="DK300" s="837"/>
      <c r="DL300" s="837">
        <f>IF('4 SUP +'!$A21="SUPERFICIE OVAL",'4 SUP +'!$AB21,0)</f>
        <v>0</v>
      </c>
      <c r="DN300" s="838"/>
      <c r="DQ300" s="852"/>
      <c r="EG300" s="682">
        <f>IF('4 SUP +'!A19="MICRO DER",85,IF('4 SUP +'!A19="MICRO IZQ",85,IF('4 SUP +'!A19="MICRO SEN",170,IF('4 SUP +'!A19="DIAMETRO",3.14*'4 SUP +'!C19/2,IF('4 SUP +'!A19="MOSTRADOR",136,IF('4 SUP +'!A19="PORTA",65,IF('4 SUP +'!A19="PITO Q",90,IF('4 SUP +'!A19="PITO P",90,'4 SUP +'!A19))))))))</f>
        <v>0</v>
      </c>
      <c r="EH300" s="682"/>
      <c r="EI300" s="682">
        <f>IF('4 SUP +'!A19="DIAMETRO",0,IF('4 SUP +'!C19="PRINCIPAL",160,IF('4 SUP +'!C19="BADE",190,IF('4 SUP +'!C19="RETORNO",100,IF('4 SUP +'!C19="R 60",100,IF('4 SUP +'!C19="R60",100,'4 SUP +'!C19))))))</f>
        <v>0</v>
      </c>
      <c r="EJ300" s="682"/>
      <c r="EK300" s="682">
        <f>IF('4 SUP +'!$F19='4 SUP +'!$AG$15,((EG300*2)+(EI300*2))*'4 SUP +'!AB19,0)</f>
        <v>0</v>
      </c>
      <c r="EL300" s="682"/>
      <c r="EM300" s="682">
        <f>IF('4 SUP +'!$F19='4 SUP +'!$AG$16,((EG300*2)+(EI300*2))*'4 SUP +'!AB19,0)</f>
        <v>0</v>
      </c>
      <c r="EO300" s="682">
        <f>IF('4 SUP +'!$F19='4 SUP +'!$AG$17,((EG300*2)+(EI300*2))*'4 SUP +'!AB19,0)</f>
        <v>0</v>
      </c>
      <c r="EP300" s="838"/>
      <c r="EQ300" s="682">
        <f>IF('4 SUP +'!$F19='4 SUP +'!$AG$18,((EG300*2)+(EI300*2))*'4 SUP +'!AB19,0)</f>
        <v>0</v>
      </c>
      <c r="EW300" s="847"/>
      <c r="EX300" s="847"/>
      <c r="EY300" s="847"/>
      <c r="EZ300" s="847"/>
      <c r="FA300" s="847"/>
      <c r="FB300" s="847"/>
      <c r="FP300" s="837"/>
      <c r="HF300" s="700">
        <v>59</v>
      </c>
      <c r="HH300" s="591">
        <v>59</v>
      </c>
    </row>
    <row r="301" spans="37:216" ht="26.25" x14ac:dyDescent="0.4">
      <c r="AK301" s="777" t="b">
        <f>IF('4 SUP +'!$A22&gt;10,IF('4 SUP +'!$A22&lt;31.1,IF('4 SUP +'!$C22&gt;10,IF('4 SUP +'!$C22&lt;57.6,'4 SUP +'!$AB22,0))))</f>
        <v>0</v>
      </c>
      <c r="AL301" s="777" t="b">
        <f>IF('4 SUP +'!$A22&gt;10,IF('4 SUP +'!$A22&lt;31.1,IF('4 SUP +'!$C22&gt;57.6,IF('4 SUP +'!$C22&lt;71.6,'4 SUP +'!$AB22,0))))</f>
        <v>0</v>
      </c>
      <c r="AM301" s="777" t="b">
        <f>IF('4 SUP +'!$A22&gt;10,IF('4 SUP +'!$A22&lt;31.1,IF('4 SUP +'!$C22&gt;71.5,IF('4 SUP +'!$C22&lt;85.6,'4 SUP +'!$AB22,0))))</f>
        <v>0</v>
      </c>
      <c r="AN301" s="777" t="b">
        <f>IF('4 SUP +'!$A22&gt;10,IF('4 SUP +'!$A22&lt;31.1,IF('4 SUP +'!$C22&gt;85.5,IF('4 SUP +'!$C22&lt;113.6,'4 SUP +'!$AB22,0))))</f>
        <v>0</v>
      </c>
      <c r="AO301" s="777" t="b">
        <f>IF('4 SUP +'!$A22&gt;10,IF('4 SUP +'!$A22&lt;31.1,IF('4 SUP +'!$C22&gt;113.5,IF('4 SUP +'!$C22&lt;141.6,'4 SUP +'!$AB22,0))))</f>
        <v>0</v>
      </c>
      <c r="AP301" s="777" t="b">
        <f>IF('4 SUP +'!$A22&gt;10,IF('4 SUP +'!$A22&lt;31.1,IF('4 SUP +'!$C22&gt;141.5,IF('4 SUP +'!$C22&lt;180.6,'4 SUP +'!$AB22,0))))</f>
        <v>0</v>
      </c>
      <c r="AQ301" s="777" t="b">
        <f>IF('4 SUP +'!$A22&gt;10,IF('4 SUP +'!$A22&lt;31.1,IF('4 SUP +'!$C22&gt;180.5,IF('4 SUP +'!$C22&lt;240.1,'4 SUP +'!$AB22,0))))</f>
        <v>0</v>
      </c>
      <c r="AS301" s="777" t="b">
        <f>IF('4 SUP +'!$A22&gt;31,IF('4 SUP +'!$A22&lt;45.5,IF('4 SUP +'!$C22&gt;10,IF('4 SUP +'!$C22&lt;57.6,'4 SUP +'!$AB22,0))))</f>
        <v>0</v>
      </c>
      <c r="AT301" s="777" t="b">
        <f>IF('4 SUP +'!$A22&gt;31,IF('4 SUP +'!$A22&lt;45.5,IF('4 SUP +'!$C22&gt;57.6,IF('4 SUP +'!$C22&lt;71.6,'4 SUP +'!$AB22,0))))</f>
        <v>0</v>
      </c>
      <c r="AU301" s="777" t="b">
        <f>IF('4 SUP +'!$A22&gt;31,IF('4 SUP +'!$A22&lt;45.5,IF('4 SUP +'!$C22&gt;71.5,IF('4 SUP +'!$C22&lt;85.6,'4 SUP +'!$AB22,0))))</f>
        <v>0</v>
      </c>
      <c r="AV301" s="777" t="b">
        <f>IF('4 SUP +'!$A22&gt;31,IF('4 SUP +'!$A22&lt;45.5,IF('4 SUP +'!$C22&gt;85.5,IF('4 SUP +'!$C22&lt;113.6,'4 SUP +'!$AB22,0))))</f>
        <v>0</v>
      </c>
      <c r="AW301" s="777" t="b">
        <f>IF('4 SUP +'!$A22&gt;31,IF('4 SUP +'!$A22&lt;45.5,IF('4 SUP +'!$C22&gt;113.5,IF('4 SUP +'!$C22&lt;141.6,'4 SUP +'!$AB22,0))))</f>
        <v>0</v>
      </c>
      <c r="AX301" s="777" t="b">
        <f>IF('4 SUP +'!$A22&gt;31,IF('4 SUP +'!$A22&lt;45.5,IF('4 SUP +'!$C22&gt;141.5,IF('4 SUP +'!$C22&lt;180.6,'4 SUP +'!$AB22,0))))</f>
        <v>0</v>
      </c>
      <c r="AY301" s="777" t="b">
        <f>IF('4 SUP +'!$A22&gt;31,IF('4 SUP +'!$A22&lt;45.5,IF('4 SUP +'!$C22&gt;180.5,IF('4 SUP +'!$C22&lt;240.1,'4 SUP +'!$AB22,0))))</f>
        <v>0</v>
      </c>
      <c r="BA301" s="777" t="b">
        <f>IF('4 SUP +'!$A22&gt;45.4,IF('4 SUP +'!$A22&lt;61.6,IF('4 SUP +'!$C22&gt;10,IF('4 SUP +'!$C22&lt;61.5,'4 SUP +'!$AB22,0))))</f>
        <v>0</v>
      </c>
      <c r="BB301" s="777" t="b">
        <f>IF('4 SUP +'!$A22&gt;45.4,IF('4 SUP +'!$A22&lt;61.6,IF('4 SUP +'!$C22&gt;61.1,IF('4 SUP +'!$C22&lt;71.6,'4 SUP +'!$AB22,0))))</f>
        <v>0</v>
      </c>
      <c r="BC301" s="777" t="b">
        <f>IF('4 SUP +'!$A22&gt;45.4,IF('4 SUP +'!$A22&lt;61.6,IF('4 SUP +'!$C22&gt;71.5,IF('4 SUP +'!$C22&lt;85.6,'4 SUP +'!$AB22,0))))</f>
        <v>0</v>
      </c>
      <c r="BD301" s="777" t="b">
        <f>IF('4 SUP +'!$A22&gt;45.4,IF('4 SUP +'!$A22&lt;61.6,IF('4 SUP +'!$C22&gt;85.5,IF('4 SUP +'!$C22&lt;113.6,'4 SUP +'!$AB22,0))))</f>
        <v>0</v>
      </c>
      <c r="BE301" s="777" t="b">
        <f>IF('4 SUP +'!$A22&gt;45.4,IF('4 SUP +'!$A22&lt;61.6,IF('4 SUP +'!$C22&gt;113.5,IF('4 SUP +'!$C22&lt;121.6,'4 SUP +'!$AB22,0))))</f>
        <v>0</v>
      </c>
      <c r="BF301" s="777" t="b">
        <f>IF('4 SUP +'!$A22&gt;45.4,IF('4 SUP +'!$A22&lt;61.6,IF('4 SUP +'!$C22&gt;121.5,IF('4 SUP +'!$C22&lt;127.6,'4 SUP +'!$AB22,0))))</f>
        <v>0</v>
      </c>
      <c r="BG301" s="777" t="b">
        <f>IF('4 SUP +'!$A22&gt;45.4,IF('4 SUP +'!$A22&lt;61.6,IF('4 SUP +'!$C22&gt;127.5,IF('4 SUP +'!$C22&lt;135.1,'4 SUP +'!$AB22,0))))</f>
        <v>0</v>
      </c>
      <c r="BH301" s="777" t="b">
        <f>IF('4 SUP +'!$A22&gt;45.4,IF('4 SUP +'!$A22&lt;61.6,IF('4 SUP +'!$C22&gt;135,IF('4 SUP +'!$C22&lt;141.6,'4 SUP +'!$AB22,0))))</f>
        <v>0</v>
      </c>
      <c r="BI301" s="777" t="b">
        <f>IF('4 SUP +'!$A22&gt;45.4,IF('4 SUP +'!$A22&lt;61.6,IF('4 SUP +'!$C22&gt;141.5,IF('4 SUP +'!$C22&lt;149.1,'4 SUP +'!$AB22,0))))</f>
        <v>0</v>
      </c>
      <c r="BJ301" s="777" t="b">
        <f>IF('4 SUP +'!$A22&gt;45.4,IF('4 SUP +'!$A22&lt;61.6,IF('4 SUP +'!$C22&gt;149,IF('4 SUP +'!$C22&lt;155.6,'4 SUP +'!$AB22,0))))</f>
        <v>0</v>
      </c>
      <c r="BK301" s="777" t="b">
        <f>IF('4 SUP +'!$A22&gt;45.4,IF('4 SUP +'!$A22&lt;61.6,IF('4 SUP +'!$C22&gt;155.5,IF('4 SUP +'!$C22&lt;163.1,'4 SUP +'!$AB22,0))))</f>
        <v>0</v>
      </c>
      <c r="BL301" s="777" t="b">
        <f>IF('4 SUP +'!$A22&gt;45.4,IF('4 SUP +'!$A22&lt;61.6,IF('4 SUP +'!$C22&gt;163,IF('4 SUP +'!$C22&lt;180.6,'4 SUP +'!$AB22,0))))</f>
        <v>0</v>
      </c>
      <c r="BM301" s="777" t="b">
        <f>IF('4 SUP +'!$A22&gt;45.4,IF('4 SUP +'!$A22&lt;61.6,IF('4 SUP +'!$C22&gt;180.5,IF('4 SUP +'!$C22&lt;240.1,'4 SUP +'!$AB22,0))))</f>
        <v>0</v>
      </c>
      <c r="BO301" s="869" t="s">
        <v>528</v>
      </c>
      <c r="BQ301" s="870">
        <f>+$BB$338+$CG$338*2</f>
        <v>0</v>
      </c>
      <c r="BS301" s="869"/>
      <c r="BT301" s="870">
        <f>+$BB$339+$CG$339*2</f>
        <v>0</v>
      </c>
      <c r="BV301" s="777" t="b">
        <f>IF('4 SUP +'!$A22&gt;61.5,IF('4 SUP +'!$A22&lt;71.6,IF('4 SUP +'!$C22&gt;10,IF('4 SUP +'!$C22&lt;57.6,'4 SUP +'!$AB22,0))))</f>
        <v>0</v>
      </c>
      <c r="BW301" s="777" t="b">
        <f>IF('4 SUP +'!$A22&gt;61.5,IF('4 SUP +'!$A22&lt;71.6,IF('4 SUP +'!$C22&gt;57.6,IF('4 SUP +'!$C22&lt;71.6,'4 SUP +'!$AB22,0))))</f>
        <v>0</v>
      </c>
      <c r="BX301" s="777" t="b">
        <f>IF('4 SUP +'!$A22&gt;61.5,IF('4 SUP +'!$A22&lt;71.6,IF('4 SUP +'!$C22&gt;71.5,IF('4 SUP +'!$C22&lt;85.6,'4 SUP +'!$AB22,0))))</f>
        <v>0</v>
      </c>
      <c r="BY301" s="777" t="b">
        <f>IF('4 SUP +'!$A22&gt;61.5,IF('4 SUP +'!$A22&lt;71.6,IF('4 SUP +'!$C22&gt;85.5,IF('4 SUP +'!$C22&lt;113.6,'4 SUP +'!$AB22,0))))</f>
        <v>0</v>
      </c>
      <c r="BZ301" s="777" t="b">
        <f>IF('4 SUP +'!$A22&gt;61.5,IF('4 SUP +'!$A22&lt;71.6,IF('4 SUP +'!$C22&gt;113.5,IF('4 SUP +'!$C22&lt;141.6,'4 SUP +'!$AB22,0))))</f>
        <v>0</v>
      </c>
      <c r="CA301" s="777" t="b">
        <f>IF('4 SUP +'!$A22&gt;61.5,IF('4 SUP +'!$A22&lt;71.6,IF('4 SUP +'!$C22&gt;141.5,IF('4 SUP +'!$C22&lt;149.1,'4 SUP +'!$AB22,0))))</f>
        <v>0</v>
      </c>
      <c r="CB301" s="777" t="b">
        <f>IF('4 SUP +'!$A22&gt;61.5,IF('4 SUP +'!$A22&lt;71.6,IF('4 SUP +'!$C22&gt;149,IF('4 SUP +'!$C22&lt;163.1,'4 SUP +'!$AB22,0))))</f>
        <v>0</v>
      </c>
      <c r="CC301" s="777" t="b">
        <f>IF('4 SUP +'!$A22&gt;61.5,IF('4 SUP +'!$A22&lt;71.6,IF('4 SUP +'!$C22&gt;163,IF('4 SUP +'!$C22&lt;180.6,'4 SUP +'!$AB22,0))))</f>
        <v>0</v>
      </c>
      <c r="CD301" s="777" t="b">
        <f>IF('4 SUP +'!$A22&gt;61.5,IF('4 SUP +'!$A22&lt;71.6,IF('4 SUP +'!$C22&gt;180.5,IF('4 SUP +'!$C22&lt;240.1,'4 SUP +'!$AB22,0))))</f>
        <v>0</v>
      </c>
      <c r="CF301" s="777" t="b">
        <f>IF('4 SUP +'!$A22&gt;71.5,IF('4 SUP +'!$A22&lt;120.6,IF('4 SUP +'!$C22&gt;10,IF('4 SUP +'!$C22&lt;57.6,'4 SUP +'!$AB22,0))))</f>
        <v>0</v>
      </c>
      <c r="CG301" s="777" t="b">
        <f>IF('4 SUP +'!$A22&gt;71.5,IF('4 SUP +'!$A22&lt;120.6,IF('4 SUP +'!$C22&gt;57.6,IF('4 SUP +'!$C22&lt;71.6,'4 SUP +'!$AB22,0))))</f>
        <v>0</v>
      </c>
      <c r="CH301" s="777" t="b">
        <f>IF('4 SUP +'!$A22&gt;71.5,IF('4 SUP +'!$A22&lt;120.6,IF('4 SUP +'!$C22&gt;71.5,IF('4 SUP +'!$C22&lt;85.6,'4 SUP +'!$AB22,0))))</f>
        <v>0</v>
      </c>
      <c r="CI301" s="777" t="b">
        <f>IF('4 SUP +'!$A22&gt;71.5,IF('4 SUP +'!$A22&lt;120.6,IF('4 SUP +'!$C22&gt;85.5,IF('4 SUP +'!$C22&lt;113.6,'4 SUP +'!$AB22,0))))</f>
        <v>0</v>
      </c>
      <c r="CJ301" s="777" t="b">
        <f>IF('4 SUP +'!$A22&gt;71.5,IF('4 SUP +'!$A22&lt;120.6,IF('4 SUP +'!$C22&gt;113.5,IF('4 SUP +'!$C22&lt;141.6,'4 SUP +'!$AB22,0))))</f>
        <v>0</v>
      </c>
      <c r="CK301" s="777" t="b">
        <f>IF('4 SUP +'!$A22&gt;71.5,IF('4 SUP +'!$A22&lt;120.6,IF('4 SUP +'!$C22&gt;141.5,IF('4 SUP +'!$C22&lt;180.6,'4 SUP +'!$AB22,0))))</f>
        <v>0</v>
      </c>
      <c r="CL301" s="777" t="b">
        <f>IF('4 SUP +'!$A22&gt;71.5,IF('4 SUP +'!$A22&lt;120.6,IF('4 SUP +'!$C22&gt;180.5,IF('4 SUP +'!$C22&lt;240.1,'4 SUP +'!$AB22,0))))</f>
        <v>0</v>
      </c>
      <c r="CN301" s="777">
        <f>IF('4 SUP +'!$C22&lt;150,IF(OR('4 SUP +'!$A22="MICRODER",'4 SUP +'!$A22="MICRO DER",),'4 SUP +'!$AB22,0))</f>
        <v>0</v>
      </c>
      <c r="CO301" s="777" t="b">
        <f>IF('4 SUP +'!$C22&gt;149.5,IF(OR('4 SUP +'!$A22="MICRODER",'4 SUP +'!$A22="MICRO DER",),'4 SUP +'!$AB22,0))</f>
        <v>0</v>
      </c>
      <c r="CP301" s="847"/>
      <c r="CQ301" s="777">
        <f>IF('4 SUP +'!$C22&lt;150,IF(OR('4 SUP +'!$A22="MICROIZQ",'4 SUP +'!$A22="MICRO IZQ",),'4 SUP +'!$AB22,0))</f>
        <v>0</v>
      </c>
      <c r="CR301" s="777" t="b">
        <f>IF('4 SUP +'!$C22&gt;149.5,IF(OR('4 SUP +'!$A22="MICROIZQ",'4 SUP +'!$A22="MICRO IZQ",),'4 SUP +'!$AB22,0))</f>
        <v>0</v>
      </c>
      <c r="CT301" s="837">
        <f>IF(OR('4 SUP +'!$A22="MICRO SEN",'4 SUP +'!$A22="MICROSEN",),'4 SUP +'!$AB22,0)</f>
        <v>0</v>
      </c>
      <c r="CV301" s="837" t="b">
        <f>IF('4 SUP +'!$A22="DIAMETRO",IF('4 SUP +'!$C22&lt;121.1,'4 SUP +'!$AB22,0))</f>
        <v>0</v>
      </c>
      <c r="CX301" s="858"/>
      <c r="CZ301" s="837" t="b">
        <f>IF('4 SUP +'!$A22="MOSTRADOR",IF('4 SUP +'!$C22="R60",'4 SUP +'!$AB22,0))</f>
        <v>0</v>
      </c>
      <c r="DB301" s="837">
        <f>IF(OR('4 SUP +'!$A22="PORTA PRIN",'4 SUP +'!$A22="PORTAPRIN",),'4 SUP +'!$AB22,0)</f>
        <v>0</v>
      </c>
      <c r="DD301" s="837">
        <f>IF(OR('4 SUP +'!$A22="PORTA BADE",'4 SUP +'!$A22="PORTABADE",),'4 SUP +'!$AB22,0)</f>
        <v>0</v>
      </c>
      <c r="DE301" s="837"/>
      <c r="DF301" s="837">
        <f>IF(OR('4 SUP +'!$A22="RETORNO IZQ",'4 SUP +'!$A22="RETORNO DER",),'4 SUP +'!$AB210,0)</f>
        <v>0</v>
      </c>
      <c r="DG301" s="837"/>
      <c r="DH301" s="837">
        <f>IF(OR('4 SUP +'!$A22="PITO Q",'4 SUP +'!$A22="PITO P",'4 SUP +'!$A22="DIAMETRO INTEGRADA",),'4 SUP +'!$AB22,0)</f>
        <v>0</v>
      </c>
      <c r="DJ301" s="858"/>
      <c r="DK301" s="837"/>
      <c r="DL301" s="837">
        <f>IF('4 SUP +'!$A22="SUPERFICIE OVAL",'4 SUP +'!$AB22,0)</f>
        <v>0</v>
      </c>
      <c r="DN301" s="838"/>
      <c r="DQ301" s="852"/>
      <c r="EG301" s="682">
        <f>IF('4 SUP +'!A20="MICRO DER",85,IF('4 SUP +'!A20="MICRO IZQ",85,IF('4 SUP +'!A20="MICRO SEN",170,IF('4 SUP +'!A20="DIAMETRO",3.14*'4 SUP +'!C20/2,IF('4 SUP +'!A20="MOSTRADOR",136,IF('4 SUP +'!A20="PORTA",65,IF('4 SUP +'!A20="PITO Q",90,IF('4 SUP +'!A20="PITO P",90,'4 SUP +'!A20))))))))</f>
        <v>0</v>
      </c>
      <c r="EH301" s="682"/>
      <c r="EI301" s="682">
        <f>IF('4 SUP +'!A20="DIAMETRO",0,IF('4 SUP +'!C20="PRINCIPAL",160,IF('4 SUP +'!C20="BADE",190,IF('4 SUP +'!C20="RETORNO",100,IF('4 SUP +'!C20="R 60",100,IF('4 SUP +'!C20="R60",100,'4 SUP +'!C20))))))</f>
        <v>0</v>
      </c>
      <c r="EJ301" s="682"/>
      <c r="EK301" s="682">
        <f>IF('4 SUP +'!$F20='4 SUP +'!$AG$15,((EG301*2)+(EI301*2))*'4 SUP +'!AB20,0)</f>
        <v>0</v>
      </c>
      <c r="EL301" s="682"/>
      <c r="EM301" s="682">
        <f>IF('4 SUP +'!$F20='4 SUP +'!$AG$16,((EG301*2)+(EI301*2))*'4 SUP +'!AB20,0)</f>
        <v>0</v>
      </c>
      <c r="EO301" s="682">
        <f>IF('4 SUP +'!$F20='4 SUP +'!$AG$17,((EG301*2)+(EI301*2))*'4 SUP +'!AB20,0)</f>
        <v>0</v>
      </c>
      <c r="EP301" s="838"/>
      <c r="EQ301" s="682">
        <f>IF('4 SUP +'!$F20='4 SUP +'!$AG$18,((EG301*2)+(EI301*2))*'4 SUP +'!AB20,0)</f>
        <v>0</v>
      </c>
      <c r="EW301" s="847"/>
      <c r="EX301" s="847"/>
      <c r="EY301" s="847"/>
      <c r="EZ301" s="847"/>
      <c r="FA301" s="847"/>
      <c r="FB301" s="847"/>
      <c r="FP301" s="837"/>
      <c r="HF301" s="700">
        <v>59.5</v>
      </c>
      <c r="HH301" s="591">
        <v>59.5</v>
      </c>
    </row>
    <row r="302" spans="37:216" ht="26.25" x14ac:dyDescent="0.4">
      <c r="AK302" s="777" t="b">
        <f>IF('4 SUP +'!$A23&gt;10,IF('4 SUP +'!$A23&lt;31.1,IF('4 SUP +'!$C23&gt;10,IF('4 SUP +'!$C23&lt;57.6,'4 SUP +'!$AB23,0))))</f>
        <v>0</v>
      </c>
      <c r="AL302" s="777" t="b">
        <f>IF('4 SUP +'!$A23&gt;10,IF('4 SUP +'!$A23&lt;31.1,IF('4 SUP +'!$C23&gt;57.6,IF('4 SUP +'!$C23&lt;71.6,'4 SUP +'!$AB23,0))))</f>
        <v>0</v>
      </c>
      <c r="AM302" s="777" t="b">
        <f>IF('4 SUP +'!$A23&gt;10,IF('4 SUP +'!$A23&lt;31.1,IF('4 SUP +'!$C23&gt;71.5,IF('4 SUP +'!$C23&lt;85.6,'4 SUP +'!$AB23,0))))</f>
        <v>0</v>
      </c>
      <c r="AN302" s="777" t="b">
        <f>IF('4 SUP +'!$A23&gt;10,IF('4 SUP +'!$A23&lt;31.1,IF('4 SUP +'!$C23&gt;85.5,IF('4 SUP +'!$C23&lt;113.6,'4 SUP +'!$AB23,0))))</f>
        <v>0</v>
      </c>
      <c r="AO302" s="777" t="b">
        <f>IF('4 SUP +'!$A23&gt;10,IF('4 SUP +'!$A23&lt;31.1,IF('4 SUP +'!$C23&gt;113.5,IF('4 SUP +'!$C23&lt;141.6,'4 SUP +'!$AB23,0))))</f>
        <v>0</v>
      </c>
      <c r="AP302" s="777" t="b">
        <f>IF('4 SUP +'!$A23&gt;10,IF('4 SUP +'!$A23&lt;31.1,IF('4 SUP +'!$C23&gt;141.5,IF('4 SUP +'!$C23&lt;180.6,'4 SUP +'!$AB23,0))))</f>
        <v>0</v>
      </c>
      <c r="AQ302" s="777" t="b">
        <f>IF('4 SUP +'!$A23&gt;10,IF('4 SUP +'!$A23&lt;31.1,IF('4 SUP +'!$C23&gt;180.5,IF('4 SUP +'!$C23&lt;240.1,'4 SUP +'!$AB23,0))))</f>
        <v>0</v>
      </c>
      <c r="AS302" s="777" t="b">
        <f>IF('4 SUP +'!$A23&gt;31,IF('4 SUP +'!$A23&lt;45.5,IF('4 SUP +'!$C23&gt;10,IF('4 SUP +'!$C23&lt;57.6,'4 SUP +'!$AB23,0))))</f>
        <v>0</v>
      </c>
      <c r="AT302" s="777" t="b">
        <f>IF('4 SUP +'!$A23&gt;31,IF('4 SUP +'!$A23&lt;45.5,IF('4 SUP +'!$C23&gt;57.6,IF('4 SUP +'!$C23&lt;71.6,'4 SUP +'!$AB23,0))))</f>
        <v>0</v>
      </c>
      <c r="AU302" s="777" t="b">
        <f>IF('4 SUP +'!$A23&gt;31,IF('4 SUP +'!$A23&lt;45.5,IF('4 SUP +'!$C23&gt;71.5,IF('4 SUP +'!$C23&lt;85.6,'4 SUP +'!$AB23,0))))</f>
        <v>0</v>
      </c>
      <c r="AV302" s="777" t="b">
        <f>IF('4 SUP +'!$A23&gt;31,IF('4 SUP +'!$A23&lt;45.5,IF('4 SUP +'!$C23&gt;85.5,IF('4 SUP +'!$C23&lt;113.6,'4 SUP +'!$AB23,0))))</f>
        <v>0</v>
      </c>
      <c r="AW302" s="777" t="b">
        <f>IF('4 SUP +'!$A23&gt;31,IF('4 SUP +'!$A23&lt;45.5,IF('4 SUP +'!$C23&gt;113.5,IF('4 SUP +'!$C23&lt;141.6,'4 SUP +'!$AB23,0))))</f>
        <v>0</v>
      </c>
      <c r="AX302" s="777" t="b">
        <f>IF('4 SUP +'!$A23&gt;31,IF('4 SUP +'!$A23&lt;45.5,IF('4 SUP +'!$C23&gt;141.5,IF('4 SUP +'!$C23&lt;180.6,'4 SUP +'!$AB23,0))))</f>
        <v>0</v>
      </c>
      <c r="AY302" s="777" t="b">
        <f>IF('4 SUP +'!$A23&gt;31,IF('4 SUP +'!$A23&lt;45.5,IF('4 SUP +'!$C23&gt;180.5,IF('4 SUP +'!$C23&lt;240.1,'4 SUP +'!$AB23,0))))</f>
        <v>0</v>
      </c>
      <c r="BA302" s="777" t="b">
        <f>IF('4 SUP +'!$A23&gt;45.4,IF('4 SUP +'!$A23&lt;61.6,IF('4 SUP +'!$C23&gt;10,IF('4 SUP +'!$C23&lt;61.5,'4 SUP +'!$AB23,0))))</f>
        <v>0</v>
      </c>
      <c r="BB302" s="777" t="b">
        <f>IF('4 SUP +'!$A23&gt;45.4,IF('4 SUP +'!$A23&lt;61.6,IF('4 SUP +'!$C23&gt;61.1,IF('4 SUP +'!$C23&lt;71.6,'4 SUP +'!$AB23,0))))</f>
        <v>0</v>
      </c>
      <c r="BC302" s="777" t="b">
        <f>IF('4 SUP +'!$A23&gt;45.4,IF('4 SUP +'!$A23&lt;61.6,IF('4 SUP +'!$C23&gt;71.5,IF('4 SUP +'!$C23&lt;85.6,'4 SUP +'!$AB23,0))))</f>
        <v>0</v>
      </c>
      <c r="BD302" s="777" t="b">
        <f>IF('4 SUP +'!$A23&gt;45.4,IF('4 SUP +'!$A23&lt;61.6,IF('4 SUP +'!$C23&gt;85.5,IF('4 SUP +'!$C23&lt;113.6,'4 SUP +'!$AB23,0))))</f>
        <v>0</v>
      </c>
      <c r="BE302" s="777" t="b">
        <f>IF('4 SUP +'!$A23&gt;45.4,IF('4 SUP +'!$A23&lt;61.6,IF('4 SUP +'!$C23&gt;113.5,IF('4 SUP +'!$C23&lt;121.6,'4 SUP +'!$AB23,0))))</f>
        <v>0</v>
      </c>
      <c r="BF302" s="777" t="b">
        <f>IF('4 SUP +'!$A23&gt;45.4,IF('4 SUP +'!$A23&lt;61.6,IF('4 SUP +'!$C23&gt;121.5,IF('4 SUP +'!$C23&lt;127.6,'4 SUP +'!$AB23,0))))</f>
        <v>0</v>
      </c>
      <c r="BG302" s="777" t="b">
        <f>IF('4 SUP +'!$A23&gt;45.4,IF('4 SUP +'!$A23&lt;61.6,IF('4 SUP +'!$C23&gt;127.5,IF('4 SUP +'!$C23&lt;135.1,'4 SUP +'!$AB23,0))))</f>
        <v>0</v>
      </c>
      <c r="BH302" s="777" t="b">
        <f>IF('4 SUP +'!$A23&gt;45.4,IF('4 SUP +'!$A23&lt;61.6,IF('4 SUP +'!$C23&gt;135,IF('4 SUP +'!$C23&lt;141.6,'4 SUP +'!$AB23,0))))</f>
        <v>0</v>
      </c>
      <c r="BI302" s="777" t="b">
        <f>IF('4 SUP +'!$A23&gt;45.4,IF('4 SUP +'!$A23&lt;61.6,IF('4 SUP +'!$C23&gt;141.5,IF('4 SUP +'!$C23&lt;149.1,'4 SUP +'!$AB23,0))))</f>
        <v>0</v>
      </c>
      <c r="BJ302" s="777" t="b">
        <f>IF('4 SUP +'!$A23&gt;45.4,IF('4 SUP +'!$A23&lt;61.6,IF('4 SUP +'!$C23&gt;149,IF('4 SUP +'!$C23&lt;155.6,'4 SUP +'!$AB23,0))))</f>
        <v>0</v>
      </c>
      <c r="BK302" s="777" t="b">
        <f>IF('4 SUP +'!$A23&gt;45.4,IF('4 SUP +'!$A23&lt;61.6,IF('4 SUP +'!$C23&gt;155.5,IF('4 SUP +'!$C23&lt;163.1,'4 SUP +'!$AB23,0))))</f>
        <v>0</v>
      </c>
      <c r="BL302" s="777" t="b">
        <f>IF('4 SUP +'!$A23&gt;45.4,IF('4 SUP +'!$A23&lt;61.6,IF('4 SUP +'!$C23&gt;163,IF('4 SUP +'!$C23&lt;180.6,'4 SUP +'!$AB23,0))))</f>
        <v>0</v>
      </c>
      <c r="BM302" s="777" t="b">
        <f>IF('4 SUP +'!$A23&gt;45.4,IF('4 SUP +'!$A23&lt;61.6,IF('4 SUP +'!$C23&gt;180.5,IF('4 SUP +'!$C23&lt;240.1,'4 SUP +'!$AB23,0))))</f>
        <v>0</v>
      </c>
      <c r="BO302" s="869" t="s">
        <v>530</v>
      </c>
      <c r="BQ302" s="870">
        <f>+$BC$338+$CH$338*2</f>
        <v>0</v>
      </c>
      <c r="BS302" s="869"/>
      <c r="BT302" s="870">
        <f>+$BC$339+$CH$339*2</f>
        <v>0</v>
      </c>
      <c r="BV302" s="777" t="b">
        <f>IF('4 SUP +'!$A23&gt;61.5,IF('4 SUP +'!$A23&lt;71.6,IF('4 SUP +'!$C23&gt;10,IF('4 SUP +'!$C23&lt;57.6,'4 SUP +'!$AB23,0))))</f>
        <v>0</v>
      </c>
      <c r="BW302" s="777" t="b">
        <f>IF('4 SUP +'!$A23&gt;61.5,IF('4 SUP +'!$A23&lt;71.6,IF('4 SUP +'!$C23&gt;57.6,IF('4 SUP +'!$C23&lt;71.6,'4 SUP +'!$AB23,0))))</f>
        <v>0</v>
      </c>
      <c r="BX302" s="777" t="b">
        <f>IF('4 SUP +'!$A23&gt;61.5,IF('4 SUP +'!$A23&lt;71.6,IF('4 SUP +'!$C23&gt;71.5,IF('4 SUP +'!$C23&lt;85.6,'4 SUP +'!$AB23,0))))</f>
        <v>0</v>
      </c>
      <c r="BY302" s="777" t="b">
        <f>IF('4 SUP +'!$A23&gt;61.5,IF('4 SUP +'!$A23&lt;71.6,IF('4 SUP +'!$C23&gt;85.5,IF('4 SUP +'!$C23&lt;113.6,'4 SUP +'!$AB23,0))))</f>
        <v>0</v>
      </c>
      <c r="BZ302" s="777" t="b">
        <f>IF('4 SUP +'!$A23&gt;61.5,IF('4 SUP +'!$A23&lt;71.6,IF('4 SUP +'!$C23&gt;113.5,IF('4 SUP +'!$C23&lt;141.6,'4 SUP +'!$AB23,0))))</f>
        <v>0</v>
      </c>
      <c r="CA302" s="777" t="b">
        <f>IF('4 SUP +'!$A23&gt;61.5,IF('4 SUP +'!$A23&lt;71.6,IF('4 SUP +'!$C23&gt;141.5,IF('4 SUP +'!$C23&lt;149.1,'4 SUP +'!$AB23,0))))</f>
        <v>0</v>
      </c>
      <c r="CB302" s="777" t="b">
        <f>IF('4 SUP +'!$A23&gt;61.5,IF('4 SUP +'!$A23&lt;71.6,IF('4 SUP +'!$C23&gt;149,IF('4 SUP +'!$C23&lt;163.1,'4 SUP +'!$AB23,0))))</f>
        <v>0</v>
      </c>
      <c r="CC302" s="777" t="b">
        <f>IF('4 SUP +'!$A23&gt;61.5,IF('4 SUP +'!$A23&lt;71.6,IF('4 SUP +'!$C23&gt;163,IF('4 SUP +'!$C23&lt;180.6,'4 SUP +'!$AB23,0))))</f>
        <v>0</v>
      </c>
      <c r="CD302" s="777" t="b">
        <f>IF('4 SUP +'!$A23&gt;61.5,IF('4 SUP +'!$A23&lt;71.6,IF('4 SUP +'!$C23&gt;180.5,IF('4 SUP +'!$C23&lt;240.1,'4 SUP +'!$AB23,0))))</f>
        <v>0</v>
      </c>
      <c r="CF302" s="777" t="b">
        <f>IF('4 SUP +'!$A23&gt;71.5,IF('4 SUP +'!$A23&lt;120.6,IF('4 SUP +'!$C23&gt;10,IF('4 SUP +'!$C23&lt;57.6,'4 SUP +'!$AB23,0))))</f>
        <v>0</v>
      </c>
      <c r="CG302" s="777" t="b">
        <f>IF('4 SUP +'!$A23&gt;71.5,IF('4 SUP +'!$A23&lt;120.6,IF('4 SUP +'!$C23&gt;57.6,IF('4 SUP +'!$C23&lt;71.6,'4 SUP +'!$AB23,0))))</f>
        <v>0</v>
      </c>
      <c r="CH302" s="777" t="b">
        <f>IF('4 SUP +'!$A23&gt;71.5,IF('4 SUP +'!$A23&lt;120.6,IF('4 SUP +'!$C23&gt;71.5,IF('4 SUP +'!$C23&lt;85.6,'4 SUP +'!$AB23,0))))</f>
        <v>0</v>
      </c>
      <c r="CI302" s="777" t="b">
        <f>IF('4 SUP +'!$A23&gt;71.5,IF('4 SUP +'!$A23&lt;120.6,IF('4 SUP +'!$C23&gt;85.5,IF('4 SUP +'!$C23&lt;113.6,'4 SUP +'!$AB23,0))))</f>
        <v>0</v>
      </c>
      <c r="CJ302" s="777" t="b">
        <f>IF('4 SUP +'!$A23&gt;71.5,IF('4 SUP +'!$A23&lt;120.6,IF('4 SUP +'!$C23&gt;113.5,IF('4 SUP +'!$C23&lt;141.6,'4 SUP +'!$AB23,0))))</f>
        <v>0</v>
      </c>
      <c r="CK302" s="777" t="b">
        <f>IF('4 SUP +'!$A23&gt;71.5,IF('4 SUP +'!$A23&lt;120.6,IF('4 SUP +'!$C23&gt;141.5,IF('4 SUP +'!$C23&lt;180.6,'4 SUP +'!$AB23,0))))</f>
        <v>0</v>
      </c>
      <c r="CL302" s="777" t="b">
        <f>IF('4 SUP +'!$A23&gt;71.5,IF('4 SUP +'!$A23&lt;120.6,IF('4 SUP +'!$C23&gt;180.5,IF('4 SUP +'!$C23&lt;240.1,'4 SUP +'!$AB23,0))))</f>
        <v>0</v>
      </c>
      <c r="CN302" s="777">
        <f>IF('4 SUP +'!$C23&lt;150,IF(OR('4 SUP +'!$A23="MICRODER",'4 SUP +'!$A23="MICRO DER",),'4 SUP +'!$AB23,0))</f>
        <v>0</v>
      </c>
      <c r="CO302" s="777" t="b">
        <f>IF('4 SUP +'!$C23&gt;149.5,IF(OR('4 SUP +'!$A23="MICRODER",'4 SUP +'!$A23="MICRO DER",),'4 SUP +'!$AB23,0))</f>
        <v>0</v>
      </c>
      <c r="CP302" s="847"/>
      <c r="CQ302" s="777">
        <f>IF('4 SUP +'!$C23&lt;150,IF(OR('4 SUP +'!$A23="MICROIZQ",'4 SUP +'!$A23="MICRO IZQ",),'4 SUP +'!$AB23,0))</f>
        <v>0</v>
      </c>
      <c r="CR302" s="777" t="b">
        <f>IF('4 SUP +'!$C23&gt;149.5,IF(OR('4 SUP +'!$A23="MICROIZQ",'4 SUP +'!$A23="MICRO IZQ",),'4 SUP +'!$AB23,0))</f>
        <v>0</v>
      </c>
      <c r="CT302" s="837">
        <f>IF(OR('4 SUP +'!$A23="MICRO SEN",'4 SUP +'!$A23="MICROSEN",),'4 SUP +'!$AB23,0)</f>
        <v>0</v>
      </c>
      <c r="CV302" s="837" t="b">
        <f>IF('4 SUP +'!$A23="DIAMETRO",IF('4 SUP +'!$C23&lt;121.1,'4 SUP +'!$AB23,0))</f>
        <v>0</v>
      </c>
      <c r="CX302" s="858"/>
      <c r="CZ302" s="837" t="b">
        <f>IF('4 SUP +'!$A23="MOSTRADOR",IF('4 SUP +'!$C23="R60",'4 SUP +'!$AB23,0))</f>
        <v>0</v>
      </c>
      <c r="DB302" s="837">
        <f>IF(OR('4 SUP +'!$A23="PORTA PRIN",'4 SUP +'!$A23="PORTAPRIN",),'4 SUP +'!$AB23,0)</f>
        <v>0</v>
      </c>
      <c r="DD302" s="837">
        <f>IF(OR('4 SUP +'!$A23="PORTA BADE",'4 SUP +'!$A23="PORTABADE",),'4 SUP +'!$AB23,0)</f>
        <v>0</v>
      </c>
      <c r="DE302" s="837"/>
      <c r="DF302" s="837">
        <f>IF(OR('4 SUP +'!$A23="RETORNO IZQ",'4 SUP +'!$A23="RETORNO DER",),'4 SUP +'!$AB211,0)</f>
        <v>0</v>
      </c>
      <c r="DG302" s="837"/>
      <c r="DH302" s="837">
        <f>IF(OR('4 SUP +'!$A23="PITO Q",'4 SUP +'!$A23="PITO P",'4 SUP +'!$A23="DIAMETRO INTEGRADA",),'4 SUP +'!$AB23,0)</f>
        <v>0</v>
      </c>
      <c r="DJ302" s="858"/>
      <c r="DK302" s="837"/>
      <c r="DL302" s="837">
        <f>IF('4 SUP +'!$A23="SUPERFICIE OVAL",'4 SUP +'!$AB23,0)</f>
        <v>0</v>
      </c>
      <c r="DN302" s="838"/>
      <c r="DQ302" s="852"/>
      <c r="EG302" s="682">
        <f>IF('4 SUP +'!A21="MICRO DER",85,IF('4 SUP +'!A21="MICRO IZQ",85,IF('4 SUP +'!A21="MICRO SEN",170,IF('4 SUP +'!A21="DIAMETRO",3.14*'4 SUP +'!C21/2,IF('4 SUP +'!A21="MOSTRADOR",136,IF('4 SUP +'!A21="PORTA",65,IF('4 SUP +'!A21="PITO Q",90,IF('4 SUP +'!A21="PITO P",90,'4 SUP +'!A21))))))))</f>
        <v>0</v>
      </c>
      <c r="EH302" s="682"/>
      <c r="EI302" s="682">
        <f>IF('4 SUP +'!A21="DIAMETRO",0,IF('4 SUP +'!C21="PRINCIPAL",160,IF('4 SUP +'!C21="BADE",190,IF('4 SUP +'!C21="RETORNO",100,IF('4 SUP +'!C21="R 60",100,IF('4 SUP +'!C21="R60",100,'4 SUP +'!C21))))))</f>
        <v>0</v>
      </c>
      <c r="EJ302" s="682"/>
      <c r="EK302" s="682">
        <f>IF('4 SUP +'!$F21='4 SUP +'!$AG$15,((EG302*2)+(EI302*2))*'4 SUP +'!AB21,0)</f>
        <v>0</v>
      </c>
      <c r="EL302" s="682"/>
      <c r="EM302" s="682">
        <f>IF('4 SUP +'!$F21='4 SUP +'!$AG$16,((EG302*2)+(EI302*2))*'4 SUP +'!AB21,0)</f>
        <v>0</v>
      </c>
      <c r="EO302" s="682">
        <f>IF('4 SUP +'!$F21='4 SUP +'!$AG$17,((EG302*2)+(EI302*2))*'4 SUP +'!AB21,0)</f>
        <v>0</v>
      </c>
      <c r="EP302" s="838"/>
      <c r="EQ302" s="682">
        <f>IF('4 SUP +'!$F21='4 SUP +'!$AG$18,((EG302*2)+(EI302*2))*'4 SUP +'!AB21,0)</f>
        <v>0</v>
      </c>
      <c r="EW302" s="847"/>
      <c r="EX302" s="847"/>
      <c r="EY302" s="847"/>
      <c r="EZ302" s="847"/>
      <c r="FA302" s="847"/>
      <c r="FB302" s="847"/>
      <c r="HF302" s="700">
        <v>60</v>
      </c>
      <c r="HH302" s="591">
        <v>60</v>
      </c>
    </row>
    <row r="303" spans="37:216" ht="26.25" x14ac:dyDescent="0.4">
      <c r="AK303" s="777" t="b">
        <f>IF('4 SUP +'!$A24&gt;10,IF('4 SUP +'!$A24&lt;31.1,IF('4 SUP +'!$C24&gt;10,IF('4 SUP +'!$C24&lt;57.6,'4 SUP +'!$AB24,0))))</f>
        <v>0</v>
      </c>
      <c r="AL303" s="777" t="b">
        <f>IF('4 SUP +'!$A24&gt;10,IF('4 SUP +'!$A24&lt;31.1,IF('4 SUP +'!$C24&gt;57.6,IF('4 SUP +'!$C24&lt;71.6,'4 SUP +'!$AB24,0))))</f>
        <v>0</v>
      </c>
      <c r="AM303" s="777" t="b">
        <f>IF('4 SUP +'!$A24&gt;10,IF('4 SUP +'!$A24&lt;31.1,IF('4 SUP +'!$C24&gt;71.5,IF('4 SUP +'!$C24&lt;85.6,'4 SUP +'!$AB24,0))))</f>
        <v>0</v>
      </c>
      <c r="AN303" s="777" t="b">
        <f>IF('4 SUP +'!$A24&gt;10,IF('4 SUP +'!$A24&lt;31.1,IF('4 SUP +'!$C24&gt;85.5,IF('4 SUP +'!$C24&lt;113.6,'4 SUP +'!$AB24,0))))</f>
        <v>0</v>
      </c>
      <c r="AO303" s="777" t="b">
        <f>IF('4 SUP +'!$A24&gt;10,IF('4 SUP +'!$A24&lt;31.1,IF('4 SUP +'!$C24&gt;113.5,IF('4 SUP +'!$C24&lt;141.6,'4 SUP +'!$AB24,0))))</f>
        <v>0</v>
      </c>
      <c r="AP303" s="777" t="b">
        <f>IF('4 SUP +'!$A24&gt;10,IF('4 SUP +'!$A24&lt;31.1,IF('4 SUP +'!$C24&gt;141.5,IF('4 SUP +'!$C24&lt;180.6,'4 SUP +'!$AB24,0))))</f>
        <v>0</v>
      </c>
      <c r="AQ303" s="777" t="b">
        <f>IF('4 SUP +'!$A24&gt;10,IF('4 SUP +'!$A24&lt;31.1,IF('4 SUP +'!$C24&gt;180.5,IF('4 SUP +'!$C24&lt;240.1,'4 SUP +'!$AB24,0))))</f>
        <v>0</v>
      </c>
      <c r="AS303" s="777" t="b">
        <f>IF('4 SUP +'!$A24&gt;31,IF('4 SUP +'!$A24&lt;45.5,IF('4 SUP +'!$C24&gt;10,IF('4 SUP +'!$C24&lt;57.6,'4 SUP +'!$AB24,0))))</f>
        <v>0</v>
      </c>
      <c r="AT303" s="777" t="b">
        <f>IF('4 SUP +'!$A24&gt;31,IF('4 SUP +'!$A24&lt;45.5,IF('4 SUP +'!$C24&gt;57.6,IF('4 SUP +'!$C24&lt;71.6,'4 SUP +'!$AB24,0))))</f>
        <v>0</v>
      </c>
      <c r="AU303" s="777" t="b">
        <f>IF('4 SUP +'!$A24&gt;31,IF('4 SUP +'!$A24&lt;45.5,IF('4 SUP +'!$C24&gt;71.5,IF('4 SUP +'!$C24&lt;85.6,'4 SUP +'!$AB24,0))))</f>
        <v>0</v>
      </c>
      <c r="AV303" s="777" t="b">
        <f>IF('4 SUP +'!$A24&gt;31,IF('4 SUP +'!$A24&lt;45.5,IF('4 SUP +'!$C24&gt;85.5,IF('4 SUP +'!$C24&lt;113.6,'4 SUP +'!$AB24,0))))</f>
        <v>0</v>
      </c>
      <c r="AW303" s="777" t="b">
        <f>IF('4 SUP +'!$A24&gt;31,IF('4 SUP +'!$A24&lt;45.5,IF('4 SUP +'!$C24&gt;113.5,IF('4 SUP +'!$C24&lt;141.6,'4 SUP +'!$AB24,0))))</f>
        <v>0</v>
      </c>
      <c r="AX303" s="777" t="b">
        <f>IF('4 SUP +'!$A24&gt;31,IF('4 SUP +'!$A24&lt;45.5,IF('4 SUP +'!$C24&gt;141.5,IF('4 SUP +'!$C24&lt;180.6,'4 SUP +'!$AB24,0))))</f>
        <v>0</v>
      </c>
      <c r="AY303" s="777" t="b">
        <f>IF('4 SUP +'!$A24&gt;31,IF('4 SUP +'!$A24&lt;45.5,IF('4 SUP +'!$C24&gt;180.5,IF('4 SUP +'!$C24&lt;240.1,'4 SUP +'!$AB24,0))))</f>
        <v>0</v>
      </c>
      <c r="BA303" s="777" t="b">
        <f>IF('4 SUP +'!$A24&gt;45.4,IF('4 SUP +'!$A24&lt;61.6,IF('4 SUP +'!$C24&gt;10,IF('4 SUP +'!$C24&lt;61.5,'4 SUP +'!$AB24,0))))</f>
        <v>0</v>
      </c>
      <c r="BB303" s="777" t="b">
        <f>IF('4 SUP +'!$A24&gt;45.4,IF('4 SUP +'!$A24&lt;61.6,IF('4 SUP +'!$C24&gt;61.1,IF('4 SUP +'!$C24&lt;71.6,'4 SUP +'!$AB24,0))))</f>
        <v>0</v>
      </c>
      <c r="BC303" s="777" t="b">
        <f>IF('4 SUP +'!$A24&gt;45.4,IF('4 SUP +'!$A24&lt;61.6,IF('4 SUP +'!$C24&gt;71.5,IF('4 SUP +'!$C24&lt;85.6,'4 SUP +'!$AB24,0))))</f>
        <v>0</v>
      </c>
      <c r="BD303" s="777" t="b">
        <f>IF('4 SUP +'!$A24&gt;45.4,IF('4 SUP +'!$A24&lt;61.6,IF('4 SUP +'!$C24&gt;85.5,IF('4 SUP +'!$C24&lt;113.6,'4 SUP +'!$AB24,0))))</f>
        <v>0</v>
      </c>
      <c r="BE303" s="777" t="b">
        <f>IF('4 SUP +'!$A24&gt;45.4,IF('4 SUP +'!$A24&lt;61.6,IF('4 SUP +'!$C24&gt;113.5,IF('4 SUP +'!$C24&lt;121.6,'4 SUP +'!$AB24,0))))</f>
        <v>0</v>
      </c>
      <c r="BF303" s="777" t="b">
        <f>IF('4 SUP +'!$A24&gt;45.4,IF('4 SUP +'!$A24&lt;61.6,IF('4 SUP +'!$C24&gt;121.5,IF('4 SUP +'!$C24&lt;127.6,'4 SUP +'!$AB24,0))))</f>
        <v>0</v>
      </c>
      <c r="BG303" s="777" t="b">
        <f>IF('4 SUP +'!$A24&gt;45.4,IF('4 SUP +'!$A24&lt;61.6,IF('4 SUP +'!$C24&gt;127.5,IF('4 SUP +'!$C24&lt;135.1,'4 SUP +'!$AB24,0))))</f>
        <v>0</v>
      </c>
      <c r="BH303" s="777" t="b">
        <f>IF('4 SUP +'!$A24&gt;45.4,IF('4 SUP +'!$A24&lt;61.6,IF('4 SUP +'!$C24&gt;135,IF('4 SUP +'!$C24&lt;141.6,'4 SUP +'!$AB24,0))))</f>
        <v>0</v>
      </c>
      <c r="BI303" s="777" t="b">
        <f>IF('4 SUP +'!$A24&gt;45.4,IF('4 SUP +'!$A24&lt;61.6,IF('4 SUP +'!$C24&gt;141.5,IF('4 SUP +'!$C24&lt;149.1,'4 SUP +'!$AB24,0))))</f>
        <v>0</v>
      </c>
      <c r="BJ303" s="777" t="b">
        <f>IF('4 SUP +'!$A24&gt;45.4,IF('4 SUP +'!$A24&lt;61.6,IF('4 SUP +'!$C24&gt;149,IF('4 SUP +'!$C24&lt;155.6,'4 SUP +'!$AB24,0))))</f>
        <v>0</v>
      </c>
      <c r="BK303" s="777" t="b">
        <f>IF('4 SUP +'!$A24&gt;45.4,IF('4 SUP +'!$A24&lt;61.6,IF('4 SUP +'!$C24&gt;155.5,IF('4 SUP +'!$C24&lt;163.1,'4 SUP +'!$AB24,0))))</f>
        <v>0</v>
      </c>
      <c r="BL303" s="777" t="b">
        <f>IF('4 SUP +'!$A24&gt;45.4,IF('4 SUP +'!$A24&lt;61.6,IF('4 SUP +'!$C24&gt;163,IF('4 SUP +'!$C24&lt;180.6,'4 SUP +'!$AB24,0))))</f>
        <v>0</v>
      </c>
      <c r="BM303" s="777" t="b">
        <f>IF('4 SUP +'!$A24&gt;45.4,IF('4 SUP +'!$A24&lt;61.6,IF('4 SUP +'!$C24&gt;180.5,IF('4 SUP +'!$C24&lt;240.1,'4 SUP +'!$AB24,0))))</f>
        <v>0</v>
      </c>
      <c r="BO303" s="869" t="s">
        <v>531</v>
      </c>
      <c r="BQ303" s="870">
        <f>+$BD$338+$CI$338*2</f>
        <v>0</v>
      </c>
      <c r="BS303" s="869"/>
      <c r="BT303" s="870">
        <f>+$BD$339+$CI$339*2</f>
        <v>0</v>
      </c>
      <c r="BV303" s="777" t="b">
        <f>IF('4 SUP +'!$A24&gt;61.5,IF('4 SUP +'!$A24&lt;71.6,IF('4 SUP +'!$C24&gt;10,IF('4 SUP +'!$C24&lt;57.6,'4 SUP +'!$AB24,0))))</f>
        <v>0</v>
      </c>
      <c r="BW303" s="777" t="b">
        <f>IF('4 SUP +'!$A24&gt;61.5,IF('4 SUP +'!$A24&lt;71.6,IF('4 SUP +'!$C24&gt;57.6,IF('4 SUP +'!$C24&lt;71.6,'4 SUP +'!$AB24,0))))</f>
        <v>0</v>
      </c>
      <c r="BX303" s="777" t="b">
        <f>IF('4 SUP +'!$A24&gt;61.5,IF('4 SUP +'!$A24&lt;71.6,IF('4 SUP +'!$C24&gt;71.5,IF('4 SUP +'!$C24&lt;85.6,'4 SUP +'!$AB24,0))))</f>
        <v>0</v>
      </c>
      <c r="BY303" s="777" t="b">
        <f>IF('4 SUP +'!$A24&gt;61.5,IF('4 SUP +'!$A24&lt;71.6,IF('4 SUP +'!$C24&gt;85.5,IF('4 SUP +'!$C24&lt;113.6,'4 SUP +'!$AB24,0))))</f>
        <v>0</v>
      </c>
      <c r="BZ303" s="777" t="b">
        <f>IF('4 SUP +'!$A24&gt;61.5,IF('4 SUP +'!$A24&lt;71.6,IF('4 SUP +'!$C24&gt;113.5,IF('4 SUP +'!$C24&lt;141.6,'4 SUP +'!$AB24,0))))</f>
        <v>0</v>
      </c>
      <c r="CA303" s="777" t="b">
        <f>IF('4 SUP +'!$A24&gt;61.5,IF('4 SUP +'!$A24&lt;71.6,IF('4 SUP +'!$C24&gt;141.5,IF('4 SUP +'!$C24&lt;149.1,'4 SUP +'!$AB24,0))))</f>
        <v>0</v>
      </c>
      <c r="CB303" s="777" t="b">
        <f>IF('4 SUP +'!$A24&gt;61.5,IF('4 SUP +'!$A24&lt;71.6,IF('4 SUP +'!$C24&gt;149,IF('4 SUP +'!$C24&lt;163.1,'4 SUP +'!$AB24,0))))</f>
        <v>0</v>
      </c>
      <c r="CC303" s="777" t="b">
        <f>IF('4 SUP +'!$A24&gt;61.5,IF('4 SUP +'!$A24&lt;71.6,IF('4 SUP +'!$C24&gt;163,IF('4 SUP +'!$C24&lt;180.6,'4 SUP +'!$AB24,0))))</f>
        <v>0</v>
      </c>
      <c r="CD303" s="777" t="b">
        <f>IF('4 SUP +'!$A24&gt;61.5,IF('4 SUP +'!$A24&lt;71.6,IF('4 SUP +'!$C24&gt;180.5,IF('4 SUP +'!$C24&lt;240.1,'4 SUP +'!$AB24,0))))</f>
        <v>0</v>
      </c>
      <c r="CF303" s="777" t="b">
        <f>IF('4 SUP +'!$A24&gt;71.5,IF('4 SUP +'!$A24&lt;120.6,IF('4 SUP +'!$C24&gt;10,IF('4 SUP +'!$C24&lt;57.6,'4 SUP +'!$AB24,0))))</f>
        <v>0</v>
      </c>
      <c r="CG303" s="777" t="b">
        <f>IF('4 SUP +'!$A24&gt;71.5,IF('4 SUP +'!$A24&lt;120.6,IF('4 SUP +'!$C24&gt;57.6,IF('4 SUP +'!$C24&lt;71.6,'4 SUP +'!$AB24,0))))</f>
        <v>0</v>
      </c>
      <c r="CH303" s="777" t="b">
        <f>IF('4 SUP +'!$A24&gt;71.5,IF('4 SUP +'!$A24&lt;120.6,IF('4 SUP +'!$C24&gt;71.5,IF('4 SUP +'!$C24&lt;85.6,'4 SUP +'!$AB24,0))))</f>
        <v>0</v>
      </c>
      <c r="CI303" s="777" t="b">
        <f>IF('4 SUP +'!$A24&gt;71.5,IF('4 SUP +'!$A24&lt;120.6,IF('4 SUP +'!$C24&gt;85.5,IF('4 SUP +'!$C24&lt;113.6,'4 SUP +'!$AB24,0))))</f>
        <v>0</v>
      </c>
      <c r="CJ303" s="777" t="b">
        <f>IF('4 SUP +'!$A24&gt;71.5,IF('4 SUP +'!$A24&lt;120.6,IF('4 SUP +'!$C24&gt;113.5,IF('4 SUP +'!$C24&lt;141.6,'4 SUP +'!$AB24,0))))</f>
        <v>0</v>
      </c>
      <c r="CK303" s="777" t="b">
        <f>IF('4 SUP +'!$A24&gt;71.5,IF('4 SUP +'!$A24&lt;120.6,IF('4 SUP +'!$C24&gt;141.5,IF('4 SUP +'!$C24&lt;180.6,'4 SUP +'!$AB24,0))))</f>
        <v>0</v>
      </c>
      <c r="CL303" s="777" t="b">
        <f>IF('4 SUP +'!$A24&gt;71.5,IF('4 SUP +'!$A24&lt;120.6,IF('4 SUP +'!$C24&gt;180.5,IF('4 SUP +'!$C24&lt;240.1,'4 SUP +'!$AB24,0))))</f>
        <v>0</v>
      </c>
      <c r="CN303" s="777">
        <f>IF('4 SUP +'!$C24&lt;150,IF(OR('4 SUP +'!$A24="MICRODER",'4 SUP +'!$A24="MICRO DER",),'4 SUP +'!$AB24,0))</f>
        <v>0</v>
      </c>
      <c r="CO303" s="777" t="b">
        <f>IF('4 SUP +'!$C24&gt;149.5,IF(OR('4 SUP +'!$A24="MICRODER",'4 SUP +'!$A24="MICRO DER",),'4 SUP +'!$AB24,0))</f>
        <v>0</v>
      </c>
      <c r="CP303" s="847"/>
      <c r="CQ303" s="777">
        <f>IF('4 SUP +'!$C24&lt;150,IF(OR('4 SUP +'!$A24="MICROIZQ",'4 SUP +'!$A24="MICRO IZQ",),'4 SUP +'!$AB24,0))</f>
        <v>0</v>
      </c>
      <c r="CR303" s="777" t="b">
        <f>IF('4 SUP +'!$C24&gt;149.5,IF(OR('4 SUP +'!$A24="MICROIZQ",'4 SUP +'!$A24="MICRO IZQ",),'4 SUP +'!$AB24,0))</f>
        <v>0</v>
      </c>
      <c r="CT303" s="837">
        <f>IF(OR('4 SUP +'!$A24="MICRO SEN",'4 SUP +'!$A24="MICROSEN",),'4 SUP +'!$AB24,0)</f>
        <v>0</v>
      </c>
      <c r="CV303" s="837" t="b">
        <f>IF('4 SUP +'!$A24="DIAMETRO",IF('4 SUP +'!$C24&lt;121.1,'4 SUP +'!$AB24,0))</f>
        <v>0</v>
      </c>
      <c r="CX303" s="858"/>
      <c r="CZ303" s="837" t="b">
        <f>IF('4 SUP +'!$A24="MOSTRADOR",IF('4 SUP +'!$C24="R60",'4 SUP +'!$AB24,0))</f>
        <v>0</v>
      </c>
      <c r="DB303" s="837">
        <f>IF(OR('4 SUP +'!$A24="PORTA PRIN",'4 SUP +'!$A24="PORTAPRIN",),'4 SUP +'!$AB24,0)</f>
        <v>0</v>
      </c>
      <c r="DD303" s="837">
        <f>IF(OR('4 SUP +'!$A24="PORTA BADE",'4 SUP +'!$A24="PORTABADE",),'4 SUP +'!$AB24,0)</f>
        <v>0</v>
      </c>
      <c r="DE303" s="837"/>
      <c r="DF303" s="837">
        <f>IF(OR('4 SUP +'!$A24="RETORNO IZQ",'4 SUP +'!$A24="RETORNO DER",),'4 SUP +'!$AB212,0)</f>
        <v>0</v>
      </c>
      <c r="DG303" s="837"/>
      <c r="DH303" s="837">
        <f>IF(OR('4 SUP +'!$A24="PITO Q",'4 SUP +'!$A24="PITO P",'4 SUP +'!$A24="DIAMETRO INTEGRADA",),'4 SUP +'!$AB24,0)</f>
        <v>0</v>
      </c>
      <c r="DJ303" s="858"/>
      <c r="DK303" s="837"/>
      <c r="DL303" s="837">
        <f>IF('4 SUP +'!$A24="SUPERFICIE OVAL",'4 SUP +'!$AB24,0)</f>
        <v>0</v>
      </c>
      <c r="DN303" s="838"/>
      <c r="EG303" s="682">
        <f>IF('4 SUP +'!A22="MICRO DER",85,IF('4 SUP +'!A22="MICRO IZQ",85,IF('4 SUP +'!A22="MICRO SEN",170,IF('4 SUP +'!A22="DIAMETRO",3.14*'4 SUP +'!C22/2,IF('4 SUP +'!A22="MOSTRADOR",136,IF('4 SUP +'!A22="PORTA",65,IF('4 SUP +'!A22="PITO Q",90,IF('4 SUP +'!A22="PITO P",90,'4 SUP +'!A22))))))))</f>
        <v>0</v>
      </c>
      <c r="EH303" s="682"/>
      <c r="EI303" s="682">
        <f>IF('4 SUP +'!A22="DIAMETRO",0,IF('4 SUP +'!C22="PRINCIPAL",160,IF('4 SUP +'!C22="BADE",190,IF('4 SUP +'!C22="RETORNO",100,IF('4 SUP +'!C22="R 60",100,IF('4 SUP +'!C22="R60",100,'4 SUP +'!C22))))))</f>
        <v>0</v>
      </c>
      <c r="EJ303" s="682"/>
      <c r="EK303" s="682">
        <f>IF('4 SUP +'!$F22='4 SUP +'!$AG$15,((EG303*2)+(EI303*2))*'4 SUP +'!AB22,0)</f>
        <v>0</v>
      </c>
      <c r="EL303" s="682"/>
      <c r="EM303" s="682">
        <f>IF('4 SUP +'!$F22='4 SUP +'!$AG$16,((EG303*2)+(EI303*2))*'4 SUP +'!AB22,0)</f>
        <v>0</v>
      </c>
      <c r="EO303" s="682">
        <f>IF('4 SUP +'!$F22='4 SUP +'!$AG$17,((EG303*2)+(EI303*2))*'4 SUP +'!AB22,0)</f>
        <v>0</v>
      </c>
      <c r="EP303" s="838"/>
      <c r="EQ303" s="682">
        <f>IF('4 SUP +'!$F22='4 SUP +'!$AG$18,((EG303*2)+(EI303*2))*'4 SUP +'!AB22,0)</f>
        <v>0</v>
      </c>
      <c r="EW303" s="847"/>
      <c r="EX303" s="847"/>
      <c r="EY303" s="847"/>
      <c r="EZ303" s="847"/>
      <c r="FA303" s="847"/>
      <c r="FB303" s="847"/>
      <c r="HF303" s="700">
        <v>60.5</v>
      </c>
      <c r="HH303" s="591">
        <v>60.5</v>
      </c>
    </row>
    <row r="304" spans="37:216" ht="26.25" x14ac:dyDescent="0.4">
      <c r="AK304" s="777" t="b">
        <f>IF('4 SUP +'!$A25&gt;10,IF('4 SUP +'!$A25&lt;31.1,IF('4 SUP +'!$C25&gt;10,IF('4 SUP +'!$C25&lt;57.6,'4 SUP +'!$AB25,0))))</f>
        <v>0</v>
      </c>
      <c r="AL304" s="777" t="b">
        <f>IF('4 SUP +'!$A25&gt;10,IF('4 SUP +'!$A25&lt;31.1,IF('4 SUP +'!$C25&gt;57.6,IF('4 SUP +'!$C25&lt;71.6,'4 SUP +'!$AB25,0))))</f>
        <v>0</v>
      </c>
      <c r="AM304" s="777" t="b">
        <f>IF('4 SUP +'!$A25&gt;10,IF('4 SUP +'!$A25&lt;31.1,IF('4 SUP +'!$C25&gt;71.5,IF('4 SUP +'!$C25&lt;85.6,'4 SUP +'!$AB25,0))))</f>
        <v>0</v>
      </c>
      <c r="AN304" s="777" t="b">
        <f>IF('4 SUP +'!$A25&gt;10,IF('4 SUP +'!$A25&lt;31.1,IF('4 SUP +'!$C25&gt;85.5,IF('4 SUP +'!$C25&lt;113.6,'4 SUP +'!$AB25,0))))</f>
        <v>0</v>
      </c>
      <c r="AO304" s="777" t="b">
        <f>IF('4 SUP +'!$A25&gt;10,IF('4 SUP +'!$A25&lt;31.1,IF('4 SUP +'!$C25&gt;113.5,IF('4 SUP +'!$C25&lt;141.6,'4 SUP +'!$AB25,0))))</f>
        <v>0</v>
      </c>
      <c r="AP304" s="777" t="b">
        <f>IF('4 SUP +'!$A25&gt;10,IF('4 SUP +'!$A25&lt;31.1,IF('4 SUP +'!$C25&gt;141.5,IF('4 SUP +'!$C25&lt;180.6,'4 SUP +'!$AB25,0))))</f>
        <v>0</v>
      </c>
      <c r="AQ304" s="777" t="b">
        <f>IF('4 SUP +'!$A25&gt;10,IF('4 SUP +'!$A25&lt;31.1,IF('4 SUP +'!$C25&gt;180.5,IF('4 SUP +'!$C25&lt;240.1,'4 SUP +'!$AB25,0))))</f>
        <v>0</v>
      </c>
      <c r="AS304" s="777" t="b">
        <f>IF('4 SUP +'!$A25&gt;31,IF('4 SUP +'!$A25&lt;45.5,IF('4 SUP +'!$C25&gt;10,IF('4 SUP +'!$C25&lt;57.6,'4 SUP +'!$AB25,0))))</f>
        <v>0</v>
      </c>
      <c r="AT304" s="777" t="b">
        <f>IF('4 SUP +'!$A25&gt;31,IF('4 SUP +'!$A25&lt;45.5,IF('4 SUP +'!$C25&gt;57.6,IF('4 SUP +'!$C25&lt;71.6,'4 SUP +'!$AB25,0))))</f>
        <v>0</v>
      </c>
      <c r="AU304" s="777" t="b">
        <f>IF('4 SUP +'!$A25&gt;31,IF('4 SUP +'!$A25&lt;45.5,IF('4 SUP +'!$C25&gt;71.5,IF('4 SUP +'!$C25&lt;85.6,'4 SUP +'!$AB25,0))))</f>
        <v>0</v>
      </c>
      <c r="AV304" s="777" t="b">
        <f>IF('4 SUP +'!$A25&gt;31,IF('4 SUP +'!$A25&lt;45.5,IF('4 SUP +'!$C25&gt;85.5,IF('4 SUP +'!$C25&lt;113.6,'4 SUP +'!$AB25,0))))</f>
        <v>0</v>
      </c>
      <c r="AW304" s="777" t="b">
        <f>IF('4 SUP +'!$A25&gt;31,IF('4 SUP +'!$A25&lt;45.5,IF('4 SUP +'!$C25&gt;113.5,IF('4 SUP +'!$C25&lt;141.6,'4 SUP +'!$AB25,0))))</f>
        <v>0</v>
      </c>
      <c r="AX304" s="777" t="b">
        <f>IF('4 SUP +'!$A25&gt;31,IF('4 SUP +'!$A25&lt;45.5,IF('4 SUP +'!$C25&gt;141.5,IF('4 SUP +'!$C25&lt;180.6,'4 SUP +'!$AB25,0))))</f>
        <v>0</v>
      </c>
      <c r="AY304" s="777" t="b">
        <f>IF('4 SUP +'!$A25&gt;31,IF('4 SUP +'!$A25&lt;45.5,IF('4 SUP +'!$C25&gt;180.5,IF('4 SUP +'!$C25&lt;240.1,'4 SUP +'!$AB25,0))))</f>
        <v>0</v>
      </c>
      <c r="BA304" s="777" t="b">
        <f>IF('4 SUP +'!$A25&gt;45.4,IF('4 SUP +'!$A25&lt;61.6,IF('4 SUP +'!$C25&gt;10,IF('4 SUP +'!$C25&lt;61.5,'4 SUP +'!$AB25,0))))</f>
        <v>0</v>
      </c>
      <c r="BB304" s="777" t="b">
        <f>IF('4 SUP +'!$A25&gt;45.4,IF('4 SUP +'!$A25&lt;61.6,IF('4 SUP +'!$C25&gt;61.1,IF('4 SUP +'!$C25&lt;71.6,'4 SUP +'!$AB25,0))))</f>
        <v>0</v>
      </c>
      <c r="BC304" s="777" t="b">
        <f>IF('4 SUP +'!$A25&gt;45.4,IF('4 SUP +'!$A25&lt;61.6,IF('4 SUP +'!$C25&gt;71.5,IF('4 SUP +'!$C25&lt;85.6,'4 SUP +'!$AB25,0))))</f>
        <v>0</v>
      </c>
      <c r="BD304" s="777" t="b">
        <f>IF('4 SUP +'!$A25&gt;45.4,IF('4 SUP +'!$A25&lt;61.6,IF('4 SUP +'!$C25&gt;85.5,IF('4 SUP +'!$C25&lt;113.6,'4 SUP +'!$AB25,0))))</f>
        <v>0</v>
      </c>
      <c r="BE304" s="777" t="b">
        <f>IF('4 SUP +'!$A25&gt;45.4,IF('4 SUP +'!$A25&lt;61.6,IF('4 SUP +'!$C25&gt;113.5,IF('4 SUP +'!$C25&lt;121.6,'4 SUP +'!$AB25,0))))</f>
        <v>0</v>
      </c>
      <c r="BF304" s="777" t="b">
        <f>IF('4 SUP +'!$A25&gt;45.4,IF('4 SUP +'!$A25&lt;61.6,IF('4 SUP +'!$C25&gt;121.5,IF('4 SUP +'!$C25&lt;127.6,'4 SUP +'!$AB25,0))))</f>
        <v>0</v>
      </c>
      <c r="BG304" s="777" t="b">
        <f>IF('4 SUP +'!$A25&gt;45.4,IF('4 SUP +'!$A25&lt;61.6,IF('4 SUP +'!$C25&gt;127.5,IF('4 SUP +'!$C25&lt;135.1,'4 SUP +'!$AB25,0))))</f>
        <v>0</v>
      </c>
      <c r="BH304" s="777" t="b">
        <f>IF('4 SUP +'!$A25&gt;45.4,IF('4 SUP +'!$A25&lt;61.6,IF('4 SUP +'!$C25&gt;135,IF('4 SUP +'!$C25&lt;141.6,'4 SUP +'!$AB25,0))))</f>
        <v>0</v>
      </c>
      <c r="BI304" s="777" t="b">
        <f>IF('4 SUP +'!$A25&gt;45.4,IF('4 SUP +'!$A25&lt;61.6,IF('4 SUP +'!$C25&gt;141.5,IF('4 SUP +'!$C25&lt;149.1,'4 SUP +'!$AB25,0))))</f>
        <v>0</v>
      </c>
      <c r="BJ304" s="777" t="b">
        <f>IF('4 SUP +'!$A25&gt;45.4,IF('4 SUP +'!$A25&lt;61.6,IF('4 SUP +'!$C25&gt;149,IF('4 SUP +'!$C25&lt;155.6,'4 SUP +'!$AB25,0))))</f>
        <v>0</v>
      </c>
      <c r="BK304" s="777" t="b">
        <f>IF('4 SUP +'!$A25&gt;45.4,IF('4 SUP +'!$A25&lt;61.6,IF('4 SUP +'!$C25&gt;155.5,IF('4 SUP +'!$C25&lt;163.1,'4 SUP +'!$AB25,0))))</f>
        <v>0</v>
      </c>
      <c r="BL304" s="777" t="b">
        <f>IF('4 SUP +'!$A25&gt;45.4,IF('4 SUP +'!$A25&lt;61.6,IF('4 SUP +'!$C25&gt;163,IF('4 SUP +'!$C25&lt;180.6,'4 SUP +'!$AB25,0))))</f>
        <v>0</v>
      </c>
      <c r="BM304" s="777" t="b">
        <f>IF('4 SUP +'!$A25&gt;45.4,IF('4 SUP +'!$A25&lt;61.6,IF('4 SUP +'!$C25&gt;180.5,IF('4 SUP +'!$C25&lt;240.1,'4 SUP +'!$AB25,0))))</f>
        <v>0</v>
      </c>
      <c r="BO304" s="869" t="s">
        <v>533</v>
      </c>
      <c r="BQ304" s="870">
        <f>+$BE$338+$CF$338*2</f>
        <v>0</v>
      </c>
      <c r="BS304" s="869"/>
      <c r="BT304" s="870">
        <f>+$BE$339+$CF$339*2</f>
        <v>0</v>
      </c>
      <c r="BV304" s="777" t="b">
        <f>IF('4 SUP +'!$A25&gt;61.5,IF('4 SUP +'!$A25&lt;71.6,IF('4 SUP +'!$C25&gt;10,IF('4 SUP +'!$C25&lt;57.6,'4 SUP +'!$AB25,0))))</f>
        <v>0</v>
      </c>
      <c r="BW304" s="777" t="b">
        <f>IF('4 SUP +'!$A25&gt;61.5,IF('4 SUP +'!$A25&lt;71.6,IF('4 SUP +'!$C25&gt;57.6,IF('4 SUP +'!$C25&lt;71.6,'4 SUP +'!$AB25,0))))</f>
        <v>0</v>
      </c>
      <c r="BX304" s="777" t="b">
        <f>IF('4 SUP +'!$A25&gt;61.5,IF('4 SUP +'!$A25&lt;71.6,IF('4 SUP +'!$C25&gt;71.5,IF('4 SUP +'!$C25&lt;85.6,'4 SUP +'!$AB25,0))))</f>
        <v>0</v>
      </c>
      <c r="BY304" s="777" t="b">
        <f>IF('4 SUP +'!$A25&gt;61.5,IF('4 SUP +'!$A25&lt;71.6,IF('4 SUP +'!$C25&gt;85.5,IF('4 SUP +'!$C25&lt;113.6,'4 SUP +'!$AB25,0))))</f>
        <v>0</v>
      </c>
      <c r="BZ304" s="777" t="b">
        <f>IF('4 SUP +'!$A25&gt;61.5,IF('4 SUP +'!$A25&lt;71.6,IF('4 SUP +'!$C25&gt;113.5,IF('4 SUP +'!$C25&lt;141.6,'4 SUP +'!$AB25,0))))</f>
        <v>0</v>
      </c>
      <c r="CA304" s="777" t="b">
        <f>IF('4 SUP +'!$A25&gt;61.5,IF('4 SUP +'!$A25&lt;71.6,IF('4 SUP +'!$C25&gt;141.5,IF('4 SUP +'!$C25&lt;149.1,'4 SUP +'!$AB25,0))))</f>
        <v>0</v>
      </c>
      <c r="CB304" s="777" t="b">
        <f>IF('4 SUP +'!$A25&gt;61.5,IF('4 SUP +'!$A25&lt;71.6,IF('4 SUP +'!$C25&gt;149,IF('4 SUP +'!$C25&lt;163.1,'4 SUP +'!$AB25,0))))</f>
        <v>0</v>
      </c>
      <c r="CC304" s="777" t="b">
        <f>IF('4 SUP +'!$A25&gt;61.5,IF('4 SUP +'!$A25&lt;71.6,IF('4 SUP +'!$C25&gt;163,IF('4 SUP +'!$C25&lt;180.6,'4 SUP +'!$AB25,0))))</f>
        <v>0</v>
      </c>
      <c r="CD304" s="777" t="b">
        <f>IF('4 SUP +'!$A25&gt;61.5,IF('4 SUP +'!$A25&lt;71.6,IF('4 SUP +'!$C25&gt;180.5,IF('4 SUP +'!$C25&lt;240.1,'4 SUP +'!$AB25,0))))</f>
        <v>0</v>
      </c>
      <c r="CF304" s="777" t="b">
        <f>IF('4 SUP +'!$A25&gt;71.5,IF('4 SUP +'!$A25&lt;120.6,IF('4 SUP +'!$C25&gt;10,IF('4 SUP +'!$C25&lt;57.6,'4 SUP +'!$AB25,0))))</f>
        <v>0</v>
      </c>
      <c r="CG304" s="777" t="b">
        <f>IF('4 SUP +'!$A25&gt;71.5,IF('4 SUP +'!$A25&lt;120.6,IF('4 SUP +'!$C25&gt;57.6,IF('4 SUP +'!$C25&lt;71.6,'4 SUP +'!$AB25,0))))</f>
        <v>0</v>
      </c>
      <c r="CH304" s="777" t="b">
        <f>IF('4 SUP +'!$A25&gt;71.5,IF('4 SUP +'!$A25&lt;120.6,IF('4 SUP +'!$C25&gt;71.5,IF('4 SUP +'!$C25&lt;85.6,'4 SUP +'!$AB25,0))))</f>
        <v>0</v>
      </c>
      <c r="CI304" s="777" t="b">
        <f>IF('4 SUP +'!$A25&gt;71.5,IF('4 SUP +'!$A25&lt;120.6,IF('4 SUP +'!$C25&gt;85.5,IF('4 SUP +'!$C25&lt;113.6,'4 SUP +'!$AB25,0))))</f>
        <v>0</v>
      </c>
      <c r="CJ304" s="777" t="b">
        <f>IF('4 SUP +'!$A25&gt;71.5,IF('4 SUP +'!$A25&lt;120.6,IF('4 SUP +'!$C25&gt;113.5,IF('4 SUP +'!$C25&lt;141.6,'4 SUP +'!$AB25,0))))</f>
        <v>0</v>
      </c>
      <c r="CK304" s="777" t="b">
        <f>IF('4 SUP +'!$A25&gt;71.5,IF('4 SUP +'!$A25&lt;120.6,IF('4 SUP +'!$C25&gt;141.5,IF('4 SUP +'!$C25&lt;180.6,'4 SUP +'!$AB25,0))))</f>
        <v>0</v>
      </c>
      <c r="CL304" s="777" t="b">
        <f>IF('4 SUP +'!$A25&gt;71.5,IF('4 SUP +'!$A25&lt;120.6,IF('4 SUP +'!$C25&gt;180.5,IF('4 SUP +'!$C25&lt;240.1,'4 SUP +'!$AB25,0))))</f>
        <v>0</v>
      </c>
      <c r="CN304" s="777">
        <f>IF('4 SUP +'!$C25&lt;150,IF(OR('4 SUP +'!$A25="MICRODER",'4 SUP +'!$A25="MICRO DER",),'4 SUP +'!$AB25,0))</f>
        <v>0</v>
      </c>
      <c r="CO304" s="777" t="b">
        <f>IF('4 SUP +'!$C25&gt;149.5,IF(OR('4 SUP +'!$A25="MICRODER",'4 SUP +'!$A25="MICRO DER",),'4 SUP +'!$AB25,0))</f>
        <v>0</v>
      </c>
      <c r="CP304" s="847"/>
      <c r="CQ304" s="777">
        <f>IF('4 SUP +'!$C25&lt;150,IF(OR('4 SUP +'!$A25="MICROIZQ",'4 SUP +'!$A25="MICRO IZQ",),'4 SUP +'!$AB25,0))</f>
        <v>0</v>
      </c>
      <c r="CR304" s="777" t="b">
        <f>IF('4 SUP +'!$C25&gt;149.5,IF(OR('4 SUP +'!$A25="MICROIZQ",'4 SUP +'!$A25="MICRO IZQ",),'4 SUP +'!$AB25,0))</f>
        <v>0</v>
      </c>
      <c r="CT304" s="837">
        <f>IF(OR('4 SUP +'!$A25="MICRO SEN",'4 SUP +'!$A25="MICROSEN",),'4 SUP +'!$AB25,0)</f>
        <v>0</v>
      </c>
      <c r="CV304" s="837" t="b">
        <f>IF('4 SUP +'!$A25="DIAMETRO",IF('4 SUP +'!$C25&lt;121.1,'4 SUP +'!$AB25,0))</f>
        <v>0</v>
      </c>
      <c r="CX304" s="858"/>
      <c r="CZ304" s="837" t="b">
        <f>IF('4 SUP +'!$A25="MOSTRADOR",IF('4 SUP +'!$C25="R60",'4 SUP +'!$AB25,0))</f>
        <v>0</v>
      </c>
      <c r="DB304" s="837">
        <f>IF(OR('4 SUP +'!$A25="PORTA PRIN",'4 SUP +'!$A25="PORTAPRIN",),'4 SUP +'!$AB25,0)</f>
        <v>0</v>
      </c>
      <c r="DD304" s="837">
        <f>IF(OR('4 SUP +'!$A25="PORTA BADE",'4 SUP +'!$A25="PORTABADE",),'4 SUP +'!$AB25,0)</f>
        <v>0</v>
      </c>
      <c r="DE304" s="837"/>
      <c r="DF304" s="837">
        <f>IF(OR('4 SUP +'!$A25="RETORNO IZQ",'4 SUP +'!$A25="RETORNO DER",),'4 SUP +'!$AB213,0)</f>
        <v>0</v>
      </c>
      <c r="DG304" s="837"/>
      <c r="DH304" s="837">
        <f>IF(OR('4 SUP +'!$A25="PITO Q",'4 SUP +'!$A25="PITO P",'4 SUP +'!$A25="DIAMETRO INTEGRADA",),'4 SUP +'!$AB25,0)</f>
        <v>0</v>
      </c>
      <c r="DJ304" s="858"/>
      <c r="DK304" s="837"/>
      <c r="DL304" s="837">
        <f>IF('4 SUP +'!$A25="SUPERFICIE OVAL",'4 SUP +'!$AB25,0)</f>
        <v>0</v>
      </c>
      <c r="DN304" s="838"/>
      <c r="EG304" s="682">
        <f>IF('4 SUP +'!A23="MICRO DER",85,IF('4 SUP +'!A23="MICRO IZQ",85,IF('4 SUP +'!A23="MICRO SEN",170,IF('4 SUP +'!A23="DIAMETRO",3.14*'4 SUP +'!C23/2,IF('4 SUP +'!A23="MOSTRADOR",136,IF('4 SUP +'!A23="PORTA",65,IF('4 SUP +'!A23="PITO Q",90,IF('4 SUP +'!A23="PITO P",90,'4 SUP +'!A23))))))))</f>
        <v>0</v>
      </c>
      <c r="EH304" s="682"/>
      <c r="EI304" s="682">
        <f>IF('4 SUP +'!A23="DIAMETRO",0,IF('4 SUP +'!C23="PRINCIPAL",160,IF('4 SUP +'!C23="BADE",190,IF('4 SUP +'!C23="RETORNO",100,IF('4 SUP +'!C23="R 60",100,IF('4 SUP +'!C23="R60",100,'4 SUP +'!C23))))))</f>
        <v>0</v>
      </c>
      <c r="EJ304" s="682"/>
      <c r="EK304" s="682">
        <f>IF('4 SUP +'!$F23='4 SUP +'!$AG$15,((EG304*2)+(EI304*2))*'4 SUP +'!AB23,0)</f>
        <v>0</v>
      </c>
      <c r="EL304" s="682"/>
      <c r="EM304" s="682">
        <f>IF('4 SUP +'!$F23='4 SUP +'!$AG$16,((EG304*2)+(EI304*2))*'4 SUP +'!AB23,0)</f>
        <v>0</v>
      </c>
      <c r="EO304" s="682">
        <f>IF('4 SUP +'!$F23='4 SUP +'!$AG$17,((EG304*2)+(EI304*2))*'4 SUP +'!AB23,0)</f>
        <v>0</v>
      </c>
      <c r="EP304" s="838"/>
      <c r="EQ304" s="682">
        <f>IF('4 SUP +'!$F23='4 SUP +'!$AG$18,((EG304*2)+(EI304*2))*'4 SUP +'!AB23,0)</f>
        <v>0</v>
      </c>
      <c r="EW304" s="847"/>
      <c r="EX304" s="847"/>
      <c r="EY304" s="847"/>
      <c r="EZ304" s="847"/>
      <c r="FA304" s="847"/>
      <c r="FB304" s="847"/>
      <c r="HF304" s="700">
        <v>61</v>
      </c>
      <c r="HH304" s="591">
        <v>61</v>
      </c>
    </row>
    <row r="305" spans="37:216" ht="26.25" x14ac:dyDescent="0.4">
      <c r="AK305" s="777" t="b">
        <f>IF('4 SUP +'!$A26&gt;10,IF('4 SUP +'!$A26&lt;31.1,IF('4 SUP +'!$C26&gt;10,IF('4 SUP +'!$C26&lt;57.6,'4 SUP +'!$AB26,0))))</f>
        <v>0</v>
      </c>
      <c r="AL305" s="777" t="b">
        <f>IF('4 SUP +'!$A26&gt;10,IF('4 SUP +'!$A26&lt;31.1,IF('4 SUP +'!$C26&gt;57.6,IF('4 SUP +'!$C26&lt;71.6,'4 SUP +'!$AB26,0))))</f>
        <v>0</v>
      </c>
      <c r="AM305" s="777" t="b">
        <f>IF('4 SUP +'!$A26&gt;10,IF('4 SUP +'!$A26&lt;31.1,IF('4 SUP +'!$C26&gt;71.5,IF('4 SUP +'!$C26&lt;85.6,'4 SUP +'!$AB26,0))))</f>
        <v>0</v>
      </c>
      <c r="AN305" s="777" t="b">
        <f>IF('4 SUP +'!$A26&gt;10,IF('4 SUP +'!$A26&lt;31.1,IF('4 SUP +'!$C26&gt;85.5,IF('4 SUP +'!$C26&lt;113.6,'4 SUP +'!$AB26,0))))</f>
        <v>0</v>
      </c>
      <c r="AO305" s="777" t="b">
        <f>IF('4 SUP +'!$A26&gt;10,IF('4 SUP +'!$A26&lt;31.1,IF('4 SUP +'!$C26&gt;113.5,IF('4 SUP +'!$C26&lt;141.6,'4 SUP +'!$AB26,0))))</f>
        <v>0</v>
      </c>
      <c r="AP305" s="777" t="b">
        <f>IF('4 SUP +'!$A26&gt;10,IF('4 SUP +'!$A26&lt;31.1,IF('4 SUP +'!$C26&gt;141.5,IF('4 SUP +'!$C26&lt;180.6,'4 SUP +'!$AB26,0))))</f>
        <v>0</v>
      </c>
      <c r="AQ305" s="777" t="b">
        <f>IF('4 SUP +'!$A26&gt;10,IF('4 SUP +'!$A26&lt;31.1,IF('4 SUP +'!$C26&gt;180.5,IF('4 SUP +'!$C26&lt;240.1,'4 SUP +'!$AB26,0))))</f>
        <v>0</v>
      </c>
      <c r="AS305" s="777" t="b">
        <f>IF('4 SUP +'!$A26&gt;31,IF('4 SUP +'!$A26&lt;45.5,IF('4 SUP +'!$C26&gt;10,IF('4 SUP +'!$C26&lt;57.6,'4 SUP +'!$AB26,0))))</f>
        <v>0</v>
      </c>
      <c r="AT305" s="777" t="b">
        <f>IF('4 SUP +'!$A26&gt;31,IF('4 SUP +'!$A26&lt;45.5,IF('4 SUP +'!$C26&gt;57.6,IF('4 SUP +'!$C26&lt;71.6,'4 SUP +'!$AB26,0))))</f>
        <v>0</v>
      </c>
      <c r="AU305" s="777" t="b">
        <f>IF('4 SUP +'!$A26&gt;31,IF('4 SUP +'!$A26&lt;45.5,IF('4 SUP +'!$C26&gt;71.5,IF('4 SUP +'!$C26&lt;85.6,'4 SUP +'!$AB26,0))))</f>
        <v>0</v>
      </c>
      <c r="AV305" s="777" t="b">
        <f>IF('4 SUP +'!$A26&gt;31,IF('4 SUP +'!$A26&lt;45.5,IF('4 SUP +'!$C26&gt;85.5,IF('4 SUP +'!$C26&lt;113.6,'4 SUP +'!$AB26,0))))</f>
        <v>0</v>
      </c>
      <c r="AW305" s="777" t="b">
        <f>IF('4 SUP +'!$A26&gt;31,IF('4 SUP +'!$A26&lt;45.5,IF('4 SUP +'!$C26&gt;113.5,IF('4 SUP +'!$C26&lt;141.6,'4 SUP +'!$AB26,0))))</f>
        <v>0</v>
      </c>
      <c r="AX305" s="777" t="b">
        <f>IF('4 SUP +'!$A26&gt;31,IF('4 SUP +'!$A26&lt;45.5,IF('4 SUP +'!$C26&gt;141.5,IF('4 SUP +'!$C26&lt;180.6,'4 SUP +'!$AB26,0))))</f>
        <v>0</v>
      </c>
      <c r="AY305" s="777" t="b">
        <f>IF('4 SUP +'!$A26&gt;31,IF('4 SUP +'!$A26&lt;45.5,IF('4 SUP +'!$C26&gt;180.5,IF('4 SUP +'!$C26&lt;240.1,'4 SUP +'!$AB26,0))))</f>
        <v>0</v>
      </c>
      <c r="BA305" s="777" t="b">
        <f>IF('4 SUP +'!$A26&gt;45.4,IF('4 SUP +'!$A26&lt;61.6,IF('4 SUP +'!$C26&gt;10,IF('4 SUP +'!$C26&lt;61.5,'4 SUP +'!$AB26,0))))</f>
        <v>0</v>
      </c>
      <c r="BB305" s="777" t="b">
        <f>IF('4 SUP +'!$A26&gt;45.4,IF('4 SUP +'!$A26&lt;61.6,IF('4 SUP +'!$C26&gt;61.1,IF('4 SUP +'!$C26&lt;71.6,'4 SUP +'!$AB26,0))))</f>
        <v>0</v>
      </c>
      <c r="BC305" s="777" t="b">
        <f>IF('4 SUP +'!$A26&gt;45.4,IF('4 SUP +'!$A26&lt;61.6,IF('4 SUP +'!$C26&gt;71.5,IF('4 SUP +'!$C26&lt;85.6,'4 SUP +'!$AB26,0))))</f>
        <v>0</v>
      </c>
      <c r="BD305" s="777" t="b">
        <f>IF('4 SUP +'!$A26&gt;45.4,IF('4 SUP +'!$A26&lt;61.6,IF('4 SUP +'!$C26&gt;85.5,IF('4 SUP +'!$C26&lt;113.6,'4 SUP +'!$AB26,0))))</f>
        <v>0</v>
      </c>
      <c r="BE305" s="777" t="b">
        <f>IF('4 SUP +'!$A26&gt;45.4,IF('4 SUP +'!$A26&lt;61.6,IF('4 SUP +'!$C26&gt;113.5,IF('4 SUP +'!$C26&lt;121.6,'4 SUP +'!$AB26,0))))</f>
        <v>0</v>
      </c>
      <c r="BF305" s="777" t="b">
        <f>IF('4 SUP +'!$A26&gt;45.4,IF('4 SUP +'!$A26&lt;61.6,IF('4 SUP +'!$C26&gt;121.5,IF('4 SUP +'!$C26&lt;127.6,'4 SUP +'!$AB26,0))))</f>
        <v>0</v>
      </c>
      <c r="BG305" s="777" t="b">
        <f>IF('4 SUP +'!$A26&gt;45.4,IF('4 SUP +'!$A26&lt;61.6,IF('4 SUP +'!$C26&gt;127.5,IF('4 SUP +'!$C26&lt;135.1,'4 SUP +'!$AB26,0))))</f>
        <v>0</v>
      </c>
      <c r="BH305" s="777" t="b">
        <f>IF('4 SUP +'!$A26&gt;45.4,IF('4 SUP +'!$A26&lt;61.6,IF('4 SUP +'!$C26&gt;135,IF('4 SUP +'!$C26&lt;141.6,'4 SUP +'!$AB26,0))))</f>
        <v>0</v>
      </c>
      <c r="BI305" s="777" t="b">
        <f>IF('4 SUP +'!$A26&gt;45.4,IF('4 SUP +'!$A26&lt;61.6,IF('4 SUP +'!$C26&gt;141.5,IF('4 SUP +'!$C26&lt;149.1,'4 SUP +'!$AB26,0))))</f>
        <v>0</v>
      </c>
      <c r="BJ305" s="777" t="b">
        <f>IF('4 SUP +'!$A26&gt;45.4,IF('4 SUP +'!$A26&lt;61.6,IF('4 SUP +'!$C26&gt;149,IF('4 SUP +'!$C26&lt;155.6,'4 SUP +'!$AB26,0))))</f>
        <v>0</v>
      </c>
      <c r="BK305" s="777" t="b">
        <f>IF('4 SUP +'!$A26&gt;45.4,IF('4 SUP +'!$A26&lt;61.6,IF('4 SUP +'!$C26&gt;155.5,IF('4 SUP +'!$C26&lt;163.1,'4 SUP +'!$AB26,0))))</f>
        <v>0</v>
      </c>
      <c r="BL305" s="777" t="b">
        <f>IF('4 SUP +'!$A26&gt;45.4,IF('4 SUP +'!$A26&lt;61.6,IF('4 SUP +'!$C26&gt;163,IF('4 SUP +'!$C26&lt;180.6,'4 SUP +'!$AB26,0))))</f>
        <v>0</v>
      </c>
      <c r="BM305" s="777" t="b">
        <f>IF('4 SUP +'!$A26&gt;45.4,IF('4 SUP +'!$A26&lt;61.6,IF('4 SUP +'!$C26&gt;180.5,IF('4 SUP +'!$C26&lt;240.1,'4 SUP +'!$AB26,0))))</f>
        <v>0</v>
      </c>
      <c r="BO305" s="869" t="s">
        <v>535</v>
      </c>
      <c r="BQ305" s="870">
        <f>+$BF$338</f>
        <v>0</v>
      </c>
      <c r="BS305" s="869"/>
      <c r="BT305" s="870">
        <f>+$BF$339</f>
        <v>0</v>
      </c>
      <c r="BV305" s="777" t="b">
        <f>IF('4 SUP +'!$A26&gt;61.5,IF('4 SUP +'!$A26&lt;71.6,IF('4 SUP +'!$C26&gt;10,IF('4 SUP +'!$C26&lt;57.6,'4 SUP +'!$AB26,0))))</f>
        <v>0</v>
      </c>
      <c r="BW305" s="777" t="b">
        <f>IF('4 SUP +'!$A26&gt;61.5,IF('4 SUP +'!$A26&lt;71.6,IF('4 SUP +'!$C26&gt;57.6,IF('4 SUP +'!$C26&lt;71.6,'4 SUP +'!$AB26,0))))</f>
        <v>0</v>
      </c>
      <c r="BX305" s="777" t="b">
        <f>IF('4 SUP +'!$A26&gt;61.5,IF('4 SUP +'!$A26&lt;71.6,IF('4 SUP +'!$C26&gt;71.5,IF('4 SUP +'!$C26&lt;85.6,'4 SUP +'!$AB26,0))))</f>
        <v>0</v>
      </c>
      <c r="BY305" s="777" t="b">
        <f>IF('4 SUP +'!$A26&gt;61.5,IF('4 SUP +'!$A26&lt;71.6,IF('4 SUP +'!$C26&gt;85.5,IF('4 SUP +'!$C26&lt;113.6,'4 SUP +'!$AB26,0))))</f>
        <v>0</v>
      </c>
      <c r="BZ305" s="777" t="b">
        <f>IF('4 SUP +'!$A26&gt;61.5,IF('4 SUP +'!$A26&lt;71.6,IF('4 SUP +'!$C26&gt;113.5,IF('4 SUP +'!$C26&lt;141.6,'4 SUP +'!$AB26,0))))</f>
        <v>0</v>
      </c>
      <c r="CA305" s="777" t="b">
        <f>IF('4 SUP +'!$A26&gt;61.5,IF('4 SUP +'!$A26&lt;71.6,IF('4 SUP +'!$C26&gt;141.5,IF('4 SUP +'!$C26&lt;149.1,'4 SUP +'!$AB26,0))))</f>
        <v>0</v>
      </c>
      <c r="CB305" s="777" t="b">
        <f>IF('4 SUP +'!$A26&gt;61.5,IF('4 SUP +'!$A26&lt;71.6,IF('4 SUP +'!$C26&gt;149,IF('4 SUP +'!$C26&lt;163.1,'4 SUP +'!$AB26,0))))</f>
        <v>0</v>
      </c>
      <c r="CC305" s="777" t="b">
        <f>IF('4 SUP +'!$A26&gt;61.5,IF('4 SUP +'!$A26&lt;71.6,IF('4 SUP +'!$C26&gt;163,IF('4 SUP +'!$C26&lt;180.6,'4 SUP +'!$AB26,0))))</f>
        <v>0</v>
      </c>
      <c r="CD305" s="777" t="b">
        <f>IF('4 SUP +'!$A26&gt;61.5,IF('4 SUP +'!$A26&lt;71.6,IF('4 SUP +'!$C26&gt;180.5,IF('4 SUP +'!$C26&lt;240.1,'4 SUP +'!$AB26,0))))</f>
        <v>0</v>
      </c>
      <c r="CF305" s="777" t="b">
        <f>IF('4 SUP +'!$A26&gt;71.5,IF('4 SUP +'!$A26&lt;120.6,IF('4 SUP +'!$C26&gt;10,IF('4 SUP +'!$C26&lt;57.6,'4 SUP +'!$AB26,0))))</f>
        <v>0</v>
      </c>
      <c r="CG305" s="777" t="b">
        <f>IF('4 SUP +'!$A26&gt;71.5,IF('4 SUP +'!$A26&lt;120.6,IF('4 SUP +'!$C26&gt;57.6,IF('4 SUP +'!$C26&lt;71.6,'4 SUP +'!$AB26,0))))</f>
        <v>0</v>
      </c>
      <c r="CH305" s="777" t="b">
        <f>IF('4 SUP +'!$A26&gt;71.5,IF('4 SUP +'!$A26&lt;120.6,IF('4 SUP +'!$C26&gt;71.5,IF('4 SUP +'!$C26&lt;85.6,'4 SUP +'!$AB26,0))))</f>
        <v>0</v>
      </c>
      <c r="CI305" s="777" t="b">
        <f>IF('4 SUP +'!$A26&gt;71.5,IF('4 SUP +'!$A26&lt;120.6,IF('4 SUP +'!$C26&gt;85.5,IF('4 SUP +'!$C26&lt;113.6,'4 SUP +'!$AB26,0))))</f>
        <v>0</v>
      </c>
      <c r="CJ305" s="777" t="b">
        <f>IF('4 SUP +'!$A26&gt;71.5,IF('4 SUP +'!$A26&lt;120.6,IF('4 SUP +'!$C26&gt;113.5,IF('4 SUP +'!$C26&lt;141.6,'4 SUP +'!$AB26,0))))</f>
        <v>0</v>
      </c>
      <c r="CK305" s="777" t="b">
        <f>IF('4 SUP +'!$A26&gt;71.5,IF('4 SUP +'!$A26&lt;120.6,IF('4 SUP +'!$C26&gt;141.5,IF('4 SUP +'!$C26&lt;180.6,'4 SUP +'!$AB26,0))))</f>
        <v>0</v>
      </c>
      <c r="CL305" s="777" t="b">
        <f>IF('4 SUP +'!$A26&gt;71.5,IF('4 SUP +'!$A26&lt;120.6,IF('4 SUP +'!$C26&gt;180.5,IF('4 SUP +'!$C26&lt;240.1,'4 SUP +'!$AB26,0))))</f>
        <v>0</v>
      </c>
      <c r="CN305" s="777">
        <f>IF('4 SUP +'!$C26&lt;150,IF(OR('4 SUP +'!$A26="MICRODER",'4 SUP +'!$A26="MICRO DER",),'4 SUP +'!$AB26,0))</f>
        <v>0</v>
      </c>
      <c r="CO305" s="777" t="b">
        <f>IF('4 SUP +'!$C26&gt;149.5,IF(OR('4 SUP +'!$A26="MICRODER",'4 SUP +'!$A26="MICRO DER",),'4 SUP +'!$AB26,0))</f>
        <v>0</v>
      </c>
      <c r="CP305" s="847"/>
      <c r="CQ305" s="777">
        <f>IF('4 SUP +'!$C26&lt;150,IF(OR('4 SUP +'!$A26="MICROIZQ",'4 SUP +'!$A26="MICRO IZQ",),'4 SUP +'!$AB26,0))</f>
        <v>0</v>
      </c>
      <c r="CR305" s="777" t="b">
        <f>IF('4 SUP +'!$C26&gt;149.5,IF(OR('4 SUP +'!$A26="MICROIZQ",'4 SUP +'!$A26="MICRO IZQ",),'4 SUP +'!$AB26,0))</f>
        <v>0</v>
      </c>
      <c r="CT305" s="837">
        <f>IF(OR('4 SUP +'!$A26="MICRO SEN",'4 SUP +'!$A26="MICROSEN",),'4 SUP +'!$AB26,0)</f>
        <v>0</v>
      </c>
      <c r="CV305" s="837" t="b">
        <f>IF('4 SUP +'!$A26="DIAMETRO",IF('4 SUP +'!$C26&lt;121.1,'4 SUP +'!$AB26,0))</f>
        <v>0</v>
      </c>
      <c r="CX305" s="858"/>
      <c r="CZ305" s="837" t="b">
        <f>IF('4 SUP +'!$A26="MOSTRADOR",IF('4 SUP +'!$C26="R60",'4 SUP +'!$AB26,0))</f>
        <v>0</v>
      </c>
      <c r="DB305" s="837">
        <f>IF(OR('4 SUP +'!$A26="PORTA PRIN",'4 SUP +'!$A26="PORTAPRIN",),'4 SUP +'!$AB26,0)</f>
        <v>0</v>
      </c>
      <c r="DD305" s="837">
        <f>IF(OR('4 SUP +'!$A26="PORTA BADE",'4 SUP +'!$A26="PORTABADE",),'4 SUP +'!$AB26,0)</f>
        <v>0</v>
      </c>
      <c r="DE305" s="837"/>
      <c r="DF305" s="837">
        <f>IF(OR('4 SUP +'!$A26="RETORNO IZQ",'4 SUP +'!$A26="RETORNO DER",),'4 SUP +'!$AB214,0)</f>
        <v>0</v>
      </c>
      <c r="DG305" s="837"/>
      <c r="DH305" s="837">
        <f>IF(OR('4 SUP +'!$A26="PITO Q",'4 SUP +'!$A26="PITO P",'4 SUP +'!$A26="DIAMETRO INTEGRADA",),'4 SUP +'!$AB26,0)</f>
        <v>0</v>
      </c>
      <c r="DJ305" s="858"/>
      <c r="DK305" s="837"/>
      <c r="DL305" s="837">
        <f>IF('4 SUP +'!$A26="SUPERFICIE OVAL",'4 SUP +'!$AB26,0)</f>
        <v>0</v>
      </c>
      <c r="DN305" s="838"/>
      <c r="EG305" s="682">
        <f>IF('4 SUP +'!A24="MICRO DER",85,IF('4 SUP +'!A24="MICRO IZQ",85,IF('4 SUP +'!A24="MICRO SEN",170,IF('4 SUP +'!A24="DIAMETRO",3.14*'4 SUP +'!C24/2,IF('4 SUP +'!A24="MOSTRADOR",136,IF('4 SUP +'!A24="PORTA",65,IF('4 SUP +'!A24="PITO Q",90,IF('4 SUP +'!A24="PITO P",90,'4 SUP +'!A24))))))))</f>
        <v>0</v>
      </c>
      <c r="EH305" s="682"/>
      <c r="EI305" s="682">
        <f>IF('4 SUP +'!A24="DIAMETRO",0,IF('4 SUP +'!C24="PRINCIPAL",160,IF('4 SUP +'!C24="BADE",190,IF('4 SUP +'!C24="RETORNO",100,IF('4 SUP +'!C24="R 60",100,IF('4 SUP +'!C24="R60",100,'4 SUP +'!C24))))))</f>
        <v>0</v>
      </c>
      <c r="EJ305" s="682"/>
      <c r="EK305" s="682">
        <f>IF('4 SUP +'!$F24='4 SUP +'!$AG$15,((EG305*2)+(EI305*2))*'4 SUP +'!AB24,0)</f>
        <v>0</v>
      </c>
      <c r="EL305" s="682"/>
      <c r="EM305" s="682">
        <f>IF('4 SUP +'!$F24='4 SUP +'!$AG$16,((EG305*2)+(EI305*2))*'4 SUP +'!AB24,0)</f>
        <v>0</v>
      </c>
      <c r="EO305" s="682">
        <f>IF('4 SUP +'!$F24='4 SUP +'!$AG$17,((EG305*2)+(EI305*2))*'4 SUP +'!AB24,0)</f>
        <v>0</v>
      </c>
      <c r="EP305" s="838"/>
      <c r="EQ305" s="682">
        <f>IF('4 SUP +'!$F24='4 SUP +'!$AG$18,((EG305*2)+(EI305*2))*'4 SUP +'!AB24,0)</f>
        <v>0</v>
      </c>
      <c r="EW305" s="847"/>
      <c r="EX305" s="847"/>
      <c r="EY305" s="847"/>
      <c r="EZ305" s="847"/>
      <c r="FA305" s="847"/>
      <c r="FB305" s="847"/>
      <c r="HF305" s="700">
        <v>61.5</v>
      </c>
      <c r="HH305" s="591">
        <v>61.5</v>
      </c>
    </row>
    <row r="306" spans="37:216" ht="26.25" x14ac:dyDescent="0.4">
      <c r="AK306" s="777" t="b">
        <f>IF('4 SUP +'!$A27&gt;10,IF('4 SUP +'!$A27&lt;31.1,IF('4 SUP +'!$C27&gt;10,IF('4 SUP +'!$C27&lt;57.6,'4 SUP +'!$AB27,0))))</f>
        <v>0</v>
      </c>
      <c r="AL306" s="777" t="b">
        <f>IF('4 SUP +'!$A27&gt;10,IF('4 SUP +'!$A27&lt;31.1,IF('4 SUP +'!$C27&gt;57.6,IF('4 SUP +'!$C27&lt;71.6,'4 SUP +'!$AB27,0))))</f>
        <v>0</v>
      </c>
      <c r="AM306" s="777" t="b">
        <f>IF('4 SUP +'!$A27&gt;10,IF('4 SUP +'!$A27&lt;31.1,IF('4 SUP +'!$C27&gt;71.5,IF('4 SUP +'!$C27&lt;85.6,'4 SUP +'!$AB27,0))))</f>
        <v>0</v>
      </c>
      <c r="AN306" s="777" t="b">
        <f>IF('4 SUP +'!$A27&gt;10,IF('4 SUP +'!$A27&lt;31.1,IF('4 SUP +'!$C27&gt;85.5,IF('4 SUP +'!$C27&lt;113.6,'4 SUP +'!$AB27,0))))</f>
        <v>0</v>
      </c>
      <c r="AO306" s="777" t="b">
        <f>IF('4 SUP +'!$A27&gt;10,IF('4 SUP +'!$A27&lt;31.1,IF('4 SUP +'!$C27&gt;113.5,IF('4 SUP +'!$C27&lt;141.6,'4 SUP +'!$AB27,0))))</f>
        <v>0</v>
      </c>
      <c r="AP306" s="777" t="b">
        <f>IF('4 SUP +'!$A27&gt;10,IF('4 SUP +'!$A27&lt;31.1,IF('4 SUP +'!$C27&gt;141.5,IF('4 SUP +'!$C27&lt;180.6,'4 SUP +'!$AB27,0))))</f>
        <v>0</v>
      </c>
      <c r="AQ306" s="777" t="b">
        <f>IF('4 SUP +'!$A27&gt;10,IF('4 SUP +'!$A27&lt;31.1,IF('4 SUP +'!$C27&gt;180.5,IF('4 SUP +'!$C27&lt;240.1,'4 SUP +'!$AB27,0))))</f>
        <v>0</v>
      </c>
      <c r="AS306" s="777" t="b">
        <f>IF('4 SUP +'!$A27&gt;31,IF('4 SUP +'!$A27&lt;45.5,IF('4 SUP +'!$C27&gt;10,IF('4 SUP +'!$C27&lt;57.6,'4 SUP +'!$AB27,0))))</f>
        <v>0</v>
      </c>
      <c r="AT306" s="777" t="b">
        <f>IF('4 SUP +'!$A27&gt;31,IF('4 SUP +'!$A27&lt;45.5,IF('4 SUP +'!$C27&gt;57.6,IF('4 SUP +'!$C27&lt;71.6,'4 SUP +'!$AB27,0))))</f>
        <v>0</v>
      </c>
      <c r="AU306" s="777" t="b">
        <f>IF('4 SUP +'!$A27&gt;31,IF('4 SUP +'!$A27&lt;45.5,IF('4 SUP +'!$C27&gt;71.5,IF('4 SUP +'!$C27&lt;85.6,'4 SUP +'!$AB27,0))))</f>
        <v>0</v>
      </c>
      <c r="AV306" s="777" t="b">
        <f>IF('4 SUP +'!$A27&gt;31,IF('4 SUP +'!$A27&lt;45.5,IF('4 SUP +'!$C27&gt;85.5,IF('4 SUP +'!$C27&lt;113.6,'4 SUP +'!$AB27,0))))</f>
        <v>0</v>
      </c>
      <c r="AW306" s="777" t="b">
        <f>IF('4 SUP +'!$A27&gt;31,IF('4 SUP +'!$A27&lt;45.5,IF('4 SUP +'!$C27&gt;113.5,IF('4 SUP +'!$C27&lt;141.6,'4 SUP +'!$AB27,0))))</f>
        <v>0</v>
      </c>
      <c r="AX306" s="777" t="b">
        <f>IF('4 SUP +'!$A27&gt;31,IF('4 SUP +'!$A27&lt;45.5,IF('4 SUP +'!$C27&gt;141.5,IF('4 SUP +'!$C27&lt;180.6,'4 SUP +'!$AB27,0))))</f>
        <v>0</v>
      </c>
      <c r="AY306" s="777" t="b">
        <f>IF('4 SUP +'!$A27&gt;31,IF('4 SUP +'!$A27&lt;45.5,IF('4 SUP +'!$C27&gt;180.5,IF('4 SUP +'!$C27&lt;240.1,'4 SUP +'!$AB27,0))))</f>
        <v>0</v>
      </c>
      <c r="BA306" s="777" t="b">
        <f>IF('4 SUP +'!$A27&gt;45.4,IF('4 SUP +'!$A27&lt;61.6,IF('4 SUP +'!$C27&gt;10,IF('4 SUP +'!$C27&lt;61.5,'4 SUP +'!$AB27,0))))</f>
        <v>0</v>
      </c>
      <c r="BB306" s="777" t="b">
        <f>IF('4 SUP +'!$A27&gt;45.4,IF('4 SUP +'!$A27&lt;61.6,IF('4 SUP +'!$C27&gt;61.1,IF('4 SUP +'!$C27&lt;71.6,'4 SUP +'!$AB27,0))))</f>
        <v>0</v>
      </c>
      <c r="BC306" s="777" t="b">
        <f>IF('4 SUP +'!$A27&gt;45.4,IF('4 SUP +'!$A27&lt;61.6,IF('4 SUP +'!$C27&gt;71.5,IF('4 SUP +'!$C27&lt;85.6,'4 SUP +'!$AB27,0))))</f>
        <v>0</v>
      </c>
      <c r="BD306" s="777" t="b">
        <f>IF('4 SUP +'!$A27&gt;45.4,IF('4 SUP +'!$A27&lt;61.6,IF('4 SUP +'!$C27&gt;85.5,IF('4 SUP +'!$C27&lt;113.6,'4 SUP +'!$AB27,0))))</f>
        <v>0</v>
      </c>
      <c r="BE306" s="777" t="b">
        <f>IF('4 SUP +'!$A27&gt;45.4,IF('4 SUP +'!$A27&lt;61.6,IF('4 SUP +'!$C27&gt;113.5,IF('4 SUP +'!$C27&lt;121.6,'4 SUP +'!$AB27,0))))</f>
        <v>0</v>
      </c>
      <c r="BF306" s="777" t="b">
        <f>IF('4 SUP +'!$A27&gt;45.4,IF('4 SUP +'!$A27&lt;61.6,IF('4 SUP +'!$C27&gt;121.5,IF('4 SUP +'!$C27&lt;127.6,'4 SUP +'!$AB27,0))))</f>
        <v>0</v>
      </c>
      <c r="BG306" s="777" t="b">
        <f>IF('4 SUP +'!$A27&gt;45.4,IF('4 SUP +'!$A27&lt;61.6,IF('4 SUP +'!$C27&gt;127.5,IF('4 SUP +'!$C27&lt;135.1,'4 SUP +'!$AB27,0))))</f>
        <v>0</v>
      </c>
      <c r="BH306" s="777" t="b">
        <f>IF('4 SUP +'!$A27&gt;45.4,IF('4 SUP +'!$A27&lt;61.6,IF('4 SUP +'!$C27&gt;135,IF('4 SUP +'!$C27&lt;141.6,'4 SUP +'!$AB27,0))))</f>
        <v>0</v>
      </c>
      <c r="BI306" s="777" t="b">
        <f>IF('4 SUP +'!$A27&gt;45.4,IF('4 SUP +'!$A27&lt;61.6,IF('4 SUP +'!$C27&gt;141.5,IF('4 SUP +'!$C27&lt;149.1,'4 SUP +'!$AB27,0))))</f>
        <v>0</v>
      </c>
      <c r="BJ306" s="777" t="b">
        <f>IF('4 SUP +'!$A27&gt;45.4,IF('4 SUP +'!$A27&lt;61.6,IF('4 SUP +'!$C27&gt;149,IF('4 SUP +'!$C27&lt;155.6,'4 SUP +'!$AB27,0))))</f>
        <v>0</v>
      </c>
      <c r="BK306" s="777" t="b">
        <f>IF('4 SUP +'!$A27&gt;45.4,IF('4 SUP +'!$A27&lt;61.6,IF('4 SUP +'!$C27&gt;155.5,IF('4 SUP +'!$C27&lt;163.1,'4 SUP +'!$AB27,0))))</f>
        <v>0</v>
      </c>
      <c r="BL306" s="777" t="b">
        <f>IF('4 SUP +'!$A27&gt;45.4,IF('4 SUP +'!$A27&lt;61.6,IF('4 SUP +'!$C27&gt;163,IF('4 SUP +'!$C27&lt;180.6,'4 SUP +'!$AB27,0))))</f>
        <v>0</v>
      </c>
      <c r="BM306" s="777" t="b">
        <f>IF('4 SUP +'!$A27&gt;45.4,IF('4 SUP +'!$A27&lt;61.6,IF('4 SUP +'!$C27&gt;180.5,IF('4 SUP +'!$C27&lt;240.1,'4 SUP +'!$AB27,0))))</f>
        <v>0</v>
      </c>
      <c r="BO306" s="869" t="s">
        <v>537</v>
      </c>
      <c r="BQ306" s="870">
        <f>+$BG$338</f>
        <v>0</v>
      </c>
      <c r="BS306" s="869"/>
      <c r="BT306" s="870">
        <f>+$BG$339</f>
        <v>0</v>
      </c>
      <c r="BV306" s="777" t="b">
        <f>IF('4 SUP +'!$A27&gt;61.5,IF('4 SUP +'!$A27&lt;71.6,IF('4 SUP +'!$C27&gt;10,IF('4 SUP +'!$C27&lt;57.6,'4 SUP +'!$AB27,0))))</f>
        <v>0</v>
      </c>
      <c r="BW306" s="777" t="b">
        <f>IF('4 SUP +'!$A27&gt;61.5,IF('4 SUP +'!$A27&lt;71.6,IF('4 SUP +'!$C27&gt;57.6,IF('4 SUP +'!$C27&lt;71.6,'4 SUP +'!$AB27,0))))</f>
        <v>0</v>
      </c>
      <c r="BX306" s="777" t="b">
        <f>IF('4 SUP +'!$A27&gt;61.5,IF('4 SUP +'!$A27&lt;71.6,IF('4 SUP +'!$C27&gt;71.5,IF('4 SUP +'!$C27&lt;85.6,'4 SUP +'!$AB27,0))))</f>
        <v>0</v>
      </c>
      <c r="BY306" s="777" t="b">
        <f>IF('4 SUP +'!$A27&gt;61.5,IF('4 SUP +'!$A27&lt;71.6,IF('4 SUP +'!$C27&gt;85.5,IF('4 SUP +'!$C27&lt;113.6,'4 SUP +'!$AB27,0))))</f>
        <v>0</v>
      </c>
      <c r="BZ306" s="777" t="b">
        <f>IF('4 SUP +'!$A27&gt;61.5,IF('4 SUP +'!$A27&lt;71.6,IF('4 SUP +'!$C27&gt;113.5,IF('4 SUP +'!$C27&lt;141.6,'4 SUP +'!$AB27,0))))</f>
        <v>0</v>
      </c>
      <c r="CA306" s="777" t="b">
        <f>IF('4 SUP +'!$A27&gt;61.5,IF('4 SUP +'!$A27&lt;71.6,IF('4 SUP +'!$C27&gt;141.5,IF('4 SUP +'!$C27&lt;149.1,'4 SUP +'!$AB27,0))))</f>
        <v>0</v>
      </c>
      <c r="CB306" s="777" t="b">
        <f>IF('4 SUP +'!$A27&gt;61.5,IF('4 SUP +'!$A27&lt;71.6,IF('4 SUP +'!$C27&gt;149,IF('4 SUP +'!$C27&lt;163.1,'4 SUP +'!$AB27,0))))</f>
        <v>0</v>
      </c>
      <c r="CC306" s="777" t="b">
        <f>IF('4 SUP +'!$A27&gt;61.5,IF('4 SUP +'!$A27&lt;71.6,IF('4 SUP +'!$C27&gt;163,IF('4 SUP +'!$C27&lt;180.6,'4 SUP +'!$AB27,0))))</f>
        <v>0</v>
      </c>
      <c r="CD306" s="777" t="b">
        <f>IF('4 SUP +'!$A27&gt;61.5,IF('4 SUP +'!$A27&lt;71.6,IF('4 SUP +'!$C27&gt;180.5,IF('4 SUP +'!$C27&lt;240.1,'4 SUP +'!$AB27,0))))</f>
        <v>0</v>
      </c>
      <c r="CF306" s="777" t="b">
        <f>IF('4 SUP +'!$A27&gt;71.5,IF('4 SUP +'!$A27&lt;120.6,IF('4 SUP +'!$C27&gt;10,IF('4 SUP +'!$C27&lt;57.6,'4 SUP +'!$AB27,0))))</f>
        <v>0</v>
      </c>
      <c r="CG306" s="777" t="b">
        <f>IF('4 SUP +'!$A27&gt;71.5,IF('4 SUP +'!$A27&lt;120.6,IF('4 SUP +'!$C27&gt;57.6,IF('4 SUP +'!$C27&lt;71.6,'4 SUP +'!$AB27,0))))</f>
        <v>0</v>
      </c>
      <c r="CH306" s="777" t="b">
        <f>IF('4 SUP +'!$A27&gt;71.5,IF('4 SUP +'!$A27&lt;120.6,IF('4 SUP +'!$C27&gt;71.5,IF('4 SUP +'!$C27&lt;85.6,'4 SUP +'!$AB27,0))))</f>
        <v>0</v>
      </c>
      <c r="CI306" s="777" t="b">
        <f>IF('4 SUP +'!$A27&gt;71.5,IF('4 SUP +'!$A27&lt;120.6,IF('4 SUP +'!$C27&gt;85.5,IF('4 SUP +'!$C27&lt;113.6,'4 SUP +'!$AB27,0))))</f>
        <v>0</v>
      </c>
      <c r="CJ306" s="777" t="b">
        <f>IF('4 SUP +'!$A27&gt;71.5,IF('4 SUP +'!$A27&lt;120.6,IF('4 SUP +'!$C27&gt;113.5,IF('4 SUP +'!$C27&lt;141.6,'4 SUP +'!$AB27,0))))</f>
        <v>0</v>
      </c>
      <c r="CK306" s="777" t="b">
        <f>IF('4 SUP +'!$A27&gt;71.5,IF('4 SUP +'!$A27&lt;120.6,IF('4 SUP +'!$C27&gt;141.5,IF('4 SUP +'!$C27&lt;180.6,'4 SUP +'!$AB27,0))))</f>
        <v>0</v>
      </c>
      <c r="CL306" s="777" t="b">
        <f>IF('4 SUP +'!$A27&gt;71.5,IF('4 SUP +'!$A27&lt;120.6,IF('4 SUP +'!$C27&gt;180.5,IF('4 SUP +'!$C27&lt;240.1,'4 SUP +'!$AB27,0))))</f>
        <v>0</v>
      </c>
      <c r="CN306" s="777">
        <f>IF('4 SUP +'!$C27&lt;150,IF(OR('4 SUP +'!$A27="MICRODER",'4 SUP +'!$A27="MICRO DER",),'4 SUP +'!$AB27,0))</f>
        <v>0</v>
      </c>
      <c r="CO306" s="777" t="b">
        <f>IF('4 SUP +'!$C27&gt;149.5,IF(OR('4 SUP +'!$A27="MICRODER",'4 SUP +'!$A27="MICRO DER",),'4 SUP +'!$AB27,0))</f>
        <v>0</v>
      </c>
      <c r="CP306" s="847"/>
      <c r="CQ306" s="777">
        <f>IF('4 SUP +'!$C27&lt;150,IF(OR('4 SUP +'!$A27="MICROIZQ",'4 SUP +'!$A27="MICRO IZQ",),'4 SUP +'!$AB27,0))</f>
        <v>0</v>
      </c>
      <c r="CR306" s="777" t="b">
        <f>IF('4 SUP +'!$C27&gt;149.5,IF(OR('4 SUP +'!$A27="MICROIZQ",'4 SUP +'!$A27="MICRO IZQ",),'4 SUP +'!$AB27,0))</f>
        <v>0</v>
      </c>
      <c r="CT306" s="837">
        <f>IF(OR('4 SUP +'!$A27="MICRO SEN",'4 SUP +'!$A27="MICROSEN",),'4 SUP +'!$AB27,0)</f>
        <v>0</v>
      </c>
      <c r="CV306" s="837" t="b">
        <f>IF('4 SUP +'!$A27="DIAMETRO",IF('4 SUP +'!$C27&lt;121.1,'4 SUP +'!$AB27,0))</f>
        <v>0</v>
      </c>
      <c r="CX306" s="858"/>
      <c r="CZ306" s="837" t="b">
        <f>IF('4 SUP +'!$A27="MOSTRADOR",IF('4 SUP +'!$C27="R60",'4 SUP +'!$AB27,0))</f>
        <v>0</v>
      </c>
      <c r="DB306" s="837">
        <f>IF(OR('4 SUP +'!$A27="PORTA PRIN",'4 SUP +'!$A27="PORTAPRIN",),'4 SUP +'!$AB27,0)</f>
        <v>0</v>
      </c>
      <c r="DD306" s="837">
        <f>IF(OR('4 SUP +'!$A27="PORTA BADE",'4 SUP +'!$A27="PORTABADE",),'4 SUP +'!$AB27,0)</f>
        <v>0</v>
      </c>
      <c r="DE306" s="837"/>
      <c r="DF306" s="837">
        <f>IF(OR('4 SUP +'!$A27="RETORNO IZQ",'4 SUP +'!$A27="RETORNO DER",),'4 SUP +'!$AB215,0)</f>
        <v>0</v>
      </c>
      <c r="DG306" s="837"/>
      <c r="DH306" s="837">
        <f>IF(OR('4 SUP +'!$A27="PITO Q",'4 SUP +'!$A27="PITO P",'4 SUP +'!$A27="DIAMETRO INTEGRADA",),'4 SUP +'!$AB27,0)</f>
        <v>0</v>
      </c>
      <c r="DJ306" s="858"/>
      <c r="DK306" s="837"/>
      <c r="DL306" s="837">
        <f>IF('4 SUP +'!$A27="SUPERFICIE OVAL",'4 SUP +'!$AB27,0)</f>
        <v>0</v>
      </c>
      <c r="DN306" s="838"/>
      <c r="EG306" s="682">
        <f>IF('4 SUP +'!A25="MICRO DER",85,IF('4 SUP +'!A25="MICRO IZQ",85,IF('4 SUP +'!A25="MICRO SEN",170,IF('4 SUP +'!A25="DIAMETRO",3.14*'4 SUP +'!C25/2,IF('4 SUP +'!A25="MOSTRADOR",136,IF('4 SUP +'!A25="PORTA",65,IF('4 SUP +'!A25="PITO Q",90,IF('4 SUP +'!A25="PITO P",90,'4 SUP +'!A25))))))))</f>
        <v>0</v>
      </c>
      <c r="EH306" s="682"/>
      <c r="EI306" s="682">
        <f>IF('4 SUP +'!A25="DIAMETRO",0,IF('4 SUP +'!C25="PRINCIPAL",160,IF('4 SUP +'!C25="BADE",190,IF('4 SUP +'!C25="RETORNO",100,IF('4 SUP +'!C25="R 60",100,IF('4 SUP +'!C25="R60",100,'4 SUP +'!C25))))))</f>
        <v>0</v>
      </c>
      <c r="EJ306" s="682"/>
      <c r="EK306" s="682">
        <f>IF('4 SUP +'!$F25='4 SUP +'!$AG$15,((EG306*2)+(EI306*2))*'4 SUP +'!AB25,0)</f>
        <v>0</v>
      </c>
      <c r="EL306" s="682"/>
      <c r="EM306" s="682">
        <f>IF('4 SUP +'!$F25='4 SUP +'!$AG$16,((EG306*2)+(EI306*2))*'4 SUP +'!AB25,0)</f>
        <v>0</v>
      </c>
      <c r="EO306" s="682">
        <f>IF('4 SUP +'!$F25='4 SUP +'!$AG$17,((EG306*2)+(EI306*2))*'4 SUP +'!AB25,0)</f>
        <v>0</v>
      </c>
      <c r="EP306" s="838"/>
      <c r="EQ306" s="682">
        <f>IF('4 SUP +'!$F25='4 SUP +'!$AG$18,((EG306*2)+(EI306*2))*'4 SUP +'!AB25,0)</f>
        <v>0</v>
      </c>
      <c r="HF306" s="700">
        <v>62</v>
      </c>
      <c r="HH306" s="591">
        <v>62</v>
      </c>
    </row>
    <row r="307" spans="37:216" ht="26.25" x14ac:dyDescent="0.4">
      <c r="AK307" s="777" t="b">
        <f>IF('4 SUP +'!$A28&gt;10,IF('4 SUP +'!$A28&lt;31.1,IF('4 SUP +'!$C28&gt;10,IF('4 SUP +'!$C28&lt;57.6,'4 SUP +'!$AB28,0))))</f>
        <v>0</v>
      </c>
      <c r="AL307" s="777" t="b">
        <f>IF('4 SUP +'!$A28&gt;10,IF('4 SUP +'!$A28&lt;31.1,IF('4 SUP +'!$C28&gt;57.6,IF('4 SUP +'!$C28&lt;71.6,'4 SUP +'!$AB28,0))))</f>
        <v>0</v>
      </c>
      <c r="AM307" s="777" t="b">
        <f>IF('4 SUP +'!$A28&gt;10,IF('4 SUP +'!$A28&lt;31.1,IF('4 SUP +'!$C28&gt;71.5,IF('4 SUP +'!$C28&lt;85.6,'4 SUP +'!$AB28,0))))</f>
        <v>0</v>
      </c>
      <c r="AN307" s="777" t="b">
        <f>IF('4 SUP +'!$A28&gt;10,IF('4 SUP +'!$A28&lt;31.1,IF('4 SUP +'!$C28&gt;85.5,IF('4 SUP +'!$C28&lt;113.6,'4 SUP +'!$AB28,0))))</f>
        <v>0</v>
      </c>
      <c r="AO307" s="777" t="b">
        <f>IF('4 SUP +'!$A28&gt;10,IF('4 SUP +'!$A28&lt;31.1,IF('4 SUP +'!$C28&gt;113.5,IF('4 SUP +'!$C28&lt;141.6,'4 SUP +'!$AB28,0))))</f>
        <v>0</v>
      </c>
      <c r="AP307" s="777" t="b">
        <f>IF('4 SUP +'!$A28&gt;10,IF('4 SUP +'!$A28&lt;31.1,IF('4 SUP +'!$C28&gt;141.5,IF('4 SUP +'!$C28&lt;180.6,'4 SUP +'!$AB28,0))))</f>
        <v>0</v>
      </c>
      <c r="AQ307" s="777" t="b">
        <f>IF('4 SUP +'!$A28&gt;10,IF('4 SUP +'!$A28&lt;31.1,IF('4 SUP +'!$C28&gt;180.5,IF('4 SUP +'!$C28&lt;240.1,'4 SUP +'!$AB28,0))))</f>
        <v>0</v>
      </c>
      <c r="AS307" s="777" t="b">
        <f>IF('4 SUP +'!$A28&gt;31,IF('4 SUP +'!$A28&lt;45.5,IF('4 SUP +'!$C28&gt;10,IF('4 SUP +'!$C28&lt;57.6,'4 SUP +'!$AB28,0))))</f>
        <v>0</v>
      </c>
      <c r="AT307" s="777" t="b">
        <f>IF('4 SUP +'!$A28&gt;31,IF('4 SUP +'!$A28&lt;45.5,IF('4 SUP +'!$C28&gt;57.6,IF('4 SUP +'!$C28&lt;71.6,'4 SUP +'!$AB28,0))))</f>
        <v>0</v>
      </c>
      <c r="AU307" s="777" t="b">
        <f>IF('4 SUP +'!$A28&gt;31,IF('4 SUP +'!$A28&lt;45.5,IF('4 SUP +'!$C28&gt;71.5,IF('4 SUP +'!$C28&lt;85.6,'4 SUP +'!$AB28,0))))</f>
        <v>0</v>
      </c>
      <c r="AV307" s="777" t="b">
        <f>IF('4 SUP +'!$A28&gt;31,IF('4 SUP +'!$A28&lt;45.5,IF('4 SUP +'!$C28&gt;85.5,IF('4 SUP +'!$C28&lt;113.6,'4 SUP +'!$AB28,0))))</f>
        <v>0</v>
      </c>
      <c r="AW307" s="777" t="b">
        <f>IF('4 SUP +'!$A28&gt;31,IF('4 SUP +'!$A28&lt;45.5,IF('4 SUP +'!$C28&gt;113.5,IF('4 SUP +'!$C28&lt;141.6,'4 SUP +'!$AB28,0))))</f>
        <v>0</v>
      </c>
      <c r="AX307" s="777" t="b">
        <f>IF('4 SUP +'!$A28&gt;31,IF('4 SUP +'!$A28&lt;45.5,IF('4 SUP +'!$C28&gt;141.5,IF('4 SUP +'!$C28&lt;180.6,'4 SUP +'!$AB28,0))))</f>
        <v>0</v>
      </c>
      <c r="AY307" s="777" t="b">
        <f>IF('4 SUP +'!$A28&gt;31,IF('4 SUP +'!$A28&lt;45.5,IF('4 SUP +'!$C28&gt;180.5,IF('4 SUP +'!$C28&lt;240.1,'4 SUP +'!$AB28,0))))</f>
        <v>0</v>
      </c>
      <c r="BA307" s="777" t="b">
        <f>IF('4 SUP +'!$A28&gt;45.4,IF('4 SUP +'!$A28&lt;61.6,IF('4 SUP +'!$C28&gt;10,IF('4 SUP +'!$C28&lt;61.5,'4 SUP +'!$AB28,0))))</f>
        <v>0</v>
      </c>
      <c r="BB307" s="777" t="b">
        <f>IF('4 SUP +'!$A28&gt;45.4,IF('4 SUP +'!$A28&lt;61.6,IF('4 SUP +'!$C28&gt;61.1,IF('4 SUP +'!$C28&lt;71.6,'4 SUP +'!$AB28,0))))</f>
        <v>0</v>
      </c>
      <c r="BC307" s="777" t="b">
        <f>IF('4 SUP +'!$A28&gt;45.4,IF('4 SUP +'!$A28&lt;61.6,IF('4 SUP +'!$C28&gt;71.5,IF('4 SUP +'!$C28&lt;85.6,'4 SUP +'!$AB28,0))))</f>
        <v>0</v>
      </c>
      <c r="BD307" s="777" t="b">
        <f>IF('4 SUP +'!$A28&gt;45.4,IF('4 SUP +'!$A28&lt;61.6,IF('4 SUP +'!$C28&gt;85.5,IF('4 SUP +'!$C28&lt;113.6,'4 SUP +'!$AB28,0))))</f>
        <v>0</v>
      </c>
      <c r="BE307" s="777" t="b">
        <f>IF('4 SUP +'!$A28&gt;45.4,IF('4 SUP +'!$A28&lt;61.6,IF('4 SUP +'!$C28&gt;113.5,IF('4 SUP +'!$C28&lt;121.6,'4 SUP +'!$AB28,0))))</f>
        <v>0</v>
      </c>
      <c r="BF307" s="777" t="b">
        <f>IF('4 SUP +'!$A28&gt;45.4,IF('4 SUP +'!$A28&lt;61.6,IF('4 SUP +'!$C28&gt;121.5,IF('4 SUP +'!$C28&lt;127.6,'4 SUP +'!$AB28,0))))</f>
        <v>0</v>
      </c>
      <c r="BG307" s="777" t="b">
        <f>IF('4 SUP +'!$A28&gt;45.4,IF('4 SUP +'!$A28&lt;61.6,IF('4 SUP +'!$C28&gt;127.5,IF('4 SUP +'!$C28&lt;135.1,'4 SUP +'!$AB28,0))))</f>
        <v>0</v>
      </c>
      <c r="BH307" s="777" t="b">
        <f>IF('4 SUP +'!$A28&gt;45.4,IF('4 SUP +'!$A28&lt;61.6,IF('4 SUP +'!$C28&gt;135,IF('4 SUP +'!$C28&lt;141.6,'4 SUP +'!$AB28,0))))</f>
        <v>0</v>
      </c>
      <c r="BI307" s="777" t="b">
        <f>IF('4 SUP +'!$A28&gt;45.4,IF('4 SUP +'!$A28&lt;61.6,IF('4 SUP +'!$C28&gt;141.5,IF('4 SUP +'!$C28&lt;149.1,'4 SUP +'!$AB28,0))))</f>
        <v>0</v>
      </c>
      <c r="BJ307" s="777" t="b">
        <f>IF('4 SUP +'!$A28&gt;45.4,IF('4 SUP +'!$A28&lt;61.6,IF('4 SUP +'!$C28&gt;149,IF('4 SUP +'!$C28&lt;155.6,'4 SUP +'!$AB28,0))))</f>
        <v>0</v>
      </c>
      <c r="BK307" s="777" t="b">
        <f>IF('4 SUP +'!$A28&gt;45.4,IF('4 SUP +'!$A28&lt;61.6,IF('4 SUP +'!$C28&gt;155.5,IF('4 SUP +'!$C28&lt;163.1,'4 SUP +'!$AB28,0))))</f>
        <v>0</v>
      </c>
      <c r="BL307" s="777" t="b">
        <f>IF('4 SUP +'!$A28&gt;45.4,IF('4 SUP +'!$A28&lt;61.6,IF('4 SUP +'!$C28&gt;163,IF('4 SUP +'!$C28&lt;180.6,'4 SUP +'!$AB28,0))))</f>
        <v>0</v>
      </c>
      <c r="BM307" s="777" t="b">
        <f>IF('4 SUP +'!$A28&gt;45.4,IF('4 SUP +'!$A28&lt;61.6,IF('4 SUP +'!$C28&gt;180.5,IF('4 SUP +'!$C28&lt;240.1,'4 SUP +'!$AB28,0))))</f>
        <v>0</v>
      </c>
      <c r="BO307" s="869" t="s">
        <v>539</v>
      </c>
      <c r="BQ307" s="870">
        <f>+$BH$338+$CJ$338*2</f>
        <v>0</v>
      </c>
      <c r="BS307" s="869"/>
      <c r="BT307" s="870">
        <f>+$BH$339+$CJ$339*2</f>
        <v>0</v>
      </c>
      <c r="BV307" s="777" t="b">
        <f>IF('4 SUP +'!$A28&gt;61.5,IF('4 SUP +'!$A28&lt;71.6,IF('4 SUP +'!$C28&gt;10,IF('4 SUP +'!$C28&lt;57.6,'4 SUP +'!$AB28,0))))</f>
        <v>0</v>
      </c>
      <c r="BW307" s="777" t="b">
        <f>IF('4 SUP +'!$A28&gt;61.5,IF('4 SUP +'!$A28&lt;71.6,IF('4 SUP +'!$C28&gt;57.6,IF('4 SUP +'!$C28&lt;71.6,'4 SUP +'!$AB28,0))))</f>
        <v>0</v>
      </c>
      <c r="BX307" s="777" t="b">
        <f>IF('4 SUP +'!$A28&gt;61.5,IF('4 SUP +'!$A28&lt;71.6,IF('4 SUP +'!$C28&gt;71.5,IF('4 SUP +'!$C28&lt;85.6,'4 SUP +'!$AB28,0))))</f>
        <v>0</v>
      </c>
      <c r="BY307" s="777" t="b">
        <f>IF('4 SUP +'!$A28&gt;61.5,IF('4 SUP +'!$A28&lt;71.6,IF('4 SUP +'!$C28&gt;85.5,IF('4 SUP +'!$C28&lt;113.6,'4 SUP +'!$AB28,0))))</f>
        <v>0</v>
      </c>
      <c r="BZ307" s="777" t="b">
        <f>IF('4 SUP +'!$A28&gt;61.5,IF('4 SUP +'!$A28&lt;71.6,IF('4 SUP +'!$C28&gt;113.5,IF('4 SUP +'!$C28&lt;141.6,'4 SUP +'!$AB28,0))))</f>
        <v>0</v>
      </c>
      <c r="CA307" s="777" t="b">
        <f>IF('4 SUP +'!$A28&gt;61.5,IF('4 SUP +'!$A28&lt;71.6,IF('4 SUP +'!$C28&gt;141.5,IF('4 SUP +'!$C28&lt;149.1,'4 SUP +'!$AB28,0))))</f>
        <v>0</v>
      </c>
      <c r="CB307" s="777" t="b">
        <f>IF('4 SUP +'!$A28&gt;61.5,IF('4 SUP +'!$A28&lt;71.6,IF('4 SUP +'!$C28&gt;149,IF('4 SUP +'!$C28&lt;163.1,'4 SUP +'!$AB28,0))))</f>
        <v>0</v>
      </c>
      <c r="CC307" s="777" t="b">
        <f>IF('4 SUP +'!$A28&gt;61.5,IF('4 SUP +'!$A28&lt;71.6,IF('4 SUP +'!$C28&gt;163,IF('4 SUP +'!$C28&lt;180.6,'4 SUP +'!$AB28,0))))</f>
        <v>0</v>
      </c>
      <c r="CD307" s="777" t="b">
        <f>IF('4 SUP +'!$A28&gt;61.5,IF('4 SUP +'!$A28&lt;71.6,IF('4 SUP +'!$C28&gt;180.5,IF('4 SUP +'!$C28&lt;240.1,'4 SUP +'!$AB28,0))))</f>
        <v>0</v>
      </c>
      <c r="CF307" s="777" t="b">
        <f>IF('4 SUP +'!$A28&gt;71.5,IF('4 SUP +'!$A28&lt;120.6,IF('4 SUP +'!$C28&gt;10,IF('4 SUP +'!$C28&lt;57.6,'4 SUP +'!$AB28,0))))</f>
        <v>0</v>
      </c>
      <c r="CG307" s="777" t="b">
        <f>IF('4 SUP +'!$A28&gt;71.5,IF('4 SUP +'!$A28&lt;120.6,IF('4 SUP +'!$C28&gt;57.6,IF('4 SUP +'!$C28&lt;71.6,'4 SUP +'!$AB28,0))))</f>
        <v>0</v>
      </c>
      <c r="CH307" s="777" t="b">
        <f>IF('4 SUP +'!$A28&gt;71.5,IF('4 SUP +'!$A28&lt;120.6,IF('4 SUP +'!$C28&gt;71.5,IF('4 SUP +'!$C28&lt;85.6,'4 SUP +'!$AB28,0))))</f>
        <v>0</v>
      </c>
      <c r="CI307" s="777" t="b">
        <f>IF('4 SUP +'!$A28&gt;71.5,IF('4 SUP +'!$A28&lt;120.6,IF('4 SUP +'!$C28&gt;85.5,IF('4 SUP +'!$C28&lt;113.6,'4 SUP +'!$AB28,0))))</f>
        <v>0</v>
      </c>
      <c r="CJ307" s="777" t="b">
        <f>IF('4 SUP +'!$A28&gt;71.5,IF('4 SUP +'!$A28&lt;120.6,IF('4 SUP +'!$C28&gt;113.5,IF('4 SUP +'!$C28&lt;141.6,'4 SUP +'!$AB28,0))))</f>
        <v>0</v>
      </c>
      <c r="CK307" s="777" t="b">
        <f>IF('4 SUP +'!$A28&gt;71.5,IF('4 SUP +'!$A28&lt;120.6,IF('4 SUP +'!$C28&gt;141.5,IF('4 SUP +'!$C28&lt;180.6,'4 SUP +'!$AB28,0))))</f>
        <v>0</v>
      </c>
      <c r="CL307" s="777" t="b">
        <f>IF('4 SUP +'!$A28&gt;71.5,IF('4 SUP +'!$A28&lt;120.6,IF('4 SUP +'!$C28&gt;180.5,IF('4 SUP +'!$C28&lt;240.1,'4 SUP +'!$AB28,0))))</f>
        <v>0</v>
      </c>
      <c r="CN307" s="777">
        <f>IF('4 SUP +'!$C28&lt;150,IF(OR('4 SUP +'!$A28="MICRODER",'4 SUP +'!$A28="MICRO DER",),'4 SUP +'!$AB28,0))</f>
        <v>0</v>
      </c>
      <c r="CO307" s="777" t="b">
        <f>IF('4 SUP +'!$C28&gt;149.5,IF(OR('4 SUP +'!$A28="MICRODER",'4 SUP +'!$A28="MICRO DER",),'4 SUP +'!$AB28,0))</f>
        <v>0</v>
      </c>
      <c r="CP307" s="847"/>
      <c r="CQ307" s="777">
        <f>IF('4 SUP +'!$C28&lt;150,IF(OR('4 SUP +'!$A28="MICROIZQ",'4 SUP +'!$A28="MICRO IZQ",),'4 SUP +'!$AB28,0))</f>
        <v>0</v>
      </c>
      <c r="CR307" s="777" t="b">
        <f>IF('4 SUP +'!$C28&gt;149.5,IF(OR('4 SUP +'!$A28="MICROIZQ",'4 SUP +'!$A28="MICRO IZQ",),'4 SUP +'!$AB28,0))</f>
        <v>0</v>
      </c>
      <c r="CT307" s="837">
        <f>IF(OR('4 SUP +'!$A28="MICRO SEN",'4 SUP +'!$A28="MICROSEN",),'4 SUP +'!$AB28,0)</f>
        <v>0</v>
      </c>
      <c r="CV307" s="837" t="b">
        <f>IF('4 SUP +'!$A28="DIAMETRO",IF('4 SUP +'!$C28&lt;121.1,'4 SUP +'!$AB28,0))</f>
        <v>0</v>
      </c>
      <c r="CX307" s="858"/>
      <c r="CZ307" s="837" t="b">
        <f>IF('4 SUP +'!$A28="MOSTRADOR",IF('4 SUP +'!$C28="R60",'4 SUP +'!$AB28,0))</f>
        <v>0</v>
      </c>
      <c r="DB307" s="837">
        <f>IF(OR('4 SUP +'!$A28="PORTA PRIN",'4 SUP +'!$A28="PORTAPRIN",),'4 SUP +'!$AB28,0)</f>
        <v>0</v>
      </c>
      <c r="DD307" s="837">
        <f>IF(OR('4 SUP +'!$A28="PORTA BADE",'4 SUP +'!$A28="PORTABADE",),'4 SUP +'!$AB28,0)</f>
        <v>0</v>
      </c>
      <c r="DE307" s="837"/>
      <c r="DF307" s="837">
        <f>IF(OR('4 SUP +'!$A28="RETORNO IZQ",'4 SUP +'!$A28="RETORNO DER",),'4 SUP +'!$AB216,0)</f>
        <v>0</v>
      </c>
      <c r="DG307" s="837"/>
      <c r="DH307" s="837">
        <f>IF(OR('4 SUP +'!$A28="PITO Q",'4 SUP +'!$A28="PITO P",'4 SUP +'!$A28="DIAMETRO INTEGRADA",),'4 SUP +'!$AB28,0)</f>
        <v>0</v>
      </c>
      <c r="DJ307" s="858"/>
      <c r="DK307" s="837"/>
      <c r="DL307" s="837">
        <f>IF('4 SUP +'!$A28="SUPERFICIE OVAL",'4 SUP +'!$AB28,0)</f>
        <v>0</v>
      </c>
      <c r="DN307" s="838"/>
      <c r="DO307" s="838"/>
      <c r="DP307" s="838"/>
      <c r="DQ307" s="838"/>
      <c r="DR307" s="838"/>
      <c r="DS307" s="838"/>
      <c r="DT307" s="838"/>
      <c r="DU307" s="838"/>
      <c r="DV307" s="838"/>
      <c r="DW307" s="838"/>
      <c r="DX307" s="838"/>
      <c r="DY307" s="838"/>
      <c r="DZ307" s="838"/>
      <c r="EG307" s="682">
        <f>IF('4 SUP +'!A26="MICRO DER",85,IF('4 SUP +'!A26="MICRO IZQ",85,IF('4 SUP +'!A26="MICRO SEN",170,IF('4 SUP +'!A26="DIAMETRO",3.14*'4 SUP +'!C26/2,IF('4 SUP +'!A26="MOSTRADOR",136,IF('4 SUP +'!A26="PORTA",65,IF('4 SUP +'!A26="PITO Q",90,IF('4 SUP +'!A26="PITO P",90,'4 SUP +'!A26))))))))</f>
        <v>0</v>
      </c>
      <c r="EH307" s="682"/>
      <c r="EI307" s="682">
        <f>IF('4 SUP +'!A26="DIAMETRO",0,IF('4 SUP +'!C26="PRINCIPAL",160,IF('4 SUP +'!C26="BADE",190,IF('4 SUP +'!C26="RETORNO",100,IF('4 SUP +'!C26="R 60",100,IF('4 SUP +'!C26="R60",100,'4 SUP +'!C26))))))</f>
        <v>0</v>
      </c>
      <c r="EJ307" s="682"/>
      <c r="EK307" s="682">
        <f>IF('4 SUP +'!$F26='4 SUP +'!$AG$15,((EG307*2)+(EI307*2))*'4 SUP +'!AB26,0)</f>
        <v>0</v>
      </c>
      <c r="EL307" s="682"/>
      <c r="EM307" s="682">
        <f>IF('4 SUP +'!$F26='4 SUP +'!$AG$16,((EG307*2)+(EI307*2))*'4 SUP +'!AB26,0)</f>
        <v>0</v>
      </c>
      <c r="EO307" s="682">
        <f>IF('4 SUP +'!$F26='4 SUP +'!$AG$17,((EG307*2)+(EI307*2))*'4 SUP +'!AB26,0)</f>
        <v>0</v>
      </c>
      <c r="EP307" s="838"/>
      <c r="EQ307" s="682">
        <f>IF('4 SUP +'!$F26='4 SUP +'!$AG$18,((EG307*2)+(EI307*2))*'4 SUP +'!AB26,0)</f>
        <v>0</v>
      </c>
      <c r="EW307" s="838"/>
      <c r="EX307" s="838"/>
      <c r="EY307" s="838"/>
      <c r="EZ307" s="838"/>
      <c r="FA307" s="838"/>
      <c r="FB307" s="838"/>
      <c r="FC307" s="838"/>
      <c r="FD307" s="838"/>
      <c r="FE307" s="838"/>
      <c r="FF307" s="838"/>
      <c r="FG307" s="838"/>
      <c r="FH307" s="838"/>
      <c r="FI307" s="838"/>
      <c r="FJ307" s="838"/>
      <c r="FK307" s="838"/>
      <c r="FL307" s="838"/>
      <c r="FM307" s="838"/>
      <c r="FN307" s="838"/>
      <c r="FO307" s="838"/>
      <c r="FP307" s="838"/>
      <c r="GM307" s="838"/>
      <c r="GN307" s="838"/>
      <c r="GO307" s="838"/>
      <c r="GP307" s="838"/>
      <c r="GQ307" s="838"/>
      <c r="GR307" s="838"/>
      <c r="GS307" s="838"/>
      <c r="HF307" s="700">
        <v>62.5</v>
      </c>
      <c r="HH307" s="591">
        <v>62.5</v>
      </c>
    </row>
    <row r="308" spans="37:216" ht="26.25" x14ac:dyDescent="0.4">
      <c r="AK308" s="777" t="b">
        <f>IF('4 SUP +'!$A29&gt;10,IF('4 SUP +'!$A29&lt;31.1,IF('4 SUP +'!$C29&gt;10,IF('4 SUP +'!$C29&lt;57.6,'4 SUP +'!$AB29,0))))</f>
        <v>0</v>
      </c>
      <c r="AL308" s="777" t="b">
        <f>IF('4 SUP +'!$A29&gt;10,IF('4 SUP +'!$A29&lt;31.1,IF('4 SUP +'!$C29&gt;57.6,IF('4 SUP +'!$C29&lt;71.6,'4 SUP +'!$AB29,0))))</f>
        <v>0</v>
      </c>
      <c r="AM308" s="777" t="b">
        <f>IF('4 SUP +'!$A29&gt;10,IF('4 SUP +'!$A29&lt;31.1,IF('4 SUP +'!$C29&gt;71.5,IF('4 SUP +'!$C29&lt;85.6,'4 SUP +'!$AB29,0))))</f>
        <v>0</v>
      </c>
      <c r="AN308" s="777" t="b">
        <f>IF('4 SUP +'!$A29&gt;10,IF('4 SUP +'!$A29&lt;31.1,IF('4 SUP +'!$C29&gt;85.5,IF('4 SUP +'!$C29&lt;113.6,'4 SUP +'!$AB29,0))))</f>
        <v>0</v>
      </c>
      <c r="AO308" s="777" t="b">
        <f>IF('4 SUP +'!$A29&gt;10,IF('4 SUP +'!$A29&lt;31.1,IF('4 SUP +'!$C29&gt;113.5,IF('4 SUP +'!$C29&lt;141.6,'4 SUP +'!$AB29,0))))</f>
        <v>0</v>
      </c>
      <c r="AP308" s="777" t="b">
        <f>IF('4 SUP +'!$A29&gt;10,IF('4 SUP +'!$A29&lt;31.1,IF('4 SUP +'!$C29&gt;141.5,IF('4 SUP +'!$C29&lt;180.6,'4 SUP +'!$AB29,0))))</f>
        <v>0</v>
      </c>
      <c r="AQ308" s="777" t="b">
        <f>IF('4 SUP +'!$A29&gt;10,IF('4 SUP +'!$A29&lt;31.1,IF('4 SUP +'!$C29&gt;180.5,IF('4 SUP +'!$C29&lt;240.1,'4 SUP +'!$AB29,0))))</f>
        <v>0</v>
      </c>
      <c r="AS308" s="777" t="b">
        <f>IF('4 SUP +'!$A29&gt;31,IF('4 SUP +'!$A29&lt;45.5,IF('4 SUP +'!$C29&gt;10,IF('4 SUP +'!$C29&lt;57.6,'4 SUP +'!$AB29,0))))</f>
        <v>0</v>
      </c>
      <c r="AT308" s="777" t="b">
        <f>IF('4 SUP +'!$A29&gt;31,IF('4 SUP +'!$A29&lt;45.5,IF('4 SUP +'!$C29&gt;57.6,IF('4 SUP +'!$C29&lt;71.6,'4 SUP +'!$AB29,0))))</f>
        <v>0</v>
      </c>
      <c r="AU308" s="777" t="b">
        <f>IF('4 SUP +'!$A29&gt;31,IF('4 SUP +'!$A29&lt;45.5,IF('4 SUP +'!$C29&gt;71.5,IF('4 SUP +'!$C29&lt;85.6,'4 SUP +'!$AB29,0))))</f>
        <v>0</v>
      </c>
      <c r="AV308" s="777" t="b">
        <f>IF('4 SUP +'!$A29&gt;31,IF('4 SUP +'!$A29&lt;45.5,IF('4 SUP +'!$C29&gt;85.5,IF('4 SUP +'!$C29&lt;113.6,'4 SUP +'!$AB29,0))))</f>
        <v>0</v>
      </c>
      <c r="AW308" s="777" t="b">
        <f>IF('4 SUP +'!$A29&gt;31,IF('4 SUP +'!$A29&lt;45.5,IF('4 SUP +'!$C29&gt;113.5,IF('4 SUP +'!$C29&lt;141.6,'4 SUP +'!$AB29,0))))</f>
        <v>0</v>
      </c>
      <c r="AX308" s="777" t="b">
        <f>IF('4 SUP +'!$A29&gt;31,IF('4 SUP +'!$A29&lt;45.5,IF('4 SUP +'!$C29&gt;141.5,IF('4 SUP +'!$C29&lt;180.6,'4 SUP +'!$AB29,0))))</f>
        <v>0</v>
      </c>
      <c r="AY308" s="777" t="b">
        <f>IF('4 SUP +'!$A29&gt;31,IF('4 SUP +'!$A29&lt;45.5,IF('4 SUP +'!$C29&gt;180.5,IF('4 SUP +'!$C29&lt;240.1,'4 SUP +'!$AB29,0))))</f>
        <v>0</v>
      </c>
      <c r="BA308" s="777" t="b">
        <f>IF('4 SUP +'!$A29&gt;45.4,IF('4 SUP +'!$A29&lt;61.6,IF('4 SUP +'!$C29&gt;10,IF('4 SUP +'!$C29&lt;61.5,'4 SUP +'!$AB29,0))))</f>
        <v>0</v>
      </c>
      <c r="BB308" s="777" t="b">
        <f>IF('4 SUP +'!$A29&gt;45.4,IF('4 SUP +'!$A29&lt;61.6,IF('4 SUP +'!$C29&gt;61.1,IF('4 SUP +'!$C29&lt;71.6,'4 SUP +'!$AB29,0))))</f>
        <v>0</v>
      </c>
      <c r="BC308" s="777" t="b">
        <f>IF('4 SUP +'!$A29&gt;45.4,IF('4 SUP +'!$A29&lt;61.6,IF('4 SUP +'!$C29&gt;71.5,IF('4 SUP +'!$C29&lt;85.6,'4 SUP +'!$AB29,0))))</f>
        <v>0</v>
      </c>
      <c r="BD308" s="777" t="b">
        <f>IF('4 SUP +'!$A29&gt;45.4,IF('4 SUP +'!$A29&lt;61.6,IF('4 SUP +'!$C29&gt;85.5,IF('4 SUP +'!$C29&lt;113.6,'4 SUP +'!$AB29,0))))</f>
        <v>0</v>
      </c>
      <c r="BE308" s="777" t="b">
        <f>IF('4 SUP +'!$A29&gt;45.4,IF('4 SUP +'!$A29&lt;61.6,IF('4 SUP +'!$C29&gt;113.5,IF('4 SUP +'!$C29&lt;121.6,'4 SUP +'!$AB29,0))))</f>
        <v>0</v>
      </c>
      <c r="BF308" s="777" t="b">
        <f>IF('4 SUP +'!$A29&gt;45.4,IF('4 SUP +'!$A29&lt;61.6,IF('4 SUP +'!$C29&gt;121.5,IF('4 SUP +'!$C29&lt;127.6,'4 SUP +'!$AB29,0))))</f>
        <v>0</v>
      </c>
      <c r="BG308" s="777" t="b">
        <f>IF('4 SUP +'!$A29&gt;45.4,IF('4 SUP +'!$A29&lt;61.6,IF('4 SUP +'!$C29&gt;127.5,IF('4 SUP +'!$C29&lt;135.1,'4 SUP +'!$AB29,0))))</f>
        <v>0</v>
      </c>
      <c r="BH308" s="777" t="b">
        <f>IF('4 SUP +'!$A29&gt;45.4,IF('4 SUP +'!$A29&lt;61.6,IF('4 SUP +'!$C29&gt;135,IF('4 SUP +'!$C29&lt;141.6,'4 SUP +'!$AB29,0))))</f>
        <v>0</v>
      </c>
      <c r="BI308" s="777" t="b">
        <f>IF('4 SUP +'!$A29&gt;45.4,IF('4 SUP +'!$A29&lt;61.6,IF('4 SUP +'!$C29&gt;141.5,IF('4 SUP +'!$C29&lt;149.1,'4 SUP +'!$AB29,0))))</f>
        <v>0</v>
      </c>
      <c r="BJ308" s="777" t="b">
        <f>IF('4 SUP +'!$A29&gt;45.4,IF('4 SUP +'!$A29&lt;61.6,IF('4 SUP +'!$C29&gt;149,IF('4 SUP +'!$C29&lt;155.6,'4 SUP +'!$AB29,0))))</f>
        <v>0</v>
      </c>
      <c r="BK308" s="777" t="b">
        <f>IF('4 SUP +'!$A29&gt;45.4,IF('4 SUP +'!$A29&lt;61.6,IF('4 SUP +'!$C29&gt;155.5,IF('4 SUP +'!$C29&lt;163.1,'4 SUP +'!$AB29,0))))</f>
        <v>0</v>
      </c>
      <c r="BL308" s="777" t="b">
        <f>IF('4 SUP +'!$A29&gt;45.4,IF('4 SUP +'!$A29&lt;61.6,IF('4 SUP +'!$C29&gt;163,IF('4 SUP +'!$C29&lt;180.6,'4 SUP +'!$AB29,0))))</f>
        <v>0</v>
      </c>
      <c r="BM308" s="777" t="b">
        <f>IF('4 SUP +'!$A29&gt;45.4,IF('4 SUP +'!$A29&lt;61.6,IF('4 SUP +'!$C29&gt;180.5,IF('4 SUP +'!$C29&lt;240.1,'4 SUP +'!$AB29,0))))</f>
        <v>0</v>
      </c>
      <c r="BO308" s="869" t="s">
        <v>540</v>
      </c>
      <c r="BQ308" s="870">
        <f>+$BI$338</f>
        <v>0</v>
      </c>
      <c r="BS308" s="869"/>
      <c r="BT308" s="870">
        <f>+$BI$339</f>
        <v>0</v>
      </c>
      <c r="BV308" s="777" t="b">
        <f>IF('4 SUP +'!$A29&gt;61.5,IF('4 SUP +'!$A29&lt;71.6,IF('4 SUP +'!$C29&gt;10,IF('4 SUP +'!$C29&lt;57.6,'4 SUP +'!$AB29,0))))</f>
        <v>0</v>
      </c>
      <c r="BW308" s="777" t="b">
        <f>IF('4 SUP +'!$A29&gt;61.5,IF('4 SUP +'!$A29&lt;71.6,IF('4 SUP +'!$C29&gt;57.6,IF('4 SUP +'!$C29&lt;71.6,'4 SUP +'!$AB29,0))))</f>
        <v>0</v>
      </c>
      <c r="BX308" s="777" t="b">
        <f>IF('4 SUP +'!$A29&gt;61.5,IF('4 SUP +'!$A29&lt;71.6,IF('4 SUP +'!$C29&gt;71.5,IF('4 SUP +'!$C29&lt;85.6,'4 SUP +'!$AB29,0))))</f>
        <v>0</v>
      </c>
      <c r="BY308" s="777" t="b">
        <f>IF('4 SUP +'!$A29&gt;61.5,IF('4 SUP +'!$A29&lt;71.6,IF('4 SUP +'!$C29&gt;85.5,IF('4 SUP +'!$C29&lt;113.6,'4 SUP +'!$AB29,0))))</f>
        <v>0</v>
      </c>
      <c r="BZ308" s="777" t="b">
        <f>IF('4 SUP +'!$A29&gt;61.5,IF('4 SUP +'!$A29&lt;71.6,IF('4 SUP +'!$C29&gt;113.5,IF('4 SUP +'!$C29&lt;141.6,'4 SUP +'!$AB29,0))))</f>
        <v>0</v>
      </c>
      <c r="CA308" s="777" t="b">
        <f>IF('4 SUP +'!$A29&gt;61.5,IF('4 SUP +'!$A29&lt;71.6,IF('4 SUP +'!$C29&gt;141.5,IF('4 SUP +'!$C29&lt;149.1,'4 SUP +'!$AB29,0))))</f>
        <v>0</v>
      </c>
      <c r="CB308" s="777" t="b">
        <f>IF('4 SUP +'!$A29&gt;61.5,IF('4 SUP +'!$A29&lt;71.6,IF('4 SUP +'!$C29&gt;149,IF('4 SUP +'!$C29&lt;163.1,'4 SUP +'!$AB29,0))))</f>
        <v>0</v>
      </c>
      <c r="CC308" s="777" t="b">
        <f>IF('4 SUP +'!$A29&gt;61.5,IF('4 SUP +'!$A29&lt;71.6,IF('4 SUP +'!$C29&gt;163,IF('4 SUP +'!$C29&lt;180.6,'4 SUP +'!$AB29,0))))</f>
        <v>0</v>
      </c>
      <c r="CD308" s="777" t="b">
        <f>IF('4 SUP +'!$A29&gt;61.5,IF('4 SUP +'!$A29&lt;71.6,IF('4 SUP +'!$C29&gt;180.5,IF('4 SUP +'!$C29&lt;240.1,'4 SUP +'!$AB29,0))))</f>
        <v>0</v>
      </c>
      <c r="CF308" s="777" t="b">
        <f>IF('4 SUP +'!$A29&gt;71.5,IF('4 SUP +'!$A29&lt;120.6,IF('4 SUP +'!$C29&gt;10,IF('4 SUP +'!$C29&lt;57.6,'4 SUP +'!$AB29,0))))</f>
        <v>0</v>
      </c>
      <c r="CG308" s="777" t="b">
        <f>IF('4 SUP +'!$A29&gt;71.5,IF('4 SUP +'!$A29&lt;120.6,IF('4 SUP +'!$C29&gt;57.6,IF('4 SUP +'!$C29&lt;71.6,'4 SUP +'!$AB29,0))))</f>
        <v>0</v>
      </c>
      <c r="CH308" s="777" t="b">
        <f>IF('4 SUP +'!$A29&gt;71.5,IF('4 SUP +'!$A29&lt;120.6,IF('4 SUP +'!$C29&gt;71.5,IF('4 SUP +'!$C29&lt;85.6,'4 SUP +'!$AB29,0))))</f>
        <v>0</v>
      </c>
      <c r="CI308" s="777" t="b">
        <f>IF('4 SUP +'!$A29&gt;71.5,IF('4 SUP +'!$A29&lt;120.6,IF('4 SUP +'!$C29&gt;85.5,IF('4 SUP +'!$C29&lt;113.6,'4 SUP +'!$AB29,0))))</f>
        <v>0</v>
      </c>
      <c r="CJ308" s="777" t="b">
        <f>IF('4 SUP +'!$A29&gt;71.5,IF('4 SUP +'!$A29&lt;120.6,IF('4 SUP +'!$C29&gt;113.5,IF('4 SUP +'!$C29&lt;141.6,'4 SUP +'!$AB29,0))))</f>
        <v>0</v>
      </c>
      <c r="CK308" s="777" t="b">
        <f>IF('4 SUP +'!$A29&gt;71.5,IF('4 SUP +'!$A29&lt;120.6,IF('4 SUP +'!$C29&gt;141.5,IF('4 SUP +'!$C29&lt;180.6,'4 SUP +'!$AB29,0))))</f>
        <v>0</v>
      </c>
      <c r="CL308" s="777" t="b">
        <f>IF('4 SUP +'!$A29&gt;71.5,IF('4 SUP +'!$A29&lt;120.6,IF('4 SUP +'!$C29&gt;180.5,IF('4 SUP +'!$C29&lt;240.1,'4 SUP +'!$AB29,0))))</f>
        <v>0</v>
      </c>
      <c r="CN308" s="777">
        <f>IF('4 SUP +'!$C29&lt;150,IF(OR('4 SUP +'!$A29="MICRODER",'4 SUP +'!$A29="MICRO DER",),'4 SUP +'!$AB29,0))</f>
        <v>0</v>
      </c>
      <c r="CO308" s="777" t="b">
        <f>IF('4 SUP +'!$C29&gt;149.5,IF(OR('4 SUP +'!$A29="MICRODER",'4 SUP +'!$A29="MICRO DER",),'4 SUP +'!$AB29,0))</f>
        <v>0</v>
      </c>
      <c r="CP308" s="847"/>
      <c r="CQ308" s="777">
        <f>IF('4 SUP +'!$C29&lt;150,IF(OR('4 SUP +'!$A29="MICROIZQ",'4 SUP +'!$A29="MICRO IZQ",),'4 SUP +'!$AB29,0))</f>
        <v>0</v>
      </c>
      <c r="CR308" s="777" t="b">
        <f>IF('4 SUP +'!$C29&gt;149.5,IF(OR('4 SUP +'!$A29="MICROIZQ",'4 SUP +'!$A29="MICRO IZQ",),'4 SUP +'!$AB29,0))</f>
        <v>0</v>
      </c>
      <c r="CT308" s="837">
        <f>IF(OR('4 SUP +'!$A29="MICRO SEN",'4 SUP +'!$A29="MICROSEN",),'4 SUP +'!$AB29,0)</f>
        <v>0</v>
      </c>
      <c r="CV308" s="837" t="b">
        <f>IF('4 SUP +'!$A29="DIAMETRO",IF('4 SUP +'!$C29&lt;121.1,'4 SUP +'!$AB29,0))</f>
        <v>0</v>
      </c>
      <c r="CX308" s="858"/>
      <c r="CZ308" s="837" t="b">
        <f>IF('4 SUP +'!$A29="MOSTRADOR",IF('4 SUP +'!$C29="R60",'4 SUP +'!$AB29,0))</f>
        <v>0</v>
      </c>
      <c r="DB308" s="837">
        <f>IF(OR('4 SUP +'!$A29="PORTA PRIN",'4 SUP +'!$A29="PORTAPRIN",),'4 SUP +'!$AB29,0)</f>
        <v>0</v>
      </c>
      <c r="DD308" s="837">
        <f>IF(OR('4 SUP +'!$A29="PORTA BADE",'4 SUP +'!$A29="PORTABADE",),'4 SUP +'!$AB29,0)</f>
        <v>0</v>
      </c>
      <c r="DE308" s="837"/>
      <c r="DF308" s="837">
        <f>IF(OR('4 SUP +'!$A29="RETORNO IZQ",'4 SUP +'!$A29="RETORNO DER",),'4 SUP +'!$AB217,0)</f>
        <v>0</v>
      </c>
      <c r="DG308" s="837"/>
      <c r="DH308" s="837">
        <f>IF(OR('4 SUP +'!$A29="PITO Q",'4 SUP +'!$A29="PITO P",'4 SUP +'!$A29="DIAMETRO INTEGRADA",),'4 SUP +'!$AB29,0)</f>
        <v>0</v>
      </c>
      <c r="DJ308" s="858"/>
      <c r="DK308" s="837"/>
      <c r="DL308" s="837">
        <f>IF('4 SUP +'!$A29="SUPERFICIE OVAL",'4 SUP +'!$AB29,0)</f>
        <v>0</v>
      </c>
      <c r="DN308" s="838"/>
      <c r="DO308" s="859"/>
      <c r="DP308" s="858"/>
      <c r="DQ308" s="858"/>
      <c r="DR308" s="858"/>
      <c r="DS308" s="858"/>
      <c r="DT308" s="858"/>
      <c r="DU308" s="858"/>
      <c r="DV308" s="858"/>
      <c r="DW308" s="858"/>
      <c r="DX308" s="858"/>
      <c r="DY308" s="858"/>
      <c r="DZ308" s="858"/>
      <c r="EG308" s="682">
        <f>IF('4 SUP +'!A27="MICRO DER",85,IF('4 SUP +'!A27="MICRO IZQ",85,IF('4 SUP +'!A27="MICRO SEN",170,IF('4 SUP +'!A27="DIAMETRO",3.14*'4 SUP +'!C27/2,IF('4 SUP +'!A27="MOSTRADOR",136,IF('4 SUP +'!A27="PORTA",65,IF('4 SUP +'!A27="PITO Q",90,IF('4 SUP +'!A27="PITO P",90,'4 SUP +'!A27))))))))</f>
        <v>0</v>
      </c>
      <c r="EH308" s="682"/>
      <c r="EI308" s="682">
        <f>IF('4 SUP +'!A27="DIAMETRO",0,IF('4 SUP +'!C27="PRINCIPAL",160,IF('4 SUP +'!C27="BADE",190,IF('4 SUP +'!C27="RETORNO",100,IF('4 SUP +'!C27="R 60",100,IF('4 SUP +'!C27="R60",100,'4 SUP +'!C27))))))</f>
        <v>0</v>
      </c>
      <c r="EJ308" s="682"/>
      <c r="EK308" s="682">
        <f>IF('4 SUP +'!$F27='4 SUP +'!$AG$15,((EG308*2)+(EI308*2))*'4 SUP +'!AB27,0)</f>
        <v>0</v>
      </c>
      <c r="EL308" s="682"/>
      <c r="EM308" s="682">
        <f>IF('4 SUP +'!$F27='4 SUP +'!$AG$16,((EG308*2)+(EI308*2))*'4 SUP +'!AB27,0)</f>
        <v>0</v>
      </c>
      <c r="EO308" s="682">
        <f>IF('4 SUP +'!$F27='4 SUP +'!$AG$17,((EG308*2)+(EI308*2))*'4 SUP +'!AB27,0)</f>
        <v>0</v>
      </c>
      <c r="EP308" s="838"/>
      <c r="EQ308" s="682">
        <f>IF('4 SUP +'!$F27='4 SUP +'!$AG$18,((EG308*2)+(EI308*2))*'4 SUP +'!AB27,0)</f>
        <v>0</v>
      </c>
      <c r="EW308" s="858"/>
      <c r="EX308" s="858"/>
      <c r="EY308" s="858"/>
      <c r="EZ308" s="858"/>
      <c r="FA308" s="858"/>
      <c r="FB308" s="858"/>
      <c r="FC308" s="858"/>
      <c r="FD308" s="858"/>
      <c r="FE308" s="858"/>
      <c r="FF308" s="858"/>
      <c r="FG308" s="858"/>
      <c r="FH308" s="858"/>
      <c r="FI308" s="858"/>
      <c r="FJ308" s="858"/>
      <c r="FK308" s="858"/>
      <c r="FL308" s="858"/>
      <c r="FM308" s="858"/>
      <c r="FN308" s="858"/>
      <c r="FO308" s="858"/>
      <c r="FP308" s="838"/>
      <c r="GM308" s="838"/>
      <c r="GN308" s="838"/>
      <c r="GO308" s="838"/>
      <c r="GP308" s="838"/>
      <c r="GQ308" s="838"/>
      <c r="GR308" s="838"/>
      <c r="GS308" s="838"/>
      <c r="HF308" s="700">
        <v>63</v>
      </c>
      <c r="HH308" s="591">
        <v>63</v>
      </c>
    </row>
    <row r="309" spans="37:216" ht="26.25" x14ac:dyDescent="0.4">
      <c r="AK309" s="777" t="b">
        <f>IF('4 SUP +'!$A30&gt;10,IF('4 SUP +'!$A30&lt;31.1,IF('4 SUP +'!$C30&gt;10,IF('4 SUP +'!$C30&lt;57.6,'4 SUP +'!$AB30,0))))</f>
        <v>0</v>
      </c>
      <c r="AL309" s="777" t="b">
        <f>IF('4 SUP +'!$A30&gt;10,IF('4 SUP +'!$A30&lt;31.1,IF('4 SUP +'!$C30&gt;57.6,IF('4 SUP +'!$C30&lt;71.6,'4 SUP +'!$AB30,0))))</f>
        <v>0</v>
      </c>
      <c r="AM309" s="777" t="b">
        <f>IF('4 SUP +'!$A30&gt;10,IF('4 SUP +'!$A30&lt;31.1,IF('4 SUP +'!$C30&gt;71.5,IF('4 SUP +'!$C30&lt;85.6,'4 SUP +'!$AB30,0))))</f>
        <v>0</v>
      </c>
      <c r="AN309" s="777" t="b">
        <f>IF('4 SUP +'!$A30&gt;10,IF('4 SUP +'!$A30&lt;31.1,IF('4 SUP +'!$C30&gt;85.5,IF('4 SUP +'!$C30&lt;113.6,'4 SUP +'!$AB30,0))))</f>
        <v>0</v>
      </c>
      <c r="AO309" s="777" t="b">
        <f>IF('4 SUP +'!$A30&gt;10,IF('4 SUP +'!$A30&lt;31.1,IF('4 SUP +'!$C30&gt;113.5,IF('4 SUP +'!$C30&lt;141.6,'4 SUP +'!$AB30,0))))</f>
        <v>0</v>
      </c>
      <c r="AP309" s="777" t="b">
        <f>IF('4 SUP +'!$A30&gt;10,IF('4 SUP +'!$A30&lt;31.1,IF('4 SUP +'!$C30&gt;141.5,IF('4 SUP +'!$C30&lt;180.6,'4 SUP +'!$AB30,0))))</f>
        <v>0</v>
      </c>
      <c r="AQ309" s="777" t="b">
        <f>IF('4 SUP +'!$A30&gt;10,IF('4 SUP +'!$A30&lt;31.1,IF('4 SUP +'!$C30&gt;180.5,IF('4 SUP +'!$C30&lt;240.1,'4 SUP +'!$AB30,0))))</f>
        <v>0</v>
      </c>
      <c r="AS309" s="777" t="b">
        <f>IF('4 SUP +'!$A30&gt;31,IF('4 SUP +'!$A30&lt;45.5,IF('4 SUP +'!$C30&gt;10,IF('4 SUP +'!$C30&lt;57.6,'4 SUP +'!$AB30,0))))</f>
        <v>0</v>
      </c>
      <c r="AT309" s="777" t="b">
        <f>IF('4 SUP +'!$A30&gt;31,IF('4 SUP +'!$A30&lt;45.5,IF('4 SUP +'!$C30&gt;57.6,IF('4 SUP +'!$C30&lt;71.6,'4 SUP +'!$AB30,0))))</f>
        <v>0</v>
      </c>
      <c r="AU309" s="777" t="b">
        <f>IF('4 SUP +'!$A30&gt;31,IF('4 SUP +'!$A30&lt;45.5,IF('4 SUP +'!$C30&gt;71.5,IF('4 SUP +'!$C30&lt;85.6,'4 SUP +'!$AB30,0))))</f>
        <v>0</v>
      </c>
      <c r="AV309" s="777" t="b">
        <f>IF('4 SUP +'!$A30&gt;31,IF('4 SUP +'!$A30&lt;45.5,IF('4 SUP +'!$C30&gt;85.5,IF('4 SUP +'!$C30&lt;113.6,'4 SUP +'!$AB30,0))))</f>
        <v>0</v>
      </c>
      <c r="AW309" s="777" t="b">
        <f>IF('4 SUP +'!$A30&gt;31,IF('4 SUP +'!$A30&lt;45.5,IF('4 SUP +'!$C30&gt;113.5,IF('4 SUP +'!$C30&lt;141.6,'4 SUP +'!$AB30,0))))</f>
        <v>0</v>
      </c>
      <c r="AX309" s="777" t="b">
        <f>IF('4 SUP +'!$A30&gt;31,IF('4 SUP +'!$A30&lt;45.5,IF('4 SUP +'!$C30&gt;141.5,IF('4 SUP +'!$C30&lt;180.6,'4 SUP +'!$AB30,0))))</f>
        <v>0</v>
      </c>
      <c r="AY309" s="777" t="b">
        <f>IF('4 SUP +'!$A30&gt;31,IF('4 SUP +'!$A30&lt;45.5,IF('4 SUP +'!$C30&gt;180.5,IF('4 SUP +'!$C30&lt;240.1,'4 SUP +'!$AB30,0))))</f>
        <v>0</v>
      </c>
      <c r="BA309" s="777" t="b">
        <f>IF('4 SUP +'!$A30&gt;45.4,IF('4 SUP +'!$A30&lt;61.6,IF('4 SUP +'!$C30&gt;10,IF('4 SUP +'!$C30&lt;61.5,'4 SUP +'!$AB30,0))))</f>
        <v>0</v>
      </c>
      <c r="BB309" s="777" t="b">
        <f>IF('4 SUP +'!$A30&gt;45.4,IF('4 SUP +'!$A30&lt;61.6,IF('4 SUP +'!$C30&gt;61.1,IF('4 SUP +'!$C30&lt;71.6,'4 SUP +'!$AB30,0))))</f>
        <v>0</v>
      </c>
      <c r="BC309" s="777" t="b">
        <f>IF('4 SUP +'!$A30&gt;45.4,IF('4 SUP +'!$A30&lt;61.6,IF('4 SUP +'!$C30&gt;71.5,IF('4 SUP +'!$C30&lt;85.6,'4 SUP +'!$AB30,0))))</f>
        <v>0</v>
      </c>
      <c r="BD309" s="777" t="b">
        <f>IF('4 SUP +'!$A30&gt;45.4,IF('4 SUP +'!$A30&lt;61.6,IF('4 SUP +'!$C30&gt;85.5,IF('4 SUP +'!$C30&lt;113.6,'4 SUP +'!$AB30,0))))</f>
        <v>0</v>
      </c>
      <c r="BE309" s="777" t="b">
        <f>IF('4 SUP +'!$A30&gt;45.4,IF('4 SUP +'!$A30&lt;61.6,IF('4 SUP +'!$C30&gt;113.5,IF('4 SUP +'!$C30&lt;121.6,'4 SUP +'!$AB30,0))))</f>
        <v>0</v>
      </c>
      <c r="BF309" s="777" t="b">
        <f>IF('4 SUP +'!$A30&gt;45.4,IF('4 SUP +'!$A30&lt;61.6,IF('4 SUP +'!$C30&gt;121.5,IF('4 SUP +'!$C30&lt;127.6,'4 SUP +'!$AB30,0))))</f>
        <v>0</v>
      </c>
      <c r="BG309" s="777" t="b">
        <f>IF('4 SUP +'!$A30&gt;45.4,IF('4 SUP +'!$A30&lt;61.6,IF('4 SUP +'!$C30&gt;127.5,IF('4 SUP +'!$C30&lt;135.1,'4 SUP +'!$AB30,0))))</f>
        <v>0</v>
      </c>
      <c r="BH309" s="777" t="b">
        <f>IF('4 SUP +'!$A30&gt;45.4,IF('4 SUP +'!$A30&lt;61.6,IF('4 SUP +'!$C30&gt;135,IF('4 SUP +'!$C30&lt;141.6,'4 SUP +'!$AB30,0))))</f>
        <v>0</v>
      </c>
      <c r="BI309" s="777" t="b">
        <f>IF('4 SUP +'!$A30&gt;45.4,IF('4 SUP +'!$A30&lt;61.6,IF('4 SUP +'!$C30&gt;141.5,IF('4 SUP +'!$C30&lt;149.1,'4 SUP +'!$AB30,0))))</f>
        <v>0</v>
      </c>
      <c r="BJ309" s="777" t="b">
        <f>IF('4 SUP +'!$A30&gt;45.4,IF('4 SUP +'!$A30&lt;61.6,IF('4 SUP +'!$C30&gt;149,IF('4 SUP +'!$C30&lt;155.6,'4 SUP +'!$AB30,0))))</f>
        <v>0</v>
      </c>
      <c r="BK309" s="777" t="b">
        <f>IF('4 SUP +'!$A30&gt;45.4,IF('4 SUP +'!$A30&lt;61.6,IF('4 SUP +'!$C30&gt;155.5,IF('4 SUP +'!$C30&lt;163.1,'4 SUP +'!$AB30,0))))</f>
        <v>0</v>
      </c>
      <c r="BL309" s="777" t="b">
        <f>IF('4 SUP +'!$A30&gt;45.4,IF('4 SUP +'!$A30&lt;61.6,IF('4 SUP +'!$C30&gt;163,IF('4 SUP +'!$C30&lt;180.6,'4 SUP +'!$AB30,0))))</f>
        <v>0</v>
      </c>
      <c r="BM309" s="777" t="b">
        <f>IF('4 SUP +'!$A30&gt;45.4,IF('4 SUP +'!$A30&lt;61.6,IF('4 SUP +'!$C30&gt;180.5,IF('4 SUP +'!$C30&lt;240.1,'4 SUP +'!$AB30,0))))</f>
        <v>0</v>
      </c>
      <c r="BO309" s="869" t="s">
        <v>541</v>
      </c>
      <c r="BQ309" s="870">
        <f>+$BJ$338</f>
        <v>0</v>
      </c>
      <c r="BS309" s="869"/>
      <c r="BT309" s="870">
        <f>+$BJ$339</f>
        <v>0</v>
      </c>
      <c r="BV309" s="777" t="b">
        <f>IF('4 SUP +'!$A30&gt;61.5,IF('4 SUP +'!$A30&lt;71.6,IF('4 SUP +'!$C30&gt;10,IF('4 SUP +'!$C30&lt;57.6,'4 SUP +'!$AB30,0))))</f>
        <v>0</v>
      </c>
      <c r="BW309" s="777" t="b">
        <f>IF('4 SUP +'!$A30&gt;61.5,IF('4 SUP +'!$A30&lt;71.6,IF('4 SUP +'!$C30&gt;57.6,IF('4 SUP +'!$C30&lt;71.6,'4 SUP +'!$AB30,0))))</f>
        <v>0</v>
      </c>
      <c r="BX309" s="777" t="b">
        <f>IF('4 SUP +'!$A30&gt;61.5,IF('4 SUP +'!$A30&lt;71.6,IF('4 SUP +'!$C30&gt;71.5,IF('4 SUP +'!$C30&lt;85.6,'4 SUP +'!$AB30,0))))</f>
        <v>0</v>
      </c>
      <c r="BY309" s="777" t="b">
        <f>IF('4 SUP +'!$A30&gt;61.5,IF('4 SUP +'!$A30&lt;71.6,IF('4 SUP +'!$C30&gt;85.5,IF('4 SUP +'!$C30&lt;113.6,'4 SUP +'!$AB30,0))))</f>
        <v>0</v>
      </c>
      <c r="BZ309" s="777" t="b">
        <f>IF('4 SUP +'!$A30&gt;61.5,IF('4 SUP +'!$A30&lt;71.6,IF('4 SUP +'!$C30&gt;113.5,IF('4 SUP +'!$C30&lt;141.6,'4 SUP +'!$AB30,0))))</f>
        <v>0</v>
      </c>
      <c r="CA309" s="777" t="b">
        <f>IF('4 SUP +'!$A30&gt;61.5,IF('4 SUP +'!$A30&lt;71.6,IF('4 SUP +'!$C30&gt;141.5,IF('4 SUP +'!$C30&lt;149.1,'4 SUP +'!$AB30,0))))</f>
        <v>0</v>
      </c>
      <c r="CB309" s="777" t="b">
        <f>IF('4 SUP +'!$A30&gt;61.5,IF('4 SUP +'!$A30&lt;71.6,IF('4 SUP +'!$C30&gt;149,IF('4 SUP +'!$C30&lt;163.1,'4 SUP +'!$AB30,0))))</f>
        <v>0</v>
      </c>
      <c r="CC309" s="777" t="b">
        <f>IF('4 SUP +'!$A30&gt;61.5,IF('4 SUP +'!$A30&lt;71.6,IF('4 SUP +'!$C30&gt;163,IF('4 SUP +'!$C30&lt;180.6,'4 SUP +'!$AB30,0))))</f>
        <v>0</v>
      </c>
      <c r="CD309" s="777" t="b">
        <f>IF('4 SUP +'!$A30&gt;61.5,IF('4 SUP +'!$A30&lt;71.6,IF('4 SUP +'!$C30&gt;180.5,IF('4 SUP +'!$C30&lt;240.1,'4 SUP +'!$AB30,0))))</f>
        <v>0</v>
      </c>
      <c r="CF309" s="777" t="b">
        <f>IF('4 SUP +'!$A30&gt;71.5,IF('4 SUP +'!$A30&lt;120.6,IF('4 SUP +'!$C30&gt;10,IF('4 SUP +'!$C30&lt;57.6,'4 SUP +'!$AB30,0))))</f>
        <v>0</v>
      </c>
      <c r="CG309" s="777" t="b">
        <f>IF('4 SUP +'!$A30&gt;71.5,IF('4 SUP +'!$A30&lt;120.6,IF('4 SUP +'!$C30&gt;57.6,IF('4 SUP +'!$C30&lt;71.6,'4 SUP +'!$AB30,0))))</f>
        <v>0</v>
      </c>
      <c r="CH309" s="777" t="b">
        <f>IF('4 SUP +'!$A30&gt;71.5,IF('4 SUP +'!$A30&lt;120.6,IF('4 SUP +'!$C30&gt;71.5,IF('4 SUP +'!$C30&lt;85.6,'4 SUP +'!$AB30,0))))</f>
        <v>0</v>
      </c>
      <c r="CI309" s="777" t="b">
        <f>IF('4 SUP +'!$A30&gt;71.5,IF('4 SUP +'!$A30&lt;120.6,IF('4 SUP +'!$C30&gt;85.5,IF('4 SUP +'!$C30&lt;113.6,'4 SUP +'!$AB30,0))))</f>
        <v>0</v>
      </c>
      <c r="CJ309" s="777" t="b">
        <f>IF('4 SUP +'!$A30&gt;71.5,IF('4 SUP +'!$A30&lt;120.6,IF('4 SUP +'!$C30&gt;113.5,IF('4 SUP +'!$C30&lt;141.6,'4 SUP +'!$AB30,0))))</f>
        <v>0</v>
      </c>
      <c r="CK309" s="777" t="b">
        <f>IF('4 SUP +'!$A30&gt;71.5,IF('4 SUP +'!$A30&lt;120.6,IF('4 SUP +'!$C30&gt;141.5,IF('4 SUP +'!$C30&lt;180.6,'4 SUP +'!$AB30,0))))</f>
        <v>0</v>
      </c>
      <c r="CL309" s="777" t="b">
        <f>IF('4 SUP +'!$A30&gt;71.5,IF('4 SUP +'!$A30&lt;120.6,IF('4 SUP +'!$C30&gt;180.5,IF('4 SUP +'!$C30&lt;240.1,'4 SUP +'!$AB30,0))))</f>
        <v>0</v>
      </c>
      <c r="CN309" s="777">
        <f>IF('4 SUP +'!$C30&lt;150,IF(OR('4 SUP +'!$A30="MICRODER",'4 SUP +'!$A30="MICRO DER",),'4 SUP +'!$AB30,0))</f>
        <v>0</v>
      </c>
      <c r="CO309" s="777" t="b">
        <f>IF('4 SUP +'!$C30&gt;149.5,IF(OR('4 SUP +'!$A30="MICRODER",'4 SUP +'!$A30="MICRO DER",),'4 SUP +'!$AB30,0))</f>
        <v>0</v>
      </c>
      <c r="CP309" s="847"/>
      <c r="CQ309" s="777">
        <f>IF('4 SUP +'!$C30&lt;150,IF(OR('4 SUP +'!$A30="MICROIZQ",'4 SUP +'!$A30="MICRO IZQ",),'4 SUP +'!$AB30,0))</f>
        <v>0</v>
      </c>
      <c r="CR309" s="777" t="b">
        <f>IF('4 SUP +'!$C30&gt;149.5,IF(OR('4 SUP +'!$A30="MICROIZQ",'4 SUP +'!$A30="MICRO IZQ",),'4 SUP +'!$AB30,0))</f>
        <v>0</v>
      </c>
      <c r="CT309" s="837">
        <f>IF(OR('4 SUP +'!$A30="MICRO SEN",'4 SUP +'!$A30="MICROSEN",),'4 SUP +'!$AB30,0)</f>
        <v>0</v>
      </c>
      <c r="CV309" s="837" t="b">
        <f>IF('4 SUP +'!$A30="DIAMETRO",IF('4 SUP +'!$C30&lt;121.1,'4 SUP +'!$AB30,0))</f>
        <v>0</v>
      </c>
      <c r="CX309" s="858"/>
      <c r="CZ309" s="837" t="b">
        <f>IF('4 SUP +'!$A30="MOSTRADOR",IF('4 SUP +'!$C30="R60",'4 SUP +'!$AB30,0))</f>
        <v>0</v>
      </c>
      <c r="DB309" s="837">
        <f>IF(OR('4 SUP +'!$A30="PORTA PRIN",'4 SUP +'!$A30="PORTAPRIN",),'4 SUP +'!$AB30,0)</f>
        <v>0</v>
      </c>
      <c r="DD309" s="837">
        <f>IF(OR('4 SUP +'!$A30="PORTA BADE",'4 SUP +'!$A30="PORTABADE",),'4 SUP +'!$AB30,0)</f>
        <v>0</v>
      </c>
      <c r="DE309" s="837"/>
      <c r="DF309" s="837">
        <f>IF(OR('4 SUP +'!$A30="RETORNO IZQ",'4 SUP +'!$A30="RETORNO DER",),'4 SUP +'!$AB218,0)</f>
        <v>0</v>
      </c>
      <c r="DG309" s="837"/>
      <c r="DH309" s="837">
        <f>IF(OR('4 SUP +'!$A30="PITO Q",'4 SUP +'!$A30="PITO P",'4 SUP +'!$A30="DIAMETRO INTEGRADA",),'4 SUP +'!$AB30,0)</f>
        <v>0</v>
      </c>
      <c r="DJ309" s="858"/>
      <c r="DK309" s="837"/>
      <c r="DL309" s="837">
        <f>IF('4 SUP +'!$A30="SUPERFICIE OVAL",'4 SUP +'!$AB30,0)</f>
        <v>0</v>
      </c>
      <c r="DN309" s="838"/>
      <c r="DO309" s="838"/>
      <c r="DP309" s="858"/>
      <c r="DQ309" s="858"/>
      <c r="DR309" s="858"/>
      <c r="DS309" s="858"/>
      <c r="DT309" s="858"/>
      <c r="DU309" s="858"/>
      <c r="DV309" s="858"/>
      <c r="DW309" s="838"/>
      <c r="DX309" s="858"/>
      <c r="DY309" s="858"/>
      <c r="DZ309" s="858"/>
      <c r="EA309" s="838"/>
      <c r="EB309" s="838"/>
      <c r="EC309" s="838"/>
      <c r="ED309" s="838"/>
      <c r="EG309" s="682">
        <f>IF('4 SUP +'!A28="MICRO DER",85,IF('4 SUP +'!A28="MICRO IZQ",85,IF('4 SUP +'!A28="MICRO SEN",170,IF('4 SUP +'!A28="DIAMETRO",3.14*'4 SUP +'!C28/2,IF('4 SUP +'!A28="MOSTRADOR",136,IF('4 SUP +'!A28="PORTA",65,IF('4 SUP +'!A28="PITO Q",90,IF('4 SUP +'!A28="PITO P",90,'4 SUP +'!A28))))))))</f>
        <v>0</v>
      </c>
      <c r="EH309" s="682"/>
      <c r="EI309" s="682">
        <f>IF('4 SUP +'!A28="DIAMETRO",0,IF('4 SUP +'!C28="PRINCIPAL",160,IF('4 SUP +'!C28="BADE",190,IF('4 SUP +'!C28="RETORNO",100,IF('4 SUP +'!C28="R 60",100,IF('4 SUP +'!C28="R60",100,'4 SUP +'!C28))))))</f>
        <v>0</v>
      </c>
      <c r="EJ309" s="682"/>
      <c r="EK309" s="682">
        <f>IF('4 SUP +'!$F28='4 SUP +'!$AG$15,((EG309*2)+(EI309*2))*'4 SUP +'!AB28,0)</f>
        <v>0</v>
      </c>
      <c r="EL309" s="682"/>
      <c r="EM309" s="682">
        <f>IF('4 SUP +'!$F28='4 SUP +'!$AG$16,((EG309*2)+(EI309*2))*'4 SUP +'!AB28,0)</f>
        <v>0</v>
      </c>
      <c r="EO309" s="682">
        <f>IF('4 SUP +'!$F28='4 SUP +'!$AG$17,((EG309*2)+(EI309*2))*'4 SUP +'!AB28,0)</f>
        <v>0</v>
      </c>
      <c r="EP309" s="838"/>
      <c r="EQ309" s="682">
        <f>IF('4 SUP +'!$F28='4 SUP +'!$AG$18,((EG309*2)+(EI309*2))*'4 SUP +'!AB28,0)</f>
        <v>0</v>
      </c>
      <c r="ER309" s="838"/>
      <c r="ES309" s="838"/>
      <c r="ET309" s="838"/>
      <c r="EU309" s="838"/>
      <c r="EV309" s="838"/>
      <c r="EW309" s="838"/>
      <c r="EX309" s="838"/>
      <c r="EY309" s="838"/>
      <c r="EZ309" s="838"/>
      <c r="FA309" s="858"/>
      <c r="FB309" s="858"/>
      <c r="FC309" s="858"/>
      <c r="FD309" s="858"/>
      <c r="FE309" s="858"/>
      <c r="FF309" s="858"/>
      <c r="FG309" s="858"/>
      <c r="FH309" s="858"/>
      <c r="FI309" s="858"/>
      <c r="FJ309" s="838"/>
      <c r="FK309" s="858"/>
      <c r="FL309" s="858"/>
      <c r="FM309" s="858"/>
      <c r="FN309" s="858"/>
      <c r="FO309" s="858"/>
      <c r="FP309" s="838"/>
      <c r="GM309" s="838"/>
      <c r="GN309" s="838"/>
      <c r="GO309" s="838"/>
      <c r="GP309" s="838"/>
      <c r="GQ309" s="838"/>
      <c r="GR309" s="838"/>
      <c r="GS309" s="838"/>
      <c r="HF309" s="700">
        <v>63.5</v>
      </c>
      <c r="HH309" s="591">
        <v>63.5</v>
      </c>
    </row>
    <row r="310" spans="37:216" ht="26.25" x14ac:dyDescent="0.4">
      <c r="AK310" s="777" t="b">
        <f>IF('4 SUP +'!$A31&gt;10,IF('4 SUP +'!$A31&lt;31.1,IF('4 SUP +'!$C31&gt;10,IF('4 SUP +'!$C31&lt;57.6,'4 SUP +'!$AB31,0))))</f>
        <v>0</v>
      </c>
      <c r="AL310" s="777" t="b">
        <f>IF('4 SUP +'!$A31&gt;10,IF('4 SUP +'!$A31&lt;31.1,IF('4 SUP +'!$C31&gt;57.6,IF('4 SUP +'!$C31&lt;71.6,'4 SUP +'!$AB31,0))))</f>
        <v>0</v>
      </c>
      <c r="AM310" s="777" t="b">
        <f>IF('4 SUP +'!$A31&gt;10,IF('4 SUP +'!$A31&lt;31.1,IF('4 SUP +'!$C31&gt;71.5,IF('4 SUP +'!$C31&lt;85.6,'4 SUP +'!$AB31,0))))</f>
        <v>0</v>
      </c>
      <c r="AN310" s="777" t="b">
        <f>IF('4 SUP +'!$A31&gt;10,IF('4 SUP +'!$A31&lt;31.1,IF('4 SUP +'!$C31&gt;85.5,IF('4 SUP +'!$C31&lt;113.6,'4 SUP +'!$AB31,0))))</f>
        <v>0</v>
      </c>
      <c r="AO310" s="777" t="b">
        <f>IF('4 SUP +'!$A31&gt;10,IF('4 SUP +'!$A31&lt;31.1,IF('4 SUP +'!$C31&gt;113.5,IF('4 SUP +'!$C31&lt;141.6,'4 SUP +'!$AB31,0))))</f>
        <v>0</v>
      </c>
      <c r="AP310" s="777" t="b">
        <f>IF('4 SUP +'!$A31&gt;10,IF('4 SUP +'!$A31&lt;31.1,IF('4 SUP +'!$C31&gt;141.5,IF('4 SUP +'!$C31&lt;180.6,'4 SUP +'!$AB31,0))))</f>
        <v>0</v>
      </c>
      <c r="AQ310" s="777" t="b">
        <f>IF('4 SUP +'!$A31&gt;10,IF('4 SUP +'!$A31&lt;31.1,IF('4 SUP +'!$C31&gt;180.5,IF('4 SUP +'!$C31&lt;240.1,'4 SUP +'!$AB31,0))))</f>
        <v>0</v>
      </c>
      <c r="AS310" s="777" t="b">
        <f>IF('4 SUP +'!$A31&gt;31,IF('4 SUP +'!$A31&lt;45.5,IF('4 SUP +'!$C31&gt;10,IF('4 SUP +'!$C31&lt;57.6,'4 SUP +'!$AB31,0))))</f>
        <v>0</v>
      </c>
      <c r="AT310" s="777" t="b">
        <f>IF('4 SUP +'!$A31&gt;31,IF('4 SUP +'!$A31&lt;45.5,IF('4 SUP +'!$C31&gt;57.6,IF('4 SUP +'!$C31&lt;71.6,'4 SUP +'!$AB31,0))))</f>
        <v>0</v>
      </c>
      <c r="AU310" s="777" t="b">
        <f>IF('4 SUP +'!$A31&gt;31,IF('4 SUP +'!$A31&lt;45.5,IF('4 SUP +'!$C31&gt;71.5,IF('4 SUP +'!$C31&lt;85.6,'4 SUP +'!$AB31,0))))</f>
        <v>0</v>
      </c>
      <c r="AV310" s="777" t="b">
        <f>IF('4 SUP +'!$A31&gt;31,IF('4 SUP +'!$A31&lt;45.5,IF('4 SUP +'!$C31&gt;85.5,IF('4 SUP +'!$C31&lt;113.6,'4 SUP +'!$AB31,0))))</f>
        <v>0</v>
      </c>
      <c r="AW310" s="777" t="b">
        <f>IF('4 SUP +'!$A31&gt;31,IF('4 SUP +'!$A31&lt;45.5,IF('4 SUP +'!$C31&gt;113.5,IF('4 SUP +'!$C31&lt;141.6,'4 SUP +'!$AB31,0))))</f>
        <v>0</v>
      </c>
      <c r="AX310" s="777" t="b">
        <f>IF('4 SUP +'!$A31&gt;31,IF('4 SUP +'!$A31&lt;45.5,IF('4 SUP +'!$C31&gt;141.5,IF('4 SUP +'!$C31&lt;180.6,'4 SUP +'!$AB31,0))))</f>
        <v>0</v>
      </c>
      <c r="AY310" s="777" t="b">
        <f>IF('4 SUP +'!$A31&gt;31,IF('4 SUP +'!$A31&lt;45.5,IF('4 SUP +'!$C31&gt;180.5,IF('4 SUP +'!$C31&lt;240.1,'4 SUP +'!$AB31,0))))</f>
        <v>0</v>
      </c>
      <c r="BA310" s="777" t="b">
        <f>IF('4 SUP +'!$A31&gt;45.4,IF('4 SUP +'!$A31&lt;61.6,IF('4 SUP +'!$C31&gt;10,IF('4 SUP +'!$C31&lt;61.5,'4 SUP +'!$AB31,0))))</f>
        <v>0</v>
      </c>
      <c r="BB310" s="777" t="b">
        <f>IF('4 SUP +'!$A31&gt;45.4,IF('4 SUP +'!$A31&lt;61.6,IF('4 SUP +'!$C31&gt;61.1,IF('4 SUP +'!$C31&lt;71.6,'4 SUP +'!$AB31,0))))</f>
        <v>0</v>
      </c>
      <c r="BC310" s="777" t="b">
        <f>IF('4 SUP +'!$A31&gt;45.4,IF('4 SUP +'!$A31&lt;61.6,IF('4 SUP +'!$C31&gt;71.5,IF('4 SUP +'!$C31&lt;85.6,'4 SUP +'!$AB31,0))))</f>
        <v>0</v>
      </c>
      <c r="BD310" s="777" t="b">
        <f>IF('4 SUP +'!$A31&gt;45.4,IF('4 SUP +'!$A31&lt;61.6,IF('4 SUP +'!$C31&gt;85.5,IF('4 SUP +'!$C31&lt;113.6,'4 SUP +'!$AB31,0))))</f>
        <v>0</v>
      </c>
      <c r="BE310" s="777" t="b">
        <f>IF('4 SUP +'!$A31&gt;45.4,IF('4 SUP +'!$A31&lt;61.6,IF('4 SUP +'!$C31&gt;113.5,IF('4 SUP +'!$C31&lt;121.6,'4 SUP +'!$AB31,0))))</f>
        <v>0</v>
      </c>
      <c r="BF310" s="777" t="b">
        <f>IF('4 SUP +'!$A31&gt;45.4,IF('4 SUP +'!$A31&lt;61.6,IF('4 SUP +'!$C31&gt;121.5,IF('4 SUP +'!$C31&lt;127.6,'4 SUP +'!$AB31,0))))</f>
        <v>0</v>
      </c>
      <c r="BG310" s="777" t="b">
        <f>IF('4 SUP +'!$A31&gt;45.4,IF('4 SUP +'!$A31&lt;61.6,IF('4 SUP +'!$C31&gt;127.5,IF('4 SUP +'!$C31&lt;135.1,'4 SUP +'!$AB31,0))))</f>
        <v>0</v>
      </c>
      <c r="BH310" s="777" t="b">
        <f>IF('4 SUP +'!$A31&gt;45.4,IF('4 SUP +'!$A31&lt;61.6,IF('4 SUP +'!$C31&gt;135,IF('4 SUP +'!$C31&lt;141.6,'4 SUP +'!$AB31,0))))</f>
        <v>0</v>
      </c>
      <c r="BI310" s="777" t="b">
        <f>IF('4 SUP +'!$A31&gt;45.4,IF('4 SUP +'!$A31&lt;61.6,IF('4 SUP +'!$C31&gt;141.5,IF('4 SUP +'!$C31&lt;149.1,'4 SUP +'!$AB31,0))))</f>
        <v>0</v>
      </c>
      <c r="BJ310" s="777" t="b">
        <f>IF('4 SUP +'!$A31&gt;45.4,IF('4 SUP +'!$A31&lt;61.6,IF('4 SUP +'!$C31&gt;149,IF('4 SUP +'!$C31&lt;155.6,'4 SUP +'!$AB31,0))))</f>
        <v>0</v>
      </c>
      <c r="BK310" s="777" t="b">
        <f>IF('4 SUP +'!$A31&gt;45.4,IF('4 SUP +'!$A31&lt;61.6,IF('4 SUP +'!$C31&gt;155.5,IF('4 SUP +'!$C31&lt;163.1,'4 SUP +'!$AB31,0))))</f>
        <v>0</v>
      </c>
      <c r="BL310" s="777" t="b">
        <f>IF('4 SUP +'!$A31&gt;45.4,IF('4 SUP +'!$A31&lt;61.6,IF('4 SUP +'!$C31&gt;163,IF('4 SUP +'!$C31&lt;180.6,'4 SUP +'!$AB31,0))))</f>
        <v>0</v>
      </c>
      <c r="BM310" s="777" t="b">
        <f>IF('4 SUP +'!$A31&gt;45.4,IF('4 SUP +'!$A31&lt;61.6,IF('4 SUP +'!$C31&gt;180.5,IF('4 SUP +'!$C31&lt;240.1,'4 SUP +'!$AB31,0))))</f>
        <v>0</v>
      </c>
      <c r="BO310" s="869" t="s">
        <v>542</v>
      </c>
      <c r="BQ310" s="870">
        <f>+$BK$338</f>
        <v>0</v>
      </c>
      <c r="BS310" s="869"/>
      <c r="BT310" s="870">
        <f>+$BK$339</f>
        <v>0</v>
      </c>
      <c r="BV310" s="777" t="b">
        <f>IF('4 SUP +'!$A31&gt;61.5,IF('4 SUP +'!$A31&lt;71.6,IF('4 SUP +'!$C31&gt;10,IF('4 SUP +'!$C31&lt;57.6,'4 SUP +'!$AB31,0))))</f>
        <v>0</v>
      </c>
      <c r="BW310" s="777" t="b">
        <f>IF('4 SUP +'!$A31&gt;61.5,IF('4 SUP +'!$A31&lt;71.6,IF('4 SUP +'!$C31&gt;57.6,IF('4 SUP +'!$C31&lt;71.6,'4 SUP +'!$AB31,0))))</f>
        <v>0</v>
      </c>
      <c r="BX310" s="777" t="b">
        <f>IF('4 SUP +'!$A31&gt;61.5,IF('4 SUP +'!$A31&lt;71.6,IF('4 SUP +'!$C31&gt;71.5,IF('4 SUP +'!$C31&lt;85.6,'4 SUP +'!$AB31,0))))</f>
        <v>0</v>
      </c>
      <c r="BY310" s="777" t="b">
        <f>IF('4 SUP +'!$A31&gt;61.5,IF('4 SUP +'!$A31&lt;71.6,IF('4 SUP +'!$C31&gt;85.5,IF('4 SUP +'!$C31&lt;113.6,'4 SUP +'!$AB31,0))))</f>
        <v>0</v>
      </c>
      <c r="BZ310" s="777" t="b">
        <f>IF('4 SUP +'!$A31&gt;61.5,IF('4 SUP +'!$A31&lt;71.6,IF('4 SUP +'!$C31&gt;113.5,IF('4 SUP +'!$C31&lt;141.6,'4 SUP +'!$AB31,0))))</f>
        <v>0</v>
      </c>
      <c r="CA310" s="777" t="b">
        <f>IF('4 SUP +'!$A31&gt;61.5,IF('4 SUP +'!$A31&lt;71.6,IF('4 SUP +'!$C31&gt;141.5,IF('4 SUP +'!$C31&lt;149.1,'4 SUP +'!$AB31,0))))</f>
        <v>0</v>
      </c>
      <c r="CB310" s="777" t="b">
        <f>IF('4 SUP +'!$A31&gt;61.5,IF('4 SUP +'!$A31&lt;71.6,IF('4 SUP +'!$C31&gt;149,IF('4 SUP +'!$C31&lt;163.1,'4 SUP +'!$AB31,0))))</f>
        <v>0</v>
      </c>
      <c r="CC310" s="777" t="b">
        <f>IF('4 SUP +'!$A31&gt;61.5,IF('4 SUP +'!$A31&lt;71.6,IF('4 SUP +'!$C31&gt;163,IF('4 SUP +'!$C31&lt;180.6,'4 SUP +'!$AB31,0))))</f>
        <v>0</v>
      </c>
      <c r="CD310" s="777" t="b">
        <f>IF('4 SUP +'!$A31&gt;61.5,IF('4 SUP +'!$A31&lt;71.6,IF('4 SUP +'!$C31&gt;180.5,IF('4 SUP +'!$C31&lt;240.1,'4 SUP +'!$AB31,0))))</f>
        <v>0</v>
      </c>
      <c r="CF310" s="777" t="b">
        <f>IF('4 SUP +'!$A31&gt;71.5,IF('4 SUP +'!$A31&lt;120.6,IF('4 SUP +'!$C31&gt;10,IF('4 SUP +'!$C31&lt;57.6,'4 SUP +'!$AB31,0))))</f>
        <v>0</v>
      </c>
      <c r="CG310" s="777" t="b">
        <f>IF('4 SUP +'!$A31&gt;71.5,IF('4 SUP +'!$A31&lt;120.6,IF('4 SUP +'!$C31&gt;57.6,IF('4 SUP +'!$C31&lt;71.6,'4 SUP +'!$AB31,0))))</f>
        <v>0</v>
      </c>
      <c r="CH310" s="777" t="b">
        <f>IF('4 SUP +'!$A31&gt;71.5,IF('4 SUP +'!$A31&lt;120.6,IF('4 SUP +'!$C31&gt;71.5,IF('4 SUP +'!$C31&lt;85.6,'4 SUP +'!$AB31,0))))</f>
        <v>0</v>
      </c>
      <c r="CI310" s="777" t="b">
        <f>IF('4 SUP +'!$A31&gt;71.5,IF('4 SUP +'!$A31&lt;120.6,IF('4 SUP +'!$C31&gt;85.5,IF('4 SUP +'!$C31&lt;113.6,'4 SUP +'!$AB31,0))))</f>
        <v>0</v>
      </c>
      <c r="CJ310" s="777" t="b">
        <f>IF('4 SUP +'!$A31&gt;71.5,IF('4 SUP +'!$A31&lt;120.6,IF('4 SUP +'!$C31&gt;113.5,IF('4 SUP +'!$C31&lt;141.6,'4 SUP +'!$AB31,0))))</f>
        <v>0</v>
      </c>
      <c r="CK310" s="777" t="b">
        <f>IF('4 SUP +'!$A31&gt;71.5,IF('4 SUP +'!$A31&lt;120.6,IF('4 SUP +'!$C31&gt;141.5,IF('4 SUP +'!$C31&lt;180.6,'4 SUP +'!$AB31,0))))</f>
        <v>0</v>
      </c>
      <c r="CL310" s="777" t="b">
        <f>IF('4 SUP +'!$A31&gt;71.5,IF('4 SUP +'!$A31&lt;120.6,IF('4 SUP +'!$C31&gt;180.5,IF('4 SUP +'!$C31&lt;240.1,'4 SUP +'!$AB31,0))))</f>
        <v>0</v>
      </c>
      <c r="CN310" s="777">
        <f>IF('4 SUP +'!$C31&lt;150,IF(OR('4 SUP +'!$A31="MICRODER",'4 SUP +'!$A31="MICRO DER",),'4 SUP +'!$AB31,0))</f>
        <v>0</v>
      </c>
      <c r="CO310" s="777" t="b">
        <f>IF('4 SUP +'!$C31&gt;149.5,IF(OR('4 SUP +'!$A31="MICRODER",'4 SUP +'!$A31="MICRO DER",),'4 SUP +'!$AB31,0))</f>
        <v>0</v>
      </c>
      <c r="CP310" s="847"/>
      <c r="CQ310" s="777">
        <f>IF('4 SUP +'!$C31&lt;150,IF(OR('4 SUP +'!$A31="MICROIZQ",'4 SUP +'!$A31="MICRO IZQ",),'4 SUP +'!$AB31,0))</f>
        <v>0</v>
      </c>
      <c r="CR310" s="777" t="b">
        <f>IF('4 SUP +'!$C31&gt;149.5,IF(OR('4 SUP +'!$A31="MICROIZQ",'4 SUP +'!$A31="MICRO IZQ",),'4 SUP +'!$AB31,0))</f>
        <v>0</v>
      </c>
      <c r="CT310" s="837">
        <f>IF(OR('4 SUP +'!$A31="MICRO SEN",'4 SUP +'!$A31="MICROSEN",),'4 SUP +'!$AB31,0)</f>
        <v>0</v>
      </c>
      <c r="CV310" s="837" t="b">
        <f>IF('4 SUP +'!$A31="DIAMETRO",IF('4 SUP +'!$C31&lt;121.1,'4 SUP +'!$AB31,0))</f>
        <v>0</v>
      </c>
      <c r="CX310" s="858"/>
      <c r="CZ310" s="837" t="b">
        <f>IF('4 SUP +'!$A31="MOSTRADOR",IF('4 SUP +'!$C31="R60",'4 SUP +'!$AB31,0))</f>
        <v>0</v>
      </c>
      <c r="DB310" s="837">
        <f>IF(OR('4 SUP +'!$A31="PORTA PRIN",'4 SUP +'!$A31="PORTAPRIN",),'4 SUP +'!$AB31,0)</f>
        <v>0</v>
      </c>
      <c r="DD310" s="837">
        <f>IF(OR('4 SUP +'!$A31="PORTA BADE",'4 SUP +'!$A31="PORTABADE",),'4 SUP +'!$AB31,0)</f>
        <v>0</v>
      </c>
      <c r="DE310" s="837"/>
      <c r="DF310" s="837">
        <f>IF(OR('4 SUP +'!$A31="RETORNO IZQ",'4 SUP +'!$A31="RETORNO DER",),'4 SUP +'!$AB219,0)</f>
        <v>0</v>
      </c>
      <c r="DG310" s="837"/>
      <c r="DH310" s="837">
        <f>IF(OR('4 SUP +'!$A31="PITO Q",'4 SUP +'!$A31="PITO P",'4 SUP +'!$A31="DIAMETRO INTEGRADA",),'4 SUP +'!$AB31,0)</f>
        <v>0</v>
      </c>
      <c r="DJ310" s="858"/>
      <c r="DK310" s="837"/>
      <c r="DL310" s="837">
        <f>IF('4 SUP +'!$A31="SUPERFICIE OVAL",'4 SUP +'!$AB31,0)</f>
        <v>0</v>
      </c>
      <c r="DN310" s="838"/>
      <c r="DO310" s="838"/>
      <c r="DP310" s="838"/>
      <c r="DQ310" s="855"/>
      <c r="DR310" s="838"/>
      <c r="DS310" s="1096"/>
      <c r="DT310" s="1096"/>
      <c r="DU310" s="838"/>
      <c r="DV310" s="999"/>
      <c r="DW310" s="838"/>
      <c r="DX310" s="838"/>
      <c r="DY310" s="855"/>
      <c r="DZ310" s="838"/>
      <c r="EA310" s="838"/>
      <c r="EB310" s="838"/>
      <c r="EC310" s="838"/>
      <c r="ED310" s="838"/>
      <c r="EG310" s="682">
        <f>IF('4 SUP +'!A29="MICRO DER",85,IF('4 SUP +'!A29="MICRO IZQ",85,IF('4 SUP +'!A29="MICRO SEN",170,IF('4 SUP +'!A29="DIAMETRO",3.14*'4 SUP +'!C29/2,IF('4 SUP +'!A29="MOSTRADOR",136,IF('4 SUP +'!A29="PORTA",65,IF('4 SUP +'!A29="PITO Q",90,IF('4 SUP +'!A29="PITO P",90,'4 SUP +'!A29))))))))</f>
        <v>0</v>
      </c>
      <c r="EH310" s="682"/>
      <c r="EI310" s="682">
        <f>IF('4 SUP +'!A29="DIAMETRO",0,IF('4 SUP +'!C29="PRINCIPAL",160,IF('4 SUP +'!C29="BADE",190,IF('4 SUP +'!C29="RETORNO",100,IF('4 SUP +'!C29="R 60",100,IF('4 SUP +'!C29="R60",100,'4 SUP +'!C29))))))</f>
        <v>0</v>
      </c>
      <c r="EJ310" s="682"/>
      <c r="EK310" s="682">
        <f>IF('4 SUP +'!$F29='4 SUP +'!$AG$15,((EG310*2)+(EI310*2))*'4 SUP +'!AB29,0)</f>
        <v>0</v>
      </c>
      <c r="EL310" s="682"/>
      <c r="EM310" s="682">
        <f>IF('4 SUP +'!$F29='4 SUP +'!$AG$16,((EG310*2)+(EI310*2))*'4 SUP +'!AB29,0)</f>
        <v>0</v>
      </c>
      <c r="EO310" s="682">
        <f>IF('4 SUP +'!$F29='4 SUP +'!$AG$17,((EG310*2)+(EI310*2))*'4 SUP +'!AB29,0)</f>
        <v>0</v>
      </c>
      <c r="EP310" s="838"/>
      <c r="EQ310" s="682">
        <f>IF('4 SUP +'!$F29='4 SUP +'!$AG$18,((EG310*2)+(EI310*2))*'4 SUP +'!AB29,0)</f>
        <v>0</v>
      </c>
      <c r="ER310" s="838"/>
      <c r="ES310" s="838"/>
      <c r="ET310" s="838"/>
      <c r="EU310" s="838"/>
      <c r="EV310" s="838"/>
      <c r="EW310" s="838"/>
      <c r="EX310" s="838"/>
      <c r="EY310" s="838"/>
      <c r="EZ310" s="838"/>
      <c r="FA310" s="838"/>
      <c r="FB310" s="855"/>
      <c r="FC310" s="838"/>
      <c r="FD310" s="1096"/>
      <c r="FE310" s="1096"/>
      <c r="FF310" s="1096"/>
      <c r="FG310" s="1096"/>
      <c r="FH310" s="838"/>
      <c r="FI310" s="999"/>
      <c r="FJ310" s="838"/>
      <c r="FK310" s="838"/>
      <c r="FL310" s="855"/>
      <c r="FM310" s="838"/>
      <c r="FN310" s="1096"/>
      <c r="FO310" s="1096"/>
      <c r="FP310" s="838"/>
      <c r="GM310" s="1081"/>
      <c r="GN310" s="855"/>
      <c r="GO310" s="1098"/>
      <c r="GP310" s="855"/>
      <c r="GQ310" s="1098"/>
      <c r="GR310" s="838"/>
      <c r="GS310" s="838"/>
      <c r="HF310" s="700">
        <v>64</v>
      </c>
      <c r="HH310" s="591">
        <v>64</v>
      </c>
    </row>
    <row r="311" spans="37:216" ht="26.25" x14ac:dyDescent="0.4">
      <c r="AK311" s="777" t="b">
        <f>IF('4 SUP +'!$A32&gt;10,IF('4 SUP +'!$A32&lt;31.1,IF('4 SUP +'!$C32&gt;10,IF('4 SUP +'!$C32&lt;57.6,'4 SUP +'!$AB32,0))))</f>
        <v>0</v>
      </c>
      <c r="AL311" s="777" t="b">
        <f>IF('4 SUP +'!$A32&gt;10,IF('4 SUP +'!$A32&lt;31.1,IF('4 SUP +'!$C32&gt;57.6,IF('4 SUP +'!$C32&lt;71.6,'4 SUP +'!$AB32,0))))</f>
        <v>0</v>
      </c>
      <c r="AM311" s="777" t="b">
        <f>IF('4 SUP +'!$A32&gt;10,IF('4 SUP +'!$A32&lt;31.1,IF('4 SUP +'!$C32&gt;71.5,IF('4 SUP +'!$C32&lt;85.6,'4 SUP +'!$AB32,0))))</f>
        <v>0</v>
      </c>
      <c r="AN311" s="777" t="b">
        <f>IF('4 SUP +'!$A32&gt;10,IF('4 SUP +'!$A32&lt;31.1,IF('4 SUP +'!$C32&gt;85.5,IF('4 SUP +'!$C32&lt;113.6,'4 SUP +'!$AB32,0))))</f>
        <v>0</v>
      </c>
      <c r="AO311" s="777" t="b">
        <f>IF('4 SUP +'!$A32&gt;10,IF('4 SUP +'!$A32&lt;31.1,IF('4 SUP +'!$C32&gt;113.5,IF('4 SUP +'!$C32&lt;141.6,'4 SUP +'!$AB32,0))))</f>
        <v>0</v>
      </c>
      <c r="AP311" s="777" t="b">
        <f>IF('4 SUP +'!$A32&gt;10,IF('4 SUP +'!$A32&lt;31.1,IF('4 SUP +'!$C32&gt;141.5,IF('4 SUP +'!$C32&lt;180.6,'4 SUP +'!$AB32,0))))</f>
        <v>0</v>
      </c>
      <c r="AQ311" s="777" t="b">
        <f>IF('4 SUP +'!$A32&gt;10,IF('4 SUP +'!$A32&lt;31.1,IF('4 SUP +'!$C32&gt;180.5,IF('4 SUP +'!$C32&lt;240.1,'4 SUP +'!$AB32,0))))</f>
        <v>0</v>
      </c>
      <c r="AS311" s="777" t="b">
        <f>IF('4 SUP +'!$A32&gt;31,IF('4 SUP +'!$A32&lt;45.5,IF('4 SUP +'!$C32&gt;10,IF('4 SUP +'!$C32&lt;57.6,'4 SUP +'!$AB32,0))))</f>
        <v>0</v>
      </c>
      <c r="AT311" s="777" t="b">
        <f>IF('4 SUP +'!$A32&gt;31,IF('4 SUP +'!$A32&lt;45.5,IF('4 SUP +'!$C32&gt;57.6,IF('4 SUP +'!$C32&lt;71.6,'4 SUP +'!$AB32,0))))</f>
        <v>0</v>
      </c>
      <c r="AU311" s="777" t="b">
        <f>IF('4 SUP +'!$A32&gt;31,IF('4 SUP +'!$A32&lt;45.5,IF('4 SUP +'!$C32&gt;71.5,IF('4 SUP +'!$C32&lt;85.6,'4 SUP +'!$AB32,0))))</f>
        <v>0</v>
      </c>
      <c r="AV311" s="777" t="b">
        <f>IF('4 SUP +'!$A32&gt;31,IF('4 SUP +'!$A32&lt;45.5,IF('4 SUP +'!$C32&gt;85.5,IF('4 SUP +'!$C32&lt;113.6,'4 SUP +'!$AB32,0))))</f>
        <v>0</v>
      </c>
      <c r="AW311" s="777" t="b">
        <f>IF('4 SUP +'!$A32&gt;31,IF('4 SUP +'!$A32&lt;45.5,IF('4 SUP +'!$C32&gt;113.5,IF('4 SUP +'!$C32&lt;141.6,'4 SUP +'!$AB32,0))))</f>
        <v>0</v>
      </c>
      <c r="AX311" s="777" t="b">
        <f>IF('4 SUP +'!$A32&gt;31,IF('4 SUP +'!$A32&lt;45.5,IF('4 SUP +'!$C32&gt;141.5,IF('4 SUP +'!$C32&lt;180.6,'4 SUP +'!$AB32,0))))</f>
        <v>0</v>
      </c>
      <c r="AY311" s="777" t="b">
        <f>IF('4 SUP +'!$A32&gt;31,IF('4 SUP +'!$A32&lt;45.5,IF('4 SUP +'!$C32&gt;180.5,IF('4 SUP +'!$C32&lt;240.1,'4 SUP +'!$AB32,0))))</f>
        <v>0</v>
      </c>
      <c r="BA311" s="777" t="b">
        <f>IF('4 SUP +'!$A32&gt;45.4,IF('4 SUP +'!$A32&lt;61.6,IF('4 SUP +'!$C32&gt;10,IF('4 SUP +'!$C32&lt;61.5,'4 SUP +'!$AB32,0))))</f>
        <v>0</v>
      </c>
      <c r="BB311" s="777" t="b">
        <f>IF('4 SUP +'!$A32&gt;45.4,IF('4 SUP +'!$A32&lt;61.6,IF('4 SUP +'!$C32&gt;61.1,IF('4 SUP +'!$C32&lt;71.6,'4 SUP +'!$AB32,0))))</f>
        <v>0</v>
      </c>
      <c r="BC311" s="777" t="b">
        <f>IF('4 SUP +'!$A32&gt;45.4,IF('4 SUP +'!$A32&lt;61.6,IF('4 SUP +'!$C32&gt;71.5,IF('4 SUP +'!$C32&lt;85.6,'4 SUP +'!$AB32,0))))</f>
        <v>0</v>
      </c>
      <c r="BD311" s="777" t="b">
        <f>IF('4 SUP +'!$A32&gt;45.4,IF('4 SUP +'!$A32&lt;61.6,IF('4 SUP +'!$C32&gt;85.5,IF('4 SUP +'!$C32&lt;113.6,'4 SUP +'!$AB32,0))))</f>
        <v>0</v>
      </c>
      <c r="BE311" s="777" t="b">
        <f>IF('4 SUP +'!$A32&gt;45.4,IF('4 SUP +'!$A32&lt;61.6,IF('4 SUP +'!$C32&gt;113.5,IF('4 SUP +'!$C32&lt;121.6,'4 SUP +'!$AB32,0))))</f>
        <v>0</v>
      </c>
      <c r="BF311" s="777" t="b">
        <f>IF('4 SUP +'!$A32&gt;45.4,IF('4 SUP +'!$A32&lt;61.6,IF('4 SUP +'!$C32&gt;121.5,IF('4 SUP +'!$C32&lt;127.6,'4 SUP +'!$AB32,0))))</f>
        <v>0</v>
      </c>
      <c r="BG311" s="777" t="b">
        <f>IF('4 SUP +'!$A32&gt;45.4,IF('4 SUP +'!$A32&lt;61.6,IF('4 SUP +'!$C32&gt;127.5,IF('4 SUP +'!$C32&lt;135.1,'4 SUP +'!$AB32,0))))</f>
        <v>0</v>
      </c>
      <c r="BH311" s="777" t="b">
        <f>IF('4 SUP +'!$A32&gt;45.4,IF('4 SUP +'!$A32&lt;61.6,IF('4 SUP +'!$C32&gt;135,IF('4 SUP +'!$C32&lt;141.6,'4 SUP +'!$AB32,0))))</f>
        <v>0</v>
      </c>
      <c r="BI311" s="777" t="b">
        <f>IF('4 SUP +'!$A32&gt;45.4,IF('4 SUP +'!$A32&lt;61.6,IF('4 SUP +'!$C32&gt;141.5,IF('4 SUP +'!$C32&lt;149.1,'4 SUP +'!$AB32,0))))</f>
        <v>0</v>
      </c>
      <c r="BJ311" s="777" t="b">
        <f>IF('4 SUP +'!$A32&gt;45.4,IF('4 SUP +'!$A32&lt;61.6,IF('4 SUP +'!$C32&gt;149,IF('4 SUP +'!$C32&lt;155.6,'4 SUP +'!$AB32,0))))</f>
        <v>0</v>
      </c>
      <c r="BK311" s="777" t="b">
        <f>IF('4 SUP +'!$A32&gt;45.4,IF('4 SUP +'!$A32&lt;61.6,IF('4 SUP +'!$C32&gt;155.5,IF('4 SUP +'!$C32&lt;163.1,'4 SUP +'!$AB32,0))))</f>
        <v>0</v>
      </c>
      <c r="BL311" s="777" t="b">
        <f>IF('4 SUP +'!$A32&gt;45.4,IF('4 SUP +'!$A32&lt;61.6,IF('4 SUP +'!$C32&gt;163,IF('4 SUP +'!$C32&lt;180.6,'4 SUP +'!$AB32,0))))</f>
        <v>0</v>
      </c>
      <c r="BM311" s="777" t="b">
        <f>IF('4 SUP +'!$A32&gt;45.4,IF('4 SUP +'!$A32&lt;61.6,IF('4 SUP +'!$C32&gt;180.5,IF('4 SUP +'!$C32&lt;240.1,'4 SUP +'!$AB32,0))))</f>
        <v>0</v>
      </c>
      <c r="BO311" s="869" t="s">
        <v>543</v>
      </c>
      <c r="BQ311" s="870">
        <f>($AP$338+$AQ$338)/4+($AX$338+$AY$338)/3+($BL$338+$BM$338)/2+($CK$338+$CL$338)*2</f>
        <v>0</v>
      </c>
      <c r="BS311" s="869"/>
      <c r="BT311" s="870">
        <f>($AP$339+$AQ$339)/4+($AX$339+$AY$339)/3+($BL$339+$BM$339)/2+($CK$339+$CL$339)*2</f>
        <v>0</v>
      </c>
      <c r="BV311" s="777" t="b">
        <f>IF('4 SUP +'!$A32&gt;61.5,IF('4 SUP +'!$A32&lt;71.6,IF('4 SUP +'!$C32&gt;10,IF('4 SUP +'!$C32&lt;57.6,'4 SUP +'!$AB32,0))))</f>
        <v>0</v>
      </c>
      <c r="BW311" s="777" t="b">
        <f>IF('4 SUP +'!$A32&gt;61.5,IF('4 SUP +'!$A32&lt;71.6,IF('4 SUP +'!$C32&gt;57.6,IF('4 SUP +'!$C32&lt;71.6,'4 SUP +'!$AB32,0))))</f>
        <v>0</v>
      </c>
      <c r="BX311" s="777" t="b">
        <f>IF('4 SUP +'!$A32&gt;61.5,IF('4 SUP +'!$A32&lt;71.6,IF('4 SUP +'!$C32&gt;71.5,IF('4 SUP +'!$C32&lt;85.6,'4 SUP +'!$AB32,0))))</f>
        <v>0</v>
      </c>
      <c r="BY311" s="777" t="b">
        <f>IF('4 SUP +'!$A32&gt;61.5,IF('4 SUP +'!$A32&lt;71.6,IF('4 SUP +'!$C32&gt;85.5,IF('4 SUP +'!$C32&lt;113.6,'4 SUP +'!$AB32,0))))</f>
        <v>0</v>
      </c>
      <c r="BZ311" s="777" t="b">
        <f>IF('4 SUP +'!$A32&gt;61.5,IF('4 SUP +'!$A32&lt;71.6,IF('4 SUP +'!$C32&gt;113.5,IF('4 SUP +'!$C32&lt;141.6,'4 SUP +'!$AB32,0))))</f>
        <v>0</v>
      </c>
      <c r="CA311" s="777" t="b">
        <f>IF('4 SUP +'!$A32&gt;61.5,IF('4 SUP +'!$A32&lt;71.6,IF('4 SUP +'!$C32&gt;141.5,IF('4 SUP +'!$C32&lt;149.1,'4 SUP +'!$AB32,0))))</f>
        <v>0</v>
      </c>
      <c r="CB311" s="777" t="b">
        <f>IF('4 SUP +'!$A32&gt;61.5,IF('4 SUP +'!$A32&lt;71.6,IF('4 SUP +'!$C32&gt;149,IF('4 SUP +'!$C32&lt;163.1,'4 SUP +'!$AB32,0))))</f>
        <v>0</v>
      </c>
      <c r="CC311" s="777" t="b">
        <f>IF('4 SUP +'!$A32&gt;61.5,IF('4 SUP +'!$A32&lt;71.6,IF('4 SUP +'!$C32&gt;163,IF('4 SUP +'!$C32&lt;180.6,'4 SUP +'!$AB32,0))))</f>
        <v>0</v>
      </c>
      <c r="CD311" s="777" t="b">
        <f>IF('4 SUP +'!$A32&gt;61.5,IF('4 SUP +'!$A32&lt;71.6,IF('4 SUP +'!$C32&gt;180.5,IF('4 SUP +'!$C32&lt;240.1,'4 SUP +'!$AB32,0))))</f>
        <v>0</v>
      </c>
      <c r="CF311" s="777" t="b">
        <f>IF('4 SUP +'!$A32&gt;71.5,IF('4 SUP +'!$A32&lt;120.6,IF('4 SUP +'!$C32&gt;10,IF('4 SUP +'!$C32&lt;57.6,'4 SUP +'!$AB32,0))))</f>
        <v>0</v>
      </c>
      <c r="CG311" s="777" t="b">
        <f>IF('4 SUP +'!$A32&gt;71.5,IF('4 SUP +'!$A32&lt;120.6,IF('4 SUP +'!$C32&gt;57.6,IF('4 SUP +'!$C32&lt;71.6,'4 SUP +'!$AB32,0))))</f>
        <v>0</v>
      </c>
      <c r="CH311" s="777" t="b">
        <f>IF('4 SUP +'!$A32&gt;71.5,IF('4 SUP +'!$A32&lt;120.6,IF('4 SUP +'!$C32&gt;71.5,IF('4 SUP +'!$C32&lt;85.6,'4 SUP +'!$AB32,0))))</f>
        <v>0</v>
      </c>
      <c r="CI311" s="777" t="b">
        <f>IF('4 SUP +'!$A32&gt;71.5,IF('4 SUP +'!$A32&lt;120.6,IF('4 SUP +'!$C32&gt;85.5,IF('4 SUP +'!$C32&lt;113.6,'4 SUP +'!$AB32,0))))</f>
        <v>0</v>
      </c>
      <c r="CJ311" s="777" t="b">
        <f>IF('4 SUP +'!$A32&gt;71.5,IF('4 SUP +'!$A32&lt;120.6,IF('4 SUP +'!$C32&gt;113.5,IF('4 SUP +'!$C32&lt;141.6,'4 SUP +'!$AB32,0))))</f>
        <v>0</v>
      </c>
      <c r="CK311" s="777" t="b">
        <f>IF('4 SUP +'!$A32&gt;71.5,IF('4 SUP +'!$A32&lt;120.6,IF('4 SUP +'!$C32&gt;141.5,IF('4 SUP +'!$C32&lt;180.6,'4 SUP +'!$AB32,0))))</f>
        <v>0</v>
      </c>
      <c r="CL311" s="777" t="b">
        <f>IF('4 SUP +'!$A32&gt;71.5,IF('4 SUP +'!$A32&lt;120.6,IF('4 SUP +'!$C32&gt;180.5,IF('4 SUP +'!$C32&lt;240.1,'4 SUP +'!$AB32,0))))</f>
        <v>0</v>
      </c>
      <c r="CN311" s="777">
        <f>IF('4 SUP +'!$C32&lt;150,IF(OR('4 SUP +'!$A32="MICRODER",'4 SUP +'!$A32="MICRO DER",),'4 SUP +'!$AB32,0))</f>
        <v>0</v>
      </c>
      <c r="CO311" s="777" t="b">
        <f>IF('4 SUP +'!$C32&gt;149.5,IF(OR('4 SUP +'!$A32="MICRODER",'4 SUP +'!$A32="MICRO DER",),'4 SUP +'!$AB32,0))</f>
        <v>0</v>
      </c>
      <c r="CP311" s="847"/>
      <c r="CQ311" s="777">
        <f>IF('4 SUP +'!$C32&lt;150,IF(OR('4 SUP +'!$A32="MICROIZQ",'4 SUP +'!$A32="MICRO IZQ",),'4 SUP +'!$AB32,0))</f>
        <v>0</v>
      </c>
      <c r="CR311" s="777" t="b">
        <f>IF('4 SUP +'!$C32&gt;149.5,IF(OR('4 SUP +'!$A32="MICROIZQ",'4 SUP +'!$A32="MICRO IZQ",),'4 SUP +'!$AB32,0))</f>
        <v>0</v>
      </c>
      <c r="CT311" s="837">
        <f>IF(OR('4 SUP +'!$A32="MICRO SEN",'4 SUP +'!$A32="MICROSEN",),'4 SUP +'!$AB32,0)</f>
        <v>0</v>
      </c>
      <c r="CV311" s="837" t="b">
        <f>IF('4 SUP +'!$A32="DIAMETRO",IF('4 SUP +'!$C32&lt;121.1,'4 SUP +'!$AB32,0))</f>
        <v>0</v>
      </c>
      <c r="CX311" s="858"/>
      <c r="CZ311" s="837" t="b">
        <f>IF('4 SUP +'!$A32="MOSTRADOR",IF('4 SUP +'!$C32="R60",'4 SUP +'!$AB32,0))</f>
        <v>0</v>
      </c>
      <c r="DB311" s="837">
        <f>IF(OR('4 SUP +'!$A32="PORTA PRIN",'4 SUP +'!$A32="PORTAPRIN",),'4 SUP +'!$AB32,0)</f>
        <v>0</v>
      </c>
      <c r="DD311" s="837">
        <f>IF(OR('4 SUP +'!$A32="PORTA BADE",'4 SUP +'!$A32="PORTABADE",),'4 SUP +'!$AB32,0)</f>
        <v>0</v>
      </c>
      <c r="DE311" s="837"/>
      <c r="DF311" s="837">
        <f>IF(OR('4 SUP +'!$A32="RETORNO IZQ",'4 SUP +'!$A32="RETORNO DER",),'4 SUP +'!$AB220,0)</f>
        <v>0</v>
      </c>
      <c r="DG311" s="837"/>
      <c r="DH311" s="837">
        <f>IF(OR('4 SUP +'!$A32="PITO Q",'4 SUP +'!$A32="PITO P",'4 SUP +'!$A32="DIAMETRO INTEGRADA",),'4 SUP +'!$AB32,0)</f>
        <v>0</v>
      </c>
      <c r="DJ311" s="858"/>
      <c r="DK311" s="837"/>
      <c r="DL311" s="837">
        <f>IF('4 SUP +'!$A32="SUPERFICIE OVAL",'4 SUP +'!$AB32,0)</f>
        <v>0</v>
      </c>
      <c r="DN311" s="838"/>
      <c r="DO311" s="838"/>
      <c r="DP311" s="838"/>
      <c r="DQ311" s="838"/>
      <c r="DR311" s="838"/>
      <c r="DS311" s="838"/>
      <c r="DT311" s="838"/>
      <c r="DU311" s="838"/>
      <c r="DV311" s="838"/>
      <c r="DW311" s="838"/>
      <c r="DX311" s="838"/>
      <c r="DY311" s="838"/>
      <c r="DZ311" s="838"/>
      <c r="EA311" s="838"/>
      <c r="EB311" s="838"/>
      <c r="EC311" s="838"/>
      <c r="ED311" s="838"/>
      <c r="EG311" s="682">
        <f>IF('4 SUP +'!A30="MICRO DER",85,IF('4 SUP +'!A30="MICRO IZQ",85,IF('4 SUP +'!A30="MICRO SEN",170,IF('4 SUP +'!A30="DIAMETRO",3.14*'4 SUP +'!C30/2,IF('4 SUP +'!A30="MOSTRADOR",136,IF('4 SUP +'!A30="PORTA",65,IF('4 SUP +'!A30="PITO Q",90,IF('4 SUP +'!A30="PITO P",90,'4 SUP +'!A30))))))))</f>
        <v>0</v>
      </c>
      <c r="EH311" s="682"/>
      <c r="EI311" s="682">
        <f>IF('4 SUP +'!A30="DIAMETRO",0,IF('4 SUP +'!C30="PRINCIPAL",160,IF('4 SUP +'!C30="BADE",190,IF('4 SUP +'!C30="RETORNO",100,IF('4 SUP +'!C30="R 60",100,IF('4 SUP +'!C30="R60",100,'4 SUP +'!C30))))))</f>
        <v>0</v>
      </c>
      <c r="EJ311" s="682"/>
      <c r="EK311" s="682">
        <f>IF('4 SUP +'!$F30='4 SUP +'!$AG$15,((EG311*2)+(EI311*2))*'4 SUP +'!AB30,0)</f>
        <v>0</v>
      </c>
      <c r="EL311" s="682"/>
      <c r="EM311" s="682">
        <f>IF('4 SUP +'!$F30='4 SUP +'!$AG$16,((EG311*2)+(EI311*2))*'4 SUP +'!AB30,0)</f>
        <v>0</v>
      </c>
      <c r="EO311" s="682">
        <f>IF('4 SUP +'!$F30='4 SUP +'!$AG$17,((EG311*2)+(EI311*2))*'4 SUP +'!AB30,0)</f>
        <v>0</v>
      </c>
      <c r="EP311" s="838"/>
      <c r="EQ311" s="682">
        <f>IF('4 SUP +'!$F30='4 SUP +'!$AG$18,((EG311*2)+(EI311*2))*'4 SUP +'!AB30,0)</f>
        <v>0</v>
      </c>
      <c r="ER311" s="838"/>
      <c r="ES311" s="838"/>
      <c r="ET311" s="838"/>
      <c r="EU311" s="838"/>
      <c r="EV311" s="838"/>
      <c r="EW311" s="838"/>
      <c r="EX311" s="838"/>
      <c r="EY311" s="838"/>
      <c r="EZ311" s="838"/>
      <c r="FA311" s="838"/>
      <c r="FB311" s="838"/>
      <c r="FC311" s="838"/>
      <c r="FD311" s="838"/>
      <c r="FE311" s="838"/>
      <c r="FF311" s="838"/>
      <c r="FG311" s="838"/>
      <c r="FH311" s="838"/>
      <c r="FI311" s="838"/>
      <c r="FJ311" s="838"/>
      <c r="FK311" s="838"/>
      <c r="FL311" s="838"/>
      <c r="FM311" s="838"/>
      <c r="FN311" s="838"/>
      <c r="FO311" s="838"/>
      <c r="FP311" s="838"/>
      <c r="GM311" s="858"/>
      <c r="GN311" s="838"/>
      <c r="GO311" s="858"/>
      <c r="GP311" s="858"/>
      <c r="GQ311" s="858"/>
      <c r="GR311" s="838"/>
      <c r="GS311" s="838"/>
      <c r="HF311" s="700">
        <v>64.5</v>
      </c>
      <c r="HH311" s="591">
        <v>64.5</v>
      </c>
    </row>
    <row r="312" spans="37:216" ht="26.25" x14ac:dyDescent="0.4">
      <c r="AK312" s="777" t="b">
        <f>IF('4 SUP +'!$A33&gt;10,IF('4 SUP +'!$A33&lt;31.1,IF('4 SUP +'!$C33&gt;10,IF('4 SUP +'!$C33&lt;57.6,'4 SUP +'!$AB33,0))))</f>
        <v>0</v>
      </c>
      <c r="AL312" s="777" t="b">
        <f>IF('4 SUP +'!$A33&gt;10,IF('4 SUP +'!$A33&lt;31.1,IF('4 SUP +'!$C33&gt;57.6,IF('4 SUP +'!$C33&lt;71.6,'4 SUP +'!$AB33,0))))</f>
        <v>0</v>
      </c>
      <c r="AM312" s="777" t="b">
        <f>IF('4 SUP +'!$A33&gt;10,IF('4 SUP +'!$A33&lt;31.1,IF('4 SUP +'!$C33&gt;71.5,IF('4 SUP +'!$C33&lt;85.6,'4 SUP +'!$AB33,0))))</f>
        <v>0</v>
      </c>
      <c r="AN312" s="777" t="b">
        <f>IF('4 SUP +'!$A33&gt;10,IF('4 SUP +'!$A33&lt;31.1,IF('4 SUP +'!$C33&gt;85.5,IF('4 SUP +'!$C33&lt;113.6,'4 SUP +'!$AB33,0))))</f>
        <v>0</v>
      </c>
      <c r="AO312" s="777" t="b">
        <f>IF('4 SUP +'!$A33&gt;10,IF('4 SUP +'!$A33&lt;31.1,IF('4 SUP +'!$C33&gt;113.5,IF('4 SUP +'!$C33&lt;141.6,'4 SUP +'!$AB33,0))))</f>
        <v>0</v>
      </c>
      <c r="AP312" s="777" t="b">
        <f>IF('4 SUP +'!$A33&gt;10,IF('4 SUP +'!$A33&lt;31.1,IF('4 SUP +'!$C33&gt;141.5,IF('4 SUP +'!$C33&lt;180.6,'4 SUP +'!$AB33,0))))</f>
        <v>0</v>
      </c>
      <c r="AQ312" s="777" t="b">
        <f>IF('4 SUP +'!$A33&gt;10,IF('4 SUP +'!$A33&lt;31.1,IF('4 SUP +'!$C33&gt;180.5,IF('4 SUP +'!$C33&lt;240.1,'4 SUP +'!$AB33,0))))</f>
        <v>0</v>
      </c>
      <c r="AS312" s="777" t="b">
        <f>IF('4 SUP +'!$A33&gt;31,IF('4 SUP +'!$A33&lt;45.5,IF('4 SUP +'!$C33&gt;10,IF('4 SUP +'!$C33&lt;57.6,'4 SUP +'!$AB33,0))))</f>
        <v>0</v>
      </c>
      <c r="AT312" s="777" t="b">
        <f>IF('4 SUP +'!$A33&gt;31,IF('4 SUP +'!$A33&lt;45.5,IF('4 SUP +'!$C33&gt;57.6,IF('4 SUP +'!$C33&lt;71.6,'4 SUP +'!$AB33,0))))</f>
        <v>0</v>
      </c>
      <c r="AU312" s="777" t="b">
        <f>IF('4 SUP +'!$A33&gt;31,IF('4 SUP +'!$A33&lt;45.5,IF('4 SUP +'!$C33&gt;71.5,IF('4 SUP +'!$C33&lt;85.6,'4 SUP +'!$AB33,0))))</f>
        <v>0</v>
      </c>
      <c r="AV312" s="777" t="b">
        <f>IF('4 SUP +'!$A33&gt;31,IF('4 SUP +'!$A33&lt;45.5,IF('4 SUP +'!$C33&gt;85.5,IF('4 SUP +'!$C33&lt;113.6,'4 SUP +'!$AB33,0))))</f>
        <v>0</v>
      </c>
      <c r="AW312" s="777" t="b">
        <f>IF('4 SUP +'!$A33&gt;31,IF('4 SUP +'!$A33&lt;45.5,IF('4 SUP +'!$C33&gt;113.5,IF('4 SUP +'!$C33&lt;141.6,'4 SUP +'!$AB33,0))))</f>
        <v>0</v>
      </c>
      <c r="AX312" s="777" t="b">
        <f>IF('4 SUP +'!$A33&gt;31,IF('4 SUP +'!$A33&lt;45.5,IF('4 SUP +'!$C33&gt;141.5,IF('4 SUP +'!$C33&lt;180.6,'4 SUP +'!$AB33,0))))</f>
        <v>0</v>
      </c>
      <c r="AY312" s="777" t="b">
        <f>IF('4 SUP +'!$A33&gt;31,IF('4 SUP +'!$A33&lt;45.5,IF('4 SUP +'!$C33&gt;180.5,IF('4 SUP +'!$C33&lt;240.1,'4 SUP +'!$AB33,0))))</f>
        <v>0</v>
      </c>
      <c r="BA312" s="777" t="b">
        <f>IF('4 SUP +'!$A33&gt;45.4,IF('4 SUP +'!$A33&lt;61.6,IF('4 SUP +'!$C33&gt;10,IF('4 SUP +'!$C33&lt;61.5,'4 SUP +'!$AB33,0))))</f>
        <v>0</v>
      </c>
      <c r="BB312" s="777" t="b">
        <f>IF('4 SUP +'!$A33&gt;45.4,IF('4 SUP +'!$A33&lt;61.6,IF('4 SUP +'!$C33&gt;61.1,IF('4 SUP +'!$C33&lt;71.6,'4 SUP +'!$AB33,0))))</f>
        <v>0</v>
      </c>
      <c r="BC312" s="777" t="b">
        <f>IF('4 SUP +'!$A33&gt;45.4,IF('4 SUP +'!$A33&lt;61.6,IF('4 SUP +'!$C33&gt;71.5,IF('4 SUP +'!$C33&lt;85.6,'4 SUP +'!$AB33,0))))</f>
        <v>0</v>
      </c>
      <c r="BD312" s="777" t="b">
        <f>IF('4 SUP +'!$A33&gt;45.4,IF('4 SUP +'!$A33&lt;61.6,IF('4 SUP +'!$C33&gt;85.5,IF('4 SUP +'!$C33&lt;113.6,'4 SUP +'!$AB33,0))))</f>
        <v>0</v>
      </c>
      <c r="BE312" s="777" t="b">
        <f>IF('4 SUP +'!$A33&gt;45.4,IF('4 SUP +'!$A33&lt;61.6,IF('4 SUP +'!$C33&gt;113.5,IF('4 SUP +'!$C33&lt;121.6,'4 SUP +'!$AB33,0))))</f>
        <v>0</v>
      </c>
      <c r="BF312" s="777" t="b">
        <f>IF('4 SUP +'!$A33&gt;45.4,IF('4 SUP +'!$A33&lt;61.6,IF('4 SUP +'!$C33&gt;121.5,IF('4 SUP +'!$C33&lt;127.6,'4 SUP +'!$AB33,0))))</f>
        <v>0</v>
      </c>
      <c r="BG312" s="777" t="b">
        <f>IF('4 SUP +'!$A33&gt;45.4,IF('4 SUP +'!$A33&lt;61.6,IF('4 SUP +'!$C33&gt;127.5,IF('4 SUP +'!$C33&lt;135.1,'4 SUP +'!$AB33,0))))</f>
        <v>0</v>
      </c>
      <c r="BH312" s="777" t="b">
        <f>IF('4 SUP +'!$A33&gt;45.4,IF('4 SUP +'!$A33&lt;61.6,IF('4 SUP +'!$C33&gt;135,IF('4 SUP +'!$C33&lt;141.6,'4 SUP +'!$AB33,0))))</f>
        <v>0</v>
      </c>
      <c r="BI312" s="777" t="b">
        <f>IF('4 SUP +'!$A33&gt;45.4,IF('4 SUP +'!$A33&lt;61.6,IF('4 SUP +'!$C33&gt;141.5,IF('4 SUP +'!$C33&lt;149.1,'4 SUP +'!$AB33,0))))</f>
        <v>0</v>
      </c>
      <c r="BJ312" s="777" t="b">
        <f>IF('4 SUP +'!$A33&gt;45.4,IF('4 SUP +'!$A33&lt;61.6,IF('4 SUP +'!$C33&gt;149,IF('4 SUP +'!$C33&lt;155.6,'4 SUP +'!$AB33,0))))</f>
        <v>0</v>
      </c>
      <c r="BK312" s="777" t="b">
        <f>IF('4 SUP +'!$A33&gt;45.4,IF('4 SUP +'!$A33&lt;61.6,IF('4 SUP +'!$C33&gt;155.5,IF('4 SUP +'!$C33&lt;163.1,'4 SUP +'!$AB33,0))))</f>
        <v>0</v>
      </c>
      <c r="BL312" s="777" t="b">
        <f>IF('4 SUP +'!$A33&gt;45.4,IF('4 SUP +'!$A33&lt;61.6,IF('4 SUP +'!$C33&gt;163,IF('4 SUP +'!$C33&lt;180.6,'4 SUP +'!$AB33,0))))</f>
        <v>0</v>
      </c>
      <c r="BM312" s="777" t="b">
        <f>IF('4 SUP +'!$A33&gt;45.4,IF('4 SUP +'!$A33&lt;61.6,IF('4 SUP +'!$C33&gt;180.5,IF('4 SUP +'!$C33&lt;240.1,'4 SUP +'!$AB33,0))))</f>
        <v>0</v>
      </c>
      <c r="BO312" s="869" t="s">
        <v>544</v>
      </c>
      <c r="BQ312" s="870">
        <f>+$BV$338</f>
        <v>0</v>
      </c>
      <c r="BS312" s="869"/>
      <c r="BT312" s="870">
        <f>+$BV$339</f>
        <v>0</v>
      </c>
      <c r="BV312" s="777" t="b">
        <f>IF('4 SUP +'!$A33&gt;61.5,IF('4 SUP +'!$A33&lt;71.6,IF('4 SUP +'!$C33&gt;10,IF('4 SUP +'!$C33&lt;57.6,'4 SUP +'!$AB33,0))))</f>
        <v>0</v>
      </c>
      <c r="BW312" s="777" t="b">
        <f>IF('4 SUP +'!$A33&gt;61.5,IF('4 SUP +'!$A33&lt;71.6,IF('4 SUP +'!$C33&gt;57.6,IF('4 SUP +'!$C33&lt;71.6,'4 SUP +'!$AB33,0))))</f>
        <v>0</v>
      </c>
      <c r="BX312" s="777" t="b">
        <f>IF('4 SUP +'!$A33&gt;61.5,IF('4 SUP +'!$A33&lt;71.6,IF('4 SUP +'!$C33&gt;71.5,IF('4 SUP +'!$C33&lt;85.6,'4 SUP +'!$AB33,0))))</f>
        <v>0</v>
      </c>
      <c r="BY312" s="777" t="b">
        <f>IF('4 SUP +'!$A33&gt;61.5,IF('4 SUP +'!$A33&lt;71.6,IF('4 SUP +'!$C33&gt;85.5,IF('4 SUP +'!$C33&lt;113.6,'4 SUP +'!$AB33,0))))</f>
        <v>0</v>
      </c>
      <c r="BZ312" s="777" t="b">
        <f>IF('4 SUP +'!$A33&gt;61.5,IF('4 SUP +'!$A33&lt;71.6,IF('4 SUP +'!$C33&gt;113.5,IF('4 SUP +'!$C33&lt;141.6,'4 SUP +'!$AB33,0))))</f>
        <v>0</v>
      </c>
      <c r="CA312" s="777" t="b">
        <f>IF('4 SUP +'!$A33&gt;61.5,IF('4 SUP +'!$A33&lt;71.6,IF('4 SUP +'!$C33&gt;141.5,IF('4 SUP +'!$C33&lt;149.1,'4 SUP +'!$AB33,0))))</f>
        <v>0</v>
      </c>
      <c r="CB312" s="777" t="b">
        <f>IF('4 SUP +'!$A33&gt;61.5,IF('4 SUP +'!$A33&lt;71.6,IF('4 SUP +'!$C33&gt;149,IF('4 SUP +'!$C33&lt;163.1,'4 SUP +'!$AB33,0))))</f>
        <v>0</v>
      </c>
      <c r="CC312" s="777" t="b">
        <f>IF('4 SUP +'!$A33&gt;61.5,IF('4 SUP +'!$A33&lt;71.6,IF('4 SUP +'!$C33&gt;163,IF('4 SUP +'!$C33&lt;180.6,'4 SUP +'!$AB33,0))))</f>
        <v>0</v>
      </c>
      <c r="CD312" s="777" t="b">
        <f>IF('4 SUP +'!$A33&gt;61.5,IF('4 SUP +'!$A33&lt;71.6,IF('4 SUP +'!$C33&gt;180.5,IF('4 SUP +'!$C33&lt;240.1,'4 SUP +'!$AB33,0))))</f>
        <v>0</v>
      </c>
      <c r="CF312" s="777" t="b">
        <f>IF('4 SUP +'!$A33&gt;71.5,IF('4 SUP +'!$A33&lt;120.6,IF('4 SUP +'!$C33&gt;10,IF('4 SUP +'!$C33&lt;57.6,'4 SUP +'!$AB33,0))))</f>
        <v>0</v>
      </c>
      <c r="CG312" s="777" t="b">
        <f>IF('4 SUP +'!$A33&gt;71.5,IF('4 SUP +'!$A33&lt;120.6,IF('4 SUP +'!$C33&gt;57.6,IF('4 SUP +'!$C33&lt;71.6,'4 SUP +'!$AB33,0))))</f>
        <v>0</v>
      </c>
      <c r="CH312" s="777" t="b">
        <f>IF('4 SUP +'!$A33&gt;71.5,IF('4 SUP +'!$A33&lt;120.6,IF('4 SUP +'!$C33&gt;71.5,IF('4 SUP +'!$C33&lt;85.6,'4 SUP +'!$AB33,0))))</f>
        <v>0</v>
      </c>
      <c r="CI312" s="777" t="b">
        <f>IF('4 SUP +'!$A33&gt;71.5,IF('4 SUP +'!$A33&lt;120.6,IF('4 SUP +'!$C33&gt;85.5,IF('4 SUP +'!$C33&lt;113.6,'4 SUP +'!$AB33,0))))</f>
        <v>0</v>
      </c>
      <c r="CJ312" s="777" t="b">
        <f>IF('4 SUP +'!$A33&gt;71.5,IF('4 SUP +'!$A33&lt;120.6,IF('4 SUP +'!$C33&gt;113.5,IF('4 SUP +'!$C33&lt;141.6,'4 SUP +'!$AB33,0))))</f>
        <v>0</v>
      </c>
      <c r="CK312" s="777" t="b">
        <f>IF('4 SUP +'!$A33&gt;71.5,IF('4 SUP +'!$A33&lt;120.6,IF('4 SUP +'!$C33&gt;141.5,IF('4 SUP +'!$C33&lt;180.6,'4 SUP +'!$AB33,0))))</f>
        <v>0</v>
      </c>
      <c r="CL312" s="777" t="b">
        <f>IF('4 SUP +'!$A33&gt;71.5,IF('4 SUP +'!$A33&lt;120.6,IF('4 SUP +'!$C33&gt;180.5,IF('4 SUP +'!$C33&lt;240.1,'4 SUP +'!$AB33,0))))</f>
        <v>0</v>
      </c>
      <c r="CN312" s="777">
        <f>IF('4 SUP +'!$C33&lt;150,IF(OR('4 SUP +'!$A33="MICRODER",'4 SUP +'!$A33="MICRO DER",),'4 SUP +'!$AB33,0))</f>
        <v>0</v>
      </c>
      <c r="CO312" s="777" t="b">
        <f>IF('4 SUP +'!$C33&gt;149.5,IF(OR('4 SUP +'!$A33="MICRODER",'4 SUP +'!$A33="MICRO DER",),'4 SUP +'!$AB33,0))</f>
        <v>0</v>
      </c>
      <c r="CP312" s="847"/>
      <c r="CQ312" s="777">
        <f>IF('4 SUP +'!$C33&lt;150,IF(OR('4 SUP +'!$A33="MICROIZQ",'4 SUP +'!$A33="MICRO IZQ",),'4 SUP +'!$AB33,0))</f>
        <v>0</v>
      </c>
      <c r="CR312" s="777" t="b">
        <f>IF('4 SUP +'!$C33&gt;149.5,IF(OR('4 SUP +'!$A33="MICROIZQ",'4 SUP +'!$A33="MICRO IZQ",),'4 SUP +'!$AB33,0))</f>
        <v>0</v>
      </c>
      <c r="CT312" s="837">
        <f>IF(OR('4 SUP +'!$A33="MICRO SEN",'4 SUP +'!$A33="MICROSEN",),'4 SUP +'!$AB33,0)</f>
        <v>0</v>
      </c>
      <c r="CV312" s="837" t="b">
        <f>IF('4 SUP +'!$A33="DIAMETRO",IF('4 SUP +'!$C33&lt;121.1,'4 SUP +'!$AB33,0))</f>
        <v>0</v>
      </c>
      <c r="CX312" s="858"/>
      <c r="CZ312" s="837" t="b">
        <f>IF('4 SUP +'!$A33="MOSTRADOR",IF('4 SUP +'!$C33="R60",'4 SUP +'!$AB33,0))</f>
        <v>0</v>
      </c>
      <c r="DB312" s="837">
        <f>IF(OR('4 SUP +'!$A33="PORTA PRIN",'4 SUP +'!$A33="PORTAPRIN",),'4 SUP +'!$AB33,0)</f>
        <v>0</v>
      </c>
      <c r="DD312" s="837">
        <f>IF(OR('4 SUP +'!$A33="PORTA BADE",'4 SUP +'!$A33="PORTABADE",),'4 SUP +'!$AB33,0)</f>
        <v>0</v>
      </c>
      <c r="DE312" s="837"/>
      <c r="DF312" s="837">
        <f>IF(OR('4 SUP +'!$A33="RETORNO IZQ",'4 SUP +'!$A33="RETORNO DER",),'4 SUP +'!$AB221,0)</f>
        <v>0</v>
      </c>
      <c r="DG312" s="837"/>
      <c r="DH312" s="837">
        <f>IF(OR('4 SUP +'!$A33="PITO Q",'4 SUP +'!$A33="PITO P",'4 SUP +'!$A33="DIAMETRO INTEGRADA",),'4 SUP +'!$AB33,0)</f>
        <v>0</v>
      </c>
      <c r="DJ312" s="858"/>
      <c r="DK312" s="837"/>
      <c r="DL312" s="837">
        <f>IF('4 SUP +'!$A33="SUPERFICIE OVAL",'4 SUP +'!$AB33,0)</f>
        <v>0</v>
      </c>
      <c r="DN312" s="838"/>
      <c r="DO312" s="838"/>
      <c r="DP312" s="838"/>
      <c r="DQ312" s="838"/>
      <c r="DR312" s="838"/>
      <c r="DS312" s="838"/>
      <c r="DT312" s="838"/>
      <c r="DU312" s="838"/>
      <c r="DV312" s="838"/>
      <c r="DW312" s="838"/>
      <c r="DX312" s="838"/>
      <c r="DY312" s="838"/>
      <c r="DZ312" s="838"/>
      <c r="EA312" s="999"/>
      <c r="EB312" s="838"/>
      <c r="EC312" s="1085"/>
      <c r="ED312" s="1085"/>
      <c r="EG312" s="682">
        <f>IF('4 SUP +'!A31="MICRO DER",85,IF('4 SUP +'!A31="MICRO IZQ",85,IF('4 SUP +'!A31="MICRO SEN",170,IF('4 SUP +'!A31="DIAMETRO",3.14*'4 SUP +'!C31/2,IF('4 SUP +'!A31="MOSTRADOR",136,IF('4 SUP +'!A31="PORTA",65,IF('4 SUP +'!A31="PITO Q",90,IF('4 SUP +'!A31="PITO P",90,'4 SUP +'!A31))))))))</f>
        <v>0</v>
      </c>
      <c r="EH312" s="682"/>
      <c r="EI312" s="682">
        <f>IF('4 SUP +'!A31="DIAMETRO",0,IF('4 SUP +'!C31="PRINCIPAL",160,IF('4 SUP +'!C31="BADE",190,IF('4 SUP +'!C31="RETORNO",100,IF('4 SUP +'!C31="R 60",100,IF('4 SUP +'!C31="R60",100,'4 SUP +'!C31))))))</f>
        <v>0</v>
      </c>
      <c r="EJ312" s="682"/>
      <c r="EK312" s="682">
        <f>IF('4 SUP +'!$F31='4 SUP +'!$AG$15,((EG312*2)+(EI312*2))*'4 SUP +'!AB31,0)</f>
        <v>0</v>
      </c>
      <c r="EL312" s="682"/>
      <c r="EM312" s="682">
        <f>IF('4 SUP +'!$F31='4 SUP +'!$AG$16,((EG312*2)+(EI312*2))*'4 SUP +'!AB31,0)</f>
        <v>0</v>
      </c>
      <c r="EO312" s="682">
        <f>IF('4 SUP +'!$F31='4 SUP +'!$AG$17,((EG312*2)+(EI312*2))*'4 SUP +'!AB31,0)</f>
        <v>0</v>
      </c>
      <c r="EP312" s="838"/>
      <c r="EQ312" s="682">
        <f>IF('4 SUP +'!$F31='4 SUP +'!$AG$18,((EG312*2)+(EI312*2))*'4 SUP +'!AB31,0)</f>
        <v>0</v>
      </c>
      <c r="ER312" s="855"/>
      <c r="ES312" s="1098"/>
      <c r="ET312" s="1098"/>
      <c r="EU312" s="1081"/>
      <c r="EV312" s="855"/>
      <c r="EW312" s="838"/>
      <c r="EX312" s="838"/>
      <c r="EY312" s="838"/>
      <c r="EZ312" s="838"/>
      <c r="FA312" s="838"/>
      <c r="FB312" s="838"/>
      <c r="FC312" s="838"/>
      <c r="FD312" s="838"/>
      <c r="FE312" s="838"/>
      <c r="FF312" s="838"/>
      <c r="FG312" s="838"/>
      <c r="FH312" s="838"/>
      <c r="FI312" s="838"/>
      <c r="FJ312" s="838"/>
      <c r="FK312" s="838"/>
      <c r="FL312" s="838"/>
      <c r="FM312" s="838"/>
      <c r="FN312" s="838"/>
      <c r="FO312" s="838"/>
      <c r="FP312" s="838"/>
      <c r="GM312" s="858"/>
      <c r="GN312" s="838"/>
      <c r="GO312" s="858"/>
      <c r="GP312" s="858"/>
      <c r="GQ312" s="858"/>
      <c r="GR312" s="838"/>
      <c r="GS312" s="838"/>
      <c r="HF312" s="700">
        <v>65</v>
      </c>
      <c r="HH312" s="591">
        <v>65</v>
      </c>
    </row>
    <row r="313" spans="37:216" ht="26.25" x14ac:dyDescent="0.4">
      <c r="AK313" s="777" t="b">
        <f>IF('4 SUP +'!$A34&gt;10,IF('4 SUP +'!$A34&lt;31.1,IF('4 SUP +'!$C34&gt;10,IF('4 SUP +'!$C34&lt;57.6,'4 SUP +'!$AB34,0))))</f>
        <v>0</v>
      </c>
      <c r="AL313" s="777" t="b">
        <f>IF('4 SUP +'!$A34&gt;10,IF('4 SUP +'!$A34&lt;31.1,IF('4 SUP +'!$C34&gt;57.6,IF('4 SUP +'!$C34&lt;71.6,'4 SUP +'!$AB34,0))))</f>
        <v>0</v>
      </c>
      <c r="AM313" s="777" t="b">
        <f>IF('4 SUP +'!$A34&gt;10,IF('4 SUP +'!$A34&lt;31.1,IF('4 SUP +'!$C34&gt;71.5,IF('4 SUP +'!$C34&lt;85.6,'4 SUP +'!$AB34,0))))</f>
        <v>0</v>
      </c>
      <c r="AN313" s="777" t="b">
        <f>IF('4 SUP +'!$A34&gt;10,IF('4 SUP +'!$A34&lt;31.1,IF('4 SUP +'!$C34&gt;85.5,IF('4 SUP +'!$C34&lt;113.6,'4 SUP +'!$AB34,0))))</f>
        <v>0</v>
      </c>
      <c r="AO313" s="777" t="b">
        <f>IF('4 SUP +'!$A34&gt;10,IF('4 SUP +'!$A34&lt;31.1,IF('4 SUP +'!$C34&gt;113.5,IF('4 SUP +'!$C34&lt;141.6,'4 SUP +'!$AB34,0))))</f>
        <v>0</v>
      </c>
      <c r="AP313" s="777" t="b">
        <f>IF('4 SUP +'!$A34&gt;10,IF('4 SUP +'!$A34&lt;31.1,IF('4 SUP +'!$C34&gt;141.5,IF('4 SUP +'!$C34&lt;180.6,'4 SUP +'!$AB34,0))))</f>
        <v>0</v>
      </c>
      <c r="AQ313" s="777" t="b">
        <f>IF('4 SUP +'!$A34&gt;10,IF('4 SUP +'!$A34&lt;31.1,IF('4 SUP +'!$C34&gt;180.5,IF('4 SUP +'!$C34&lt;240.1,'4 SUP +'!$AB34,0))))</f>
        <v>0</v>
      </c>
      <c r="AS313" s="777" t="b">
        <f>IF('4 SUP +'!$A34&gt;31,IF('4 SUP +'!$A34&lt;45.5,IF('4 SUP +'!$C34&gt;10,IF('4 SUP +'!$C34&lt;57.6,'4 SUP +'!$AB34,0))))</f>
        <v>0</v>
      </c>
      <c r="AT313" s="777" t="b">
        <f>IF('4 SUP +'!$A34&gt;31,IF('4 SUP +'!$A34&lt;45.5,IF('4 SUP +'!$C34&gt;57.6,IF('4 SUP +'!$C34&lt;71.6,'4 SUP +'!$AB34,0))))</f>
        <v>0</v>
      </c>
      <c r="AU313" s="777" t="b">
        <f>IF('4 SUP +'!$A34&gt;31,IF('4 SUP +'!$A34&lt;45.5,IF('4 SUP +'!$C34&gt;71.5,IF('4 SUP +'!$C34&lt;85.6,'4 SUP +'!$AB34,0))))</f>
        <v>0</v>
      </c>
      <c r="AV313" s="777" t="b">
        <f>IF('4 SUP +'!$A34&gt;31,IF('4 SUP +'!$A34&lt;45.5,IF('4 SUP +'!$C34&gt;85.5,IF('4 SUP +'!$C34&lt;113.6,'4 SUP +'!$AB34,0))))</f>
        <v>0</v>
      </c>
      <c r="AW313" s="777" t="b">
        <f>IF('4 SUP +'!$A34&gt;31,IF('4 SUP +'!$A34&lt;45.5,IF('4 SUP +'!$C34&gt;113.5,IF('4 SUP +'!$C34&lt;141.6,'4 SUP +'!$AB34,0))))</f>
        <v>0</v>
      </c>
      <c r="AX313" s="777" t="b">
        <f>IF('4 SUP +'!$A34&gt;31,IF('4 SUP +'!$A34&lt;45.5,IF('4 SUP +'!$C34&gt;141.5,IF('4 SUP +'!$C34&lt;180.6,'4 SUP +'!$AB34,0))))</f>
        <v>0</v>
      </c>
      <c r="AY313" s="777" t="b">
        <f>IF('4 SUP +'!$A34&gt;31,IF('4 SUP +'!$A34&lt;45.5,IF('4 SUP +'!$C34&gt;180.5,IF('4 SUP +'!$C34&lt;240.1,'4 SUP +'!$AB34,0))))</f>
        <v>0</v>
      </c>
      <c r="BA313" s="777" t="b">
        <f>IF('4 SUP +'!$A34&gt;45.4,IF('4 SUP +'!$A34&lt;61.6,IF('4 SUP +'!$C34&gt;10,IF('4 SUP +'!$C34&lt;61.5,'4 SUP +'!$AB34,0))))</f>
        <v>0</v>
      </c>
      <c r="BB313" s="777" t="b">
        <f>IF('4 SUP +'!$A34&gt;45.4,IF('4 SUP +'!$A34&lt;61.6,IF('4 SUP +'!$C34&gt;61.1,IF('4 SUP +'!$C34&lt;71.6,'4 SUP +'!$AB34,0))))</f>
        <v>0</v>
      </c>
      <c r="BC313" s="777" t="b">
        <f>IF('4 SUP +'!$A34&gt;45.4,IF('4 SUP +'!$A34&lt;61.6,IF('4 SUP +'!$C34&gt;71.5,IF('4 SUP +'!$C34&lt;85.6,'4 SUP +'!$AB34,0))))</f>
        <v>0</v>
      </c>
      <c r="BD313" s="777" t="b">
        <f>IF('4 SUP +'!$A34&gt;45.4,IF('4 SUP +'!$A34&lt;61.6,IF('4 SUP +'!$C34&gt;85.5,IF('4 SUP +'!$C34&lt;113.6,'4 SUP +'!$AB34,0))))</f>
        <v>0</v>
      </c>
      <c r="BE313" s="777" t="b">
        <f>IF('4 SUP +'!$A34&gt;45.4,IF('4 SUP +'!$A34&lt;61.6,IF('4 SUP +'!$C34&gt;113.5,IF('4 SUP +'!$C34&lt;121.6,'4 SUP +'!$AB34,0))))</f>
        <v>0</v>
      </c>
      <c r="BF313" s="777" t="b">
        <f>IF('4 SUP +'!$A34&gt;45.4,IF('4 SUP +'!$A34&lt;61.6,IF('4 SUP +'!$C34&gt;121.5,IF('4 SUP +'!$C34&lt;127.6,'4 SUP +'!$AB34,0))))</f>
        <v>0</v>
      </c>
      <c r="BG313" s="777" t="b">
        <f>IF('4 SUP +'!$A34&gt;45.4,IF('4 SUP +'!$A34&lt;61.6,IF('4 SUP +'!$C34&gt;127.5,IF('4 SUP +'!$C34&lt;135.1,'4 SUP +'!$AB34,0))))</f>
        <v>0</v>
      </c>
      <c r="BH313" s="777" t="b">
        <f>IF('4 SUP +'!$A34&gt;45.4,IF('4 SUP +'!$A34&lt;61.6,IF('4 SUP +'!$C34&gt;135,IF('4 SUP +'!$C34&lt;141.6,'4 SUP +'!$AB34,0))))</f>
        <v>0</v>
      </c>
      <c r="BI313" s="777" t="b">
        <f>IF('4 SUP +'!$A34&gt;45.4,IF('4 SUP +'!$A34&lt;61.6,IF('4 SUP +'!$C34&gt;141.5,IF('4 SUP +'!$C34&lt;149.1,'4 SUP +'!$AB34,0))))</f>
        <v>0</v>
      </c>
      <c r="BJ313" s="777" t="b">
        <f>IF('4 SUP +'!$A34&gt;45.4,IF('4 SUP +'!$A34&lt;61.6,IF('4 SUP +'!$C34&gt;149,IF('4 SUP +'!$C34&lt;155.6,'4 SUP +'!$AB34,0))))</f>
        <v>0</v>
      </c>
      <c r="BK313" s="777" t="b">
        <f>IF('4 SUP +'!$A34&gt;45.4,IF('4 SUP +'!$A34&lt;61.6,IF('4 SUP +'!$C34&gt;155.5,IF('4 SUP +'!$C34&lt;163.1,'4 SUP +'!$AB34,0))))</f>
        <v>0</v>
      </c>
      <c r="BL313" s="777" t="b">
        <f>IF('4 SUP +'!$A34&gt;45.4,IF('4 SUP +'!$A34&lt;61.6,IF('4 SUP +'!$C34&gt;163,IF('4 SUP +'!$C34&lt;180.6,'4 SUP +'!$AB34,0))))</f>
        <v>0</v>
      </c>
      <c r="BM313" s="777" t="b">
        <f>IF('4 SUP +'!$A34&gt;45.4,IF('4 SUP +'!$A34&lt;61.6,IF('4 SUP +'!$C34&gt;180.5,IF('4 SUP +'!$C34&lt;240.1,'4 SUP +'!$AB34,0))))</f>
        <v>0</v>
      </c>
      <c r="BO313" s="869" t="s">
        <v>546</v>
      </c>
      <c r="BQ313" s="870">
        <f>+$BW$338+$BX$338+$DF$338</f>
        <v>0</v>
      </c>
      <c r="BS313" s="869"/>
      <c r="BT313" s="870">
        <f>+$BW$339+$BX$339+$DF$339</f>
        <v>0</v>
      </c>
      <c r="BV313" s="777" t="b">
        <f>IF('4 SUP +'!$A34&gt;61.5,IF('4 SUP +'!$A34&lt;71.6,IF('4 SUP +'!$C34&gt;10,IF('4 SUP +'!$C34&lt;57.6,'4 SUP +'!$AB34,0))))</f>
        <v>0</v>
      </c>
      <c r="BW313" s="777" t="b">
        <f>IF('4 SUP +'!$A34&gt;61.5,IF('4 SUP +'!$A34&lt;71.6,IF('4 SUP +'!$C34&gt;57.6,IF('4 SUP +'!$C34&lt;71.6,'4 SUP +'!$AB34,0))))</f>
        <v>0</v>
      </c>
      <c r="BX313" s="777" t="b">
        <f>IF('4 SUP +'!$A34&gt;61.5,IF('4 SUP +'!$A34&lt;71.6,IF('4 SUP +'!$C34&gt;71.5,IF('4 SUP +'!$C34&lt;85.6,'4 SUP +'!$AB34,0))))</f>
        <v>0</v>
      </c>
      <c r="BY313" s="777" t="b">
        <f>IF('4 SUP +'!$A34&gt;61.5,IF('4 SUP +'!$A34&lt;71.6,IF('4 SUP +'!$C34&gt;85.5,IF('4 SUP +'!$C34&lt;113.6,'4 SUP +'!$AB34,0))))</f>
        <v>0</v>
      </c>
      <c r="BZ313" s="777" t="b">
        <f>IF('4 SUP +'!$A34&gt;61.5,IF('4 SUP +'!$A34&lt;71.6,IF('4 SUP +'!$C34&gt;113.5,IF('4 SUP +'!$C34&lt;141.6,'4 SUP +'!$AB34,0))))</f>
        <v>0</v>
      </c>
      <c r="CA313" s="777" t="b">
        <f>IF('4 SUP +'!$A34&gt;61.5,IF('4 SUP +'!$A34&lt;71.6,IF('4 SUP +'!$C34&gt;141.5,IF('4 SUP +'!$C34&lt;149.1,'4 SUP +'!$AB34,0))))</f>
        <v>0</v>
      </c>
      <c r="CB313" s="777" t="b">
        <f>IF('4 SUP +'!$A34&gt;61.5,IF('4 SUP +'!$A34&lt;71.6,IF('4 SUP +'!$C34&gt;149,IF('4 SUP +'!$C34&lt;163.1,'4 SUP +'!$AB34,0))))</f>
        <v>0</v>
      </c>
      <c r="CC313" s="777" t="b">
        <f>IF('4 SUP +'!$A34&gt;61.5,IF('4 SUP +'!$A34&lt;71.6,IF('4 SUP +'!$C34&gt;163,IF('4 SUP +'!$C34&lt;180.6,'4 SUP +'!$AB34,0))))</f>
        <v>0</v>
      </c>
      <c r="CD313" s="777" t="b">
        <f>IF('4 SUP +'!$A34&gt;61.5,IF('4 SUP +'!$A34&lt;71.6,IF('4 SUP +'!$C34&gt;180.5,IF('4 SUP +'!$C34&lt;240.1,'4 SUP +'!$AB34,0))))</f>
        <v>0</v>
      </c>
      <c r="CF313" s="777" t="b">
        <f>IF('4 SUP +'!$A34&gt;71.5,IF('4 SUP +'!$A34&lt;120.6,IF('4 SUP +'!$C34&gt;10,IF('4 SUP +'!$C34&lt;57.6,'4 SUP +'!$AB34,0))))</f>
        <v>0</v>
      </c>
      <c r="CG313" s="777" t="b">
        <f>IF('4 SUP +'!$A34&gt;71.5,IF('4 SUP +'!$A34&lt;120.6,IF('4 SUP +'!$C34&gt;57.6,IF('4 SUP +'!$C34&lt;71.6,'4 SUP +'!$AB34,0))))</f>
        <v>0</v>
      </c>
      <c r="CH313" s="777" t="b">
        <f>IF('4 SUP +'!$A34&gt;71.5,IF('4 SUP +'!$A34&lt;120.6,IF('4 SUP +'!$C34&gt;71.5,IF('4 SUP +'!$C34&lt;85.6,'4 SUP +'!$AB34,0))))</f>
        <v>0</v>
      </c>
      <c r="CI313" s="777" t="b">
        <f>IF('4 SUP +'!$A34&gt;71.5,IF('4 SUP +'!$A34&lt;120.6,IF('4 SUP +'!$C34&gt;85.5,IF('4 SUP +'!$C34&lt;113.6,'4 SUP +'!$AB34,0))))</f>
        <v>0</v>
      </c>
      <c r="CJ313" s="777" t="b">
        <f>IF('4 SUP +'!$A34&gt;71.5,IF('4 SUP +'!$A34&lt;120.6,IF('4 SUP +'!$C34&gt;113.5,IF('4 SUP +'!$C34&lt;141.6,'4 SUP +'!$AB34,0))))</f>
        <v>0</v>
      </c>
      <c r="CK313" s="777" t="b">
        <f>IF('4 SUP +'!$A34&gt;71.5,IF('4 SUP +'!$A34&lt;120.6,IF('4 SUP +'!$C34&gt;141.5,IF('4 SUP +'!$C34&lt;180.6,'4 SUP +'!$AB34,0))))</f>
        <v>0</v>
      </c>
      <c r="CL313" s="777" t="b">
        <f>IF('4 SUP +'!$A34&gt;71.5,IF('4 SUP +'!$A34&lt;120.6,IF('4 SUP +'!$C34&gt;180.5,IF('4 SUP +'!$C34&lt;240.1,'4 SUP +'!$AB34,0))))</f>
        <v>0</v>
      </c>
      <c r="CN313" s="777">
        <f>IF('4 SUP +'!$C34&lt;150,IF(OR('4 SUP +'!$A34="MICRODER",'4 SUP +'!$A34="MICRO DER",),'4 SUP +'!$AB34,0))</f>
        <v>0</v>
      </c>
      <c r="CO313" s="777" t="b">
        <f>IF('4 SUP +'!$C34&gt;149.5,IF(OR('4 SUP +'!$A34="MICRODER",'4 SUP +'!$A34="MICRO DER",),'4 SUP +'!$AB34,0))</f>
        <v>0</v>
      </c>
      <c r="CP313" s="847"/>
      <c r="CQ313" s="777">
        <f>IF('4 SUP +'!$C34&lt;150,IF(OR('4 SUP +'!$A34="MICROIZQ",'4 SUP +'!$A34="MICRO IZQ",),'4 SUP +'!$AB34,0))</f>
        <v>0</v>
      </c>
      <c r="CR313" s="777" t="b">
        <f>IF('4 SUP +'!$C34&gt;149.5,IF(OR('4 SUP +'!$A34="MICROIZQ",'4 SUP +'!$A34="MICRO IZQ",),'4 SUP +'!$AB34,0))</f>
        <v>0</v>
      </c>
      <c r="CT313" s="837">
        <f>IF(OR('4 SUP +'!$A34="MICRO SEN",'4 SUP +'!$A34="MICROSEN",),'4 SUP +'!$AB34,0)</f>
        <v>0</v>
      </c>
      <c r="CV313" s="837" t="b">
        <f>IF('4 SUP +'!$A34="DIAMETRO",IF('4 SUP +'!$C34&lt;121.1,'4 SUP +'!$AB34,0))</f>
        <v>0</v>
      </c>
      <c r="CX313" s="858"/>
      <c r="CZ313" s="837" t="b">
        <f>IF('4 SUP +'!$A34="MOSTRADOR",IF('4 SUP +'!$C34="R60",'4 SUP +'!$AB34,0))</f>
        <v>0</v>
      </c>
      <c r="DB313" s="837">
        <f>IF(OR('4 SUP +'!$A34="PORTA PRIN",'4 SUP +'!$A34="PORTAPRIN",),'4 SUP +'!$AB34,0)</f>
        <v>0</v>
      </c>
      <c r="DD313" s="837">
        <f>IF(OR('4 SUP +'!$A34="PORTA BADE",'4 SUP +'!$A34="PORTABADE",),'4 SUP +'!$AB34,0)</f>
        <v>0</v>
      </c>
      <c r="DE313" s="837"/>
      <c r="DF313" s="837">
        <f>IF(OR('4 SUP +'!$A34="RETORNO IZQ",'4 SUP +'!$A34="RETORNO DER",),'4 SUP +'!$AB222,0)</f>
        <v>0</v>
      </c>
      <c r="DG313" s="837"/>
      <c r="DH313" s="837">
        <f>IF(OR('4 SUP +'!$A34="PITO Q",'4 SUP +'!$A34="PITO P",'4 SUP +'!$A34="DIAMETRO INTEGRADA",),'4 SUP +'!$AB34,0)</f>
        <v>0</v>
      </c>
      <c r="DJ313" s="858"/>
      <c r="DK313" s="837"/>
      <c r="DL313" s="837">
        <f>IF('4 SUP +'!$A34="SUPERFICIE OVAL",'4 SUP +'!$AB34,0)</f>
        <v>0</v>
      </c>
      <c r="DN313" s="838"/>
      <c r="DO313" s="838"/>
      <c r="DP313" s="838"/>
      <c r="DQ313" s="838"/>
      <c r="DR313" s="838"/>
      <c r="DS313" s="838"/>
      <c r="DT313" s="838"/>
      <c r="DU313" s="838"/>
      <c r="DV313" s="838"/>
      <c r="DW313" s="838"/>
      <c r="DX313" s="838"/>
      <c r="DY313" s="838"/>
      <c r="DZ313" s="838"/>
      <c r="EA313" s="838"/>
      <c r="EB313" s="838"/>
      <c r="EC313" s="838"/>
      <c r="ED313" s="838"/>
      <c r="EG313" s="682">
        <f>IF('4 SUP +'!A32="MICRO DER",85,IF('4 SUP +'!A32="MICRO IZQ",85,IF('4 SUP +'!A32="MICRO SEN",170,IF('4 SUP +'!A32="DIAMETRO",3.14*'4 SUP +'!C32/2,IF('4 SUP +'!A32="MOSTRADOR",136,IF('4 SUP +'!A32="PORTA",65,IF('4 SUP +'!A32="PITO Q",90,IF('4 SUP +'!A32="PITO P",90,'4 SUP +'!A32))))))))</f>
        <v>0</v>
      </c>
      <c r="EH313" s="682"/>
      <c r="EI313" s="682">
        <f>IF('4 SUP +'!A32="DIAMETRO",0,IF('4 SUP +'!C32="PRINCIPAL",160,IF('4 SUP +'!C32="BADE",190,IF('4 SUP +'!C32="RETORNO",100,IF('4 SUP +'!C32="R 60",100,IF('4 SUP +'!C32="R60",100,'4 SUP +'!C32))))))</f>
        <v>0</v>
      </c>
      <c r="EJ313" s="682"/>
      <c r="EK313" s="682">
        <f>IF('4 SUP +'!$F32='4 SUP +'!$AG$15,((EG313*2)+(EI313*2))*'4 SUP +'!AB32,0)</f>
        <v>0</v>
      </c>
      <c r="EL313" s="682"/>
      <c r="EM313" s="682">
        <f>IF('4 SUP +'!$F32='4 SUP +'!$AG$16,((EG313*2)+(EI313*2))*'4 SUP +'!AB32,0)</f>
        <v>0</v>
      </c>
      <c r="EO313" s="682">
        <f>IF('4 SUP +'!$F32='4 SUP +'!$AG$17,((EG313*2)+(EI313*2))*'4 SUP +'!AB32,0)</f>
        <v>0</v>
      </c>
      <c r="EP313" s="838"/>
      <c r="EQ313" s="682">
        <f>IF('4 SUP +'!$F32='4 SUP +'!$AG$18,((EG313*2)+(EI313*2))*'4 SUP +'!AB32,0)</f>
        <v>0</v>
      </c>
      <c r="ER313" s="838"/>
      <c r="ES313" s="858"/>
      <c r="ET313" s="858"/>
      <c r="EU313" s="858"/>
      <c r="EV313" s="858"/>
      <c r="EW313" s="838"/>
      <c r="EX313" s="838"/>
      <c r="EY313" s="838"/>
      <c r="EZ313" s="838"/>
      <c r="FA313" s="838"/>
      <c r="FB313" s="838"/>
      <c r="FC313" s="838"/>
      <c r="FD313" s="838"/>
      <c r="FE313" s="838"/>
      <c r="FF313" s="838"/>
      <c r="FG313" s="838"/>
      <c r="FH313" s="838"/>
      <c r="FI313" s="838"/>
      <c r="FJ313" s="838"/>
      <c r="FK313" s="838"/>
      <c r="FL313" s="838"/>
      <c r="FM313" s="838"/>
      <c r="FN313" s="838"/>
      <c r="FO313" s="838"/>
      <c r="FP313" s="838"/>
      <c r="GM313" s="858"/>
      <c r="GN313" s="838"/>
      <c r="GO313" s="858"/>
      <c r="GP313" s="858"/>
      <c r="GQ313" s="858"/>
      <c r="GR313" s="838"/>
      <c r="GS313" s="838"/>
      <c r="HF313" s="700">
        <v>65.5</v>
      </c>
      <c r="HH313" s="591">
        <v>65.5</v>
      </c>
    </row>
    <row r="314" spans="37:216" ht="26.25" x14ac:dyDescent="0.4">
      <c r="AK314" s="777" t="b">
        <f>IF('4 SUP +'!$A35&gt;10,IF('4 SUP +'!$A35&lt;31.1,IF('4 SUP +'!$C35&gt;10,IF('4 SUP +'!$C35&lt;57.6,'4 SUP +'!$AB35,0))))</f>
        <v>0</v>
      </c>
      <c r="AL314" s="777" t="b">
        <f>IF('4 SUP +'!$A35&gt;10,IF('4 SUP +'!$A35&lt;31.1,IF('4 SUP +'!$C35&gt;57.6,IF('4 SUP +'!$C35&lt;71.6,'4 SUP +'!$AB35,0))))</f>
        <v>0</v>
      </c>
      <c r="AM314" s="777" t="b">
        <f>IF('4 SUP +'!$A35&gt;10,IF('4 SUP +'!$A35&lt;31.1,IF('4 SUP +'!$C35&gt;71.5,IF('4 SUP +'!$C35&lt;85.6,'4 SUP +'!$AB35,0))))</f>
        <v>0</v>
      </c>
      <c r="AN314" s="777" t="b">
        <f>IF('4 SUP +'!$A35&gt;10,IF('4 SUP +'!$A35&lt;31.1,IF('4 SUP +'!$C35&gt;85.5,IF('4 SUP +'!$C35&lt;113.6,'4 SUP +'!$AB35,0))))</f>
        <v>0</v>
      </c>
      <c r="AO314" s="777" t="b">
        <f>IF('4 SUP +'!$A35&gt;10,IF('4 SUP +'!$A35&lt;31.1,IF('4 SUP +'!$C35&gt;113.5,IF('4 SUP +'!$C35&lt;141.6,'4 SUP +'!$AB35,0))))</f>
        <v>0</v>
      </c>
      <c r="AP314" s="777" t="b">
        <f>IF('4 SUP +'!$A35&gt;10,IF('4 SUP +'!$A35&lt;31.1,IF('4 SUP +'!$C35&gt;141.5,IF('4 SUP +'!$C35&lt;180.6,'4 SUP +'!$AB35,0))))</f>
        <v>0</v>
      </c>
      <c r="AQ314" s="777" t="b">
        <f>IF('4 SUP +'!$A35&gt;10,IF('4 SUP +'!$A35&lt;31.1,IF('4 SUP +'!$C35&gt;180.5,IF('4 SUP +'!$C35&lt;240.1,'4 SUP +'!$AB35,0))))</f>
        <v>0</v>
      </c>
      <c r="AS314" s="777" t="b">
        <f>IF('4 SUP +'!$A35&gt;31,IF('4 SUP +'!$A35&lt;45.5,IF('4 SUP +'!$C35&gt;10,IF('4 SUP +'!$C35&lt;57.6,'4 SUP +'!$AB35,0))))</f>
        <v>0</v>
      </c>
      <c r="AT314" s="777" t="b">
        <f>IF('4 SUP +'!$A35&gt;31,IF('4 SUP +'!$A35&lt;45.5,IF('4 SUP +'!$C35&gt;57.6,IF('4 SUP +'!$C35&lt;71.6,'4 SUP +'!$AB35,0))))</f>
        <v>0</v>
      </c>
      <c r="AU314" s="777" t="b">
        <f>IF('4 SUP +'!$A35&gt;31,IF('4 SUP +'!$A35&lt;45.5,IF('4 SUP +'!$C35&gt;71.5,IF('4 SUP +'!$C35&lt;85.6,'4 SUP +'!$AB35,0))))</f>
        <v>0</v>
      </c>
      <c r="AV314" s="777" t="b">
        <f>IF('4 SUP +'!$A35&gt;31,IF('4 SUP +'!$A35&lt;45.5,IF('4 SUP +'!$C35&gt;85.5,IF('4 SUP +'!$C35&lt;113.6,'4 SUP +'!$AB35,0))))</f>
        <v>0</v>
      </c>
      <c r="AW314" s="777" t="b">
        <f>IF('4 SUP +'!$A35&gt;31,IF('4 SUP +'!$A35&lt;45.5,IF('4 SUP +'!$C35&gt;113.5,IF('4 SUP +'!$C35&lt;141.6,'4 SUP +'!$AB35,0))))</f>
        <v>0</v>
      </c>
      <c r="AX314" s="777" t="b">
        <f>IF('4 SUP +'!$A35&gt;31,IF('4 SUP +'!$A35&lt;45.5,IF('4 SUP +'!$C35&gt;141.5,IF('4 SUP +'!$C35&lt;180.6,'4 SUP +'!$AB35,0))))</f>
        <v>0</v>
      </c>
      <c r="AY314" s="777" t="b">
        <f>IF('4 SUP +'!$A35&gt;31,IF('4 SUP +'!$A35&lt;45.5,IF('4 SUP +'!$C35&gt;180.5,IF('4 SUP +'!$C35&lt;240.1,'4 SUP +'!$AB35,0))))</f>
        <v>0</v>
      </c>
      <c r="BA314" s="777" t="b">
        <f>IF('4 SUP +'!$A35&gt;45.4,IF('4 SUP +'!$A35&lt;61.6,IF('4 SUP +'!$C35&gt;10,IF('4 SUP +'!$C35&lt;61.5,'4 SUP +'!$AB35,0))))</f>
        <v>0</v>
      </c>
      <c r="BB314" s="777" t="b">
        <f>IF('4 SUP +'!$A35&gt;45.4,IF('4 SUP +'!$A35&lt;61.6,IF('4 SUP +'!$C35&gt;61.1,IF('4 SUP +'!$C35&lt;71.6,'4 SUP +'!$AB35,0))))</f>
        <v>0</v>
      </c>
      <c r="BC314" s="777" t="b">
        <f>IF('4 SUP +'!$A35&gt;45.4,IF('4 SUP +'!$A35&lt;61.6,IF('4 SUP +'!$C35&gt;71.5,IF('4 SUP +'!$C35&lt;85.6,'4 SUP +'!$AB35,0))))</f>
        <v>0</v>
      </c>
      <c r="BD314" s="777" t="b">
        <f>IF('4 SUP +'!$A35&gt;45.4,IF('4 SUP +'!$A35&lt;61.6,IF('4 SUP +'!$C35&gt;85.5,IF('4 SUP +'!$C35&lt;113.6,'4 SUP +'!$AB35,0))))</f>
        <v>0</v>
      </c>
      <c r="BE314" s="777" t="b">
        <f>IF('4 SUP +'!$A35&gt;45.4,IF('4 SUP +'!$A35&lt;61.6,IF('4 SUP +'!$C35&gt;113.5,IF('4 SUP +'!$C35&lt;121.6,'4 SUP +'!$AB35,0))))</f>
        <v>0</v>
      </c>
      <c r="BF314" s="777" t="b">
        <f>IF('4 SUP +'!$A35&gt;45.4,IF('4 SUP +'!$A35&lt;61.6,IF('4 SUP +'!$C35&gt;121.5,IF('4 SUP +'!$C35&lt;127.6,'4 SUP +'!$AB35,0))))</f>
        <v>0</v>
      </c>
      <c r="BG314" s="777" t="b">
        <f>IF('4 SUP +'!$A35&gt;45.4,IF('4 SUP +'!$A35&lt;61.6,IF('4 SUP +'!$C35&gt;127.5,IF('4 SUP +'!$C35&lt;135.1,'4 SUP +'!$AB35,0))))</f>
        <v>0</v>
      </c>
      <c r="BH314" s="777" t="b">
        <f>IF('4 SUP +'!$A35&gt;45.4,IF('4 SUP +'!$A35&lt;61.6,IF('4 SUP +'!$C35&gt;135,IF('4 SUP +'!$C35&lt;141.6,'4 SUP +'!$AB35,0))))</f>
        <v>0</v>
      </c>
      <c r="BI314" s="777" t="b">
        <f>IF('4 SUP +'!$A35&gt;45.4,IF('4 SUP +'!$A35&lt;61.6,IF('4 SUP +'!$C35&gt;141.5,IF('4 SUP +'!$C35&lt;149.1,'4 SUP +'!$AB35,0))))</f>
        <v>0</v>
      </c>
      <c r="BJ314" s="777" t="b">
        <f>IF('4 SUP +'!$A35&gt;45.4,IF('4 SUP +'!$A35&lt;61.6,IF('4 SUP +'!$C35&gt;149,IF('4 SUP +'!$C35&lt;155.6,'4 SUP +'!$AB35,0))))</f>
        <v>0</v>
      </c>
      <c r="BK314" s="777" t="b">
        <f>IF('4 SUP +'!$A35&gt;45.4,IF('4 SUP +'!$A35&lt;61.6,IF('4 SUP +'!$C35&gt;155.5,IF('4 SUP +'!$C35&lt;163.1,'4 SUP +'!$AB35,0))))</f>
        <v>0</v>
      </c>
      <c r="BL314" s="777" t="b">
        <f>IF('4 SUP +'!$A35&gt;45.4,IF('4 SUP +'!$A35&lt;61.6,IF('4 SUP +'!$C35&gt;163,IF('4 SUP +'!$C35&lt;180.6,'4 SUP +'!$AB35,0))))</f>
        <v>0</v>
      </c>
      <c r="BM314" s="777" t="b">
        <f>IF('4 SUP +'!$A35&gt;45.4,IF('4 SUP +'!$A35&lt;61.6,IF('4 SUP +'!$C35&gt;180.5,IF('4 SUP +'!$C35&lt;240.1,'4 SUP +'!$AB35,0))))</f>
        <v>0</v>
      </c>
      <c r="BO314" s="869" t="s">
        <v>548</v>
      </c>
      <c r="BQ314" s="870">
        <f>+$BY$338</f>
        <v>0</v>
      </c>
      <c r="BS314" s="869"/>
      <c r="BT314" s="870">
        <f>+$BY$339</f>
        <v>0</v>
      </c>
      <c r="BV314" s="777" t="b">
        <f>IF('4 SUP +'!$A35&gt;61.5,IF('4 SUP +'!$A35&lt;71.6,IF('4 SUP +'!$C35&gt;10,IF('4 SUP +'!$C35&lt;57.6,'4 SUP +'!$AB35,0))))</f>
        <v>0</v>
      </c>
      <c r="BW314" s="777" t="b">
        <f>IF('4 SUP +'!$A35&gt;61.5,IF('4 SUP +'!$A35&lt;71.6,IF('4 SUP +'!$C35&gt;57.6,IF('4 SUP +'!$C35&lt;71.6,'4 SUP +'!$AB35,0))))</f>
        <v>0</v>
      </c>
      <c r="BX314" s="777" t="b">
        <f>IF('4 SUP +'!$A35&gt;61.5,IF('4 SUP +'!$A35&lt;71.6,IF('4 SUP +'!$C35&gt;71.5,IF('4 SUP +'!$C35&lt;85.6,'4 SUP +'!$AB35,0))))</f>
        <v>0</v>
      </c>
      <c r="BY314" s="777" t="b">
        <f>IF('4 SUP +'!$A35&gt;61.5,IF('4 SUP +'!$A35&lt;71.6,IF('4 SUP +'!$C35&gt;85.5,IF('4 SUP +'!$C35&lt;113.6,'4 SUP +'!$AB35,0))))</f>
        <v>0</v>
      </c>
      <c r="BZ314" s="777" t="b">
        <f>IF('4 SUP +'!$A35&gt;61.5,IF('4 SUP +'!$A35&lt;71.6,IF('4 SUP +'!$C35&gt;113.5,IF('4 SUP +'!$C35&lt;141.6,'4 SUP +'!$AB35,0))))</f>
        <v>0</v>
      </c>
      <c r="CA314" s="777" t="b">
        <f>IF('4 SUP +'!$A35&gt;61.5,IF('4 SUP +'!$A35&lt;71.6,IF('4 SUP +'!$C35&gt;141.5,IF('4 SUP +'!$C35&lt;149.1,'4 SUP +'!$AB35,0))))</f>
        <v>0</v>
      </c>
      <c r="CB314" s="777" t="b">
        <f>IF('4 SUP +'!$A35&gt;61.5,IF('4 SUP +'!$A35&lt;71.6,IF('4 SUP +'!$C35&gt;149,IF('4 SUP +'!$C35&lt;163.1,'4 SUP +'!$AB35,0))))</f>
        <v>0</v>
      </c>
      <c r="CC314" s="777" t="b">
        <f>IF('4 SUP +'!$A35&gt;61.5,IF('4 SUP +'!$A35&lt;71.6,IF('4 SUP +'!$C35&gt;163,IF('4 SUP +'!$C35&lt;180.6,'4 SUP +'!$AB35,0))))</f>
        <v>0</v>
      </c>
      <c r="CD314" s="777" t="b">
        <f>IF('4 SUP +'!$A35&gt;61.5,IF('4 SUP +'!$A35&lt;71.6,IF('4 SUP +'!$C35&gt;180.5,IF('4 SUP +'!$C35&lt;240.1,'4 SUP +'!$AB35,0))))</f>
        <v>0</v>
      </c>
      <c r="CF314" s="777" t="b">
        <f>IF('4 SUP +'!$A35&gt;71.5,IF('4 SUP +'!$A35&lt;120.6,IF('4 SUP +'!$C35&gt;10,IF('4 SUP +'!$C35&lt;57.6,'4 SUP +'!$AB35,0))))</f>
        <v>0</v>
      </c>
      <c r="CG314" s="777" t="b">
        <f>IF('4 SUP +'!$A35&gt;71.5,IF('4 SUP +'!$A35&lt;120.6,IF('4 SUP +'!$C35&gt;57.6,IF('4 SUP +'!$C35&lt;71.6,'4 SUP +'!$AB35,0))))</f>
        <v>0</v>
      </c>
      <c r="CH314" s="777" t="b">
        <f>IF('4 SUP +'!$A35&gt;71.5,IF('4 SUP +'!$A35&lt;120.6,IF('4 SUP +'!$C35&gt;71.5,IF('4 SUP +'!$C35&lt;85.6,'4 SUP +'!$AB35,0))))</f>
        <v>0</v>
      </c>
      <c r="CI314" s="777" t="b">
        <f>IF('4 SUP +'!$A35&gt;71.5,IF('4 SUP +'!$A35&lt;120.6,IF('4 SUP +'!$C35&gt;85.5,IF('4 SUP +'!$C35&lt;113.6,'4 SUP +'!$AB35,0))))</f>
        <v>0</v>
      </c>
      <c r="CJ314" s="777" t="b">
        <f>IF('4 SUP +'!$A35&gt;71.5,IF('4 SUP +'!$A35&lt;120.6,IF('4 SUP +'!$C35&gt;113.5,IF('4 SUP +'!$C35&lt;141.6,'4 SUP +'!$AB35,0))))</f>
        <v>0</v>
      </c>
      <c r="CK314" s="777" t="b">
        <f>IF('4 SUP +'!$A35&gt;71.5,IF('4 SUP +'!$A35&lt;120.6,IF('4 SUP +'!$C35&gt;141.5,IF('4 SUP +'!$C35&lt;180.6,'4 SUP +'!$AB35,0))))</f>
        <v>0</v>
      </c>
      <c r="CL314" s="777" t="b">
        <f>IF('4 SUP +'!$A35&gt;71.5,IF('4 SUP +'!$A35&lt;120.6,IF('4 SUP +'!$C35&gt;180.5,IF('4 SUP +'!$C35&lt;240.1,'4 SUP +'!$AB35,0))))</f>
        <v>0</v>
      </c>
      <c r="CN314" s="777">
        <f>IF('4 SUP +'!$C35&lt;150,IF(OR('4 SUP +'!$A35="MICRODER",'4 SUP +'!$A35="MICRO DER",),'4 SUP +'!$AB35,0))</f>
        <v>0</v>
      </c>
      <c r="CO314" s="777" t="b">
        <f>IF('4 SUP +'!$C35&gt;149.5,IF(OR('4 SUP +'!$A35="MICRODER",'4 SUP +'!$A35="MICRO DER",),'4 SUP +'!$AB35,0))</f>
        <v>0</v>
      </c>
      <c r="CP314" s="847"/>
      <c r="CQ314" s="777">
        <f>IF('4 SUP +'!$C35&lt;150,IF(OR('4 SUP +'!$A35="MICROIZQ",'4 SUP +'!$A35="MICRO IZQ",),'4 SUP +'!$AB35,0))</f>
        <v>0</v>
      </c>
      <c r="CR314" s="777" t="b">
        <f>IF('4 SUP +'!$C35&gt;149.5,IF(OR('4 SUP +'!$A35="MICROIZQ",'4 SUP +'!$A35="MICRO IZQ",),'4 SUP +'!$AB35,0))</f>
        <v>0</v>
      </c>
      <c r="CT314" s="837">
        <f>IF(OR('4 SUP +'!$A35="MICRO SEN",'4 SUP +'!$A35="MICROSEN",),'4 SUP +'!$AB35,0)</f>
        <v>0</v>
      </c>
      <c r="CV314" s="837" t="b">
        <f>IF('4 SUP +'!$A35="DIAMETRO",IF('4 SUP +'!$C35&lt;121.1,'4 SUP +'!$AB35,0))</f>
        <v>0</v>
      </c>
      <c r="CX314" s="858"/>
      <c r="CZ314" s="837" t="b">
        <f>IF('4 SUP +'!$A35="MOSTRADOR",IF('4 SUP +'!$C35="R60",'4 SUP +'!$AB35,0))</f>
        <v>0</v>
      </c>
      <c r="DB314" s="837">
        <f>IF(OR('4 SUP +'!$A35="PORTA PRIN",'4 SUP +'!$A35="PORTAPRIN",),'4 SUP +'!$AB35,0)</f>
        <v>0</v>
      </c>
      <c r="DD314" s="837">
        <f>IF(OR('4 SUP +'!$A35="PORTA BADE",'4 SUP +'!$A35="PORTABADE",),'4 SUP +'!$AB35,0)</f>
        <v>0</v>
      </c>
      <c r="DE314" s="837"/>
      <c r="DF314" s="837">
        <f>IF(OR('4 SUP +'!$A35="RETORNO IZQ",'4 SUP +'!$A35="RETORNO DER",),'4 SUP +'!$AB223,0)</f>
        <v>0</v>
      </c>
      <c r="DG314" s="837"/>
      <c r="DH314" s="837">
        <f>IF(OR('4 SUP +'!$A35="PITO Q",'4 SUP +'!$A35="PITO P",'4 SUP +'!$A35="DIAMETRO INTEGRADA",),'4 SUP +'!$AB35,0)</f>
        <v>0</v>
      </c>
      <c r="DJ314" s="858"/>
      <c r="DK314" s="837"/>
      <c r="DL314" s="837">
        <f>IF('4 SUP +'!$A35="SUPERFICIE OVAL",'4 SUP +'!$AB35,0)</f>
        <v>0</v>
      </c>
      <c r="DN314" s="838"/>
      <c r="DO314" s="838"/>
      <c r="DP314" s="838"/>
      <c r="DQ314" s="838"/>
      <c r="DR314" s="838"/>
      <c r="DS314" s="838"/>
      <c r="DT314" s="838"/>
      <c r="DU314" s="838"/>
      <c r="DV314" s="838"/>
      <c r="DW314" s="838"/>
      <c r="DX314" s="838"/>
      <c r="DY314" s="838"/>
      <c r="DZ314" s="838"/>
      <c r="EA314" s="838"/>
      <c r="EB314" s="838"/>
      <c r="EC314" s="838"/>
      <c r="ED314" s="838"/>
      <c r="EG314" s="682">
        <f>IF('4 SUP +'!A33="MICRO DER",85,IF('4 SUP +'!A33="MICRO IZQ",85,IF('4 SUP +'!A33="MICRO SEN",170,IF('4 SUP +'!A33="DIAMETRO",3.14*'4 SUP +'!C33/2,IF('4 SUP +'!A33="MOSTRADOR",136,IF('4 SUP +'!A33="PORTA",65,IF('4 SUP +'!A33="PITO Q",90,IF('4 SUP +'!A33="PITO P",90,'4 SUP +'!A33))))))))</f>
        <v>0</v>
      </c>
      <c r="EH314" s="682"/>
      <c r="EI314" s="682">
        <f>IF('4 SUP +'!A33="DIAMETRO",0,IF('4 SUP +'!C33="PRINCIPAL",160,IF('4 SUP +'!C33="BADE",190,IF('4 SUP +'!C33="RETORNO",100,IF('4 SUP +'!C33="R 60",100,IF('4 SUP +'!C33="R60",100,'4 SUP +'!C33))))))</f>
        <v>0</v>
      </c>
      <c r="EJ314" s="682"/>
      <c r="EK314" s="682">
        <f>IF('4 SUP +'!$F33='4 SUP +'!$AG$15,((EG314*2)+(EI314*2))*'4 SUP +'!AB33,0)</f>
        <v>0</v>
      </c>
      <c r="EL314" s="682"/>
      <c r="EM314" s="682">
        <f>IF('4 SUP +'!$F33='4 SUP +'!$AG$16,((EG314*2)+(EI314*2))*'4 SUP +'!AB33,0)</f>
        <v>0</v>
      </c>
      <c r="EO314" s="682">
        <f>IF('4 SUP +'!$F33='4 SUP +'!$AG$17,((EG314*2)+(EI314*2))*'4 SUP +'!AB33,0)</f>
        <v>0</v>
      </c>
      <c r="EP314" s="838"/>
      <c r="EQ314" s="682">
        <f>IF('4 SUP +'!$F33='4 SUP +'!$AG$18,((EG314*2)+(EI314*2))*'4 SUP +'!AB33,0)</f>
        <v>0</v>
      </c>
      <c r="ER314" s="838"/>
      <c r="ES314" s="858"/>
      <c r="ET314" s="858"/>
      <c r="EU314" s="858"/>
      <c r="EV314" s="858"/>
      <c r="EW314" s="838"/>
      <c r="EX314" s="838"/>
      <c r="EY314" s="838"/>
      <c r="EZ314" s="838"/>
      <c r="FA314" s="838"/>
      <c r="FB314" s="838"/>
      <c r="FC314" s="838"/>
      <c r="FD314" s="838"/>
      <c r="FE314" s="838"/>
      <c r="FF314" s="838"/>
      <c r="FG314" s="838"/>
      <c r="FH314" s="838"/>
      <c r="FI314" s="838"/>
      <c r="FJ314" s="838"/>
      <c r="FK314" s="838"/>
      <c r="FL314" s="838"/>
      <c r="FM314" s="838"/>
      <c r="FN314" s="838"/>
      <c r="FO314" s="838"/>
      <c r="FP314" s="838"/>
      <c r="GM314" s="858"/>
      <c r="GN314" s="838"/>
      <c r="GO314" s="858"/>
      <c r="GP314" s="858"/>
      <c r="GQ314" s="858"/>
      <c r="GR314" s="838"/>
      <c r="GS314" s="838"/>
      <c r="HF314" s="700">
        <v>66</v>
      </c>
      <c r="HH314" s="591">
        <v>66</v>
      </c>
    </row>
    <row r="315" spans="37:216" ht="26.25" x14ac:dyDescent="0.4">
      <c r="AK315" s="777" t="b">
        <f>IF('4 SUP +'!$A36&gt;10,IF('4 SUP +'!$A36&lt;31.1,IF('4 SUP +'!$C36&gt;10,IF('4 SUP +'!$C36&lt;57.6,'4 SUP +'!$AB36,0))))</f>
        <v>0</v>
      </c>
      <c r="AL315" s="777" t="b">
        <f>IF('4 SUP +'!$A36&gt;10,IF('4 SUP +'!$A36&lt;31.1,IF('4 SUP +'!$C36&gt;57.6,IF('4 SUP +'!$C36&lt;71.6,'4 SUP +'!$AB36,0))))</f>
        <v>0</v>
      </c>
      <c r="AM315" s="777" t="b">
        <f>IF('4 SUP +'!$A36&gt;10,IF('4 SUP +'!$A36&lt;31.1,IF('4 SUP +'!$C36&gt;71.5,IF('4 SUP +'!$C36&lt;85.6,'4 SUP +'!$AB36,0))))</f>
        <v>0</v>
      </c>
      <c r="AN315" s="777" t="b">
        <f>IF('4 SUP +'!$A36&gt;10,IF('4 SUP +'!$A36&lt;31.1,IF('4 SUP +'!$C36&gt;85.5,IF('4 SUP +'!$C36&lt;113.6,'4 SUP +'!$AB36,0))))</f>
        <v>0</v>
      </c>
      <c r="AO315" s="777" t="b">
        <f>IF('4 SUP +'!$A36&gt;10,IF('4 SUP +'!$A36&lt;31.1,IF('4 SUP +'!$C36&gt;113.5,IF('4 SUP +'!$C36&lt;141.6,'4 SUP +'!$AB36,0))))</f>
        <v>0</v>
      </c>
      <c r="AP315" s="777" t="b">
        <f>IF('4 SUP +'!$A36&gt;10,IF('4 SUP +'!$A36&lt;31.1,IF('4 SUP +'!$C36&gt;141.5,IF('4 SUP +'!$C36&lt;180.6,'4 SUP +'!$AB36,0))))</f>
        <v>0</v>
      </c>
      <c r="AQ315" s="777" t="b">
        <f>IF('4 SUP +'!$A36&gt;10,IF('4 SUP +'!$A36&lt;31.1,IF('4 SUP +'!$C36&gt;180.5,IF('4 SUP +'!$C36&lt;240.1,'4 SUP +'!$AB36,0))))</f>
        <v>0</v>
      </c>
      <c r="AS315" s="777" t="b">
        <f>IF('4 SUP +'!$A36&gt;31,IF('4 SUP +'!$A36&lt;45.5,IF('4 SUP +'!$C36&gt;10,IF('4 SUP +'!$C36&lt;57.6,'4 SUP +'!$AB36,0))))</f>
        <v>0</v>
      </c>
      <c r="AT315" s="777" t="b">
        <f>IF('4 SUP +'!$A36&gt;31,IF('4 SUP +'!$A36&lt;45.5,IF('4 SUP +'!$C36&gt;57.6,IF('4 SUP +'!$C36&lt;71.6,'4 SUP +'!$AB36,0))))</f>
        <v>0</v>
      </c>
      <c r="AU315" s="777" t="b">
        <f>IF('4 SUP +'!$A36&gt;31,IF('4 SUP +'!$A36&lt;45.5,IF('4 SUP +'!$C36&gt;71.5,IF('4 SUP +'!$C36&lt;85.6,'4 SUP +'!$AB36,0))))</f>
        <v>0</v>
      </c>
      <c r="AV315" s="777" t="b">
        <f>IF('4 SUP +'!$A36&gt;31,IF('4 SUP +'!$A36&lt;45.5,IF('4 SUP +'!$C36&gt;85.5,IF('4 SUP +'!$C36&lt;113.6,'4 SUP +'!$AB36,0))))</f>
        <v>0</v>
      </c>
      <c r="AW315" s="777" t="b">
        <f>IF('4 SUP +'!$A36&gt;31,IF('4 SUP +'!$A36&lt;45.5,IF('4 SUP +'!$C36&gt;113.5,IF('4 SUP +'!$C36&lt;141.6,'4 SUP +'!$AB36,0))))</f>
        <v>0</v>
      </c>
      <c r="AX315" s="777" t="b">
        <f>IF('4 SUP +'!$A36&gt;31,IF('4 SUP +'!$A36&lt;45.5,IF('4 SUP +'!$C36&gt;141.5,IF('4 SUP +'!$C36&lt;180.6,'4 SUP +'!$AB36,0))))</f>
        <v>0</v>
      </c>
      <c r="AY315" s="777" t="b">
        <f>IF('4 SUP +'!$A36&gt;31,IF('4 SUP +'!$A36&lt;45.5,IF('4 SUP +'!$C36&gt;180.5,IF('4 SUP +'!$C36&lt;240.1,'4 SUP +'!$AB36,0))))</f>
        <v>0</v>
      </c>
      <c r="BA315" s="777" t="b">
        <f>IF('4 SUP +'!$A36&gt;45.4,IF('4 SUP +'!$A36&lt;61.6,IF('4 SUP +'!$C36&gt;10,IF('4 SUP +'!$C36&lt;61.5,'4 SUP +'!$AB36,0))))</f>
        <v>0</v>
      </c>
      <c r="BB315" s="777" t="b">
        <f>IF('4 SUP +'!$A36&gt;45.4,IF('4 SUP +'!$A36&lt;61.6,IF('4 SUP +'!$C36&gt;61.1,IF('4 SUP +'!$C36&lt;71.6,'4 SUP +'!$AB36,0))))</f>
        <v>0</v>
      </c>
      <c r="BC315" s="777" t="b">
        <f>IF('4 SUP +'!$A36&gt;45.4,IF('4 SUP +'!$A36&lt;61.6,IF('4 SUP +'!$C36&gt;71.5,IF('4 SUP +'!$C36&lt;85.6,'4 SUP +'!$AB36,0))))</f>
        <v>0</v>
      </c>
      <c r="BD315" s="777" t="b">
        <f>IF('4 SUP +'!$A36&gt;45.4,IF('4 SUP +'!$A36&lt;61.6,IF('4 SUP +'!$C36&gt;85.5,IF('4 SUP +'!$C36&lt;113.6,'4 SUP +'!$AB36,0))))</f>
        <v>0</v>
      </c>
      <c r="BE315" s="777" t="b">
        <f>IF('4 SUP +'!$A36&gt;45.4,IF('4 SUP +'!$A36&lt;61.6,IF('4 SUP +'!$C36&gt;113.5,IF('4 SUP +'!$C36&lt;121.6,'4 SUP +'!$AB36,0))))</f>
        <v>0</v>
      </c>
      <c r="BF315" s="777" t="b">
        <f>IF('4 SUP +'!$A36&gt;45.4,IF('4 SUP +'!$A36&lt;61.6,IF('4 SUP +'!$C36&gt;121.5,IF('4 SUP +'!$C36&lt;127.6,'4 SUP +'!$AB36,0))))</f>
        <v>0</v>
      </c>
      <c r="BG315" s="777" t="b">
        <f>IF('4 SUP +'!$A36&gt;45.4,IF('4 SUP +'!$A36&lt;61.6,IF('4 SUP +'!$C36&gt;127.5,IF('4 SUP +'!$C36&lt;135.1,'4 SUP +'!$AB36,0))))</f>
        <v>0</v>
      </c>
      <c r="BH315" s="777" t="b">
        <f>IF('4 SUP +'!$A36&gt;45.4,IF('4 SUP +'!$A36&lt;61.6,IF('4 SUP +'!$C36&gt;135,IF('4 SUP +'!$C36&lt;141.6,'4 SUP +'!$AB36,0))))</f>
        <v>0</v>
      </c>
      <c r="BI315" s="777" t="b">
        <f>IF('4 SUP +'!$A36&gt;45.4,IF('4 SUP +'!$A36&lt;61.6,IF('4 SUP +'!$C36&gt;141.5,IF('4 SUP +'!$C36&lt;149.1,'4 SUP +'!$AB36,0))))</f>
        <v>0</v>
      </c>
      <c r="BJ315" s="777" t="b">
        <f>IF('4 SUP +'!$A36&gt;45.4,IF('4 SUP +'!$A36&lt;61.6,IF('4 SUP +'!$C36&gt;149,IF('4 SUP +'!$C36&lt;155.6,'4 SUP +'!$AB36,0))))</f>
        <v>0</v>
      </c>
      <c r="BK315" s="777" t="b">
        <f>IF('4 SUP +'!$A36&gt;45.4,IF('4 SUP +'!$A36&lt;61.6,IF('4 SUP +'!$C36&gt;155.5,IF('4 SUP +'!$C36&lt;163.1,'4 SUP +'!$AB36,0))))</f>
        <v>0</v>
      </c>
      <c r="BL315" s="777" t="b">
        <f>IF('4 SUP +'!$A36&gt;45.4,IF('4 SUP +'!$A36&lt;61.6,IF('4 SUP +'!$C36&gt;163,IF('4 SUP +'!$C36&lt;180.6,'4 SUP +'!$AB36,0))))</f>
        <v>0</v>
      </c>
      <c r="BM315" s="777" t="b">
        <f>IF('4 SUP +'!$A36&gt;45.4,IF('4 SUP +'!$A36&lt;61.6,IF('4 SUP +'!$C36&gt;180.5,IF('4 SUP +'!$C36&lt;240.1,'4 SUP +'!$AB36,0))))</f>
        <v>0</v>
      </c>
      <c r="BO315" s="869" t="s">
        <v>549</v>
      </c>
      <c r="BQ315" s="870">
        <f>+$BZ$338</f>
        <v>0</v>
      </c>
      <c r="BS315" s="869"/>
      <c r="BT315" s="870">
        <f>+$BZ$339</f>
        <v>0</v>
      </c>
      <c r="BV315" s="777" t="b">
        <f>IF('4 SUP +'!$A36&gt;61.5,IF('4 SUP +'!$A36&lt;71.6,IF('4 SUP +'!$C36&gt;10,IF('4 SUP +'!$C36&lt;57.6,'4 SUP +'!$AB36,0))))</f>
        <v>0</v>
      </c>
      <c r="BW315" s="777" t="b">
        <f>IF('4 SUP +'!$A36&gt;61.5,IF('4 SUP +'!$A36&lt;71.6,IF('4 SUP +'!$C36&gt;57.6,IF('4 SUP +'!$C36&lt;71.6,'4 SUP +'!$AB36,0))))</f>
        <v>0</v>
      </c>
      <c r="BX315" s="777" t="b">
        <f>IF('4 SUP +'!$A36&gt;61.5,IF('4 SUP +'!$A36&lt;71.6,IF('4 SUP +'!$C36&gt;71.5,IF('4 SUP +'!$C36&lt;85.6,'4 SUP +'!$AB36,0))))</f>
        <v>0</v>
      </c>
      <c r="BY315" s="777" t="b">
        <f>IF('4 SUP +'!$A36&gt;61.5,IF('4 SUP +'!$A36&lt;71.6,IF('4 SUP +'!$C36&gt;85.5,IF('4 SUP +'!$C36&lt;113.6,'4 SUP +'!$AB36,0))))</f>
        <v>0</v>
      </c>
      <c r="BZ315" s="777" t="b">
        <f>IF('4 SUP +'!$A36&gt;61.5,IF('4 SUP +'!$A36&lt;71.6,IF('4 SUP +'!$C36&gt;113.5,IF('4 SUP +'!$C36&lt;141.6,'4 SUP +'!$AB36,0))))</f>
        <v>0</v>
      </c>
      <c r="CA315" s="777" t="b">
        <f>IF('4 SUP +'!$A36&gt;61.5,IF('4 SUP +'!$A36&lt;71.6,IF('4 SUP +'!$C36&gt;141.5,IF('4 SUP +'!$C36&lt;149.1,'4 SUP +'!$AB36,0))))</f>
        <v>0</v>
      </c>
      <c r="CB315" s="777" t="b">
        <f>IF('4 SUP +'!$A36&gt;61.5,IF('4 SUP +'!$A36&lt;71.6,IF('4 SUP +'!$C36&gt;149,IF('4 SUP +'!$C36&lt;163.1,'4 SUP +'!$AB36,0))))</f>
        <v>0</v>
      </c>
      <c r="CC315" s="777" t="b">
        <f>IF('4 SUP +'!$A36&gt;61.5,IF('4 SUP +'!$A36&lt;71.6,IF('4 SUP +'!$C36&gt;163,IF('4 SUP +'!$C36&lt;180.6,'4 SUP +'!$AB36,0))))</f>
        <v>0</v>
      </c>
      <c r="CD315" s="777" t="b">
        <f>IF('4 SUP +'!$A36&gt;61.5,IF('4 SUP +'!$A36&lt;71.6,IF('4 SUP +'!$C36&gt;180.5,IF('4 SUP +'!$C36&lt;240.1,'4 SUP +'!$AB36,0))))</f>
        <v>0</v>
      </c>
      <c r="CF315" s="777" t="b">
        <f>IF('4 SUP +'!$A36&gt;71.5,IF('4 SUP +'!$A36&lt;120.6,IF('4 SUP +'!$C36&gt;10,IF('4 SUP +'!$C36&lt;57.6,'4 SUP +'!$AB36,0))))</f>
        <v>0</v>
      </c>
      <c r="CG315" s="777" t="b">
        <f>IF('4 SUP +'!$A36&gt;71.5,IF('4 SUP +'!$A36&lt;120.6,IF('4 SUP +'!$C36&gt;57.6,IF('4 SUP +'!$C36&lt;71.6,'4 SUP +'!$AB36,0))))</f>
        <v>0</v>
      </c>
      <c r="CH315" s="777" t="b">
        <f>IF('4 SUP +'!$A36&gt;71.5,IF('4 SUP +'!$A36&lt;120.6,IF('4 SUP +'!$C36&gt;71.5,IF('4 SUP +'!$C36&lt;85.6,'4 SUP +'!$AB36,0))))</f>
        <v>0</v>
      </c>
      <c r="CI315" s="777" t="b">
        <f>IF('4 SUP +'!$A36&gt;71.5,IF('4 SUP +'!$A36&lt;120.6,IF('4 SUP +'!$C36&gt;85.5,IF('4 SUP +'!$C36&lt;113.6,'4 SUP +'!$AB36,0))))</f>
        <v>0</v>
      </c>
      <c r="CJ315" s="777" t="b">
        <f>IF('4 SUP +'!$A36&gt;71.5,IF('4 SUP +'!$A36&lt;120.6,IF('4 SUP +'!$C36&gt;113.5,IF('4 SUP +'!$C36&lt;141.6,'4 SUP +'!$AB36,0))))</f>
        <v>0</v>
      </c>
      <c r="CK315" s="777" t="b">
        <f>IF('4 SUP +'!$A36&gt;71.5,IF('4 SUP +'!$A36&lt;120.6,IF('4 SUP +'!$C36&gt;141.5,IF('4 SUP +'!$C36&lt;180.6,'4 SUP +'!$AB36,0))))</f>
        <v>0</v>
      </c>
      <c r="CL315" s="777" t="b">
        <f>IF('4 SUP +'!$A36&gt;71.5,IF('4 SUP +'!$A36&lt;120.6,IF('4 SUP +'!$C36&gt;180.5,IF('4 SUP +'!$C36&lt;240.1,'4 SUP +'!$AB36,0))))</f>
        <v>0</v>
      </c>
      <c r="CN315" s="777">
        <f>IF('4 SUP +'!$C36&lt;150,IF(OR('4 SUP +'!$A36="MICRODER",'4 SUP +'!$A36="MICRO DER",),'4 SUP +'!$AB36,0))</f>
        <v>0</v>
      </c>
      <c r="CO315" s="777" t="b">
        <f>IF('4 SUP +'!$C36&gt;149.5,IF(OR('4 SUP +'!$A36="MICRODER",'4 SUP +'!$A36="MICRO DER",),'4 SUP +'!$AB36,0))</f>
        <v>0</v>
      </c>
      <c r="CP315" s="847"/>
      <c r="CQ315" s="777">
        <f>IF('4 SUP +'!$C36&lt;150,IF(OR('4 SUP +'!$A36="MICROIZQ",'4 SUP +'!$A36="MICRO IZQ",),'4 SUP +'!$AB36,0))</f>
        <v>0</v>
      </c>
      <c r="CR315" s="777" t="b">
        <f>IF('4 SUP +'!$C36&gt;149.5,IF(OR('4 SUP +'!$A36="MICROIZQ",'4 SUP +'!$A36="MICRO IZQ",),'4 SUP +'!$AB36,0))</f>
        <v>0</v>
      </c>
      <c r="CT315" s="837">
        <f>IF(OR('4 SUP +'!$A36="MICRO SEN",'4 SUP +'!$A36="MICROSEN",),'4 SUP +'!$AB36,0)</f>
        <v>0</v>
      </c>
      <c r="CV315" s="837" t="b">
        <f>IF('4 SUP +'!$A36="DIAMETRO",IF('4 SUP +'!$C36&lt;121.1,'4 SUP +'!$AB36,0))</f>
        <v>0</v>
      </c>
      <c r="CX315" s="858"/>
      <c r="CZ315" s="837" t="b">
        <f>IF('4 SUP +'!$A36="MOSTRADOR",IF('4 SUP +'!$C36="R60",'4 SUP +'!$AB36,0))</f>
        <v>0</v>
      </c>
      <c r="DB315" s="837">
        <f>IF(OR('4 SUP +'!$A36="PORTA PRIN",'4 SUP +'!$A36="PORTAPRIN",),'4 SUP +'!$AB36,0)</f>
        <v>0</v>
      </c>
      <c r="DD315" s="837">
        <f>IF(OR('4 SUP +'!$A36="PORTA BADE",'4 SUP +'!$A36="PORTABADE",),'4 SUP +'!$AB36,0)</f>
        <v>0</v>
      </c>
      <c r="DE315" s="837"/>
      <c r="DF315" s="837">
        <f>IF(OR('4 SUP +'!$A36="RETORNO IZQ",'4 SUP +'!$A36="RETORNO DER",),'4 SUP +'!$AB224,0)</f>
        <v>0</v>
      </c>
      <c r="DG315" s="837"/>
      <c r="DH315" s="837">
        <f>IF(OR('4 SUP +'!$A36="PITO Q",'4 SUP +'!$A36="PITO P",'4 SUP +'!$A36="DIAMETRO INTEGRADA",),'4 SUP +'!$AB36,0)</f>
        <v>0</v>
      </c>
      <c r="DJ315" s="858"/>
      <c r="DK315" s="837"/>
      <c r="DL315" s="837">
        <f>IF('4 SUP +'!$A36="SUPERFICIE OVAL",'4 SUP +'!$AB36,0)</f>
        <v>0</v>
      </c>
      <c r="DN315" s="838"/>
      <c r="DO315" s="838"/>
      <c r="DP315" s="838"/>
      <c r="DQ315" s="838"/>
      <c r="DR315" s="838"/>
      <c r="DS315" s="838"/>
      <c r="DT315" s="838"/>
      <c r="DU315" s="838"/>
      <c r="DV315" s="838"/>
      <c r="DW315" s="838"/>
      <c r="DX315" s="838"/>
      <c r="DY315" s="838"/>
      <c r="DZ315" s="838"/>
      <c r="EA315" s="838"/>
      <c r="EB315" s="838"/>
      <c r="EC315" s="838"/>
      <c r="ED315" s="838"/>
      <c r="EG315" s="682">
        <f>IF('4 SUP +'!A34="MICRO DER",85,IF('4 SUP +'!A34="MICRO IZQ",85,IF('4 SUP +'!A34="MICRO SEN",170,IF('4 SUP +'!A34="DIAMETRO",3.14*'4 SUP +'!C34/2,IF('4 SUP +'!A34="MOSTRADOR",136,IF('4 SUP +'!A34="PORTA",65,IF('4 SUP +'!A34="PITO Q",90,IF('4 SUP +'!A34="PITO P",90,'4 SUP +'!A34))))))))</f>
        <v>0</v>
      </c>
      <c r="EH315" s="682"/>
      <c r="EI315" s="682">
        <f>IF('4 SUP +'!A34="DIAMETRO",0,IF('4 SUP +'!C34="PRINCIPAL",160,IF('4 SUP +'!C34="BADE",190,IF('4 SUP +'!C34="RETORNO",100,IF('4 SUP +'!C34="R 60",100,IF('4 SUP +'!C34="R60",100,'4 SUP +'!C34))))))</f>
        <v>0</v>
      </c>
      <c r="EJ315" s="682"/>
      <c r="EK315" s="682">
        <f>IF('4 SUP +'!$F34='4 SUP +'!$AG$15,((EG315*2)+(EI315*2))*'4 SUP +'!AB34,0)</f>
        <v>0</v>
      </c>
      <c r="EL315" s="682"/>
      <c r="EM315" s="682">
        <f>IF('4 SUP +'!$F34='4 SUP +'!$AG$16,((EG315*2)+(EI315*2))*'4 SUP +'!AB34,0)</f>
        <v>0</v>
      </c>
      <c r="EO315" s="682">
        <f>IF('4 SUP +'!$F34='4 SUP +'!$AG$17,((EG315*2)+(EI315*2))*'4 SUP +'!AB34,0)</f>
        <v>0</v>
      </c>
      <c r="EP315" s="838"/>
      <c r="EQ315" s="682">
        <f>IF('4 SUP +'!$F34='4 SUP +'!$AG$18,((EG315*2)+(EI315*2))*'4 SUP +'!AB34,0)</f>
        <v>0</v>
      </c>
      <c r="ER315" s="838"/>
      <c r="ES315" s="858"/>
      <c r="ET315" s="858"/>
      <c r="EU315" s="858"/>
      <c r="EV315" s="858"/>
      <c r="EW315" s="838"/>
      <c r="EX315" s="838"/>
      <c r="EY315" s="838"/>
      <c r="EZ315" s="838"/>
      <c r="FA315" s="838"/>
      <c r="FB315" s="838"/>
      <c r="FC315" s="838"/>
      <c r="FD315" s="838"/>
      <c r="FE315" s="838"/>
      <c r="FF315" s="838"/>
      <c r="FG315" s="838"/>
      <c r="FH315" s="838"/>
      <c r="FI315" s="838"/>
      <c r="FJ315" s="838"/>
      <c r="FK315" s="838"/>
      <c r="FL315" s="838"/>
      <c r="FM315" s="838"/>
      <c r="FN315" s="838"/>
      <c r="FO315" s="838"/>
      <c r="FP315" s="838"/>
      <c r="GM315" s="858"/>
      <c r="GN315" s="838"/>
      <c r="GO315" s="858"/>
      <c r="GP315" s="858"/>
      <c r="GQ315" s="858"/>
      <c r="GR315" s="838"/>
      <c r="GS315" s="838"/>
      <c r="HF315" s="700">
        <v>66.5</v>
      </c>
      <c r="HH315" s="591">
        <v>66.5</v>
      </c>
    </row>
    <row r="316" spans="37:216" ht="26.25" x14ac:dyDescent="0.4">
      <c r="AK316" s="777" t="b">
        <f>IF('4 SUP +'!$A37&gt;10,IF('4 SUP +'!$A37&lt;31.1,IF('4 SUP +'!$C37&gt;10,IF('4 SUP +'!$C37&lt;57.6,'4 SUP +'!$AB37,0))))</f>
        <v>0</v>
      </c>
      <c r="AL316" s="777" t="b">
        <f>IF('4 SUP +'!$A37&gt;10,IF('4 SUP +'!$A37&lt;31.1,IF('4 SUP +'!$C37&gt;57.6,IF('4 SUP +'!$C37&lt;71.6,'4 SUP +'!$AB37,0))))</f>
        <v>0</v>
      </c>
      <c r="AM316" s="777" t="b">
        <f>IF('4 SUP +'!$A37&gt;10,IF('4 SUP +'!$A37&lt;31.1,IF('4 SUP +'!$C37&gt;71.5,IF('4 SUP +'!$C37&lt;85.6,'4 SUP +'!$AB37,0))))</f>
        <v>0</v>
      </c>
      <c r="AN316" s="777" t="b">
        <f>IF('4 SUP +'!$A37&gt;10,IF('4 SUP +'!$A37&lt;31.1,IF('4 SUP +'!$C37&gt;85.5,IF('4 SUP +'!$C37&lt;113.6,'4 SUP +'!$AB37,0))))</f>
        <v>0</v>
      </c>
      <c r="AO316" s="777" t="b">
        <f>IF('4 SUP +'!$A37&gt;10,IF('4 SUP +'!$A37&lt;31.1,IF('4 SUP +'!$C37&gt;113.5,IF('4 SUP +'!$C37&lt;141.6,'4 SUP +'!$AB37,0))))</f>
        <v>0</v>
      </c>
      <c r="AP316" s="777" t="b">
        <f>IF('4 SUP +'!$A37&gt;10,IF('4 SUP +'!$A37&lt;31.1,IF('4 SUP +'!$C37&gt;141.5,IF('4 SUP +'!$C37&lt;180.6,'4 SUP +'!$AB37,0))))</f>
        <v>0</v>
      </c>
      <c r="AQ316" s="777" t="b">
        <f>IF('4 SUP +'!$A37&gt;10,IF('4 SUP +'!$A37&lt;31.1,IF('4 SUP +'!$C37&gt;180.5,IF('4 SUP +'!$C37&lt;240.1,'4 SUP +'!$AB37,0))))</f>
        <v>0</v>
      </c>
      <c r="AS316" s="777" t="b">
        <f>IF('4 SUP +'!$A37&gt;31,IF('4 SUP +'!$A37&lt;45.5,IF('4 SUP +'!$C37&gt;10,IF('4 SUP +'!$C37&lt;57.6,'4 SUP +'!$AB37,0))))</f>
        <v>0</v>
      </c>
      <c r="AT316" s="777" t="b">
        <f>IF('4 SUP +'!$A37&gt;31,IF('4 SUP +'!$A37&lt;45.5,IF('4 SUP +'!$C37&gt;57.6,IF('4 SUP +'!$C37&lt;71.6,'4 SUP +'!$AB37,0))))</f>
        <v>0</v>
      </c>
      <c r="AU316" s="777" t="b">
        <f>IF('4 SUP +'!$A37&gt;31,IF('4 SUP +'!$A37&lt;45.5,IF('4 SUP +'!$C37&gt;71.5,IF('4 SUP +'!$C37&lt;85.6,'4 SUP +'!$AB37,0))))</f>
        <v>0</v>
      </c>
      <c r="AV316" s="777" t="b">
        <f>IF('4 SUP +'!$A37&gt;31,IF('4 SUP +'!$A37&lt;45.5,IF('4 SUP +'!$C37&gt;85.5,IF('4 SUP +'!$C37&lt;113.6,'4 SUP +'!$AB37,0))))</f>
        <v>0</v>
      </c>
      <c r="AW316" s="777" t="b">
        <f>IF('4 SUP +'!$A37&gt;31,IF('4 SUP +'!$A37&lt;45.5,IF('4 SUP +'!$C37&gt;113.5,IF('4 SUP +'!$C37&lt;141.6,'4 SUP +'!$AB37,0))))</f>
        <v>0</v>
      </c>
      <c r="AX316" s="777" t="b">
        <f>IF('4 SUP +'!$A37&gt;31,IF('4 SUP +'!$A37&lt;45.5,IF('4 SUP +'!$C37&gt;141.5,IF('4 SUP +'!$C37&lt;180.6,'4 SUP +'!$AB37,0))))</f>
        <v>0</v>
      </c>
      <c r="AY316" s="777" t="b">
        <f>IF('4 SUP +'!$A37&gt;31,IF('4 SUP +'!$A37&lt;45.5,IF('4 SUP +'!$C37&gt;180.5,IF('4 SUP +'!$C37&lt;240.1,'4 SUP +'!$AB37,0))))</f>
        <v>0</v>
      </c>
      <c r="BA316" s="777" t="b">
        <f>IF('4 SUP +'!$A37&gt;45.4,IF('4 SUP +'!$A37&lt;61.6,IF('4 SUP +'!$C37&gt;10,IF('4 SUP +'!$C37&lt;61.5,'4 SUP +'!$AB37,0))))</f>
        <v>0</v>
      </c>
      <c r="BB316" s="777" t="b">
        <f>IF('4 SUP +'!$A37&gt;45.4,IF('4 SUP +'!$A37&lt;61.6,IF('4 SUP +'!$C37&gt;61.1,IF('4 SUP +'!$C37&lt;71.6,'4 SUP +'!$AB37,0))))</f>
        <v>0</v>
      </c>
      <c r="BC316" s="777" t="b">
        <f>IF('4 SUP +'!$A37&gt;45.4,IF('4 SUP +'!$A37&lt;61.6,IF('4 SUP +'!$C37&gt;71.5,IF('4 SUP +'!$C37&lt;85.6,'4 SUP +'!$AB37,0))))</f>
        <v>0</v>
      </c>
      <c r="BD316" s="777" t="b">
        <f>IF('4 SUP +'!$A37&gt;45.4,IF('4 SUP +'!$A37&lt;61.6,IF('4 SUP +'!$C37&gt;85.5,IF('4 SUP +'!$C37&lt;113.6,'4 SUP +'!$AB37,0))))</f>
        <v>0</v>
      </c>
      <c r="BE316" s="777" t="b">
        <f>IF('4 SUP +'!$A37&gt;45.4,IF('4 SUP +'!$A37&lt;61.6,IF('4 SUP +'!$C37&gt;113.5,IF('4 SUP +'!$C37&lt;121.6,'4 SUP +'!$AB37,0))))</f>
        <v>0</v>
      </c>
      <c r="BF316" s="777" t="b">
        <f>IF('4 SUP +'!$A37&gt;45.4,IF('4 SUP +'!$A37&lt;61.6,IF('4 SUP +'!$C37&gt;121.5,IF('4 SUP +'!$C37&lt;127.6,'4 SUP +'!$AB37,0))))</f>
        <v>0</v>
      </c>
      <c r="BG316" s="777" t="b">
        <f>IF('4 SUP +'!$A37&gt;45.4,IF('4 SUP +'!$A37&lt;61.6,IF('4 SUP +'!$C37&gt;127.5,IF('4 SUP +'!$C37&lt;135.1,'4 SUP +'!$AB37,0))))</f>
        <v>0</v>
      </c>
      <c r="BH316" s="777" t="b">
        <f>IF('4 SUP +'!$A37&gt;45.4,IF('4 SUP +'!$A37&lt;61.6,IF('4 SUP +'!$C37&gt;135,IF('4 SUP +'!$C37&lt;141.6,'4 SUP +'!$AB37,0))))</f>
        <v>0</v>
      </c>
      <c r="BI316" s="777" t="b">
        <f>IF('4 SUP +'!$A37&gt;45.4,IF('4 SUP +'!$A37&lt;61.6,IF('4 SUP +'!$C37&gt;141.5,IF('4 SUP +'!$C37&lt;149.1,'4 SUP +'!$AB37,0))))</f>
        <v>0</v>
      </c>
      <c r="BJ316" s="777" t="b">
        <f>IF('4 SUP +'!$A37&gt;45.4,IF('4 SUP +'!$A37&lt;61.6,IF('4 SUP +'!$C37&gt;149,IF('4 SUP +'!$C37&lt;155.6,'4 SUP +'!$AB37,0))))</f>
        <v>0</v>
      </c>
      <c r="BK316" s="777" t="b">
        <f>IF('4 SUP +'!$A37&gt;45.4,IF('4 SUP +'!$A37&lt;61.6,IF('4 SUP +'!$C37&gt;155.5,IF('4 SUP +'!$C37&lt;163.1,'4 SUP +'!$AB37,0))))</f>
        <v>0</v>
      </c>
      <c r="BL316" s="777" t="b">
        <f>IF('4 SUP +'!$A37&gt;45.4,IF('4 SUP +'!$A37&lt;61.6,IF('4 SUP +'!$C37&gt;163,IF('4 SUP +'!$C37&lt;180.6,'4 SUP +'!$AB37,0))))</f>
        <v>0</v>
      </c>
      <c r="BM316" s="777" t="b">
        <f>IF('4 SUP +'!$A37&gt;45.4,IF('4 SUP +'!$A37&lt;61.6,IF('4 SUP +'!$C37&gt;180.5,IF('4 SUP +'!$C37&lt;240.1,'4 SUP +'!$AB37,0))))</f>
        <v>0</v>
      </c>
      <c r="BO316" s="869" t="s">
        <v>550</v>
      </c>
      <c r="BQ316" s="870">
        <f>+$CA$338</f>
        <v>0</v>
      </c>
      <c r="BS316" s="869"/>
      <c r="BT316" s="870">
        <f>+$CA$339</f>
        <v>0</v>
      </c>
      <c r="BV316" s="777" t="b">
        <f>IF('4 SUP +'!$A37&gt;61.5,IF('4 SUP +'!$A37&lt;71.6,IF('4 SUP +'!$C37&gt;10,IF('4 SUP +'!$C37&lt;57.6,'4 SUP +'!$AB37,0))))</f>
        <v>0</v>
      </c>
      <c r="BW316" s="777" t="b">
        <f>IF('4 SUP +'!$A37&gt;61.5,IF('4 SUP +'!$A37&lt;71.6,IF('4 SUP +'!$C37&gt;57.6,IF('4 SUP +'!$C37&lt;71.6,'4 SUP +'!$AB37,0))))</f>
        <v>0</v>
      </c>
      <c r="BX316" s="777" t="b">
        <f>IF('4 SUP +'!$A37&gt;61.5,IF('4 SUP +'!$A37&lt;71.6,IF('4 SUP +'!$C37&gt;71.5,IF('4 SUP +'!$C37&lt;85.6,'4 SUP +'!$AB37,0))))</f>
        <v>0</v>
      </c>
      <c r="BY316" s="777" t="b">
        <f>IF('4 SUP +'!$A37&gt;61.5,IF('4 SUP +'!$A37&lt;71.6,IF('4 SUP +'!$C37&gt;85.5,IF('4 SUP +'!$C37&lt;113.6,'4 SUP +'!$AB37,0))))</f>
        <v>0</v>
      </c>
      <c r="BZ316" s="777" t="b">
        <f>IF('4 SUP +'!$A37&gt;61.5,IF('4 SUP +'!$A37&lt;71.6,IF('4 SUP +'!$C37&gt;113.5,IF('4 SUP +'!$C37&lt;141.6,'4 SUP +'!$AB37,0))))</f>
        <v>0</v>
      </c>
      <c r="CA316" s="777" t="b">
        <f>IF('4 SUP +'!$A37&gt;61.5,IF('4 SUP +'!$A37&lt;71.6,IF('4 SUP +'!$C37&gt;141.5,IF('4 SUP +'!$C37&lt;149.1,'4 SUP +'!$AB37,0))))</f>
        <v>0</v>
      </c>
      <c r="CB316" s="777" t="b">
        <f>IF('4 SUP +'!$A37&gt;61.5,IF('4 SUP +'!$A37&lt;71.6,IF('4 SUP +'!$C37&gt;149,IF('4 SUP +'!$C37&lt;163.1,'4 SUP +'!$AB37,0))))</f>
        <v>0</v>
      </c>
      <c r="CC316" s="777" t="b">
        <f>IF('4 SUP +'!$A37&gt;61.5,IF('4 SUP +'!$A37&lt;71.6,IF('4 SUP +'!$C37&gt;163,IF('4 SUP +'!$C37&lt;180.6,'4 SUP +'!$AB37,0))))</f>
        <v>0</v>
      </c>
      <c r="CD316" s="777" t="b">
        <f>IF('4 SUP +'!$A37&gt;61.5,IF('4 SUP +'!$A37&lt;71.6,IF('4 SUP +'!$C37&gt;180.5,IF('4 SUP +'!$C37&lt;240.1,'4 SUP +'!$AB37,0))))</f>
        <v>0</v>
      </c>
      <c r="CF316" s="777" t="b">
        <f>IF('4 SUP +'!$A37&gt;71.5,IF('4 SUP +'!$A37&lt;120.6,IF('4 SUP +'!$C37&gt;10,IF('4 SUP +'!$C37&lt;57.6,'4 SUP +'!$AB37,0))))</f>
        <v>0</v>
      </c>
      <c r="CG316" s="777" t="b">
        <f>IF('4 SUP +'!$A37&gt;71.5,IF('4 SUP +'!$A37&lt;120.6,IF('4 SUP +'!$C37&gt;57.6,IF('4 SUP +'!$C37&lt;71.6,'4 SUP +'!$AB37,0))))</f>
        <v>0</v>
      </c>
      <c r="CH316" s="777" t="b">
        <f>IF('4 SUP +'!$A37&gt;71.5,IF('4 SUP +'!$A37&lt;120.6,IF('4 SUP +'!$C37&gt;71.5,IF('4 SUP +'!$C37&lt;85.6,'4 SUP +'!$AB37,0))))</f>
        <v>0</v>
      </c>
      <c r="CI316" s="777" t="b">
        <f>IF('4 SUP +'!$A37&gt;71.5,IF('4 SUP +'!$A37&lt;120.6,IF('4 SUP +'!$C37&gt;85.5,IF('4 SUP +'!$C37&lt;113.6,'4 SUP +'!$AB37,0))))</f>
        <v>0</v>
      </c>
      <c r="CJ316" s="777" t="b">
        <f>IF('4 SUP +'!$A37&gt;71.5,IF('4 SUP +'!$A37&lt;120.6,IF('4 SUP +'!$C37&gt;113.5,IF('4 SUP +'!$C37&lt;141.6,'4 SUP +'!$AB37,0))))</f>
        <v>0</v>
      </c>
      <c r="CK316" s="777" t="b">
        <f>IF('4 SUP +'!$A37&gt;71.5,IF('4 SUP +'!$A37&lt;120.6,IF('4 SUP +'!$C37&gt;141.5,IF('4 SUP +'!$C37&lt;180.6,'4 SUP +'!$AB37,0))))</f>
        <v>0</v>
      </c>
      <c r="CL316" s="777" t="b">
        <f>IF('4 SUP +'!$A37&gt;71.5,IF('4 SUP +'!$A37&lt;120.6,IF('4 SUP +'!$C37&gt;180.5,IF('4 SUP +'!$C37&lt;240.1,'4 SUP +'!$AB37,0))))</f>
        <v>0</v>
      </c>
      <c r="CN316" s="777">
        <f>IF('4 SUP +'!$C37&lt;150,IF(OR('4 SUP +'!$A37="MICRODER",'4 SUP +'!$A37="MICRO DER",),'4 SUP +'!$AB37,0))</f>
        <v>0</v>
      </c>
      <c r="CO316" s="777" t="b">
        <f>IF('4 SUP +'!$C37&gt;149.5,IF(OR('4 SUP +'!$A37="MICRODER",'4 SUP +'!$A37="MICRO DER",),'4 SUP +'!$AB37,0))</f>
        <v>0</v>
      </c>
      <c r="CP316" s="847"/>
      <c r="CQ316" s="777">
        <f>IF('4 SUP +'!$C37&lt;150,IF(OR('4 SUP +'!$A37="MICROIZQ",'4 SUP +'!$A37="MICRO IZQ",),'4 SUP +'!$AB37,0))</f>
        <v>0</v>
      </c>
      <c r="CR316" s="777" t="b">
        <f>IF('4 SUP +'!$C37&gt;149.5,IF(OR('4 SUP +'!$A37="MICROIZQ",'4 SUP +'!$A37="MICRO IZQ",),'4 SUP +'!$AB37,0))</f>
        <v>0</v>
      </c>
      <c r="CT316" s="837">
        <f>IF(OR('4 SUP +'!$A37="MICRO SEN",'4 SUP +'!$A37="MICROSEN",),'4 SUP +'!$AB37,0)</f>
        <v>0</v>
      </c>
      <c r="CV316" s="837" t="b">
        <f>IF('4 SUP +'!$A37="DIAMETRO",IF('4 SUP +'!$C37&lt;121.1,'4 SUP +'!$AB37,0))</f>
        <v>0</v>
      </c>
      <c r="CX316" s="858"/>
      <c r="CZ316" s="837" t="b">
        <f>IF('4 SUP +'!$A37="MOSTRADOR",IF('4 SUP +'!$C37="R60",'4 SUP +'!$AB37,0))</f>
        <v>0</v>
      </c>
      <c r="DB316" s="837">
        <f>IF(OR('4 SUP +'!$A37="PORTA PRIN",'4 SUP +'!$A37="PORTAPRIN",),'4 SUP +'!$AB37,0)</f>
        <v>0</v>
      </c>
      <c r="DD316" s="837">
        <f>IF(OR('4 SUP +'!$A37="PORTA BADE",'4 SUP +'!$A37="PORTABADE",),'4 SUP +'!$AB37,0)</f>
        <v>0</v>
      </c>
      <c r="DE316" s="837"/>
      <c r="DF316" s="837">
        <f>IF(OR('4 SUP +'!$A37="RETORNO IZQ",'4 SUP +'!$A37="RETORNO DER",),'4 SUP +'!$AB225,0)</f>
        <v>0</v>
      </c>
      <c r="DG316" s="837"/>
      <c r="DH316" s="837">
        <f>IF(OR('4 SUP +'!$A37="PITO Q",'4 SUP +'!$A37="PITO P",'4 SUP +'!$A37="DIAMETRO INTEGRADA",),'4 SUP +'!$AB37,0)</f>
        <v>0</v>
      </c>
      <c r="DJ316" s="858"/>
      <c r="DK316" s="837"/>
      <c r="DL316" s="837">
        <f>IF('4 SUP +'!$A37="SUPERFICIE OVAL",'4 SUP +'!$AB37,0)</f>
        <v>0</v>
      </c>
      <c r="DN316" s="838"/>
      <c r="DO316" s="838"/>
      <c r="DP316" s="838"/>
      <c r="DQ316" s="838"/>
      <c r="DR316" s="838"/>
      <c r="DS316" s="838"/>
      <c r="DT316" s="838"/>
      <c r="DU316" s="838"/>
      <c r="DV316" s="838"/>
      <c r="DW316" s="838"/>
      <c r="DX316" s="838"/>
      <c r="DY316" s="838"/>
      <c r="DZ316" s="838"/>
      <c r="EA316" s="838"/>
      <c r="EB316" s="838"/>
      <c r="EC316" s="838"/>
      <c r="ED316" s="838"/>
      <c r="EG316" s="682">
        <f>IF('4 SUP +'!A35="MICRO DER",85,IF('4 SUP +'!A35="MICRO IZQ",85,IF('4 SUP +'!A35="MICRO SEN",170,IF('4 SUP +'!A35="DIAMETRO",3.14*'4 SUP +'!C35/2,IF('4 SUP +'!A35="MOSTRADOR",136,IF('4 SUP +'!A35="PORTA",65,IF('4 SUP +'!A35="PITO Q",90,IF('4 SUP +'!A35="PITO P",90,'4 SUP +'!A35))))))))</f>
        <v>0</v>
      </c>
      <c r="EH316" s="682"/>
      <c r="EI316" s="682">
        <f>IF('4 SUP +'!A35="DIAMETRO",0,IF('4 SUP +'!C35="PRINCIPAL",160,IF('4 SUP +'!C35="BADE",190,IF('4 SUP +'!C35="RETORNO",100,IF('4 SUP +'!C35="R 60",100,IF('4 SUP +'!C35="R60",100,'4 SUP +'!C35))))))</f>
        <v>0</v>
      </c>
      <c r="EJ316" s="682"/>
      <c r="EK316" s="682">
        <f>IF('4 SUP +'!$F35='4 SUP +'!$AG$15,((EG316*2)+(EI316*2))*'4 SUP +'!AB35,0)</f>
        <v>0</v>
      </c>
      <c r="EL316" s="682"/>
      <c r="EM316" s="682">
        <f>IF('4 SUP +'!$F35='4 SUP +'!$AG$16,((EG316*2)+(EI316*2))*'4 SUP +'!AB35,0)</f>
        <v>0</v>
      </c>
      <c r="EO316" s="682">
        <f>IF('4 SUP +'!$F35='4 SUP +'!$AG$17,((EG316*2)+(EI316*2))*'4 SUP +'!AB35,0)</f>
        <v>0</v>
      </c>
      <c r="EP316" s="838"/>
      <c r="EQ316" s="682">
        <f>IF('4 SUP +'!$F35='4 SUP +'!$AG$18,((EG316*2)+(EI316*2))*'4 SUP +'!AB35,0)</f>
        <v>0</v>
      </c>
      <c r="ER316" s="838"/>
      <c r="ES316" s="858"/>
      <c r="ET316" s="858"/>
      <c r="EU316" s="858"/>
      <c r="EV316" s="858"/>
      <c r="EW316" s="838"/>
      <c r="EX316" s="838"/>
      <c r="EY316" s="838"/>
      <c r="EZ316" s="838"/>
      <c r="FA316" s="838"/>
      <c r="FB316" s="838"/>
      <c r="FC316" s="838"/>
      <c r="FD316" s="838"/>
      <c r="FE316" s="838"/>
      <c r="FF316" s="838"/>
      <c r="FG316" s="838"/>
      <c r="FH316" s="838"/>
      <c r="FI316" s="838"/>
      <c r="FJ316" s="838"/>
      <c r="FK316" s="838"/>
      <c r="FL316" s="838"/>
      <c r="FM316" s="838"/>
      <c r="FN316" s="838"/>
      <c r="FO316" s="838"/>
      <c r="FP316" s="838"/>
      <c r="GM316" s="858"/>
      <c r="GN316" s="838"/>
      <c r="GO316" s="858"/>
      <c r="GP316" s="858"/>
      <c r="GQ316" s="858"/>
      <c r="GR316" s="838"/>
      <c r="GS316" s="838"/>
      <c r="HF316" s="700">
        <v>67</v>
      </c>
      <c r="HH316" s="591">
        <v>67</v>
      </c>
    </row>
    <row r="317" spans="37:216" ht="26.25" x14ac:dyDescent="0.4">
      <c r="AK317" s="777" t="b">
        <f>IF('4 SUP +'!$A38&gt;10,IF('4 SUP +'!$A38&lt;31.1,IF('4 SUP +'!$C38&gt;10,IF('4 SUP +'!$C38&lt;57.6,'4 SUP +'!$AB38,0))))</f>
        <v>0</v>
      </c>
      <c r="AL317" s="777" t="b">
        <f>IF('4 SUP +'!$A38&gt;10,IF('4 SUP +'!$A38&lt;31.1,IF('4 SUP +'!$C38&gt;57.6,IF('4 SUP +'!$C38&lt;71.6,'4 SUP +'!$AB38,0))))</f>
        <v>0</v>
      </c>
      <c r="AM317" s="777" t="b">
        <f>IF('4 SUP +'!$A38&gt;10,IF('4 SUP +'!$A38&lt;31.1,IF('4 SUP +'!$C38&gt;71.5,IF('4 SUP +'!$C38&lt;85.6,'4 SUP +'!$AB38,0))))</f>
        <v>0</v>
      </c>
      <c r="AN317" s="777" t="b">
        <f>IF('4 SUP +'!$A38&gt;10,IF('4 SUP +'!$A38&lt;31.1,IF('4 SUP +'!$C38&gt;85.5,IF('4 SUP +'!$C38&lt;113.6,'4 SUP +'!$AB38,0))))</f>
        <v>0</v>
      </c>
      <c r="AO317" s="777" t="b">
        <f>IF('4 SUP +'!$A38&gt;10,IF('4 SUP +'!$A38&lt;31.1,IF('4 SUP +'!$C38&gt;113.5,IF('4 SUP +'!$C38&lt;141.6,'4 SUP +'!$AB38,0))))</f>
        <v>0</v>
      </c>
      <c r="AP317" s="777" t="b">
        <f>IF('4 SUP +'!$A38&gt;10,IF('4 SUP +'!$A38&lt;31.1,IF('4 SUP +'!$C38&gt;141.5,IF('4 SUP +'!$C38&lt;180.6,'4 SUP +'!$AB38,0))))</f>
        <v>0</v>
      </c>
      <c r="AQ317" s="777" t="b">
        <f>IF('4 SUP +'!$A38&gt;10,IF('4 SUP +'!$A38&lt;31.1,IF('4 SUP +'!$C38&gt;180.5,IF('4 SUP +'!$C38&lt;240.1,'4 SUP +'!$AB38,0))))</f>
        <v>0</v>
      </c>
      <c r="AS317" s="777" t="b">
        <f>IF('4 SUP +'!$A38&gt;31,IF('4 SUP +'!$A38&lt;45.5,IF('4 SUP +'!$C38&gt;10,IF('4 SUP +'!$C38&lt;57.6,'4 SUP +'!$AB38,0))))</f>
        <v>0</v>
      </c>
      <c r="AT317" s="777" t="b">
        <f>IF('4 SUP +'!$A38&gt;31,IF('4 SUP +'!$A38&lt;45.5,IF('4 SUP +'!$C38&gt;57.6,IF('4 SUP +'!$C38&lt;71.6,'4 SUP +'!$AB38,0))))</f>
        <v>0</v>
      </c>
      <c r="AU317" s="777" t="b">
        <f>IF('4 SUP +'!$A38&gt;31,IF('4 SUP +'!$A38&lt;45.5,IF('4 SUP +'!$C38&gt;71.5,IF('4 SUP +'!$C38&lt;85.6,'4 SUP +'!$AB38,0))))</f>
        <v>0</v>
      </c>
      <c r="AV317" s="777" t="b">
        <f>IF('4 SUP +'!$A38&gt;31,IF('4 SUP +'!$A38&lt;45.5,IF('4 SUP +'!$C38&gt;85.5,IF('4 SUP +'!$C38&lt;113.6,'4 SUP +'!$AB38,0))))</f>
        <v>0</v>
      </c>
      <c r="AW317" s="777" t="b">
        <f>IF('4 SUP +'!$A38&gt;31,IF('4 SUP +'!$A38&lt;45.5,IF('4 SUP +'!$C38&gt;113.5,IF('4 SUP +'!$C38&lt;141.6,'4 SUP +'!$AB38,0))))</f>
        <v>0</v>
      </c>
      <c r="AX317" s="777" t="b">
        <f>IF('4 SUP +'!$A38&gt;31,IF('4 SUP +'!$A38&lt;45.5,IF('4 SUP +'!$C38&gt;141.5,IF('4 SUP +'!$C38&lt;180.6,'4 SUP +'!$AB38,0))))</f>
        <v>0</v>
      </c>
      <c r="AY317" s="777" t="b">
        <f>IF('4 SUP +'!$A38&gt;31,IF('4 SUP +'!$A38&lt;45.5,IF('4 SUP +'!$C38&gt;180.5,IF('4 SUP +'!$C38&lt;240.1,'4 SUP +'!$AB38,0))))</f>
        <v>0</v>
      </c>
      <c r="BA317" s="777" t="b">
        <f>IF('4 SUP +'!$A38&gt;45.4,IF('4 SUP +'!$A38&lt;61.6,IF('4 SUP +'!$C38&gt;10,IF('4 SUP +'!$C38&lt;61.5,'4 SUP +'!$AB38,0))))</f>
        <v>0</v>
      </c>
      <c r="BB317" s="777" t="b">
        <f>IF('4 SUP +'!$A38&gt;45.4,IF('4 SUP +'!$A38&lt;61.6,IF('4 SUP +'!$C38&gt;61.1,IF('4 SUP +'!$C38&lt;71.6,'4 SUP +'!$AB38,0))))</f>
        <v>0</v>
      </c>
      <c r="BC317" s="777" t="b">
        <f>IF('4 SUP +'!$A38&gt;45.4,IF('4 SUP +'!$A38&lt;61.6,IF('4 SUP +'!$C38&gt;71.5,IF('4 SUP +'!$C38&lt;85.6,'4 SUP +'!$AB38,0))))</f>
        <v>0</v>
      </c>
      <c r="BD317" s="777" t="b">
        <f>IF('4 SUP +'!$A38&gt;45.4,IF('4 SUP +'!$A38&lt;61.6,IF('4 SUP +'!$C38&gt;85.5,IF('4 SUP +'!$C38&lt;113.6,'4 SUP +'!$AB38,0))))</f>
        <v>0</v>
      </c>
      <c r="BE317" s="777" t="b">
        <f>IF('4 SUP +'!$A38&gt;45.4,IF('4 SUP +'!$A38&lt;61.6,IF('4 SUP +'!$C38&gt;113.5,IF('4 SUP +'!$C38&lt;121.6,'4 SUP +'!$AB38,0))))</f>
        <v>0</v>
      </c>
      <c r="BF317" s="777" t="b">
        <f>IF('4 SUP +'!$A38&gt;45.4,IF('4 SUP +'!$A38&lt;61.6,IF('4 SUP +'!$C38&gt;121.5,IF('4 SUP +'!$C38&lt;127.6,'4 SUP +'!$AB38,0))))</f>
        <v>0</v>
      </c>
      <c r="BG317" s="777" t="b">
        <f>IF('4 SUP +'!$A38&gt;45.4,IF('4 SUP +'!$A38&lt;61.6,IF('4 SUP +'!$C38&gt;127.5,IF('4 SUP +'!$C38&lt;135.1,'4 SUP +'!$AB38,0))))</f>
        <v>0</v>
      </c>
      <c r="BH317" s="777" t="b">
        <f>IF('4 SUP +'!$A38&gt;45.4,IF('4 SUP +'!$A38&lt;61.6,IF('4 SUP +'!$C38&gt;135,IF('4 SUP +'!$C38&lt;141.6,'4 SUP +'!$AB38,0))))</f>
        <v>0</v>
      </c>
      <c r="BI317" s="777" t="b">
        <f>IF('4 SUP +'!$A38&gt;45.4,IF('4 SUP +'!$A38&lt;61.6,IF('4 SUP +'!$C38&gt;141.5,IF('4 SUP +'!$C38&lt;149.1,'4 SUP +'!$AB38,0))))</f>
        <v>0</v>
      </c>
      <c r="BJ317" s="777" t="b">
        <f>IF('4 SUP +'!$A38&gt;45.4,IF('4 SUP +'!$A38&lt;61.6,IF('4 SUP +'!$C38&gt;149,IF('4 SUP +'!$C38&lt;155.6,'4 SUP +'!$AB38,0))))</f>
        <v>0</v>
      </c>
      <c r="BK317" s="777" t="b">
        <f>IF('4 SUP +'!$A38&gt;45.4,IF('4 SUP +'!$A38&lt;61.6,IF('4 SUP +'!$C38&gt;155.5,IF('4 SUP +'!$C38&lt;163.1,'4 SUP +'!$AB38,0))))</f>
        <v>0</v>
      </c>
      <c r="BL317" s="777" t="b">
        <f>IF('4 SUP +'!$A38&gt;45.4,IF('4 SUP +'!$A38&lt;61.6,IF('4 SUP +'!$C38&gt;163,IF('4 SUP +'!$C38&lt;180.6,'4 SUP +'!$AB38,0))))</f>
        <v>0</v>
      </c>
      <c r="BM317" s="777" t="b">
        <f>IF('4 SUP +'!$A38&gt;45.4,IF('4 SUP +'!$A38&lt;61.6,IF('4 SUP +'!$C38&gt;180.5,IF('4 SUP +'!$C38&lt;240.1,'4 SUP +'!$AB38,0))))</f>
        <v>0</v>
      </c>
      <c r="BO317" s="869" t="s">
        <v>551</v>
      </c>
      <c r="BQ317" s="870">
        <f>+$CB$338+$DD$338</f>
        <v>0</v>
      </c>
      <c r="BS317" s="869"/>
      <c r="BT317" s="870">
        <f>+$CB$339+$DD$339</f>
        <v>0</v>
      </c>
      <c r="BV317" s="777" t="b">
        <f>IF('4 SUP +'!$A38&gt;61.5,IF('4 SUP +'!$A38&lt;71.6,IF('4 SUP +'!$C38&gt;10,IF('4 SUP +'!$C38&lt;57.6,'4 SUP +'!$AB38,0))))</f>
        <v>0</v>
      </c>
      <c r="BW317" s="777" t="b">
        <f>IF('4 SUP +'!$A38&gt;61.5,IF('4 SUP +'!$A38&lt;71.6,IF('4 SUP +'!$C38&gt;57.6,IF('4 SUP +'!$C38&lt;71.6,'4 SUP +'!$AB38,0))))</f>
        <v>0</v>
      </c>
      <c r="BX317" s="777" t="b">
        <f>IF('4 SUP +'!$A38&gt;61.5,IF('4 SUP +'!$A38&lt;71.6,IF('4 SUP +'!$C38&gt;71.5,IF('4 SUP +'!$C38&lt;85.6,'4 SUP +'!$AB38,0))))</f>
        <v>0</v>
      </c>
      <c r="BY317" s="777" t="b">
        <f>IF('4 SUP +'!$A38&gt;61.5,IF('4 SUP +'!$A38&lt;71.6,IF('4 SUP +'!$C38&gt;85.5,IF('4 SUP +'!$C38&lt;113.6,'4 SUP +'!$AB38,0))))</f>
        <v>0</v>
      </c>
      <c r="BZ317" s="777" t="b">
        <f>IF('4 SUP +'!$A38&gt;61.5,IF('4 SUP +'!$A38&lt;71.6,IF('4 SUP +'!$C38&gt;113.5,IF('4 SUP +'!$C38&lt;141.6,'4 SUP +'!$AB38,0))))</f>
        <v>0</v>
      </c>
      <c r="CA317" s="777" t="b">
        <f>IF('4 SUP +'!$A38&gt;61.5,IF('4 SUP +'!$A38&lt;71.6,IF('4 SUP +'!$C38&gt;141.5,IF('4 SUP +'!$C38&lt;149.1,'4 SUP +'!$AB38,0))))</f>
        <v>0</v>
      </c>
      <c r="CB317" s="777" t="b">
        <f>IF('4 SUP +'!$A38&gt;61.5,IF('4 SUP +'!$A38&lt;71.6,IF('4 SUP +'!$C38&gt;149,IF('4 SUP +'!$C38&lt;163.1,'4 SUP +'!$AB38,0))))</f>
        <v>0</v>
      </c>
      <c r="CC317" s="777" t="b">
        <f>IF('4 SUP +'!$A38&gt;61.5,IF('4 SUP +'!$A38&lt;71.6,IF('4 SUP +'!$C38&gt;163,IF('4 SUP +'!$C38&lt;180.6,'4 SUP +'!$AB38,0))))</f>
        <v>0</v>
      </c>
      <c r="CD317" s="777" t="b">
        <f>IF('4 SUP +'!$A38&gt;61.5,IF('4 SUP +'!$A38&lt;71.6,IF('4 SUP +'!$C38&gt;180.5,IF('4 SUP +'!$C38&lt;240.1,'4 SUP +'!$AB38,0))))</f>
        <v>0</v>
      </c>
      <c r="CF317" s="777" t="b">
        <f>IF('4 SUP +'!$A38&gt;71.5,IF('4 SUP +'!$A38&lt;120.6,IF('4 SUP +'!$C38&gt;10,IF('4 SUP +'!$C38&lt;57.6,'4 SUP +'!$AB38,0))))</f>
        <v>0</v>
      </c>
      <c r="CG317" s="777" t="b">
        <f>IF('4 SUP +'!$A38&gt;71.5,IF('4 SUP +'!$A38&lt;120.6,IF('4 SUP +'!$C38&gt;57.6,IF('4 SUP +'!$C38&lt;71.6,'4 SUP +'!$AB38,0))))</f>
        <v>0</v>
      </c>
      <c r="CH317" s="777" t="b">
        <f>IF('4 SUP +'!$A38&gt;71.5,IF('4 SUP +'!$A38&lt;120.6,IF('4 SUP +'!$C38&gt;71.5,IF('4 SUP +'!$C38&lt;85.6,'4 SUP +'!$AB38,0))))</f>
        <v>0</v>
      </c>
      <c r="CI317" s="777" t="b">
        <f>IF('4 SUP +'!$A38&gt;71.5,IF('4 SUP +'!$A38&lt;120.6,IF('4 SUP +'!$C38&gt;85.5,IF('4 SUP +'!$C38&lt;113.6,'4 SUP +'!$AB38,0))))</f>
        <v>0</v>
      </c>
      <c r="CJ317" s="777" t="b">
        <f>IF('4 SUP +'!$A38&gt;71.5,IF('4 SUP +'!$A38&lt;120.6,IF('4 SUP +'!$C38&gt;113.5,IF('4 SUP +'!$C38&lt;141.6,'4 SUP +'!$AB38,0))))</f>
        <v>0</v>
      </c>
      <c r="CK317" s="777" t="b">
        <f>IF('4 SUP +'!$A38&gt;71.5,IF('4 SUP +'!$A38&lt;120.6,IF('4 SUP +'!$C38&gt;141.5,IF('4 SUP +'!$C38&lt;180.6,'4 SUP +'!$AB38,0))))</f>
        <v>0</v>
      </c>
      <c r="CL317" s="777" t="b">
        <f>IF('4 SUP +'!$A38&gt;71.5,IF('4 SUP +'!$A38&lt;120.6,IF('4 SUP +'!$C38&gt;180.5,IF('4 SUP +'!$C38&lt;240.1,'4 SUP +'!$AB38,0))))</f>
        <v>0</v>
      </c>
      <c r="CN317" s="777">
        <f>IF('4 SUP +'!$C38&lt;150,IF(OR('4 SUP +'!$A38="MICRODER",'4 SUP +'!$A38="MICRO DER",),'4 SUP +'!$AB38,0))</f>
        <v>0</v>
      </c>
      <c r="CO317" s="777" t="b">
        <f>IF('4 SUP +'!$C38&gt;149.5,IF(OR('4 SUP +'!$A38="MICRODER",'4 SUP +'!$A38="MICRO DER",),'4 SUP +'!$AB38,0))</f>
        <v>0</v>
      </c>
      <c r="CP317" s="847"/>
      <c r="CQ317" s="777">
        <f>IF('4 SUP +'!$C38&lt;150,IF(OR('4 SUP +'!$A38="MICROIZQ",'4 SUP +'!$A38="MICRO IZQ",),'4 SUP +'!$AB38,0))</f>
        <v>0</v>
      </c>
      <c r="CR317" s="777" t="b">
        <f>IF('4 SUP +'!$C38&gt;149.5,IF(OR('4 SUP +'!$A38="MICROIZQ",'4 SUP +'!$A38="MICRO IZQ",),'4 SUP +'!$AB38,0))</f>
        <v>0</v>
      </c>
      <c r="CT317" s="837">
        <f>IF(OR('4 SUP +'!$A38="MICRO SEN",'4 SUP +'!$A38="MICROSEN",),'4 SUP +'!$AB38,0)</f>
        <v>0</v>
      </c>
      <c r="CV317" s="837" t="b">
        <f>IF('4 SUP +'!$A38="DIAMETRO",IF('4 SUP +'!$C38&lt;121.1,'4 SUP +'!$AB38,0))</f>
        <v>0</v>
      </c>
      <c r="CX317" s="858"/>
      <c r="CZ317" s="837" t="b">
        <f>IF('4 SUP +'!$A38="MOSTRADOR",IF('4 SUP +'!$C38="R60",'4 SUP +'!$AB38,0))</f>
        <v>0</v>
      </c>
      <c r="DB317" s="837">
        <f>IF(OR('4 SUP +'!$A38="PORTA PRIN",'4 SUP +'!$A38="PORTAPRIN",),'4 SUP +'!$AB38,0)</f>
        <v>0</v>
      </c>
      <c r="DD317" s="837">
        <f>IF(OR('4 SUP +'!$A38="PORTA BADE",'4 SUP +'!$A38="PORTABADE",),'4 SUP +'!$AB38,0)</f>
        <v>0</v>
      </c>
      <c r="DE317" s="837"/>
      <c r="DF317" s="837">
        <f>IF(OR('4 SUP +'!$A38="RETORNO IZQ",'4 SUP +'!$A38="RETORNO DER",),'4 SUP +'!$AB226,0)</f>
        <v>0</v>
      </c>
      <c r="DG317" s="837"/>
      <c r="DH317" s="837">
        <f>IF(OR('4 SUP +'!$A38="PITO Q",'4 SUP +'!$A38="PITO P",'4 SUP +'!$A38="DIAMETRO INTEGRADA",),'4 SUP +'!$AB38,0)</f>
        <v>0</v>
      </c>
      <c r="DJ317" s="858"/>
      <c r="DK317" s="837"/>
      <c r="DL317" s="837">
        <f>IF('4 SUP +'!$A38="SUPERFICIE OVAL",'4 SUP +'!$AB38,0)</f>
        <v>0</v>
      </c>
      <c r="DN317" s="838"/>
      <c r="DO317" s="838"/>
      <c r="DP317" s="838"/>
      <c r="DQ317" s="838"/>
      <c r="DR317" s="838"/>
      <c r="DS317" s="838"/>
      <c r="DT317" s="838"/>
      <c r="DU317" s="838"/>
      <c r="DV317" s="838"/>
      <c r="DW317" s="838"/>
      <c r="DX317" s="838"/>
      <c r="DY317" s="838"/>
      <c r="DZ317" s="838"/>
      <c r="EA317" s="838"/>
      <c r="EB317" s="838"/>
      <c r="EC317" s="838"/>
      <c r="ED317" s="838"/>
      <c r="EG317" s="682">
        <f>IF('4 SUP +'!A36="MICRO DER",85,IF('4 SUP +'!A36="MICRO IZQ",85,IF('4 SUP +'!A36="MICRO SEN",170,IF('4 SUP +'!A36="DIAMETRO",3.14*'4 SUP +'!C36/2,IF('4 SUP +'!A36="MOSTRADOR",136,IF('4 SUP +'!A36="PORTA",65,IF('4 SUP +'!A36="PITO Q",90,IF('4 SUP +'!A36="PITO P",90,'4 SUP +'!A36))))))))</f>
        <v>0</v>
      </c>
      <c r="EH317" s="682"/>
      <c r="EI317" s="682">
        <f>IF('4 SUP +'!A36="DIAMETRO",0,IF('4 SUP +'!C36="PRINCIPAL",160,IF('4 SUP +'!C36="BADE",190,IF('4 SUP +'!C36="RETORNO",100,IF('4 SUP +'!C36="R 60",100,IF('4 SUP +'!C36="R60",100,'4 SUP +'!C36))))))</f>
        <v>0</v>
      </c>
      <c r="EJ317" s="682"/>
      <c r="EK317" s="682">
        <f>IF('4 SUP +'!$F36='4 SUP +'!$AG$15,((EG317*2)+(EI317*2))*'4 SUP +'!AB36,0)</f>
        <v>0</v>
      </c>
      <c r="EL317" s="682"/>
      <c r="EM317" s="682">
        <f>IF('4 SUP +'!$F36='4 SUP +'!$AG$16,((EG317*2)+(EI317*2))*'4 SUP +'!AB36,0)</f>
        <v>0</v>
      </c>
      <c r="EO317" s="682">
        <f>IF('4 SUP +'!$F36='4 SUP +'!$AG$17,((EG317*2)+(EI317*2))*'4 SUP +'!AB36,0)</f>
        <v>0</v>
      </c>
      <c r="EP317" s="838"/>
      <c r="EQ317" s="682">
        <f>IF('4 SUP +'!$F36='4 SUP +'!$AG$18,((EG317*2)+(EI317*2))*'4 SUP +'!AB36,0)</f>
        <v>0</v>
      </c>
      <c r="ER317" s="838"/>
      <c r="ES317" s="858"/>
      <c r="ET317" s="858"/>
      <c r="EU317" s="858"/>
      <c r="EV317" s="858"/>
      <c r="EW317" s="838"/>
      <c r="EX317" s="838"/>
      <c r="EY317" s="838"/>
      <c r="EZ317" s="838"/>
      <c r="FA317" s="838"/>
      <c r="FB317" s="838"/>
      <c r="FC317" s="838"/>
      <c r="FD317" s="838"/>
      <c r="FE317" s="838"/>
      <c r="FF317" s="838"/>
      <c r="FG317" s="838"/>
      <c r="FH317" s="838"/>
      <c r="FI317" s="838"/>
      <c r="FJ317" s="838"/>
      <c r="FK317" s="838"/>
      <c r="FL317" s="838"/>
      <c r="FM317" s="838"/>
      <c r="FN317" s="838"/>
      <c r="FO317" s="838"/>
      <c r="FP317" s="838"/>
      <c r="GM317" s="858"/>
      <c r="GN317" s="838"/>
      <c r="GO317" s="858"/>
      <c r="GP317" s="858"/>
      <c r="GQ317" s="858"/>
      <c r="GR317" s="838"/>
      <c r="GS317" s="838"/>
      <c r="HF317" s="700">
        <v>67.5</v>
      </c>
      <c r="HH317" s="591">
        <v>67.5</v>
      </c>
    </row>
    <row r="318" spans="37:216" ht="26.25" x14ac:dyDescent="0.4">
      <c r="AK318" s="777" t="b">
        <f>IF('4 SUP +'!$A39&gt;10,IF('4 SUP +'!$A39&lt;31.1,IF('4 SUP +'!$C39&gt;10,IF('4 SUP +'!$C39&lt;57.6,'4 SUP +'!$AB39,0))))</f>
        <v>0</v>
      </c>
      <c r="AL318" s="777" t="b">
        <f>IF('4 SUP +'!$A39&gt;10,IF('4 SUP +'!$A39&lt;31.1,IF('4 SUP +'!$C39&gt;57.6,IF('4 SUP +'!$C39&lt;71.6,'4 SUP +'!$AB39,0))))</f>
        <v>0</v>
      </c>
      <c r="AM318" s="777" t="b">
        <f>IF('4 SUP +'!$A39&gt;10,IF('4 SUP +'!$A39&lt;31.1,IF('4 SUP +'!$C39&gt;71.5,IF('4 SUP +'!$C39&lt;85.6,'4 SUP +'!$AB39,0))))</f>
        <v>0</v>
      </c>
      <c r="AN318" s="777" t="b">
        <f>IF('4 SUP +'!$A39&gt;10,IF('4 SUP +'!$A39&lt;31.1,IF('4 SUP +'!$C39&gt;85.5,IF('4 SUP +'!$C39&lt;113.6,'4 SUP +'!$AB39,0))))</f>
        <v>0</v>
      </c>
      <c r="AO318" s="777" t="b">
        <f>IF('4 SUP +'!$A39&gt;10,IF('4 SUP +'!$A39&lt;31.1,IF('4 SUP +'!$C39&gt;113.5,IF('4 SUP +'!$C39&lt;141.6,'4 SUP +'!$AB39,0))))</f>
        <v>0</v>
      </c>
      <c r="AP318" s="777" t="b">
        <f>IF('4 SUP +'!$A39&gt;10,IF('4 SUP +'!$A39&lt;31.1,IF('4 SUP +'!$C39&gt;141.5,IF('4 SUP +'!$C39&lt;180.6,'4 SUP +'!$AB39,0))))</f>
        <v>0</v>
      </c>
      <c r="AQ318" s="777" t="b">
        <f>IF('4 SUP +'!$A39&gt;10,IF('4 SUP +'!$A39&lt;31.1,IF('4 SUP +'!$C39&gt;180.5,IF('4 SUP +'!$C39&lt;240.1,'4 SUP +'!$AB39,0))))</f>
        <v>0</v>
      </c>
      <c r="AS318" s="777" t="b">
        <f>IF('4 SUP +'!$A39&gt;31,IF('4 SUP +'!$A39&lt;45.5,IF('4 SUP +'!$C39&gt;10,IF('4 SUP +'!$C39&lt;57.6,'4 SUP +'!$AB39,0))))</f>
        <v>0</v>
      </c>
      <c r="AT318" s="777" t="b">
        <f>IF('4 SUP +'!$A39&gt;31,IF('4 SUP +'!$A39&lt;45.5,IF('4 SUP +'!$C39&gt;57.6,IF('4 SUP +'!$C39&lt;71.6,'4 SUP +'!$AB39,0))))</f>
        <v>0</v>
      </c>
      <c r="AU318" s="777" t="b">
        <f>IF('4 SUP +'!$A39&gt;31,IF('4 SUP +'!$A39&lt;45.5,IF('4 SUP +'!$C39&gt;71.5,IF('4 SUP +'!$C39&lt;85.6,'4 SUP +'!$AB39,0))))</f>
        <v>0</v>
      </c>
      <c r="AV318" s="777" t="b">
        <f>IF('4 SUP +'!$A39&gt;31,IF('4 SUP +'!$A39&lt;45.5,IF('4 SUP +'!$C39&gt;85.5,IF('4 SUP +'!$C39&lt;113.6,'4 SUP +'!$AB39,0))))</f>
        <v>0</v>
      </c>
      <c r="AW318" s="777" t="b">
        <f>IF('4 SUP +'!$A39&gt;31,IF('4 SUP +'!$A39&lt;45.5,IF('4 SUP +'!$C39&gt;113.5,IF('4 SUP +'!$C39&lt;141.6,'4 SUP +'!$AB39,0))))</f>
        <v>0</v>
      </c>
      <c r="AX318" s="777" t="b">
        <f>IF('4 SUP +'!$A39&gt;31,IF('4 SUP +'!$A39&lt;45.5,IF('4 SUP +'!$C39&gt;141.5,IF('4 SUP +'!$C39&lt;180.6,'4 SUP +'!$AB39,0))))</f>
        <v>0</v>
      </c>
      <c r="AY318" s="777" t="b">
        <f>IF('4 SUP +'!$A39&gt;31,IF('4 SUP +'!$A39&lt;45.5,IF('4 SUP +'!$C39&gt;180.5,IF('4 SUP +'!$C39&lt;240.1,'4 SUP +'!$AB39,0))))</f>
        <v>0</v>
      </c>
      <c r="BA318" s="777" t="b">
        <f>IF('4 SUP +'!$A39&gt;45.4,IF('4 SUP +'!$A39&lt;61.6,IF('4 SUP +'!$C39&gt;10,IF('4 SUP +'!$C39&lt;61.5,'4 SUP +'!$AB39,0))))</f>
        <v>0</v>
      </c>
      <c r="BB318" s="777" t="b">
        <f>IF('4 SUP +'!$A39&gt;45.4,IF('4 SUP +'!$A39&lt;61.6,IF('4 SUP +'!$C39&gt;61.1,IF('4 SUP +'!$C39&lt;71.6,'4 SUP +'!$AB39,0))))</f>
        <v>0</v>
      </c>
      <c r="BC318" s="777" t="b">
        <f>IF('4 SUP +'!$A39&gt;45.4,IF('4 SUP +'!$A39&lt;61.6,IF('4 SUP +'!$C39&gt;71.5,IF('4 SUP +'!$C39&lt;85.6,'4 SUP +'!$AB39,0))))</f>
        <v>0</v>
      </c>
      <c r="BD318" s="777" t="b">
        <f>IF('4 SUP +'!$A39&gt;45.4,IF('4 SUP +'!$A39&lt;61.6,IF('4 SUP +'!$C39&gt;85.5,IF('4 SUP +'!$C39&lt;113.6,'4 SUP +'!$AB39,0))))</f>
        <v>0</v>
      </c>
      <c r="BE318" s="777" t="b">
        <f>IF('4 SUP +'!$A39&gt;45.4,IF('4 SUP +'!$A39&lt;61.6,IF('4 SUP +'!$C39&gt;113.5,IF('4 SUP +'!$C39&lt;121.6,'4 SUP +'!$AB39,0))))</f>
        <v>0</v>
      </c>
      <c r="BF318" s="777" t="b">
        <f>IF('4 SUP +'!$A39&gt;45.4,IF('4 SUP +'!$A39&lt;61.6,IF('4 SUP +'!$C39&gt;121.5,IF('4 SUP +'!$C39&lt;127.6,'4 SUP +'!$AB39,0))))</f>
        <v>0</v>
      </c>
      <c r="BG318" s="777" t="b">
        <f>IF('4 SUP +'!$A39&gt;45.4,IF('4 SUP +'!$A39&lt;61.6,IF('4 SUP +'!$C39&gt;127.5,IF('4 SUP +'!$C39&lt;135.1,'4 SUP +'!$AB39,0))))</f>
        <v>0</v>
      </c>
      <c r="BH318" s="777" t="b">
        <f>IF('4 SUP +'!$A39&gt;45.4,IF('4 SUP +'!$A39&lt;61.6,IF('4 SUP +'!$C39&gt;135,IF('4 SUP +'!$C39&lt;141.6,'4 SUP +'!$AB39,0))))</f>
        <v>0</v>
      </c>
      <c r="BI318" s="777" t="b">
        <f>IF('4 SUP +'!$A39&gt;45.4,IF('4 SUP +'!$A39&lt;61.6,IF('4 SUP +'!$C39&gt;141.5,IF('4 SUP +'!$C39&lt;149.1,'4 SUP +'!$AB39,0))))</f>
        <v>0</v>
      </c>
      <c r="BJ318" s="777" t="b">
        <f>IF('4 SUP +'!$A39&gt;45.4,IF('4 SUP +'!$A39&lt;61.6,IF('4 SUP +'!$C39&gt;149,IF('4 SUP +'!$C39&lt;155.6,'4 SUP +'!$AB39,0))))</f>
        <v>0</v>
      </c>
      <c r="BK318" s="777" t="b">
        <f>IF('4 SUP +'!$A39&gt;45.4,IF('4 SUP +'!$A39&lt;61.6,IF('4 SUP +'!$C39&gt;155.5,IF('4 SUP +'!$C39&lt;163.1,'4 SUP +'!$AB39,0))))</f>
        <v>0</v>
      </c>
      <c r="BL318" s="777" t="b">
        <f>IF('4 SUP +'!$A39&gt;45.4,IF('4 SUP +'!$A39&lt;61.6,IF('4 SUP +'!$C39&gt;163,IF('4 SUP +'!$C39&lt;180.6,'4 SUP +'!$AB39,0))))</f>
        <v>0</v>
      </c>
      <c r="BM318" s="777" t="b">
        <f>IF('4 SUP +'!$A39&gt;45.4,IF('4 SUP +'!$A39&lt;61.6,IF('4 SUP +'!$C39&gt;180.5,IF('4 SUP +'!$C39&lt;240.1,'4 SUP +'!$AB39,0))))</f>
        <v>0</v>
      </c>
      <c r="BO318" s="869" t="s">
        <v>552</v>
      </c>
      <c r="BQ318" s="870">
        <f>+$CC$338+$CD$338+$DB$338</f>
        <v>0</v>
      </c>
      <c r="BS318" s="869"/>
      <c r="BT318" s="870">
        <f>+$CC$339+$CD$339+$DB$339</f>
        <v>0</v>
      </c>
      <c r="BV318" s="777" t="b">
        <f>IF('4 SUP +'!$A39&gt;61.5,IF('4 SUP +'!$A39&lt;71.6,IF('4 SUP +'!$C39&gt;10,IF('4 SUP +'!$C39&lt;57.6,'4 SUP +'!$AB39,0))))</f>
        <v>0</v>
      </c>
      <c r="BW318" s="777" t="b">
        <f>IF('4 SUP +'!$A39&gt;61.5,IF('4 SUP +'!$A39&lt;71.6,IF('4 SUP +'!$C39&gt;57.6,IF('4 SUP +'!$C39&lt;71.6,'4 SUP +'!$AB39,0))))</f>
        <v>0</v>
      </c>
      <c r="BX318" s="777" t="b">
        <f>IF('4 SUP +'!$A39&gt;61.5,IF('4 SUP +'!$A39&lt;71.6,IF('4 SUP +'!$C39&gt;71.5,IF('4 SUP +'!$C39&lt;85.6,'4 SUP +'!$AB39,0))))</f>
        <v>0</v>
      </c>
      <c r="BY318" s="777" t="b">
        <f>IF('4 SUP +'!$A39&gt;61.5,IF('4 SUP +'!$A39&lt;71.6,IF('4 SUP +'!$C39&gt;85.5,IF('4 SUP +'!$C39&lt;113.6,'4 SUP +'!$AB39,0))))</f>
        <v>0</v>
      </c>
      <c r="BZ318" s="777" t="b">
        <f>IF('4 SUP +'!$A39&gt;61.5,IF('4 SUP +'!$A39&lt;71.6,IF('4 SUP +'!$C39&gt;113.5,IF('4 SUP +'!$C39&lt;141.6,'4 SUP +'!$AB39,0))))</f>
        <v>0</v>
      </c>
      <c r="CA318" s="777" t="b">
        <f>IF('4 SUP +'!$A39&gt;61.5,IF('4 SUP +'!$A39&lt;71.6,IF('4 SUP +'!$C39&gt;141.5,IF('4 SUP +'!$C39&lt;149.1,'4 SUP +'!$AB39,0))))</f>
        <v>0</v>
      </c>
      <c r="CB318" s="777" t="b">
        <f>IF('4 SUP +'!$A39&gt;61.5,IF('4 SUP +'!$A39&lt;71.6,IF('4 SUP +'!$C39&gt;149,IF('4 SUP +'!$C39&lt;163.1,'4 SUP +'!$AB39,0))))</f>
        <v>0</v>
      </c>
      <c r="CC318" s="777" t="b">
        <f>IF('4 SUP +'!$A39&gt;61.5,IF('4 SUP +'!$A39&lt;71.6,IF('4 SUP +'!$C39&gt;163,IF('4 SUP +'!$C39&lt;180.6,'4 SUP +'!$AB39,0))))</f>
        <v>0</v>
      </c>
      <c r="CD318" s="777" t="b">
        <f>IF('4 SUP +'!$A39&gt;61.5,IF('4 SUP +'!$A39&lt;71.6,IF('4 SUP +'!$C39&gt;180.5,IF('4 SUP +'!$C39&lt;240.1,'4 SUP +'!$AB39,0))))</f>
        <v>0</v>
      </c>
      <c r="CF318" s="777" t="b">
        <f>IF('4 SUP +'!$A39&gt;71.5,IF('4 SUP +'!$A39&lt;120.6,IF('4 SUP +'!$C39&gt;10,IF('4 SUP +'!$C39&lt;57.6,'4 SUP +'!$AB39,0))))</f>
        <v>0</v>
      </c>
      <c r="CG318" s="777" t="b">
        <f>IF('4 SUP +'!$A39&gt;71.5,IF('4 SUP +'!$A39&lt;120.6,IF('4 SUP +'!$C39&gt;57.6,IF('4 SUP +'!$C39&lt;71.6,'4 SUP +'!$AB39,0))))</f>
        <v>0</v>
      </c>
      <c r="CH318" s="777" t="b">
        <f>IF('4 SUP +'!$A39&gt;71.5,IF('4 SUP +'!$A39&lt;120.6,IF('4 SUP +'!$C39&gt;71.5,IF('4 SUP +'!$C39&lt;85.6,'4 SUP +'!$AB39,0))))</f>
        <v>0</v>
      </c>
      <c r="CI318" s="777" t="b">
        <f>IF('4 SUP +'!$A39&gt;71.5,IF('4 SUP +'!$A39&lt;120.6,IF('4 SUP +'!$C39&gt;85.5,IF('4 SUP +'!$C39&lt;113.6,'4 SUP +'!$AB39,0))))</f>
        <v>0</v>
      </c>
      <c r="CJ318" s="777" t="b">
        <f>IF('4 SUP +'!$A39&gt;71.5,IF('4 SUP +'!$A39&lt;120.6,IF('4 SUP +'!$C39&gt;113.5,IF('4 SUP +'!$C39&lt;141.6,'4 SUP +'!$AB39,0))))</f>
        <v>0</v>
      </c>
      <c r="CK318" s="777" t="b">
        <f>IF('4 SUP +'!$A39&gt;71.5,IF('4 SUP +'!$A39&lt;120.6,IF('4 SUP +'!$C39&gt;141.5,IF('4 SUP +'!$C39&lt;180.6,'4 SUP +'!$AB39,0))))</f>
        <v>0</v>
      </c>
      <c r="CL318" s="777" t="b">
        <f>IF('4 SUP +'!$A39&gt;71.5,IF('4 SUP +'!$A39&lt;120.6,IF('4 SUP +'!$C39&gt;180.5,IF('4 SUP +'!$C39&lt;240.1,'4 SUP +'!$AB39,0))))</f>
        <v>0</v>
      </c>
      <c r="CN318" s="777">
        <f>IF('4 SUP +'!$C39&lt;150,IF(OR('4 SUP +'!$A39="MICRODER",'4 SUP +'!$A39="MICRO DER",),'4 SUP +'!$AB39,0))</f>
        <v>0</v>
      </c>
      <c r="CO318" s="777" t="b">
        <f>IF('4 SUP +'!$C39&gt;149.5,IF(OR('4 SUP +'!$A39="MICRODER",'4 SUP +'!$A39="MICRO DER",),'4 SUP +'!$AB39,0))</f>
        <v>0</v>
      </c>
      <c r="CP318" s="847"/>
      <c r="CQ318" s="777">
        <f>IF('4 SUP +'!$C39&lt;150,IF(OR('4 SUP +'!$A39="MICROIZQ",'4 SUP +'!$A39="MICRO IZQ",),'4 SUP +'!$AB39,0))</f>
        <v>0</v>
      </c>
      <c r="CR318" s="777" t="b">
        <f>IF('4 SUP +'!$C39&gt;149.5,IF(OR('4 SUP +'!$A39="MICROIZQ",'4 SUP +'!$A39="MICRO IZQ",),'4 SUP +'!$AB39,0))</f>
        <v>0</v>
      </c>
      <c r="CT318" s="837">
        <f>IF(OR('4 SUP +'!$A39="MICRO SEN",'4 SUP +'!$A39="MICROSEN",),'4 SUP +'!$AB39,0)</f>
        <v>0</v>
      </c>
      <c r="CV318" s="837" t="b">
        <f>IF('4 SUP +'!$A39="DIAMETRO",IF('4 SUP +'!$C39&lt;121.1,'4 SUP +'!$AB39,0))</f>
        <v>0</v>
      </c>
      <c r="CX318" s="858"/>
      <c r="CZ318" s="837" t="b">
        <f>IF('4 SUP +'!$A39="MOSTRADOR",IF('4 SUP +'!$C39="R60",'4 SUP +'!$AB39,0))</f>
        <v>0</v>
      </c>
      <c r="DB318" s="837">
        <f>IF(OR('4 SUP +'!$A39="PORTA PRIN",'4 SUP +'!$A39="PORTAPRIN",),'4 SUP +'!$AB39,0)</f>
        <v>0</v>
      </c>
      <c r="DD318" s="837">
        <f>IF(OR('4 SUP +'!$A39="PORTA BADE",'4 SUP +'!$A39="PORTABADE",),'4 SUP +'!$AB39,0)</f>
        <v>0</v>
      </c>
      <c r="DE318" s="837"/>
      <c r="DF318" s="837">
        <f>IF(OR('4 SUP +'!$A39="RETORNO IZQ",'4 SUP +'!$A39="RETORNO DER",),'4 SUP +'!$AB227,0)</f>
        <v>0</v>
      </c>
      <c r="DG318" s="837"/>
      <c r="DH318" s="837">
        <f>IF(OR('4 SUP +'!$A39="PITO Q",'4 SUP +'!$A39="PITO P",'4 SUP +'!$A39="DIAMETRO INTEGRADA",),'4 SUP +'!$AB39,0)</f>
        <v>0</v>
      </c>
      <c r="DJ318" s="858"/>
      <c r="DK318" s="837"/>
      <c r="DL318" s="837">
        <f>IF('4 SUP +'!$A39="SUPERFICIE OVAL",'4 SUP +'!$AB39,0)</f>
        <v>0</v>
      </c>
      <c r="DN318" s="838"/>
      <c r="DO318" s="838"/>
      <c r="DP318" s="838"/>
      <c r="DQ318" s="838"/>
      <c r="DR318" s="838"/>
      <c r="DS318" s="838"/>
      <c r="DT318" s="838"/>
      <c r="DU318" s="838"/>
      <c r="DV318" s="838"/>
      <c r="DW318" s="838"/>
      <c r="DX318" s="838"/>
      <c r="DY318" s="838"/>
      <c r="DZ318" s="838"/>
      <c r="EA318" s="838"/>
      <c r="EB318" s="838"/>
      <c r="EC318" s="838"/>
      <c r="ED318" s="838"/>
      <c r="EG318" s="682">
        <f>IF('4 SUP +'!A37="MICRO DER",85,IF('4 SUP +'!A37="MICRO IZQ",85,IF('4 SUP +'!A37="MICRO SEN",170,IF('4 SUP +'!A37="DIAMETRO",3.14*'4 SUP +'!C37/2,IF('4 SUP +'!A37="MOSTRADOR",136,IF('4 SUP +'!A37="PORTA",65,IF('4 SUP +'!A37="PITO Q",90,IF('4 SUP +'!A37="PITO P",90,'4 SUP +'!A37))))))))</f>
        <v>0</v>
      </c>
      <c r="EH318" s="682"/>
      <c r="EI318" s="682">
        <f>IF('4 SUP +'!A37="DIAMETRO",0,IF('4 SUP +'!C37="PRINCIPAL",160,IF('4 SUP +'!C37="BADE",190,IF('4 SUP +'!C37="RETORNO",100,IF('4 SUP +'!C37="R 60",100,IF('4 SUP +'!C37="R60",100,'4 SUP +'!C37))))))</f>
        <v>0</v>
      </c>
      <c r="EJ318" s="682"/>
      <c r="EK318" s="682">
        <f>IF('4 SUP +'!$F37='4 SUP +'!$AG$15,((EG318*2)+(EI318*2))*'4 SUP +'!AB37,0)</f>
        <v>0</v>
      </c>
      <c r="EL318" s="682"/>
      <c r="EM318" s="682">
        <f>IF('4 SUP +'!$F37='4 SUP +'!$AG$16,((EG318*2)+(EI318*2))*'4 SUP +'!AB37,0)</f>
        <v>0</v>
      </c>
      <c r="EO318" s="682">
        <f>IF('4 SUP +'!$F37='4 SUP +'!$AG$17,((EG318*2)+(EI318*2))*'4 SUP +'!AB37,0)</f>
        <v>0</v>
      </c>
      <c r="EP318" s="838"/>
      <c r="EQ318" s="682">
        <f>IF('4 SUP +'!$F37='4 SUP +'!$AG$18,((EG318*2)+(EI318*2))*'4 SUP +'!AB37,0)</f>
        <v>0</v>
      </c>
      <c r="ER318" s="838"/>
      <c r="ES318" s="858"/>
      <c r="ET318" s="858"/>
      <c r="EU318" s="858"/>
      <c r="EV318" s="858"/>
      <c r="EW318" s="838"/>
      <c r="EX318" s="838"/>
      <c r="EY318" s="838"/>
      <c r="EZ318" s="838"/>
      <c r="FA318" s="838"/>
      <c r="FB318" s="838"/>
      <c r="FC318" s="838"/>
      <c r="FD318" s="838"/>
      <c r="FE318" s="838"/>
      <c r="FF318" s="838"/>
      <c r="FG318" s="838"/>
      <c r="FH318" s="838"/>
      <c r="FI318" s="838"/>
      <c r="FJ318" s="838"/>
      <c r="FK318" s="838"/>
      <c r="FL318" s="838"/>
      <c r="FM318" s="838"/>
      <c r="FN318" s="838"/>
      <c r="FO318" s="838"/>
      <c r="FP318" s="838"/>
      <c r="GM318" s="858"/>
      <c r="GN318" s="838"/>
      <c r="GO318" s="858"/>
      <c r="GP318" s="858"/>
      <c r="GQ318" s="858"/>
      <c r="GR318" s="838"/>
      <c r="GS318" s="838"/>
      <c r="HF318" s="700">
        <v>68</v>
      </c>
      <c r="HH318" s="591">
        <v>68</v>
      </c>
    </row>
    <row r="319" spans="37:216" ht="26.25" x14ac:dyDescent="0.4">
      <c r="AK319" s="777" t="b">
        <f>IF('4 SUP +'!$A40&gt;10,IF('4 SUP +'!$A40&lt;31.1,IF('4 SUP +'!$C40&gt;10,IF('4 SUP +'!$C40&lt;57.6,'4 SUP +'!$AB40,0))))</f>
        <v>0</v>
      </c>
      <c r="AL319" s="777" t="b">
        <f>IF('4 SUP +'!$A40&gt;10,IF('4 SUP +'!$A40&lt;31.1,IF('4 SUP +'!$C40&gt;57.6,IF('4 SUP +'!$C40&lt;71.6,'4 SUP +'!$AB40,0))))</f>
        <v>0</v>
      </c>
      <c r="AM319" s="777" t="b">
        <f>IF('4 SUP +'!$A40&gt;10,IF('4 SUP +'!$A40&lt;31.1,IF('4 SUP +'!$C40&gt;71.5,IF('4 SUP +'!$C40&lt;85.6,'4 SUP +'!$AB40,0))))</f>
        <v>0</v>
      </c>
      <c r="AN319" s="777" t="b">
        <f>IF('4 SUP +'!$A40&gt;10,IF('4 SUP +'!$A40&lt;31.1,IF('4 SUP +'!$C40&gt;85.5,IF('4 SUP +'!$C40&lt;113.6,'4 SUP +'!$AB40,0))))</f>
        <v>0</v>
      </c>
      <c r="AO319" s="777" t="b">
        <f>IF('4 SUP +'!$A40&gt;10,IF('4 SUP +'!$A40&lt;31.1,IF('4 SUP +'!$C40&gt;113.5,IF('4 SUP +'!$C40&lt;141.6,'4 SUP +'!$AB40,0))))</f>
        <v>0</v>
      </c>
      <c r="AP319" s="777" t="b">
        <f>IF('4 SUP +'!$A40&gt;10,IF('4 SUP +'!$A40&lt;31.1,IF('4 SUP +'!$C40&gt;141.5,IF('4 SUP +'!$C40&lt;180.6,'4 SUP +'!$AB40,0))))</f>
        <v>0</v>
      </c>
      <c r="AQ319" s="777" t="b">
        <f>IF('4 SUP +'!$A40&gt;10,IF('4 SUP +'!$A40&lt;31.1,IF('4 SUP +'!$C40&gt;180.5,IF('4 SUP +'!$C40&lt;240.1,'4 SUP +'!$AB40,0))))</f>
        <v>0</v>
      </c>
      <c r="AS319" s="777" t="b">
        <f>IF('4 SUP +'!$A40&gt;31,IF('4 SUP +'!$A40&lt;45.5,IF('4 SUP +'!$C40&gt;10,IF('4 SUP +'!$C40&lt;57.6,'4 SUP +'!$AB40,0))))</f>
        <v>0</v>
      </c>
      <c r="AT319" s="777" t="b">
        <f>IF('4 SUP +'!$A40&gt;31,IF('4 SUP +'!$A40&lt;45.5,IF('4 SUP +'!$C40&gt;57.6,IF('4 SUP +'!$C40&lt;71.6,'4 SUP +'!$AB40,0))))</f>
        <v>0</v>
      </c>
      <c r="AU319" s="777" t="b">
        <f>IF('4 SUP +'!$A40&gt;31,IF('4 SUP +'!$A40&lt;45.5,IF('4 SUP +'!$C40&gt;71.5,IF('4 SUP +'!$C40&lt;85.6,'4 SUP +'!$AB40,0))))</f>
        <v>0</v>
      </c>
      <c r="AV319" s="777" t="b">
        <f>IF('4 SUP +'!$A40&gt;31,IF('4 SUP +'!$A40&lt;45.5,IF('4 SUP +'!$C40&gt;85.5,IF('4 SUP +'!$C40&lt;113.6,'4 SUP +'!$AB40,0))))</f>
        <v>0</v>
      </c>
      <c r="AW319" s="777" t="b">
        <f>IF('4 SUP +'!$A40&gt;31,IF('4 SUP +'!$A40&lt;45.5,IF('4 SUP +'!$C40&gt;113.5,IF('4 SUP +'!$C40&lt;141.6,'4 SUP +'!$AB40,0))))</f>
        <v>0</v>
      </c>
      <c r="AX319" s="777" t="b">
        <f>IF('4 SUP +'!$A40&gt;31,IF('4 SUP +'!$A40&lt;45.5,IF('4 SUP +'!$C40&gt;141.5,IF('4 SUP +'!$C40&lt;180.6,'4 SUP +'!$AB40,0))))</f>
        <v>0</v>
      </c>
      <c r="AY319" s="777" t="b">
        <f>IF('4 SUP +'!$A40&gt;31,IF('4 SUP +'!$A40&lt;45.5,IF('4 SUP +'!$C40&gt;180.5,IF('4 SUP +'!$C40&lt;240.1,'4 SUP +'!$AB40,0))))</f>
        <v>0</v>
      </c>
      <c r="BA319" s="777" t="b">
        <f>IF('4 SUP +'!$A40&gt;45.4,IF('4 SUP +'!$A40&lt;61.6,IF('4 SUP +'!$C40&gt;10,IF('4 SUP +'!$C40&lt;61.5,'4 SUP +'!$AB40,0))))</f>
        <v>0</v>
      </c>
      <c r="BB319" s="777" t="b">
        <f>IF('4 SUP +'!$A40&gt;45.4,IF('4 SUP +'!$A40&lt;61.6,IF('4 SUP +'!$C40&gt;61.1,IF('4 SUP +'!$C40&lt;71.6,'4 SUP +'!$AB40,0))))</f>
        <v>0</v>
      </c>
      <c r="BC319" s="777" t="b">
        <f>IF('4 SUP +'!$A40&gt;45.4,IF('4 SUP +'!$A40&lt;61.6,IF('4 SUP +'!$C40&gt;71.5,IF('4 SUP +'!$C40&lt;85.6,'4 SUP +'!$AB40,0))))</f>
        <v>0</v>
      </c>
      <c r="BD319" s="777" t="b">
        <f>IF('4 SUP +'!$A40&gt;45.4,IF('4 SUP +'!$A40&lt;61.6,IF('4 SUP +'!$C40&gt;85.5,IF('4 SUP +'!$C40&lt;113.6,'4 SUP +'!$AB40,0))))</f>
        <v>0</v>
      </c>
      <c r="BE319" s="777" t="b">
        <f>IF('4 SUP +'!$A40&gt;45.4,IF('4 SUP +'!$A40&lt;61.6,IF('4 SUP +'!$C40&gt;113.5,IF('4 SUP +'!$C40&lt;121.6,'4 SUP +'!$AB40,0))))</f>
        <v>0</v>
      </c>
      <c r="BF319" s="777" t="b">
        <f>IF('4 SUP +'!$A40&gt;45.4,IF('4 SUP +'!$A40&lt;61.6,IF('4 SUP +'!$C40&gt;121.5,IF('4 SUP +'!$C40&lt;127.6,'4 SUP +'!$AB40,0))))</f>
        <v>0</v>
      </c>
      <c r="BG319" s="777" t="b">
        <f>IF('4 SUP +'!$A40&gt;45.4,IF('4 SUP +'!$A40&lt;61.6,IF('4 SUP +'!$C40&gt;127.5,IF('4 SUP +'!$C40&lt;135.1,'4 SUP +'!$AB40,0))))</f>
        <v>0</v>
      </c>
      <c r="BH319" s="777" t="b">
        <f>IF('4 SUP +'!$A40&gt;45.4,IF('4 SUP +'!$A40&lt;61.6,IF('4 SUP +'!$C40&gt;135,IF('4 SUP +'!$C40&lt;141.6,'4 SUP +'!$AB40,0))))</f>
        <v>0</v>
      </c>
      <c r="BI319" s="777" t="b">
        <f>IF('4 SUP +'!$A40&gt;45.4,IF('4 SUP +'!$A40&lt;61.6,IF('4 SUP +'!$C40&gt;141.5,IF('4 SUP +'!$C40&lt;149.1,'4 SUP +'!$AB40,0))))</f>
        <v>0</v>
      </c>
      <c r="BJ319" s="777" t="b">
        <f>IF('4 SUP +'!$A40&gt;45.4,IF('4 SUP +'!$A40&lt;61.6,IF('4 SUP +'!$C40&gt;149,IF('4 SUP +'!$C40&lt;155.6,'4 SUP +'!$AB40,0))))</f>
        <v>0</v>
      </c>
      <c r="BK319" s="777" t="b">
        <f>IF('4 SUP +'!$A40&gt;45.4,IF('4 SUP +'!$A40&lt;61.6,IF('4 SUP +'!$C40&gt;155.5,IF('4 SUP +'!$C40&lt;163.1,'4 SUP +'!$AB40,0))))</f>
        <v>0</v>
      </c>
      <c r="BL319" s="777" t="b">
        <f>IF('4 SUP +'!$A40&gt;45.4,IF('4 SUP +'!$A40&lt;61.6,IF('4 SUP +'!$C40&gt;163,IF('4 SUP +'!$C40&lt;180.6,'4 SUP +'!$AB40,0))))</f>
        <v>0</v>
      </c>
      <c r="BM319" s="777" t="b">
        <f>IF('4 SUP +'!$A40&gt;45.4,IF('4 SUP +'!$A40&lt;61.6,IF('4 SUP +'!$C40&gt;180.5,IF('4 SUP +'!$C40&lt;240.1,'4 SUP +'!$AB40,0))))</f>
        <v>0</v>
      </c>
      <c r="BO319" s="869" t="s">
        <v>553</v>
      </c>
      <c r="BQ319" s="870">
        <f>+$CN$338+$CO$338*1.6</f>
        <v>0</v>
      </c>
      <c r="BS319" s="869"/>
      <c r="BT319" s="870">
        <f>+$CN$339+$CO$339*1.6</f>
        <v>0</v>
      </c>
      <c r="BV319" s="777" t="b">
        <f>IF('4 SUP +'!$A40&gt;61.5,IF('4 SUP +'!$A40&lt;71.6,IF('4 SUP +'!$C40&gt;10,IF('4 SUP +'!$C40&lt;57.6,'4 SUP +'!$AB40,0))))</f>
        <v>0</v>
      </c>
      <c r="BW319" s="777" t="b">
        <f>IF('4 SUP +'!$A40&gt;61.5,IF('4 SUP +'!$A40&lt;71.6,IF('4 SUP +'!$C40&gt;57.6,IF('4 SUP +'!$C40&lt;71.6,'4 SUP +'!$AB40,0))))</f>
        <v>0</v>
      </c>
      <c r="BX319" s="777" t="b">
        <f>IF('4 SUP +'!$A40&gt;61.5,IF('4 SUP +'!$A40&lt;71.6,IF('4 SUP +'!$C40&gt;71.5,IF('4 SUP +'!$C40&lt;85.6,'4 SUP +'!$AB40,0))))</f>
        <v>0</v>
      </c>
      <c r="BY319" s="777" t="b">
        <f>IF('4 SUP +'!$A40&gt;61.5,IF('4 SUP +'!$A40&lt;71.6,IF('4 SUP +'!$C40&gt;85.5,IF('4 SUP +'!$C40&lt;113.6,'4 SUP +'!$AB40,0))))</f>
        <v>0</v>
      </c>
      <c r="BZ319" s="777" t="b">
        <f>IF('4 SUP +'!$A40&gt;61.5,IF('4 SUP +'!$A40&lt;71.6,IF('4 SUP +'!$C40&gt;113.5,IF('4 SUP +'!$C40&lt;141.6,'4 SUP +'!$AB40,0))))</f>
        <v>0</v>
      </c>
      <c r="CA319" s="777" t="b">
        <f>IF('4 SUP +'!$A40&gt;61.5,IF('4 SUP +'!$A40&lt;71.6,IF('4 SUP +'!$C40&gt;141.5,IF('4 SUP +'!$C40&lt;149.1,'4 SUP +'!$AB40,0))))</f>
        <v>0</v>
      </c>
      <c r="CB319" s="777" t="b">
        <f>IF('4 SUP +'!$A40&gt;61.5,IF('4 SUP +'!$A40&lt;71.6,IF('4 SUP +'!$C40&gt;149,IF('4 SUP +'!$C40&lt;163.1,'4 SUP +'!$AB40,0))))</f>
        <v>0</v>
      </c>
      <c r="CC319" s="777" t="b">
        <f>IF('4 SUP +'!$A40&gt;61.5,IF('4 SUP +'!$A40&lt;71.6,IF('4 SUP +'!$C40&gt;163,IF('4 SUP +'!$C40&lt;180.6,'4 SUP +'!$AB40,0))))</f>
        <v>0</v>
      </c>
      <c r="CD319" s="777" t="b">
        <f>IF('4 SUP +'!$A40&gt;61.5,IF('4 SUP +'!$A40&lt;71.6,IF('4 SUP +'!$C40&gt;180.5,IF('4 SUP +'!$C40&lt;240.1,'4 SUP +'!$AB40,0))))</f>
        <v>0</v>
      </c>
      <c r="CF319" s="777" t="b">
        <f>IF('4 SUP +'!$A40&gt;71.5,IF('4 SUP +'!$A40&lt;120.6,IF('4 SUP +'!$C40&gt;10,IF('4 SUP +'!$C40&lt;57.6,'4 SUP +'!$AB40,0))))</f>
        <v>0</v>
      </c>
      <c r="CG319" s="777" t="b">
        <f>IF('4 SUP +'!$A40&gt;71.5,IF('4 SUP +'!$A40&lt;120.6,IF('4 SUP +'!$C40&gt;57.6,IF('4 SUP +'!$C40&lt;71.6,'4 SUP +'!$AB40,0))))</f>
        <v>0</v>
      </c>
      <c r="CH319" s="777" t="b">
        <f>IF('4 SUP +'!$A40&gt;71.5,IF('4 SUP +'!$A40&lt;120.6,IF('4 SUP +'!$C40&gt;71.5,IF('4 SUP +'!$C40&lt;85.6,'4 SUP +'!$AB40,0))))</f>
        <v>0</v>
      </c>
      <c r="CI319" s="777" t="b">
        <f>IF('4 SUP +'!$A40&gt;71.5,IF('4 SUP +'!$A40&lt;120.6,IF('4 SUP +'!$C40&gt;85.5,IF('4 SUP +'!$C40&lt;113.6,'4 SUP +'!$AB40,0))))</f>
        <v>0</v>
      </c>
      <c r="CJ319" s="777" t="b">
        <f>IF('4 SUP +'!$A40&gt;71.5,IF('4 SUP +'!$A40&lt;120.6,IF('4 SUP +'!$C40&gt;113.5,IF('4 SUP +'!$C40&lt;141.6,'4 SUP +'!$AB40,0))))</f>
        <v>0</v>
      </c>
      <c r="CK319" s="777" t="b">
        <f>IF('4 SUP +'!$A40&gt;71.5,IF('4 SUP +'!$A40&lt;120.6,IF('4 SUP +'!$C40&gt;141.5,IF('4 SUP +'!$C40&lt;180.6,'4 SUP +'!$AB40,0))))</f>
        <v>0</v>
      </c>
      <c r="CL319" s="777" t="b">
        <f>IF('4 SUP +'!$A40&gt;71.5,IF('4 SUP +'!$A40&lt;120.6,IF('4 SUP +'!$C40&gt;180.5,IF('4 SUP +'!$C40&lt;240.1,'4 SUP +'!$AB40,0))))</f>
        <v>0</v>
      </c>
      <c r="CN319" s="777">
        <f>IF('4 SUP +'!$C40&lt;150,IF(OR('4 SUP +'!$A40="MICRODER",'4 SUP +'!$A40="MICRO DER",),'4 SUP +'!$AB40,0))</f>
        <v>0</v>
      </c>
      <c r="CO319" s="777" t="b">
        <f>IF('4 SUP +'!$C40&gt;149.5,IF(OR('4 SUP +'!$A40="MICRODER",'4 SUP +'!$A40="MICRO DER",),'4 SUP +'!$AB40,0))</f>
        <v>0</v>
      </c>
      <c r="CP319" s="847"/>
      <c r="CQ319" s="777">
        <f>IF('4 SUP +'!$C40&lt;150,IF(OR('4 SUP +'!$A40="MICROIZQ",'4 SUP +'!$A40="MICRO IZQ",),'4 SUP +'!$AB40,0))</f>
        <v>0</v>
      </c>
      <c r="CR319" s="777" t="b">
        <f>IF('4 SUP +'!$C40&gt;149.5,IF(OR('4 SUP +'!$A40="MICROIZQ",'4 SUP +'!$A40="MICRO IZQ",),'4 SUP +'!$AB40,0))</f>
        <v>0</v>
      </c>
      <c r="CT319" s="837">
        <f>IF(OR('4 SUP +'!$A40="MICRO SEN",'4 SUP +'!$A40="MICROSEN",),'4 SUP +'!$AB40,0)</f>
        <v>0</v>
      </c>
      <c r="CV319" s="837" t="b">
        <f>IF('4 SUP +'!$A40="DIAMETRO",IF('4 SUP +'!$C40&lt;121.1,'4 SUP +'!$AB40,0))</f>
        <v>0</v>
      </c>
      <c r="CX319" s="858"/>
      <c r="CZ319" s="837" t="b">
        <f>IF('4 SUP +'!$A40="MOSTRADOR",IF('4 SUP +'!$C40="R60",'4 SUP +'!$AB40,0))</f>
        <v>0</v>
      </c>
      <c r="DB319" s="837">
        <f>IF(OR('4 SUP +'!$A40="PORTA PRIN",'4 SUP +'!$A40="PORTAPRIN",),'4 SUP +'!$AB40,0)</f>
        <v>0</v>
      </c>
      <c r="DD319" s="837">
        <f>IF(OR('4 SUP +'!$A40="PORTA BADE",'4 SUP +'!$A40="PORTABADE",),'4 SUP +'!$AB40,0)</f>
        <v>0</v>
      </c>
      <c r="DE319" s="837"/>
      <c r="DF319" s="837">
        <f>IF(OR('4 SUP +'!$A40="RETORNO IZQ",'4 SUP +'!$A40="RETORNO DER",),'4 SUP +'!$AB228,0)</f>
        <v>0</v>
      </c>
      <c r="DG319" s="837"/>
      <c r="DH319" s="837">
        <f>IF(OR('4 SUP +'!$A40="PITO Q",'4 SUP +'!$A40="PITO P",'4 SUP +'!$A40="DIAMETRO INTEGRADA",),'4 SUP +'!$AB40,0)</f>
        <v>0</v>
      </c>
      <c r="DJ319" s="858"/>
      <c r="DK319" s="837"/>
      <c r="DL319" s="837">
        <f>IF('4 SUP +'!$A40="SUPERFICIE OVAL",'4 SUP +'!$AB40,0)</f>
        <v>0</v>
      </c>
      <c r="DN319" s="838"/>
      <c r="DO319" s="838"/>
      <c r="DP319" s="838"/>
      <c r="DQ319" s="838"/>
      <c r="DR319" s="838"/>
      <c r="DS319" s="838"/>
      <c r="DT319" s="838"/>
      <c r="DU319" s="838"/>
      <c r="DV319" s="838"/>
      <c r="DW319" s="838"/>
      <c r="DX319" s="838"/>
      <c r="DY319" s="838"/>
      <c r="DZ319" s="838"/>
      <c r="EA319" s="838"/>
      <c r="EB319" s="838"/>
      <c r="EC319" s="838"/>
      <c r="ED319" s="838"/>
      <c r="EG319" s="682">
        <f>IF('4 SUP +'!A38="MICRO DER",85,IF('4 SUP +'!A38="MICRO IZQ",85,IF('4 SUP +'!A38="MICRO SEN",170,IF('4 SUP +'!A38="DIAMETRO",3.14*'4 SUP +'!C38/2,IF('4 SUP +'!A38="MOSTRADOR",136,IF('4 SUP +'!A38="PORTA",65,IF('4 SUP +'!A38="PITO Q",90,IF('4 SUP +'!A38="PITO P",90,'4 SUP +'!A38))))))))</f>
        <v>0</v>
      </c>
      <c r="EH319" s="682"/>
      <c r="EI319" s="682">
        <f>IF('4 SUP +'!A38="DIAMETRO",0,IF('4 SUP +'!C38="PRINCIPAL",160,IF('4 SUP +'!C38="BADE",190,IF('4 SUP +'!C38="RETORNO",100,IF('4 SUP +'!C38="R 60",100,IF('4 SUP +'!C38="R60",100,'4 SUP +'!C38))))))</f>
        <v>0</v>
      </c>
      <c r="EJ319" s="682"/>
      <c r="EK319" s="682">
        <f>IF('4 SUP +'!$F38='4 SUP +'!$AG$15,((EG319*2)+(EI319*2))*'4 SUP +'!AB38,0)</f>
        <v>0</v>
      </c>
      <c r="EL319" s="682"/>
      <c r="EM319" s="682">
        <f>IF('4 SUP +'!$F38='4 SUP +'!$AG$16,((EG319*2)+(EI319*2))*'4 SUP +'!AB38,0)</f>
        <v>0</v>
      </c>
      <c r="EO319" s="682">
        <f>IF('4 SUP +'!$F38='4 SUP +'!$AG$17,((EG319*2)+(EI319*2))*'4 SUP +'!AB38,0)</f>
        <v>0</v>
      </c>
      <c r="EP319" s="838"/>
      <c r="EQ319" s="682">
        <f>IF('4 SUP +'!$F38='4 SUP +'!$AG$18,((EG319*2)+(EI319*2))*'4 SUP +'!AB38,0)</f>
        <v>0</v>
      </c>
      <c r="ER319" s="838"/>
      <c r="ES319" s="858"/>
      <c r="ET319" s="858"/>
      <c r="EU319" s="858"/>
      <c r="EV319" s="858"/>
      <c r="EW319" s="838"/>
      <c r="EX319" s="838"/>
      <c r="EY319" s="838"/>
      <c r="EZ319" s="838"/>
      <c r="FA319" s="838"/>
      <c r="FB319" s="838"/>
      <c r="FC319" s="838"/>
      <c r="FD319" s="838"/>
      <c r="FE319" s="838"/>
      <c r="FF319" s="838"/>
      <c r="FG319" s="838"/>
      <c r="FH319" s="838"/>
      <c r="FI319" s="838"/>
      <c r="FJ319" s="838"/>
      <c r="FK319" s="838"/>
      <c r="FL319" s="838"/>
      <c r="FM319" s="838"/>
      <c r="FN319" s="838"/>
      <c r="FO319" s="838"/>
      <c r="FP319" s="838"/>
      <c r="GM319" s="858"/>
      <c r="GN319" s="838"/>
      <c r="GO319" s="858"/>
      <c r="GP319" s="858"/>
      <c r="GQ319" s="858"/>
      <c r="GR319" s="838"/>
      <c r="GS319" s="838"/>
      <c r="HF319" s="700">
        <v>68.5</v>
      </c>
      <c r="HH319" s="591">
        <v>68.5</v>
      </c>
    </row>
    <row r="320" spans="37:216" ht="26.25" x14ac:dyDescent="0.4">
      <c r="AK320" s="777" t="b">
        <f>IF('4 SUP +'!$A41&gt;10,IF('4 SUP +'!$A41&lt;31.1,IF('4 SUP +'!$C41&gt;10,IF('4 SUP +'!$C41&lt;57.6,'4 SUP +'!$AB41,0))))</f>
        <v>0</v>
      </c>
      <c r="AL320" s="777" t="b">
        <f>IF('4 SUP +'!$A41&gt;10,IF('4 SUP +'!$A41&lt;31.1,IF('4 SUP +'!$C41&gt;57.6,IF('4 SUP +'!$C41&lt;71.6,'4 SUP +'!$AB41,0))))</f>
        <v>0</v>
      </c>
      <c r="AM320" s="777" t="b">
        <f>IF('4 SUP +'!$A41&gt;10,IF('4 SUP +'!$A41&lt;31.1,IF('4 SUP +'!$C41&gt;71.5,IF('4 SUP +'!$C41&lt;85.6,'4 SUP +'!$AB41,0))))</f>
        <v>0</v>
      </c>
      <c r="AN320" s="777" t="b">
        <f>IF('4 SUP +'!$A41&gt;10,IF('4 SUP +'!$A41&lt;31.1,IF('4 SUP +'!$C41&gt;85.5,IF('4 SUP +'!$C41&lt;113.6,'4 SUP +'!$AB41,0))))</f>
        <v>0</v>
      </c>
      <c r="AO320" s="777" t="b">
        <f>IF('4 SUP +'!$A41&gt;10,IF('4 SUP +'!$A41&lt;31.1,IF('4 SUP +'!$C41&gt;113.5,IF('4 SUP +'!$C41&lt;141.6,'4 SUP +'!$AB41,0))))</f>
        <v>0</v>
      </c>
      <c r="AP320" s="777" t="b">
        <f>IF('4 SUP +'!$A41&gt;10,IF('4 SUP +'!$A41&lt;31.1,IF('4 SUP +'!$C41&gt;141.5,IF('4 SUP +'!$C41&lt;180.6,'4 SUP +'!$AB41,0))))</f>
        <v>0</v>
      </c>
      <c r="AQ320" s="777" t="b">
        <f>IF('4 SUP +'!$A41&gt;10,IF('4 SUP +'!$A41&lt;31.1,IF('4 SUP +'!$C41&gt;180.5,IF('4 SUP +'!$C41&lt;240.1,'4 SUP +'!$AB41,0))))</f>
        <v>0</v>
      </c>
      <c r="AS320" s="777" t="b">
        <f>IF('4 SUP +'!$A41&gt;31,IF('4 SUP +'!$A41&lt;45.5,IF('4 SUP +'!$C41&gt;10,IF('4 SUP +'!$C41&lt;57.6,'4 SUP +'!$AB41,0))))</f>
        <v>0</v>
      </c>
      <c r="AT320" s="777" t="b">
        <f>IF('4 SUP +'!$A41&gt;31,IF('4 SUP +'!$A41&lt;45.5,IF('4 SUP +'!$C41&gt;57.6,IF('4 SUP +'!$C41&lt;71.6,'4 SUP +'!$AB41,0))))</f>
        <v>0</v>
      </c>
      <c r="AU320" s="777" t="b">
        <f>IF('4 SUP +'!$A41&gt;31,IF('4 SUP +'!$A41&lt;45.5,IF('4 SUP +'!$C41&gt;71.5,IF('4 SUP +'!$C41&lt;85.6,'4 SUP +'!$AB41,0))))</f>
        <v>0</v>
      </c>
      <c r="AV320" s="777" t="b">
        <f>IF('4 SUP +'!$A41&gt;31,IF('4 SUP +'!$A41&lt;45.5,IF('4 SUP +'!$C41&gt;85.5,IF('4 SUP +'!$C41&lt;113.6,'4 SUP +'!$AB41,0))))</f>
        <v>0</v>
      </c>
      <c r="AW320" s="777" t="b">
        <f>IF('4 SUP +'!$A41&gt;31,IF('4 SUP +'!$A41&lt;45.5,IF('4 SUP +'!$C41&gt;113.5,IF('4 SUP +'!$C41&lt;141.6,'4 SUP +'!$AB41,0))))</f>
        <v>0</v>
      </c>
      <c r="AX320" s="777" t="b">
        <f>IF('4 SUP +'!$A41&gt;31,IF('4 SUP +'!$A41&lt;45.5,IF('4 SUP +'!$C41&gt;141.5,IF('4 SUP +'!$C41&lt;180.6,'4 SUP +'!$AB41,0))))</f>
        <v>0</v>
      </c>
      <c r="AY320" s="777" t="b">
        <f>IF('4 SUP +'!$A41&gt;31,IF('4 SUP +'!$A41&lt;45.5,IF('4 SUP +'!$C41&gt;180.5,IF('4 SUP +'!$C41&lt;240.1,'4 SUP +'!$AB41,0))))</f>
        <v>0</v>
      </c>
      <c r="BA320" s="777" t="b">
        <f>IF('4 SUP +'!$A41&gt;45.4,IF('4 SUP +'!$A41&lt;61.6,IF('4 SUP +'!$C41&gt;10,IF('4 SUP +'!$C41&lt;61.5,'4 SUP +'!$AB41,0))))</f>
        <v>0</v>
      </c>
      <c r="BB320" s="777" t="b">
        <f>IF('4 SUP +'!$A41&gt;45.4,IF('4 SUP +'!$A41&lt;61.6,IF('4 SUP +'!$C41&gt;61.1,IF('4 SUP +'!$C41&lt;71.6,'4 SUP +'!$AB41,0))))</f>
        <v>0</v>
      </c>
      <c r="BC320" s="777" t="b">
        <f>IF('4 SUP +'!$A41&gt;45.4,IF('4 SUP +'!$A41&lt;61.6,IF('4 SUP +'!$C41&gt;71.5,IF('4 SUP +'!$C41&lt;85.6,'4 SUP +'!$AB41,0))))</f>
        <v>0</v>
      </c>
      <c r="BD320" s="777" t="b">
        <f>IF('4 SUP +'!$A41&gt;45.4,IF('4 SUP +'!$A41&lt;61.6,IF('4 SUP +'!$C41&gt;85.5,IF('4 SUP +'!$C41&lt;113.6,'4 SUP +'!$AB41,0))))</f>
        <v>0</v>
      </c>
      <c r="BE320" s="777" t="b">
        <f>IF('4 SUP +'!$A41&gt;45.4,IF('4 SUP +'!$A41&lt;61.6,IF('4 SUP +'!$C41&gt;113.5,IF('4 SUP +'!$C41&lt;121.6,'4 SUP +'!$AB41,0))))</f>
        <v>0</v>
      </c>
      <c r="BF320" s="777" t="b">
        <f>IF('4 SUP +'!$A41&gt;45.4,IF('4 SUP +'!$A41&lt;61.6,IF('4 SUP +'!$C41&gt;121.5,IF('4 SUP +'!$C41&lt;127.6,'4 SUP +'!$AB41,0))))</f>
        <v>0</v>
      </c>
      <c r="BG320" s="777" t="b">
        <f>IF('4 SUP +'!$A41&gt;45.4,IF('4 SUP +'!$A41&lt;61.6,IF('4 SUP +'!$C41&gt;127.5,IF('4 SUP +'!$C41&lt;135.1,'4 SUP +'!$AB41,0))))</f>
        <v>0</v>
      </c>
      <c r="BH320" s="777" t="b">
        <f>IF('4 SUP +'!$A41&gt;45.4,IF('4 SUP +'!$A41&lt;61.6,IF('4 SUP +'!$C41&gt;135,IF('4 SUP +'!$C41&lt;141.6,'4 SUP +'!$AB41,0))))</f>
        <v>0</v>
      </c>
      <c r="BI320" s="777" t="b">
        <f>IF('4 SUP +'!$A41&gt;45.4,IF('4 SUP +'!$A41&lt;61.6,IF('4 SUP +'!$C41&gt;141.5,IF('4 SUP +'!$C41&lt;149.1,'4 SUP +'!$AB41,0))))</f>
        <v>0</v>
      </c>
      <c r="BJ320" s="777" t="b">
        <f>IF('4 SUP +'!$A41&gt;45.4,IF('4 SUP +'!$A41&lt;61.6,IF('4 SUP +'!$C41&gt;149,IF('4 SUP +'!$C41&lt;155.6,'4 SUP +'!$AB41,0))))</f>
        <v>0</v>
      </c>
      <c r="BK320" s="777" t="b">
        <f>IF('4 SUP +'!$A41&gt;45.4,IF('4 SUP +'!$A41&lt;61.6,IF('4 SUP +'!$C41&gt;155.5,IF('4 SUP +'!$C41&lt;163.1,'4 SUP +'!$AB41,0))))</f>
        <v>0</v>
      </c>
      <c r="BL320" s="777" t="b">
        <f>IF('4 SUP +'!$A41&gt;45.4,IF('4 SUP +'!$A41&lt;61.6,IF('4 SUP +'!$C41&gt;163,IF('4 SUP +'!$C41&lt;180.6,'4 SUP +'!$AB41,0))))</f>
        <v>0</v>
      </c>
      <c r="BM320" s="777" t="b">
        <f>IF('4 SUP +'!$A41&gt;45.4,IF('4 SUP +'!$A41&lt;61.6,IF('4 SUP +'!$C41&gt;180.5,IF('4 SUP +'!$C41&lt;240.1,'4 SUP +'!$AB41,0))))</f>
        <v>0</v>
      </c>
      <c r="BO320" s="869" t="s">
        <v>554</v>
      </c>
      <c r="BQ320" s="870">
        <f>+$CQ$338+$CR$338*1.6</f>
        <v>0</v>
      </c>
      <c r="BS320" s="869"/>
      <c r="BT320" s="870">
        <f>+$CQ$339+$CR$339*1.6</f>
        <v>0</v>
      </c>
      <c r="BV320" s="777" t="b">
        <f>IF('4 SUP +'!$A41&gt;61.5,IF('4 SUP +'!$A41&lt;71.6,IF('4 SUP +'!$C41&gt;10,IF('4 SUP +'!$C41&lt;57.6,'4 SUP +'!$AB41,0))))</f>
        <v>0</v>
      </c>
      <c r="BW320" s="777" t="b">
        <f>IF('4 SUP +'!$A41&gt;61.5,IF('4 SUP +'!$A41&lt;71.6,IF('4 SUP +'!$C41&gt;57.6,IF('4 SUP +'!$C41&lt;71.6,'4 SUP +'!$AB41,0))))</f>
        <v>0</v>
      </c>
      <c r="BX320" s="777" t="b">
        <f>IF('4 SUP +'!$A41&gt;61.5,IF('4 SUP +'!$A41&lt;71.6,IF('4 SUP +'!$C41&gt;71.5,IF('4 SUP +'!$C41&lt;85.6,'4 SUP +'!$AB41,0))))</f>
        <v>0</v>
      </c>
      <c r="BY320" s="777" t="b">
        <f>IF('4 SUP +'!$A41&gt;61.5,IF('4 SUP +'!$A41&lt;71.6,IF('4 SUP +'!$C41&gt;85.5,IF('4 SUP +'!$C41&lt;113.6,'4 SUP +'!$AB41,0))))</f>
        <v>0</v>
      </c>
      <c r="BZ320" s="777" t="b">
        <f>IF('4 SUP +'!$A41&gt;61.5,IF('4 SUP +'!$A41&lt;71.6,IF('4 SUP +'!$C41&gt;113.5,IF('4 SUP +'!$C41&lt;141.6,'4 SUP +'!$AB41,0))))</f>
        <v>0</v>
      </c>
      <c r="CA320" s="777" t="b">
        <f>IF('4 SUP +'!$A41&gt;61.5,IF('4 SUP +'!$A41&lt;71.6,IF('4 SUP +'!$C41&gt;141.5,IF('4 SUP +'!$C41&lt;149.1,'4 SUP +'!$AB41,0))))</f>
        <v>0</v>
      </c>
      <c r="CB320" s="777" t="b">
        <f>IF('4 SUP +'!$A41&gt;61.5,IF('4 SUP +'!$A41&lt;71.6,IF('4 SUP +'!$C41&gt;149,IF('4 SUP +'!$C41&lt;163.1,'4 SUP +'!$AB41,0))))</f>
        <v>0</v>
      </c>
      <c r="CC320" s="777" t="b">
        <f>IF('4 SUP +'!$A41&gt;61.5,IF('4 SUP +'!$A41&lt;71.6,IF('4 SUP +'!$C41&gt;163,IF('4 SUP +'!$C41&lt;180.6,'4 SUP +'!$AB41,0))))</f>
        <v>0</v>
      </c>
      <c r="CD320" s="777" t="b">
        <f>IF('4 SUP +'!$A41&gt;61.5,IF('4 SUP +'!$A41&lt;71.6,IF('4 SUP +'!$C41&gt;180.5,IF('4 SUP +'!$C41&lt;240.1,'4 SUP +'!$AB41,0))))</f>
        <v>0</v>
      </c>
      <c r="CF320" s="777" t="b">
        <f>IF('4 SUP +'!$A41&gt;71.5,IF('4 SUP +'!$A41&lt;120.6,IF('4 SUP +'!$C41&gt;10,IF('4 SUP +'!$C41&lt;57.6,'4 SUP +'!$AB41,0))))</f>
        <v>0</v>
      </c>
      <c r="CG320" s="777" t="b">
        <f>IF('4 SUP +'!$A41&gt;71.5,IF('4 SUP +'!$A41&lt;120.6,IF('4 SUP +'!$C41&gt;57.6,IF('4 SUP +'!$C41&lt;71.6,'4 SUP +'!$AB41,0))))</f>
        <v>0</v>
      </c>
      <c r="CH320" s="777" t="b">
        <f>IF('4 SUP +'!$A41&gt;71.5,IF('4 SUP +'!$A41&lt;120.6,IF('4 SUP +'!$C41&gt;71.5,IF('4 SUP +'!$C41&lt;85.6,'4 SUP +'!$AB41,0))))</f>
        <v>0</v>
      </c>
      <c r="CI320" s="777" t="b">
        <f>IF('4 SUP +'!$A41&gt;71.5,IF('4 SUP +'!$A41&lt;120.6,IF('4 SUP +'!$C41&gt;85.5,IF('4 SUP +'!$C41&lt;113.6,'4 SUP +'!$AB41,0))))</f>
        <v>0</v>
      </c>
      <c r="CJ320" s="777" t="b">
        <f>IF('4 SUP +'!$A41&gt;71.5,IF('4 SUP +'!$A41&lt;120.6,IF('4 SUP +'!$C41&gt;113.5,IF('4 SUP +'!$C41&lt;141.6,'4 SUP +'!$AB41,0))))</f>
        <v>0</v>
      </c>
      <c r="CK320" s="777" t="b">
        <f>IF('4 SUP +'!$A41&gt;71.5,IF('4 SUP +'!$A41&lt;120.6,IF('4 SUP +'!$C41&gt;141.5,IF('4 SUP +'!$C41&lt;180.6,'4 SUP +'!$AB41,0))))</f>
        <v>0</v>
      </c>
      <c r="CL320" s="777" t="b">
        <f>IF('4 SUP +'!$A41&gt;71.5,IF('4 SUP +'!$A41&lt;120.6,IF('4 SUP +'!$C41&gt;180.5,IF('4 SUP +'!$C41&lt;240.1,'4 SUP +'!$AB41,0))))</f>
        <v>0</v>
      </c>
      <c r="CN320" s="777">
        <f>IF('4 SUP +'!$C41&lt;150,IF(OR('4 SUP +'!$A41="MICRODER",'4 SUP +'!$A41="MICRO DER",),'4 SUP +'!$AB41,0))</f>
        <v>0</v>
      </c>
      <c r="CO320" s="777" t="b">
        <f>IF('4 SUP +'!$C41&gt;149.5,IF(OR('4 SUP +'!$A41="MICRODER",'4 SUP +'!$A41="MICRO DER",),'4 SUP +'!$AB41,0))</f>
        <v>0</v>
      </c>
      <c r="CP320" s="847"/>
      <c r="CQ320" s="777">
        <f>IF('4 SUP +'!$C41&lt;150,IF(OR('4 SUP +'!$A41="MICROIZQ",'4 SUP +'!$A41="MICRO IZQ",),'4 SUP +'!$AB41,0))</f>
        <v>0</v>
      </c>
      <c r="CR320" s="777" t="b">
        <f>IF('4 SUP +'!$C41&gt;149.5,IF(OR('4 SUP +'!$A41="MICROIZQ",'4 SUP +'!$A41="MICRO IZQ",),'4 SUP +'!$AB41,0))</f>
        <v>0</v>
      </c>
      <c r="CT320" s="837">
        <f>IF(OR('4 SUP +'!$A41="MICRO SEN",'4 SUP +'!$A41="MICROSEN",),'4 SUP +'!$AB41,0)</f>
        <v>0</v>
      </c>
      <c r="CV320" s="837" t="b">
        <f>IF('4 SUP +'!$A41="DIAMETRO",IF('4 SUP +'!$C41&lt;121.1,'4 SUP +'!$AB41,0))</f>
        <v>0</v>
      </c>
      <c r="CX320" s="858"/>
      <c r="CZ320" s="837" t="b">
        <f>IF('4 SUP +'!$A41="MOSTRADOR",IF('4 SUP +'!$C41="R60",'4 SUP +'!$AB41,0))</f>
        <v>0</v>
      </c>
      <c r="DB320" s="837">
        <f>IF(OR('4 SUP +'!$A41="PORTA PRIN",'4 SUP +'!$A41="PORTAPRIN",),'4 SUP +'!$AB41,0)</f>
        <v>0</v>
      </c>
      <c r="DD320" s="837">
        <f>IF(OR('4 SUP +'!$A41="PORTA BADE",'4 SUP +'!$A41="PORTABADE",),'4 SUP +'!$AB41,0)</f>
        <v>0</v>
      </c>
      <c r="DE320" s="837"/>
      <c r="DF320" s="837">
        <f>IF(OR('4 SUP +'!$A41="RETORNO IZQ",'4 SUP +'!$A41="RETORNO DER",),'4 SUP +'!$AB229,0)</f>
        <v>0</v>
      </c>
      <c r="DG320" s="837"/>
      <c r="DH320" s="837">
        <f>IF(OR('4 SUP +'!$A41="PITO Q",'4 SUP +'!$A41="PITO P",'4 SUP +'!$A41="DIAMETRO INTEGRADA",),'4 SUP +'!$AB41,0)</f>
        <v>0</v>
      </c>
      <c r="DJ320" s="858"/>
      <c r="DK320" s="837"/>
      <c r="DL320" s="837">
        <f>IF('4 SUP +'!$A41="SUPERFICIE OVAL",'4 SUP +'!$AB41,0)</f>
        <v>0</v>
      </c>
      <c r="DN320" s="838"/>
      <c r="DO320" s="838"/>
      <c r="DP320" s="838"/>
      <c r="DQ320" s="838"/>
      <c r="DR320" s="838"/>
      <c r="DS320" s="838"/>
      <c r="DT320" s="838"/>
      <c r="DU320" s="838"/>
      <c r="DV320" s="838"/>
      <c r="DW320" s="838"/>
      <c r="DX320" s="838"/>
      <c r="DY320" s="838"/>
      <c r="DZ320" s="838"/>
      <c r="EA320" s="838"/>
      <c r="EB320" s="838"/>
      <c r="EC320" s="838"/>
      <c r="ED320" s="838"/>
      <c r="EG320" s="682">
        <f>IF('4 SUP +'!A39="MICRO DER",85,IF('4 SUP +'!A39="MICRO IZQ",85,IF('4 SUP +'!A39="MICRO SEN",170,IF('4 SUP +'!A39="DIAMETRO",3.14*'4 SUP +'!C39/2,IF('4 SUP +'!A39="MOSTRADOR",136,IF('4 SUP +'!A39="PORTA",65,IF('4 SUP +'!A39="PITO Q",90,IF('4 SUP +'!A39="PITO P",90,'4 SUP +'!A39))))))))</f>
        <v>0</v>
      </c>
      <c r="EH320" s="682"/>
      <c r="EI320" s="682">
        <f>IF('4 SUP +'!A39="DIAMETRO",0,IF('4 SUP +'!C39="PRINCIPAL",160,IF('4 SUP +'!C39="BADE",190,IF('4 SUP +'!C39="RETORNO",100,IF('4 SUP +'!C39="R 60",100,IF('4 SUP +'!C39="R60",100,'4 SUP +'!C39))))))</f>
        <v>0</v>
      </c>
      <c r="EJ320" s="682"/>
      <c r="EK320" s="682">
        <f>IF('4 SUP +'!$F39='4 SUP +'!$AG$15,((EG320*2)+(EI320*2))*'4 SUP +'!AB39,0)</f>
        <v>0</v>
      </c>
      <c r="EL320" s="682"/>
      <c r="EM320" s="682">
        <f>IF('4 SUP +'!$F39='4 SUP +'!$AG$16,((EG320*2)+(EI320*2))*'4 SUP +'!AB39,0)</f>
        <v>0</v>
      </c>
      <c r="EO320" s="682">
        <f>IF('4 SUP +'!$F39='4 SUP +'!$AG$17,((EG320*2)+(EI320*2))*'4 SUP +'!AB39,0)</f>
        <v>0</v>
      </c>
      <c r="EP320" s="838"/>
      <c r="EQ320" s="682">
        <f>IF('4 SUP +'!$F39='4 SUP +'!$AG$18,((EG320*2)+(EI320*2))*'4 SUP +'!AB39,0)</f>
        <v>0</v>
      </c>
      <c r="ER320" s="838"/>
      <c r="ES320" s="858"/>
      <c r="ET320" s="858"/>
      <c r="EU320" s="858"/>
      <c r="EV320" s="858"/>
      <c r="EW320" s="838"/>
      <c r="EX320" s="838"/>
      <c r="EY320" s="838"/>
      <c r="EZ320" s="838"/>
      <c r="FA320" s="838"/>
      <c r="FB320" s="838"/>
      <c r="FC320" s="838"/>
      <c r="FD320" s="838"/>
      <c r="FE320" s="838"/>
      <c r="FF320" s="838"/>
      <c r="FG320" s="838"/>
      <c r="FH320" s="838"/>
      <c r="FI320" s="838"/>
      <c r="FJ320" s="838"/>
      <c r="FK320" s="838"/>
      <c r="FL320" s="838"/>
      <c r="FM320" s="838"/>
      <c r="FN320" s="838"/>
      <c r="FO320" s="838"/>
      <c r="FP320" s="838"/>
      <c r="GM320" s="858"/>
      <c r="GN320" s="838"/>
      <c r="GO320" s="858"/>
      <c r="GP320" s="858"/>
      <c r="GQ320" s="858"/>
      <c r="GR320" s="838"/>
      <c r="GS320" s="838"/>
      <c r="HF320" s="700">
        <v>69</v>
      </c>
      <c r="HH320" s="591">
        <v>69</v>
      </c>
    </row>
    <row r="321" spans="37:216" ht="26.25" x14ac:dyDescent="0.4">
      <c r="AK321" s="777" t="b">
        <f>IF('4 SUP +'!$A42&gt;10,IF('4 SUP +'!$A42&lt;31.1,IF('4 SUP +'!$C42&gt;10,IF('4 SUP +'!$C42&lt;57.6,'4 SUP +'!$AB42,0))))</f>
        <v>0</v>
      </c>
      <c r="AL321" s="777" t="b">
        <f>IF('4 SUP +'!$A42&gt;10,IF('4 SUP +'!$A42&lt;31.1,IF('4 SUP +'!$C42&gt;57.6,IF('4 SUP +'!$C42&lt;71.6,'4 SUP +'!$AB42,0))))</f>
        <v>0</v>
      </c>
      <c r="AM321" s="777" t="b">
        <f>IF('4 SUP +'!$A42&gt;10,IF('4 SUP +'!$A42&lt;31.1,IF('4 SUP +'!$C42&gt;71.5,IF('4 SUP +'!$C42&lt;85.6,'4 SUP +'!$AB42,0))))</f>
        <v>0</v>
      </c>
      <c r="AN321" s="777" t="b">
        <f>IF('4 SUP +'!$A42&gt;10,IF('4 SUP +'!$A42&lt;31.1,IF('4 SUP +'!$C42&gt;85.5,IF('4 SUP +'!$C42&lt;113.6,'4 SUP +'!$AB42,0))))</f>
        <v>0</v>
      </c>
      <c r="AO321" s="777" t="b">
        <f>IF('4 SUP +'!$A42&gt;10,IF('4 SUP +'!$A42&lt;31.1,IF('4 SUP +'!$C42&gt;113.5,IF('4 SUP +'!$C42&lt;141.6,'4 SUP +'!$AB42,0))))</f>
        <v>0</v>
      </c>
      <c r="AP321" s="777" t="b">
        <f>IF('4 SUP +'!$A42&gt;10,IF('4 SUP +'!$A42&lt;31.1,IF('4 SUP +'!$C42&gt;141.5,IF('4 SUP +'!$C42&lt;180.6,'4 SUP +'!$AB42,0))))</f>
        <v>0</v>
      </c>
      <c r="AQ321" s="777" t="b">
        <f>IF('4 SUP +'!$A42&gt;10,IF('4 SUP +'!$A42&lt;31.1,IF('4 SUP +'!$C42&gt;180.5,IF('4 SUP +'!$C42&lt;240.1,'4 SUP +'!$AB42,0))))</f>
        <v>0</v>
      </c>
      <c r="AS321" s="777" t="b">
        <f>IF('4 SUP +'!$A42&gt;31,IF('4 SUP +'!$A42&lt;45.5,IF('4 SUP +'!$C42&gt;10,IF('4 SUP +'!$C42&lt;57.6,'4 SUP +'!$AB42,0))))</f>
        <v>0</v>
      </c>
      <c r="AT321" s="777" t="b">
        <f>IF('4 SUP +'!$A42&gt;31,IF('4 SUP +'!$A42&lt;45.5,IF('4 SUP +'!$C42&gt;57.6,IF('4 SUP +'!$C42&lt;71.6,'4 SUP +'!$AB42,0))))</f>
        <v>0</v>
      </c>
      <c r="AU321" s="777" t="b">
        <f>IF('4 SUP +'!$A42&gt;31,IF('4 SUP +'!$A42&lt;45.5,IF('4 SUP +'!$C42&gt;71.5,IF('4 SUP +'!$C42&lt;85.6,'4 SUP +'!$AB42,0))))</f>
        <v>0</v>
      </c>
      <c r="AV321" s="777" t="b">
        <f>IF('4 SUP +'!$A42&gt;31,IF('4 SUP +'!$A42&lt;45.5,IF('4 SUP +'!$C42&gt;85.5,IF('4 SUP +'!$C42&lt;113.6,'4 SUP +'!$AB42,0))))</f>
        <v>0</v>
      </c>
      <c r="AW321" s="777" t="b">
        <f>IF('4 SUP +'!$A42&gt;31,IF('4 SUP +'!$A42&lt;45.5,IF('4 SUP +'!$C42&gt;113.5,IF('4 SUP +'!$C42&lt;141.6,'4 SUP +'!$AB42,0))))</f>
        <v>0</v>
      </c>
      <c r="AX321" s="777" t="b">
        <f>IF('4 SUP +'!$A42&gt;31,IF('4 SUP +'!$A42&lt;45.5,IF('4 SUP +'!$C42&gt;141.5,IF('4 SUP +'!$C42&lt;180.6,'4 SUP +'!$AB42,0))))</f>
        <v>0</v>
      </c>
      <c r="AY321" s="777" t="b">
        <f>IF('4 SUP +'!$A42&gt;31,IF('4 SUP +'!$A42&lt;45.5,IF('4 SUP +'!$C42&gt;180.5,IF('4 SUP +'!$C42&lt;240.1,'4 SUP +'!$AB42,0))))</f>
        <v>0</v>
      </c>
      <c r="BA321" s="777" t="b">
        <f>IF('4 SUP +'!$A42&gt;45.4,IF('4 SUP +'!$A42&lt;61.6,IF('4 SUP +'!$C42&gt;10,IF('4 SUP +'!$C42&lt;61.5,'4 SUP +'!$AB42,0))))</f>
        <v>0</v>
      </c>
      <c r="BB321" s="777" t="b">
        <f>IF('4 SUP +'!$A42&gt;45.4,IF('4 SUP +'!$A42&lt;61.6,IF('4 SUP +'!$C42&gt;61.1,IF('4 SUP +'!$C42&lt;71.6,'4 SUP +'!$AB42,0))))</f>
        <v>0</v>
      </c>
      <c r="BC321" s="777" t="b">
        <f>IF('4 SUP +'!$A42&gt;45.4,IF('4 SUP +'!$A42&lt;61.6,IF('4 SUP +'!$C42&gt;71.5,IF('4 SUP +'!$C42&lt;85.6,'4 SUP +'!$AB42,0))))</f>
        <v>0</v>
      </c>
      <c r="BD321" s="777" t="b">
        <f>IF('4 SUP +'!$A42&gt;45.4,IF('4 SUP +'!$A42&lt;61.6,IF('4 SUP +'!$C42&gt;85.5,IF('4 SUP +'!$C42&lt;113.6,'4 SUP +'!$AB42,0))))</f>
        <v>0</v>
      </c>
      <c r="BE321" s="777" t="b">
        <f>IF('4 SUP +'!$A42&gt;45.4,IF('4 SUP +'!$A42&lt;61.6,IF('4 SUP +'!$C42&gt;113.5,IF('4 SUP +'!$C42&lt;121.6,'4 SUP +'!$AB42,0))))</f>
        <v>0</v>
      </c>
      <c r="BF321" s="777" t="b">
        <f>IF('4 SUP +'!$A42&gt;45.4,IF('4 SUP +'!$A42&lt;61.6,IF('4 SUP +'!$C42&gt;121.5,IF('4 SUP +'!$C42&lt;127.6,'4 SUP +'!$AB42,0))))</f>
        <v>0</v>
      </c>
      <c r="BG321" s="777" t="b">
        <f>IF('4 SUP +'!$A42&gt;45.4,IF('4 SUP +'!$A42&lt;61.6,IF('4 SUP +'!$C42&gt;127.5,IF('4 SUP +'!$C42&lt;135.1,'4 SUP +'!$AB42,0))))</f>
        <v>0</v>
      </c>
      <c r="BH321" s="777" t="b">
        <f>IF('4 SUP +'!$A42&gt;45.4,IF('4 SUP +'!$A42&lt;61.6,IF('4 SUP +'!$C42&gt;135,IF('4 SUP +'!$C42&lt;141.6,'4 SUP +'!$AB42,0))))</f>
        <v>0</v>
      </c>
      <c r="BI321" s="777" t="b">
        <f>IF('4 SUP +'!$A42&gt;45.4,IF('4 SUP +'!$A42&lt;61.6,IF('4 SUP +'!$C42&gt;141.5,IF('4 SUP +'!$C42&lt;149.1,'4 SUP +'!$AB42,0))))</f>
        <v>0</v>
      </c>
      <c r="BJ321" s="777" t="b">
        <f>IF('4 SUP +'!$A42&gt;45.4,IF('4 SUP +'!$A42&lt;61.6,IF('4 SUP +'!$C42&gt;149,IF('4 SUP +'!$C42&lt;155.6,'4 SUP +'!$AB42,0))))</f>
        <v>0</v>
      </c>
      <c r="BK321" s="777" t="b">
        <f>IF('4 SUP +'!$A42&gt;45.4,IF('4 SUP +'!$A42&lt;61.6,IF('4 SUP +'!$C42&gt;155.5,IF('4 SUP +'!$C42&lt;163.1,'4 SUP +'!$AB42,0))))</f>
        <v>0</v>
      </c>
      <c r="BL321" s="777" t="b">
        <f>IF('4 SUP +'!$A42&gt;45.4,IF('4 SUP +'!$A42&lt;61.6,IF('4 SUP +'!$C42&gt;163,IF('4 SUP +'!$C42&lt;180.6,'4 SUP +'!$AB42,0))))</f>
        <v>0</v>
      </c>
      <c r="BM321" s="777" t="b">
        <f>IF('4 SUP +'!$A42&gt;45.4,IF('4 SUP +'!$A42&lt;61.6,IF('4 SUP +'!$C42&gt;180.5,IF('4 SUP +'!$C42&lt;240.1,'4 SUP +'!$AB42,0))))</f>
        <v>0</v>
      </c>
      <c r="BO321" s="869" t="s">
        <v>555</v>
      </c>
      <c r="BQ321" s="870">
        <f>+$CT$338</f>
        <v>0</v>
      </c>
      <c r="BS321" s="869"/>
      <c r="BT321" s="870">
        <f>+$CT$339</f>
        <v>0</v>
      </c>
      <c r="BV321" s="777" t="b">
        <f>IF('4 SUP +'!$A42&gt;61.5,IF('4 SUP +'!$A42&lt;71.6,IF('4 SUP +'!$C42&gt;10,IF('4 SUP +'!$C42&lt;57.6,'4 SUP +'!$AB42,0))))</f>
        <v>0</v>
      </c>
      <c r="BW321" s="777" t="b">
        <f>IF('4 SUP +'!$A42&gt;61.5,IF('4 SUP +'!$A42&lt;71.6,IF('4 SUP +'!$C42&gt;57.6,IF('4 SUP +'!$C42&lt;71.6,'4 SUP +'!$AB42,0))))</f>
        <v>0</v>
      </c>
      <c r="BX321" s="777" t="b">
        <f>IF('4 SUP +'!$A42&gt;61.5,IF('4 SUP +'!$A42&lt;71.6,IF('4 SUP +'!$C42&gt;71.5,IF('4 SUP +'!$C42&lt;85.6,'4 SUP +'!$AB42,0))))</f>
        <v>0</v>
      </c>
      <c r="BY321" s="777" t="b">
        <f>IF('4 SUP +'!$A42&gt;61.5,IF('4 SUP +'!$A42&lt;71.6,IF('4 SUP +'!$C42&gt;85.5,IF('4 SUP +'!$C42&lt;113.6,'4 SUP +'!$AB42,0))))</f>
        <v>0</v>
      </c>
      <c r="BZ321" s="777" t="b">
        <f>IF('4 SUP +'!$A42&gt;61.5,IF('4 SUP +'!$A42&lt;71.6,IF('4 SUP +'!$C42&gt;113.5,IF('4 SUP +'!$C42&lt;141.6,'4 SUP +'!$AB42,0))))</f>
        <v>0</v>
      </c>
      <c r="CA321" s="777" t="b">
        <f>IF('4 SUP +'!$A42&gt;61.5,IF('4 SUP +'!$A42&lt;71.6,IF('4 SUP +'!$C42&gt;141.5,IF('4 SUP +'!$C42&lt;149.1,'4 SUP +'!$AB42,0))))</f>
        <v>0</v>
      </c>
      <c r="CB321" s="777" t="b">
        <f>IF('4 SUP +'!$A42&gt;61.5,IF('4 SUP +'!$A42&lt;71.6,IF('4 SUP +'!$C42&gt;149,IF('4 SUP +'!$C42&lt;163.1,'4 SUP +'!$AB42,0))))</f>
        <v>0</v>
      </c>
      <c r="CC321" s="777" t="b">
        <f>IF('4 SUP +'!$A42&gt;61.5,IF('4 SUP +'!$A42&lt;71.6,IF('4 SUP +'!$C42&gt;163,IF('4 SUP +'!$C42&lt;180.6,'4 SUP +'!$AB42,0))))</f>
        <v>0</v>
      </c>
      <c r="CD321" s="777" t="b">
        <f>IF('4 SUP +'!$A42&gt;61.5,IF('4 SUP +'!$A42&lt;71.6,IF('4 SUP +'!$C42&gt;180.5,IF('4 SUP +'!$C42&lt;240.1,'4 SUP +'!$AB42,0))))</f>
        <v>0</v>
      </c>
      <c r="CF321" s="777" t="b">
        <f>IF('4 SUP +'!$A42&gt;71.5,IF('4 SUP +'!$A42&lt;120.6,IF('4 SUP +'!$C42&gt;10,IF('4 SUP +'!$C42&lt;57.6,'4 SUP +'!$AB42,0))))</f>
        <v>0</v>
      </c>
      <c r="CG321" s="777" t="b">
        <f>IF('4 SUP +'!$A42&gt;71.5,IF('4 SUP +'!$A42&lt;120.6,IF('4 SUP +'!$C42&gt;57.6,IF('4 SUP +'!$C42&lt;71.6,'4 SUP +'!$AB42,0))))</f>
        <v>0</v>
      </c>
      <c r="CH321" s="777" t="b">
        <f>IF('4 SUP +'!$A42&gt;71.5,IF('4 SUP +'!$A42&lt;120.6,IF('4 SUP +'!$C42&gt;71.5,IF('4 SUP +'!$C42&lt;85.6,'4 SUP +'!$AB42,0))))</f>
        <v>0</v>
      </c>
      <c r="CI321" s="777" t="b">
        <f>IF('4 SUP +'!$A42&gt;71.5,IF('4 SUP +'!$A42&lt;120.6,IF('4 SUP +'!$C42&gt;85.5,IF('4 SUP +'!$C42&lt;113.6,'4 SUP +'!$AB42,0))))</f>
        <v>0</v>
      </c>
      <c r="CJ321" s="777" t="b">
        <f>IF('4 SUP +'!$A42&gt;71.5,IF('4 SUP +'!$A42&lt;120.6,IF('4 SUP +'!$C42&gt;113.5,IF('4 SUP +'!$C42&lt;141.6,'4 SUP +'!$AB42,0))))</f>
        <v>0</v>
      </c>
      <c r="CK321" s="777" t="b">
        <f>IF('4 SUP +'!$A42&gt;71.5,IF('4 SUP +'!$A42&lt;120.6,IF('4 SUP +'!$C42&gt;141.5,IF('4 SUP +'!$C42&lt;180.6,'4 SUP +'!$AB42,0))))</f>
        <v>0</v>
      </c>
      <c r="CL321" s="777" t="b">
        <f>IF('4 SUP +'!$A42&gt;71.5,IF('4 SUP +'!$A42&lt;120.6,IF('4 SUP +'!$C42&gt;180.5,IF('4 SUP +'!$C42&lt;240.1,'4 SUP +'!$AB42,0))))</f>
        <v>0</v>
      </c>
      <c r="CN321" s="777">
        <f>IF('4 SUP +'!$C42&lt;150,IF(OR('4 SUP +'!$A42="MICRODER",'4 SUP +'!$A42="MICRO DER",),'4 SUP +'!$AB42,0))</f>
        <v>0</v>
      </c>
      <c r="CO321" s="777" t="b">
        <f>IF('4 SUP +'!$C42&gt;149.5,IF(OR('4 SUP +'!$A42="MICRODER",'4 SUP +'!$A42="MICRO DER",),'4 SUP +'!$AB42,0))</f>
        <v>0</v>
      </c>
      <c r="CP321" s="847"/>
      <c r="CQ321" s="777">
        <f>IF('4 SUP +'!$C42&lt;150,IF(OR('4 SUP +'!$A42="MICROIZQ",'4 SUP +'!$A42="MICRO IZQ",),'4 SUP +'!$AB42,0))</f>
        <v>0</v>
      </c>
      <c r="CR321" s="777" t="b">
        <f>IF('4 SUP +'!$C42&gt;149.5,IF(OR('4 SUP +'!$A42="MICROIZQ",'4 SUP +'!$A42="MICRO IZQ",),'4 SUP +'!$AB42,0))</f>
        <v>0</v>
      </c>
      <c r="CT321" s="837">
        <f>IF(OR('4 SUP +'!$A42="MICRO SEN",'4 SUP +'!$A42="MICROSEN",),'4 SUP +'!$AB42,0)</f>
        <v>0</v>
      </c>
      <c r="CV321" s="837" t="b">
        <f>IF('4 SUP +'!$A42="DIAMETRO",IF('4 SUP +'!$C42&lt;121.1,'4 SUP +'!$AB42,0))</f>
        <v>0</v>
      </c>
      <c r="CX321" s="858"/>
      <c r="CZ321" s="837" t="b">
        <f>IF('4 SUP +'!$A42="MOSTRADOR",IF('4 SUP +'!$C42="R60",'4 SUP +'!$AB42,0))</f>
        <v>0</v>
      </c>
      <c r="DB321" s="837">
        <f>IF(OR('4 SUP +'!$A42="PORTA PRIN",'4 SUP +'!$A42="PORTAPRIN",),'4 SUP +'!$AB42,0)</f>
        <v>0</v>
      </c>
      <c r="DD321" s="837">
        <f>IF(OR('4 SUP +'!$A42="PORTA BADE",'4 SUP +'!$A42="PORTABADE",),'4 SUP +'!$AB42,0)</f>
        <v>0</v>
      </c>
      <c r="DE321" s="837"/>
      <c r="DF321" s="837">
        <f>IF(OR('4 SUP +'!$A42="RETORNO IZQ",'4 SUP +'!$A42="RETORNO DER",),'4 SUP +'!$AB230,0)</f>
        <v>0</v>
      </c>
      <c r="DG321" s="837"/>
      <c r="DH321" s="837">
        <f>IF(OR('4 SUP +'!$A42="PITO Q",'4 SUP +'!$A42="PITO P",'4 SUP +'!$A42="DIAMETRO INTEGRADA",),'4 SUP +'!$AB42,0)</f>
        <v>0</v>
      </c>
      <c r="DJ321" s="858"/>
      <c r="DK321" s="837"/>
      <c r="DL321" s="837">
        <f>IF('4 SUP +'!$A42="SUPERFICIE OVAL",'4 SUP +'!$AB42,0)</f>
        <v>0</v>
      </c>
      <c r="DN321" s="838"/>
      <c r="DO321" s="838"/>
      <c r="DP321" s="838"/>
      <c r="DQ321" s="838"/>
      <c r="DR321" s="838"/>
      <c r="DS321" s="838"/>
      <c r="DT321" s="838"/>
      <c r="DU321" s="838"/>
      <c r="DV321" s="838"/>
      <c r="DW321" s="838"/>
      <c r="DX321" s="838"/>
      <c r="DY321" s="838"/>
      <c r="DZ321" s="838"/>
      <c r="EA321" s="838"/>
      <c r="EB321" s="838"/>
      <c r="EC321" s="838"/>
      <c r="ED321" s="838"/>
      <c r="EG321" s="682">
        <f>IF('4 SUP +'!A40="MICRO DER",85,IF('4 SUP +'!A40="MICRO IZQ",85,IF('4 SUP +'!A40="MICRO SEN",170,IF('4 SUP +'!A40="DIAMETRO",3.14*'4 SUP +'!C40/2,IF('4 SUP +'!A40="MOSTRADOR",136,IF('4 SUP +'!A40="PORTA",65,IF('4 SUP +'!A40="PITO Q",90,IF('4 SUP +'!A40="PITO P",90,'4 SUP +'!A40))))))))</f>
        <v>0</v>
      </c>
      <c r="EH321" s="682"/>
      <c r="EI321" s="682">
        <f>IF('4 SUP +'!A40="DIAMETRO",0,IF('4 SUP +'!C40="PRINCIPAL",160,IF('4 SUP +'!C40="BADE",190,IF('4 SUP +'!C40="RETORNO",100,IF('4 SUP +'!C40="R 60",100,IF('4 SUP +'!C40="R60",100,'4 SUP +'!C40))))))</f>
        <v>0</v>
      </c>
      <c r="EJ321" s="682"/>
      <c r="EK321" s="682">
        <f>IF('4 SUP +'!$F40='4 SUP +'!$AG$15,((EG321*2)+(EI321*2))*'4 SUP +'!AB40,0)</f>
        <v>0</v>
      </c>
      <c r="EL321" s="682"/>
      <c r="EM321" s="682">
        <f>IF('4 SUP +'!$F40='4 SUP +'!$AG$16,((EG321*2)+(EI321*2))*'4 SUP +'!AB40,0)</f>
        <v>0</v>
      </c>
      <c r="EO321" s="682">
        <f>IF('4 SUP +'!$F40='4 SUP +'!$AG$17,((EG321*2)+(EI321*2))*'4 SUP +'!AB40,0)</f>
        <v>0</v>
      </c>
      <c r="EP321" s="838"/>
      <c r="EQ321" s="682">
        <f>IF('4 SUP +'!$F40='4 SUP +'!$AG$18,((EG321*2)+(EI321*2))*'4 SUP +'!AB40,0)</f>
        <v>0</v>
      </c>
      <c r="ER321" s="838"/>
      <c r="ES321" s="858"/>
      <c r="ET321" s="858"/>
      <c r="EU321" s="858"/>
      <c r="EV321" s="858"/>
      <c r="EW321" s="838"/>
      <c r="EX321" s="838"/>
      <c r="EY321" s="838"/>
      <c r="EZ321" s="838"/>
      <c r="FA321" s="838"/>
      <c r="FB321" s="838"/>
      <c r="FC321" s="838"/>
      <c r="FD321" s="838"/>
      <c r="FE321" s="838"/>
      <c r="FF321" s="838"/>
      <c r="FG321" s="838"/>
      <c r="FH321" s="838"/>
      <c r="FI321" s="838"/>
      <c r="FJ321" s="838"/>
      <c r="FK321" s="838"/>
      <c r="FL321" s="838"/>
      <c r="FM321" s="838"/>
      <c r="FN321" s="838"/>
      <c r="FO321" s="838"/>
      <c r="FP321" s="838"/>
      <c r="GM321" s="858"/>
      <c r="GN321" s="838"/>
      <c r="GO321" s="858"/>
      <c r="GP321" s="858"/>
      <c r="GQ321" s="858"/>
      <c r="GR321" s="838"/>
      <c r="GS321" s="838"/>
      <c r="HF321" s="700">
        <v>69.5</v>
      </c>
      <c r="HH321" s="591">
        <v>69.5</v>
      </c>
    </row>
    <row r="322" spans="37:216" ht="26.25" x14ac:dyDescent="0.4">
      <c r="AK322" s="777" t="b">
        <f>IF('4 SUP +'!$A43&gt;10,IF('4 SUP +'!$A43&lt;31.1,IF('4 SUP +'!$C43&gt;10,IF('4 SUP +'!$C43&lt;57.6,'4 SUP +'!$AB43,0))))</f>
        <v>0</v>
      </c>
      <c r="AL322" s="777" t="b">
        <f>IF('4 SUP +'!$A43&gt;10,IF('4 SUP +'!$A43&lt;31.1,IF('4 SUP +'!$C43&gt;57.6,IF('4 SUP +'!$C43&lt;71.6,'4 SUP +'!$AB43,0))))</f>
        <v>0</v>
      </c>
      <c r="AM322" s="777" t="b">
        <f>IF('4 SUP +'!$A43&gt;10,IF('4 SUP +'!$A43&lt;31.1,IF('4 SUP +'!$C43&gt;71.5,IF('4 SUP +'!$C43&lt;85.6,'4 SUP +'!$AB43,0))))</f>
        <v>0</v>
      </c>
      <c r="AN322" s="777" t="b">
        <f>IF('4 SUP +'!$A43&gt;10,IF('4 SUP +'!$A43&lt;31.1,IF('4 SUP +'!$C43&gt;85.5,IF('4 SUP +'!$C43&lt;113.6,'4 SUP +'!$AB43,0))))</f>
        <v>0</v>
      </c>
      <c r="AO322" s="777" t="b">
        <f>IF('4 SUP +'!$A43&gt;10,IF('4 SUP +'!$A43&lt;31.1,IF('4 SUP +'!$C43&gt;113.5,IF('4 SUP +'!$C43&lt;141.6,'4 SUP +'!$AB43,0))))</f>
        <v>0</v>
      </c>
      <c r="AP322" s="777" t="b">
        <f>IF('4 SUP +'!$A43&gt;10,IF('4 SUP +'!$A43&lt;31.1,IF('4 SUP +'!$C43&gt;141.5,IF('4 SUP +'!$C43&lt;180.6,'4 SUP +'!$AB43,0))))</f>
        <v>0</v>
      </c>
      <c r="AQ322" s="777" t="b">
        <f>IF('4 SUP +'!$A43&gt;10,IF('4 SUP +'!$A43&lt;31.1,IF('4 SUP +'!$C43&gt;180.5,IF('4 SUP +'!$C43&lt;240.1,'4 SUP +'!$AB43,0))))</f>
        <v>0</v>
      </c>
      <c r="AS322" s="777" t="b">
        <f>IF('4 SUP +'!$A43&gt;31,IF('4 SUP +'!$A43&lt;45.5,IF('4 SUP +'!$C43&gt;10,IF('4 SUP +'!$C43&lt;57.6,'4 SUP +'!$AB43,0))))</f>
        <v>0</v>
      </c>
      <c r="AT322" s="777" t="b">
        <f>IF('4 SUP +'!$A43&gt;31,IF('4 SUP +'!$A43&lt;45.5,IF('4 SUP +'!$C43&gt;57.6,IF('4 SUP +'!$C43&lt;71.6,'4 SUP +'!$AB43,0))))</f>
        <v>0</v>
      </c>
      <c r="AU322" s="777" t="b">
        <f>IF('4 SUP +'!$A43&gt;31,IF('4 SUP +'!$A43&lt;45.5,IF('4 SUP +'!$C43&gt;71.5,IF('4 SUP +'!$C43&lt;85.6,'4 SUP +'!$AB43,0))))</f>
        <v>0</v>
      </c>
      <c r="AV322" s="777" t="b">
        <f>IF('4 SUP +'!$A43&gt;31,IF('4 SUP +'!$A43&lt;45.5,IF('4 SUP +'!$C43&gt;85.5,IF('4 SUP +'!$C43&lt;113.6,'4 SUP +'!$AB43,0))))</f>
        <v>0</v>
      </c>
      <c r="AW322" s="777" t="b">
        <f>IF('4 SUP +'!$A43&gt;31,IF('4 SUP +'!$A43&lt;45.5,IF('4 SUP +'!$C43&gt;113.5,IF('4 SUP +'!$C43&lt;141.6,'4 SUP +'!$AB43,0))))</f>
        <v>0</v>
      </c>
      <c r="AX322" s="777" t="b">
        <f>IF('4 SUP +'!$A43&gt;31,IF('4 SUP +'!$A43&lt;45.5,IF('4 SUP +'!$C43&gt;141.5,IF('4 SUP +'!$C43&lt;180.6,'4 SUP +'!$AB43,0))))</f>
        <v>0</v>
      </c>
      <c r="AY322" s="777" t="b">
        <f>IF('4 SUP +'!$A43&gt;31,IF('4 SUP +'!$A43&lt;45.5,IF('4 SUP +'!$C43&gt;180.5,IF('4 SUP +'!$C43&lt;240.1,'4 SUP +'!$AB43,0))))</f>
        <v>0</v>
      </c>
      <c r="BA322" s="777" t="b">
        <f>IF('4 SUP +'!$A43&gt;45.4,IF('4 SUP +'!$A43&lt;61.6,IF('4 SUP +'!$C43&gt;10,IF('4 SUP +'!$C43&lt;61.5,'4 SUP +'!$AB43,0))))</f>
        <v>0</v>
      </c>
      <c r="BB322" s="777" t="b">
        <f>IF('4 SUP +'!$A43&gt;45.4,IF('4 SUP +'!$A43&lt;61.6,IF('4 SUP +'!$C43&gt;61.1,IF('4 SUP +'!$C43&lt;71.6,'4 SUP +'!$AB43,0))))</f>
        <v>0</v>
      </c>
      <c r="BC322" s="777" t="b">
        <f>IF('4 SUP +'!$A43&gt;45.4,IF('4 SUP +'!$A43&lt;61.6,IF('4 SUP +'!$C43&gt;71.5,IF('4 SUP +'!$C43&lt;85.6,'4 SUP +'!$AB43,0))))</f>
        <v>0</v>
      </c>
      <c r="BD322" s="777" t="b">
        <f>IF('4 SUP +'!$A43&gt;45.4,IF('4 SUP +'!$A43&lt;61.6,IF('4 SUP +'!$C43&gt;85.5,IF('4 SUP +'!$C43&lt;113.6,'4 SUP +'!$AB43,0))))</f>
        <v>0</v>
      </c>
      <c r="BE322" s="777" t="b">
        <f>IF('4 SUP +'!$A43&gt;45.4,IF('4 SUP +'!$A43&lt;61.6,IF('4 SUP +'!$C43&gt;113.5,IF('4 SUP +'!$C43&lt;121.6,'4 SUP +'!$AB43,0))))</f>
        <v>0</v>
      </c>
      <c r="BF322" s="777" t="b">
        <f>IF('4 SUP +'!$A43&gt;45.4,IF('4 SUP +'!$A43&lt;61.6,IF('4 SUP +'!$C43&gt;121.5,IF('4 SUP +'!$C43&lt;127.6,'4 SUP +'!$AB43,0))))</f>
        <v>0</v>
      </c>
      <c r="BG322" s="777" t="b">
        <f>IF('4 SUP +'!$A43&gt;45.4,IF('4 SUP +'!$A43&lt;61.6,IF('4 SUP +'!$C43&gt;127.5,IF('4 SUP +'!$C43&lt;135.1,'4 SUP +'!$AB43,0))))</f>
        <v>0</v>
      </c>
      <c r="BH322" s="777" t="b">
        <f>IF('4 SUP +'!$A43&gt;45.4,IF('4 SUP +'!$A43&lt;61.6,IF('4 SUP +'!$C43&gt;135,IF('4 SUP +'!$C43&lt;141.6,'4 SUP +'!$AB43,0))))</f>
        <v>0</v>
      </c>
      <c r="BI322" s="777" t="b">
        <f>IF('4 SUP +'!$A43&gt;45.4,IF('4 SUP +'!$A43&lt;61.6,IF('4 SUP +'!$C43&gt;141.5,IF('4 SUP +'!$C43&lt;149.1,'4 SUP +'!$AB43,0))))</f>
        <v>0</v>
      </c>
      <c r="BJ322" s="777" t="b">
        <f>IF('4 SUP +'!$A43&gt;45.4,IF('4 SUP +'!$A43&lt;61.6,IF('4 SUP +'!$C43&gt;149,IF('4 SUP +'!$C43&lt;155.6,'4 SUP +'!$AB43,0))))</f>
        <v>0</v>
      </c>
      <c r="BK322" s="777" t="b">
        <f>IF('4 SUP +'!$A43&gt;45.4,IF('4 SUP +'!$A43&lt;61.6,IF('4 SUP +'!$C43&gt;155.5,IF('4 SUP +'!$C43&lt;163.1,'4 SUP +'!$AB43,0))))</f>
        <v>0</v>
      </c>
      <c r="BL322" s="777" t="b">
        <f>IF('4 SUP +'!$A43&gt;45.4,IF('4 SUP +'!$A43&lt;61.6,IF('4 SUP +'!$C43&gt;163,IF('4 SUP +'!$C43&lt;180.6,'4 SUP +'!$AB43,0))))</f>
        <v>0</v>
      </c>
      <c r="BM322" s="777" t="b">
        <f>IF('4 SUP +'!$A43&gt;45.4,IF('4 SUP +'!$A43&lt;61.6,IF('4 SUP +'!$C43&gt;180.5,IF('4 SUP +'!$C43&lt;240.1,'4 SUP +'!$AB43,0))))</f>
        <v>0</v>
      </c>
      <c r="BO322" s="869" t="s">
        <v>556</v>
      </c>
      <c r="BQ322" s="870">
        <f>+$CV$338+$DL$338</f>
        <v>0</v>
      </c>
      <c r="BS322" s="869"/>
      <c r="BT322" s="870">
        <f>+$CV$339+$DL$339</f>
        <v>0</v>
      </c>
      <c r="BV322" s="777" t="b">
        <f>IF('4 SUP +'!$A43&gt;61.5,IF('4 SUP +'!$A43&lt;71.6,IF('4 SUP +'!$C43&gt;10,IF('4 SUP +'!$C43&lt;57.6,'4 SUP +'!$AB43,0))))</f>
        <v>0</v>
      </c>
      <c r="BW322" s="777" t="b">
        <f>IF('4 SUP +'!$A43&gt;61.5,IF('4 SUP +'!$A43&lt;71.6,IF('4 SUP +'!$C43&gt;57.6,IF('4 SUP +'!$C43&lt;71.6,'4 SUP +'!$AB43,0))))</f>
        <v>0</v>
      </c>
      <c r="BX322" s="777" t="b">
        <f>IF('4 SUP +'!$A43&gt;61.5,IF('4 SUP +'!$A43&lt;71.6,IF('4 SUP +'!$C43&gt;71.5,IF('4 SUP +'!$C43&lt;85.6,'4 SUP +'!$AB43,0))))</f>
        <v>0</v>
      </c>
      <c r="BY322" s="777" t="b">
        <f>IF('4 SUP +'!$A43&gt;61.5,IF('4 SUP +'!$A43&lt;71.6,IF('4 SUP +'!$C43&gt;85.5,IF('4 SUP +'!$C43&lt;113.6,'4 SUP +'!$AB43,0))))</f>
        <v>0</v>
      </c>
      <c r="BZ322" s="777" t="b">
        <f>IF('4 SUP +'!$A43&gt;61.5,IF('4 SUP +'!$A43&lt;71.6,IF('4 SUP +'!$C43&gt;113.5,IF('4 SUP +'!$C43&lt;141.6,'4 SUP +'!$AB43,0))))</f>
        <v>0</v>
      </c>
      <c r="CA322" s="777" t="b">
        <f>IF('4 SUP +'!$A43&gt;61.5,IF('4 SUP +'!$A43&lt;71.6,IF('4 SUP +'!$C43&gt;141.5,IF('4 SUP +'!$C43&lt;149.1,'4 SUP +'!$AB43,0))))</f>
        <v>0</v>
      </c>
      <c r="CB322" s="777" t="b">
        <f>IF('4 SUP +'!$A43&gt;61.5,IF('4 SUP +'!$A43&lt;71.6,IF('4 SUP +'!$C43&gt;149,IF('4 SUP +'!$C43&lt;163.1,'4 SUP +'!$AB43,0))))</f>
        <v>0</v>
      </c>
      <c r="CC322" s="777" t="b">
        <f>IF('4 SUP +'!$A43&gt;61.5,IF('4 SUP +'!$A43&lt;71.6,IF('4 SUP +'!$C43&gt;163,IF('4 SUP +'!$C43&lt;180.6,'4 SUP +'!$AB43,0))))</f>
        <v>0</v>
      </c>
      <c r="CD322" s="777" t="b">
        <f>IF('4 SUP +'!$A43&gt;61.5,IF('4 SUP +'!$A43&lt;71.6,IF('4 SUP +'!$C43&gt;180.5,IF('4 SUP +'!$C43&lt;240.1,'4 SUP +'!$AB43,0))))</f>
        <v>0</v>
      </c>
      <c r="CF322" s="777" t="b">
        <f>IF('4 SUP +'!$A43&gt;71.5,IF('4 SUP +'!$A43&lt;120.6,IF('4 SUP +'!$C43&gt;10,IF('4 SUP +'!$C43&lt;57.6,'4 SUP +'!$AB43,0))))</f>
        <v>0</v>
      </c>
      <c r="CG322" s="777" t="b">
        <f>IF('4 SUP +'!$A43&gt;71.5,IF('4 SUP +'!$A43&lt;120.6,IF('4 SUP +'!$C43&gt;57.6,IF('4 SUP +'!$C43&lt;71.6,'4 SUP +'!$AB43,0))))</f>
        <v>0</v>
      </c>
      <c r="CH322" s="777" t="b">
        <f>IF('4 SUP +'!$A43&gt;71.5,IF('4 SUP +'!$A43&lt;120.6,IF('4 SUP +'!$C43&gt;71.5,IF('4 SUP +'!$C43&lt;85.6,'4 SUP +'!$AB43,0))))</f>
        <v>0</v>
      </c>
      <c r="CI322" s="777" t="b">
        <f>IF('4 SUP +'!$A43&gt;71.5,IF('4 SUP +'!$A43&lt;120.6,IF('4 SUP +'!$C43&gt;85.5,IF('4 SUP +'!$C43&lt;113.6,'4 SUP +'!$AB43,0))))</f>
        <v>0</v>
      </c>
      <c r="CJ322" s="777" t="b">
        <f>IF('4 SUP +'!$A43&gt;71.5,IF('4 SUP +'!$A43&lt;120.6,IF('4 SUP +'!$C43&gt;113.5,IF('4 SUP +'!$C43&lt;141.6,'4 SUP +'!$AB43,0))))</f>
        <v>0</v>
      </c>
      <c r="CK322" s="777" t="b">
        <f>IF('4 SUP +'!$A43&gt;71.5,IF('4 SUP +'!$A43&lt;120.6,IF('4 SUP +'!$C43&gt;141.5,IF('4 SUP +'!$C43&lt;180.6,'4 SUP +'!$AB43,0))))</f>
        <v>0</v>
      </c>
      <c r="CL322" s="777" t="b">
        <f>IF('4 SUP +'!$A43&gt;71.5,IF('4 SUP +'!$A43&lt;120.6,IF('4 SUP +'!$C43&gt;180.5,IF('4 SUP +'!$C43&lt;240.1,'4 SUP +'!$AB43,0))))</f>
        <v>0</v>
      </c>
      <c r="CN322" s="777">
        <f>IF('4 SUP +'!$C43&lt;150,IF(OR('4 SUP +'!$A43="MICRODER",'4 SUP +'!$A43="MICRO DER",),'4 SUP +'!$AB43,0))</f>
        <v>0</v>
      </c>
      <c r="CO322" s="777" t="b">
        <f>IF('4 SUP +'!$C43&gt;149.5,IF(OR('4 SUP +'!$A43="MICRODER",'4 SUP +'!$A43="MICRO DER",),'4 SUP +'!$AB43,0))</f>
        <v>0</v>
      </c>
      <c r="CP322" s="847"/>
      <c r="CQ322" s="777">
        <f>IF('4 SUP +'!$C43&lt;150,IF(OR('4 SUP +'!$A43="MICROIZQ",'4 SUP +'!$A43="MICRO IZQ",),'4 SUP +'!$AB43,0))</f>
        <v>0</v>
      </c>
      <c r="CR322" s="777" t="b">
        <f>IF('4 SUP +'!$C43&gt;149.5,IF(OR('4 SUP +'!$A43="MICROIZQ",'4 SUP +'!$A43="MICRO IZQ",),'4 SUP +'!$AB43,0))</f>
        <v>0</v>
      </c>
      <c r="CT322" s="837">
        <f>IF(OR('4 SUP +'!$A43="MICRO SEN",'4 SUP +'!$A43="MICROSEN",),'4 SUP +'!$AB43,0)</f>
        <v>0</v>
      </c>
      <c r="CV322" s="837" t="b">
        <f>IF('4 SUP +'!$A43="DIAMETRO",IF('4 SUP +'!$C43&lt;121.1,'4 SUP +'!$AB43,0))</f>
        <v>0</v>
      </c>
      <c r="CX322" s="858"/>
      <c r="CZ322" s="837" t="b">
        <f>IF('4 SUP +'!$A43="MOSTRADOR",IF('4 SUP +'!$C43="R60",'4 SUP +'!$AB43,0))</f>
        <v>0</v>
      </c>
      <c r="DB322" s="837">
        <f>IF(OR('4 SUP +'!$A43="PORTA PRIN",'4 SUP +'!$A43="PORTAPRIN",),'4 SUP +'!$AB43,0)</f>
        <v>0</v>
      </c>
      <c r="DD322" s="837">
        <f>IF(OR('4 SUP +'!$A43="PORTA BADE",'4 SUP +'!$A43="PORTABADE",),'4 SUP +'!$AB43,0)</f>
        <v>0</v>
      </c>
      <c r="DE322" s="837"/>
      <c r="DF322" s="837">
        <f>IF(OR('4 SUP +'!$A43="RETORNO IZQ",'4 SUP +'!$A43="RETORNO DER",),'4 SUP +'!$AB231,0)</f>
        <v>0</v>
      </c>
      <c r="DG322" s="837"/>
      <c r="DH322" s="837">
        <f>IF(OR('4 SUP +'!$A43="PITO Q",'4 SUP +'!$A43="PITO P",'4 SUP +'!$A43="DIAMETRO INTEGRADA",),'4 SUP +'!$AB43,0)</f>
        <v>0</v>
      </c>
      <c r="DJ322" s="858"/>
      <c r="DK322" s="837"/>
      <c r="DL322" s="837">
        <f>IF('4 SUP +'!$A43="SUPERFICIE OVAL",'4 SUP +'!$AB43,0)</f>
        <v>0</v>
      </c>
      <c r="DO322" s="838"/>
      <c r="DP322" s="838"/>
      <c r="DQ322" s="838"/>
      <c r="DR322" s="838"/>
      <c r="DS322" s="838"/>
      <c r="DT322" s="838"/>
      <c r="DU322" s="838"/>
      <c r="DV322" s="838"/>
      <c r="DW322" s="838"/>
      <c r="DX322" s="838"/>
      <c r="DY322" s="838"/>
      <c r="DZ322" s="838"/>
      <c r="EA322" s="838"/>
      <c r="EB322" s="838"/>
      <c r="EC322" s="838"/>
      <c r="ED322" s="838"/>
      <c r="EG322" s="682">
        <f>IF('4 SUP +'!A41="MICRO DER",85,IF('4 SUP +'!A41="MICRO IZQ",85,IF('4 SUP +'!A41="MICRO SEN",170,IF('4 SUP +'!A41="DIAMETRO",3.14*'4 SUP +'!C41/2,IF('4 SUP +'!A41="MOSTRADOR",136,IF('4 SUP +'!A41="PORTA",65,IF('4 SUP +'!A41="PITO Q",90,IF('4 SUP +'!A41="PITO P",90,'4 SUP +'!A41))))))))</f>
        <v>0</v>
      </c>
      <c r="EH322" s="682"/>
      <c r="EI322" s="682">
        <f>IF('4 SUP +'!A41="DIAMETRO",0,IF('4 SUP +'!C41="PRINCIPAL",160,IF('4 SUP +'!C41="BADE",190,IF('4 SUP +'!C41="RETORNO",100,IF('4 SUP +'!C41="R 60",100,IF('4 SUP +'!C41="R60",100,'4 SUP +'!C41))))))</f>
        <v>0</v>
      </c>
      <c r="EJ322" s="682"/>
      <c r="EK322" s="682">
        <f>IF('4 SUP +'!$F41='4 SUP +'!$AG$15,((EG322*2)+(EI322*2))*'4 SUP +'!AB41,0)</f>
        <v>0</v>
      </c>
      <c r="EL322" s="682"/>
      <c r="EM322" s="682">
        <f>IF('4 SUP +'!$F41='4 SUP +'!$AG$16,((EG322*2)+(EI322*2))*'4 SUP +'!AB41,0)</f>
        <v>0</v>
      </c>
      <c r="EO322" s="682">
        <f>IF('4 SUP +'!$F41='4 SUP +'!$AG$17,((EG322*2)+(EI322*2))*'4 SUP +'!AB41,0)</f>
        <v>0</v>
      </c>
      <c r="EP322" s="838"/>
      <c r="EQ322" s="682">
        <f>IF('4 SUP +'!$F41='4 SUP +'!$AG$18,((EG322*2)+(EI322*2))*'4 SUP +'!AB41,0)</f>
        <v>0</v>
      </c>
      <c r="ER322" s="838"/>
      <c r="ES322" s="858"/>
      <c r="ET322" s="858"/>
      <c r="EU322" s="858"/>
      <c r="EV322" s="858"/>
      <c r="EW322" s="838"/>
      <c r="EX322" s="838"/>
      <c r="EY322" s="838"/>
      <c r="EZ322" s="838"/>
      <c r="FA322" s="838"/>
      <c r="FB322" s="838"/>
      <c r="FC322" s="838"/>
      <c r="FD322" s="838"/>
      <c r="FE322" s="838"/>
      <c r="FF322" s="838"/>
      <c r="FG322" s="838"/>
      <c r="FH322" s="838"/>
      <c r="FI322" s="838"/>
      <c r="FJ322" s="838"/>
      <c r="FK322" s="838"/>
      <c r="FL322" s="838"/>
      <c r="FM322" s="838"/>
      <c r="FN322" s="838"/>
      <c r="FO322" s="838"/>
      <c r="FP322" s="838"/>
      <c r="GM322" s="858"/>
      <c r="GN322" s="838"/>
      <c r="GO322" s="858"/>
      <c r="GP322" s="858"/>
      <c r="GQ322" s="858"/>
      <c r="GR322" s="838"/>
      <c r="GS322" s="838"/>
      <c r="HF322" s="700">
        <v>70</v>
      </c>
      <c r="HH322" s="591">
        <v>70</v>
      </c>
    </row>
    <row r="323" spans="37:216" ht="26.25" x14ac:dyDescent="0.4">
      <c r="AK323" s="777" t="b">
        <f>IF('4 SUP +'!$A44&gt;10,IF('4 SUP +'!$A44&lt;31.1,IF('4 SUP +'!$C44&gt;10,IF('4 SUP +'!$C44&lt;57.6,'4 SUP +'!$AB44,0))))</f>
        <v>0</v>
      </c>
      <c r="AL323" s="777" t="b">
        <f>IF('4 SUP +'!$A44&gt;10,IF('4 SUP +'!$A44&lt;31.1,IF('4 SUP +'!$C44&gt;57.6,IF('4 SUP +'!$C44&lt;71.6,'4 SUP +'!$AB44,0))))</f>
        <v>0</v>
      </c>
      <c r="AM323" s="777" t="b">
        <f>IF('4 SUP +'!$A44&gt;10,IF('4 SUP +'!$A44&lt;31.1,IF('4 SUP +'!$C44&gt;71.5,IF('4 SUP +'!$C44&lt;85.6,'4 SUP +'!$AB44,0))))</f>
        <v>0</v>
      </c>
      <c r="AN323" s="777" t="b">
        <f>IF('4 SUP +'!$A44&gt;10,IF('4 SUP +'!$A44&lt;31.1,IF('4 SUP +'!$C44&gt;85.5,IF('4 SUP +'!$C44&lt;113.6,'4 SUP +'!$AB44,0))))</f>
        <v>0</v>
      </c>
      <c r="AO323" s="777" t="b">
        <f>IF('4 SUP +'!$A44&gt;10,IF('4 SUP +'!$A44&lt;31.1,IF('4 SUP +'!$C44&gt;113.5,IF('4 SUP +'!$C44&lt;141.6,'4 SUP +'!$AB44,0))))</f>
        <v>0</v>
      </c>
      <c r="AP323" s="777" t="b">
        <f>IF('4 SUP +'!$A44&gt;10,IF('4 SUP +'!$A44&lt;31.1,IF('4 SUP +'!$C44&gt;141.5,IF('4 SUP +'!$C44&lt;180.6,'4 SUP +'!$AB44,0))))</f>
        <v>0</v>
      </c>
      <c r="AQ323" s="777" t="b">
        <f>IF('4 SUP +'!$A44&gt;10,IF('4 SUP +'!$A44&lt;31.1,IF('4 SUP +'!$C44&gt;180.5,IF('4 SUP +'!$C44&lt;240.1,'4 SUP +'!$AB44,0))))</f>
        <v>0</v>
      </c>
      <c r="AS323" s="777" t="b">
        <f>IF('4 SUP +'!$A44&gt;31,IF('4 SUP +'!$A44&lt;45.5,IF('4 SUP +'!$C44&gt;10,IF('4 SUP +'!$C44&lt;57.6,'4 SUP +'!$AB44,0))))</f>
        <v>0</v>
      </c>
      <c r="AT323" s="777" t="b">
        <f>IF('4 SUP +'!$A44&gt;31,IF('4 SUP +'!$A44&lt;45.5,IF('4 SUP +'!$C44&gt;57.6,IF('4 SUP +'!$C44&lt;71.6,'4 SUP +'!$AB44,0))))</f>
        <v>0</v>
      </c>
      <c r="AU323" s="777" t="b">
        <f>IF('4 SUP +'!$A44&gt;31,IF('4 SUP +'!$A44&lt;45.5,IF('4 SUP +'!$C44&gt;71.5,IF('4 SUP +'!$C44&lt;85.6,'4 SUP +'!$AB44,0))))</f>
        <v>0</v>
      </c>
      <c r="AV323" s="777" t="b">
        <f>IF('4 SUP +'!$A44&gt;31,IF('4 SUP +'!$A44&lt;45.5,IF('4 SUP +'!$C44&gt;85.5,IF('4 SUP +'!$C44&lt;113.6,'4 SUP +'!$AB44,0))))</f>
        <v>0</v>
      </c>
      <c r="AW323" s="777" t="b">
        <f>IF('4 SUP +'!$A44&gt;31,IF('4 SUP +'!$A44&lt;45.5,IF('4 SUP +'!$C44&gt;113.5,IF('4 SUP +'!$C44&lt;141.6,'4 SUP +'!$AB44,0))))</f>
        <v>0</v>
      </c>
      <c r="AX323" s="777" t="b">
        <f>IF('4 SUP +'!$A44&gt;31,IF('4 SUP +'!$A44&lt;45.5,IF('4 SUP +'!$C44&gt;141.5,IF('4 SUP +'!$C44&lt;180.6,'4 SUP +'!$AB44,0))))</f>
        <v>0</v>
      </c>
      <c r="AY323" s="777" t="b">
        <f>IF('4 SUP +'!$A44&gt;31,IF('4 SUP +'!$A44&lt;45.5,IF('4 SUP +'!$C44&gt;180.5,IF('4 SUP +'!$C44&lt;240.1,'4 SUP +'!$AB44,0))))</f>
        <v>0</v>
      </c>
      <c r="BA323" s="777" t="b">
        <f>IF('4 SUP +'!$A44&gt;45.4,IF('4 SUP +'!$A44&lt;61.6,IF('4 SUP +'!$C44&gt;10,IF('4 SUP +'!$C44&lt;61.5,'4 SUP +'!$AB44,0))))</f>
        <v>0</v>
      </c>
      <c r="BB323" s="777" t="b">
        <f>IF('4 SUP +'!$A44&gt;45.4,IF('4 SUP +'!$A44&lt;61.6,IF('4 SUP +'!$C44&gt;61.1,IF('4 SUP +'!$C44&lt;71.6,'4 SUP +'!$AB44,0))))</f>
        <v>0</v>
      </c>
      <c r="BC323" s="777" t="b">
        <f>IF('4 SUP +'!$A44&gt;45.4,IF('4 SUP +'!$A44&lt;61.6,IF('4 SUP +'!$C44&gt;71.5,IF('4 SUP +'!$C44&lt;85.6,'4 SUP +'!$AB44,0))))</f>
        <v>0</v>
      </c>
      <c r="BD323" s="777" t="b">
        <f>IF('4 SUP +'!$A44&gt;45.4,IF('4 SUP +'!$A44&lt;61.6,IF('4 SUP +'!$C44&gt;85.5,IF('4 SUP +'!$C44&lt;113.6,'4 SUP +'!$AB44,0))))</f>
        <v>0</v>
      </c>
      <c r="BE323" s="777" t="b">
        <f>IF('4 SUP +'!$A44&gt;45.4,IF('4 SUP +'!$A44&lt;61.6,IF('4 SUP +'!$C44&gt;113.5,IF('4 SUP +'!$C44&lt;121.6,'4 SUP +'!$AB44,0))))</f>
        <v>0</v>
      </c>
      <c r="BF323" s="777" t="b">
        <f>IF('4 SUP +'!$A44&gt;45.4,IF('4 SUP +'!$A44&lt;61.6,IF('4 SUP +'!$C44&gt;121.5,IF('4 SUP +'!$C44&lt;127.6,'4 SUP +'!$AB44,0))))</f>
        <v>0</v>
      </c>
      <c r="BG323" s="777" t="b">
        <f>IF('4 SUP +'!$A44&gt;45.4,IF('4 SUP +'!$A44&lt;61.6,IF('4 SUP +'!$C44&gt;127.5,IF('4 SUP +'!$C44&lt;135.1,'4 SUP +'!$AB44,0))))</f>
        <v>0</v>
      </c>
      <c r="BH323" s="777" t="b">
        <f>IF('4 SUP +'!$A44&gt;45.4,IF('4 SUP +'!$A44&lt;61.6,IF('4 SUP +'!$C44&gt;135,IF('4 SUP +'!$C44&lt;141.6,'4 SUP +'!$AB44,0))))</f>
        <v>0</v>
      </c>
      <c r="BI323" s="777" t="b">
        <f>IF('4 SUP +'!$A44&gt;45.4,IF('4 SUP +'!$A44&lt;61.6,IF('4 SUP +'!$C44&gt;141.5,IF('4 SUP +'!$C44&lt;149.1,'4 SUP +'!$AB44,0))))</f>
        <v>0</v>
      </c>
      <c r="BJ323" s="777" t="b">
        <f>IF('4 SUP +'!$A44&gt;45.4,IF('4 SUP +'!$A44&lt;61.6,IF('4 SUP +'!$C44&gt;149,IF('4 SUP +'!$C44&lt;155.6,'4 SUP +'!$AB44,0))))</f>
        <v>0</v>
      </c>
      <c r="BK323" s="777" t="b">
        <f>IF('4 SUP +'!$A44&gt;45.4,IF('4 SUP +'!$A44&lt;61.6,IF('4 SUP +'!$C44&gt;155.5,IF('4 SUP +'!$C44&lt;163.1,'4 SUP +'!$AB44,0))))</f>
        <v>0</v>
      </c>
      <c r="BL323" s="777" t="b">
        <f>IF('4 SUP +'!$A44&gt;45.4,IF('4 SUP +'!$A44&lt;61.6,IF('4 SUP +'!$C44&gt;163,IF('4 SUP +'!$C44&lt;180.6,'4 SUP +'!$AB44,0))))</f>
        <v>0</v>
      </c>
      <c r="BM323" s="777" t="b">
        <f>IF('4 SUP +'!$A44&gt;45.4,IF('4 SUP +'!$A44&lt;61.6,IF('4 SUP +'!$C44&gt;180.5,IF('4 SUP +'!$C44&lt;240.1,'4 SUP +'!$AB44,0))))</f>
        <v>0</v>
      </c>
      <c r="BO323" s="869" t="s">
        <v>557</v>
      </c>
      <c r="BQ323" s="870"/>
      <c r="BS323" s="869"/>
      <c r="BT323" s="870"/>
      <c r="BV323" s="777" t="b">
        <f>IF('4 SUP +'!$A44&gt;61.5,IF('4 SUP +'!$A44&lt;71.6,IF('4 SUP +'!$C44&gt;10,IF('4 SUP +'!$C44&lt;57.6,'4 SUP +'!$AB44,0))))</f>
        <v>0</v>
      </c>
      <c r="BW323" s="777" t="b">
        <f>IF('4 SUP +'!$A44&gt;61.5,IF('4 SUP +'!$A44&lt;71.6,IF('4 SUP +'!$C44&gt;57.6,IF('4 SUP +'!$C44&lt;71.6,'4 SUP +'!$AB44,0))))</f>
        <v>0</v>
      </c>
      <c r="BX323" s="777" t="b">
        <f>IF('4 SUP +'!$A44&gt;61.5,IF('4 SUP +'!$A44&lt;71.6,IF('4 SUP +'!$C44&gt;71.5,IF('4 SUP +'!$C44&lt;85.6,'4 SUP +'!$AB44,0))))</f>
        <v>0</v>
      </c>
      <c r="BY323" s="777" t="b">
        <f>IF('4 SUP +'!$A44&gt;61.5,IF('4 SUP +'!$A44&lt;71.6,IF('4 SUP +'!$C44&gt;85.5,IF('4 SUP +'!$C44&lt;113.6,'4 SUP +'!$AB44,0))))</f>
        <v>0</v>
      </c>
      <c r="BZ323" s="777" t="b">
        <f>IF('4 SUP +'!$A44&gt;61.5,IF('4 SUP +'!$A44&lt;71.6,IF('4 SUP +'!$C44&gt;113.5,IF('4 SUP +'!$C44&lt;141.6,'4 SUP +'!$AB44,0))))</f>
        <v>0</v>
      </c>
      <c r="CA323" s="777" t="b">
        <f>IF('4 SUP +'!$A44&gt;61.5,IF('4 SUP +'!$A44&lt;71.6,IF('4 SUP +'!$C44&gt;141.5,IF('4 SUP +'!$C44&lt;149.1,'4 SUP +'!$AB44,0))))</f>
        <v>0</v>
      </c>
      <c r="CB323" s="777" t="b">
        <f>IF('4 SUP +'!$A44&gt;61.5,IF('4 SUP +'!$A44&lt;71.6,IF('4 SUP +'!$C44&gt;149,IF('4 SUP +'!$C44&lt;163.1,'4 SUP +'!$AB44,0))))</f>
        <v>0</v>
      </c>
      <c r="CC323" s="777" t="b">
        <f>IF('4 SUP +'!$A44&gt;61.5,IF('4 SUP +'!$A44&lt;71.6,IF('4 SUP +'!$C44&gt;163,IF('4 SUP +'!$C44&lt;180.6,'4 SUP +'!$AB44,0))))</f>
        <v>0</v>
      </c>
      <c r="CD323" s="777" t="b">
        <f>IF('4 SUP +'!$A44&gt;61.5,IF('4 SUP +'!$A44&lt;71.6,IF('4 SUP +'!$C44&gt;180.5,IF('4 SUP +'!$C44&lt;240.1,'4 SUP +'!$AB44,0))))</f>
        <v>0</v>
      </c>
      <c r="CF323" s="777" t="b">
        <f>IF('4 SUP +'!$A44&gt;71.5,IF('4 SUP +'!$A44&lt;120.6,IF('4 SUP +'!$C44&gt;10,IF('4 SUP +'!$C44&lt;57.6,'4 SUP +'!$AB44,0))))</f>
        <v>0</v>
      </c>
      <c r="CG323" s="777" t="b">
        <f>IF('4 SUP +'!$A44&gt;71.5,IF('4 SUP +'!$A44&lt;120.6,IF('4 SUP +'!$C44&gt;57.6,IF('4 SUP +'!$C44&lt;71.6,'4 SUP +'!$AB44,0))))</f>
        <v>0</v>
      </c>
      <c r="CH323" s="777" t="b">
        <f>IF('4 SUP +'!$A44&gt;71.5,IF('4 SUP +'!$A44&lt;120.6,IF('4 SUP +'!$C44&gt;71.5,IF('4 SUP +'!$C44&lt;85.6,'4 SUP +'!$AB44,0))))</f>
        <v>0</v>
      </c>
      <c r="CI323" s="777" t="b">
        <f>IF('4 SUP +'!$A44&gt;71.5,IF('4 SUP +'!$A44&lt;120.6,IF('4 SUP +'!$C44&gt;85.5,IF('4 SUP +'!$C44&lt;113.6,'4 SUP +'!$AB44,0))))</f>
        <v>0</v>
      </c>
      <c r="CJ323" s="777" t="b">
        <f>IF('4 SUP +'!$A44&gt;71.5,IF('4 SUP +'!$A44&lt;120.6,IF('4 SUP +'!$C44&gt;113.5,IF('4 SUP +'!$C44&lt;141.6,'4 SUP +'!$AB44,0))))</f>
        <v>0</v>
      </c>
      <c r="CK323" s="777" t="b">
        <f>IF('4 SUP +'!$A44&gt;71.5,IF('4 SUP +'!$A44&lt;120.6,IF('4 SUP +'!$C44&gt;141.5,IF('4 SUP +'!$C44&lt;180.6,'4 SUP +'!$AB44,0))))</f>
        <v>0</v>
      </c>
      <c r="CL323" s="777" t="b">
        <f>IF('4 SUP +'!$A44&gt;71.5,IF('4 SUP +'!$A44&lt;120.6,IF('4 SUP +'!$C44&gt;180.5,IF('4 SUP +'!$C44&lt;240.1,'4 SUP +'!$AB44,0))))</f>
        <v>0</v>
      </c>
      <c r="CN323" s="777">
        <f>IF('4 SUP +'!$C44&lt;150,IF(OR('4 SUP +'!$A44="MICRODER",'4 SUP +'!$A44="MICRO DER",),'4 SUP +'!$AB44,0))</f>
        <v>0</v>
      </c>
      <c r="CO323" s="777" t="b">
        <f>IF('4 SUP +'!$C44&gt;149.5,IF(OR('4 SUP +'!$A44="MICRODER",'4 SUP +'!$A44="MICRO DER",),'4 SUP +'!$AB44,0))</f>
        <v>0</v>
      </c>
      <c r="CP323" s="847"/>
      <c r="CQ323" s="777">
        <f>IF('4 SUP +'!$C44&lt;150,IF(OR('4 SUP +'!$A44="MICROIZQ",'4 SUP +'!$A44="MICRO IZQ",),'4 SUP +'!$AB44,0))</f>
        <v>0</v>
      </c>
      <c r="CR323" s="777" t="b">
        <f>IF('4 SUP +'!$C44&gt;149.5,IF(OR('4 SUP +'!$A44="MICROIZQ",'4 SUP +'!$A44="MICRO IZQ",),'4 SUP +'!$AB44,0))</f>
        <v>0</v>
      </c>
      <c r="CT323" s="837">
        <f>IF(OR('4 SUP +'!$A44="MICRO SEN",'4 SUP +'!$A44="MICROSEN",),'4 SUP +'!$AB44,0)</f>
        <v>0</v>
      </c>
      <c r="CV323" s="837" t="b">
        <f>IF('4 SUP +'!$A44="DIAMETRO",IF('4 SUP +'!$C44&lt;121.1,'4 SUP +'!$AB44,0))</f>
        <v>0</v>
      </c>
      <c r="CX323" s="858"/>
      <c r="CZ323" s="837" t="b">
        <f>IF('4 SUP +'!$A44="MOSTRADOR",IF('4 SUP +'!$C44="R60",'4 SUP +'!$AB44,0))</f>
        <v>0</v>
      </c>
      <c r="DB323" s="837">
        <f>IF(OR('4 SUP +'!$A44="PORTA PRIN",'4 SUP +'!$A44="PORTAPRIN",),'4 SUP +'!$AB44,0)</f>
        <v>0</v>
      </c>
      <c r="DD323" s="837">
        <f>IF(OR('4 SUP +'!$A44="PORTA BADE",'4 SUP +'!$A44="PORTABADE",),'4 SUP +'!$AB44,0)</f>
        <v>0</v>
      </c>
      <c r="DE323" s="837"/>
      <c r="DF323" s="837">
        <f>IF(OR('4 SUP +'!$A44="RETORNO IZQ",'4 SUP +'!$A44="RETORNO DER",),'4 SUP +'!$AB232,0)</f>
        <v>0</v>
      </c>
      <c r="DG323" s="837"/>
      <c r="DH323" s="837">
        <f>IF(OR('4 SUP +'!$A44="PITO Q",'4 SUP +'!$A44="PITO P",'4 SUP +'!$A44="DIAMETRO INTEGRADA",),'4 SUP +'!$AB44,0)</f>
        <v>0</v>
      </c>
      <c r="DJ323" s="858"/>
      <c r="DK323" s="837"/>
      <c r="DL323" s="837">
        <f>IF('4 SUP +'!$A44="SUPERFICIE OVAL",'4 SUP +'!$AB44,0)</f>
        <v>0</v>
      </c>
      <c r="DO323" s="838"/>
      <c r="DP323" s="838"/>
      <c r="DQ323" s="838"/>
      <c r="DR323" s="838"/>
      <c r="DS323" s="838"/>
      <c r="DT323" s="838"/>
      <c r="DU323" s="838"/>
      <c r="DV323" s="838"/>
      <c r="DW323" s="838"/>
      <c r="DX323" s="838"/>
      <c r="DY323" s="838"/>
      <c r="DZ323" s="838"/>
      <c r="EA323" s="838"/>
      <c r="EB323" s="838"/>
      <c r="EC323" s="838"/>
      <c r="ED323" s="838"/>
      <c r="EG323" s="682">
        <f>IF('4 SUP +'!A42="MICRO DER",85,IF('4 SUP +'!A42="MICRO IZQ",85,IF('4 SUP +'!A42="MICRO SEN",170,IF('4 SUP +'!A42="DIAMETRO",3.14*'4 SUP +'!C42/2,IF('4 SUP +'!A42="MOSTRADOR",136,IF('4 SUP +'!A42="PORTA",65,IF('4 SUP +'!A42="PITO Q",90,IF('4 SUP +'!A42="PITO P",90,'4 SUP +'!A42))))))))</f>
        <v>0</v>
      </c>
      <c r="EH323" s="682"/>
      <c r="EI323" s="682">
        <f>IF('4 SUP +'!A42="DIAMETRO",0,IF('4 SUP +'!C42="PRINCIPAL",160,IF('4 SUP +'!C42="BADE",190,IF('4 SUP +'!C42="RETORNO",100,IF('4 SUP +'!C42="R 60",100,IF('4 SUP +'!C42="R60",100,'4 SUP +'!C42))))))</f>
        <v>0</v>
      </c>
      <c r="EJ323" s="682"/>
      <c r="EK323" s="682">
        <f>IF('4 SUP +'!$F42='4 SUP +'!$AG$15,((EG323*2)+(EI323*2))*'4 SUP +'!AB42,0)</f>
        <v>0</v>
      </c>
      <c r="EL323" s="682"/>
      <c r="EM323" s="682">
        <f>IF('4 SUP +'!$F42='4 SUP +'!$AG$16,((EG323*2)+(EI323*2))*'4 SUP +'!AB42,0)</f>
        <v>0</v>
      </c>
      <c r="EO323" s="682">
        <f>IF('4 SUP +'!$F42='4 SUP +'!$AG$17,((EG323*2)+(EI323*2))*'4 SUP +'!AB42,0)</f>
        <v>0</v>
      </c>
      <c r="EP323" s="838"/>
      <c r="EQ323" s="682">
        <f>IF('4 SUP +'!$F42='4 SUP +'!$AG$18,((EG323*2)+(EI323*2))*'4 SUP +'!AB42,0)</f>
        <v>0</v>
      </c>
      <c r="ER323" s="838"/>
      <c r="ES323" s="858"/>
      <c r="ET323" s="858"/>
      <c r="EU323" s="858"/>
      <c r="EV323" s="858"/>
      <c r="EW323" s="838"/>
      <c r="EX323" s="838"/>
      <c r="EY323" s="838"/>
      <c r="EZ323" s="838"/>
      <c r="FA323" s="838"/>
      <c r="FB323" s="838"/>
      <c r="FC323" s="838"/>
      <c r="FD323" s="838"/>
      <c r="FE323" s="838"/>
      <c r="FF323" s="838"/>
      <c r="FG323" s="838"/>
      <c r="FH323" s="838"/>
      <c r="FI323" s="838"/>
      <c r="FJ323" s="838"/>
      <c r="FK323" s="838"/>
      <c r="FL323" s="838"/>
      <c r="FM323" s="838"/>
      <c r="FN323" s="838"/>
      <c r="FO323" s="838"/>
      <c r="FP323" s="838"/>
      <c r="GM323" s="858"/>
      <c r="GN323" s="838"/>
      <c r="GO323" s="858"/>
      <c r="GP323" s="858"/>
      <c r="GQ323" s="858"/>
      <c r="GR323" s="838"/>
      <c r="GS323" s="838"/>
      <c r="HF323" s="700">
        <v>70.5</v>
      </c>
      <c r="HH323" s="591">
        <v>70.5</v>
      </c>
    </row>
    <row r="324" spans="37:216" ht="26.25" x14ac:dyDescent="0.4">
      <c r="AK324" s="777" t="b">
        <f>IF('4 SUP +'!$A45&gt;10,IF('4 SUP +'!$A45&lt;31.1,IF('4 SUP +'!$C45&gt;10,IF('4 SUP +'!$C45&lt;57.6,'4 SUP +'!$AB45,0))))</f>
        <v>0</v>
      </c>
      <c r="AL324" s="777" t="b">
        <f>IF('4 SUP +'!$A45&gt;10,IF('4 SUP +'!$A45&lt;31.1,IF('4 SUP +'!$C45&gt;57.6,IF('4 SUP +'!$C45&lt;71.6,'4 SUP +'!$AB45,0))))</f>
        <v>0</v>
      </c>
      <c r="AM324" s="777" t="b">
        <f>IF('4 SUP +'!$A45&gt;10,IF('4 SUP +'!$A45&lt;31.1,IF('4 SUP +'!$C45&gt;71.5,IF('4 SUP +'!$C45&lt;85.6,'4 SUP +'!$AB45,0))))</f>
        <v>0</v>
      </c>
      <c r="AN324" s="777" t="b">
        <f>IF('4 SUP +'!$A45&gt;10,IF('4 SUP +'!$A45&lt;31.1,IF('4 SUP +'!$C45&gt;85.5,IF('4 SUP +'!$C45&lt;113.6,'4 SUP +'!$AB45,0))))</f>
        <v>0</v>
      </c>
      <c r="AO324" s="777" t="b">
        <f>IF('4 SUP +'!$A45&gt;10,IF('4 SUP +'!$A45&lt;31.1,IF('4 SUP +'!$C45&gt;113.5,IF('4 SUP +'!$C45&lt;141.6,'4 SUP +'!$AB45,0))))</f>
        <v>0</v>
      </c>
      <c r="AP324" s="777" t="b">
        <f>IF('4 SUP +'!$A45&gt;10,IF('4 SUP +'!$A45&lt;31.1,IF('4 SUP +'!$C45&gt;141.5,IF('4 SUP +'!$C45&lt;180.6,'4 SUP +'!$AB45,0))))</f>
        <v>0</v>
      </c>
      <c r="AQ324" s="777" t="b">
        <f>IF('4 SUP +'!$A45&gt;10,IF('4 SUP +'!$A45&lt;31.1,IF('4 SUP +'!$C45&gt;180.5,IF('4 SUP +'!$C45&lt;240.1,'4 SUP +'!$AB45,0))))</f>
        <v>0</v>
      </c>
      <c r="AS324" s="777" t="b">
        <f>IF('4 SUP +'!$A45&gt;31,IF('4 SUP +'!$A45&lt;45.5,IF('4 SUP +'!$C45&gt;10,IF('4 SUP +'!$C45&lt;57.6,'4 SUP +'!$AB45,0))))</f>
        <v>0</v>
      </c>
      <c r="AT324" s="777" t="b">
        <f>IF('4 SUP +'!$A45&gt;31,IF('4 SUP +'!$A45&lt;45.5,IF('4 SUP +'!$C45&gt;57.6,IF('4 SUP +'!$C45&lt;71.6,'4 SUP +'!$AB45,0))))</f>
        <v>0</v>
      </c>
      <c r="AU324" s="777" t="b">
        <f>IF('4 SUP +'!$A45&gt;31,IF('4 SUP +'!$A45&lt;45.5,IF('4 SUP +'!$C45&gt;71.5,IF('4 SUP +'!$C45&lt;85.6,'4 SUP +'!$AB45,0))))</f>
        <v>0</v>
      </c>
      <c r="AV324" s="777" t="b">
        <f>IF('4 SUP +'!$A45&gt;31,IF('4 SUP +'!$A45&lt;45.5,IF('4 SUP +'!$C45&gt;85.5,IF('4 SUP +'!$C45&lt;113.6,'4 SUP +'!$AB45,0))))</f>
        <v>0</v>
      </c>
      <c r="AW324" s="777" t="b">
        <f>IF('4 SUP +'!$A45&gt;31,IF('4 SUP +'!$A45&lt;45.5,IF('4 SUP +'!$C45&gt;113.5,IF('4 SUP +'!$C45&lt;141.6,'4 SUP +'!$AB45,0))))</f>
        <v>0</v>
      </c>
      <c r="AX324" s="777" t="b">
        <f>IF('4 SUP +'!$A45&gt;31,IF('4 SUP +'!$A45&lt;45.5,IF('4 SUP +'!$C45&gt;141.5,IF('4 SUP +'!$C45&lt;180.6,'4 SUP +'!$AB45,0))))</f>
        <v>0</v>
      </c>
      <c r="AY324" s="777" t="b">
        <f>IF('4 SUP +'!$A45&gt;31,IF('4 SUP +'!$A45&lt;45.5,IF('4 SUP +'!$C45&gt;180.5,IF('4 SUP +'!$C45&lt;240.1,'4 SUP +'!$AB45,0))))</f>
        <v>0</v>
      </c>
      <c r="BA324" s="777" t="b">
        <f>IF('4 SUP +'!$A45&gt;45.4,IF('4 SUP +'!$A45&lt;61.6,IF('4 SUP +'!$C45&gt;10,IF('4 SUP +'!$C45&lt;61.5,'4 SUP +'!$AB45,0))))</f>
        <v>0</v>
      </c>
      <c r="BB324" s="777" t="b">
        <f>IF('4 SUP +'!$A45&gt;45.4,IF('4 SUP +'!$A45&lt;61.6,IF('4 SUP +'!$C45&gt;61.1,IF('4 SUP +'!$C45&lt;71.6,'4 SUP +'!$AB45,0))))</f>
        <v>0</v>
      </c>
      <c r="BC324" s="777" t="b">
        <f>IF('4 SUP +'!$A45&gt;45.4,IF('4 SUP +'!$A45&lt;61.6,IF('4 SUP +'!$C45&gt;71.5,IF('4 SUP +'!$C45&lt;85.6,'4 SUP +'!$AB45,0))))</f>
        <v>0</v>
      </c>
      <c r="BD324" s="777" t="b">
        <f>IF('4 SUP +'!$A45&gt;45.4,IF('4 SUP +'!$A45&lt;61.6,IF('4 SUP +'!$C45&gt;85.5,IF('4 SUP +'!$C45&lt;113.6,'4 SUP +'!$AB45,0))))</f>
        <v>0</v>
      </c>
      <c r="BE324" s="777" t="b">
        <f>IF('4 SUP +'!$A45&gt;45.4,IF('4 SUP +'!$A45&lt;61.6,IF('4 SUP +'!$C45&gt;113.5,IF('4 SUP +'!$C45&lt;121.6,'4 SUP +'!$AB45,0))))</f>
        <v>0</v>
      </c>
      <c r="BF324" s="777" t="b">
        <f>IF('4 SUP +'!$A45&gt;45.4,IF('4 SUP +'!$A45&lt;61.6,IF('4 SUP +'!$C45&gt;121.5,IF('4 SUP +'!$C45&lt;127.6,'4 SUP +'!$AB45,0))))</f>
        <v>0</v>
      </c>
      <c r="BG324" s="777" t="b">
        <f>IF('4 SUP +'!$A45&gt;45.4,IF('4 SUP +'!$A45&lt;61.6,IF('4 SUP +'!$C45&gt;127.5,IF('4 SUP +'!$C45&lt;135.1,'4 SUP +'!$AB45,0))))</f>
        <v>0</v>
      </c>
      <c r="BH324" s="777" t="b">
        <f>IF('4 SUP +'!$A45&gt;45.4,IF('4 SUP +'!$A45&lt;61.6,IF('4 SUP +'!$C45&gt;135,IF('4 SUP +'!$C45&lt;141.6,'4 SUP +'!$AB45,0))))</f>
        <v>0</v>
      </c>
      <c r="BI324" s="777" t="b">
        <f>IF('4 SUP +'!$A45&gt;45.4,IF('4 SUP +'!$A45&lt;61.6,IF('4 SUP +'!$C45&gt;141.5,IF('4 SUP +'!$C45&lt;149.1,'4 SUP +'!$AB45,0))))</f>
        <v>0</v>
      </c>
      <c r="BJ324" s="777" t="b">
        <f>IF('4 SUP +'!$A45&gt;45.4,IF('4 SUP +'!$A45&lt;61.6,IF('4 SUP +'!$C45&gt;149,IF('4 SUP +'!$C45&lt;155.6,'4 SUP +'!$AB45,0))))</f>
        <v>0</v>
      </c>
      <c r="BK324" s="777" t="b">
        <f>IF('4 SUP +'!$A45&gt;45.4,IF('4 SUP +'!$A45&lt;61.6,IF('4 SUP +'!$C45&gt;155.5,IF('4 SUP +'!$C45&lt;163.1,'4 SUP +'!$AB45,0))))</f>
        <v>0</v>
      </c>
      <c r="BL324" s="777" t="b">
        <f>IF('4 SUP +'!$A45&gt;45.4,IF('4 SUP +'!$A45&lt;61.6,IF('4 SUP +'!$C45&gt;163,IF('4 SUP +'!$C45&lt;180.6,'4 SUP +'!$AB45,0))))</f>
        <v>0</v>
      </c>
      <c r="BM324" s="777" t="b">
        <f>IF('4 SUP +'!$A45&gt;45.4,IF('4 SUP +'!$A45&lt;61.6,IF('4 SUP +'!$C45&gt;180.5,IF('4 SUP +'!$C45&lt;240.1,'4 SUP +'!$AB45,0))))</f>
        <v>0</v>
      </c>
      <c r="BO324" s="869" t="s">
        <v>558</v>
      </c>
      <c r="BQ324" s="870">
        <f>+$CZ$338</f>
        <v>0</v>
      </c>
      <c r="BS324" s="869"/>
      <c r="BT324" s="870">
        <f>+$CZ$339</f>
        <v>0</v>
      </c>
      <c r="BV324" s="777" t="b">
        <f>IF('4 SUP +'!$A45&gt;61.5,IF('4 SUP +'!$A45&lt;71.6,IF('4 SUP +'!$C45&gt;10,IF('4 SUP +'!$C45&lt;57.6,'4 SUP +'!$AB45,0))))</f>
        <v>0</v>
      </c>
      <c r="BW324" s="777" t="b">
        <f>IF('4 SUP +'!$A45&gt;61.5,IF('4 SUP +'!$A45&lt;71.6,IF('4 SUP +'!$C45&gt;57.6,IF('4 SUP +'!$C45&lt;71.6,'4 SUP +'!$AB45,0))))</f>
        <v>0</v>
      </c>
      <c r="BX324" s="777" t="b">
        <f>IF('4 SUP +'!$A45&gt;61.5,IF('4 SUP +'!$A45&lt;71.6,IF('4 SUP +'!$C45&gt;71.5,IF('4 SUP +'!$C45&lt;85.6,'4 SUP +'!$AB45,0))))</f>
        <v>0</v>
      </c>
      <c r="BY324" s="777" t="b">
        <f>IF('4 SUP +'!$A45&gt;61.5,IF('4 SUP +'!$A45&lt;71.6,IF('4 SUP +'!$C45&gt;85.5,IF('4 SUP +'!$C45&lt;113.6,'4 SUP +'!$AB45,0))))</f>
        <v>0</v>
      </c>
      <c r="BZ324" s="777" t="b">
        <f>IF('4 SUP +'!$A45&gt;61.5,IF('4 SUP +'!$A45&lt;71.6,IF('4 SUP +'!$C45&gt;113.5,IF('4 SUP +'!$C45&lt;141.6,'4 SUP +'!$AB45,0))))</f>
        <v>0</v>
      </c>
      <c r="CA324" s="777" t="b">
        <f>IF('4 SUP +'!$A45&gt;61.5,IF('4 SUP +'!$A45&lt;71.6,IF('4 SUP +'!$C45&gt;141.5,IF('4 SUP +'!$C45&lt;149.1,'4 SUP +'!$AB45,0))))</f>
        <v>0</v>
      </c>
      <c r="CB324" s="777" t="b">
        <f>IF('4 SUP +'!$A45&gt;61.5,IF('4 SUP +'!$A45&lt;71.6,IF('4 SUP +'!$C45&gt;149,IF('4 SUP +'!$C45&lt;163.1,'4 SUP +'!$AB45,0))))</f>
        <v>0</v>
      </c>
      <c r="CC324" s="777" t="b">
        <f>IF('4 SUP +'!$A45&gt;61.5,IF('4 SUP +'!$A45&lt;71.6,IF('4 SUP +'!$C45&gt;163,IF('4 SUP +'!$C45&lt;180.6,'4 SUP +'!$AB45,0))))</f>
        <v>0</v>
      </c>
      <c r="CD324" s="777" t="b">
        <f>IF('4 SUP +'!$A45&gt;61.5,IF('4 SUP +'!$A45&lt;71.6,IF('4 SUP +'!$C45&gt;180.5,IF('4 SUP +'!$C45&lt;240.1,'4 SUP +'!$AB45,0))))</f>
        <v>0</v>
      </c>
      <c r="CF324" s="777" t="b">
        <f>IF('4 SUP +'!$A45&gt;71.5,IF('4 SUP +'!$A45&lt;120.6,IF('4 SUP +'!$C45&gt;10,IF('4 SUP +'!$C45&lt;57.6,'4 SUP +'!$AB45,0))))</f>
        <v>0</v>
      </c>
      <c r="CG324" s="777" t="b">
        <f>IF('4 SUP +'!$A45&gt;71.5,IF('4 SUP +'!$A45&lt;120.6,IF('4 SUP +'!$C45&gt;57.6,IF('4 SUP +'!$C45&lt;71.6,'4 SUP +'!$AB45,0))))</f>
        <v>0</v>
      </c>
      <c r="CH324" s="777" t="b">
        <f>IF('4 SUP +'!$A45&gt;71.5,IF('4 SUP +'!$A45&lt;120.6,IF('4 SUP +'!$C45&gt;71.5,IF('4 SUP +'!$C45&lt;85.6,'4 SUP +'!$AB45,0))))</f>
        <v>0</v>
      </c>
      <c r="CI324" s="777" t="b">
        <f>IF('4 SUP +'!$A45&gt;71.5,IF('4 SUP +'!$A45&lt;120.6,IF('4 SUP +'!$C45&gt;85.5,IF('4 SUP +'!$C45&lt;113.6,'4 SUP +'!$AB45,0))))</f>
        <v>0</v>
      </c>
      <c r="CJ324" s="777" t="b">
        <f>IF('4 SUP +'!$A45&gt;71.5,IF('4 SUP +'!$A45&lt;120.6,IF('4 SUP +'!$C45&gt;113.5,IF('4 SUP +'!$C45&lt;141.6,'4 SUP +'!$AB45,0))))</f>
        <v>0</v>
      </c>
      <c r="CK324" s="777" t="b">
        <f>IF('4 SUP +'!$A45&gt;71.5,IF('4 SUP +'!$A45&lt;120.6,IF('4 SUP +'!$C45&gt;141.5,IF('4 SUP +'!$C45&lt;180.6,'4 SUP +'!$AB45,0))))</f>
        <v>0</v>
      </c>
      <c r="CL324" s="777" t="b">
        <f>IF('4 SUP +'!$A45&gt;71.5,IF('4 SUP +'!$A45&lt;120.6,IF('4 SUP +'!$C45&gt;180.5,IF('4 SUP +'!$C45&lt;240.1,'4 SUP +'!$AB45,0))))</f>
        <v>0</v>
      </c>
      <c r="CN324" s="777">
        <f>IF('4 SUP +'!$C45&lt;150,IF(OR('4 SUP +'!$A45="MICRODER",'4 SUP +'!$A45="MICRO DER",),'4 SUP +'!$AB45,0))</f>
        <v>0</v>
      </c>
      <c r="CO324" s="777" t="b">
        <f>IF('4 SUP +'!$C45&gt;149.5,IF(OR('4 SUP +'!$A45="MICRODER",'4 SUP +'!$A45="MICRO DER",),'4 SUP +'!$AB45,0))</f>
        <v>0</v>
      </c>
      <c r="CP324" s="847"/>
      <c r="CQ324" s="777">
        <f>IF('4 SUP +'!$C45&lt;150,IF(OR('4 SUP +'!$A45="MICROIZQ",'4 SUP +'!$A45="MICRO IZQ",),'4 SUP +'!$AB45,0))</f>
        <v>0</v>
      </c>
      <c r="CR324" s="777" t="b">
        <f>IF('4 SUP +'!$C45&gt;149.5,IF(OR('4 SUP +'!$A45="MICROIZQ",'4 SUP +'!$A45="MICRO IZQ",),'4 SUP +'!$AB45,0))</f>
        <v>0</v>
      </c>
      <c r="CT324" s="837">
        <f>IF(OR('4 SUP +'!$A45="MICRO SEN",'4 SUP +'!$A45="MICROSEN",),'4 SUP +'!$AB45,0)</f>
        <v>0</v>
      </c>
      <c r="CV324" s="837" t="b">
        <f>IF('4 SUP +'!$A45="DIAMETRO",IF('4 SUP +'!$C45&lt;121.1,'4 SUP +'!$AB45,0))</f>
        <v>0</v>
      </c>
      <c r="CX324" s="858"/>
      <c r="CZ324" s="837" t="b">
        <f>IF('4 SUP +'!$A45="MOSTRADOR",IF('4 SUP +'!$C45="R60",'4 SUP +'!$AB45,0))</f>
        <v>0</v>
      </c>
      <c r="DB324" s="837">
        <f>IF(OR('4 SUP +'!$A45="PORTA PRIN",'4 SUP +'!$A45="PORTAPRIN",),'4 SUP +'!$AB45,0)</f>
        <v>0</v>
      </c>
      <c r="DD324" s="837">
        <f>IF(OR('4 SUP +'!$A45="PORTA BADE",'4 SUP +'!$A45="PORTABADE",),'4 SUP +'!$AB45,0)</f>
        <v>0</v>
      </c>
      <c r="DE324" s="837"/>
      <c r="DF324" s="837">
        <f>IF(OR('4 SUP +'!$A45="RETORNO IZQ",'4 SUP +'!$A45="RETORNO DER",),'4 SUP +'!$AB233,0)</f>
        <v>0</v>
      </c>
      <c r="DG324" s="837"/>
      <c r="DH324" s="837">
        <f>IF(OR('4 SUP +'!$A45="PITO Q",'4 SUP +'!$A45="PITO P",'4 SUP +'!$A45="DIAMETRO INTEGRADA",),'4 SUP +'!$AB45,0)</f>
        <v>0</v>
      </c>
      <c r="DJ324" s="858"/>
      <c r="DK324" s="837"/>
      <c r="DL324" s="837">
        <f>IF('4 SUP +'!$A45="SUPERFICIE OVAL",'4 SUP +'!$AB45,0)</f>
        <v>0</v>
      </c>
      <c r="DO324" s="838"/>
      <c r="DP324" s="838"/>
      <c r="DQ324" s="838"/>
      <c r="DR324" s="838"/>
      <c r="DS324" s="838"/>
      <c r="DT324" s="838"/>
      <c r="DU324" s="838"/>
      <c r="DV324" s="838"/>
      <c r="DW324" s="838"/>
      <c r="DX324" s="838"/>
      <c r="DY324" s="838"/>
      <c r="DZ324" s="838"/>
      <c r="EA324" s="838"/>
      <c r="EB324" s="838"/>
      <c r="EC324" s="838"/>
      <c r="ED324" s="838"/>
      <c r="EG324" s="682">
        <f>IF('4 SUP +'!A43="MICRO DER",85,IF('4 SUP +'!A43="MICRO IZQ",85,IF('4 SUP +'!A43="MICRO SEN",170,IF('4 SUP +'!A43="DIAMETRO",3.14*'4 SUP +'!C43/2,IF('4 SUP +'!A43="MOSTRADOR",136,IF('4 SUP +'!A43="PORTA",65,IF('4 SUP +'!A43="PITO Q",90,IF('4 SUP +'!A43="PITO P",90,'4 SUP +'!A43))))))))</f>
        <v>0</v>
      </c>
      <c r="EH324" s="682"/>
      <c r="EI324" s="682">
        <f>IF('4 SUP +'!A43="DIAMETRO",0,IF('4 SUP +'!C43="PRINCIPAL",160,IF('4 SUP +'!C43="BADE",190,IF('4 SUP +'!C43="RETORNO",100,IF('4 SUP +'!C43="R 60",100,IF('4 SUP +'!C43="R60",100,'4 SUP +'!C43))))))</f>
        <v>0</v>
      </c>
      <c r="EJ324" s="682"/>
      <c r="EK324" s="682">
        <f>IF('4 SUP +'!$F43='4 SUP +'!$AG$15,((EG324*2)+(EI324*2))*'4 SUP +'!AB43,0)</f>
        <v>0</v>
      </c>
      <c r="EL324" s="682"/>
      <c r="EM324" s="682">
        <f>IF('4 SUP +'!$F43='4 SUP +'!$AG$16,((EG324*2)+(EI324*2))*'4 SUP +'!AB43,0)</f>
        <v>0</v>
      </c>
      <c r="EO324" s="682">
        <f>IF('4 SUP +'!$F43='4 SUP +'!$AG$17,((EG324*2)+(EI324*2))*'4 SUP +'!AB43,0)</f>
        <v>0</v>
      </c>
      <c r="EP324" s="838"/>
      <c r="EQ324" s="682">
        <f>IF('4 SUP +'!$F43='4 SUP +'!$AG$18,((EG324*2)+(EI324*2))*'4 SUP +'!AB43,0)</f>
        <v>0</v>
      </c>
      <c r="ER324" s="838"/>
      <c r="ES324" s="858"/>
      <c r="ET324" s="858"/>
      <c r="EU324" s="858"/>
      <c r="EV324" s="858"/>
      <c r="EW324" s="838"/>
      <c r="EX324" s="838"/>
      <c r="EY324" s="838"/>
      <c r="EZ324" s="838"/>
      <c r="FA324" s="838"/>
      <c r="FB324" s="838"/>
      <c r="FC324" s="838"/>
      <c r="FD324" s="838"/>
      <c r="FE324" s="838"/>
      <c r="FF324" s="838"/>
      <c r="FG324" s="838"/>
      <c r="FH324" s="838"/>
      <c r="FI324" s="838"/>
      <c r="FJ324" s="838"/>
      <c r="FK324" s="838"/>
      <c r="FL324" s="838"/>
      <c r="FM324" s="838"/>
      <c r="FN324" s="838"/>
      <c r="FO324" s="838"/>
      <c r="FP324" s="838"/>
      <c r="GM324" s="858"/>
      <c r="GN324" s="838"/>
      <c r="GO324" s="858"/>
      <c r="GP324" s="858"/>
      <c r="GQ324" s="858"/>
      <c r="GR324" s="838"/>
      <c r="GS324" s="838"/>
      <c r="HF324" s="700">
        <v>71</v>
      </c>
      <c r="HH324" s="591">
        <v>71</v>
      </c>
    </row>
    <row r="325" spans="37:216" ht="26.25" x14ac:dyDescent="0.4">
      <c r="AK325" s="777" t="b">
        <f>IF('4 SUP +'!$A46&gt;10,IF('4 SUP +'!$A46&lt;31.1,IF('4 SUP +'!$C46&gt;10,IF('4 SUP +'!$C46&lt;57.6,'4 SUP +'!$AB46,0))))</f>
        <v>0</v>
      </c>
      <c r="AL325" s="777" t="b">
        <f>IF('4 SUP +'!$A46&gt;10,IF('4 SUP +'!$A46&lt;31.1,IF('4 SUP +'!$C46&gt;57.6,IF('4 SUP +'!$C46&lt;71.6,'4 SUP +'!$AB46,0))))</f>
        <v>0</v>
      </c>
      <c r="AM325" s="777" t="b">
        <f>IF('4 SUP +'!$A46&gt;10,IF('4 SUP +'!$A46&lt;31.1,IF('4 SUP +'!$C46&gt;71.5,IF('4 SUP +'!$C46&lt;85.6,'4 SUP +'!$AB46,0))))</f>
        <v>0</v>
      </c>
      <c r="AN325" s="777" t="b">
        <f>IF('4 SUP +'!$A46&gt;10,IF('4 SUP +'!$A46&lt;31.1,IF('4 SUP +'!$C46&gt;85.5,IF('4 SUP +'!$C46&lt;113.6,'4 SUP +'!$AB46,0))))</f>
        <v>0</v>
      </c>
      <c r="AO325" s="777" t="b">
        <f>IF('4 SUP +'!$A46&gt;10,IF('4 SUP +'!$A46&lt;31.1,IF('4 SUP +'!$C46&gt;113.5,IF('4 SUP +'!$C46&lt;141.6,'4 SUP +'!$AB46,0))))</f>
        <v>0</v>
      </c>
      <c r="AP325" s="777" t="b">
        <f>IF('4 SUP +'!$A46&gt;10,IF('4 SUP +'!$A46&lt;31.1,IF('4 SUP +'!$C46&gt;141.5,IF('4 SUP +'!$C46&lt;180.6,'4 SUP +'!$AB46,0))))</f>
        <v>0</v>
      </c>
      <c r="AQ325" s="777" t="b">
        <f>IF('4 SUP +'!$A46&gt;10,IF('4 SUP +'!$A46&lt;31.1,IF('4 SUP +'!$C46&gt;180.5,IF('4 SUP +'!$C46&lt;240.1,'4 SUP +'!$AB46,0))))</f>
        <v>0</v>
      </c>
      <c r="AS325" s="777" t="b">
        <f>IF('4 SUP +'!$A46&gt;31,IF('4 SUP +'!$A46&lt;45.5,IF('4 SUP +'!$C46&gt;10,IF('4 SUP +'!$C46&lt;57.6,'4 SUP +'!$AB46,0))))</f>
        <v>0</v>
      </c>
      <c r="AT325" s="777" t="b">
        <f>IF('4 SUP +'!$A46&gt;31,IF('4 SUP +'!$A46&lt;45.5,IF('4 SUP +'!$C46&gt;57.6,IF('4 SUP +'!$C46&lt;71.6,'4 SUP +'!$AB46,0))))</f>
        <v>0</v>
      </c>
      <c r="AU325" s="777" t="b">
        <f>IF('4 SUP +'!$A46&gt;31,IF('4 SUP +'!$A46&lt;45.5,IF('4 SUP +'!$C46&gt;71.5,IF('4 SUP +'!$C46&lt;85.6,'4 SUP +'!$AB46,0))))</f>
        <v>0</v>
      </c>
      <c r="AV325" s="777" t="b">
        <f>IF('4 SUP +'!$A46&gt;31,IF('4 SUP +'!$A46&lt;45.5,IF('4 SUP +'!$C46&gt;85.5,IF('4 SUP +'!$C46&lt;113.6,'4 SUP +'!$AB46,0))))</f>
        <v>0</v>
      </c>
      <c r="AW325" s="777" t="b">
        <f>IF('4 SUP +'!$A46&gt;31,IF('4 SUP +'!$A46&lt;45.5,IF('4 SUP +'!$C46&gt;113.5,IF('4 SUP +'!$C46&lt;141.6,'4 SUP +'!$AB46,0))))</f>
        <v>0</v>
      </c>
      <c r="AX325" s="777" t="b">
        <f>IF('4 SUP +'!$A46&gt;31,IF('4 SUP +'!$A46&lt;45.5,IF('4 SUP +'!$C46&gt;141.5,IF('4 SUP +'!$C46&lt;180.6,'4 SUP +'!$AB46,0))))</f>
        <v>0</v>
      </c>
      <c r="AY325" s="777" t="b">
        <f>IF('4 SUP +'!$A46&gt;31,IF('4 SUP +'!$A46&lt;45.5,IF('4 SUP +'!$C46&gt;180.5,IF('4 SUP +'!$C46&lt;240.1,'4 SUP +'!$AB46,0))))</f>
        <v>0</v>
      </c>
      <c r="BA325" s="777" t="b">
        <f>IF('4 SUP +'!$A46&gt;45.4,IF('4 SUP +'!$A46&lt;61.6,IF('4 SUP +'!$C46&gt;10,IF('4 SUP +'!$C46&lt;61.5,'4 SUP +'!$AB46,0))))</f>
        <v>0</v>
      </c>
      <c r="BB325" s="777" t="b">
        <f>IF('4 SUP +'!$A46&gt;45.4,IF('4 SUP +'!$A46&lt;61.6,IF('4 SUP +'!$C46&gt;61.1,IF('4 SUP +'!$C46&lt;71.6,'4 SUP +'!$AB46,0))))</f>
        <v>0</v>
      </c>
      <c r="BC325" s="777" t="b">
        <f>IF('4 SUP +'!$A46&gt;45.4,IF('4 SUP +'!$A46&lt;61.6,IF('4 SUP +'!$C46&gt;71.5,IF('4 SUP +'!$C46&lt;85.6,'4 SUP +'!$AB46,0))))</f>
        <v>0</v>
      </c>
      <c r="BD325" s="777" t="b">
        <f>IF('4 SUP +'!$A46&gt;45.4,IF('4 SUP +'!$A46&lt;61.6,IF('4 SUP +'!$C46&gt;85.5,IF('4 SUP +'!$C46&lt;113.6,'4 SUP +'!$AB46,0))))</f>
        <v>0</v>
      </c>
      <c r="BE325" s="777" t="b">
        <f>IF('4 SUP +'!$A46&gt;45.4,IF('4 SUP +'!$A46&lt;61.6,IF('4 SUP +'!$C46&gt;113.5,IF('4 SUP +'!$C46&lt;121.6,'4 SUP +'!$AB46,0))))</f>
        <v>0</v>
      </c>
      <c r="BF325" s="777" t="b">
        <f>IF('4 SUP +'!$A46&gt;45.4,IF('4 SUP +'!$A46&lt;61.6,IF('4 SUP +'!$C46&gt;121.5,IF('4 SUP +'!$C46&lt;127.6,'4 SUP +'!$AB46,0))))</f>
        <v>0</v>
      </c>
      <c r="BG325" s="777" t="b">
        <f>IF('4 SUP +'!$A46&gt;45.4,IF('4 SUP +'!$A46&lt;61.6,IF('4 SUP +'!$C46&gt;127.5,IF('4 SUP +'!$C46&lt;135.1,'4 SUP +'!$AB46,0))))</f>
        <v>0</v>
      </c>
      <c r="BH325" s="777" t="b">
        <f>IF('4 SUP +'!$A46&gt;45.4,IF('4 SUP +'!$A46&lt;61.6,IF('4 SUP +'!$C46&gt;135,IF('4 SUP +'!$C46&lt;141.6,'4 SUP +'!$AB46,0))))</f>
        <v>0</v>
      </c>
      <c r="BI325" s="777" t="b">
        <f>IF('4 SUP +'!$A46&gt;45.4,IF('4 SUP +'!$A46&lt;61.6,IF('4 SUP +'!$C46&gt;141.5,IF('4 SUP +'!$C46&lt;149.1,'4 SUP +'!$AB46,0))))</f>
        <v>0</v>
      </c>
      <c r="BJ325" s="777" t="b">
        <f>IF('4 SUP +'!$A46&gt;45.4,IF('4 SUP +'!$A46&lt;61.6,IF('4 SUP +'!$C46&gt;149,IF('4 SUP +'!$C46&lt;155.6,'4 SUP +'!$AB46,0))))</f>
        <v>0</v>
      </c>
      <c r="BK325" s="777" t="b">
        <f>IF('4 SUP +'!$A46&gt;45.4,IF('4 SUP +'!$A46&lt;61.6,IF('4 SUP +'!$C46&gt;155.5,IF('4 SUP +'!$C46&lt;163.1,'4 SUP +'!$AB46,0))))</f>
        <v>0</v>
      </c>
      <c r="BL325" s="777" t="b">
        <f>IF('4 SUP +'!$A46&gt;45.4,IF('4 SUP +'!$A46&lt;61.6,IF('4 SUP +'!$C46&gt;163,IF('4 SUP +'!$C46&lt;180.6,'4 SUP +'!$AB46,0))))</f>
        <v>0</v>
      </c>
      <c r="BM325" s="777" t="b">
        <f>IF('4 SUP +'!$A46&gt;45.4,IF('4 SUP +'!$A46&lt;61.6,IF('4 SUP +'!$C46&gt;180.5,IF('4 SUP +'!$C46&lt;240.1,'4 SUP +'!$AB46,0))))</f>
        <v>0</v>
      </c>
      <c r="BO325" s="869" t="s">
        <v>559</v>
      </c>
      <c r="BQ325" s="870">
        <f>+$DH$338</f>
        <v>0</v>
      </c>
      <c r="BS325" s="869"/>
      <c r="BT325" s="870">
        <f>+$DH$339</f>
        <v>0</v>
      </c>
      <c r="BV325" s="777" t="b">
        <f>IF('4 SUP +'!$A46&gt;61.5,IF('4 SUP +'!$A46&lt;71.6,IF('4 SUP +'!$C46&gt;10,IF('4 SUP +'!$C46&lt;57.6,'4 SUP +'!$AB46,0))))</f>
        <v>0</v>
      </c>
      <c r="BW325" s="777" t="b">
        <f>IF('4 SUP +'!$A46&gt;61.5,IF('4 SUP +'!$A46&lt;71.6,IF('4 SUP +'!$C46&gt;57.6,IF('4 SUP +'!$C46&lt;71.6,'4 SUP +'!$AB46,0))))</f>
        <v>0</v>
      </c>
      <c r="BX325" s="777" t="b">
        <f>IF('4 SUP +'!$A46&gt;61.5,IF('4 SUP +'!$A46&lt;71.6,IF('4 SUP +'!$C46&gt;71.5,IF('4 SUP +'!$C46&lt;85.6,'4 SUP +'!$AB46,0))))</f>
        <v>0</v>
      </c>
      <c r="BY325" s="777" t="b">
        <f>IF('4 SUP +'!$A46&gt;61.5,IF('4 SUP +'!$A46&lt;71.6,IF('4 SUP +'!$C46&gt;85.5,IF('4 SUP +'!$C46&lt;113.6,'4 SUP +'!$AB46,0))))</f>
        <v>0</v>
      </c>
      <c r="BZ325" s="777" t="b">
        <f>IF('4 SUP +'!$A46&gt;61.5,IF('4 SUP +'!$A46&lt;71.6,IF('4 SUP +'!$C46&gt;113.5,IF('4 SUP +'!$C46&lt;141.6,'4 SUP +'!$AB46,0))))</f>
        <v>0</v>
      </c>
      <c r="CA325" s="777" t="b">
        <f>IF('4 SUP +'!$A46&gt;61.5,IF('4 SUP +'!$A46&lt;71.6,IF('4 SUP +'!$C46&gt;141.5,IF('4 SUP +'!$C46&lt;149.1,'4 SUP +'!$AB46,0))))</f>
        <v>0</v>
      </c>
      <c r="CB325" s="777" t="b">
        <f>IF('4 SUP +'!$A46&gt;61.5,IF('4 SUP +'!$A46&lt;71.6,IF('4 SUP +'!$C46&gt;149,IF('4 SUP +'!$C46&lt;163.1,'4 SUP +'!$AB46,0))))</f>
        <v>0</v>
      </c>
      <c r="CC325" s="777" t="b">
        <f>IF('4 SUP +'!$A46&gt;61.5,IF('4 SUP +'!$A46&lt;71.6,IF('4 SUP +'!$C46&gt;163,IF('4 SUP +'!$C46&lt;180.6,'4 SUP +'!$AB46,0))))</f>
        <v>0</v>
      </c>
      <c r="CD325" s="777" t="b">
        <f>IF('4 SUP +'!$A46&gt;61.5,IF('4 SUP +'!$A46&lt;71.6,IF('4 SUP +'!$C46&gt;180.5,IF('4 SUP +'!$C46&lt;240.1,'4 SUP +'!$AB46,0))))</f>
        <v>0</v>
      </c>
      <c r="CF325" s="777" t="b">
        <f>IF('4 SUP +'!$A46&gt;71.5,IF('4 SUP +'!$A46&lt;120.6,IF('4 SUP +'!$C46&gt;10,IF('4 SUP +'!$C46&lt;57.6,'4 SUP +'!$AB46,0))))</f>
        <v>0</v>
      </c>
      <c r="CG325" s="777" t="b">
        <f>IF('4 SUP +'!$A46&gt;71.5,IF('4 SUP +'!$A46&lt;120.6,IF('4 SUP +'!$C46&gt;57.6,IF('4 SUP +'!$C46&lt;71.6,'4 SUP +'!$AB46,0))))</f>
        <v>0</v>
      </c>
      <c r="CH325" s="777" t="b">
        <f>IF('4 SUP +'!$A46&gt;71.5,IF('4 SUP +'!$A46&lt;120.6,IF('4 SUP +'!$C46&gt;71.5,IF('4 SUP +'!$C46&lt;85.6,'4 SUP +'!$AB46,0))))</f>
        <v>0</v>
      </c>
      <c r="CI325" s="777" t="b">
        <f>IF('4 SUP +'!$A46&gt;71.5,IF('4 SUP +'!$A46&lt;120.6,IF('4 SUP +'!$C46&gt;85.5,IF('4 SUP +'!$C46&lt;113.6,'4 SUP +'!$AB46,0))))</f>
        <v>0</v>
      </c>
      <c r="CJ325" s="777" t="b">
        <f>IF('4 SUP +'!$A46&gt;71.5,IF('4 SUP +'!$A46&lt;120.6,IF('4 SUP +'!$C46&gt;113.5,IF('4 SUP +'!$C46&lt;141.6,'4 SUP +'!$AB46,0))))</f>
        <v>0</v>
      </c>
      <c r="CK325" s="777" t="b">
        <f>IF('4 SUP +'!$A46&gt;71.5,IF('4 SUP +'!$A46&lt;120.6,IF('4 SUP +'!$C46&gt;141.5,IF('4 SUP +'!$C46&lt;180.6,'4 SUP +'!$AB46,0))))</f>
        <v>0</v>
      </c>
      <c r="CL325" s="777" t="b">
        <f>IF('4 SUP +'!$A46&gt;71.5,IF('4 SUP +'!$A46&lt;120.6,IF('4 SUP +'!$C46&gt;180.5,IF('4 SUP +'!$C46&lt;240.1,'4 SUP +'!$AB46,0))))</f>
        <v>0</v>
      </c>
      <c r="CN325" s="777">
        <f>IF('4 SUP +'!$C46&lt;150,IF(OR('4 SUP +'!$A46="MICRODER",'4 SUP +'!$A46="MICRO DER",),'4 SUP +'!$AB46,0))</f>
        <v>0</v>
      </c>
      <c r="CO325" s="777" t="b">
        <f>IF('4 SUP +'!$C46&gt;149.5,IF(OR('4 SUP +'!$A46="MICRODER",'4 SUP +'!$A46="MICRO DER",),'4 SUP +'!$AB46,0))</f>
        <v>0</v>
      </c>
      <c r="CP325" s="847"/>
      <c r="CQ325" s="777">
        <f>IF('4 SUP +'!$C46&lt;150,IF(OR('4 SUP +'!$A46="MICROIZQ",'4 SUP +'!$A46="MICRO IZQ",),'4 SUP +'!$AB46,0))</f>
        <v>0</v>
      </c>
      <c r="CR325" s="777" t="b">
        <f>IF('4 SUP +'!$C46&gt;149.5,IF(OR('4 SUP +'!$A46="MICROIZQ",'4 SUP +'!$A46="MICRO IZQ",),'4 SUP +'!$AB46,0))</f>
        <v>0</v>
      </c>
      <c r="CT325" s="837">
        <f>IF(OR('4 SUP +'!$A46="MICRO SEN",'4 SUP +'!$A46="MICROSEN",),'4 SUP +'!$AB46,0)</f>
        <v>0</v>
      </c>
      <c r="CV325" s="837" t="b">
        <f>IF('4 SUP +'!$A46="DIAMETRO",IF('4 SUP +'!$C46&lt;121.1,'4 SUP +'!$AB46,0))</f>
        <v>0</v>
      </c>
      <c r="CX325" s="858"/>
      <c r="CZ325" s="837" t="b">
        <f>IF('4 SUP +'!$A46="MOSTRADOR",IF('4 SUP +'!$C46="R60",'4 SUP +'!$AB46,0))</f>
        <v>0</v>
      </c>
      <c r="DB325" s="837">
        <f>IF(OR('4 SUP +'!$A46="PORTA PRIN",'4 SUP +'!$A46="PORTAPRIN",),'4 SUP +'!$AB46,0)</f>
        <v>0</v>
      </c>
      <c r="DD325" s="837">
        <f>IF(OR('4 SUP +'!$A46="PORTA BADE",'4 SUP +'!$A46="PORTABADE",),'4 SUP +'!$AB46,0)</f>
        <v>0</v>
      </c>
      <c r="DE325" s="837"/>
      <c r="DF325" s="837">
        <f>IF(OR('4 SUP +'!$A46="RETORNO IZQ",'4 SUP +'!$A46="RETORNO DER",),'4 SUP +'!$AB234,0)</f>
        <v>0</v>
      </c>
      <c r="DG325" s="837"/>
      <c r="DH325" s="837">
        <f>IF(OR('4 SUP +'!$A46="PITO Q",'4 SUP +'!$A46="PITO P",'4 SUP +'!$A46="DIAMETRO INTEGRADA",),'4 SUP +'!$AB46,0)</f>
        <v>0</v>
      </c>
      <c r="DJ325" s="858"/>
      <c r="DK325" s="837"/>
      <c r="DL325" s="837">
        <f>IF('4 SUP +'!$A46="SUPERFICIE OVAL",'4 SUP +'!$AB46,0)</f>
        <v>0</v>
      </c>
      <c r="DO325" s="838"/>
      <c r="DP325" s="838"/>
      <c r="DQ325" s="838"/>
      <c r="DR325" s="838"/>
      <c r="DS325" s="838"/>
      <c r="DT325" s="838"/>
      <c r="DU325" s="838"/>
      <c r="DV325" s="838"/>
      <c r="DW325" s="838"/>
      <c r="DX325" s="838"/>
      <c r="DY325" s="838"/>
      <c r="DZ325" s="838"/>
      <c r="EA325" s="838"/>
      <c r="EB325" s="838"/>
      <c r="EC325" s="838"/>
      <c r="ED325" s="838"/>
      <c r="EG325" s="682">
        <f>IF('4 SUP +'!A44="MICRO DER",85,IF('4 SUP +'!A44="MICRO IZQ",85,IF('4 SUP +'!A44="MICRO SEN",170,IF('4 SUP +'!A44="DIAMETRO",3.14*'4 SUP +'!C44/2,IF('4 SUP +'!A44="MOSTRADOR",136,IF('4 SUP +'!A44="PORTA",65,IF('4 SUP +'!A44="PITO Q",90,IF('4 SUP +'!A44="PITO P",90,'4 SUP +'!A44))))))))</f>
        <v>0</v>
      </c>
      <c r="EH325" s="682"/>
      <c r="EI325" s="682">
        <f>IF('4 SUP +'!A44="DIAMETRO",0,IF('4 SUP +'!C44="PRINCIPAL",160,IF('4 SUP +'!C44="BADE",190,IF('4 SUP +'!C44="RETORNO",100,IF('4 SUP +'!C44="R 60",100,IF('4 SUP +'!C44="R60",100,'4 SUP +'!C44))))))</f>
        <v>0</v>
      </c>
      <c r="EJ325" s="682"/>
      <c r="EK325" s="682">
        <f>IF('4 SUP +'!$F44='4 SUP +'!$AG$15,((EG325*2)+(EI325*2))*'4 SUP +'!AB44,0)</f>
        <v>0</v>
      </c>
      <c r="EL325" s="682"/>
      <c r="EM325" s="682">
        <f>IF('4 SUP +'!$F44='4 SUP +'!$AG$16,((EG325*2)+(EI325*2))*'4 SUP +'!AB44,0)</f>
        <v>0</v>
      </c>
      <c r="EO325" s="682">
        <f>IF('4 SUP +'!$F44='4 SUP +'!$AG$17,((EG325*2)+(EI325*2))*'4 SUP +'!AB44,0)</f>
        <v>0</v>
      </c>
      <c r="EP325" s="838"/>
      <c r="EQ325" s="682">
        <f>IF('4 SUP +'!$F44='4 SUP +'!$AG$18,((EG325*2)+(EI325*2))*'4 SUP +'!AB44,0)</f>
        <v>0</v>
      </c>
      <c r="ER325" s="838"/>
      <c r="ES325" s="858"/>
      <c r="ET325" s="858"/>
      <c r="EU325" s="858"/>
      <c r="EV325" s="858"/>
      <c r="EW325" s="838"/>
      <c r="EX325" s="838"/>
      <c r="EY325" s="838"/>
      <c r="EZ325" s="838"/>
      <c r="FA325" s="838"/>
      <c r="FB325" s="838"/>
      <c r="FC325" s="838"/>
      <c r="FD325" s="838"/>
      <c r="FE325" s="838"/>
      <c r="FF325" s="838"/>
      <c r="FG325" s="838"/>
      <c r="FH325" s="838"/>
      <c r="FI325" s="838"/>
      <c r="FJ325" s="838"/>
      <c r="FK325" s="838"/>
      <c r="FL325" s="838"/>
      <c r="FM325" s="838"/>
      <c r="FN325" s="838"/>
      <c r="FO325" s="838"/>
      <c r="FP325" s="838"/>
      <c r="GM325" s="858"/>
      <c r="GN325" s="838"/>
      <c r="GO325" s="858"/>
      <c r="GP325" s="858"/>
      <c r="GQ325" s="858"/>
      <c r="GR325" s="838"/>
      <c r="GS325" s="838"/>
      <c r="HF325" s="700">
        <v>71.5</v>
      </c>
      <c r="HH325" s="591">
        <v>71.5</v>
      </c>
    </row>
    <row r="326" spans="37:216" x14ac:dyDescent="0.35">
      <c r="AK326" s="777" t="b">
        <f>IF('4 SUP +'!$A47&gt;10,IF('4 SUP +'!$A47&lt;31.1,IF('4 SUP +'!$C47&gt;10,IF('4 SUP +'!$C47&lt;57.6,'4 SUP +'!$AB47,0))))</f>
        <v>0</v>
      </c>
      <c r="AL326" s="777" t="b">
        <f>IF('4 SUP +'!$A47&gt;10,IF('4 SUP +'!$A47&lt;31.1,IF('4 SUP +'!$C47&gt;57.6,IF('4 SUP +'!$C47&lt;71.6,'4 SUP +'!$AB47,0))))</f>
        <v>0</v>
      </c>
      <c r="AM326" s="777" t="b">
        <f>IF('4 SUP +'!$A47&gt;10,IF('4 SUP +'!$A47&lt;31.1,IF('4 SUP +'!$C47&gt;71.5,IF('4 SUP +'!$C47&lt;85.6,'4 SUP +'!$AB47,0))))</f>
        <v>0</v>
      </c>
      <c r="AN326" s="777" t="b">
        <f>IF('4 SUP +'!$A47&gt;10,IF('4 SUP +'!$A47&lt;31.1,IF('4 SUP +'!$C47&gt;85.5,IF('4 SUP +'!$C47&lt;113.6,'4 SUP +'!$AB47,0))))</f>
        <v>0</v>
      </c>
      <c r="AO326" s="777" t="b">
        <f>IF('4 SUP +'!$A47&gt;10,IF('4 SUP +'!$A47&lt;31.1,IF('4 SUP +'!$C47&gt;113.5,IF('4 SUP +'!$C47&lt;141.6,'4 SUP +'!$AB47,0))))</f>
        <v>0</v>
      </c>
      <c r="AP326" s="777" t="b">
        <f>IF('4 SUP +'!$A47&gt;10,IF('4 SUP +'!$A47&lt;31.1,IF('4 SUP +'!$C47&gt;141.5,IF('4 SUP +'!$C47&lt;180.6,'4 SUP +'!$AB47,0))))</f>
        <v>0</v>
      </c>
      <c r="AQ326" s="777" t="b">
        <f>IF('4 SUP +'!$A47&gt;10,IF('4 SUP +'!$A47&lt;31.1,IF('4 SUP +'!$C47&gt;180.5,IF('4 SUP +'!$C47&lt;240.1,'4 SUP +'!$AB47,0))))</f>
        <v>0</v>
      </c>
      <c r="AS326" s="777" t="b">
        <f>IF('4 SUP +'!$A47&gt;31,IF('4 SUP +'!$A47&lt;45.5,IF('4 SUP +'!$C47&gt;10,IF('4 SUP +'!$C47&lt;57.6,'4 SUP +'!$AB47,0))))</f>
        <v>0</v>
      </c>
      <c r="AT326" s="777" t="b">
        <f>IF('4 SUP +'!$A47&gt;31,IF('4 SUP +'!$A47&lt;45.5,IF('4 SUP +'!$C47&gt;57.6,IF('4 SUP +'!$C47&lt;71.6,'4 SUP +'!$AB47,0))))</f>
        <v>0</v>
      </c>
      <c r="AU326" s="777" t="b">
        <f>IF('4 SUP +'!$A47&gt;31,IF('4 SUP +'!$A47&lt;45.5,IF('4 SUP +'!$C47&gt;71.5,IF('4 SUP +'!$C47&lt;85.6,'4 SUP +'!$AB47,0))))</f>
        <v>0</v>
      </c>
      <c r="AV326" s="777" t="b">
        <f>IF('4 SUP +'!$A47&gt;31,IF('4 SUP +'!$A47&lt;45.5,IF('4 SUP +'!$C47&gt;85.5,IF('4 SUP +'!$C47&lt;113.6,'4 SUP +'!$AB47,0))))</f>
        <v>0</v>
      </c>
      <c r="AW326" s="777" t="b">
        <f>IF('4 SUP +'!$A47&gt;31,IF('4 SUP +'!$A47&lt;45.5,IF('4 SUP +'!$C47&gt;113.5,IF('4 SUP +'!$C47&lt;141.6,'4 SUP +'!$AB47,0))))</f>
        <v>0</v>
      </c>
      <c r="AX326" s="777" t="b">
        <f>IF('4 SUP +'!$A47&gt;31,IF('4 SUP +'!$A47&lt;45.5,IF('4 SUP +'!$C47&gt;141.5,IF('4 SUP +'!$C47&lt;180.6,'4 SUP +'!$AB47,0))))</f>
        <v>0</v>
      </c>
      <c r="AY326" s="777" t="b">
        <f>IF('4 SUP +'!$A47&gt;31,IF('4 SUP +'!$A47&lt;45.5,IF('4 SUP +'!$C47&gt;180.5,IF('4 SUP +'!$C47&lt;240.1,'4 SUP +'!$AB47,0))))</f>
        <v>0</v>
      </c>
      <c r="BA326" s="777" t="b">
        <f>IF('4 SUP +'!$A47&gt;45.4,IF('4 SUP +'!$A47&lt;61.6,IF('4 SUP +'!$C47&gt;10,IF('4 SUP +'!$C47&lt;61.5,'4 SUP +'!$AB47,0))))</f>
        <v>0</v>
      </c>
      <c r="BB326" s="777" t="b">
        <f>IF('4 SUP +'!$A47&gt;45.4,IF('4 SUP +'!$A47&lt;61.6,IF('4 SUP +'!$C47&gt;61.1,IF('4 SUP +'!$C47&lt;71.6,'4 SUP +'!$AB47,0))))</f>
        <v>0</v>
      </c>
      <c r="BC326" s="777" t="b">
        <f>IF('4 SUP +'!$A47&gt;45.4,IF('4 SUP +'!$A47&lt;61.6,IF('4 SUP +'!$C47&gt;71.5,IF('4 SUP +'!$C47&lt;85.6,'4 SUP +'!$AB47,0))))</f>
        <v>0</v>
      </c>
      <c r="BD326" s="777" t="b">
        <f>IF('4 SUP +'!$A47&gt;45.4,IF('4 SUP +'!$A47&lt;61.6,IF('4 SUP +'!$C47&gt;85.5,IF('4 SUP +'!$C47&lt;113.6,'4 SUP +'!$AB47,0))))</f>
        <v>0</v>
      </c>
      <c r="BE326" s="777" t="b">
        <f>IF('4 SUP +'!$A47&gt;45.4,IF('4 SUP +'!$A47&lt;61.6,IF('4 SUP +'!$C47&gt;113.5,IF('4 SUP +'!$C47&lt;121.6,'4 SUP +'!$AB47,0))))</f>
        <v>0</v>
      </c>
      <c r="BF326" s="777" t="b">
        <f>IF('4 SUP +'!$A47&gt;45.4,IF('4 SUP +'!$A47&lt;61.6,IF('4 SUP +'!$C47&gt;121.5,IF('4 SUP +'!$C47&lt;127.6,'4 SUP +'!$AB47,0))))</f>
        <v>0</v>
      </c>
      <c r="BG326" s="777" t="b">
        <f>IF('4 SUP +'!$A47&gt;45.4,IF('4 SUP +'!$A47&lt;61.6,IF('4 SUP +'!$C47&gt;127.5,IF('4 SUP +'!$C47&lt;135.1,'4 SUP +'!$AB47,0))))</f>
        <v>0</v>
      </c>
      <c r="BH326" s="777" t="b">
        <f>IF('4 SUP +'!$A47&gt;45.4,IF('4 SUP +'!$A47&lt;61.6,IF('4 SUP +'!$C47&gt;135,IF('4 SUP +'!$C47&lt;141.6,'4 SUP +'!$AB47,0))))</f>
        <v>0</v>
      </c>
      <c r="BI326" s="777" t="b">
        <f>IF('4 SUP +'!$A47&gt;45.4,IF('4 SUP +'!$A47&lt;61.6,IF('4 SUP +'!$C47&gt;141.5,IF('4 SUP +'!$C47&lt;149.1,'4 SUP +'!$AB47,0))))</f>
        <v>0</v>
      </c>
      <c r="BJ326" s="777" t="b">
        <f>IF('4 SUP +'!$A47&gt;45.4,IF('4 SUP +'!$A47&lt;61.6,IF('4 SUP +'!$C47&gt;149,IF('4 SUP +'!$C47&lt;155.6,'4 SUP +'!$AB47,0))))</f>
        <v>0</v>
      </c>
      <c r="BK326" s="777" t="b">
        <f>IF('4 SUP +'!$A47&gt;45.4,IF('4 SUP +'!$A47&lt;61.6,IF('4 SUP +'!$C47&gt;155.5,IF('4 SUP +'!$C47&lt;163.1,'4 SUP +'!$AB47,0))))</f>
        <v>0</v>
      </c>
      <c r="BL326" s="777" t="b">
        <f>IF('4 SUP +'!$A47&gt;45.4,IF('4 SUP +'!$A47&lt;61.6,IF('4 SUP +'!$C47&gt;163,IF('4 SUP +'!$C47&lt;180.6,'4 SUP +'!$AB47,0))))</f>
        <v>0</v>
      </c>
      <c r="BM326" s="777" t="b">
        <f>IF('4 SUP +'!$A47&gt;45.4,IF('4 SUP +'!$A47&lt;61.6,IF('4 SUP +'!$C47&gt;180.5,IF('4 SUP +'!$C47&lt;240.1,'4 SUP +'!$AB47,0))))</f>
        <v>0</v>
      </c>
      <c r="BS326" s="847"/>
      <c r="BT326" s="847"/>
      <c r="BV326" s="777" t="b">
        <f>IF('4 SUP +'!$A47&gt;61.5,IF('4 SUP +'!$A47&lt;71.6,IF('4 SUP +'!$C47&gt;10,IF('4 SUP +'!$C47&lt;57.6,'4 SUP +'!$AB47,0))))</f>
        <v>0</v>
      </c>
      <c r="BW326" s="777" t="b">
        <f>IF('4 SUP +'!$A47&gt;61.5,IF('4 SUP +'!$A47&lt;71.6,IF('4 SUP +'!$C47&gt;57.6,IF('4 SUP +'!$C47&lt;71.6,'4 SUP +'!$AB47,0))))</f>
        <v>0</v>
      </c>
      <c r="BX326" s="777" t="b">
        <f>IF('4 SUP +'!$A47&gt;61.5,IF('4 SUP +'!$A47&lt;71.6,IF('4 SUP +'!$C47&gt;71.5,IF('4 SUP +'!$C47&lt;85.6,'4 SUP +'!$AB47,0))))</f>
        <v>0</v>
      </c>
      <c r="BY326" s="777" t="b">
        <f>IF('4 SUP +'!$A47&gt;61.5,IF('4 SUP +'!$A47&lt;71.6,IF('4 SUP +'!$C47&gt;85.5,IF('4 SUP +'!$C47&lt;113.6,'4 SUP +'!$AB47,0))))</f>
        <v>0</v>
      </c>
      <c r="BZ326" s="777" t="b">
        <f>IF('4 SUP +'!$A47&gt;61.5,IF('4 SUP +'!$A47&lt;71.6,IF('4 SUP +'!$C47&gt;113.5,IF('4 SUP +'!$C47&lt;141.6,'4 SUP +'!$AB47,0))))</f>
        <v>0</v>
      </c>
      <c r="CA326" s="777" t="b">
        <f>IF('4 SUP +'!$A47&gt;61.5,IF('4 SUP +'!$A47&lt;71.6,IF('4 SUP +'!$C47&gt;141.5,IF('4 SUP +'!$C47&lt;149.1,'4 SUP +'!$AB47,0))))</f>
        <v>0</v>
      </c>
      <c r="CB326" s="777" t="b">
        <f>IF('4 SUP +'!$A47&gt;61.5,IF('4 SUP +'!$A47&lt;71.6,IF('4 SUP +'!$C47&gt;149,IF('4 SUP +'!$C47&lt;163.1,'4 SUP +'!$AB47,0))))</f>
        <v>0</v>
      </c>
      <c r="CC326" s="777" t="b">
        <f>IF('4 SUP +'!$A47&gt;61.5,IF('4 SUP +'!$A47&lt;71.6,IF('4 SUP +'!$C47&gt;163,IF('4 SUP +'!$C47&lt;180.6,'4 SUP +'!$AB47,0))))</f>
        <v>0</v>
      </c>
      <c r="CD326" s="777" t="b">
        <f>IF('4 SUP +'!$A47&gt;61.5,IF('4 SUP +'!$A47&lt;71.6,IF('4 SUP +'!$C47&gt;180.5,IF('4 SUP +'!$C47&lt;240.1,'4 SUP +'!$AB47,0))))</f>
        <v>0</v>
      </c>
      <c r="CF326" s="777" t="b">
        <f>IF('4 SUP +'!$A47&gt;71.5,IF('4 SUP +'!$A47&lt;120.6,IF('4 SUP +'!$C47&gt;10,IF('4 SUP +'!$C47&lt;57.6,'4 SUP +'!$AB47,0))))</f>
        <v>0</v>
      </c>
      <c r="CG326" s="777" t="b">
        <f>IF('4 SUP +'!$A47&gt;71.5,IF('4 SUP +'!$A47&lt;120.6,IF('4 SUP +'!$C47&gt;57.6,IF('4 SUP +'!$C47&lt;71.6,'4 SUP +'!$AB47,0))))</f>
        <v>0</v>
      </c>
      <c r="CH326" s="777" t="b">
        <f>IF('4 SUP +'!$A47&gt;71.5,IF('4 SUP +'!$A47&lt;120.6,IF('4 SUP +'!$C47&gt;71.5,IF('4 SUP +'!$C47&lt;85.6,'4 SUP +'!$AB47,0))))</f>
        <v>0</v>
      </c>
      <c r="CI326" s="777" t="b">
        <f>IF('4 SUP +'!$A47&gt;71.5,IF('4 SUP +'!$A47&lt;120.6,IF('4 SUP +'!$C47&gt;85.5,IF('4 SUP +'!$C47&lt;113.6,'4 SUP +'!$AB47,0))))</f>
        <v>0</v>
      </c>
      <c r="CJ326" s="777" t="b">
        <f>IF('4 SUP +'!$A47&gt;71.5,IF('4 SUP +'!$A47&lt;120.6,IF('4 SUP +'!$C47&gt;113.5,IF('4 SUP +'!$C47&lt;141.6,'4 SUP +'!$AB47,0))))</f>
        <v>0</v>
      </c>
      <c r="CK326" s="777" t="b">
        <f>IF('4 SUP +'!$A47&gt;71.5,IF('4 SUP +'!$A47&lt;120.6,IF('4 SUP +'!$C47&gt;141.5,IF('4 SUP +'!$C47&lt;180.6,'4 SUP +'!$AB47,0))))</f>
        <v>0</v>
      </c>
      <c r="CL326" s="777" t="b">
        <f>IF('4 SUP +'!$A47&gt;71.5,IF('4 SUP +'!$A47&lt;120.6,IF('4 SUP +'!$C47&gt;180.5,IF('4 SUP +'!$C47&lt;240.1,'4 SUP +'!$AB47,0))))</f>
        <v>0</v>
      </c>
      <c r="CN326" s="777">
        <f>IF('4 SUP +'!$C47&lt;150,IF(OR('4 SUP +'!$A47="MICRODER",'4 SUP +'!$A47="MICRO DER",),'4 SUP +'!$AB47,0))</f>
        <v>0</v>
      </c>
      <c r="CO326" s="777" t="b">
        <f>IF('4 SUP +'!$C47&gt;149.5,IF(OR('4 SUP +'!$A47="MICRODER",'4 SUP +'!$A47="MICRO DER",),'4 SUP +'!$AB47,0))</f>
        <v>0</v>
      </c>
      <c r="CP326" s="847"/>
      <c r="CQ326" s="777">
        <f>IF('4 SUP +'!$C47&lt;150,IF(OR('4 SUP +'!$A47="MICROIZQ",'4 SUP +'!$A47="MICRO IZQ",),'4 SUP +'!$AB47,0))</f>
        <v>0</v>
      </c>
      <c r="CR326" s="777" t="b">
        <f>IF('4 SUP +'!$C47&gt;149.5,IF(OR('4 SUP +'!$A47="MICROIZQ",'4 SUP +'!$A47="MICRO IZQ",),'4 SUP +'!$AB47,0))</f>
        <v>0</v>
      </c>
      <c r="CT326" s="837">
        <f>IF(OR('4 SUP +'!$A47="MICRO SEN",'4 SUP +'!$A47="MICROSEN",),'4 SUP +'!$AB47,0)</f>
        <v>0</v>
      </c>
      <c r="CV326" s="837" t="b">
        <f>IF('4 SUP +'!$A47="DIAMETRO",IF('4 SUP +'!$C47&lt;121.1,'4 SUP +'!$AB47,0))</f>
        <v>0</v>
      </c>
      <c r="CX326" s="858"/>
      <c r="CZ326" s="837" t="b">
        <f>IF('4 SUP +'!$A47="MOSTRADOR",IF('4 SUP +'!$C47="R60",'4 SUP +'!$AB47,0))</f>
        <v>0</v>
      </c>
      <c r="DB326" s="837">
        <f>IF(OR('4 SUP +'!$A47="PORTA PRIN",'4 SUP +'!$A47="PORTAPRIN",),'4 SUP +'!$AB47,0)</f>
        <v>0</v>
      </c>
      <c r="DD326" s="837">
        <f>IF(OR('4 SUP +'!$A47="PORTA BADE",'4 SUP +'!$A47="PORTABADE",),'4 SUP +'!$AB47,0)</f>
        <v>0</v>
      </c>
      <c r="DE326" s="837"/>
      <c r="DF326" s="837">
        <f>IF(OR('4 SUP +'!$A47="RETORNO IZQ",'4 SUP +'!$A47="RETORNO DER",),'4 SUP +'!$AB235,0)</f>
        <v>0</v>
      </c>
      <c r="DG326" s="837"/>
      <c r="DH326" s="837">
        <f>IF(OR('4 SUP +'!$A47="PITO Q",'4 SUP +'!$A47="PITO P",'4 SUP +'!$A47="DIAMETRO INTEGRADA",),'4 SUP +'!$AB47,0)</f>
        <v>0</v>
      </c>
      <c r="DJ326" s="858"/>
      <c r="DK326" s="837"/>
      <c r="DL326" s="837">
        <f>IF('4 SUP +'!$A47="SUPERFICIE OVAL",'4 SUP +'!$AB47,0)</f>
        <v>0</v>
      </c>
      <c r="DO326" s="838"/>
      <c r="DP326" s="838"/>
      <c r="DQ326" s="838"/>
      <c r="DR326" s="838"/>
      <c r="DS326" s="838"/>
      <c r="DT326" s="838"/>
      <c r="DU326" s="838"/>
      <c r="DV326" s="838"/>
      <c r="DW326" s="838"/>
      <c r="DX326" s="838"/>
      <c r="DY326" s="838"/>
      <c r="DZ326" s="838"/>
      <c r="EA326" s="838"/>
      <c r="EB326" s="838"/>
      <c r="EC326" s="838"/>
      <c r="ED326" s="838"/>
      <c r="EG326" s="682">
        <f>IF('4 SUP +'!A45="MICRO DER",85,IF('4 SUP +'!A45="MICRO IZQ",85,IF('4 SUP +'!A45="MICRO SEN",170,IF('4 SUP +'!A45="DIAMETRO",3.14*'4 SUP +'!C45/2,IF('4 SUP +'!A45="MOSTRADOR",136,IF('4 SUP +'!A45="PORTA",65,IF('4 SUP +'!A45="PITO Q",90,IF('4 SUP +'!A45="PITO P",90,'4 SUP +'!A45))))))))</f>
        <v>0</v>
      </c>
      <c r="EH326" s="682"/>
      <c r="EI326" s="682">
        <f>IF('4 SUP +'!A45="DIAMETRO",0,IF('4 SUP +'!C45="PRINCIPAL",160,IF('4 SUP +'!C45="BADE",190,IF('4 SUP +'!C45="RETORNO",100,IF('4 SUP +'!C45="R 60",100,IF('4 SUP +'!C45="R60",100,'4 SUP +'!C45))))))</f>
        <v>0</v>
      </c>
      <c r="EJ326" s="682"/>
      <c r="EK326" s="682">
        <f>IF('4 SUP +'!$F45='4 SUP +'!$AG$15,((EG326*2)+(EI326*2))*'4 SUP +'!AB45,0)</f>
        <v>0</v>
      </c>
      <c r="EL326" s="682"/>
      <c r="EM326" s="682">
        <f>IF('4 SUP +'!$F45='4 SUP +'!$AG$16,((EG326*2)+(EI326*2))*'4 SUP +'!AB45,0)</f>
        <v>0</v>
      </c>
      <c r="EO326" s="682">
        <f>IF('4 SUP +'!$F45='4 SUP +'!$AG$17,((EG326*2)+(EI326*2))*'4 SUP +'!AB45,0)</f>
        <v>0</v>
      </c>
      <c r="EP326" s="838"/>
      <c r="EQ326" s="682">
        <f>IF('4 SUP +'!$F45='4 SUP +'!$AG$18,((EG326*2)+(EI326*2))*'4 SUP +'!AB45,0)</f>
        <v>0</v>
      </c>
      <c r="ER326" s="838"/>
      <c r="ES326" s="858"/>
      <c r="ET326" s="858"/>
      <c r="EU326" s="858"/>
      <c r="EV326" s="858"/>
      <c r="EW326" s="838"/>
      <c r="EX326" s="838"/>
      <c r="EY326" s="838"/>
      <c r="EZ326" s="838"/>
      <c r="FA326" s="838"/>
      <c r="FB326" s="838"/>
      <c r="FC326" s="838"/>
      <c r="FD326" s="838"/>
      <c r="FE326" s="838"/>
      <c r="FF326" s="838"/>
      <c r="FG326" s="838"/>
      <c r="FH326" s="838"/>
      <c r="FI326" s="838"/>
      <c r="FJ326" s="838"/>
      <c r="FK326" s="838"/>
      <c r="FL326" s="838"/>
      <c r="FM326" s="838"/>
      <c r="FN326" s="838"/>
      <c r="FO326" s="838"/>
      <c r="FP326" s="838"/>
      <c r="GM326" s="858"/>
      <c r="GN326" s="838"/>
      <c r="GO326" s="858"/>
      <c r="GP326" s="858"/>
      <c r="GQ326" s="858"/>
      <c r="GR326" s="838"/>
      <c r="GS326" s="838"/>
      <c r="HF326" s="700">
        <v>72</v>
      </c>
      <c r="HH326" s="591">
        <v>72</v>
      </c>
    </row>
    <row r="327" spans="37:216" x14ac:dyDescent="0.35">
      <c r="AK327" s="777" t="b">
        <f>IF('4 SUP +'!$A48&gt;10,IF('4 SUP +'!$A48&lt;31.1,IF('4 SUP +'!$C48&gt;10,IF('4 SUP +'!$C48&lt;57.6,'4 SUP +'!$AB48,0))))</f>
        <v>0</v>
      </c>
      <c r="AL327" s="777" t="b">
        <f>IF('4 SUP +'!$A48&gt;10,IF('4 SUP +'!$A48&lt;31.1,IF('4 SUP +'!$C48&gt;57.6,IF('4 SUP +'!$C48&lt;71.6,'4 SUP +'!$AB48,0))))</f>
        <v>0</v>
      </c>
      <c r="AM327" s="777" t="b">
        <f>IF('4 SUP +'!$A48&gt;10,IF('4 SUP +'!$A48&lt;31.1,IF('4 SUP +'!$C48&gt;71.5,IF('4 SUP +'!$C48&lt;85.6,'4 SUP +'!$AB48,0))))</f>
        <v>0</v>
      </c>
      <c r="AN327" s="777" t="b">
        <f>IF('4 SUP +'!$A48&gt;10,IF('4 SUP +'!$A48&lt;31.1,IF('4 SUP +'!$C48&gt;85.5,IF('4 SUP +'!$C48&lt;113.6,'4 SUP +'!$AB48,0))))</f>
        <v>0</v>
      </c>
      <c r="AO327" s="777" t="b">
        <f>IF('4 SUP +'!$A48&gt;10,IF('4 SUP +'!$A48&lt;31.1,IF('4 SUP +'!$C48&gt;113.5,IF('4 SUP +'!$C48&lt;141.6,'4 SUP +'!$AB48,0))))</f>
        <v>0</v>
      </c>
      <c r="AP327" s="777" t="b">
        <f>IF('4 SUP +'!$A48&gt;10,IF('4 SUP +'!$A48&lt;31.1,IF('4 SUP +'!$C48&gt;141.5,IF('4 SUP +'!$C48&lt;180.6,'4 SUP +'!$AB48,0))))</f>
        <v>0</v>
      </c>
      <c r="AQ327" s="777" t="b">
        <f>IF('4 SUP +'!$A48&gt;10,IF('4 SUP +'!$A48&lt;31.1,IF('4 SUP +'!$C48&gt;180.5,IF('4 SUP +'!$C48&lt;240.1,'4 SUP +'!$AB48,0))))</f>
        <v>0</v>
      </c>
      <c r="AS327" s="777" t="b">
        <f>IF('4 SUP +'!$A48&gt;31,IF('4 SUP +'!$A48&lt;45.5,IF('4 SUP +'!$C48&gt;10,IF('4 SUP +'!$C48&lt;57.6,'4 SUP +'!$AB48,0))))</f>
        <v>0</v>
      </c>
      <c r="AT327" s="777" t="b">
        <f>IF('4 SUP +'!$A48&gt;31,IF('4 SUP +'!$A48&lt;45.5,IF('4 SUP +'!$C48&gt;57.6,IF('4 SUP +'!$C48&lt;71.6,'4 SUP +'!$AB48,0))))</f>
        <v>0</v>
      </c>
      <c r="AU327" s="777" t="b">
        <f>IF('4 SUP +'!$A48&gt;31,IF('4 SUP +'!$A48&lt;45.5,IF('4 SUP +'!$C48&gt;71.5,IF('4 SUP +'!$C48&lt;85.6,'4 SUP +'!$AB48,0))))</f>
        <v>0</v>
      </c>
      <c r="AV327" s="777" t="b">
        <f>IF('4 SUP +'!$A48&gt;31,IF('4 SUP +'!$A48&lt;45.5,IF('4 SUP +'!$C48&gt;85.5,IF('4 SUP +'!$C48&lt;113.6,'4 SUP +'!$AB48,0))))</f>
        <v>0</v>
      </c>
      <c r="AW327" s="777" t="b">
        <f>IF('4 SUP +'!$A48&gt;31,IF('4 SUP +'!$A48&lt;45.5,IF('4 SUP +'!$C48&gt;113.5,IF('4 SUP +'!$C48&lt;141.6,'4 SUP +'!$AB48,0))))</f>
        <v>0</v>
      </c>
      <c r="AX327" s="777" t="b">
        <f>IF('4 SUP +'!$A48&gt;31,IF('4 SUP +'!$A48&lt;45.5,IF('4 SUP +'!$C48&gt;141.5,IF('4 SUP +'!$C48&lt;180.6,'4 SUP +'!$AB48,0))))</f>
        <v>0</v>
      </c>
      <c r="AY327" s="777" t="b">
        <f>IF('4 SUP +'!$A48&gt;31,IF('4 SUP +'!$A48&lt;45.5,IF('4 SUP +'!$C48&gt;180.5,IF('4 SUP +'!$C48&lt;240.1,'4 SUP +'!$AB48,0))))</f>
        <v>0</v>
      </c>
      <c r="BA327" s="777" t="b">
        <f>IF('4 SUP +'!$A48&gt;45.4,IF('4 SUP +'!$A48&lt;61.6,IF('4 SUP +'!$C48&gt;10,IF('4 SUP +'!$C48&lt;61.5,'4 SUP +'!$AB48,0))))</f>
        <v>0</v>
      </c>
      <c r="BB327" s="777" t="b">
        <f>IF('4 SUP +'!$A48&gt;45.4,IF('4 SUP +'!$A48&lt;61.6,IF('4 SUP +'!$C48&gt;61.1,IF('4 SUP +'!$C48&lt;71.6,'4 SUP +'!$AB48,0))))</f>
        <v>0</v>
      </c>
      <c r="BC327" s="777" t="b">
        <f>IF('4 SUP +'!$A48&gt;45.4,IF('4 SUP +'!$A48&lt;61.6,IF('4 SUP +'!$C48&gt;71.5,IF('4 SUP +'!$C48&lt;85.6,'4 SUP +'!$AB48,0))))</f>
        <v>0</v>
      </c>
      <c r="BD327" s="777" t="b">
        <f>IF('4 SUP +'!$A48&gt;45.4,IF('4 SUP +'!$A48&lt;61.6,IF('4 SUP +'!$C48&gt;85.5,IF('4 SUP +'!$C48&lt;113.6,'4 SUP +'!$AB48,0))))</f>
        <v>0</v>
      </c>
      <c r="BE327" s="777" t="b">
        <f>IF('4 SUP +'!$A48&gt;45.4,IF('4 SUP +'!$A48&lt;61.6,IF('4 SUP +'!$C48&gt;113.5,IF('4 SUP +'!$C48&lt;121.6,'4 SUP +'!$AB48,0))))</f>
        <v>0</v>
      </c>
      <c r="BF327" s="777" t="b">
        <f>IF('4 SUP +'!$A48&gt;45.4,IF('4 SUP +'!$A48&lt;61.6,IF('4 SUP +'!$C48&gt;121.5,IF('4 SUP +'!$C48&lt;127.6,'4 SUP +'!$AB48,0))))</f>
        <v>0</v>
      </c>
      <c r="BG327" s="777" t="b">
        <f>IF('4 SUP +'!$A48&gt;45.4,IF('4 SUP +'!$A48&lt;61.6,IF('4 SUP +'!$C48&gt;127.5,IF('4 SUP +'!$C48&lt;135.1,'4 SUP +'!$AB48,0))))</f>
        <v>0</v>
      </c>
      <c r="BH327" s="777" t="b">
        <f>IF('4 SUP +'!$A48&gt;45.4,IF('4 SUP +'!$A48&lt;61.6,IF('4 SUP +'!$C48&gt;135,IF('4 SUP +'!$C48&lt;141.6,'4 SUP +'!$AB48,0))))</f>
        <v>0</v>
      </c>
      <c r="BI327" s="777" t="b">
        <f>IF('4 SUP +'!$A48&gt;45.4,IF('4 SUP +'!$A48&lt;61.6,IF('4 SUP +'!$C48&gt;141.5,IF('4 SUP +'!$C48&lt;149.1,'4 SUP +'!$AB48,0))))</f>
        <v>0</v>
      </c>
      <c r="BJ327" s="777" t="b">
        <f>IF('4 SUP +'!$A48&gt;45.4,IF('4 SUP +'!$A48&lt;61.6,IF('4 SUP +'!$C48&gt;149,IF('4 SUP +'!$C48&lt;155.6,'4 SUP +'!$AB48,0))))</f>
        <v>0</v>
      </c>
      <c r="BK327" s="777" t="b">
        <f>IF('4 SUP +'!$A48&gt;45.4,IF('4 SUP +'!$A48&lt;61.6,IF('4 SUP +'!$C48&gt;155.5,IF('4 SUP +'!$C48&lt;163.1,'4 SUP +'!$AB48,0))))</f>
        <v>0</v>
      </c>
      <c r="BL327" s="777" t="b">
        <f>IF('4 SUP +'!$A48&gt;45.4,IF('4 SUP +'!$A48&lt;61.6,IF('4 SUP +'!$C48&gt;163,IF('4 SUP +'!$C48&lt;180.6,'4 SUP +'!$AB48,0))))</f>
        <v>0</v>
      </c>
      <c r="BM327" s="777" t="b">
        <f>IF('4 SUP +'!$A48&gt;45.4,IF('4 SUP +'!$A48&lt;61.6,IF('4 SUP +'!$C48&gt;180.5,IF('4 SUP +'!$C48&lt;240.1,'4 SUP +'!$AB48,0))))</f>
        <v>0</v>
      </c>
      <c r="BO327" s="837" t="s">
        <v>768</v>
      </c>
      <c r="BP327" s="837"/>
      <c r="BQ327" s="837"/>
      <c r="BS327" s="678" t="s">
        <v>771</v>
      </c>
      <c r="BT327" s="837"/>
      <c r="BV327" s="777" t="b">
        <f>IF('4 SUP +'!$A48&gt;61.5,IF('4 SUP +'!$A48&lt;71.6,IF('4 SUP +'!$C48&gt;10,IF('4 SUP +'!$C48&lt;57.6,'4 SUP +'!$AB48,0))))</f>
        <v>0</v>
      </c>
      <c r="BW327" s="777" t="b">
        <f>IF('4 SUP +'!$A48&gt;61.5,IF('4 SUP +'!$A48&lt;71.6,IF('4 SUP +'!$C48&gt;57.6,IF('4 SUP +'!$C48&lt;71.6,'4 SUP +'!$AB48,0))))</f>
        <v>0</v>
      </c>
      <c r="BX327" s="777" t="b">
        <f>IF('4 SUP +'!$A48&gt;61.5,IF('4 SUP +'!$A48&lt;71.6,IF('4 SUP +'!$C48&gt;71.5,IF('4 SUP +'!$C48&lt;85.6,'4 SUP +'!$AB48,0))))</f>
        <v>0</v>
      </c>
      <c r="BY327" s="777" t="b">
        <f>IF('4 SUP +'!$A48&gt;61.5,IF('4 SUP +'!$A48&lt;71.6,IF('4 SUP +'!$C48&gt;85.5,IF('4 SUP +'!$C48&lt;113.6,'4 SUP +'!$AB48,0))))</f>
        <v>0</v>
      </c>
      <c r="BZ327" s="777" t="b">
        <f>IF('4 SUP +'!$A48&gt;61.5,IF('4 SUP +'!$A48&lt;71.6,IF('4 SUP +'!$C48&gt;113.5,IF('4 SUP +'!$C48&lt;141.6,'4 SUP +'!$AB48,0))))</f>
        <v>0</v>
      </c>
      <c r="CA327" s="777" t="b">
        <f>IF('4 SUP +'!$A48&gt;61.5,IF('4 SUP +'!$A48&lt;71.6,IF('4 SUP +'!$C48&gt;141.5,IF('4 SUP +'!$C48&lt;149.1,'4 SUP +'!$AB48,0))))</f>
        <v>0</v>
      </c>
      <c r="CB327" s="777" t="b">
        <f>IF('4 SUP +'!$A48&gt;61.5,IF('4 SUP +'!$A48&lt;71.6,IF('4 SUP +'!$C48&gt;149,IF('4 SUP +'!$C48&lt;163.1,'4 SUP +'!$AB48,0))))</f>
        <v>0</v>
      </c>
      <c r="CC327" s="777" t="b">
        <f>IF('4 SUP +'!$A48&gt;61.5,IF('4 SUP +'!$A48&lt;71.6,IF('4 SUP +'!$C48&gt;163,IF('4 SUP +'!$C48&lt;180.6,'4 SUP +'!$AB48,0))))</f>
        <v>0</v>
      </c>
      <c r="CD327" s="777" t="b">
        <f>IF('4 SUP +'!$A48&gt;61.5,IF('4 SUP +'!$A48&lt;71.6,IF('4 SUP +'!$C48&gt;180.5,IF('4 SUP +'!$C48&lt;240.1,'4 SUP +'!$AB48,0))))</f>
        <v>0</v>
      </c>
      <c r="CF327" s="777" t="b">
        <f>IF('4 SUP +'!$A48&gt;71.5,IF('4 SUP +'!$A48&lt;120.6,IF('4 SUP +'!$C48&gt;10,IF('4 SUP +'!$C48&lt;57.6,'4 SUP +'!$AB48,0))))</f>
        <v>0</v>
      </c>
      <c r="CG327" s="777" t="b">
        <f>IF('4 SUP +'!$A48&gt;71.5,IF('4 SUP +'!$A48&lt;120.6,IF('4 SUP +'!$C48&gt;57.6,IF('4 SUP +'!$C48&lt;71.6,'4 SUP +'!$AB48,0))))</f>
        <v>0</v>
      </c>
      <c r="CH327" s="777" t="b">
        <f>IF('4 SUP +'!$A48&gt;71.5,IF('4 SUP +'!$A48&lt;120.6,IF('4 SUP +'!$C48&gt;71.5,IF('4 SUP +'!$C48&lt;85.6,'4 SUP +'!$AB48,0))))</f>
        <v>0</v>
      </c>
      <c r="CI327" s="777" t="b">
        <f>IF('4 SUP +'!$A48&gt;71.5,IF('4 SUP +'!$A48&lt;120.6,IF('4 SUP +'!$C48&gt;85.5,IF('4 SUP +'!$C48&lt;113.6,'4 SUP +'!$AB48,0))))</f>
        <v>0</v>
      </c>
      <c r="CJ327" s="777" t="b">
        <f>IF('4 SUP +'!$A48&gt;71.5,IF('4 SUP +'!$A48&lt;120.6,IF('4 SUP +'!$C48&gt;113.5,IF('4 SUP +'!$C48&lt;141.6,'4 SUP +'!$AB48,0))))</f>
        <v>0</v>
      </c>
      <c r="CK327" s="777" t="b">
        <f>IF('4 SUP +'!$A48&gt;71.5,IF('4 SUP +'!$A48&lt;120.6,IF('4 SUP +'!$C48&gt;141.5,IF('4 SUP +'!$C48&lt;180.6,'4 SUP +'!$AB48,0))))</f>
        <v>0</v>
      </c>
      <c r="CL327" s="777" t="b">
        <f>IF('4 SUP +'!$A48&gt;71.5,IF('4 SUP +'!$A48&lt;120.6,IF('4 SUP +'!$C48&gt;180.5,IF('4 SUP +'!$C48&lt;240.1,'4 SUP +'!$AB48,0))))</f>
        <v>0</v>
      </c>
      <c r="CN327" s="777">
        <f>IF('4 SUP +'!$C48&lt;150,IF(OR('4 SUP +'!$A48="MICRODER",'4 SUP +'!$A48="MICRO DER",),'4 SUP +'!$AB48,0))</f>
        <v>0</v>
      </c>
      <c r="CO327" s="777" t="b">
        <f>IF('4 SUP +'!$C48&gt;149.5,IF(OR('4 SUP +'!$A48="MICRODER",'4 SUP +'!$A48="MICRO DER",),'4 SUP +'!$AB48,0))</f>
        <v>0</v>
      </c>
      <c r="CP327" s="847"/>
      <c r="CQ327" s="777">
        <f>IF('4 SUP +'!$C48&lt;150,IF(OR('4 SUP +'!$A48="MICROIZQ",'4 SUP +'!$A48="MICRO IZQ",),'4 SUP +'!$AB48,0))</f>
        <v>0</v>
      </c>
      <c r="CR327" s="777" t="b">
        <f>IF('4 SUP +'!$C48&gt;149.5,IF(OR('4 SUP +'!$A48="MICROIZQ",'4 SUP +'!$A48="MICRO IZQ",),'4 SUP +'!$AB48,0))</f>
        <v>0</v>
      </c>
      <c r="CT327" s="837">
        <f>IF(OR('4 SUP +'!$A48="MICRO SEN",'4 SUP +'!$A48="MICROSEN",),'4 SUP +'!$AB48,0)</f>
        <v>0</v>
      </c>
      <c r="CV327" s="837" t="b">
        <f>IF('4 SUP +'!$A48="DIAMETRO",IF('4 SUP +'!$C48&lt;121.1,'4 SUP +'!$AB48,0))</f>
        <v>0</v>
      </c>
      <c r="CX327" s="858"/>
      <c r="CZ327" s="837" t="b">
        <f>IF('4 SUP +'!$A48="MOSTRADOR",IF('4 SUP +'!$C48="R60",'4 SUP +'!$AB48,0))</f>
        <v>0</v>
      </c>
      <c r="DB327" s="837">
        <f>IF(OR('4 SUP +'!$A48="PORTA PRIN",'4 SUP +'!$A48="PORTAPRIN",),'4 SUP +'!$AB48,0)</f>
        <v>0</v>
      </c>
      <c r="DD327" s="837">
        <f>IF(OR('4 SUP +'!$A48="PORTA BADE",'4 SUP +'!$A48="PORTABADE",),'4 SUP +'!$AB48,0)</f>
        <v>0</v>
      </c>
      <c r="DE327" s="837"/>
      <c r="DF327" s="837">
        <f>IF(OR('4 SUP +'!$A48="RETORNO IZQ",'4 SUP +'!$A48="RETORNO DER",),'4 SUP +'!$AB236,0)</f>
        <v>0</v>
      </c>
      <c r="DG327" s="837"/>
      <c r="DH327" s="837">
        <f>IF(OR('4 SUP +'!$A48="PITO Q",'4 SUP +'!$A48="PITO P",'4 SUP +'!$A48="DIAMETRO INTEGRADA",),'4 SUP +'!$AB48,0)</f>
        <v>0</v>
      </c>
      <c r="DJ327" s="858"/>
      <c r="DK327" s="837"/>
      <c r="DL327" s="837">
        <f>IF('4 SUP +'!$A48="SUPERFICIE OVAL",'4 SUP +'!$AB48,0)</f>
        <v>0</v>
      </c>
      <c r="DO327" s="838"/>
      <c r="DP327" s="838"/>
      <c r="DQ327" s="838"/>
      <c r="DR327" s="838"/>
      <c r="DS327" s="838"/>
      <c r="DT327" s="838"/>
      <c r="DU327" s="838"/>
      <c r="DV327" s="838"/>
      <c r="DW327" s="838"/>
      <c r="DX327" s="838"/>
      <c r="DY327" s="838"/>
      <c r="DZ327" s="838"/>
      <c r="EA327" s="838"/>
      <c r="EB327" s="838"/>
      <c r="EC327" s="838"/>
      <c r="ED327" s="838"/>
      <c r="EG327" s="682">
        <f>IF('4 SUP +'!A46="MICRO DER",85,IF('4 SUP +'!A46="MICRO IZQ",85,IF('4 SUP +'!A46="MICRO SEN",170,IF('4 SUP +'!A46="DIAMETRO",3.14*'4 SUP +'!C46/2,IF('4 SUP +'!A46="MOSTRADOR",136,IF('4 SUP +'!A46="PORTA",65,IF('4 SUP +'!A46="PITO Q",90,IF('4 SUP +'!A46="PITO P",90,'4 SUP +'!A46))))))))</f>
        <v>0</v>
      </c>
      <c r="EH327" s="682"/>
      <c r="EI327" s="682">
        <f>IF('4 SUP +'!A46="DIAMETRO",0,IF('4 SUP +'!C46="PRINCIPAL",160,IF('4 SUP +'!C46="BADE",190,IF('4 SUP +'!C46="RETORNO",100,IF('4 SUP +'!C46="R 60",100,IF('4 SUP +'!C46="R60",100,'4 SUP +'!C46))))))</f>
        <v>0</v>
      </c>
      <c r="EJ327" s="682"/>
      <c r="EK327" s="682">
        <f>IF('4 SUP +'!$F46='4 SUP +'!$AG$15,((EG327*2)+(EI327*2))*'4 SUP +'!AB46,0)</f>
        <v>0</v>
      </c>
      <c r="EL327" s="682"/>
      <c r="EM327" s="682">
        <f>IF('4 SUP +'!$F46='4 SUP +'!$AG$16,((EG327*2)+(EI327*2))*'4 SUP +'!AB46,0)</f>
        <v>0</v>
      </c>
      <c r="EO327" s="682">
        <f>IF('4 SUP +'!$F46='4 SUP +'!$AG$17,((EG327*2)+(EI327*2))*'4 SUP +'!AB46,0)</f>
        <v>0</v>
      </c>
      <c r="EP327" s="838"/>
      <c r="EQ327" s="682">
        <f>IF('4 SUP +'!$F46='4 SUP +'!$AG$18,((EG327*2)+(EI327*2))*'4 SUP +'!AB46,0)</f>
        <v>0</v>
      </c>
      <c r="ER327" s="838"/>
      <c r="ES327" s="858"/>
      <c r="ET327" s="858"/>
      <c r="EU327" s="858"/>
      <c r="EV327" s="858"/>
      <c r="EW327" s="838"/>
      <c r="EX327" s="838"/>
      <c r="EY327" s="838"/>
      <c r="EZ327" s="838"/>
      <c r="FA327" s="838"/>
      <c r="FB327" s="838"/>
      <c r="FC327" s="838"/>
      <c r="FD327" s="838"/>
      <c r="FE327" s="838"/>
      <c r="FF327" s="838"/>
      <c r="FG327" s="838"/>
      <c r="FH327" s="838"/>
      <c r="FI327" s="838"/>
      <c r="FJ327" s="838"/>
      <c r="FK327" s="838"/>
      <c r="FL327" s="838"/>
      <c r="FM327" s="838"/>
      <c r="FN327" s="838"/>
      <c r="FO327" s="838"/>
      <c r="FP327" s="838"/>
      <c r="GM327" s="858"/>
      <c r="GN327" s="838"/>
      <c r="GO327" s="858"/>
      <c r="GP327" s="858"/>
      <c r="GQ327" s="858"/>
      <c r="GR327" s="838"/>
      <c r="GS327" s="838"/>
      <c r="HF327" s="700">
        <v>72.5</v>
      </c>
      <c r="HH327" s="591">
        <v>72.5</v>
      </c>
    </row>
    <row r="328" spans="37:216" x14ac:dyDescent="0.35">
      <c r="AK328" s="777" t="b">
        <f>IF('4 SUP +'!$A49&gt;10,IF('4 SUP +'!$A49&lt;31.1,IF('4 SUP +'!$C49&gt;10,IF('4 SUP +'!$C49&lt;57.6,'4 SUP +'!$AB49,0))))</f>
        <v>0</v>
      </c>
      <c r="AL328" s="777" t="b">
        <f>IF('4 SUP +'!$A49&gt;10,IF('4 SUP +'!$A49&lt;31.1,IF('4 SUP +'!$C49&gt;57.6,IF('4 SUP +'!$C49&lt;71.6,'4 SUP +'!$AB49,0))))</f>
        <v>0</v>
      </c>
      <c r="AM328" s="777" t="b">
        <f>IF('4 SUP +'!$A49&gt;10,IF('4 SUP +'!$A49&lt;31.1,IF('4 SUP +'!$C49&gt;71.5,IF('4 SUP +'!$C49&lt;85.6,'4 SUP +'!$AB49,0))))</f>
        <v>0</v>
      </c>
      <c r="AN328" s="777" t="b">
        <f>IF('4 SUP +'!$A49&gt;10,IF('4 SUP +'!$A49&lt;31.1,IF('4 SUP +'!$C49&gt;85.5,IF('4 SUP +'!$C49&lt;113.6,'4 SUP +'!$AB49,0))))</f>
        <v>0</v>
      </c>
      <c r="AO328" s="777" t="b">
        <f>IF('4 SUP +'!$A49&gt;10,IF('4 SUP +'!$A49&lt;31.1,IF('4 SUP +'!$C49&gt;113.5,IF('4 SUP +'!$C49&lt;141.6,'4 SUP +'!$AB49,0))))</f>
        <v>0</v>
      </c>
      <c r="AP328" s="777" t="b">
        <f>IF('4 SUP +'!$A49&gt;10,IF('4 SUP +'!$A49&lt;31.1,IF('4 SUP +'!$C49&gt;141.5,IF('4 SUP +'!$C49&lt;180.6,'4 SUP +'!$AB49,0))))</f>
        <v>0</v>
      </c>
      <c r="AQ328" s="777" t="b">
        <f>IF('4 SUP +'!$A49&gt;10,IF('4 SUP +'!$A49&lt;31.1,IF('4 SUP +'!$C49&gt;180.5,IF('4 SUP +'!$C49&lt;240.1,'4 SUP +'!$AB49,0))))</f>
        <v>0</v>
      </c>
      <c r="AS328" s="777" t="b">
        <f>IF('4 SUP +'!$A49&gt;31,IF('4 SUP +'!$A49&lt;45.5,IF('4 SUP +'!$C49&gt;10,IF('4 SUP +'!$C49&lt;57.6,'4 SUP +'!$AB49,0))))</f>
        <v>0</v>
      </c>
      <c r="AT328" s="777" t="b">
        <f>IF('4 SUP +'!$A49&gt;31,IF('4 SUP +'!$A49&lt;45.5,IF('4 SUP +'!$C49&gt;57.6,IF('4 SUP +'!$C49&lt;71.6,'4 SUP +'!$AB49,0))))</f>
        <v>0</v>
      </c>
      <c r="AU328" s="777" t="b">
        <f>IF('4 SUP +'!$A49&gt;31,IF('4 SUP +'!$A49&lt;45.5,IF('4 SUP +'!$C49&gt;71.5,IF('4 SUP +'!$C49&lt;85.6,'4 SUP +'!$AB49,0))))</f>
        <v>0</v>
      </c>
      <c r="AV328" s="777" t="b">
        <f>IF('4 SUP +'!$A49&gt;31,IF('4 SUP +'!$A49&lt;45.5,IF('4 SUP +'!$C49&gt;85.5,IF('4 SUP +'!$C49&lt;113.6,'4 SUP +'!$AB49,0))))</f>
        <v>0</v>
      </c>
      <c r="AW328" s="777" t="b">
        <f>IF('4 SUP +'!$A49&gt;31,IF('4 SUP +'!$A49&lt;45.5,IF('4 SUP +'!$C49&gt;113.5,IF('4 SUP +'!$C49&lt;141.6,'4 SUP +'!$AB49,0))))</f>
        <v>0</v>
      </c>
      <c r="AX328" s="777" t="b">
        <f>IF('4 SUP +'!$A49&gt;31,IF('4 SUP +'!$A49&lt;45.5,IF('4 SUP +'!$C49&gt;141.5,IF('4 SUP +'!$C49&lt;180.6,'4 SUP +'!$AB49,0))))</f>
        <v>0</v>
      </c>
      <c r="AY328" s="777" t="b">
        <f>IF('4 SUP +'!$A49&gt;31,IF('4 SUP +'!$A49&lt;45.5,IF('4 SUP +'!$C49&gt;180.5,IF('4 SUP +'!$C49&lt;240.1,'4 SUP +'!$AB49,0))))</f>
        <v>0</v>
      </c>
      <c r="BA328" s="777" t="b">
        <f>IF('4 SUP +'!$A49&gt;45.4,IF('4 SUP +'!$A49&lt;61.6,IF('4 SUP +'!$C49&gt;10,IF('4 SUP +'!$C49&lt;61.5,'4 SUP +'!$AB49,0))))</f>
        <v>0</v>
      </c>
      <c r="BB328" s="777" t="b">
        <f>IF('4 SUP +'!$A49&gt;45.4,IF('4 SUP +'!$A49&lt;61.6,IF('4 SUP +'!$C49&gt;61.1,IF('4 SUP +'!$C49&lt;71.6,'4 SUP +'!$AB49,0))))</f>
        <v>0</v>
      </c>
      <c r="BC328" s="777" t="b">
        <f>IF('4 SUP +'!$A49&gt;45.4,IF('4 SUP +'!$A49&lt;61.6,IF('4 SUP +'!$C49&gt;71.5,IF('4 SUP +'!$C49&lt;85.6,'4 SUP +'!$AB49,0))))</f>
        <v>0</v>
      </c>
      <c r="BD328" s="777" t="b">
        <f>IF('4 SUP +'!$A49&gt;45.4,IF('4 SUP +'!$A49&lt;61.6,IF('4 SUP +'!$C49&gt;85.5,IF('4 SUP +'!$C49&lt;113.6,'4 SUP +'!$AB49,0))))</f>
        <v>0</v>
      </c>
      <c r="BE328" s="777" t="b">
        <f>IF('4 SUP +'!$A49&gt;45.4,IF('4 SUP +'!$A49&lt;61.6,IF('4 SUP +'!$C49&gt;113.5,IF('4 SUP +'!$C49&lt;121.6,'4 SUP +'!$AB49,0))))</f>
        <v>0</v>
      </c>
      <c r="BF328" s="777" t="b">
        <f>IF('4 SUP +'!$A49&gt;45.4,IF('4 SUP +'!$A49&lt;61.6,IF('4 SUP +'!$C49&gt;121.5,IF('4 SUP +'!$C49&lt;127.6,'4 SUP +'!$AB49,0))))</f>
        <v>0</v>
      </c>
      <c r="BG328" s="777" t="b">
        <f>IF('4 SUP +'!$A49&gt;45.4,IF('4 SUP +'!$A49&lt;61.6,IF('4 SUP +'!$C49&gt;127.5,IF('4 SUP +'!$C49&lt;135.1,'4 SUP +'!$AB49,0))))</f>
        <v>0</v>
      </c>
      <c r="BH328" s="777" t="b">
        <f>IF('4 SUP +'!$A49&gt;45.4,IF('4 SUP +'!$A49&lt;61.6,IF('4 SUP +'!$C49&gt;135,IF('4 SUP +'!$C49&lt;141.6,'4 SUP +'!$AB49,0))))</f>
        <v>0</v>
      </c>
      <c r="BI328" s="777" t="b">
        <f>IF('4 SUP +'!$A49&gt;45.4,IF('4 SUP +'!$A49&lt;61.6,IF('4 SUP +'!$C49&gt;141.5,IF('4 SUP +'!$C49&lt;149.1,'4 SUP +'!$AB49,0))))</f>
        <v>0</v>
      </c>
      <c r="BJ328" s="777" t="b">
        <f>IF('4 SUP +'!$A49&gt;45.4,IF('4 SUP +'!$A49&lt;61.6,IF('4 SUP +'!$C49&gt;149,IF('4 SUP +'!$C49&lt;155.6,'4 SUP +'!$AB49,0))))</f>
        <v>0</v>
      </c>
      <c r="BK328" s="777" t="b">
        <f>IF('4 SUP +'!$A49&gt;45.4,IF('4 SUP +'!$A49&lt;61.6,IF('4 SUP +'!$C49&gt;155.5,IF('4 SUP +'!$C49&lt;163.1,'4 SUP +'!$AB49,0))))</f>
        <v>0</v>
      </c>
      <c r="BL328" s="777" t="b">
        <f>IF('4 SUP +'!$A49&gt;45.4,IF('4 SUP +'!$A49&lt;61.6,IF('4 SUP +'!$C49&gt;163,IF('4 SUP +'!$C49&lt;180.6,'4 SUP +'!$AB49,0))))</f>
        <v>0</v>
      </c>
      <c r="BM328" s="777" t="b">
        <f>IF('4 SUP +'!$A49&gt;45.4,IF('4 SUP +'!$A49&lt;61.6,IF('4 SUP +'!$C49&gt;180.5,IF('4 SUP +'!$C49&lt;240.1,'4 SUP +'!$AB49,0))))</f>
        <v>0</v>
      </c>
      <c r="BP328" s="845"/>
      <c r="BR328" s="866"/>
      <c r="BS328" s="866"/>
      <c r="BT328" s="849"/>
      <c r="BV328" s="777" t="b">
        <f>IF('4 SUP +'!$A49&gt;61.5,IF('4 SUP +'!$A49&lt;71.6,IF('4 SUP +'!$C49&gt;10,IF('4 SUP +'!$C49&lt;57.6,'4 SUP +'!$AB49,0))))</f>
        <v>0</v>
      </c>
      <c r="BW328" s="777" t="b">
        <f>IF('4 SUP +'!$A49&gt;61.5,IF('4 SUP +'!$A49&lt;71.6,IF('4 SUP +'!$C49&gt;57.6,IF('4 SUP +'!$C49&lt;71.6,'4 SUP +'!$AB49,0))))</f>
        <v>0</v>
      </c>
      <c r="BX328" s="777" t="b">
        <f>IF('4 SUP +'!$A49&gt;61.5,IF('4 SUP +'!$A49&lt;71.6,IF('4 SUP +'!$C49&gt;71.5,IF('4 SUP +'!$C49&lt;85.6,'4 SUP +'!$AB49,0))))</f>
        <v>0</v>
      </c>
      <c r="BY328" s="777" t="b">
        <f>IF('4 SUP +'!$A49&gt;61.5,IF('4 SUP +'!$A49&lt;71.6,IF('4 SUP +'!$C49&gt;85.5,IF('4 SUP +'!$C49&lt;113.6,'4 SUP +'!$AB49,0))))</f>
        <v>0</v>
      </c>
      <c r="BZ328" s="777" t="b">
        <f>IF('4 SUP +'!$A49&gt;61.5,IF('4 SUP +'!$A49&lt;71.6,IF('4 SUP +'!$C49&gt;113.5,IF('4 SUP +'!$C49&lt;141.6,'4 SUP +'!$AB49,0))))</f>
        <v>0</v>
      </c>
      <c r="CA328" s="777" t="b">
        <f>IF('4 SUP +'!$A49&gt;61.5,IF('4 SUP +'!$A49&lt;71.6,IF('4 SUP +'!$C49&gt;141.5,IF('4 SUP +'!$C49&lt;149.1,'4 SUP +'!$AB49,0))))</f>
        <v>0</v>
      </c>
      <c r="CB328" s="777" t="b">
        <f>IF('4 SUP +'!$A49&gt;61.5,IF('4 SUP +'!$A49&lt;71.6,IF('4 SUP +'!$C49&gt;149,IF('4 SUP +'!$C49&lt;163.1,'4 SUP +'!$AB49,0))))</f>
        <v>0</v>
      </c>
      <c r="CC328" s="777" t="b">
        <f>IF('4 SUP +'!$A49&gt;61.5,IF('4 SUP +'!$A49&lt;71.6,IF('4 SUP +'!$C49&gt;163,IF('4 SUP +'!$C49&lt;180.6,'4 SUP +'!$AB49,0))))</f>
        <v>0</v>
      </c>
      <c r="CD328" s="777" t="b">
        <f>IF('4 SUP +'!$A49&gt;61.5,IF('4 SUP +'!$A49&lt;71.6,IF('4 SUP +'!$C49&gt;180.5,IF('4 SUP +'!$C49&lt;240.1,'4 SUP +'!$AB49,0))))</f>
        <v>0</v>
      </c>
      <c r="CF328" s="777" t="b">
        <f>IF('4 SUP +'!$A49&gt;71.5,IF('4 SUP +'!$A49&lt;120.6,IF('4 SUP +'!$C49&gt;10,IF('4 SUP +'!$C49&lt;57.6,'4 SUP +'!$AB49,0))))</f>
        <v>0</v>
      </c>
      <c r="CG328" s="777" t="b">
        <f>IF('4 SUP +'!$A49&gt;71.5,IF('4 SUP +'!$A49&lt;120.6,IF('4 SUP +'!$C49&gt;57.6,IF('4 SUP +'!$C49&lt;71.6,'4 SUP +'!$AB49,0))))</f>
        <v>0</v>
      </c>
      <c r="CH328" s="777" t="b">
        <f>IF('4 SUP +'!$A49&gt;71.5,IF('4 SUP +'!$A49&lt;120.6,IF('4 SUP +'!$C49&gt;71.5,IF('4 SUP +'!$C49&lt;85.6,'4 SUP +'!$AB49,0))))</f>
        <v>0</v>
      </c>
      <c r="CI328" s="777" t="b">
        <f>IF('4 SUP +'!$A49&gt;71.5,IF('4 SUP +'!$A49&lt;120.6,IF('4 SUP +'!$C49&gt;85.5,IF('4 SUP +'!$C49&lt;113.6,'4 SUP +'!$AB49,0))))</f>
        <v>0</v>
      </c>
      <c r="CJ328" s="777" t="b">
        <f>IF('4 SUP +'!$A49&gt;71.5,IF('4 SUP +'!$A49&lt;120.6,IF('4 SUP +'!$C49&gt;113.5,IF('4 SUP +'!$C49&lt;141.6,'4 SUP +'!$AB49,0))))</f>
        <v>0</v>
      </c>
      <c r="CK328" s="777" t="b">
        <f>IF('4 SUP +'!$A49&gt;71.5,IF('4 SUP +'!$A49&lt;120.6,IF('4 SUP +'!$C49&gt;141.5,IF('4 SUP +'!$C49&lt;180.6,'4 SUP +'!$AB49,0))))</f>
        <v>0</v>
      </c>
      <c r="CL328" s="777" t="b">
        <f>IF('4 SUP +'!$A49&gt;71.5,IF('4 SUP +'!$A49&lt;120.6,IF('4 SUP +'!$C49&gt;180.5,IF('4 SUP +'!$C49&lt;240.1,'4 SUP +'!$AB49,0))))</f>
        <v>0</v>
      </c>
      <c r="CN328" s="777">
        <f>IF('4 SUP +'!$C49&lt;150,IF(OR('4 SUP +'!$A49="MICRODER",'4 SUP +'!$A49="MICRO DER",),'4 SUP +'!$AB49,0))</f>
        <v>0</v>
      </c>
      <c r="CO328" s="777" t="b">
        <f>IF('4 SUP +'!$C49&gt;149.5,IF(OR('4 SUP +'!$A49="MICRODER",'4 SUP +'!$A49="MICRO DER",),'4 SUP +'!$AB49,0))</f>
        <v>0</v>
      </c>
      <c r="CP328" s="847"/>
      <c r="CQ328" s="777">
        <f>IF('4 SUP +'!$C49&lt;150,IF(OR('4 SUP +'!$A49="MICROIZQ",'4 SUP +'!$A49="MICRO IZQ",),'4 SUP +'!$AB49,0))</f>
        <v>0</v>
      </c>
      <c r="CR328" s="777" t="b">
        <f>IF('4 SUP +'!$C49&gt;149.5,IF(OR('4 SUP +'!$A49="MICROIZQ",'4 SUP +'!$A49="MICRO IZQ",),'4 SUP +'!$AB49,0))</f>
        <v>0</v>
      </c>
      <c r="CT328" s="837">
        <f>IF(OR('4 SUP +'!$A49="MICRO SEN",'4 SUP +'!$A49="MICROSEN",),'4 SUP +'!$AB49,0)</f>
        <v>0</v>
      </c>
      <c r="CV328" s="837" t="b">
        <f>IF('4 SUP +'!$A49="DIAMETRO",IF('4 SUP +'!$C49&lt;121.1,'4 SUP +'!$AB49,0))</f>
        <v>0</v>
      </c>
      <c r="CX328" s="858"/>
      <c r="CZ328" s="837" t="b">
        <f>IF('4 SUP +'!$A49="MOSTRADOR",IF('4 SUP +'!$C49="R60",'4 SUP +'!$AB49,0))</f>
        <v>0</v>
      </c>
      <c r="DB328" s="837">
        <f>IF(OR('4 SUP +'!$A49="PORTA PRIN",'4 SUP +'!$A49="PORTAPRIN",),'4 SUP +'!$AB49,0)</f>
        <v>0</v>
      </c>
      <c r="DD328" s="837">
        <f>IF(OR('4 SUP +'!$A49="PORTA BADE",'4 SUP +'!$A49="PORTABADE",),'4 SUP +'!$AB49,0)</f>
        <v>0</v>
      </c>
      <c r="DE328" s="837"/>
      <c r="DF328" s="837">
        <f>IF(OR('4 SUP +'!$A49="RETORNO IZQ",'4 SUP +'!$A49="RETORNO DER",),'4 SUP +'!$AB237,0)</f>
        <v>0</v>
      </c>
      <c r="DG328" s="837"/>
      <c r="DH328" s="837">
        <f>IF(OR('4 SUP +'!$A49="PITO Q",'4 SUP +'!$A49="PITO P",'4 SUP +'!$A49="DIAMETRO INTEGRADA",),'4 SUP +'!$AB49,0)</f>
        <v>0</v>
      </c>
      <c r="DJ328" s="858"/>
      <c r="DK328" s="837"/>
      <c r="DL328" s="837">
        <f>IF('4 SUP +'!$A49="SUPERFICIE OVAL",'4 SUP +'!$AB49,0)</f>
        <v>0</v>
      </c>
      <c r="DO328" s="838"/>
      <c r="DP328" s="838"/>
      <c r="DQ328" s="838"/>
      <c r="DR328" s="838"/>
      <c r="DS328" s="838"/>
      <c r="DT328" s="838"/>
      <c r="DU328" s="838"/>
      <c r="DV328" s="838"/>
      <c r="DW328" s="838"/>
      <c r="DX328" s="838"/>
      <c r="DY328" s="838"/>
      <c r="DZ328" s="838"/>
      <c r="EA328" s="838"/>
      <c r="EB328" s="838"/>
      <c r="EC328" s="838"/>
      <c r="ED328" s="838"/>
      <c r="EG328" s="682">
        <f>IF('4 SUP +'!A47="MICRO DER",85,IF('4 SUP +'!A47="MICRO IZQ",85,IF('4 SUP +'!A47="MICRO SEN",170,IF('4 SUP +'!A47="DIAMETRO",3.14*'4 SUP +'!C47/2,IF('4 SUP +'!A47="MOSTRADOR",136,IF('4 SUP +'!A47="PORTA",65,IF('4 SUP +'!A47="PITO Q",90,IF('4 SUP +'!A47="PITO P",90,'4 SUP +'!A47))))))))</f>
        <v>0</v>
      </c>
      <c r="EH328" s="682"/>
      <c r="EI328" s="682">
        <f>IF('4 SUP +'!A47="DIAMETRO",0,IF('4 SUP +'!C47="PRINCIPAL",160,IF('4 SUP +'!C47="BADE",190,IF('4 SUP +'!C47="RETORNO",100,IF('4 SUP +'!C47="R 60",100,IF('4 SUP +'!C47="R60",100,'4 SUP +'!C47))))))</f>
        <v>0</v>
      </c>
      <c r="EJ328" s="682"/>
      <c r="EK328" s="682">
        <f>IF('4 SUP +'!$F47='4 SUP +'!$AG$15,((EG328*2)+(EI328*2))*'4 SUP +'!AB47,0)</f>
        <v>0</v>
      </c>
      <c r="EL328" s="682"/>
      <c r="EM328" s="682">
        <f>IF('4 SUP +'!$F47='4 SUP +'!$AG$16,((EG328*2)+(EI328*2))*'4 SUP +'!AB47,0)</f>
        <v>0</v>
      </c>
      <c r="EO328" s="682">
        <f>IF('4 SUP +'!$F47='4 SUP +'!$AG$17,((EG328*2)+(EI328*2))*'4 SUP +'!AB47,0)</f>
        <v>0</v>
      </c>
      <c r="EP328" s="838"/>
      <c r="EQ328" s="682">
        <f>IF('4 SUP +'!$F47='4 SUP +'!$AG$18,((EG328*2)+(EI328*2))*'4 SUP +'!AB47,0)</f>
        <v>0</v>
      </c>
      <c r="ER328" s="838"/>
      <c r="ES328" s="858"/>
      <c r="ET328" s="858"/>
      <c r="EU328" s="858"/>
      <c r="EV328" s="858"/>
      <c r="EW328" s="838"/>
      <c r="EX328" s="838"/>
      <c r="EY328" s="838"/>
      <c r="EZ328" s="838"/>
      <c r="FA328" s="838"/>
      <c r="FB328" s="838"/>
      <c r="FC328" s="838"/>
      <c r="FD328" s="838"/>
      <c r="FE328" s="838"/>
      <c r="FF328" s="838"/>
      <c r="FG328" s="838"/>
      <c r="FH328" s="838"/>
      <c r="FI328" s="838"/>
      <c r="FJ328" s="838"/>
      <c r="FK328" s="838"/>
      <c r="FL328" s="838"/>
      <c r="FM328" s="838"/>
      <c r="FN328" s="838"/>
      <c r="FO328" s="838"/>
      <c r="FP328" s="838"/>
      <c r="GM328" s="858"/>
      <c r="GN328" s="838"/>
      <c r="GO328" s="858"/>
      <c r="GP328" s="858"/>
      <c r="GQ328" s="858"/>
      <c r="GR328" s="838"/>
      <c r="GS328" s="838"/>
      <c r="HF328" s="700">
        <v>73</v>
      </c>
      <c r="HH328" s="591">
        <v>73</v>
      </c>
    </row>
    <row r="329" spans="37:216" ht="26.25" x14ac:dyDescent="0.4">
      <c r="AK329" s="777" t="b">
        <f>IF('4 SUP +'!$A50&gt;10,IF('4 SUP +'!$A50&lt;31.1,IF('4 SUP +'!$C50&gt;10,IF('4 SUP +'!$C50&lt;57.6,'4 SUP +'!$AB50,0))))</f>
        <v>0</v>
      </c>
      <c r="AL329" s="777" t="b">
        <f>IF('4 SUP +'!$A50&gt;10,IF('4 SUP +'!$A50&lt;31.1,IF('4 SUP +'!$C50&gt;57.6,IF('4 SUP +'!$C50&lt;71.6,'4 SUP +'!$AB50,0))))</f>
        <v>0</v>
      </c>
      <c r="AM329" s="777" t="b">
        <f>IF('4 SUP +'!$A50&gt;10,IF('4 SUP +'!$A50&lt;31.1,IF('4 SUP +'!$C50&gt;71.5,IF('4 SUP +'!$C50&lt;85.6,'4 SUP +'!$AB50,0))))</f>
        <v>0</v>
      </c>
      <c r="AN329" s="777" t="b">
        <f>IF('4 SUP +'!$A50&gt;10,IF('4 SUP +'!$A50&lt;31.1,IF('4 SUP +'!$C50&gt;85.5,IF('4 SUP +'!$C50&lt;113.6,'4 SUP +'!$AB50,0))))</f>
        <v>0</v>
      </c>
      <c r="AO329" s="777" t="b">
        <f>IF('4 SUP +'!$A50&gt;10,IF('4 SUP +'!$A50&lt;31.1,IF('4 SUP +'!$C50&gt;113.5,IF('4 SUP +'!$C50&lt;141.6,'4 SUP +'!$AB50,0))))</f>
        <v>0</v>
      </c>
      <c r="AP329" s="777" t="b">
        <f>IF('4 SUP +'!$A50&gt;10,IF('4 SUP +'!$A50&lt;31.1,IF('4 SUP +'!$C50&gt;141.5,IF('4 SUP +'!$C50&lt;180.6,'4 SUP +'!$AB50,0))))</f>
        <v>0</v>
      </c>
      <c r="AQ329" s="777" t="b">
        <f>IF('4 SUP +'!$A50&gt;10,IF('4 SUP +'!$A50&lt;31.1,IF('4 SUP +'!$C50&gt;180.5,IF('4 SUP +'!$C50&lt;240.1,'4 SUP +'!$AB50,0))))</f>
        <v>0</v>
      </c>
      <c r="AS329" s="777" t="b">
        <f>IF('4 SUP +'!$A50&gt;31,IF('4 SUP +'!$A50&lt;45.5,IF('4 SUP +'!$C50&gt;10,IF('4 SUP +'!$C50&lt;57.6,'4 SUP +'!$AB50,0))))</f>
        <v>0</v>
      </c>
      <c r="AT329" s="777" t="b">
        <f>IF('4 SUP +'!$A50&gt;31,IF('4 SUP +'!$A50&lt;45.5,IF('4 SUP +'!$C50&gt;57.6,IF('4 SUP +'!$C50&lt;71.6,'4 SUP +'!$AB50,0))))</f>
        <v>0</v>
      </c>
      <c r="AU329" s="777" t="b">
        <f>IF('4 SUP +'!$A50&gt;31,IF('4 SUP +'!$A50&lt;45.5,IF('4 SUP +'!$C50&gt;71.5,IF('4 SUP +'!$C50&lt;85.6,'4 SUP +'!$AB50,0))))</f>
        <v>0</v>
      </c>
      <c r="AV329" s="777" t="b">
        <f>IF('4 SUP +'!$A50&gt;31,IF('4 SUP +'!$A50&lt;45.5,IF('4 SUP +'!$C50&gt;85.5,IF('4 SUP +'!$C50&lt;113.6,'4 SUP +'!$AB50,0))))</f>
        <v>0</v>
      </c>
      <c r="AW329" s="777" t="b">
        <f>IF('4 SUP +'!$A50&gt;31,IF('4 SUP +'!$A50&lt;45.5,IF('4 SUP +'!$C50&gt;113.5,IF('4 SUP +'!$C50&lt;141.6,'4 SUP +'!$AB50,0))))</f>
        <v>0</v>
      </c>
      <c r="AX329" s="777" t="b">
        <f>IF('4 SUP +'!$A50&gt;31,IF('4 SUP +'!$A50&lt;45.5,IF('4 SUP +'!$C50&gt;141.5,IF('4 SUP +'!$C50&lt;180.6,'4 SUP +'!$AB50,0))))</f>
        <v>0</v>
      </c>
      <c r="AY329" s="777" t="b">
        <f>IF('4 SUP +'!$A50&gt;31,IF('4 SUP +'!$A50&lt;45.5,IF('4 SUP +'!$C50&gt;180.5,IF('4 SUP +'!$C50&lt;240.1,'4 SUP +'!$AB50,0))))</f>
        <v>0</v>
      </c>
      <c r="BA329" s="777" t="b">
        <f>IF('4 SUP +'!$A50&gt;45.4,IF('4 SUP +'!$A50&lt;61.6,IF('4 SUP +'!$C50&gt;10,IF('4 SUP +'!$C50&lt;61.5,'4 SUP +'!$AB50,0))))</f>
        <v>0</v>
      </c>
      <c r="BB329" s="777" t="b">
        <f>IF('4 SUP +'!$A50&gt;45.4,IF('4 SUP +'!$A50&lt;61.6,IF('4 SUP +'!$C50&gt;61.1,IF('4 SUP +'!$C50&lt;71.6,'4 SUP +'!$AB50,0))))</f>
        <v>0</v>
      </c>
      <c r="BC329" s="777" t="b">
        <f>IF('4 SUP +'!$A50&gt;45.4,IF('4 SUP +'!$A50&lt;61.6,IF('4 SUP +'!$C50&gt;71.5,IF('4 SUP +'!$C50&lt;85.6,'4 SUP +'!$AB50,0))))</f>
        <v>0</v>
      </c>
      <c r="BD329" s="777" t="b">
        <f>IF('4 SUP +'!$A50&gt;45.4,IF('4 SUP +'!$A50&lt;61.6,IF('4 SUP +'!$C50&gt;85.5,IF('4 SUP +'!$C50&lt;113.6,'4 SUP +'!$AB50,0))))</f>
        <v>0</v>
      </c>
      <c r="BE329" s="777" t="b">
        <f>IF('4 SUP +'!$A50&gt;45.4,IF('4 SUP +'!$A50&lt;61.6,IF('4 SUP +'!$C50&gt;113.5,IF('4 SUP +'!$C50&lt;121.6,'4 SUP +'!$AB50,0))))</f>
        <v>0</v>
      </c>
      <c r="BF329" s="777" t="b">
        <f>IF('4 SUP +'!$A50&gt;45.4,IF('4 SUP +'!$A50&lt;61.6,IF('4 SUP +'!$C50&gt;121.5,IF('4 SUP +'!$C50&lt;127.6,'4 SUP +'!$AB50,0))))</f>
        <v>0</v>
      </c>
      <c r="BG329" s="777" t="b">
        <f>IF('4 SUP +'!$A50&gt;45.4,IF('4 SUP +'!$A50&lt;61.6,IF('4 SUP +'!$C50&gt;127.5,IF('4 SUP +'!$C50&lt;135.1,'4 SUP +'!$AB50,0))))</f>
        <v>0</v>
      </c>
      <c r="BH329" s="777" t="b">
        <f>IF('4 SUP +'!$A50&gt;45.4,IF('4 SUP +'!$A50&lt;61.6,IF('4 SUP +'!$C50&gt;135,IF('4 SUP +'!$C50&lt;141.6,'4 SUP +'!$AB50,0))))</f>
        <v>0</v>
      </c>
      <c r="BI329" s="777" t="b">
        <f>IF('4 SUP +'!$A50&gt;45.4,IF('4 SUP +'!$A50&lt;61.6,IF('4 SUP +'!$C50&gt;141.5,IF('4 SUP +'!$C50&lt;149.1,'4 SUP +'!$AB50,0))))</f>
        <v>0</v>
      </c>
      <c r="BJ329" s="777" t="b">
        <f>IF('4 SUP +'!$A50&gt;45.4,IF('4 SUP +'!$A50&lt;61.6,IF('4 SUP +'!$C50&gt;149,IF('4 SUP +'!$C50&lt;155.6,'4 SUP +'!$AB50,0))))</f>
        <v>0</v>
      </c>
      <c r="BK329" s="777" t="b">
        <f>IF('4 SUP +'!$A50&gt;45.4,IF('4 SUP +'!$A50&lt;61.6,IF('4 SUP +'!$C50&gt;155.5,IF('4 SUP +'!$C50&lt;163.1,'4 SUP +'!$AB50,0))))</f>
        <v>0</v>
      </c>
      <c r="BL329" s="777" t="b">
        <f>IF('4 SUP +'!$A50&gt;45.4,IF('4 SUP +'!$A50&lt;61.6,IF('4 SUP +'!$C50&gt;163,IF('4 SUP +'!$C50&lt;180.6,'4 SUP +'!$AB50,0))))</f>
        <v>0</v>
      </c>
      <c r="BM329" s="777" t="b">
        <f>IF('4 SUP +'!$A50&gt;45.4,IF('4 SUP +'!$A50&lt;61.6,IF('4 SUP +'!$C50&gt;180.5,IF('4 SUP +'!$C50&lt;240.1,'4 SUP +'!$AB50,0))))</f>
        <v>0</v>
      </c>
      <c r="BO329" s="869" t="s">
        <v>508</v>
      </c>
      <c r="BQ329" s="870">
        <f>+$AK$337</f>
        <v>0</v>
      </c>
      <c r="BS329" s="869"/>
      <c r="BT329" s="870">
        <f>+$AK$340</f>
        <v>0</v>
      </c>
      <c r="BV329" s="777" t="b">
        <f>IF('4 SUP +'!$A50&gt;61.5,IF('4 SUP +'!$A50&lt;71.6,IF('4 SUP +'!$C50&gt;10,IF('4 SUP +'!$C50&lt;57.6,'4 SUP +'!$AB50,0))))</f>
        <v>0</v>
      </c>
      <c r="BW329" s="777" t="b">
        <f>IF('4 SUP +'!$A50&gt;61.5,IF('4 SUP +'!$A50&lt;71.6,IF('4 SUP +'!$C50&gt;57.6,IF('4 SUP +'!$C50&lt;71.6,'4 SUP +'!$AB50,0))))</f>
        <v>0</v>
      </c>
      <c r="BX329" s="777" t="b">
        <f>IF('4 SUP +'!$A50&gt;61.5,IF('4 SUP +'!$A50&lt;71.6,IF('4 SUP +'!$C50&gt;71.5,IF('4 SUP +'!$C50&lt;85.6,'4 SUP +'!$AB50,0))))</f>
        <v>0</v>
      </c>
      <c r="BY329" s="777" t="b">
        <f>IF('4 SUP +'!$A50&gt;61.5,IF('4 SUP +'!$A50&lt;71.6,IF('4 SUP +'!$C50&gt;85.5,IF('4 SUP +'!$C50&lt;113.6,'4 SUP +'!$AB50,0))))</f>
        <v>0</v>
      </c>
      <c r="BZ329" s="777" t="b">
        <f>IF('4 SUP +'!$A50&gt;61.5,IF('4 SUP +'!$A50&lt;71.6,IF('4 SUP +'!$C50&gt;113.5,IF('4 SUP +'!$C50&lt;141.6,'4 SUP +'!$AB50,0))))</f>
        <v>0</v>
      </c>
      <c r="CA329" s="777" t="b">
        <f>IF('4 SUP +'!$A50&gt;61.5,IF('4 SUP +'!$A50&lt;71.6,IF('4 SUP +'!$C50&gt;141.5,IF('4 SUP +'!$C50&lt;149.1,'4 SUP +'!$AB50,0))))</f>
        <v>0</v>
      </c>
      <c r="CB329" s="777" t="b">
        <f>IF('4 SUP +'!$A50&gt;61.5,IF('4 SUP +'!$A50&lt;71.6,IF('4 SUP +'!$C50&gt;149,IF('4 SUP +'!$C50&lt;163.1,'4 SUP +'!$AB50,0))))</f>
        <v>0</v>
      </c>
      <c r="CC329" s="777" t="b">
        <f>IF('4 SUP +'!$A50&gt;61.5,IF('4 SUP +'!$A50&lt;71.6,IF('4 SUP +'!$C50&gt;163,IF('4 SUP +'!$C50&lt;180.6,'4 SUP +'!$AB50,0))))</f>
        <v>0</v>
      </c>
      <c r="CD329" s="777" t="b">
        <f>IF('4 SUP +'!$A50&gt;61.5,IF('4 SUP +'!$A50&lt;71.6,IF('4 SUP +'!$C50&gt;180.5,IF('4 SUP +'!$C50&lt;240.1,'4 SUP +'!$AB50,0))))</f>
        <v>0</v>
      </c>
      <c r="CF329" s="777" t="b">
        <f>IF('4 SUP +'!$A50&gt;71.5,IF('4 SUP +'!$A50&lt;120.6,IF('4 SUP +'!$C50&gt;10,IF('4 SUP +'!$C50&lt;57.6,'4 SUP +'!$AB50,0))))</f>
        <v>0</v>
      </c>
      <c r="CG329" s="777" t="b">
        <f>IF('4 SUP +'!$A50&gt;71.5,IF('4 SUP +'!$A50&lt;120.6,IF('4 SUP +'!$C50&gt;57.6,IF('4 SUP +'!$C50&lt;71.6,'4 SUP +'!$AB50,0))))</f>
        <v>0</v>
      </c>
      <c r="CH329" s="777" t="b">
        <f>IF('4 SUP +'!$A50&gt;71.5,IF('4 SUP +'!$A50&lt;120.6,IF('4 SUP +'!$C50&gt;71.5,IF('4 SUP +'!$C50&lt;85.6,'4 SUP +'!$AB50,0))))</f>
        <v>0</v>
      </c>
      <c r="CI329" s="777" t="b">
        <f>IF('4 SUP +'!$A50&gt;71.5,IF('4 SUP +'!$A50&lt;120.6,IF('4 SUP +'!$C50&gt;85.5,IF('4 SUP +'!$C50&lt;113.6,'4 SUP +'!$AB50,0))))</f>
        <v>0</v>
      </c>
      <c r="CJ329" s="777" t="b">
        <f>IF('4 SUP +'!$A50&gt;71.5,IF('4 SUP +'!$A50&lt;120.6,IF('4 SUP +'!$C50&gt;113.5,IF('4 SUP +'!$C50&lt;141.6,'4 SUP +'!$AB50,0))))</f>
        <v>0</v>
      </c>
      <c r="CK329" s="777" t="b">
        <f>IF('4 SUP +'!$A50&gt;71.5,IF('4 SUP +'!$A50&lt;120.6,IF('4 SUP +'!$C50&gt;141.5,IF('4 SUP +'!$C50&lt;180.6,'4 SUP +'!$AB50,0))))</f>
        <v>0</v>
      </c>
      <c r="CL329" s="777" t="b">
        <f>IF('4 SUP +'!$A50&gt;71.5,IF('4 SUP +'!$A50&lt;120.6,IF('4 SUP +'!$C50&gt;180.5,IF('4 SUP +'!$C50&lt;240.1,'4 SUP +'!$AB50,0))))</f>
        <v>0</v>
      </c>
      <c r="CN329" s="777">
        <f>IF('4 SUP +'!$C50&lt;150,IF(OR('4 SUP +'!$A50="MICRODER",'4 SUP +'!$A50="MICRO DER",),'4 SUP +'!$AB50,0))</f>
        <v>0</v>
      </c>
      <c r="CO329" s="777" t="b">
        <f>IF('4 SUP +'!$C50&gt;149.5,IF(OR('4 SUP +'!$A50="MICRODER",'4 SUP +'!$A50="MICRO DER",),'4 SUP +'!$AB50,0))</f>
        <v>0</v>
      </c>
      <c r="CP329" s="847"/>
      <c r="CQ329" s="777">
        <f>IF('4 SUP +'!$C50&lt;150,IF(OR('4 SUP +'!$A50="MICROIZQ",'4 SUP +'!$A50="MICRO IZQ",),'4 SUP +'!$AB50,0))</f>
        <v>0</v>
      </c>
      <c r="CR329" s="777" t="b">
        <f>IF('4 SUP +'!$C50&gt;149.5,IF(OR('4 SUP +'!$A50="MICROIZQ",'4 SUP +'!$A50="MICRO IZQ",),'4 SUP +'!$AB50,0))</f>
        <v>0</v>
      </c>
      <c r="CT329" s="837">
        <f>IF(OR('4 SUP +'!$A50="MICRO SEN",'4 SUP +'!$A50="MICROSEN",),'4 SUP +'!$AB50,0)</f>
        <v>0</v>
      </c>
      <c r="CV329" s="837" t="b">
        <f>IF('4 SUP +'!$A50="DIAMETRO",IF('4 SUP +'!$C50&lt;121.1,'4 SUP +'!$AB50,0))</f>
        <v>0</v>
      </c>
      <c r="CX329" s="858"/>
      <c r="CZ329" s="837" t="b">
        <f>IF('4 SUP +'!$A50="MOSTRADOR",IF('4 SUP +'!$C50="R60",'4 SUP +'!$AB50,0))</f>
        <v>0</v>
      </c>
      <c r="DB329" s="837">
        <f>IF(OR('4 SUP +'!$A50="PORTA PRIN",'4 SUP +'!$A50="PORTAPRIN",),'4 SUP +'!$AB50,0)</f>
        <v>0</v>
      </c>
      <c r="DD329" s="837">
        <f>IF(OR('4 SUP +'!$A50="PORTA BADE",'4 SUP +'!$A50="PORTABADE",),'4 SUP +'!$AB50,0)</f>
        <v>0</v>
      </c>
      <c r="DE329" s="837"/>
      <c r="DF329" s="837">
        <f>IF(OR('4 SUP +'!$A50="RETORNO IZQ",'4 SUP +'!$A50="RETORNO DER",),'4 SUP +'!$AB238,0)</f>
        <v>0</v>
      </c>
      <c r="DG329" s="837"/>
      <c r="DH329" s="837">
        <f>IF(OR('4 SUP +'!$A50="PITO Q",'4 SUP +'!$A50="PITO P",'4 SUP +'!$A50="DIAMETRO INTEGRADA",),'4 SUP +'!$AB50,0)</f>
        <v>0</v>
      </c>
      <c r="DJ329" s="858"/>
      <c r="DK329" s="837"/>
      <c r="DL329" s="837">
        <f>IF('4 SUP +'!$A50="SUPERFICIE OVAL",'4 SUP +'!$AB50,0)</f>
        <v>0</v>
      </c>
      <c r="DO329" s="838"/>
      <c r="DP329" s="838"/>
      <c r="DQ329" s="838"/>
      <c r="DR329" s="838"/>
      <c r="DS329" s="838"/>
      <c r="DT329" s="838"/>
      <c r="DU329" s="838"/>
      <c r="DV329" s="838"/>
      <c r="DW329" s="838"/>
      <c r="DX329" s="838"/>
      <c r="DY329" s="838"/>
      <c r="DZ329" s="838"/>
      <c r="EA329" s="838"/>
      <c r="EB329" s="838"/>
      <c r="EC329" s="838"/>
      <c r="ED329" s="838"/>
      <c r="EG329" s="682">
        <f>IF('4 SUP +'!A48="MICRO DER",85,IF('4 SUP +'!A48="MICRO IZQ",85,IF('4 SUP +'!A48="MICRO SEN",170,IF('4 SUP +'!A48="DIAMETRO",3.14*'4 SUP +'!C48/2,IF('4 SUP +'!A48="MOSTRADOR",136,IF('4 SUP +'!A48="PORTA",65,IF('4 SUP +'!A48="PITO Q",90,IF('4 SUP +'!A48="PITO P",90,'4 SUP +'!A48))))))))</f>
        <v>0</v>
      </c>
      <c r="EH329" s="682"/>
      <c r="EI329" s="682">
        <f>IF('4 SUP +'!A48="DIAMETRO",0,IF('4 SUP +'!C48="PRINCIPAL",160,IF('4 SUP +'!C48="BADE",190,IF('4 SUP +'!C48="RETORNO",100,IF('4 SUP +'!C48="R 60",100,IF('4 SUP +'!C48="R60",100,'4 SUP +'!C48))))))</f>
        <v>0</v>
      </c>
      <c r="EJ329" s="682"/>
      <c r="EK329" s="682">
        <f>IF('4 SUP +'!$F48='4 SUP +'!$AG$15,((EG329*2)+(EI329*2))*'4 SUP +'!AB48,0)</f>
        <v>0</v>
      </c>
      <c r="EL329" s="682"/>
      <c r="EM329" s="682">
        <f>IF('4 SUP +'!$F48='4 SUP +'!$AG$16,((EG329*2)+(EI329*2))*'4 SUP +'!AB48,0)</f>
        <v>0</v>
      </c>
      <c r="EO329" s="682">
        <f>IF('4 SUP +'!$F48='4 SUP +'!$AG$17,((EG329*2)+(EI329*2))*'4 SUP +'!AB48,0)</f>
        <v>0</v>
      </c>
      <c r="EP329" s="838"/>
      <c r="EQ329" s="682">
        <f>IF('4 SUP +'!$F48='4 SUP +'!$AG$18,((EG329*2)+(EI329*2))*'4 SUP +'!AB48,0)</f>
        <v>0</v>
      </c>
      <c r="ER329" s="838"/>
      <c r="ES329" s="858"/>
      <c r="ET329" s="858"/>
      <c r="EU329" s="858"/>
      <c r="EV329" s="858"/>
      <c r="EW329" s="838"/>
      <c r="EX329" s="838"/>
      <c r="EY329" s="838"/>
      <c r="EZ329" s="838"/>
      <c r="FA329" s="838"/>
      <c r="FB329" s="838"/>
      <c r="FC329" s="838"/>
      <c r="FD329" s="838"/>
      <c r="FE329" s="838"/>
      <c r="FF329" s="838"/>
      <c r="FG329" s="838"/>
      <c r="FH329" s="838"/>
      <c r="FI329" s="838"/>
      <c r="FJ329" s="838"/>
      <c r="FK329" s="838"/>
      <c r="FL329" s="838"/>
      <c r="FM329" s="838"/>
      <c r="FN329" s="838"/>
      <c r="FO329" s="838"/>
      <c r="FP329" s="838"/>
      <c r="GM329" s="858"/>
      <c r="GN329" s="838"/>
      <c r="GO329" s="858"/>
      <c r="GP329" s="858"/>
      <c r="GQ329" s="858"/>
      <c r="GR329" s="838"/>
      <c r="GS329" s="838"/>
      <c r="HF329" s="700">
        <v>73.5</v>
      </c>
      <c r="HH329" s="591">
        <v>73.5</v>
      </c>
    </row>
    <row r="330" spans="37:216" ht="26.25" x14ac:dyDescent="0.4">
      <c r="AK330" s="777" t="b">
        <f>IF('4 SUP +'!$A51&gt;10,IF('4 SUP +'!$A51&lt;31.1,IF('4 SUP +'!$C51&gt;10,IF('4 SUP +'!$C51&lt;57.6,'4 SUP +'!$AB51,0))))</f>
        <v>0</v>
      </c>
      <c r="AL330" s="777" t="b">
        <f>IF('4 SUP +'!$A51&gt;10,IF('4 SUP +'!$A51&lt;31.1,IF('4 SUP +'!$C51&gt;57.6,IF('4 SUP +'!$C51&lt;71.6,'4 SUP +'!$AB51,0))))</f>
        <v>0</v>
      </c>
      <c r="AM330" s="777" t="b">
        <f>IF('4 SUP +'!$A51&gt;10,IF('4 SUP +'!$A51&lt;31.1,IF('4 SUP +'!$C51&gt;71.5,IF('4 SUP +'!$C51&lt;85.6,'4 SUP +'!$AB51,0))))</f>
        <v>0</v>
      </c>
      <c r="AN330" s="777" t="b">
        <f>IF('4 SUP +'!$A51&gt;10,IF('4 SUP +'!$A51&lt;31.1,IF('4 SUP +'!$C51&gt;85.5,IF('4 SUP +'!$C51&lt;113.6,'4 SUP +'!$AB51,0))))</f>
        <v>0</v>
      </c>
      <c r="AO330" s="777" t="b">
        <f>IF('4 SUP +'!$A51&gt;10,IF('4 SUP +'!$A51&lt;31.1,IF('4 SUP +'!$C51&gt;113.5,IF('4 SUP +'!$C51&lt;141.6,'4 SUP +'!$AB51,0))))</f>
        <v>0</v>
      </c>
      <c r="AP330" s="777" t="b">
        <f>IF('4 SUP +'!$A51&gt;10,IF('4 SUP +'!$A51&lt;31.1,IF('4 SUP +'!$C51&gt;141.5,IF('4 SUP +'!$C51&lt;180.6,'4 SUP +'!$AB51,0))))</f>
        <v>0</v>
      </c>
      <c r="AQ330" s="777" t="b">
        <f>IF('4 SUP +'!$A51&gt;10,IF('4 SUP +'!$A51&lt;31.1,IF('4 SUP +'!$C51&gt;180.5,IF('4 SUP +'!$C51&lt;240.1,'4 SUP +'!$AB51,0))))</f>
        <v>0</v>
      </c>
      <c r="AS330" s="777" t="b">
        <f>IF('4 SUP +'!$A51&gt;31,IF('4 SUP +'!$A51&lt;45.5,IF('4 SUP +'!$C51&gt;10,IF('4 SUP +'!$C51&lt;57.6,'4 SUP +'!$AB51,0))))</f>
        <v>0</v>
      </c>
      <c r="AT330" s="777" t="b">
        <f>IF('4 SUP +'!$A51&gt;31,IF('4 SUP +'!$A51&lt;45.5,IF('4 SUP +'!$C51&gt;57.6,IF('4 SUP +'!$C51&lt;71.6,'4 SUP +'!$AB51,0))))</f>
        <v>0</v>
      </c>
      <c r="AU330" s="777" t="b">
        <f>IF('4 SUP +'!$A51&gt;31,IF('4 SUP +'!$A51&lt;45.5,IF('4 SUP +'!$C51&gt;71.5,IF('4 SUP +'!$C51&lt;85.6,'4 SUP +'!$AB51,0))))</f>
        <v>0</v>
      </c>
      <c r="AV330" s="777" t="b">
        <f>IF('4 SUP +'!$A51&gt;31,IF('4 SUP +'!$A51&lt;45.5,IF('4 SUP +'!$C51&gt;85.5,IF('4 SUP +'!$C51&lt;113.6,'4 SUP +'!$AB51,0))))</f>
        <v>0</v>
      </c>
      <c r="AW330" s="777" t="b">
        <f>IF('4 SUP +'!$A51&gt;31,IF('4 SUP +'!$A51&lt;45.5,IF('4 SUP +'!$C51&gt;113.5,IF('4 SUP +'!$C51&lt;141.6,'4 SUP +'!$AB51,0))))</f>
        <v>0</v>
      </c>
      <c r="AX330" s="777" t="b">
        <f>IF('4 SUP +'!$A51&gt;31,IF('4 SUP +'!$A51&lt;45.5,IF('4 SUP +'!$C51&gt;141.5,IF('4 SUP +'!$C51&lt;180.6,'4 SUP +'!$AB51,0))))</f>
        <v>0</v>
      </c>
      <c r="AY330" s="777" t="b">
        <f>IF('4 SUP +'!$A51&gt;31,IF('4 SUP +'!$A51&lt;45.5,IF('4 SUP +'!$C51&gt;180.5,IF('4 SUP +'!$C51&lt;240.1,'4 SUP +'!$AB51,0))))</f>
        <v>0</v>
      </c>
      <c r="BA330" s="777" t="b">
        <f>IF('4 SUP +'!$A51&gt;45.4,IF('4 SUP +'!$A51&lt;61.6,IF('4 SUP +'!$C51&gt;10,IF('4 SUP +'!$C51&lt;61.5,'4 SUP +'!$AB51,0))))</f>
        <v>0</v>
      </c>
      <c r="BB330" s="777" t="b">
        <f>IF('4 SUP +'!$A51&gt;45.4,IF('4 SUP +'!$A51&lt;61.6,IF('4 SUP +'!$C51&gt;61.1,IF('4 SUP +'!$C51&lt;71.6,'4 SUP +'!$AB51,0))))</f>
        <v>0</v>
      </c>
      <c r="BC330" s="777" t="b">
        <f>IF('4 SUP +'!$A51&gt;45.4,IF('4 SUP +'!$A51&lt;61.6,IF('4 SUP +'!$C51&gt;71.5,IF('4 SUP +'!$C51&lt;85.6,'4 SUP +'!$AB51,0))))</f>
        <v>0</v>
      </c>
      <c r="BD330" s="777" t="b">
        <f>IF('4 SUP +'!$A51&gt;45.4,IF('4 SUP +'!$A51&lt;61.6,IF('4 SUP +'!$C51&gt;85.5,IF('4 SUP +'!$C51&lt;113.6,'4 SUP +'!$AB51,0))))</f>
        <v>0</v>
      </c>
      <c r="BE330" s="777" t="b">
        <f>IF('4 SUP +'!$A51&gt;45.4,IF('4 SUP +'!$A51&lt;61.6,IF('4 SUP +'!$C51&gt;113.5,IF('4 SUP +'!$C51&lt;121.6,'4 SUP +'!$AB51,0))))</f>
        <v>0</v>
      </c>
      <c r="BF330" s="777" t="b">
        <f>IF('4 SUP +'!$A51&gt;45.4,IF('4 SUP +'!$A51&lt;61.6,IF('4 SUP +'!$C51&gt;121.5,IF('4 SUP +'!$C51&lt;127.6,'4 SUP +'!$AB51,0))))</f>
        <v>0</v>
      </c>
      <c r="BG330" s="777" t="b">
        <f>IF('4 SUP +'!$A51&gt;45.4,IF('4 SUP +'!$A51&lt;61.6,IF('4 SUP +'!$C51&gt;127.5,IF('4 SUP +'!$C51&lt;135.1,'4 SUP +'!$AB51,0))))</f>
        <v>0</v>
      </c>
      <c r="BH330" s="777" t="b">
        <f>IF('4 SUP +'!$A51&gt;45.4,IF('4 SUP +'!$A51&lt;61.6,IF('4 SUP +'!$C51&gt;135,IF('4 SUP +'!$C51&lt;141.6,'4 SUP +'!$AB51,0))))</f>
        <v>0</v>
      </c>
      <c r="BI330" s="777" t="b">
        <f>IF('4 SUP +'!$A51&gt;45.4,IF('4 SUP +'!$A51&lt;61.6,IF('4 SUP +'!$C51&gt;141.5,IF('4 SUP +'!$C51&lt;149.1,'4 SUP +'!$AB51,0))))</f>
        <v>0</v>
      </c>
      <c r="BJ330" s="777" t="b">
        <f>IF('4 SUP +'!$A51&gt;45.4,IF('4 SUP +'!$A51&lt;61.6,IF('4 SUP +'!$C51&gt;149,IF('4 SUP +'!$C51&lt;155.6,'4 SUP +'!$AB51,0))))</f>
        <v>0</v>
      </c>
      <c r="BK330" s="777" t="b">
        <f>IF('4 SUP +'!$A51&gt;45.4,IF('4 SUP +'!$A51&lt;61.6,IF('4 SUP +'!$C51&gt;155.5,IF('4 SUP +'!$C51&lt;163.1,'4 SUP +'!$AB51,0))))</f>
        <v>0</v>
      </c>
      <c r="BL330" s="777" t="b">
        <f>IF('4 SUP +'!$A51&gt;45.4,IF('4 SUP +'!$A51&lt;61.6,IF('4 SUP +'!$C51&gt;163,IF('4 SUP +'!$C51&lt;180.6,'4 SUP +'!$AB51,0))))</f>
        <v>0</v>
      </c>
      <c r="BM330" s="777" t="b">
        <f>IF('4 SUP +'!$A51&gt;45.4,IF('4 SUP +'!$A51&lt;61.6,IF('4 SUP +'!$C51&gt;180.5,IF('4 SUP +'!$C51&lt;240.1,'4 SUP +'!$AB51,0))))</f>
        <v>0</v>
      </c>
      <c r="BO330" s="869" t="s">
        <v>510</v>
      </c>
      <c r="BQ330" s="870">
        <f>+$AL$337</f>
        <v>0</v>
      </c>
      <c r="BS330" s="869"/>
      <c r="BT330" s="870">
        <f>+$AL$340</f>
        <v>0</v>
      </c>
      <c r="BV330" s="777" t="b">
        <f>IF('4 SUP +'!$A51&gt;61.5,IF('4 SUP +'!$A51&lt;71.6,IF('4 SUP +'!$C51&gt;10,IF('4 SUP +'!$C51&lt;57.6,'4 SUP +'!$AB51,0))))</f>
        <v>0</v>
      </c>
      <c r="BW330" s="777" t="b">
        <f>IF('4 SUP +'!$A51&gt;61.5,IF('4 SUP +'!$A51&lt;71.6,IF('4 SUP +'!$C51&gt;57.6,IF('4 SUP +'!$C51&lt;71.6,'4 SUP +'!$AB51,0))))</f>
        <v>0</v>
      </c>
      <c r="BX330" s="777" t="b">
        <f>IF('4 SUP +'!$A51&gt;61.5,IF('4 SUP +'!$A51&lt;71.6,IF('4 SUP +'!$C51&gt;71.5,IF('4 SUP +'!$C51&lt;85.6,'4 SUP +'!$AB51,0))))</f>
        <v>0</v>
      </c>
      <c r="BY330" s="777" t="b">
        <f>IF('4 SUP +'!$A51&gt;61.5,IF('4 SUP +'!$A51&lt;71.6,IF('4 SUP +'!$C51&gt;85.5,IF('4 SUP +'!$C51&lt;113.6,'4 SUP +'!$AB51,0))))</f>
        <v>0</v>
      </c>
      <c r="BZ330" s="777" t="b">
        <f>IF('4 SUP +'!$A51&gt;61.5,IF('4 SUP +'!$A51&lt;71.6,IF('4 SUP +'!$C51&gt;113.5,IF('4 SUP +'!$C51&lt;141.6,'4 SUP +'!$AB51,0))))</f>
        <v>0</v>
      </c>
      <c r="CA330" s="777" t="b">
        <f>IF('4 SUP +'!$A51&gt;61.5,IF('4 SUP +'!$A51&lt;71.6,IF('4 SUP +'!$C51&gt;141.5,IF('4 SUP +'!$C51&lt;149.1,'4 SUP +'!$AB51,0))))</f>
        <v>0</v>
      </c>
      <c r="CB330" s="777" t="b">
        <f>IF('4 SUP +'!$A51&gt;61.5,IF('4 SUP +'!$A51&lt;71.6,IF('4 SUP +'!$C51&gt;149,IF('4 SUP +'!$C51&lt;163.1,'4 SUP +'!$AB51,0))))</f>
        <v>0</v>
      </c>
      <c r="CC330" s="777" t="b">
        <f>IF('4 SUP +'!$A51&gt;61.5,IF('4 SUP +'!$A51&lt;71.6,IF('4 SUP +'!$C51&gt;163,IF('4 SUP +'!$C51&lt;180.6,'4 SUP +'!$AB51,0))))</f>
        <v>0</v>
      </c>
      <c r="CD330" s="777" t="b">
        <f>IF('4 SUP +'!$A51&gt;61.5,IF('4 SUP +'!$A51&lt;71.6,IF('4 SUP +'!$C51&gt;180.5,IF('4 SUP +'!$C51&lt;240.1,'4 SUP +'!$AB51,0))))</f>
        <v>0</v>
      </c>
      <c r="CF330" s="777" t="b">
        <f>IF('4 SUP +'!$A51&gt;71.5,IF('4 SUP +'!$A51&lt;120.6,IF('4 SUP +'!$C51&gt;10,IF('4 SUP +'!$C51&lt;57.6,'4 SUP +'!$AB51,0))))</f>
        <v>0</v>
      </c>
      <c r="CG330" s="777" t="b">
        <f>IF('4 SUP +'!$A51&gt;71.5,IF('4 SUP +'!$A51&lt;120.6,IF('4 SUP +'!$C51&gt;57.6,IF('4 SUP +'!$C51&lt;71.6,'4 SUP +'!$AB51,0))))</f>
        <v>0</v>
      </c>
      <c r="CH330" s="777" t="b">
        <f>IF('4 SUP +'!$A51&gt;71.5,IF('4 SUP +'!$A51&lt;120.6,IF('4 SUP +'!$C51&gt;71.5,IF('4 SUP +'!$C51&lt;85.6,'4 SUP +'!$AB51,0))))</f>
        <v>0</v>
      </c>
      <c r="CI330" s="777" t="b">
        <f>IF('4 SUP +'!$A51&gt;71.5,IF('4 SUP +'!$A51&lt;120.6,IF('4 SUP +'!$C51&gt;85.5,IF('4 SUP +'!$C51&lt;113.6,'4 SUP +'!$AB51,0))))</f>
        <v>0</v>
      </c>
      <c r="CJ330" s="777" t="b">
        <f>IF('4 SUP +'!$A51&gt;71.5,IF('4 SUP +'!$A51&lt;120.6,IF('4 SUP +'!$C51&gt;113.5,IF('4 SUP +'!$C51&lt;141.6,'4 SUP +'!$AB51,0))))</f>
        <v>0</v>
      </c>
      <c r="CK330" s="777" t="b">
        <f>IF('4 SUP +'!$A51&gt;71.5,IF('4 SUP +'!$A51&lt;120.6,IF('4 SUP +'!$C51&gt;141.5,IF('4 SUP +'!$C51&lt;180.6,'4 SUP +'!$AB51,0))))</f>
        <v>0</v>
      </c>
      <c r="CL330" s="777" t="b">
        <f>IF('4 SUP +'!$A51&gt;71.5,IF('4 SUP +'!$A51&lt;120.6,IF('4 SUP +'!$C51&gt;180.5,IF('4 SUP +'!$C51&lt;240.1,'4 SUP +'!$AB51,0))))</f>
        <v>0</v>
      </c>
      <c r="CN330" s="777">
        <f>IF('4 SUP +'!$C51&lt;150,IF(OR('4 SUP +'!$A51="MICRODER",'4 SUP +'!$A51="MICRO DER",),'4 SUP +'!$AB51,0))</f>
        <v>0</v>
      </c>
      <c r="CO330" s="777" t="b">
        <f>IF('4 SUP +'!$C51&gt;149.5,IF(OR('4 SUP +'!$A51="MICRODER",'4 SUP +'!$A51="MICRO DER",),'4 SUP +'!$AB51,0))</f>
        <v>0</v>
      </c>
      <c r="CP330" s="847"/>
      <c r="CQ330" s="777">
        <f>IF('4 SUP +'!$C51&lt;150,IF(OR('4 SUP +'!$A51="MICROIZQ",'4 SUP +'!$A51="MICRO IZQ",),'4 SUP +'!$AB51,0))</f>
        <v>0</v>
      </c>
      <c r="CR330" s="777" t="b">
        <f>IF('4 SUP +'!$C51&gt;149.5,IF(OR('4 SUP +'!$A51="MICROIZQ",'4 SUP +'!$A51="MICRO IZQ",),'4 SUP +'!$AB51,0))</f>
        <v>0</v>
      </c>
      <c r="CT330" s="837">
        <f>IF(OR('4 SUP +'!$A51="MICRO SEN",'4 SUP +'!$A51="MICROSEN",),'4 SUP +'!$AB51,0)</f>
        <v>0</v>
      </c>
      <c r="CV330" s="837" t="b">
        <f>IF('4 SUP +'!$A51="DIAMETRO",IF('4 SUP +'!$C51&lt;121.1,'4 SUP +'!$AB51,0))</f>
        <v>0</v>
      </c>
      <c r="CX330" s="858"/>
      <c r="CZ330" s="837" t="b">
        <f>IF('4 SUP +'!$A51="MOSTRADOR",IF('4 SUP +'!$C51="R60",'4 SUP +'!$AB51,0))</f>
        <v>0</v>
      </c>
      <c r="DB330" s="837">
        <f>IF(OR('4 SUP +'!$A51="PORTA PRIN",'4 SUP +'!$A51="PORTAPRIN",),'4 SUP +'!$AB51,0)</f>
        <v>0</v>
      </c>
      <c r="DD330" s="837">
        <f>IF(OR('4 SUP +'!$A51="PORTA BADE",'4 SUP +'!$A51="PORTABADE",),'4 SUP +'!$AB51,0)</f>
        <v>0</v>
      </c>
      <c r="DE330" s="837"/>
      <c r="DF330" s="837">
        <f>IF(OR('4 SUP +'!$A51="RETORNO IZQ",'4 SUP +'!$A51="RETORNO DER",),'4 SUP +'!$AB239,0)</f>
        <v>0</v>
      </c>
      <c r="DG330" s="837"/>
      <c r="DH330" s="837">
        <f>IF(OR('4 SUP +'!$A51="PITO Q",'4 SUP +'!$A51="PITO P",'4 SUP +'!$A51="DIAMETRO INTEGRADA",),'4 SUP +'!$AB51,0)</f>
        <v>0</v>
      </c>
      <c r="DJ330" s="858"/>
      <c r="DK330" s="837"/>
      <c r="DL330" s="837">
        <f>IF('4 SUP +'!$A51="SUPERFICIE OVAL",'4 SUP +'!$AB51,0)</f>
        <v>0</v>
      </c>
      <c r="DM330" s="838"/>
      <c r="DO330" s="838"/>
      <c r="DP330" s="838"/>
      <c r="DQ330" s="838"/>
      <c r="DR330" s="838"/>
      <c r="DS330" s="838"/>
      <c r="DT330" s="838"/>
      <c r="DU330" s="838"/>
      <c r="DV330" s="838"/>
      <c r="DW330" s="838"/>
      <c r="DX330" s="838"/>
      <c r="DY330" s="838"/>
      <c r="DZ330" s="838"/>
      <c r="EA330" s="838"/>
      <c r="EB330" s="838"/>
      <c r="EC330" s="838"/>
      <c r="ED330" s="838"/>
      <c r="EG330" s="682">
        <f>IF('4 SUP +'!A49="MICRO DER",85,IF('4 SUP +'!A49="MICRO IZQ",85,IF('4 SUP +'!A49="MICRO SEN",170,IF('4 SUP +'!A49="DIAMETRO",3.14*'4 SUP +'!C49/2,IF('4 SUP +'!A49="MOSTRADOR",136,IF('4 SUP +'!A49="PORTA",65,IF('4 SUP +'!A49="PITO Q",90,IF('4 SUP +'!A49="PITO P",90,'4 SUP +'!A49))))))))</f>
        <v>0</v>
      </c>
      <c r="EH330" s="682"/>
      <c r="EI330" s="682">
        <f>IF('4 SUP +'!A49="DIAMETRO",0,IF('4 SUP +'!C49="PRINCIPAL",160,IF('4 SUP +'!C49="BADE",190,IF('4 SUP +'!C49="RETORNO",100,IF('4 SUP +'!C49="R 60",100,IF('4 SUP +'!C49="R60",100,'4 SUP +'!C49))))))</f>
        <v>0</v>
      </c>
      <c r="EJ330" s="682"/>
      <c r="EK330" s="682">
        <f>IF('4 SUP +'!$F49='4 SUP +'!$AG$15,((EG330*2)+(EI330*2))*'4 SUP +'!AB49,0)</f>
        <v>0</v>
      </c>
      <c r="EL330" s="682"/>
      <c r="EM330" s="682">
        <f>IF('4 SUP +'!$F49='4 SUP +'!$AG$16,((EG330*2)+(EI330*2))*'4 SUP +'!AB49,0)</f>
        <v>0</v>
      </c>
      <c r="EO330" s="682">
        <f>IF('4 SUP +'!$F49='4 SUP +'!$AG$17,((EG330*2)+(EI330*2))*'4 SUP +'!AB49,0)</f>
        <v>0</v>
      </c>
      <c r="EP330" s="838"/>
      <c r="EQ330" s="682">
        <f>IF('4 SUP +'!$F49='4 SUP +'!$AG$18,((EG330*2)+(EI330*2))*'4 SUP +'!AB49,0)</f>
        <v>0</v>
      </c>
      <c r="ER330" s="838"/>
      <c r="ES330" s="858"/>
      <c r="ET330" s="858"/>
      <c r="EU330" s="858"/>
      <c r="EV330" s="858"/>
      <c r="EW330" s="838"/>
      <c r="EX330" s="838"/>
      <c r="EY330" s="838"/>
      <c r="EZ330" s="838"/>
      <c r="FA330" s="838"/>
      <c r="FB330" s="838"/>
      <c r="FC330" s="838"/>
      <c r="FD330" s="838"/>
      <c r="FE330" s="838"/>
      <c r="FF330" s="838"/>
      <c r="FG330" s="838"/>
      <c r="FH330" s="838"/>
      <c r="FI330" s="838"/>
      <c r="FJ330" s="838"/>
      <c r="FK330" s="838"/>
      <c r="FL330" s="838"/>
      <c r="FM330" s="838"/>
      <c r="FN330" s="838"/>
      <c r="FO330" s="838"/>
      <c r="FP330" s="838"/>
      <c r="GM330" s="858"/>
      <c r="GN330" s="838"/>
      <c r="GO330" s="858"/>
      <c r="GP330" s="858"/>
      <c r="GQ330" s="858"/>
      <c r="GR330" s="838"/>
      <c r="GS330" s="838"/>
      <c r="HF330" s="700">
        <v>74</v>
      </c>
      <c r="HH330" s="591">
        <v>74</v>
      </c>
    </row>
    <row r="331" spans="37:216" ht="26.25" x14ac:dyDescent="0.4">
      <c r="AK331" s="777" t="b">
        <f>IF('4 SUP +'!$A52&gt;10,IF('4 SUP +'!$A52&lt;31.1,IF('4 SUP +'!$C52&gt;10,IF('4 SUP +'!$C52&lt;57.6,'4 SUP +'!$AB52,0))))</f>
        <v>0</v>
      </c>
      <c r="AL331" s="777" t="b">
        <f>IF('4 SUP +'!$A52&gt;10,IF('4 SUP +'!$A52&lt;31.1,IF('4 SUP +'!$C52&gt;57.6,IF('4 SUP +'!$C52&lt;71.6,'4 SUP +'!$AB52,0))))</f>
        <v>0</v>
      </c>
      <c r="AM331" s="777" t="b">
        <f>IF('4 SUP +'!$A52&gt;10,IF('4 SUP +'!$A52&lt;31.1,IF('4 SUP +'!$C52&gt;71.5,IF('4 SUP +'!$C52&lt;85.6,'4 SUP +'!$AB52,0))))</f>
        <v>0</v>
      </c>
      <c r="AN331" s="777" t="b">
        <f>IF('4 SUP +'!$A52&gt;10,IF('4 SUP +'!$A52&lt;31.1,IF('4 SUP +'!$C52&gt;85.5,IF('4 SUP +'!$C52&lt;113.6,'4 SUP +'!$AB52,0))))</f>
        <v>0</v>
      </c>
      <c r="AO331" s="777" t="b">
        <f>IF('4 SUP +'!$A52&gt;10,IF('4 SUP +'!$A52&lt;31.1,IF('4 SUP +'!$C52&gt;113.5,IF('4 SUP +'!$C52&lt;141.6,'4 SUP +'!$AB52,0))))</f>
        <v>0</v>
      </c>
      <c r="AP331" s="777" t="b">
        <f>IF('4 SUP +'!$A52&gt;10,IF('4 SUP +'!$A52&lt;31.1,IF('4 SUP +'!$C52&gt;141.5,IF('4 SUP +'!$C52&lt;180.6,'4 SUP +'!$AB52,0))))</f>
        <v>0</v>
      </c>
      <c r="AQ331" s="777" t="b">
        <f>IF('4 SUP +'!$A52&gt;10,IF('4 SUP +'!$A52&lt;31.1,IF('4 SUP +'!$C52&gt;180.5,IF('4 SUP +'!$C52&lt;240.1,'4 SUP +'!$AB52,0))))</f>
        <v>0</v>
      </c>
      <c r="AS331" s="777" t="b">
        <f>IF('4 SUP +'!$A52&gt;31,IF('4 SUP +'!$A52&lt;45.5,IF('4 SUP +'!$C52&gt;10,IF('4 SUP +'!$C52&lt;57.6,'4 SUP +'!$AB52,0))))</f>
        <v>0</v>
      </c>
      <c r="AT331" s="777" t="b">
        <f>IF('4 SUP +'!$A52&gt;31,IF('4 SUP +'!$A52&lt;45.5,IF('4 SUP +'!$C52&gt;57.6,IF('4 SUP +'!$C52&lt;71.6,'4 SUP +'!$AB52,0))))</f>
        <v>0</v>
      </c>
      <c r="AU331" s="777" t="b">
        <f>IF('4 SUP +'!$A52&gt;31,IF('4 SUP +'!$A52&lt;45.5,IF('4 SUP +'!$C52&gt;71.5,IF('4 SUP +'!$C52&lt;85.6,'4 SUP +'!$AB52,0))))</f>
        <v>0</v>
      </c>
      <c r="AV331" s="777" t="b">
        <f>IF('4 SUP +'!$A52&gt;31,IF('4 SUP +'!$A52&lt;45.5,IF('4 SUP +'!$C52&gt;85.5,IF('4 SUP +'!$C52&lt;113.6,'4 SUP +'!$AB52,0))))</f>
        <v>0</v>
      </c>
      <c r="AW331" s="777" t="b">
        <f>IF('4 SUP +'!$A52&gt;31,IF('4 SUP +'!$A52&lt;45.5,IF('4 SUP +'!$C52&gt;113.5,IF('4 SUP +'!$C52&lt;141.6,'4 SUP +'!$AB52,0))))</f>
        <v>0</v>
      </c>
      <c r="AX331" s="777" t="b">
        <f>IF('4 SUP +'!$A52&gt;31,IF('4 SUP +'!$A52&lt;45.5,IF('4 SUP +'!$C52&gt;141.5,IF('4 SUP +'!$C52&lt;180.6,'4 SUP +'!$AB52,0))))</f>
        <v>0</v>
      </c>
      <c r="AY331" s="777" t="b">
        <f>IF('4 SUP +'!$A52&gt;31,IF('4 SUP +'!$A52&lt;45.5,IF('4 SUP +'!$C52&gt;180.5,IF('4 SUP +'!$C52&lt;240.1,'4 SUP +'!$AB52,0))))</f>
        <v>0</v>
      </c>
      <c r="BA331" s="777" t="b">
        <f>IF('4 SUP +'!$A52&gt;45.4,IF('4 SUP +'!$A52&lt;61.6,IF('4 SUP +'!$C52&gt;10,IF('4 SUP +'!$C52&lt;61.5,'4 SUP +'!$AB52,0))))</f>
        <v>0</v>
      </c>
      <c r="BB331" s="777" t="b">
        <f>IF('4 SUP +'!$A52&gt;45.4,IF('4 SUP +'!$A52&lt;61.6,IF('4 SUP +'!$C52&gt;61.1,IF('4 SUP +'!$C52&lt;71.6,'4 SUP +'!$AB52,0))))</f>
        <v>0</v>
      </c>
      <c r="BC331" s="777" t="b">
        <f>IF('4 SUP +'!$A52&gt;45.4,IF('4 SUP +'!$A52&lt;61.6,IF('4 SUP +'!$C52&gt;71.5,IF('4 SUP +'!$C52&lt;85.6,'4 SUP +'!$AB52,0))))</f>
        <v>0</v>
      </c>
      <c r="BD331" s="777" t="b">
        <f>IF('4 SUP +'!$A52&gt;45.4,IF('4 SUP +'!$A52&lt;61.6,IF('4 SUP +'!$C52&gt;85.5,IF('4 SUP +'!$C52&lt;113.6,'4 SUP +'!$AB52,0))))</f>
        <v>0</v>
      </c>
      <c r="BE331" s="777" t="b">
        <f>IF('4 SUP +'!$A52&gt;45.4,IF('4 SUP +'!$A52&lt;61.6,IF('4 SUP +'!$C52&gt;113.5,IF('4 SUP +'!$C52&lt;121.6,'4 SUP +'!$AB52,0))))</f>
        <v>0</v>
      </c>
      <c r="BF331" s="777" t="b">
        <f>IF('4 SUP +'!$A52&gt;45.4,IF('4 SUP +'!$A52&lt;61.6,IF('4 SUP +'!$C52&gt;121.5,IF('4 SUP +'!$C52&lt;127.6,'4 SUP +'!$AB52,0))))</f>
        <v>0</v>
      </c>
      <c r="BG331" s="777" t="b">
        <f>IF('4 SUP +'!$A52&gt;45.4,IF('4 SUP +'!$A52&lt;61.6,IF('4 SUP +'!$C52&gt;127.5,IF('4 SUP +'!$C52&lt;135.1,'4 SUP +'!$AB52,0))))</f>
        <v>0</v>
      </c>
      <c r="BH331" s="777" t="b">
        <f>IF('4 SUP +'!$A52&gt;45.4,IF('4 SUP +'!$A52&lt;61.6,IF('4 SUP +'!$C52&gt;135,IF('4 SUP +'!$C52&lt;141.6,'4 SUP +'!$AB52,0))))</f>
        <v>0</v>
      </c>
      <c r="BI331" s="777" t="b">
        <f>IF('4 SUP +'!$A52&gt;45.4,IF('4 SUP +'!$A52&lt;61.6,IF('4 SUP +'!$C52&gt;141.5,IF('4 SUP +'!$C52&lt;149.1,'4 SUP +'!$AB52,0))))</f>
        <v>0</v>
      </c>
      <c r="BJ331" s="777" t="b">
        <f>IF('4 SUP +'!$A52&gt;45.4,IF('4 SUP +'!$A52&lt;61.6,IF('4 SUP +'!$C52&gt;149,IF('4 SUP +'!$C52&lt;155.6,'4 SUP +'!$AB52,0))))</f>
        <v>0</v>
      </c>
      <c r="BK331" s="777" t="b">
        <f>IF('4 SUP +'!$A52&gt;45.4,IF('4 SUP +'!$A52&lt;61.6,IF('4 SUP +'!$C52&gt;155.5,IF('4 SUP +'!$C52&lt;163.1,'4 SUP +'!$AB52,0))))</f>
        <v>0</v>
      </c>
      <c r="BL331" s="777" t="b">
        <f>IF('4 SUP +'!$A52&gt;45.4,IF('4 SUP +'!$A52&lt;61.6,IF('4 SUP +'!$C52&gt;163,IF('4 SUP +'!$C52&lt;180.6,'4 SUP +'!$AB52,0))))</f>
        <v>0</v>
      </c>
      <c r="BM331" s="777" t="b">
        <f>IF('4 SUP +'!$A52&gt;45.4,IF('4 SUP +'!$A52&lt;61.6,IF('4 SUP +'!$C52&gt;180.5,IF('4 SUP +'!$C52&lt;240.1,'4 SUP +'!$AB52,0))))</f>
        <v>0</v>
      </c>
      <c r="BN331" s="837"/>
      <c r="BO331" s="869" t="s">
        <v>512</v>
      </c>
      <c r="BQ331" s="870">
        <f>+$AM$337</f>
        <v>0</v>
      </c>
      <c r="BS331" s="869"/>
      <c r="BT331" s="870">
        <f>+$AM$340</f>
        <v>0</v>
      </c>
      <c r="BU331" s="837"/>
      <c r="BV331" s="777" t="b">
        <f>IF('4 SUP +'!$A52&gt;61.5,IF('4 SUP +'!$A52&lt;71.6,IF('4 SUP +'!$C52&gt;10,IF('4 SUP +'!$C52&lt;57.6,'4 SUP +'!$AB52,0))))</f>
        <v>0</v>
      </c>
      <c r="BW331" s="777" t="b">
        <f>IF('4 SUP +'!$A52&gt;61.5,IF('4 SUP +'!$A52&lt;71.6,IF('4 SUP +'!$C52&gt;57.6,IF('4 SUP +'!$C52&lt;71.6,'4 SUP +'!$AB52,0))))</f>
        <v>0</v>
      </c>
      <c r="BX331" s="777" t="b">
        <f>IF('4 SUP +'!$A52&gt;61.5,IF('4 SUP +'!$A52&lt;71.6,IF('4 SUP +'!$C52&gt;71.5,IF('4 SUP +'!$C52&lt;85.6,'4 SUP +'!$AB52,0))))</f>
        <v>0</v>
      </c>
      <c r="BY331" s="777" t="b">
        <f>IF('4 SUP +'!$A52&gt;61.5,IF('4 SUP +'!$A52&lt;71.6,IF('4 SUP +'!$C52&gt;85.5,IF('4 SUP +'!$C52&lt;113.6,'4 SUP +'!$AB52,0))))</f>
        <v>0</v>
      </c>
      <c r="BZ331" s="777" t="b">
        <f>IF('4 SUP +'!$A52&gt;61.5,IF('4 SUP +'!$A52&lt;71.6,IF('4 SUP +'!$C52&gt;113.5,IF('4 SUP +'!$C52&lt;141.6,'4 SUP +'!$AB52,0))))</f>
        <v>0</v>
      </c>
      <c r="CA331" s="777" t="b">
        <f>IF('4 SUP +'!$A52&gt;61.5,IF('4 SUP +'!$A52&lt;71.6,IF('4 SUP +'!$C52&gt;141.5,IF('4 SUP +'!$C52&lt;149.1,'4 SUP +'!$AB52,0))))</f>
        <v>0</v>
      </c>
      <c r="CB331" s="777" t="b">
        <f>IF('4 SUP +'!$A52&gt;61.5,IF('4 SUP +'!$A52&lt;71.6,IF('4 SUP +'!$C52&gt;149,IF('4 SUP +'!$C52&lt;163.1,'4 SUP +'!$AB52,0))))</f>
        <v>0</v>
      </c>
      <c r="CC331" s="777" t="b">
        <f>IF('4 SUP +'!$A52&gt;61.5,IF('4 SUP +'!$A52&lt;71.6,IF('4 SUP +'!$C52&gt;163,IF('4 SUP +'!$C52&lt;180.6,'4 SUP +'!$AB52,0))))</f>
        <v>0</v>
      </c>
      <c r="CD331" s="777" t="b">
        <f>IF('4 SUP +'!$A52&gt;61.5,IF('4 SUP +'!$A52&lt;71.6,IF('4 SUP +'!$C52&gt;180.5,IF('4 SUP +'!$C52&lt;240.1,'4 SUP +'!$AB52,0))))</f>
        <v>0</v>
      </c>
      <c r="CF331" s="777" t="b">
        <f>IF('4 SUP +'!$A52&gt;71.5,IF('4 SUP +'!$A52&lt;120.6,IF('4 SUP +'!$C52&gt;10,IF('4 SUP +'!$C52&lt;57.6,'4 SUP +'!$AB52,0))))</f>
        <v>0</v>
      </c>
      <c r="CG331" s="777" t="b">
        <f>IF('4 SUP +'!$A52&gt;71.5,IF('4 SUP +'!$A52&lt;120.6,IF('4 SUP +'!$C52&gt;57.6,IF('4 SUP +'!$C52&lt;71.6,'4 SUP +'!$AB52,0))))</f>
        <v>0</v>
      </c>
      <c r="CH331" s="777" t="b">
        <f>IF('4 SUP +'!$A52&gt;71.5,IF('4 SUP +'!$A52&lt;120.6,IF('4 SUP +'!$C52&gt;71.5,IF('4 SUP +'!$C52&lt;85.6,'4 SUP +'!$AB52,0))))</f>
        <v>0</v>
      </c>
      <c r="CI331" s="777" t="b">
        <f>IF('4 SUP +'!$A52&gt;71.5,IF('4 SUP +'!$A52&lt;120.6,IF('4 SUP +'!$C52&gt;85.5,IF('4 SUP +'!$C52&lt;113.6,'4 SUP +'!$AB52,0))))</f>
        <v>0</v>
      </c>
      <c r="CJ331" s="777" t="b">
        <f>IF('4 SUP +'!$A52&gt;71.5,IF('4 SUP +'!$A52&lt;120.6,IF('4 SUP +'!$C52&gt;113.5,IF('4 SUP +'!$C52&lt;141.6,'4 SUP +'!$AB52,0))))</f>
        <v>0</v>
      </c>
      <c r="CK331" s="777" t="b">
        <f>IF('4 SUP +'!$A52&gt;71.5,IF('4 SUP +'!$A52&lt;120.6,IF('4 SUP +'!$C52&gt;141.5,IF('4 SUP +'!$C52&lt;180.6,'4 SUP +'!$AB52,0))))</f>
        <v>0</v>
      </c>
      <c r="CL331" s="777" t="b">
        <f>IF('4 SUP +'!$A52&gt;71.5,IF('4 SUP +'!$A52&lt;120.6,IF('4 SUP +'!$C52&gt;180.5,IF('4 SUP +'!$C52&lt;240.1,'4 SUP +'!$AB52,0))))</f>
        <v>0</v>
      </c>
      <c r="CN331" s="777">
        <f>IF('4 SUP +'!$C52&lt;150,IF(OR('4 SUP +'!$A52="MICRODER",'4 SUP +'!$A52="MICRO DER",),'4 SUP +'!$AB52,0))</f>
        <v>0</v>
      </c>
      <c r="CO331" s="777" t="b">
        <f>IF('4 SUP +'!$C52&gt;149.5,IF(OR('4 SUP +'!$A52="MICRODER",'4 SUP +'!$A52="MICRO DER",),'4 SUP +'!$AB52,0))</f>
        <v>0</v>
      </c>
      <c r="CP331" s="847"/>
      <c r="CQ331" s="777">
        <f>IF('4 SUP +'!$C52&lt;150,IF(OR('4 SUP +'!$A52="MICROIZQ",'4 SUP +'!$A52="MICRO IZQ",),'4 SUP +'!$AB52,0))</f>
        <v>0</v>
      </c>
      <c r="CR331" s="777" t="b">
        <f>IF('4 SUP +'!$C52&gt;149.5,IF(OR('4 SUP +'!$A52="MICROIZQ",'4 SUP +'!$A52="MICRO IZQ",),'4 SUP +'!$AB52,0))</f>
        <v>0</v>
      </c>
      <c r="CT331" s="837">
        <f>IF(OR('4 SUP +'!$A52="MICRO SEN",'4 SUP +'!$A52="MICROSEN",),'4 SUP +'!$AB52,0)</f>
        <v>0</v>
      </c>
      <c r="CV331" s="837" t="b">
        <f>IF('4 SUP +'!$A52="DIAMETRO",IF('4 SUP +'!$C52&lt;121.1,'4 SUP +'!$AB52,0))</f>
        <v>0</v>
      </c>
      <c r="CX331" s="858"/>
      <c r="CZ331" s="837" t="b">
        <f>IF('4 SUP +'!$A52="MOSTRADOR",IF('4 SUP +'!$C52="R60",'4 SUP +'!$AB52,0))</f>
        <v>0</v>
      </c>
      <c r="DB331" s="837">
        <f>IF(OR('4 SUP +'!$A52="PORTA PRIN",'4 SUP +'!$A52="PORTAPRIN",),'4 SUP +'!$AB52,0)</f>
        <v>0</v>
      </c>
      <c r="DD331" s="837">
        <f>IF(OR('4 SUP +'!$A52="PORTA BADE",'4 SUP +'!$A52="PORTABADE",),'4 SUP +'!$AB52,0)</f>
        <v>0</v>
      </c>
      <c r="DE331" s="837"/>
      <c r="DF331" s="837">
        <f>IF(OR('4 SUP +'!$A52="RETORNO IZQ",'4 SUP +'!$A52="RETORNO DER",),'4 SUP +'!$AB240,0)</f>
        <v>0</v>
      </c>
      <c r="DG331" s="837"/>
      <c r="DH331" s="837">
        <f>IF(OR('4 SUP +'!$A52="PITO Q",'4 SUP +'!$A52="PITO P",'4 SUP +'!$A52="DIAMETRO INTEGRADA",),'4 SUP +'!$AB52,0)</f>
        <v>0</v>
      </c>
      <c r="DJ331" s="858"/>
      <c r="DK331" s="837"/>
      <c r="DL331" s="837">
        <f>IF('4 SUP +'!$A52="SUPERFICIE OVAL",'4 SUP +'!$AB52,0)</f>
        <v>0</v>
      </c>
      <c r="DM331" s="838"/>
      <c r="DN331" s="838"/>
      <c r="DO331" s="838"/>
      <c r="DP331" s="838"/>
      <c r="DQ331" s="838"/>
      <c r="DR331" s="838"/>
      <c r="DS331" s="838"/>
      <c r="DT331" s="838"/>
      <c r="DU331" s="838"/>
      <c r="DV331" s="838"/>
      <c r="DW331" s="838"/>
      <c r="DX331" s="838"/>
      <c r="DY331" s="838"/>
      <c r="DZ331" s="838"/>
      <c r="EA331" s="838"/>
      <c r="EB331" s="838"/>
      <c r="EC331" s="838"/>
      <c r="ED331" s="838"/>
      <c r="EG331" s="682">
        <f>IF('4 SUP +'!A50="MICRO DER",85,IF('4 SUP +'!A50="MICRO IZQ",85,IF('4 SUP +'!A50="MICRO SEN",170,IF('4 SUP +'!A50="DIAMETRO",3.14*'4 SUP +'!C50/2,IF('4 SUP +'!A50="MOSTRADOR",136,IF('4 SUP +'!A50="PORTA",65,IF('4 SUP +'!A50="PITO Q",90,IF('4 SUP +'!A50="PITO P",90,'4 SUP +'!A50))))))))</f>
        <v>0</v>
      </c>
      <c r="EH331" s="682"/>
      <c r="EI331" s="682">
        <f>IF('4 SUP +'!A50="DIAMETRO",0,IF('4 SUP +'!C50="PRINCIPAL",160,IF('4 SUP +'!C50="BADE",190,IF('4 SUP +'!C50="RETORNO",100,IF('4 SUP +'!C50="R 60",100,IF('4 SUP +'!C50="R60",100,'4 SUP +'!C50))))))</f>
        <v>0</v>
      </c>
      <c r="EJ331" s="682"/>
      <c r="EK331" s="682">
        <f>IF('4 SUP +'!$F50='4 SUP +'!$AG$15,((EG331*2)+(EI331*2))*'4 SUP +'!AB50,0)</f>
        <v>0</v>
      </c>
      <c r="EL331" s="682"/>
      <c r="EM331" s="682">
        <f>IF('4 SUP +'!$F50='4 SUP +'!$AG$16,((EG331*2)+(EI331*2))*'4 SUP +'!AB50,0)</f>
        <v>0</v>
      </c>
      <c r="EO331" s="682">
        <f>IF('4 SUP +'!$F50='4 SUP +'!$AG$17,((EG331*2)+(EI331*2))*'4 SUP +'!AB50,0)</f>
        <v>0</v>
      </c>
      <c r="EP331" s="838"/>
      <c r="EQ331" s="682">
        <f>IF('4 SUP +'!$F50='4 SUP +'!$AG$18,((EG331*2)+(EI331*2))*'4 SUP +'!AB50,0)</f>
        <v>0</v>
      </c>
      <c r="ER331" s="838"/>
      <c r="ES331" s="858"/>
      <c r="ET331" s="858"/>
      <c r="EU331" s="858"/>
      <c r="EV331" s="858"/>
      <c r="EW331" s="838"/>
      <c r="EX331" s="838"/>
      <c r="EY331" s="838"/>
      <c r="EZ331" s="838"/>
      <c r="FA331" s="838"/>
      <c r="FB331" s="838"/>
      <c r="FC331" s="838"/>
      <c r="FD331" s="838"/>
      <c r="FE331" s="838"/>
      <c r="FF331" s="838"/>
      <c r="FG331" s="838"/>
      <c r="FH331" s="838"/>
      <c r="FI331" s="838"/>
      <c r="FJ331" s="838"/>
      <c r="FK331" s="838"/>
      <c r="FL331" s="838"/>
      <c r="FM331" s="838"/>
      <c r="FN331" s="838"/>
      <c r="FO331" s="838"/>
      <c r="FP331" s="838"/>
      <c r="GM331" s="858"/>
      <c r="GN331" s="838"/>
      <c r="GO331" s="858"/>
      <c r="GP331" s="858"/>
      <c r="GQ331" s="858"/>
      <c r="GR331" s="838"/>
      <c r="GS331" s="838"/>
      <c r="HF331" s="700">
        <v>74.5</v>
      </c>
      <c r="HH331" s="591">
        <v>74.5</v>
      </c>
    </row>
    <row r="332" spans="37:216" ht="26.25" x14ac:dyDescent="0.4">
      <c r="AK332" s="777" t="b">
        <f>IF('4 SUP +'!$A53&gt;10,IF('4 SUP +'!$A53&lt;31.1,IF('4 SUP +'!$C53&gt;10,IF('4 SUP +'!$C53&lt;57.6,'4 SUP +'!$AB53,0))))</f>
        <v>0</v>
      </c>
      <c r="AL332" s="777" t="b">
        <f>IF('4 SUP +'!$A53&gt;10,IF('4 SUP +'!$A53&lt;31.1,IF('4 SUP +'!$C53&gt;57.6,IF('4 SUP +'!$C53&lt;71.6,'4 SUP +'!$AB53,0))))</f>
        <v>0</v>
      </c>
      <c r="AM332" s="777" t="b">
        <f>IF('4 SUP +'!$A53&gt;10,IF('4 SUP +'!$A53&lt;31.1,IF('4 SUP +'!$C53&gt;71.5,IF('4 SUP +'!$C53&lt;85.6,'4 SUP +'!$AB53,0))))</f>
        <v>0</v>
      </c>
      <c r="AN332" s="777" t="b">
        <f>IF('4 SUP +'!$A53&gt;10,IF('4 SUP +'!$A53&lt;31.1,IF('4 SUP +'!$C53&gt;85.5,IF('4 SUP +'!$C53&lt;113.6,'4 SUP +'!$AB53,0))))</f>
        <v>0</v>
      </c>
      <c r="AO332" s="777" t="b">
        <f>IF('4 SUP +'!$A53&gt;10,IF('4 SUP +'!$A53&lt;31.1,IF('4 SUP +'!$C53&gt;113.5,IF('4 SUP +'!$C53&lt;141.6,'4 SUP +'!$AB53,0))))</f>
        <v>0</v>
      </c>
      <c r="AP332" s="777" t="b">
        <f>IF('4 SUP +'!$A53&gt;10,IF('4 SUP +'!$A53&lt;31.1,IF('4 SUP +'!$C53&gt;141.5,IF('4 SUP +'!$C53&lt;180.6,'4 SUP +'!$AB53,0))))</f>
        <v>0</v>
      </c>
      <c r="AQ332" s="777" t="b">
        <f>IF('4 SUP +'!$A53&gt;10,IF('4 SUP +'!$A53&lt;31.1,IF('4 SUP +'!$C53&gt;180.5,IF('4 SUP +'!$C53&lt;240.1,'4 SUP +'!$AB53,0))))</f>
        <v>0</v>
      </c>
      <c r="AS332" s="777" t="b">
        <f>IF('4 SUP +'!$A53&gt;31,IF('4 SUP +'!$A53&lt;45.5,IF('4 SUP +'!$C53&gt;10,IF('4 SUP +'!$C53&lt;57.6,'4 SUP +'!$AB53,0))))</f>
        <v>0</v>
      </c>
      <c r="AT332" s="777" t="b">
        <f>IF('4 SUP +'!$A53&gt;31,IF('4 SUP +'!$A53&lt;45.5,IF('4 SUP +'!$C53&gt;57.6,IF('4 SUP +'!$C53&lt;71.6,'4 SUP +'!$AB53,0))))</f>
        <v>0</v>
      </c>
      <c r="AU332" s="777" t="b">
        <f>IF('4 SUP +'!$A53&gt;31,IF('4 SUP +'!$A53&lt;45.5,IF('4 SUP +'!$C53&gt;71.5,IF('4 SUP +'!$C53&lt;85.6,'4 SUP +'!$AB53,0))))</f>
        <v>0</v>
      </c>
      <c r="AV332" s="777" t="b">
        <f>IF('4 SUP +'!$A53&gt;31,IF('4 SUP +'!$A53&lt;45.5,IF('4 SUP +'!$C53&gt;85.5,IF('4 SUP +'!$C53&lt;113.6,'4 SUP +'!$AB53,0))))</f>
        <v>0</v>
      </c>
      <c r="AW332" s="777" t="b">
        <f>IF('4 SUP +'!$A53&gt;31,IF('4 SUP +'!$A53&lt;45.5,IF('4 SUP +'!$C53&gt;113.5,IF('4 SUP +'!$C53&lt;141.6,'4 SUP +'!$AB53,0))))</f>
        <v>0</v>
      </c>
      <c r="AX332" s="777" t="b">
        <f>IF('4 SUP +'!$A53&gt;31,IF('4 SUP +'!$A53&lt;45.5,IF('4 SUP +'!$C53&gt;141.5,IF('4 SUP +'!$C53&lt;180.6,'4 SUP +'!$AB53,0))))</f>
        <v>0</v>
      </c>
      <c r="AY332" s="777" t="b">
        <f>IF('4 SUP +'!$A53&gt;31,IF('4 SUP +'!$A53&lt;45.5,IF('4 SUP +'!$C53&gt;180.5,IF('4 SUP +'!$C53&lt;240.1,'4 SUP +'!$AB53,0))))</f>
        <v>0</v>
      </c>
      <c r="BA332" s="777" t="b">
        <f>IF('4 SUP +'!$A53&gt;45.4,IF('4 SUP +'!$A53&lt;61.6,IF('4 SUP +'!$C53&gt;10,IF('4 SUP +'!$C53&lt;61.5,'4 SUP +'!$AB53,0))))</f>
        <v>0</v>
      </c>
      <c r="BB332" s="777" t="b">
        <f>IF('4 SUP +'!$A53&gt;45.4,IF('4 SUP +'!$A53&lt;61.6,IF('4 SUP +'!$C53&gt;61.1,IF('4 SUP +'!$C53&lt;71.6,'4 SUP +'!$AB53,0))))</f>
        <v>0</v>
      </c>
      <c r="BC332" s="777" t="b">
        <f>IF('4 SUP +'!$A53&gt;45.4,IF('4 SUP +'!$A53&lt;61.6,IF('4 SUP +'!$C53&gt;71.5,IF('4 SUP +'!$C53&lt;85.6,'4 SUP +'!$AB53,0))))</f>
        <v>0</v>
      </c>
      <c r="BD332" s="777" t="b">
        <f>IF('4 SUP +'!$A53&gt;45.4,IF('4 SUP +'!$A53&lt;61.6,IF('4 SUP +'!$C53&gt;85.5,IF('4 SUP +'!$C53&lt;113.6,'4 SUP +'!$AB53,0))))</f>
        <v>0</v>
      </c>
      <c r="BE332" s="777" t="b">
        <f>IF('4 SUP +'!$A53&gt;45.4,IF('4 SUP +'!$A53&lt;61.6,IF('4 SUP +'!$C53&gt;113.5,IF('4 SUP +'!$C53&lt;121.6,'4 SUP +'!$AB53,0))))</f>
        <v>0</v>
      </c>
      <c r="BF332" s="777" t="b">
        <f>IF('4 SUP +'!$A53&gt;45.4,IF('4 SUP +'!$A53&lt;61.6,IF('4 SUP +'!$C53&gt;121.5,IF('4 SUP +'!$C53&lt;127.6,'4 SUP +'!$AB53,0))))</f>
        <v>0</v>
      </c>
      <c r="BG332" s="777" t="b">
        <f>IF('4 SUP +'!$A53&gt;45.4,IF('4 SUP +'!$A53&lt;61.6,IF('4 SUP +'!$C53&gt;127.5,IF('4 SUP +'!$C53&lt;135.1,'4 SUP +'!$AB53,0))))</f>
        <v>0</v>
      </c>
      <c r="BH332" s="777" t="b">
        <f>IF('4 SUP +'!$A53&gt;45.4,IF('4 SUP +'!$A53&lt;61.6,IF('4 SUP +'!$C53&gt;135,IF('4 SUP +'!$C53&lt;141.6,'4 SUP +'!$AB53,0))))</f>
        <v>0</v>
      </c>
      <c r="BI332" s="777" t="b">
        <f>IF('4 SUP +'!$A53&gt;45.4,IF('4 SUP +'!$A53&lt;61.6,IF('4 SUP +'!$C53&gt;141.5,IF('4 SUP +'!$C53&lt;149.1,'4 SUP +'!$AB53,0))))</f>
        <v>0</v>
      </c>
      <c r="BJ332" s="777" t="b">
        <f>IF('4 SUP +'!$A53&gt;45.4,IF('4 SUP +'!$A53&lt;61.6,IF('4 SUP +'!$C53&gt;149,IF('4 SUP +'!$C53&lt;155.6,'4 SUP +'!$AB53,0))))</f>
        <v>0</v>
      </c>
      <c r="BK332" s="777" t="b">
        <f>IF('4 SUP +'!$A53&gt;45.4,IF('4 SUP +'!$A53&lt;61.6,IF('4 SUP +'!$C53&gt;155.5,IF('4 SUP +'!$C53&lt;163.1,'4 SUP +'!$AB53,0))))</f>
        <v>0</v>
      </c>
      <c r="BL332" s="777" t="b">
        <f>IF('4 SUP +'!$A53&gt;45.4,IF('4 SUP +'!$A53&lt;61.6,IF('4 SUP +'!$C53&gt;163,IF('4 SUP +'!$C53&lt;180.6,'4 SUP +'!$AB53,0))))</f>
        <v>0</v>
      </c>
      <c r="BM332" s="777" t="b">
        <f>IF('4 SUP +'!$A53&gt;45.4,IF('4 SUP +'!$A53&lt;61.6,IF('4 SUP +'!$C53&gt;180.5,IF('4 SUP +'!$C53&lt;240.1,'4 SUP +'!$AB53,0))))</f>
        <v>0</v>
      </c>
      <c r="BO332" s="869" t="s">
        <v>515</v>
      </c>
      <c r="BQ332" s="870">
        <f>+$AN$337</f>
        <v>0</v>
      </c>
      <c r="BS332" s="869"/>
      <c r="BT332" s="870">
        <f>+$AN$340</f>
        <v>0</v>
      </c>
      <c r="BV332" s="777" t="b">
        <f>IF('4 SUP +'!$A53&gt;61.5,IF('4 SUP +'!$A53&lt;71.6,IF('4 SUP +'!$C53&gt;10,IF('4 SUP +'!$C53&lt;57.6,'4 SUP +'!$AB53,0))))</f>
        <v>0</v>
      </c>
      <c r="BW332" s="777" t="b">
        <f>IF('4 SUP +'!$A53&gt;61.5,IF('4 SUP +'!$A53&lt;71.6,IF('4 SUP +'!$C53&gt;57.6,IF('4 SUP +'!$C53&lt;71.6,'4 SUP +'!$AB53,0))))</f>
        <v>0</v>
      </c>
      <c r="BX332" s="777" t="b">
        <f>IF('4 SUP +'!$A53&gt;61.5,IF('4 SUP +'!$A53&lt;71.6,IF('4 SUP +'!$C53&gt;71.5,IF('4 SUP +'!$C53&lt;85.6,'4 SUP +'!$AB53,0))))</f>
        <v>0</v>
      </c>
      <c r="BY332" s="777" t="b">
        <f>IF('4 SUP +'!$A53&gt;61.5,IF('4 SUP +'!$A53&lt;71.6,IF('4 SUP +'!$C53&gt;85.5,IF('4 SUP +'!$C53&lt;113.6,'4 SUP +'!$AB53,0))))</f>
        <v>0</v>
      </c>
      <c r="BZ332" s="777" t="b">
        <f>IF('4 SUP +'!$A53&gt;61.5,IF('4 SUP +'!$A53&lt;71.6,IF('4 SUP +'!$C53&gt;113.5,IF('4 SUP +'!$C53&lt;141.6,'4 SUP +'!$AB53,0))))</f>
        <v>0</v>
      </c>
      <c r="CA332" s="777" t="b">
        <f>IF('4 SUP +'!$A53&gt;61.5,IF('4 SUP +'!$A53&lt;71.6,IF('4 SUP +'!$C53&gt;141.5,IF('4 SUP +'!$C53&lt;149.1,'4 SUP +'!$AB53,0))))</f>
        <v>0</v>
      </c>
      <c r="CB332" s="777" t="b">
        <f>IF('4 SUP +'!$A53&gt;61.5,IF('4 SUP +'!$A53&lt;71.6,IF('4 SUP +'!$C53&gt;149,IF('4 SUP +'!$C53&lt;163.1,'4 SUP +'!$AB53,0))))</f>
        <v>0</v>
      </c>
      <c r="CC332" s="777" t="b">
        <f>IF('4 SUP +'!$A53&gt;61.5,IF('4 SUP +'!$A53&lt;71.6,IF('4 SUP +'!$C53&gt;163,IF('4 SUP +'!$C53&lt;180.6,'4 SUP +'!$AB53,0))))</f>
        <v>0</v>
      </c>
      <c r="CD332" s="777" t="b">
        <f>IF('4 SUP +'!$A53&gt;61.5,IF('4 SUP +'!$A53&lt;71.6,IF('4 SUP +'!$C53&gt;180.5,IF('4 SUP +'!$C53&lt;240.1,'4 SUP +'!$AB53,0))))</f>
        <v>0</v>
      </c>
      <c r="CF332" s="777" t="b">
        <f>IF('4 SUP +'!$A53&gt;71.5,IF('4 SUP +'!$A53&lt;120.6,IF('4 SUP +'!$C53&gt;10,IF('4 SUP +'!$C53&lt;57.6,'4 SUP +'!$AB53,0))))</f>
        <v>0</v>
      </c>
      <c r="CG332" s="777" t="b">
        <f>IF('4 SUP +'!$A53&gt;71.5,IF('4 SUP +'!$A53&lt;120.6,IF('4 SUP +'!$C53&gt;57.6,IF('4 SUP +'!$C53&lt;71.6,'4 SUP +'!$AB53,0))))</f>
        <v>0</v>
      </c>
      <c r="CH332" s="777" t="b">
        <f>IF('4 SUP +'!$A53&gt;71.5,IF('4 SUP +'!$A53&lt;120.6,IF('4 SUP +'!$C53&gt;71.5,IF('4 SUP +'!$C53&lt;85.6,'4 SUP +'!$AB53,0))))</f>
        <v>0</v>
      </c>
      <c r="CI332" s="777" t="b">
        <f>IF('4 SUP +'!$A53&gt;71.5,IF('4 SUP +'!$A53&lt;120.6,IF('4 SUP +'!$C53&gt;85.5,IF('4 SUP +'!$C53&lt;113.6,'4 SUP +'!$AB53,0))))</f>
        <v>0</v>
      </c>
      <c r="CJ332" s="777" t="b">
        <f>IF('4 SUP +'!$A53&gt;71.5,IF('4 SUP +'!$A53&lt;120.6,IF('4 SUP +'!$C53&gt;113.5,IF('4 SUP +'!$C53&lt;141.6,'4 SUP +'!$AB53,0))))</f>
        <v>0</v>
      </c>
      <c r="CK332" s="777" t="b">
        <f>IF('4 SUP +'!$A53&gt;71.5,IF('4 SUP +'!$A53&lt;120.6,IF('4 SUP +'!$C53&gt;141.5,IF('4 SUP +'!$C53&lt;180.6,'4 SUP +'!$AB53,0))))</f>
        <v>0</v>
      </c>
      <c r="CL332" s="777" t="b">
        <f>IF('4 SUP +'!$A53&gt;71.5,IF('4 SUP +'!$A53&lt;120.6,IF('4 SUP +'!$C53&gt;180.5,IF('4 SUP +'!$C53&lt;240.1,'4 SUP +'!$AB53,0))))</f>
        <v>0</v>
      </c>
      <c r="CN332" s="777">
        <f>IF('4 SUP +'!$C53&lt;150,IF(OR('4 SUP +'!$A53="MICRODER",'4 SUP +'!$A53="MICRO DER",),'4 SUP +'!$AB53,0))</f>
        <v>0</v>
      </c>
      <c r="CO332" s="777" t="b">
        <f>IF('4 SUP +'!$C53&gt;149.5,IF(OR('4 SUP +'!$A53="MICRODER",'4 SUP +'!$A53="MICRO DER",),'4 SUP +'!$AB53,0))</f>
        <v>0</v>
      </c>
      <c r="CP332" s="847"/>
      <c r="CQ332" s="777">
        <f>IF('4 SUP +'!$C53&lt;150,IF(OR('4 SUP +'!$A53="MICROIZQ",'4 SUP +'!$A53="MICRO IZQ",),'4 SUP +'!$AB53,0))</f>
        <v>0</v>
      </c>
      <c r="CR332" s="777" t="b">
        <f>IF('4 SUP +'!$C53&gt;149.5,IF(OR('4 SUP +'!$A53="MICROIZQ",'4 SUP +'!$A53="MICRO IZQ",),'4 SUP +'!$AB53,0))</f>
        <v>0</v>
      </c>
      <c r="CT332" s="837">
        <f>IF(OR('4 SUP +'!$A53="MICRO SEN",'4 SUP +'!$A53="MICROSEN",),'4 SUP +'!$AB53,0)</f>
        <v>0</v>
      </c>
      <c r="CV332" s="837" t="b">
        <f>IF('4 SUP +'!$A53="DIAMETRO",IF('4 SUP +'!$C53&lt;121.1,'4 SUP +'!$AB53,0))</f>
        <v>0</v>
      </c>
      <c r="CX332" s="858"/>
      <c r="CZ332" s="837" t="b">
        <f>IF('4 SUP +'!$A53="MOSTRADOR",IF('4 SUP +'!$C53="R60",'4 SUP +'!$AB53,0))</f>
        <v>0</v>
      </c>
      <c r="DB332" s="837">
        <f>IF(OR('4 SUP +'!$A53="PORTA PRIN",'4 SUP +'!$A53="PORTAPRIN",),'4 SUP +'!$AB53,0)</f>
        <v>0</v>
      </c>
      <c r="DD332" s="837">
        <f>IF(OR('4 SUP +'!$A53="PORTA BADE",'4 SUP +'!$A53="PORTABADE",),'4 SUP +'!$AB53,0)</f>
        <v>0</v>
      </c>
      <c r="DE332" s="837"/>
      <c r="DF332" s="837">
        <f>IF(OR('4 SUP +'!$A53="RETORNO IZQ",'4 SUP +'!$A53="RETORNO DER",),'4 SUP +'!$AB241,0)</f>
        <v>0</v>
      </c>
      <c r="DG332" s="837"/>
      <c r="DH332" s="837">
        <f>IF(OR('4 SUP +'!$A53="PITO Q",'4 SUP +'!$A53="PITO P",'4 SUP +'!$A53="DIAMETRO INTEGRADA",),'4 SUP +'!$AB53,0)</f>
        <v>0</v>
      </c>
      <c r="DJ332" s="858"/>
      <c r="DK332" s="837"/>
      <c r="DL332" s="837">
        <f>IF('4 SUP +'!$A53="SUPERFICIE OVAL",'4 SUP +'!$AB53,0)</f>
        <v>0</v>
      </c>
      <c r="DM332" s="838"/>
      <c r="DN332" s="838"/>
      <c r="DO332" s="838"/>
      <c r="DP332" s="838"/>
      <c r="DQ332" s="838"/>
      <c r="DR332" s="838"/>
      <c r="DS332" s="838"/>
      <c r="DT332" s="838"/>
      <c r="DU332" s="838"/>
      <c r="DV332" s="838"/>
      <c r="DW332" s="838"/>
      <c r="DX332" s="838"/>
      <c r="DY332" s="838"/>
      <c r="DZ332" s="838"/>
      <c r="EA332" s="838"/>
      <c r="EB332" s="838"/>
      <c r="EC332" s="838"/>
      <c r="ED332" s="838"/>
      <c r="EG332" s="682">
        <f>IF('4 SUP +'!A51="MICRO DER",85,IF('4 SUP +'!A51="MICRO IZQ",85,IF('4 SUP +'!A51="MICRO SEN",170,IF('4 SUP +'!A51="DIAMETRO",3.14*'4 SUP +'!C51/2,IF('4 SUP +'!A51="MOSTRADOR",136,IF('4 SUP +'!A51="PORTA",65,IF('4 SUP +'!A51="PITO Q",90,IF('4 SUP +'!A51="PITO P",90,'4 SUP +'!A51))))))))</f>
        <v>0</v>
      </c>
      <c r="EH332" s="682"/>
      <c r="EI332" s="682">
        <f>IF('4 SUP +'!A51="DIAMETRO",0,IF('4 SUP +'!C51="PRINCIPAL",160,IF('4 SUP +'!C51="BADE",190,IF('4 SUP +'!C51="RETORNO",100,IF('4 SUP +'!C51="R 60",100,IF('4 SUP +'!C51="R60",100,'4 SUP +'!C51))))))</f>
        <v>0</v>
      </c>
      <c r="EJ332" s="682"/>
      <c r="EK332" s="682">
        <f>IF('4 SUP +'!$F51='4 SUP +'!$AG$15,((EG332*2)+(EI332*2))*'4 SUP +'!AB51,0)</f>
        <v>0</v>
      </c>
      <c r="EL332" s="682"/>
      <c r="EM332" s="682">
        <f>IF('4 SUP +'!$F51='4 SUP +'!$AG$16,((EG332*2)+(EI332*2))*'4 SUP +'!AB51,0)</f>
        <v>0</v>
      </c>
      <c r="EO332" s="682">
        <f>IF('4 SUP +'!$F51='4 SUP +'!$AG$17,((EG332*2)+(EI332*2))*'4 SUP +'!AB51,0)</f>
        <v>0</v>
      </c>
      <c r="EP332" s="838"/>
      <c r="EQ332" s="682">
        <f>IF('4 SUP +'!$F51='4 SUP +'!$AG$18,((EG332*2)+(EI332*2))*'4 SUP +'!AB51,0)</f>
        <v>0</v>
      </c>
      <c r="ER332" s="838"/>
      <c r="ES332" s="858"/>
      <c r="ET332" s="858"/>
      <c r="EU332" s="858"/>
      <c r="EV332" s="858"/>
      <c r="EW332" s="838"/>
      <c r="EX332" s="838"/>
      <c r="EY332" s="838"/>
      <c r="EZ332" s="838"/>
      <c r="FA332" s="838"/>
      <c r="FB332" s="838"/>
      <c r="FC332" s="838"/>
      <c r="FD332" s="838"/>
      <c r="FE332" s="838"/>
      <c r="FF332" s="838"/>
      <c r="FG332" s="838"/>
      <c r="FH332" s="838"/>
      <c r="FI332" s="838"/>
      <c r="FJ332" s="838"/>
      <c r="FK332" s="838"/>
      <c r="FL332" s="838"/>
      <c r="FM332" s="838"/>
      <c r="FN332" s="838"/>
      <c r="FO332" s="838"/>
      <c r="FP332" s="838"/>
      <c r="GM332" s="858"/>
      <c r="GN332" s="838"/>
      <c r="GO332" s="858"/>
      <c r="GP332" s="858"/>
      <c r="GQ332" s="858"/>
      <c r="GR332" s="838"/>
      <c r="GS332" s="838"/>
      <c r="HF332" s="700">
        <v>75</v>
      </c>
      <c r="HH332" s="591">
        <v>75</v>
      </c>
    </row>
    <row r="333" spans="37:216" ht="26.25" x14ac:dyDescent="0.4">
      <c r="AK333" s="777" t="b">
        <f>IF('4 SUP +'!$A54&gt;10,IF('4 SUP +'!$A54&lt;31.1,IF('4 SUP +'!$C54&gt;10,IF('4 SUP +'!$C54&lt;57.6,'4 SUP +'!$AB54,0))))</f>
        <v>0</v>
      </c>
      <c r="AL333" s="777" t="b">
        <f>IF('4 SUP +'!$A54&gt;10,IF('4 SUP +'!$A54&lt;31.1,IF('4 SUP +'!$C54&gt;57.6,IF('4 SUP +'!$C54&lt;71.6,'4 SUP +'!$AB54,0))))</f>
        <v>0</v>
      </c>
      <c r="AM333" s="777" t="b">
        <f>IF('4 SUP +'!$A54&gt;10,IF('4 SUP +'!$A54&lt;31.1,IF('4 SUP +'!$C54&gt;71.5,IF('4 SUP +'!$C54&lt;85.6,'4 SUP +'!$AB54,0))))</f>
        <v>0</v>
      </c>
      <c r="AN333" s="777" t="b">
        <f>IF('4 SUP +'!$A54&gt;10,IF('4 SUP +'!$A54&lt;31.1,IF('4 SUP +'!$C54&gt;85.5,IF('4 SUP +'!$C54&lt;113.6,'4 SUP +'!$AB54,0))))</f>
        <v>0</v>
      </c>
      <c r="AO333" s="777" t="b">
        <f>IF('4 SUP +'!$A54&gt;10,IF('4 SUP +'!$A54&lt;31.1,IF('4 SUP +'!$C54&gt;113.5,IF('4 SUP +'!$C54&lt;141.6,'4 SUP +'!$AB54,0))))</f>
        <v>0</v>
      </c>
      <c r="AP333" s="777" t="b">
        <f>IF('4 SUP +'!$A54&gt;10,IF('4 SUP +'!$A54&lt;31.1,IF('4 SUP +'!$C54&gt;141.5,IF('4 SUP +'!$C54&lt;180.6,'4 SUP +'!$AB54,0))))</f>
        <v>0</v>
      </c>
      <c r="AQ333" s="777" t="b">
        <f>IF('4 SUP +'!$A54&gt;10,IF('4 SUP +'!$A54&lt;31.1,IF('4 SUP +'!$C54&gt;180.5,IF('4 SUP +'!$C54&lt;240.1,'4 SUP +'!$AB54,0))))</f>
        <v>0</v>
      </c>
      <c r="AS333" s="777" t="b">
        <f>IF('4 SUP +'!$A54&gt;31,IF('4 SUP +'!$A54&lt;45.5,IF('4 SUP +'!$C54&gt;10,IF('4 SUP +'!$C54&lt;57.6,'4 SUP +'!$AB54,0))))</f>
        <v>0</v>
      </c>
      <c r="AT333" s="777" t="b">
        <f>IF('4 SUP +'!$A54&gt;31,IF('4 SUP +'!$A54&lt;45.5,IF('4 SUP +'!$C54&gt;57.6,IF('4 SUP +'!$C54&lt;71.6,'4 SUP +'!$AB54,0))))</f>
        <v>0</v>
      </c>
      <c r="AU333" s="777" t="b">
        <f>IF('4 SUP +'!$A54&gt;31,IF('4 SUP +'!$A54&lt;45.5,IF('4 SUP +'!$C54&gt;71.5,IF('4 SUP +'!$C54&lt;85.6,'4 SUP +'!$AB54,0))))</f>
        <v>0</v>
      </c>
      <c r="AV333" s="777" t="b">
        <f>IF('4 SUP +'!$A54&gt;31,IF('4 SUP +'!$A54&lt;45.5,IF('4 SUP +'!$C54&gt;85.5,IF('4 SUP +'!$C54&lt;113.6,'4 SUP +'!$AB54,0))))</f>
        <v>0</v>
      </c>
      <c r="AW333" s="777" t="b">
        <f>IF('4 SUP +'!$A54&gt;31,IF('4 SUP +'!$A54&lt;45.5,IF('4 SUP +'!$C54&gt;113.5,IF('4 SUP +'!$C54&lt;141.6,'4 SUP +'!$AB54,0))))</f>
        <v>0</v>
      </c>
      <c r="AX333" s="777" t="b">
        <f>IF('4 SUP +'!$A54&gt;31,IF('4 SUP +'!$A54&lt;45.5,IF('4 SUP +'!$C54&gt;141.5,IF('4 SUP +'!$C54&lt;180.6,'4 SUP +'!$AB54,0))))</f>
        <v>0</v>
      </c>
      <c r="AY333" s="777" t="b">
        <f>IF('4 SUP +'!$A54&gt;31,IF('4 SUP +'!$A54&lt;45.5,IF('4 SUP +'!$C54&gt;180.5,IF('4 SUP +'!$C54&lt;240.1,'4 SUP +'!$AB54,0))))</f>
        <v>0</v>
      </c>
      <c r="BA333" s="777" t="b">
        <f>IF('4 SUP +'!$A54&gt;45.4,IF('4 SUP +'!$A54&lt;61.6,IF('4 SUP +'!$C54&gt;10,IF('4 SUP +'!$C54&lt;61.5,'4 SUP +'!$AB54,0))))</f>
        <v>0</v>
      </c>
      <c r="BB333" s="777" t="b">
        <f>IF('4 SUP +'!$A54&gt;45.4,IF('4 SUP +'!$A54&lt;61.6,IF('4 SUP +'!$C54&gt;61.1,IF('4 SUP +'!$C54&lt;71.6,'4 SUP +'!$AB54,0))))</f>
        <v>0</v>
      </c>
      <c r="BC333" s="777" t="b">
        <f>IF('4 SUP +'!$A54&gt;45.4,IF('4 SUP +'!$A54&lt;61.6,IF('4 SUP +'!$C54&gt;71.5,IF('4 SUP +'!$C54&lt;85.6,'4 SUP +'!$AB54,0))))</f>
        <v>0</v>
      </c>
      <c r="BD333" s="777" t="b">
        <f>IF('4 SUP +'!$A54&gt;45.4,IF('4 SUP +'!$A54&lt;61.6,IF('4 SUP +'!$C54&gt;85.5,IF('4 SUP +'!$C54&lt;113.6,'4 SUP +'!$AB54,0))))</f>
        <v>0</v>
      </c>
      <c r="BE333" s="777" t="b">
        <f>IF('4 SUP +'!$A54&gt;45.4,IF('4 SUP +'!$A54&lt;61.6,IF('4 SUP +'!$C54&gt;113.5,IF('4 SUP +'!$C54&lt;121.6,'4 SUP +'!$AB54,0))))</f>
        <v>0</v>
      </c>
      <c r="BF333" s="777" t="b">
        <f>IF('4 SUP +'!$A54&gt;45.4,IF('4 SUP +'!$A54&lt;61.6,IF('4 SUP +'!$C54&gt;121.5,IF('4 SUP +'!$C54&lt;127.6,'4 SUP +'!$AB54,0))))</f>
        <v>0</v>
      </c>
      <c r="BG333" s="777" t="b">
        <f>IF('4 SUP +'!$A54&gt;45.4,IF('4 SUP +'!$A54&lt;61.6,IF('4 SUP +'!$C54&gt;127.5,IF('4 SUP +'!$C54&lt;135.1,'4 SUP +'!$AB54,0))))</f>
        <v>0</v>
      </c>
      <c r="BH333" s="777" t="b">
        <f>IF('4 SUP +'!$A54&gt;45.4,IF('4 SUP +'!$A54&lt;61.6,IF('4 SUP +'!$C54&gt;135,IF('4 SUP +'!$C54&lt;141.6,'4 SUP +'!$AB54,0))))</f>
        <v>0</v>
      </c>
      <c r="BI333" s="777" t="b">
        <f>IF('4 SUP +'!$A54&gt;45.4,IF('4 SUP +'!$A54&lt;61.6,IF('4 SUP +'!$C54&gt;141.5,IF('4 SUP +'!$C54&lt;149.1,'4 SUP +'!$AB54,0))))</f>
        <v>0</v>
      </c>
      <c r="BJ333" s="777" t="b">
        <f>IF('4 SUP +'!$A54&gt;45.4,IF('4 SUP +'!$A54&lt;61.6,IF('4 SUP +'!$C54&gt;149,IF('4 SUP +'!$C54&lt;155.6,'4 SUP +'!$AB54,0))))</f>
        <v>0</v>
      </c>
      <c r="BK333" s="777" t="b">
        <f>IF('4 SUP +'!$A54&gt;45.4,IF('4 SUP +'!$A54&lt;61.6,IF('4 SUP +'!$C54&gt;155.5,IF('4 SUP +'!$C54&lt;163.1,'4 SUP +'!$AB54,0))))</f>
        <v>0</v>
      </c>
      <c r="BL333" s="777" t="b">
        <f>IF('4 SUP +'!$A54&gt;45.4,IF('4 SUP +'!$A54&lt;61.6,IF('4 SUP +'!$C54&gt;163,IF('4 SUP +'!$C54&lt;180.6,'4 SUP +'!$AB54,0))))</f>
        <v>0</v>
      </c>
      <c r="BM333" s="777" t="b">
        <f>IF('4 SUP +'!$A54&gt;45.4,IF('4 SUP +'!$A54&lt;61.6,IF('4 SUP +'!$C54&gt;180.5,IF('4 SUP +'!$C54&lt;240.1,'4 SUP +'!$AB54,0))))</f>
        <v>0</v>
      </c>
      <c r="BO333" s="869" t="s">
        <v>516</v>
      </c>
      <c r="BQ333" s="870">
        <f>+$AO$337</f>
        <v>0</v>
      </c>
      <c r="BS333" s="869"/>
      <c r="BT333" s="870">
        <f>+$AO$340</f>
        <v>0</v>
      </c>
      <c r="BV333" s="777" t="b">
        <f>IF('4 SUP +'!$A54&gt;61.5,IF('4 SUP +'!$A54&lt;71.6,IF('4 SUP +'!$C54&gt;10,IF('4 SUP +'!$C54&lt;57.6,'4 SUP +'!$AB54,0))))</f>
        <v>0</v>
      </c>
      <c r="BW333" s="777" t="b">
        <f>IF('4 SUP +'!$A54&gt;61.5,IF('4 SUP +'!$A54&lt;71.6,IF('4 SUP +'!$C54&gt;57.6,IF('4 SUP +'!$C54&lt;71.6,'4 SUP +'!$AB54,0))))</f>
        <v>0</v>
      </c>
      <c r="BX333" s="777" t="b">
        <f>IF('4 SUP +'!$A54&gt;61.5,IF('4 SUP +'!$A54&lt;71.6,IF('4 SUP +'!$C54&gt;71.5,IF('4 SUP +'!$C54&lt;85.6,'4 SUP +'!$AB54,0))))</f>
        <v>0</v>
      </c>
      <c r="BY333" s="777" t="b">
        <f>IF('4 SUP +'!$A54&gt;61.5,IF('4 SUP +'!$A54&lt;71.6,IF('4 SUP +'!$C54&gt;85.5,IF('4 SUP +'!$C54&lt;113.6,'4 SUP +'!$AB54,0))))</f>
        <v>0</v>
      </c>
      <c r="BZ333" s="777" t="b">
        <f>IF('4 SUP +'!$A54&gt;61.5,IF('4 SUP +'!$A54&lt;71.6,IF('4 SUP +'!$C54&gt;113.5,IF('4 SUP +'!$C54&lt;141.6,'4 SUP +'!$AB54,0))))</f>
        <v>0</v>
      </c>
      <c r="CA333" s="777" t="b">
        <f>IF('4 SUP +'!$A54&gt;61.5,IF('4 SUP +'!$A54&lt;71.6,IF('4 SUP +'!$C54&gt;141.5,IF('4 SUP +'!$C54&lt;149.1,'4 SUP +'!$AB54,0))))</f>
        <v>0</v>
      </c>
      <c r="CB333" s="777" t="b">
        <f>IF('4 SUP +'!$A54&gt;61.5,IF('4 SUP +'!$A54&lt;71.6,IF('4 SUP +'!$C54&gt;149,IF('4 SUP +'!$C54&lt;163.1,'4 SUP +'!$AB54,0))))</f>
        <v>0</v>
      </c>
      <c r="CC333" s="777" t="b">
        <f>IF('4 SUP +'!$A54&gt;61.5,IF('4 SUP +'!$A54&lt;71.6,IF('4 SUP +'!$C54&gt;163,IF('4 SUP +'!$C54&lt;180.6,'4 SUP +'!$AB54,0))))</f>
        <v>0</v>
      </c>
      <c r="CD333" s="777" t="b">
        <f>IF('4 SUP +'!$A54&gt;61.5,IF('4 SUP +'!$A54&lt;71.6,IF('4 SUP +'!$C54&gt;180.5,IF('4 SUP +'!$C54&lt;240.1,'4 SUP +'!$AB54,0))))</f>
        <v>0</v>
      </c>
      <c r="CF333" s="777" t="b">
        <f>IF('4 SUP +'!$A54&gt;71.5,IF('4 SUP +'!$A54&lt;120.6,IF('4 SUP +'!$C54&gt;10,IF('4 SUP +'!$C54&lt;57.6,'4 SUP +'!$AB54,0))))</f>
        <v>0</v>
      </c>
      <c r="CG333" s="777" t="b">
        <f>IF('4 SUP +'!$A54&gt;71.5,IF('4 SUP +'!$A54&lt;120.6,IF('4 SUP +'!$C54&gt;57.6,IF('4 SUP +'!$C54&lt;71.6,'4 SUP +'!$AB54,0))))</f>
        <v>0</v>
      </c>
      <c r="CH333" s="777" t="b">
        <f>IF('4 SUP +'!$A54&gt;71.5,IF('4 SUP +'!$A54&lt;120.6,IF('4 SUP +'!$C54&gt;71.5,IF('4 SUP +'!$C54&lt;85.6,'4 SUP +'!$AB54,0))))</f>
        <v>0</v>
      </c>
      <c r="CI333" s="777" t="b">
        <f>IF('4 SUP +'!$A54&gt;71.5,IF('4 SUP +'!$A54&lt;120.6,IF('4 SUP +'!$C54&gt;85.5,IF('4 SUP +'!$C54&lt;113.6,'4 SUP +'!$AB54,0))))</f>
        <v>0</v>
      </c>
      <c r="CJ333" s="777" t="b">
        <f>IF('4 SUP +'!$A54&gt;71.5,IF('4 SUP +'!$A54&lt;120.6,IF('4 SUP +'!$C54&gt;113.5,IF('4 SUP +'!$C54&lt;141.6,'4 SUP +'!$AB54,0))))</f>
        <v>0</v>
      </c>
      <c r="CK333" s="777" t="b">
        <f>IF('4 SUP +'!$A54&gt;71.5,IF('4 SUP +'!$A54&lt;120.6,IF('4 SUP +'!$C54&gt;141.5,IF('4 SUP +'!$C54&lt;180.6,'4 SUP +'!$AB54,0))))</f>
        <v>0</v>
      </c>
      <c r="CL333" s="777" t="b">
        <f>IF('4 SUP +'!$A54&gt;71.5,IF('4 SUP +'!$A54&lt;120.6,IF('4 SUP +'!$C54&gt;180.5,IF('4 SUP +'!$C54&lt;240.1,'4 SUP +'!$AB54,0))))</f>
        <v>0</v>
      </c>
      <c r="CN333" s="777">
        <f>IF('4 SUP +'!$C54&lt;150,IF(OR('4 SUP +'!$A54="MICRODER",'4 SUP +'!$A54="MICRO DER",),'4 SUP +'!$AB54,0))</f>
        <v>0</v>
      </c>
      <c r="CO333" s="777" t="b">
        <f>IF('4 SUP +'!$C54&gt;149.5,IF(OR('4 SUP +'!$A54="MICRODER",'4 SUP +'!$A54="MICRO DER",),'4 SUP +'!$AB54,0))</f>
        <v>0</v>
      </c>
      <c r="CP333" s="847"/>
      <c r="CQ333" s="777">
        <f>IF('4 SUP +'!$C54&lt;150,IF(OR('4 SUP +'!$A54="MICROIZQ",'4 SUP +'!$A54="MICRO IZQ",),'4 SUP +'!$AB54,0))</f>
        <v>0</v>
      </c>
      <c r="CR333" s="777" t="b">
        <f>IF('4 SUP +'!$C54&gt;149.5,IF(OR('4 SUP +'!$A54="MICROIZQ",'4 SUP +'!$A54="MICRO IZQ",),'4 SUP +'!$AB54,0))</f>
        <v>0</v>
      </c>
      <c r="CT333" s="837">
        <f>IF(OR('4 SUP +'!$A54="MICRO SEN",'4 SUP +'!$A54="MICROSEN",),'4 SUP +'!$AB54,0)</f>
        <v>0</v>
      </c>
      <c r="CV333" s="837" t="b">
        <f>IF('4 SUP +'!$A54="DIAMETRO",IF('4 SUP +'!$C54&lt;121.1,'4 SUP +'!$AB54,0))</f>
        <v>0</v>
      </c>
      <c r="CX333" s="858"/>
      <c r="CZ333" s="837" t="b">
        <f>IF('4 SUP +'!$A54="MOSTRADOR",IF('4 SUP +'!$C54="R60",'4 SUP +'!$AB54,0))</f>
        <v>0</v>
      </c>
      <c r="DB333" s="837">
        <f>IF(OR('4 SUP +'!$A54="PORTA PRIN",'4 SUP +'!$A54="PORTAPRIN",),'4 SUP +'!$AB54,0)</f>
        <v>0</v>
      </c>
      <c r="DD333" s="837">
        <f>IF(OR('4 SUP +'!$A54="PORTA BADE",'4 SUP +'!$A54="PORTABADE",),'4 SUP +'!$AB54,0)</f>
        <v>0</v>
      </c>
      <c r="DE333" s="837"/>
      <c r="DF333" s="837">
        <f>IF(OR('4 SUP +'!$A54="RETORNO IZQ",'4 SUP +'!$A54="RETORNO DER",),'4 SUP +'!$AB242,0)</f>
        <v>0</v>
      </c>
      <c r="DG333" s="837"/>
      <c r="DH333" s="837">
        <f>IF(OR('4 SUP +'!$A54="PITO Q",'4 SUP +'!$A54="PITO P",'4 SUP +'!$A54="DIAMETRO INTEGRADA",),'4 SUP +'!$AB54,0)</f>
        <v>0</v>
      </c>
      <c r="DJ333" s="858"/>
      <c r="DK333" s="837"/>
      <c r="DL333" s="837">
        <f>IF('4 SUP +'!$A54="SUPERFICIE OVAL",'4 SUP +'!$AB54,0)</f>
        <v>0</v>
      </c>
      <c r="DM333" s="838"/>
      <c r="DN333" s="838"/>
      <c r="DO333" s="838"/>
      <c r="DP333" s="838"/>
      <c r="DQ333" s="838"/>
      <c r="DR333" s="838"/>
      <c r="DS333" s="838"/>
      <c r="DT333" s="838"/>
      <c r="DU333" s="838"/>
      <c r="DV333" s="838"/>
      <c r="DW333" s="838"/>
      <c r="DX333" s="838"/>
      <c r="DY333" s="838"/>
      <c r="DZ333" s="838"/>
      <c r="EA333" s="838"/>
      <c r="EB333" s="838"/>
      <c r="EC333" s="838"/>
      <c r="ED333" s="838"/>
      <c r="EG333" s="682">
        <f>IF('4 SUP +'!A52="MICRO DER",85,IF('4 SUP +'!A52="MICRO IZQ",85,IF('4 SUP +'!A52="MICRO SEN",170,IF('4 SUP +'!A52="DIAMETRO",3.14*'4 SUP +'!C52/2,IF('4 SUP +'!A52="MOSTRADOR",136,IF('4 SUP +'!A52="PORTA",65,IF('4 SUP +'!A52="PITO Q",90,IF('4 SUP +'!A52="PITO P",90,'4 SUP +'!A52))))))))</f>
        <v>0</v>
      </c>
      <c r="EH333" s="682"/>
      <c r="EI333" s="682">
        <f>IF('4 SUP +'!A52="DIAMETRO",0,IF('4 SUP +'!C52="PRINCIPAL",160,IF('4 SUP +'!C52="BADE",190,IF('4 SUP +'!C52="RETORNO",100,IF('4 SUP +'!C52="R 60",100,IF('4 SUP +'!C52="R60",100,'4 SUP +'!C52))))))</f>
        <v>0</v>
      </c>
      <c r="EJ333" s="682"/>
      <c r="EK333" s="682">
        <f>IF('4 SUP +'!$F52='4 SUP +'!$AG$15,((EG333*2)+(EI333*2))*'4 SUP +'!AB52,0)</f>
        <v>0</v>
      </c>
      <c r="EL333" s="682"/>
      <c r="EM333" s="682">
        <f>IF('4 SUP +'!$F52='4 SUP +'!$AG$16,((EG333*2)+(EI333*2))*'4 SUP +'!AB52,0)</f>
        <v>0</v>
      </c>
      <c r="EO333" s="682">
        <f>IF('4 SUP +'!$F52='4 SUP +'!$AG$17,((EG333*2)+(EI333*2))*'4 SUP +'!AB52,0)</f>
        <v>0</v>
      </c>
      <c r="EP333" s="838"/>
      <c r="EQ333" s="682">
        <f>IF('4 SUP +'!$F52='4 SUP +'!$AG$18,((EG333*2)+(EI333*2))*'4 SUP +'!AB52,0)</f>
        <v>0</v>
      </c>
      <c r="ER333" s="838"/>
      <c r="ES333" s="858"/>
      <c r="ET333" s="858"/>
      <c r="EU333" s="858"/>
      <c r="EV333" s="858"/>
      <c r="EW333" s="838"/>
      <c r="EX333" s="838"/>
      <c r="EY333" s="838"/>
      <c r="EZ333" s="838"/>
      <c r="FA333" s="838"/>
      <c r="FB333" s="838"/>
      <c r="FC333" s="838"/>
      <c r="FD333" s="838"/>
      <c r="FE333" s="838"/>
      <c r="FF333" s="838"/>
      <c r="FG333" s="838"/>
      <c r="FH333" s="838"/>
      <c r="FI333" s="838"/>
      <c r="FJ333" s="838"/>
      <c r="FK333" s="838"/>
      <c r="FL333" s="838"/>
      <c r="FM333" s="838"/>
      <c r="FN333" s="838"/>
      <c r="FO333" s="838"/>
      <c r="FP333" s="838"/>
      <c r="GM333" s="858"/>
      <c r="GN333" s="838"/>
      <c r="GO333" s="858"/>
      <c r="GP333" s="858"/>
      <c r="GQ333" s="858"/>
      <c r="GR333" s="838"/>
      <c r="GS333" s="838"/>
      <c r="HF333" s="700">
        <v>75.5</v>
      </c>
      <c r="HH333" s="591">
        <v>75.5</v>
      </c>
    </row>
    <row r="334" spans="37:216" ht="26.25" x14ac:dyDescent="0.4">
      <c r="AK334" s="777" t="b">
        <f>IF('4 SUP +'!$A55&gt;10,IF('4 SUP +'!$A55&lt;31.1,IF('4 SUP +'!$C55&gt;10,IF('4 SUP +'!$C55&lt;57.6,'4 SUP +'!$AB55,0))))</f>
        <v>0</v>
      </c>
      <c r="AL334" s="777" t="b">
        <f>IF('4 SUP +'!$A55&gt;10,IF('4 SUP +'!$A55&lt;31.1,IF('4 SUP +'!$C55&gt;57.6,IF('4 SUP +'!$C55&lt;71.6,'4 SUP +'!$AB55,0))))</f>
        <v>0</v>
      </c>
      <c r="AM334" s="777" t="b">
        <f>IF('4 SUP +'!$A55&gt;10,IF('4 SUP +'!$A55&lt;31.1,IF('4 SUP +'!$C55&gt;71.5,IF('4 SUP +'!$C55&lt;85.6,'4 SUP +'!$AB55,0))))</f>
        <v>0</v>
      </c>
      <c r="AN334" s="777" t="b">
        <f>IF('4 SUP +'!$A55&gt;10,IF('4 SUP +'!$A55&lt;31.1,IF('4 SUP +'!$C55&gt;85.5,IF('4 SUP +'!$C55&lt;113.6,'4 SUP +'!$AB55,0))))</f>
        <v>0</v>
      </c>
      <c r="AO334" s="777" t="b">
        <f>IF('4 SUP +'!$A55&gt;10,IF('4 SUP +'!$A55&lt;31.1,IF('4 SUP +'!$C55&gt;113.5,IF('4 SUP +'!$C55&lt;141.6,'4 SUP +'!$AB55,0))))</f>
        <v>0</v>
      </c>
      <c r="AP334" s="777" t="b">
        <f>IF('4 SUP +'!$A55&gt;10,IF('4 SUP +'!$A55&lt;31.1,IF('4 SUP +'!$C55&gt;141.5,IF('4 SUP +'!$C55&lt;180.6,'4 SUP +'!$AB55,0))))</f>
        <v>0</v>
      </c>
      <c r="AQ334" s="777" t="b">
        <f>IF('4 SUP +'!$A55&gt;10,IF('4 SUP +'!$A55&lt;31.1,IF('4 SUP +'!$C55&gt;180.5,IF('4 SUP +'!$C55&lt;240.1,'4 SUP +'!$AB55,0))))</f>
        <v>0</v>
      </c>
      <c r="AS334" s="777" t="b">
        <f>IF('4 SUP +'!$A55&gt;31,IF('4 SUP +'!$A55&lt;45.5,IF('4 SUP +'!$C55&gt;10,IF('4 SUP +'!$C55&lt;57.6,'4 SUP +'!$AB55,0))))</f>
        <v>0</v>
      </c>
      <c r="AT334" s="777" t="b">
        <f>IF('4 SUP +'!$A55&gt;31,IF('4 SUP +'!$A55&lt;45.5,IF('4 SUP +'!$C55&gt;57.6,IF('4 SUP +'!$C55&lt;71.6,'4 SUP +'!$AB55,0))))</f>
        <v>0</v>
      </c>
      <c r="AU334" s="777" t="b">
        <f>IF('4 SUP +'!$A55&gt;31,IF('4 SUP +'!$A55&lt;45.5,IF('4 SUP +'!$C55&gt;71.5,IF('4 SUP +'!$C55&lt;85.6,'4 SUP +'!$AB55,0))))</f>
        <v>0</v>
      </c>
      <c r="AV334" s="777" t="b">
        <f>IF('4 SUP +'!$A55&gt;31,IF('4 SUP +'!$A55&lt;45.5,IF('4 SUP +'!$C55&gt;85.5,IF('4 SUP +'!$C55&lt;113.6,'4 SUP +'!$AB55,0))))</f>
        <v>0</v>
      </c>
      <c r="AW334" s="777" t="b">
        <f>IF('4 SUP +'!$A55&gt;31,IF('4 SUP +'!$A55&lt;45.5,IF('4 SUP +'!$C55&gt;113.5,IF('4 SUP +'!$C55&lt;141.6,'4 SUP +'!$AB55,0))))</f>
        <v>0</v>
      </c>
      <c r="AX334" s="777" t="b">
        <f>IF('4 SUP +'!$A55&gt;31,IF('4 SUP +'!$A55&lt;45.5,IF('4 SUP +'!$C55&gt;141.5,IF('4 SUP +'!$C55&lt;180.6,'4 SUP +'!$AB55,0))))</f>
        <v>0</v>
      </c>
      <c r="AY334" s="777" t="b">
        <f>IF('4 SUP +'!$A55&gt;31,IF('4 SUP +'!$A55&lt;45.5,IF('4 SUP +'!$C55&gt;180.5,IF('4 SUP +'!$C55&lt;240.1,'4 SUP +'!$AB55,0))))</f>
        <v>0</v>
      </c>
      <c r="BA334" s="777" t="b">
        <f>IF('4 SUP +'!$A55&gt;45.4,IF('4 SUP +'!$A55&lt;61.6,IF('4 SUP +'!$C55&gt;10,IF('4 SUP +'!$C55&lt;61.5,'4 SUP +'!$AB55,0))))</f>
        <v>0</v>
      </c>
      <c r="BB334" s="777" t="b">
        <f>IF('4 SUP +'!$A55&gt;45.4,IF('4 SUP +'!$A55&lt;61.6,IF('4 SUP +'!$C55&gt;61.1,IF('4 SUP +'!$C55&lt;71.6,'4 SUP +'!$AB55,0))))</f>
        <v>0</v>
      </c>
      <c r="BC334" s="777" t="b">
        <f>IF('4 SUP +'!$A55&gt;45.4,IF('4 SUP +'!$A55&lt;61.6,IF('4 SUP +'!$C55&gt;71.5,IF('4 SUP +'!$C55&lt;85.6,'4 SUP +'!$AB55,0))))</f>
        <v>0</v>
      </c>
      <c r="BD334" s="777" t="b">
        <f>IF('4 SUP +'!$A55&gt;45.4,IF('4 SUP +'!$A55&lt;61.6,IF('4 SUP +'!$C55&gt;85.5,IF('4 SUP +'!$C55&lt;113.6,'4 SUP +'!$AB55,0))))</f>
        <v>0</v>
      </c>
      <c r="BE334" s="777" t="b">
        <f>IF('4 SUP +'!$A55&gt;45.4,IF('4 SUP +'!$A55&lt;61.6,IF('4 SUP +'!$C55&gt;113.5,IF('4 SUP +'!$C55&lt;121.6,'4 SUP +'!$AB55,0))))</f>
        <v>0</v>
      </c>
      <c r="BF334" s="777" t="b">
        <f>IF('4 SUP +'!$A55&gt;45.4,IF('4 SUP +'!$A55&lt;61.6,IF('4 SUP +'!$C55&gt;121.5,IF('4 SUP +'!$C55&lt;127.6,'4 SUP +'!$AB55,0))))</f>
        <v>0</v>
      </c>
      <c r="BG334" s="777" t="b">
        <f>IF('4 SUP +'!$A55&gt;45.4,IF('4 SUP +'!$A55&lt;61.6,IF('4 SUP +'!$C55&gt;127.5,IF('4 SUP +'!$C55&lt;135.1,'4 SUP +'!$AB55,0))))</f>
        <v>0</v>
      </c>
      <c r="BH334" s="777" t="b">
        <f>IF('4 SUP +'!$A55&gt;45.4,IF('4 SUP +'!$A55&lt;61.6,IF('4 SUP +'!$C55&gt;135,IF('4 SUP +'!$C55&lt;141.6,'4 SUP +'!$AB55,0))))</f>
        <v>0</v>
      </c>
      <c r="BI334" s="777" t="b">
        <f>IF('4 SUP +'!$A55&gt;45.4,IF('4 SUP +'!$A55&lt;61.6,IF('4 SUP +'!$C55&gt;141.5,IF('4 SUP +'!$C55&lt;149.1,'4 SUP +'!$AB55,0))))</f>
        <v>0</v>
      </c>
      <c r="BJ334" s="777" t="b">
        <f>IF('4 SUP +'!$A55&gt;45.4,IF('4 SUP +'!$A55&lt;61.6,IF('4 SUP +'!$C55&gt;149,IF('4 SUP +'!$C55&lt;155.6,'4 SUP +'!$AB55,0))))</f>
        <v>0</v>
      </c>
      <c r="BK334" s="777" t="b">
        <f>IF('4 SUP +'!$A55&gt;45.4,IF('4 SUP +'!$A55&lt;61.6,IF('4 SUP +'!$C55&gt;155.5,IF('4 SUP +'!$C55&lt;163.1,'4 SUP +'!$AB55,0))))</f>
        <v>0</v>
      </c>
      <c r="BL334" s="777" t="b">
        <f>IF('4 SUP +'!$A55&gt;45.4,IF('4 SUP +'!$A55&lt;61.6,IF('4 SUP +'!$C55&gt;163,IF('4 SUP +'!$C55&lt;180.6,'4 SUP +'!$AB55,0))))</f>
        <v>0</v>
      </c>
      <c r="BM334" s="777" t="b">
        <f>IF('4 SUP +'!$A55&gt;45.4,IF('4 SUP +'!$A55&lt;61.6,IF('4 SUP +'!$C55&gt;180.5,IF('4 SUP +'!$C55&lt;240.1,'4 SUP +'!$AB55,0))))</f>
        <v>0</v>
      </c>
      <c r="BO334" s="869" t="s">
        <v>517</v>
      </c>
      <c r="BQ334" s="870">
        <f>+$AS$337</f>
        <v>0</v>
      </c>
      <c r="BS334" s="869"/>
      <c r="BT334" s="870">
        <f>+$AS$340</f>
        <v>0</v>
      </c>
      <c r="BV334" s="777" t="b">
        <f>IF('4 SUP +'!$A55&gt;61.5,IF('4 SUP +'!$A55&lt;71.6,IF('4 SUP +'!$C55&gt;10,IF('4 SUP +'!$C55&lt;57.6,'4 SUP +'!$AB55,0))))</f>
        <v>0</v>
      </c>
      <c r="BW334" s="777" t="b">
        <f>IF('4 SUP +'!$A55&gt;61.5,IF('4 SUP +'!$A55&lt;71.6,IF('4 SUP +'!$C55&gt;57.6,IF('4 SUP +'!$C55&lt;71.6,'4 SUP +'!$AB55,0))))</f>
        <v>0</v>
      </c>
      <c r="BX334" s="777" t="b">
        <f>IF('4 SUP +'!$A55&gt;61.5,IF('4 SUP +'!$A55&lt;71.6,IF('4 SUP +'!$C55&gt;71.5,IF('4 SUP +'!$C55&lt;85.6,'4 SUP +'!$AB55,0))))</f>
        <v>0</v>
      </c>
      <c r="BY334" s="777" t="b">
        <f>IF('4 SUP +'!$A55&gt;61.5,IF('4 SUP +'!$A55&lt;71.6,IF('4 SUP +'!$C55&gt;85.5,IF('4 SUP +'!$C55&lt;113.6,'4 SUP +'!$AB55,0))))</f>
        <v>0</v>
      </c>
      <c r="BZ334" s="777" t="b">
        <f>IF('4 SUP +'!$A55&gt;61.5,IF('4 SUP +'!$A55&lt;71.6,IF('4 SUP +'!$C55&gt;113.5,IF('4 SUP +'!$C55&lt;141.6,'4 SUP +'!$AB55,0))))</f>
        <v>0</v>
      </c>
      <c r="CA334" s="777" t="b">
        <f>IF('4 SUP +'!$A55&gt;61.5,IF('4 SUP +'!$A55&lt;71.6,IF('4 SUP +'!$C55&gt;141.5,IF('4 SUP +'!$C55&lt;149.1,'4 SUP +'!$AB55,0))))</f>
        <v>0</v>
      </c>
      <c r="CB334" s="777" t="b">
        <f>IF('4 SUP +'!$A55&gt;61.5,IF('4 SUP +'!$A55&lt;71.6,IF('4 SUP +'!$C55&gt;149,IF('4 SUP +'!$C55&lt;163.1,'4 SUP +'!$AB55,0))))</f>
        <v>0</v>
      </c>
      <c r="CC334" s="777" t="b">
        <f>IF('4 SUP +'!$A55&gt;61.5,IF('4 SUP +'!$A55&lt;71.6,IF('4 SUP +'!$C55&gt;163,IF('4 SUP +'!$C55&lt;180.6,'4 SUP +'!$AB55,0))))</f>
        <v>0</v>
      </c>
      <c r="CD334" s="777" t="b">
        <f>IF('4 SUP +'!$A55&gt;61.5,IF('4 SUP +'!$A55&lt;71.6,IF('4 SUP +'!$C55&gt;180.5,IF('4 SUP +'!$C55&lt;240.1,'4 SUP +'!$AB55,0))))</f>
        <v>0</v>
      </c>
      <c r="CF334" s="777" t="b">
        <f>IF('4 SUP +'!$A55&gt;71.5,IF('4 SUP +'!$A55&lt;120.6,IF('4 SUP +'!$C55&gt;10,IF('4 SUP +'!$C55&lt;57.6,'4 SUP +'!$AB55,0))))</f>
        <v>0</v>
      </c>
      <c r="CG334" s="777" t="b">
        <f>IF('4 SUP +'!$A55&gt;71.5,IF('4 SUP +'!$A55&lt;120.6,IF('4 SUP +'!$C55&gt;57.6,IF('4 SUP +'!$C55&lt;71.6,'4 SUP +'!$AB55,0))))</f>
        <v>0</v>
      </c>
      <c r="CH334" s="777" t="b">
        <f>IF('4 SUP +'!$A55&gt;71.5,IF('4 SUP +'!$A55&lt;120.6,IF('4 SUP +'!$C55&gt;71.5,IF('4 SUP +'!$C55&lt;85.6,'4 SUP +'!$AB55,0))))</f>
        <v>0</v>
      </c>
      <c r="CI334" s="777" t="b">
        <f>IF('4 SUP +'!$A55&gt;71.5,IF('4 SUP +'!$A55&lt;120.6,IF('4 SUP +'!$C55&gt;85.5,IF('4 SUP +'!$C55&lt;113.6,'4 SUP +'!$AB55,0))))</f>
        <v>0</v>
      </c>
      <c r="CJ334" s="777" t="b">
        <f>IF('4 SUP +'!$A55&gt;71.5,IF('4 SUP +'!$A55&lt;120.6,IF('4 SUP +'!$C55&gt;113.5,IF('4 SUP +'!$C55&lt;141.6,'4 SUP +'!$AB55,0))))</f>
        <v>0</v>
      </c>
      <c r="CK334" s="777" t="b">
        <f>IF('4 SUP +'!$A55&gt;71.5,IF('4 SUP +'!$A55&lt;120.6,IF('4 SUP +'!$C55&gt;141.5,IF('4 SUP +'!$C55&lt;180.6,'4 SUP +'!$AB55,0))))</f>
        <v>0</v>
      </c>
      <c r="CL334" s="777" t="b">
        <f>IF('4 SUP +'!$A55&gt;71.5,IF('4 SUP +'!$A55&lt;120.6,IF('4 SUP +'!$C55&gt;180.5,IF('4 SUP +'!$C55&lt;240.1,'4 SUP +'!$AB55,0))))</f>
        <v>0</v>
      </c>
      <c r="CN334" s="777">
        <f>IF('4 SUP +'!$C55&lt;150,IF(OR('4 SUP +'!$A55="MICRODER",'4 SUP +'!$A55="MICRO DER",),'4 SUP +'!$AB55,0))</f>
        <v>0</v>
      </c>
      <c r="CO334" s="777" t="b">
        <f>IF('4 SUP +'!$C55&gt;149.5,IF(OR('4 SUP +'!$A55="MICRODER",'4 SUP +'!$A55="MICRO DER",),'4 SUP +'!$AB55,0))</f>
        <v>0</v>
      </c>
      <c r="CP334" s="847"/>
      <c r="CQ334" s="777">
        <f>IF('4 SUP +'!$C55&lt;150,IF(OR('4 SUP +'!$A55="MICROIZQ",'4 SUP +'!$A55="MICRO IZQ",),'4 SUP +'!$AB55,0))</f>
        <v>0</v>
      </c>
      <c r="CR334" s="777" t="b">
        <f>IF('4 SUP +'!$C55&gt;149.5,IF(OR('4 SUP +'!$A55="MICROIZQ",'4 SUP +'!$A55="MICRO IZQ",),'4 SUP +'!$AB55,0))</f>
        <v>0</v>
      </c>
      <c r="CT334" s="837">
        <f>IF(OR('4 SUP +'!$A55="MICRO SEN",'4 SUP +'!$A55="MICROSEN",),'4 SUP +'!$AB55,0)</f>
        <v>0</v>
      </c>
      <c r="CV334" s="837" t="b">
        <f>IF('4 SUP +'!$A55="DIAMETRO",IF('4 SUP +'!$C55&lt;121.1,'4 SUP +'!$AB55,0))</f>
        <v>0</v>
      </c>
      <c r="CX334" s="858"/>
      <c r="CZ334" s="837" t="b">
        <f>IF('4 SUP +'!$A55="MOSTRADOR",IF('4 SUP +'!$C55="R60",'4 SUP +'!$AB55,0))</f>
        <v>0</v>
      </c>
      <c r="DB334" s="837">
        <f>IF(OR('4 SUP +'!$A55="PORTA PRIN",'4 SUP +'!$A55="PORTAPRIN",),'4 SUP +'!$AB55,0)</f>
        <v>0</v>
      </c>
      <c r="DD334" s="837">
        <f>IF(OR('4 SUP +'!$A55="PORTA BADE",'4 SUP +'!$A55="PORTABADE",),'4 SUP +'!$AB55,0)</f>
        <v>0</v>
      </c>
      <c r="DE334" s="837"/>
      <c r="DF334" s="837">
        <f>IF(OR('4 SUP +'!$A55="RETORNO IZQ",'4 SUP +'!$A55="RETORNO DER",),'4 SUP +'!$AB243,0)</f>
        <v>0</v>
      </c>
      <c r="DG334" s="837"/>
      <c r="DH334" s="837">
        <f>IF(OR('4 SUP +'!$A55="PITO Q",'4 SUP +'!$A55="PITO P",'4 SUP +'!$A55="DIAMETRO INTEGRADA",),'4 SUP +'!$AB55,0)</f>
        <v>0</v>
      </c>
      <c r="DJ334" s="858"/>
      <c r="DK334" s="837"/>
      <c r="DL334" s="837">
        <f>IF('4 SUP +'!$A55="SUPERFICIE OVAL",'4 SUP +'!$AB55,0)</f>
        <v>0</v>
      </c>
      <c r="DM334" s="838"/>
      <c r="DN334" s="838"/>
      <c r="DO334" s="838"/>
      <c r="DP334" s="838"/>
      <c r="DQ334" s="838"/>
      <c r="DR334" s="838"/>
      <c r="DS334" s="838"/>
      <c r="DT334" s="838"/>
      <c r="DU334" s="838"/>
      <c r="DV334" s="838"/>
      <c r="DW334" s="838"/>
      <c r="DX334" s="838"/>
      <c r="DY334" s="838"/>
      <c r="DZ334" s="838"/>
      <c r="EA334" s="838"/>
      <c r="EB334" s="858"/>
      <c r="EC334" s="838"/>
      <c r="ED334" s="838"/>
      <c r="EG334" s="682">
        <f>IF('4 SUP +'!A53="MICRO DER",85,IF('4 SUP +'!A53="MICRO IZQ",85,IF('4 SUP +'!A53="MICRO SEN",170,IF('4 SUP +'!A53="DIAMETRO",3.14*'4 SUP +'!C53/2,IF('4 SUP +'!A53="MOSTRADOR",136,IF('4 SUP +'!A53="PORTA",65,IF('4 SUP +'!A53="PITO Q",90,IF('4 SUP +'!A53="PITO P",90,'4 SUP +'!A53))))))))</f>
        <v>0</v>
      </c>
      <c r="EH334" s="682"/>
      <c r="EI334" s="682">
        <f>IF('4 SUP +'!A53="DIAMETRO",0,IF('4 SUP +'!C53="PRINCIPAL",160,IF('4 SUP +'!C53="BADE",190,IF('4 SUP +'!C53="RETORNO",100,IF('4 SUP +'!C53="R 60",100,IF('4 SUP +'!C53="R60",100,'4 SUP +'!C53))))))</f>
        <v>0</v>
      </c>
      <c r="EJ334" s="682"/>
      <c r="EK334" s="682">
        <f>IF('4 SUP +'!$F53='4 SUP +'!$AG$15,((EG334*2)+(EI334*2))*'4 SUP +'!AB53,0)</f>
        <v>0</v>
      </c>
      <c r="EL334" s="682"/>
      <c r="EM334" s="682">
        <f>IF('4 SUP +'!$F53='4 SUP +'!$AG$16,((EG334*2)+(EI334*2))*'4 SUP +'!AB53,0)</f>
        <v>0</v>
      </c>
      <c r="EO334" s="682">
        <f>IF('4 SUP +'!$F53='4 SUP +'!$AG$17,((EG334*2)+(EI334*2))*'4 SUP +'!AB53,0)</f>
        <v>0</v>
      </c>
      <c r="EP334" s="838"/>
      <c r="EQ334" s="682">
        <f>IF('4 SUP +'!$F53='4 SUP +'!$AG$18,((EG334*2)+(EI334*2))*'4 SUP +'!AB53,0)</f>
        <v>0</v>
      </c>
      <c r="ER334" s="838"/>
      <c r="ES334" s="858"/>
      <c r="ET334" s="858"/>
      <c r="EU334" s="858"/>
      <c r="EV334" s="858"/>
      <c r="EW334" s="838"/>
      <c r="EX334" s="838"/>
      <c r="EY334" s="838"/>
      <c r="EZ334" s="838"/>
      <c r="FA334" s="838"/>
      <c r="FB334" s="838"/>
      <c r="FC334" s="838"/>
      <c r="FD334" s="838"/>
      <c r="FE334" s="838"/>
      <c r="FF334" s="838"/>
      <c r="FG334" s="838"/>
      <c r="FH334" s="838"/>
      <c r="FI334" s="838"/>
      <c r="FJ334" s="838"/>
      <c r="FK334" s="838"/>
      <c r="FL334" s="838"/>
      <c r="FM334" s="838"/>
      <c r="FN334" s="838"/>
      <c r="FO334" s="838"/>
      <c r="FP334" s="838"/>
      <c r="GM334" s="858"/>
      <c r="GN334" s="838"/>
      <c r="GO334" s="858"/>
      <c r="GP334" s="858"/>
      <c r="GQ334" s="858"/>
      <c r="GR334" s="838"/>
      <c r="GS334" s="838"/>
      <c r="HF334" s="700">
        <v>76</v>
      </c>
      <c r="HH334" s="591">
        <v>76</v>
      </c>
    </row>
    <row r="335" spans="37:216" ht="26.25" x14ac:dyDescent="0.4">
      <c r="AK335" s="777" t="b">
        <f>IF('4 SUP +'!$A56&gt;10,IF('4 SUP +'!$A56&lt;31.1,IF('4 SUP +'!$C56&gt;10,IF('4 SUP +'!$C56&lt;57.6,'4 SUP +'!$AB56,0))))</f>
        <v>0</v>
      </c>
      <c r="AL335" s="777" t="b">
        <f>IF('4 SUP +'!$A56&gt;10,IF('4 SUP +'!$A56&lt;31.1,IF('4 SUP +'!$C56&gt;57.6,IF('4 SUP +'!$C56&lt;71.6,'4 SUP +'!$AB56,0))))</f>
        <v>0</v>
      </c>
      <c r="AM335" s="777" t="b">
        <f>IF('4 SUP +'!$A56&gt;10,IF('4 SUP +'!$A56&lt;31.1,IF('4 SUP +'!$C56&gt;71.5,IF('4 SUP +'!$C56&lt;85.6,'4 SUP +'!$AB56,0))))</f>
        <v>0</v>
      </c>
      <c r="AN335" s="777" t="b">
        <f>IF('4 SUP +'!$A56&gt;10,IF('4 SUP +'!$A56&lt;31.1,IF('4 SUP +'!$C56&gt;85.5,IF('4 SUP +'!$C56&lt;113.6,'4 SUP +'!$AB56,0))))</f>
        <v>0</v>
      </c>
      <c r="AO335" s="777" t="b">
        <f>IF('4 SUP +'!$A56&gt;10,IF('4 SUP +'!$A56&lt;31.1,IF('4 SUP +'!$C56&gt;113.5,IF('4 SUP +'!$C56&lt;141.6,'4 SUP +'!$AB56,0))))</f>
        <v>0</v>
      </c>
      <c r="AP335" s="777" t="b">
        <f>IF('4 SUP +'!$A56&gt;10,IF('4 SUP +'!$A56&lt;31.1,IF('4 SUP +'!$C56&gt;141.5,IF('4 SUP +'!$C56&lt;180.6,'4 SUP +'!$AB56,0))))</f>
        <v>0</v>
      </c>
      <c r="AQ335" s="777" t="b">
        <f>IF('4 SUP +'!$A56&gt;10,IF('4 SUP +'!$A56&lt;31.1,IF('4 SUP +'!$C56&gt;180.5,IF('4 SUP +'!$C56&lt;240.1,'4 SUP +'!$AB56,0))))</f>
        <v>0</v>
      </c>
      <c r="AS335" s="777" t="b">
        <f>IF('4 SUP +'!$A56&gt;31,IF('4 SUP +'!$A56&lt;45.5,IF('4 SUP +'!$C56&gt;10,IF('4 SUP +'!$C56&lt;57.6,'4 SUP +'!$AB56,0))))</f>
        <v>0</v>
      </c>
      <c r="AT335" s="777" t="b">
        <f>IF('4 SUP +'!$A56&gt;31,IF('4 SUP +'!$A56&lt;45.5,IF('4 SUP +'!$C56&gt;57.6,IF('4 SUP +'!$C56&lt;71.6,'4 SUP +'!$AB56,0))))</f>
        <v>0</v>
      </c>
      <c r="AU335" s="777" t="b">
        <f>IF('4 SUP +'!$A56&gt;31,IF('4 SUP +'!$A56&lt;45.5,IF('4 SUP +'!$C56&gt;71.5,IF('4 SUP +'!$C56&lt;85.6,'4 SUP +'!$AB56,0))))</f>
        <v>0</v>
      </c>
      <c r="AV335" s="777" t="b">
        <f>IF('4 SUP +'!$A56&gt;31,IF('4 SUP +'!$A56&lt;45.5,IF('4 SUP +'!$C56&gt;85.5,IF('4 SUP +'!$C56&lt;113.6,'4 SUP +'!$AB56,0))))</f>
        <v>0</v>
      </c>
      <c r="AW335" s="777" t="b">
        <f>IF('4 SUP +'!$A56&gt;31,IF('4 SUP +'!$A56&lt;45.5,IF('4 SUP +'!$C56&gt;113.5,IF('4 SUP +'!$C56&lt;141.6,'4 SUP +'!$AB56,0))))</f>
        <v>0</v>
      </c>
      <c r="AX335" s="777" t="b">
        <f>IF('4 SUP +'!$A56&gt;31,IF('4 SUP +'!$A56&lt;45.5,IF('4 SUP +'!$C56&gt;141.5,IF('4 SUP +'!$C56&lt;180.6,'4 SUP +'!$AB56,0))))</f>
        <v>0</v>
      </c>
      <c r="AY335" s="777" t="b">
        <f>IF('4 SUP +'!$A56&gt;31,IF('4 SUP +'!$A56&lt;45.5,IF('4 SUP +'!$C56&gt;180.5,IF('4 SUP +'!$C56&lt;240.1,'4 SUP +'!$AB56,0))))</f>
        <v>0</v>
      </c>
      <c r="BA335" s="777" t="b">
        <f>IF('4 SUP +'!$A56&gt;45.4,IF('4 SUP +'!$A56&lt;61.6,IF('4 SUP +'!$C56&gt;10,IF('4 SUP +'!$C56&lt;61.5,'4 SUP +'!$AB56,0))))</f>
        <v>0</v>
      </c>
      <c r="BB335" s="777" t="b">
        <f>IF('4 SUP +'!$A56&gt;45.4,IF('4 SUP +'!$A56&lt;61.6,IF('4 SUP +'!$C56&gt;61.1,IF('4 SUP +'!$C56&lt;71.6,'4 SUP +'!$AB56,0))))</f>
        <v>0</v>
      </c>
      <c r="BC335" s="777" t="b">
        <f>IF('4 SUP +'!$A56&gt;45.4,IF('4 SUP +'!$A56&lt;61.6,IF('4 SUP +'!$C56&gt;71.5,IF('4 SUP +'!$C56&lt;85.6,'4 SUP +'!$AB56,0))))</f>
        <v>0</v>
      </c>
      <c r="BD335" s="777" t="b">
        <f>IF('4 SUP +'!$A56&gt;45.4,IF('4 SUP +'!$A56&lt;61.6,IF('4 SUP +'!$C56&gt;85.5,IF('4 SUP +'!$C56&lt;113.6,'4 SUP +'!$AB56,0))))</f>
        <v>0</v>
      </c>
      <c r="BE335" s="777" t="b">
        <f>IF('4 SUP +'!$A56&gt;45.4,IF('4 SUP +'!$A56&lt;61.6,IF('4 SUP +'!$C56&gt;113.5,IF('4 SUP +'!$C56&lt;121.6,'4 SUP +'!$AB56,0))))</f>
        <v>0</v>
      </c>
      <c r="BF335" s="777" t="b">
        <f>IF('4 SUP +'!$A56&gt;45.4,IF('4 SUP +'!$A56&lt;61.6,IF('4 SUP +'!$C56&gt;121.5,IF('4 SUP +'!$C56&lt;127.6,'4 SUP +'!$AB56,0))))</f>
        <v>0</v>
      </c>
      <c r="BG335" s="777" t="b">
        <f>IF('4 SUP +'!$A56&gt;45.4,IF('4 SUP +'!$A56&lt;61.6,IF('4 SUP +'!$C56&gt;127.5,IF('4 SUP +'!$C56&lt;135.1,'4 SUP +'!$AB56,0))))</f>
        <v>0</v>
      </c>
      <c r="BH335" s="777" t="b">
        <f>IF('4 SUP +'!$A56&gt;45.4,IF('4 SUP +'!$A56&lt;61.6,IF('4 SUP +'!$C56&gt;135,IF('4 SUP +'!$C56&lt;141.6,'4 SUP +'!$AB56,0))))</f>
        <v>0</v>
      </c>
      <c r="BI335" s="777" t="b">
        <f>IF('4 SUP +'!$A56&gt;45.4,IF('4 SUP +'!$A56&lt;61.6,IF('4 SUP +'!$C56&gt;141.5,IF('4 SUP +'!$C56&lt;149.1,'4 SUP +'!$AB56,0))))</f>
        <v>0</v>
      </c>
      <c r="BJ335" s="777" t="b">
        <f>IF('4 SUP +'!$A56&gt;45.4,IF('4 SUP +'!$A56&lt;61.6,IF('4 SUP +'!$C56&gt;149,IF('4 SUP +'!$C56&lt;155.6,'4 SUP +'!$AB56,0))))</f>
        <v>0</v>
      </c>
      <c r="BK335" s="777" t="b">
        <f>IF('4 SUP +'!$A56&gt;45.4,IF('4 SUP +'!$A56&lt;61.6,IF('4 SUP +'!$C56&gt;155.5,IF('4 SUP +'!$C56&lt;163.1,'4 SUP +'!$AB56,0))))</f>
        <v>0</v>
      </c>
      <c r="BL335" s="777" t="b">
        <f>IF('4 SUP +'!$A56&gt;45.4,IF('4 SUP +'!$A56&lt;61.6,IF('4 SUP +'!$C56&gt;163,IF('4 SUP +'!$C56&lt;180.6,'4 SUP +'!$AB56,0))))</f>
        <v>0</v>
      </c>
      <c r="BM335" s="777" t="b">
        <f>IF('4 SUP +'!$A56&gt;45.4,IF('4 SUP +'!$A56&lt;61.6,IF('4 SUP +'!$C56&gt;180.5,IF('4 SUP +'!$C56&lt;240.1,'4 SUP +'!$AB56,0))))</f>
        <v>0</v>
      </c>
      <c r="BO335" s="869" t="s">
        <v>518</v>
      </c>
      <c r="BQ335" s="870">
        <f>+$AT$337</f>
        <v>0</v>
      </c>
      <c r="BS335" s="869"/>
      <c r="BT335" s="870">
        <f>+$AT$340</f>
        <v>0</v>
      </c>
      <c r="BV335" s="777" t="b">
        <f>IF('4 SUP +'!$A56&gt;61.5,IF('4 SUP +'!$A56&lt;71.6,IF('4 SUP +'!$C56&gt;10,IF('4 SUP +'!$C56&lt;57.6,'4 SUP +'!$AB56,0))))</f>
        <v>0</v>
      </c>
      <c r="BW335" s="777" t="b">
        <f>IF('4 SUP +'!$A56&gt;61.5,IF('4 SUP +'!$A56&lt;71.6,IF('4 SUP +'!$C56&gt;57.6,IF('4 SUP +'!$C56&lt;71.6,'4 SUP +'!$AB56,0))))</f>
        <v>0</v>
      </c>
      <c r="BX335" s="777" t="b">
        <f>IF('4 SUP +'!$A56&gt;61.5,IF('4 SUP +'!$A56&lt;71.6,IF('4 SUP +'!$C56&gt;71.5,IF('4 SUP +'!$C56&lt;85.6,'4 SUP +'!$AB56,0))))</f>
        <v>0</v>
      </c>
      <c r="BY335" s="777" t="b">
        <f>IF('4 SUP +'!$A56&gt;61.5,IF('4 SUP +'!$A56&lt;71.6,IF('4 SUP +'!$C56&gt;85.5,IF('4 SUP +'!$C56&lt;113.6,'4 SUP +'!$AB56,0))))</f>
        <v>0</v>
      </c>
      <c r="BZ335" s="777" t="b">
        <f>IF('4 SUP +'!$A56&gt;61.5,IF('4 SUP +'!$A56&lt;71.6,IF('4 SUP +'!$C56&gt;113.5,IF('4 SUP +'!$C56&lt;141.6,'4 SUP +'!$AB56,0))))</f>
        <v>0</v>
      </c>
      <c r="CA335" s="777" t="b">
        <f>IF('4 SUP +'!$A56&gt;61.5,IF('4 SUP +'!$A56&lt;71.6,IF('4 SUP +'!$C56&gt;141.5,IF('4 SUP +'!$C56&lt;149.1,'4 SUP +'!$AB56,0))))</f>
        <v>0</v>
      </c>
      <c r="CB335" s="777" t="b">
        <f>IF('4 SUP +'!$A56&gt;61.5,IF('4 SUP +'!$A56&lt;71.6,IF('4 SUP +'!$C56&gt;149,IF('4 SUP +'!$C56&lt;163.1,'4 SUP +'!$AB56,0))))</f>
        <v>0</v>
      </c>
      <c r="CC335" s="777" t="b">
        <f>IF('4 SUP +'!$A56&gt;61.5,IF('4 SUP +'!$A56&lt;71.6,IF('4 SUP +'!$C56&gt;163,IF('4 SUP +'!$C56&lt;180.6,'4 SUP +'!$AB56,0))))</f>
        <v>0</v>
      </c>
      <c r="CD335" s="777" t="b">
        <f>IF('4 SUP +'!$A56&gt;61.5,IF('4 SUP +'!$A56&lt;71.6,IF('4 SUP +'!$C56&gt;180.5,IF('4 SUP +'!$C56&lt;240.1,'4 SUP +'!$AB56,0))))</f>
        <v>0</v>
      </c>
      <c r="CF335" s="777" t="b">
        <f>IF('4 SUP +'!$A56&gt;71.5,IF('4 SUP +'!$A56&lt;120.6,IF('4 SUP +'!$C56&gt;10,IF('4 SUP +'!$C56&lt;57.6,'4 SUP +'!$AB56,0))))</f>
        <v>0</v>
      </c>
      <c r="CG335" s="777" t="b">
        <f>IF('4 SUP +'!$A56&gt;71.5,IF('4 SUP +'!$A56&lt;120.6,IF('4 SUP +'!$C56&gt;57.6,IF('4 SUP +'!$C56&lt;71.6,'4 SUP +'!$AB56,0))))</f>
        <v>0</v>
      </c>
      <c r="CH335" s="777" t="b">
        <f>IF('4 SUP +'!$A56&gt;71.5,IF('4 SUP +'!$A56&lt;120.6,IF('4 SUP +'!$C56&gt;71.5,IF('4 SUP +'!$C56&lt;85.6,'4 SUP +'!$AB56,0))))</f>
        <v>0</v>
      </c>
      <c r="CI335" s="777" t="b">
        <f>IF('4 SUP +'!$A56&gt;71.5,IF('4 SUP +'!$A56&lt;120.6,IF('4 SUP +'!$C56&gt;85.5,IF('4 SUP +'!$C56&lt;113.6,'4 SUP +'!$AB56,0))))</f>
        <v>0</v>
      </c>
      <c r="CJ335" s="777" t="b">
        <f>IF('4 SUP +'!$A56&gt;71.5,IF('4 SUP +'!$A56&lt;120.6,IF('4 SUP +'!$C56&gt;113.5,IF('4 SUP +'!$C56&lt;141.6,'4 SUP +'!$AB56,0))))</f>
        <v>0</v>
      </c>
      <c r="CK335" s="777" t="b">
        <f>IF('4 SUP +'!$A56&gt;71.5,IF('4 SUP +'!$A56&lt;120.6,IF('4 SUP +'!$C56&gt;141.5,IF('4 SUP +'!$C56&lt;180.6,'4 SUP +'!$AB56,0))))</f>
        <v>0</v>
      </c>
      <c r="CL335" s="777" t="b">
        <f>IF('4 SUP +'!$A56&gt;71.5,IF('4 SUP +'!$A56&lt;120.6,IF('4 SUP +'!$C56&gt;180.5,IF('4 SUP +'!$C56&lt;240.1,'4 SUP +'!$AB56,0))))</f>
        <v>0</v>
      </c>
      <c r="CN335" s="777">
        <f>IF('4 SUP +'!$C56&lt;150,IF(OR('4 SUP +'!$A56="MICRODER",'4 SUP +'!$A56="MICRO DER",),'4 SUP +'!$AB56,0))</f>
        <v>0</v>
      </c>
      <c r="CO335" s="777" t="b">
        <f>IF('4 SUP +'!$C56&gt;149.5,IF(OR('4 SUP +'!$A56="MICRODER",'4 SUP +'!$A56="MICRO DER",),'4 SUP +'!$AB56,0))</f>
        <v>0</v>
      </c>
      <c r="CP335" s="847"/>
      <c r="CQ335" s="777">
        <f>IF('4 SUP +'!$C56&lt;150,IF(OR('4 SUP +'!$A56="MICROIZQ",'4 SUP +'!$A56="MICRO IZQ",),'4 SUP +'!$AB56,0))</f>
        <v>0</v>
      </c>
      <c r="CR335" s="777" t="b">
        <f>IF('4 SUP +'!$C56&gt;149.5,IF(OR('4 SUP +'!$A56="MICROIZQ",'4 SUP +'!$A56="MICRO IZQ",),'4 SUP +'!$AB56,0))</f>
        <v>0</v>
      </c>
      <c r="CT335" s="837">
        <f>IF(OR('4 SUP +'!$A56="MICRO SEN",'4 SUP +'!$A56="MICROSEN",),'4 SUP +'!$AB56,0)</f>
        <v>0</v>
      </c>
      <c r="CV335" s="837" t="b">
        <f>IF('4 SUP +'!$A56="DIAMETRO",IF('4 SUP +'!$C56&lt;121.1,'4 SUP +'!$AB56,0))</f>
        <v>0</v>
      </c>
      <c r="CX335" s="858"/>
      <c r="CZ335" s="837" t="b">
        <f>IF('4 SUP +'!$A56="MOSTRADOR",IF('4 SUP +'!$C56="R60",'4 SUP +'!$AB56,0))</f>
        <v>0</v>
      </c>
      <c r="DB335" s="837">
        <f>IF(OR('4 SUP +'!$A56="PORTA PRIN",'4 SUP +'!$A56="PORTAPRIN",),'4 SUP +'!$AB56,0)</f>
        <v>0</v>
      </c>
      <c r="DD335" s="837">
        <f>IF(OR('4 SUP +'!$A56="PORTA BADE",'4 SUP +'!$A56="PORTABADE",),'4 SUP +'!$AB56,0)</f>
        <v>0</v>
      </c>
      <c r="DE335" s="837"/>
      <c r="DF335" s="837">
        <f>IF(OR('4 SUP +'!$A56="RETORNO IZQ",'4 SUP +'!$A56="RETORNO DER",),'4 SUP +'!$AB244,0)</f>
        <v>0</v>
      </c>
      <c r="DG335" s="837"/>
      <c r="DH335" s="837">
        <f>IF(OR('4 SUP +'!$A56="PITO Q",'4 SUP +'!$A56="PITO P",'4 SUP +'!$A56="DIAMETRO INTEGRADA",),'4 SUP +'!$AB56,0)</f>
        <v>0</v>
      </c>
      <c r="DJ335" s="858"/>
      <c r="DK335" s="837"/>
      <c r="DL335" s="837">
        <f>IF('4 SUP +'!$A56="SUPERFICIE OVAL",'4 SUP +'!$AB56,0)</f>
        <v>0</v>
      </c>
      <c r="DM335" s="838"/>
      <c r="DN335" s="838"/>
      <c r="DO335" s="838"/>
      <c r="DP335" s="838"/>
      <c r="DQ335" s="838"/>
      <c r="DR335" s="838"/>
      <c r="DS335" s="838"/>
      <c r="DT335" s="838"/>
      <c r="DU335" s="838"/>
      <c r="DV335" s="838"/>
      <c r="DW335" s="838"/>
      <c r="DX335" s="838"/>
      <c r="DY335" s="838"/>
      <c r="DZ335" s="838"/>
      <c r="EA335" s="838"/>
      <c r="EB335" s="838"/>
      <c r="EC335" s="838"/>
      <c r="ED335" s="838"/>
      <c r="EG335" s="682">
        <f>IF('4 SUP +'!A54="MICRO DER",85,IF('4 SUP +'!A54="MICRO IZQ",85,IF('4 SUP +'!A54="MICRO SEN",170,IF('4 SUP +'!A54="DIAMETRO",3.14*'4 SUP +'!C54/2,IF('4 SUP +'!A54="MOSTRADOR",136,IF('4 SUP +'!A54="PORTA",65,IF('4 SUP +'!A54="PITO Q",90,IF('4 SUP +'!A54="PITO P",90,'4 SUP +'!A54))))))))</f>
        <v>0</v>
      </c>
      <c r="EH335" s="682"/>
      <c r="EI335" s="682">
        <f>IF('4 SUP +'!A54="DIAMETRO",0,IF('4 SUP +'!C54="PRINCIPAL",160,IF('4 SUP +'!C54="BADE",190,IF('4 SUP +'!C54="RETORNO",100,IF('4 SUP +'!C54="R 60",100,IF('4 SUP +'!C54="R60",100,'4 SUP +'!C54))))))</f>
        <v>0</v>
      </c>
      <c r="EJ335" s="682"/>
      <c r="EK335" s="682">
        <f>IF('4 SUP +'!$F54='4 SUP +'!$AG$15,((EG335*2)+(EI335*2))*'4 SUP +'!AB54,0)</f>
        <v>0</v>
      </c>
      <c r="EL335" s="682"/>
      <c r="EM335" s="682">
        <f>IF('4 SUP +'!$F54='4 SUP +'!$AG$16,((EG335*2)+(EI335*2))*'4 SUP +'!AB54,0)</f>
        <v>0</v>
      </c>
      <c r="EO335" s="682">
        <f>IF('4 SUP +'!$F54='4 SUP +'!$AG$17,((EG335*2)+(EI335*2))*'4 SUP +'!AB54,0)</f>
        <v>0</v>
      </c>
      <c r="EP335" s="838"/>
      <c r="EQ335" s="682">
        <f>IF('4 SUP +'!$F54='4 SUP +'!$AG$18,((EG335*2)+(EI335*2))*'4 SUP +'!AB54,0)</f>
        <v>0</v>
      </c>
      <c r="ER335" s="838"/>
      <c r="ES335" s="858"/>
      <c r="ET335" s="858"/>
      <c r="EU335" s="858"/>
      <c r="EV335" s="858"/>
      <c r="EW335" s="838"/>
      <c r="EX335" s="838"/>
      <c r="EY335" s="838"/>
      <c r="EZ335" s="838"/>
      <c r="FA335" s="838"/>
      <c r="FB335" s="838"/>
      <c r="FC335" s="838"/>
      <c r="FD335" s="838"/>
      <c r="FE335" s="838"/>
      <c r="FF335" s="838"/>
      <c r="FG335" s="838"/>
      <c r="FH335" s="838"/>
      <c r="FI335" s="838"/>
      <c r="FJ335" s="838"/>
      <c r="FK335" s="838"/>
      <c r="FL335" s="838"/>
      <c r="FM335" s="838"/>
      <c r="FN335" s="838"/>
      <c r="FO335" s="838"/>
      <c r="FP335" s="838"/>
      <c r="GM335" s="858"/>
      <c r="GN335" s="838"/>
      <c r="GO335" s="858"/>
      <c r="GP335" s="858"/>
      <c r="GQ335" s="858"/>
      <c r="GR335" s="838"/>
      <c r="GS335" s="838"/>
      <c r="HF335" s="700">
        <v>76.5</v>
      </c>
      <c r="HH335" s="591">
        <v>76.5</v>
      </c>
    </row>
    <row r="336" spans="37:216" ht="26.25" x14ac:dyDescent="0.4">
      <c r="AK336" s="839"/>
      <c r="AL336" s="839"/>
      <c r="AM336" s="839"/>
      <c r="AN336" s="839"/>
      <c r="AO336" s="839"/>
      <c r="AP336" s="839"/>
      <c r="AQ336" s="839"/>
      <c r="AS336" s="839"/>
      <c r="AT336" s="839"/>
      <c r="AU336" s="839"/>
      <c r="AV336" s="839"/>
      <c r="AW336" s="839"/>
      <c r="AX336" s="839"/>
      <c r="AY336" s="839"/>
      <c r="BA336" s="839"/>
      <c r="BB336" s="839"/>
      <c r="BC336" s="839"/>
      <c r="BD336" s="839"/>
      <c r="BE336" s="839"/>
      <c r="BF336" s="839"/>
      <c r="BG336" s="839"/>
      <c r="BH336" s="839"/>
      <c r="BI336" s="839"/>
      <c r="BJ336" s="839"/>
      <c r="BK336" s="839"/>
      <c r="BL336" s="839"/>
      <c r="BM336" s="839"/>
      <c r="BO336" s="869" t="s">
        <v>519</v>
      </c>
      <c r="BQ336" s="870">
        <f>+$AU$337</f>
        <v>0</v>
      </c>
      <c r="BS336" s="869"/>
      <c r="BT336" s="870">
        <f>+$AU$340</f>
        <v>0</v>
      </c>
      <c r="BV336" s="838"/>
      <c r="BW336" s="838"/>
      <c r="BX336" s="838"/>
      <c r="BY336" s="838"/>
      <c r="BZ336" s="838"/>
      <c r="CA336" s="838"/>
      <c r="CB336" s="838"/>
      <c r="CC336" s="838"/>
      <c r="CD336" s="838"/>
      <c r="CE336" s="838"/>
      <c r="CF336" s="838"/>
      <c r="CG336" s="838"/>
      <c r="CH336" s="838"/>
      <c r="CI336" s="838"/>
      <c r="CJ336" s="838"/>
      <c r="CK336" s="838"/>
      <c r="CL336" s="838"/>
      <c r="CM336" s="838"/>
      <c r="CN336" s="838"/>
      <c r="CO336" s="838"/>
      <c r="CP336" s="852"/>
      <c r="CQ336" s="838"/>
      <c r="CR336" s="838"/>
      <c r="CS336" s="852"/>
      <c r="CT336" s="858"/>
      <c r="CU336" s="838"/>
      <c r="CV336" s="858"/>
      <c r="CW336" s="838"/>
      <c r="CX336" s="858"/>
      <c r="CY336" s="838"/>
      <c r="CZ336" s="858"/>
      <c r="DA336" s="838"/>
      <c r="DB336" s="858"/>
      <c r="DC336" s="838"/>
      <c r="DD336" s="858"/>
      <c r="DE336" s="858"/>
      <c r="DF336" s="858"/>
      <c r="DG336" s="838"/>
      <c r="DH336" s="858"/>
      <c r="DI336" s="838"/>
      <c r="DJ336" s="858"/>
      <c r="DK336" s="838"/>
      <c r="DL336" s="858"/>
      <c r="DM336" s="838"/>
      <c r="DN336" s="838"/>
      <c r="DO336" s="838"/>
      <c r="DP336" s="838"/>
      <c r="DQ336" s="838"/>
      <c r="DR336" s="838"/>
      <c r="DS336" s="838"/>
      <c r="DT336" s="838"/>
      <c r="DU336" s="838"/>
      <c r="DV336" s="838"/>
      <c r="DW336" s="838"/>
      <c r="DX336" s="838"/>
      <c r="DY336" s="838"/>
      <c r="DZ336" s="838"/>
      <c r="EA336" s="838"/>
      <c r="EB336" s="838"/>
      <c r="EC336" s="838"/>
      <c r="ED336" s="838"/>
      <c r="EG336" s="682">
        <f>IF('4 SUP +'!A55="MICRO DER",85,IF('4 SUP +'!A55="MICRO IZQ",85,IF('4 SUP +'!A55="MICRO SEN",170,IF('4 SUP +'!A55="DIAMETRO",3.14*'4 SUP +'!C55/2,IF('4 SUP +'!A55="MOSTRADOR",136,IF('4 SUP +'!A55="PORTA",65,IF('4 SUP +'!A55="PITO Q",90,IF('4 SUP +'!A55="PITO P",90,'4 SUP +'!A55))))))))</f>
        <v>0</v>
      </c>
      <c r="EH336" s="682"/>
      <c r="EI336" s="682">
        <f>IF('4 SUP +'!A55="DIAMETRO",0,IF('4 SUP +'!C55="PRINCIPAL",160,IF('4 SUP +'!C55="BADE",190,IF('4 SUP +'!C55="RETORNO",100,IF('4 SUP +'!C55="R 60",100,IF('4 SUP +'!C55="R60",100,'4 SUP +'!C55))))))</f>
        <v>0</v>
      </c>
      <c r="EJ336" s="682"/>
      <c r="EK336" s="682">
        <f>IF('4 SUP +'!$F55='4 SUP +'!$AG$15,((EG336*2)+(EI336*2))*'4 SUP +'!AB55,0)</f>
        <v>0</v>
      </c>
      <c r="EL336" s="682"/>
      <c r="EM336" s="682">
        <f>IF('4 SUP +'!$F55='4 SUP +'!$AG$16,((EG336*2)+(EI336*2))*'4 SUP +'!AB55,0)</f>
        <v>0</v>
      </c>
      <c r="EO336" s="682">
        <f>IF('4 SUP +'!$F55='4 SUP +'!$AG$17,((EG336*2)+(EI336*2))*'4 SUP +'!AB55,0)</f>
        <v>0</v>
      </c>
      <c r="EP336" s="838"/>
      <c r="EQ336" s="682">
        <f>IF('4 SUP +'!$F55='4 SUP +'!$AG$18,((EG336*2)+(EI336*2))*'4 SUP +'!AB55,0)</f>
        <v>0</v>
      </c>
      <c r="ER336" s="838"/>
      <c r="ES336" s="858"/>
      <c r="ET336" s="858"/>
      <c r="EU336" s="858"/>
      <c r="EV336" s="858"/>
      <c r="EW336" s="838"/>
      <c r="EX336" s="838"/>
      <c r="EY336" s="838"/>
      <c r="EZ336" s="838"/>
      <c r="FA336" s="838"/>
      <c r="FB336" s="838"/>
      <c r="FC336" s="838"/>
      <c r="FD336" s="838"/>
      <c r="FE336" s="838"/>
      <c r="FF336" s="838"/>
      <c r="FG336" s="838"/>
      <c r="FH336" s="838"/>
      <c r="FI336" s="838"/>
      <c r="FJ336" s="838"/>
      <c r="FK336" s="838"/>
      <c r="FL336" s="838"/>
      <c r="FM336" s="838"/>
      <c r="FN336" s="838"/>
      <c r="FO336" s="838"/>
      <c r="FP336" s="838"/>
      <c r="GM336" s="858"/>
      <c r="GN336" s="838"/>
      <c r="GO336" s="858"/>
      <c r="GP336" s="858"/>
      <c r="GQ336" s="858"/>
      <c r="GR336" s="838"/>
      <c r="GS336" s="838"/>
      <c r="HF336" s="700">
        <v>77</v>
      </c>
      <c r="HH336" s="591">
        <v>77</v>
      </c>
    </row>
    <row r="337" spans="37:216" ht="26.25" x14ac:dyDescent="0.4">
      <c r="AK337" s="838">
        <f>SUMIF('4 SUP +'!$E$11:$E$56,'4 SUP +'!$AG$11,FORMULAS!AK$290:AK$335)</f>
        <v>0</v>
      </c>
      <c r="AL337" s="838">
        <f>SUMIF('4 SUP +'!$E$11:$E$56,'4 SUP +'!$AG$11,FORMULAS!AL$290:AL$335)</f>
        <v>0</v>
      </c>
      <c r="AM337" s="838">
        <f>SUMIF('4 SUP +'!$E$11:$E$56,'4 SUP +'!$AG$11,FORMULAS!AM$290:AM$335)</f>
        <v>0</v>
      </c>
      <c r="AN337" s="838">
        <f>SUMIF('4 SUP +'!$E$11:$E$56,'4 SUP +'!$AG$11,FORMULAS!AN$290:AN$335)</f>
        <v>0</v>
      </c>
      <c r="AO337" s="838">
        <f>SUMIF('4 SUP +'!$E$11:$E$56,'4 SUP +'!$AG$11,FORMULAS!AO$290:AO$335)</f>
        <v>0</v>
      </c>
      <c r="AP337" s="838">
        <f>SUMIF('4 SUP +'!$E$11:$E$56,'4 SUP +'!$AG$11,FORMULAS!AP$290:AP$335)</f>
        <v>0</v>
      </c>
      <c r="AQ337" s="838">
        <f>SUMIF('4 SUP +'!$E$11:$E$56,'4 SUP +'!$AG$11,FORMULAS!AQ$290:AQ$335)</f>
        <v>0</v>
      </c>
      <c r="AR337" s="838"/>
      <c r="AS337" s="838">
        <f>SUMIF('4 SUP +'!$E$11:$E$56,'4 SUP +'!$AG$11,FORMULAS!AS$290:AS$335)</f>
        <v>0</v>
      </c>
      <c r="AT337" s="838">
        <f>SUMIF('4 SUP +'!$E$11:$E$56,'4 SUP +'!$AG$11,FORMULAS!AT$290:AT$335)</f>
        <v>0</v>
      </c>
      <c r="AU337" s="838">
        <f>SUMIF('4 SUP +'!$E$11:$E$56,'4 SUP +'!$AG$11,FORMULAS!AU$290:AU$335)</f>
        <v>0</v>
      </c>
      <c r="AV337" s="838">
        <f>SUMIF('4 SUP +'!$E$11:$E$56,'4 SUP +'!$AG$11,FORMULAS!AV$290:AV$335)</f>
        <v>0</v>
      </c>
      <c r="AW337" s="838">
        <f>SUMIF('4 SUP +'!$E$11:$E$56,'4 SUP +'!$AG$11,FORMULAS!AW$290:AW$335)</f>
        <v>0</v>
      </c>
      <c r="AX337" s="838">
        <f>SUMIF('4 SUP +'!$E$11:$E$56,'4 SUP +'!$AG$11,FORMULAS!AX$290:AX$335)</f>
        <v>0</v>
      </c>
      <c r="AY337" s="838">
        <f>SUMIF('4 SUP +'!$E$11:$E$56,'4 SUP +'!$AG$11,FORMULAS!AY$290:AY$335)</f>
        <v>0</v>
      </c>
      <c r="AZ337" s="838"/>
      <c r="BA337" s="838">
        <f>SUMIF('4 SUP +'!$E$11:$E$56,'4 SUP +'!$AG$11,FORMULAS!BA$290:BA$335)</f>
        <v>0</v>
      </c>
      <c r="BB337" s="838">
        <f>SUMIF('4 SUP +'!$E$11:$E$56,'4 SUP +'!$AG$11,FORMULAS!BB$290:BB$335)</f>
        <v>0</v>
      </c>
      <c r="BC337" s="838">
        <f>SUMIF('4 SUP +'!$E$11:$E$56,'4 SUP +'!$AG$11,FORMULAS!BC$290:BC$335)</f>
        <v>0</v>
      </c>
      <c r="BD337" s="838">
        <f>SUMIF('4 SUP +'!$E$11:$E$56,'4 SUP +'!$AG$11,FORMULAS!BD$290:BD$335)</f>
        <v>0</v>
      </c>
      <c r="BE337" s="838">
        <f>SUMIF('4 SUP +'!$E$11:$E$56,'4 SUP +'!$AG$11,FORMULAS!BE$290:BE$335)</f>
        <v>0</v>
      </c>
      <c r="BF337" s="838">
        <f>SUMIF('4 SUP +'!$E$11:$E$56,'4 SUP +'!$AG$11,FORMULAS!BF$290:BF$335)</f>
        <v>0</v>
      </c>
      <c r="BG337" s="838">
        <f>SUMIF('4 SUP +'!$E$11:$E$56,'4 SUP +'!$AG$11,FORMULAS!BG$290:BG$335)</f>
        <v>0</v>
      </c>
      <c r="BH337" s="838">
        <f>SUMIF('4 SUP +'!$E$11:$E$56,'4 SUP +'!$AG$11,FORMULAS!BH$290:BH$335)</f>
        <v>0</v>
      </c>
      <c r="BI337" s="838">
        <f>SUMIF('4 SUP +'!$E$11:$E$56,'4 SUP +'!$AG$11,FORMULAS!BI$290:BI$335)</f>
        <v>0</v>
      </c>
      <c r="BJ337" s="838">
        <f>SUMIF('4 SUP +'!$E$11:$E$56,'4 SUP +'!$AG$11,FORMULAS!BJ$290:BJ$335)</f>
        <v>0</v>
      </c>
      <c r="BK337" s="838">
        <f>SUMIF('4 SUP +'!$E$11:$E$56,'4 SUP +'!$AG$11,FORMULAS!BK$290:BK$335)</f>
        <v>0</v>
      </c>
      <c r="BL337" s="838">
        <f>SUMIF('4 SUP +'!$E$11:$E$56,'4 SUP +'!$AG$11,FORMULAS!BL$290:BL$335)</f>
        <v>0</v>
      </c>
      <c r="BM337" s="838">
        <f>SUMIF('4 SUP +'!$E$11:$E$56,'4 SUP +'!$AG$11,FORMULAS!BM$290:BM$335)</f>
        <v>0</v>
      </c>
      <c r="BO337" s="869" t="s">
        <v>521</v>
      </c>
      <c r="BQ337" s="870">
        <f>+$AV$337</f>
        <v>0</v>
      </c>
      <c r="BS337" s="869"/>
      <c r="BT337" s="870">
        <f>+$AV$340</f>
        <v>0</v>
      </c>
      <c r="BV337" s="838">
        <f>SUMIF('4 SUP +'!$E$11:$E$56,'4 SUP +'!$AG$11,FORMULAS!BV$290:BV$335)</f>
        <v>0</v>
      </c>
      <c r="BW337" s="838">
        <f>SUMIF('4 SUP +'!$E$11:$E$56,'4 SUP +'!$AG$11,FORMULAS!BW$290:BW$335)</f>
        <v>0</v>
      </c>
      <c r="BX337" s="838">
        <f>SUMIF('4 SUP +'!$E$11:$E$56,'4 SUP +'!$AG$11,FORMULAS!BX$290:BX$335)</f>
        <v>0</v>
      </c>
      <c r="BY337" s="838">
        <f>SUMIF('4 SUP +'!$E$11:$E$56,'4 SUP +'!$AG$11,FORMULAS!BY$290:BY$335)</f>
        <v>0</v>
      </c>
      <c r="BZ337" s="838">
        <f>SUMIF('4 SUP +'!$E$11:$E$56,'4 SUP +'!$AG$11,FORMULAS!BZ$290:BZ$335)</f>
        <v>0</v>
      </c>
      <c r="CA337" s="838">
        <f>SUMIF('4 SUP +'!$E$11:$E$56,'4 SUP +'!$AG$11,FORMULAS!CA$290:CA$335)</f>
        <v>0</v>
      </c>
      <c r="CB337" s="838">
        <f>SUMIF('4 SUP +'!$E$11:$E$56,'4 SUP +'!$AG$11,FORMULAS!CB$290:CB$335)</f>
        <v>0</v>
      </c>
      <c r="CC337" s="838">
        <f>SUMIF('4 SUP +'!$E$11:$E$56,'4 SUP +'!$AG$11,FORMULAS!CC$290:CC$335)</f>
        <v>0</v>
      </c>
      <c r="CD337" s="838">
        <f>SUMIF('4 SUP +'!$E$11:$E$56,'4 SUP +'!$AG$11,FORMULAS!CD$290:CD$335)</f>
        <v>0</v>
      </c>
      <c r="CE337" s="838"/>
      <c r="CF337" s="838">
        <f>SUMIF('4 SUP +'!$E$11:$E$56,'4 SUP +'!$AG$11,FORMULAS!CF$290:CF$335)</f>
        <v>0</v>
      </c>
      <c r="CG337" s="838">
        <f>SUMIF('4 SUP +'!$E$11:$E$56,'4 SUP +'!$AG$11,FORMULAS!CG$290:CG$335)</f>
        <v>0</v>
      </c>
      <c r="CH337" s="838">
        <f>SUMIF('4 SUP +'!$E$11:$E$56,'4 SUP +'!$AG$11,FORMULAS!CH$290:CH$335)</f>
        <v>0</v>
      </c>
      <c r="CI337" s="838">
        <f>SUMIF('4 SUP +'!$E$11:$E$56,'4 SUP +'!$AG$11,FORMULAS!CI$290:CI$335)</f>
        <v>0</v>
      </c>
      <c r="CJ337" s="838">
        <f>SUMIF('4 SUP +'!$E$11:$E$56,'4 SUP +'!$AG$11,FORMULAS!CJ$290:CJ$335)</f>
        <v>0</v>
      </c>
      <c r="CK337" s="838">
        <f>SUMIF('4 SUP +'!$E$11:$E$56,'4 SUP +'!$AG$11,FORMULAS!CK$290:CK$335)</f>
        <v>0</v>
      </c>
      <c r="CL337" s="838">
        <f>SUMIF('4 SUP +'!$E$11:$E$56,'4 SUP +'!$AG$11,FORMULAS!CL$290:CL$335)</f>
        <v>0</v>
      </c>
      <c r="CM337" s="838"/>
      <c r="CN337" s="838">
        <f>SUMIF('4 SUP +'!$E$11:$E$56,'4 SUP +'!$AG$11,FORMULAS!CN$290:CN$335)</f>
        <v>0</v>
      </c>
      <c r="CO337" s="838">
        <f>SUMIF('4 SUP +'!$E$11:$E$56,'4 SUP +'!$AG$11,FORMULAS!CO$290:CO$335)</f>
        <v>0</v>
      </c>
      <c r="CP337" s="852"/>
      <c r="CQ337" s="838">
        <f>SUMIF('4 SUP +'!$E$11:$E$56,'4 SUP +'!$AG$11,FORMULAS!CQ$290:CQ$335)</f>
        <v>0</v>
      </c>
      <c r="CR337" s="838">
        <f>SUMIF('4 SUP +'!$E$11:$E$56,'4 SUP +'!$AG$11,FORMULAS!CR$290:CR$335)</f>
        <v>0</v>
      </c>
      <c r="CS337" s="838"/>
      <c r="CT337" s="838">
        <f>SUMIF('4 SUP +'!$E$11:$E$56,'4 SUP +'!$AG$11,FORMULAS!CT$290:CT$335)</f>
        <v>0</v>
      </c>
      <c r="CU337" s="838"/>
      <c r="CV337" s="838">
        <f>SUMIF('4 SUP +'!$E$11:$E$56,'4 SUP +'!$AG$11,FORMULAS!CV$290:CV$335)</f>
        <v>0</v>
      </c>
      <c r="CW337" s="838"/>
      <c r="CX337" s="858"/>
      <c r="CY337" s="838"/>
      <c r="CZ337" s="838">
        <f>SUMIF('4 SUP +'!$E$11:$E$56,'4 SUP +'!$AG$11,FORMULAS!CZ$290:CZ$335)</f>
        <v>0</v>
      </c>
      <c r="DA337" s="838"/>
      <c r="DB337" s="838">
        <f>SUMIF('4 SUP +'!$E$11:$E$56,'4 SUP +'!$AG$11,FORMULAS!DB$290:DB$335)</f>
        <v>0</v>
      </c>
      <c r="DC337" s="838"/>
      <c r="DD337" s="838">
        <f>SUMIF('4 SUP +'!$E$11:$E$56,'4 SUP +'!$AG$11,FORMULAS!DD$290:DD$335)</f>
        <v>0</v>
      </c>
      <c r="DE337" s="858"/>
      <c r="DF337" s="838">
        <f>SUMIF('4 SUP +'!$E$11:$E$56,'4 SUP +'!$AG$11,FORMULAS!DF$290:DF$335)</f>
        <v>0</v>
      </c>
      <c r="DG337" s="858"/>
      <c r="DH337" s="838">
        <f>SUMIF('4 SUP +'!$E$11:$E$56,'4 SUP +'!$AG$11,FORMULAS!DH$290:DH$335)</f>
        <v>0</v>
      </c>
      <c r="DI337" s="838"/>
      <c r="DJ337" s="858"/>
      <c r="DK337" s="858"/>
      <c r="DL337" s="838">
        <f>SUMIF('4 SUP +'!$E$11:$E$56,'4 SUP +'!$AG$11,FORMULAS!DL$290:DL$335)</f>
        <v>0</v>
      </c>
      <c r="DM337" s="838"/>
      <c r="DN337" s="838"/>
      <c r="DO337" s="838"/>
      <c r="DP337" s="838"/>
      <c r="DQ337" s="838"/>
      <c r="DR337" s="838"/>
      <c r="DS337" s="838"/>
      <c r="DT337" s="838"/>
      <c r="DU337" s="838"/>
      <c r="DV337" s="838"/>
      <c r="DW337" s="838"/>
      <c r="DX337" s="838"/>
      <c r="DY337" s="838"/>
      <c r="DZ337" s="838"/>
      <c r="EA337" s="838"/>
      <c r="EB337" s="838"/>
      <c r="EC337" s="838"/>
      <c r="ED337" s="838"/>
      <c r="EG337" s="682">
        <f>IF('4 SUP +'!A56="MICRO DER",85,IF('4 SUP +'!A56="MICRO IZQ",85,IF('4 SUP +'!A56="MICRO SEN",170,IF('4 SUP +'!A56="DIAMETRO",3.14*'4 SUP +'!C56/2,IF('4 SUP +'!A56="MOSTRADOR",136,IF('4 SUP +'!A56="PORTA",65,IF('4 SUP +'!A56="PITO Q",90,IF('4 SUP +'!A56="PITO P",90,'4 SUP +'!A56))))))))</f>
        <v>0</v>
      </c>
      <c r="EH337" s="682"/>
      <c r="EI337" s="682">
        <f>IF('4 SUP +'!A56="DIAMETRO",0,IF('4 SUP +'!C56="PRINCIPAL",160,IF('4 SUP +'!C56="BADE",190,IF('4 SUP +'!C56="RETORNO",100,IF('4 SUP +'!C56="R 60",100,IF('4 SUP +'!C56="R60",100,'4 SUP +'!C56))))))</f>
        <v>0</v>
      </c>
      <c r="EJ337" s="682"/>
      <c r="EK337" s="682">
        <f>IF('4 SUP +'!$F56='4 SUP +'!$AG$15,((EG337*2)+(EI337*2))*'4 SUP +'!AB56,0)</f>
        <v>0</v>
      </c>
      <c r="EL337" s="682"/>
      <c r="EM337" s="682">
        <f>IF('4 SUP +'!$F56='4 SUP +'!$AG$16,((EG337*2)+(EI337*2))*'4 SUP +'!AB56,0)</f>
        <v>0</v>
      </c>
      <c r="EO337" s="682">
        <f>IF('4 SUP +'!$F56='4 SUP +'!$AG$17,((EG337*2)+(EI337*2))*'4 SUP +'!AB56,0)</f>
        <v>0</v>
      </c>
      <c r="EP337" s="838"/>
      <c r="EQ337" s="682">
        <f>IF('4 SUP +'!$F56='4 SUP +'!$AG$18,((EG337*2)+(EI337*2))*'4 SUP +'!AB56,0)</f>
        <v>0</v>
      </c>
      <c r="ER337" s="838"/>
      <c r="ES337" s="858"/>
      <c r="ET337" s="858"/>
      <c r="EU337" s="858"/>
      <c r="EV337" s="858"/>
      <c r="EW337" s="838"/>
      <c r="EX337" s="838"/>
      <c r="EY337" s="838"/>
      <c r="EZ337" s="838"/>
      <c r="FA337" s="838"/>
      <c r="FB337" s="838"/>
      <c r="FC337" s="838"/>
      <c r="FD337" s="838"/>
      <c r="FE337" s="838"/>
      <c r="FF337" s="838"/>
      <c r="FG337" s="838"/>
      <c r="FH337" s="838"/>
      <c r="FI337" s="838"/>
      <c r="FJ337" s="838"/>
      <c r="FK337" s="838"/>
      <c r="FL337" s="838"/>
      <c r="FM337" s="838"/>
      <c r="FN337" s="838"/>
      <c r="FO337" s="838"/>
      <c r="FP337" s="838"/>
      <c r="GM337" s="858"/>
      <c r="GN337" s="838"/>
      <c r="GO337" s="858"/>
      <c r="GP337" s="858"/>
      <c r="GQ337" s="858"/>
      <c r="GR337" s="838"/>
      <c r="GS337" s="838"/>
      <c r="GW337" s="682"/>
      <c r="GX337" s="682"/>
      <c r="GY337" s="682"/>
      <c r="GZ337" s="682"/>
      <c r="HA337" s="682"/>
      <c r="HB337" s="682"/>
      <c r="HC337" s="682"/>
      <c r="HF337" s="700">
        <v>77.5</v>
      </c>
      <c r="HH337" s="591">
        <v>77.5</v>
      </c>
    </row>
    <row r="338" spans="37:216" ht="26.25" x14ac:dyDescent="0.4">
      <c r="AK338" s="838">
        <f>SUMIF('4 SUP +'!$E$11:$E$56,'4 SUP +'!$AG$12,FORMULAS!AK$290:AK$335)</f>
        <v>0</v>
      </c>
      <c r="AL338" s="838">
        <f>SUMIF('4 SUP +'!$E$11:$E$56,'4 SUP +'!$AG$12,FORMULAS!AL$290:AL$335)</f>
        <v>0</v>
      </c>
      <c r="AM338" s="838">
        <f>SUMIF('4 SUP +'!$E$11:$E$56,'4 SUP +'!$AG$12,FORMULAS!AM$290:AM$335)</f>
        <v>0</v>
      </c>
      <c r="AN338" s="838">
        <f>SUMIF('4 SUP +'!$E$11:$E$56,'4 SUP +'!$AG$12,FORMULAS!AN$290:AN$335)</f>
        <v>0</v>
      </c>
      <c r="AO338" s="838">
        <f>SUMIF('4 SUP +'!$E$11:$E$56,'4 SUP +'!$AG$12,FORMULAS!AO$290:AO$335)</f>
        <v>0</v>
      </c>
      <c r="AP338" s="838">
        <f>SUMIF('4 SUP +'!$E$11:$E$56,'4 SUP +'!$AG$12,FORMULAS!AP$290:AP$335)</f>
        <v>0</v>
      </c>
      <c r="AQ338" s="838">
        <f>SUMIF('4 SUP +'!$E$11:$E$56,'4 SUP +'!$AG$12,FORMULAS!AQ$290:AQ$335)</f>
        <v>0</v>
      </c>
      <c r="AR338" s="838"/>
      <c r="AS338" s="838">
        <f>SUMIF('4 SUP +'!$E$11:$E$56,'4 SUP +'!$AG$12,FORMULAS!AS$290:AS$335)</f>
        <v>0</v>
      </c>
      <c r="AT338" s="838">
        <f>SUMIF('4 SUP +'!$E$11:$E$56,'4 SUP +'!$AG$12,FORMULAS!AT$290:AT$335)</f>
        <v>0</v>
      </c>
      <c r="AU338" s="838">
        <f>SUMIF('4 SUP +'!$E$11:$E$56,'4 SUP +'!$AG$12,FORMULAS!AU$290:AU$335)</f>
        <v>0</v>
      </c>
      <c r="AV338" s="838">
        <f>SUMIF('4 SUP +'!$E$11:$E$56,'4 SUP +'!$AG$12,FORMULAS!AV$290:AV$335)</f>
        <v>0</v>
      </c>
      <c r="AW338" s="838">
        <f>SUMIF('4 SUP +'!$E$11:$E$56,'4 SUP +'!$AG$12,FORMULAS!AW$290:AW$335)</f>
        <v>0</v>
      </c>
      <c r="AX338" s="838">
        <f>SUMIF('4 SUP +'!$E$11:$E$56,'4 SUP +'!$AG$12,FORMULAS!AX$290:AX$335)</f>
        <v>0</v>
      </c>
      <c r="AY338" s="838">
        <f>SUMIF('4 SUP +'!$E$11:$E$56,'4 SUP +'!$AG$12,FORMULAS!AY$290:AY$335)</f>
        <v>0</v>
      </c>
      <c r="AZ338" s="838"/>
      <c r="BA338" s="838">
        <f>SUMIF('4 SUP +'!$E$11:$E$56,'4 SUP +'!$AG$12,FORMULAS!BA$290:BA$335)</f>
        <v>0</v>
      </c>
      <c r="BB338" s="838">
        <f>SUMIF('4 SUP +'!$E$11:$E$56,'4 SUP +'!$AG$12,FORMULAS!BB$290:BB$335)</f>
        <v>0</v>
      </c>
      <c r="BC338" s="838">
        <f>SUMIF('4 SUP +'!$E$11:$E$56,'4 SUP +'!$AG$12,FORMULAS!BC$290:BC$335)</f>
        <v>0</v>
      </c>
      <c r="BD338" s="838">
        <f>SUMIF('4 SUP +'!$E$11:$E$56,'4 SUP +'!$AG$12,FORMULAS!BD$290:BD$335)</f>
        <v>0</v>
      </c>
      <c r="BE338" s="838">
        <f>SUMIF('4 SUP +'!$E$11:$E$56,'4 SUP +'!$AG$12,FORMULAS!BE$290:BE$335)</f>
        <v>0</v>
      </c>
      <c r="BF338" s="838">
        <f>SUMIF('4 SUP +'!$E$11:$E$56,'4 SUP +'!$AG$12,FORMULAS!BF$290:BF$335)</f>
        <v>0</v>
      </c>
      <c r="BG338" s="838">
        <f>SUMIF('4 SUP +'!$E$11:$E$56,'4 SUP +'!$AG$12,FORMULAS!BG$290:BG$335)</f>
        <v>0</v>
      </c>
      <c r="BH338" s="838">
        <f>SUMIF('4 SUP +'!$E$11:$E$56,'4 SUP +'!$AG$12,FORMULAS!BH$290:BH$335)</f>
        <v>0</v>
      </c>
      <c r="BI338" s="838">
        <f>SUMIF('4 SUP +'!$E$11:$E$56,'4 SUP +'!$AG$12,FORMULAS!BI$290:BI$335)</f>
        <v>0</v>
      </c>
      <c r="BJ338" s="838">
        <f>SUMIF('4 SUP +'!$E$11:$E$56,'4 SUP +'!$AG$12,FORMULAS!BJ$290:BJ$335)</f>
        <v>0</v>
      </c>
      <c r="BK338" s="838">
        <f>SUMIF('4 SUP +'!$E$11:$E$56,'4 SUP +'!$AG$12,FORMULAS!BK$290:BK$335)</f>
        <v>0</v>
      </c>
      <c r="BL338" s="838">
        <f>SUMIF('4 SUP +'!$E$11:$E$56,'4 SUP +'!$AG$12,FORMULAS!BL$290:BL$335)</f>
        <v>0</v>
      </c>
      <c r="BM338" s="838">
        <f>SUMIF('4 SUP +'!$E$11:$E$56,'4 SUP +'!$AG$12,FORMULAS!BM$290:BM$335)</f>
        <v>0</v>
      </c>
      <c r="BO338" s="869" t="s">
        <v>523</v>
      </c>
      <c r="BQ338" s="870">
        <f>+$AW$337</f>
        <v>0</v>
      </c>
      <c r="BS338" s="869"/>
      <c r="BT338" s="870">
        <f>+$AW$340</f>
        <v>0</v>
      </c>
      <c r="BV338" s="838">
        <f>SUMIF('4 SUP +'!$E$11:$E$56,'4 SUP +'!$AG$12,FORMULAS!BV$290:BV$335)</f>
        <v>0</v>
      </c>
      <c r="BW338" s="838">
        <f>SUMIF('4 SUP +'!$E$11:$E$56,'4 SUP +'!$AG$12,FORMULAS!BW$290:BW$335)</f>
        <v>0</v>
      </c>
      <c r="BX338" s="838">
        <f>SUMIF('4 SUP +'!$E$11:$E$56,'4 SUP +'!$AG$12,FORMULAS!BX$290:BX$335)</f>
        <v>0</v>
      </c>
      <c r="BY338" s="838">
        <f>SUMIF('4 SUP +'!$E$11:$E$56,'4 SUP +'!$AG$12,FORMULAS!BY$290:BY$335)</f>
        <v>0</v>
      </c>
      <c r="BZ338" s="838">
        <f>SUMIF('4 SUP +'!$E$11:$E$56,'4 SUP +'!$AG$12,FORMULAS!BZ$290:BZ$335)</f>
        <v>0</v>
      </c>
      <c r="CA338" s="838">
        <f>SUMIF('4 SUP +'!$E$11:$E$56,'4 SUP +'!$AG$12,FORMULAS!CA$290:CA$335)</f>
        <v>0</v>
      </c>
      <c r="CB338" s="838">
        <f>SUMIF('4 SUP +'!$E$11:$E$56,'4 SUP +'!$AG$12,FORMULAS!CB$290:CB$335)</f>
        <v>0</v>
      </c>
      <c r="CC338" s="838">
        <f>SUMIF('4 SUP +'!$E$11:$E$56,'4 SUP +'!$AG$12,FORMULAS!CC$290:CC$335)</f>
        <v>0</v>
      </c>
      <c r="CD338" s="838">
        <f>SUMIF('4 SUP +'!$E$11:$E$56,'4 SUP +'!$AG$12,FORMULAS!CD$290:CD$335)</f>
        <v>0</v>
      </c>
      <c r="CE338" s="838"/>
      <c r="CF338" s="838">
        <f>SUMIF('4 SUP +'!$E$11:$E$56,'4 SUP +'!$AG$12,FORMULAS!CF$290:CF$335)</f>
        <v>0</v>
      </c>
      <c r="CG338" s="838">
        <f>SUMIF('4 SUP +'!$E$11:$E$56,'4 SUP +'!$AG$12,FORMULAS!CG$290:CG$335)</f>
        <v>0</v>
      </c>
      <c r="CH338" s="838">
        <f>SUMIF('4 SUP +'!$E$11:$E$56,'4 SUP +'!$AG$12,FORMULAS!CH$290:CH$335)</f>
        <v>0</v>
      </c>
      <c r="CI338" s="838">
        <f>SUMIF('4 SUP +'!$E$11:$E$56,'4 SUP +'!$AG$12,FORMULAS!CI$290:CI$335)</f>
        <v>0</v>
      </c>
      <c r="CJ338" s="838">
        <f>SUMIF('4 SUP +'!$E$11:$E$56,'4 SUP +'!$AG$12,FORMULAS!CJ$290:CJ$335)</f>
        <v>0</v>
      </c>
      <c r="CK338" s="838">
        <f>SUMIF('4 SUP +'!$E$11:$E$56,'4 SUP +'!$AG$12,FORMULAS!CK$290:CK$335)</f>
        <v>0</v>
      </c>
      <c r="CL338" s="838">
        <f>SUMIF('4 SUP +'!$E$11:$E$56,'4 SUP +'!$AG$12,FORMULAS!CL$290:CL$335)</f>
        <v>0</v>
      </c>
      <c r="CM338" s="838"/>
      <c r="CN338" s="838">
        <f>SUMIF('4 SUP +'!$E$11:$E$56,'4 SUP +'!$AG$12,FORMULAS!CN$290:CN$335)</f>
        <v>0</v>
      </c>
      <c r="CO338" s="838">
        <f>SUMIF('4 SUP +'!$E$11:$E$56,'4 SUP +'!$AG$12,FORMULAS!CO$290:CO$335)</f>
        <v>0</v>
      </c>
      <c r="CP338" s="852"/>
      <c r="CQ338" s="838">
        <f>SUMIF('4 SUP +'!$E$11:$E$56,'4 SUP +'!$AG$12,FORMULAS!CQ$290:CQ$335)</f>
        <v>0</v>
      </c>
      <c r="CR338" s="838">
        <f>SUMIF('4 SUP +'!$E$11:$E$56,'4 SUP +'!$AG$12,FORMULAS!CR$290:CR$335)</f>
        <v>0</v>
      </c>
      <c r="CS338" s="838"/>
      <c r="CT338" s="838">
        <f>SUMIF('4 SUP +'!$E$11:$E$56,'4 SUP +'!$AG$12,FORMULAS!CT$290:CT$335)</f>
        <v>0</v>
      </c>
      <c r="CU338" s="838"/>
      <c r="CV338" s="838">
        <f>SUMIF('4 SUP +'!$E$11:$E$56,'4 SUP +'!$AG$12,FORMULAS!CV$290:CV$335)</f>
        <v>0</v>
      </c>
      <c r="CW338" s="838"/>
      <c r="CX338" s="858"/>
      <c r="CY338" s="838"/>
      <c r="CZ338" s="838">
        <f>SUMIF('4 SUP +'!$E$11:$E$56,'4 SUP +'!$AG$12,FORMULAS!CZ$290:CZ$335)</f>
        <v>0</v>
      </c>
      <c r="DA338" s="838"/>
      <c r="DB338" s="838">
        <f>SUMIF('4 SUP +'!$E$11:$E$56,'4 SUP +'!$AG$12,FORMULAS!DB$290:DB$335)</f>
        <v>0</v>
      </c>
      <c r="DC338" s="838"/>
      <c r="DD338" s="838">
        <f>SUMIF('4 SUP +'!$E$11:$E$56,'4 SUP +'!$AG$12,FORMULAS!DD$290:DD$335)</f>
        <v>0</v>
      </c>
      <c r="DE338" s="858"/>
      <c r="DF338" s="838">
        <f>SUMIF('4 SUP +'!$E$11:$E$56,'4 SUP +'!$AG$12,FORMULAS!DF$290:DF$335)</f>
        <v>0</v>
      </c>
      <c r="DG338" s="858"/>
      <c r="DH338" s="838">
        <f>SUMIF('4 SUP +'!$E$11:$E$56,'4 SUP +'!$AG$12,FORMULAS!DH$290:DH$335)</f>
        <v>0</v>
      </c>
      <c r="DI338" s="838"/>
      <c r="DJ338" s="858"/>
      <c r="DK338" s="858"/>
      <c r="DL338" s="838">
        <f>SUMIF('4 SUP +'!$E$11:$E$56,'4 SUP +'!$AG$12,FORMULAS!DL$290:DL$335)</f>
        <v>0</v>
      </c>
      <c r="DM338" s="838"/>
      <c r="DN338" s="838"/>
      <c r="DO338" s="838"/>
      <c r="DP338" s="838"/>
      <c r="DQ338" s="838"/>
      <c r="DR338" s="838"/>
      <c r="DS338" s="838"/>
      <c r="DT338" s="838"/>
      <c r="DU338" s="838"/>
      <c r="DV338" s="838"/>
      <c r="DW338" s="838"/>
      <c r="DX338" s="838"/>
      <c r="DY338" s="838"/>
      <c r="DZ338" s="838"/>
      <c r="EA338" s="838"/>
      <c r="EB338" s="838"/>
      <c r="EC338" s="838"/>
      <c r="ED338" s="838"/>
      <c r="EG338" s="682"/>
      <c r="EH338" s="682"/>
      <c r="EI338" s="682"/>
      <c r="EJ338" s="682"/>
      <c r="EK338" s="1154">
        <f>SUM(EK292:EK337)/100</f>
        <v>0</v>
      </c>
      <c r="EL338" s="1154"/>
      <c r="EM338" s="1154">
        <f>SUM(EM292:EM337)/100</f>
        <v>0</v>
      </c>
      <c r="EO338" s="1154">
        <f>(SUM(EO292:EO337)/100)*1.07</f>
        <v>0</v>
      </c>
      <c r="EP338" s="838"/>
      <c r="EQ338" s="1154">
        <f>(SUM(EQ292:EQ337)/100)*1.07</f>
        <v>0</v>
      </c>
      <c r="ER338" s="838"/>
      <c r="ES338" s="858"/>
      <c r="ET338" s="858"/>
      <c r="EU338" s="858"/>
      <c r="EV338" s="858"/>
      <c r="EW338" s="838"/>
      <c r="EX338" s="838"/>
      <c r="EY338" s="838"/>
      <c r="EZ338" s="838"/>
      <c r="FA338" s="838"/>
      <c r="FB338" s="838"/>
      <c r="FC338" s="838"/>
      <c r="FD338" s="838"/>
      <c r="FE338" s="838"/>
      <c r="FF338" s="838"/>
      <c r="FG338" s="838"/>
      <c r="FH338" s="838"/>
      <c r="FI338" s="838"/>
      <c r="FJ338" s="838"/>
      <c r="FK338" s="838"/>
      <c r="FL338" s="838"/>
      <c r="FM338" s="838"/>
      <c r="FN338" s="838"/>
      <c r="FO338" s="838"/>
      <c r="FP338" s="838"/>
      <c r="GM338" s="858"/>
      <c r="GN338" s="838"/>
      <c r="GO338" s="858"/>
      <c r="GP338" s="858"/>
      <c r="GQ338" s="858"/>
      <c r="GR338" s="838"/>
      <c r="GS338" s="838"/>
      <c r="GW338" s="682"/>
      <c r="GX338" s="682"/>
      <c r="GY338" s="682"/>
      <c r="GZ338" s="682"/>
      <c r="HA338" s="682"/>
      <c r="HB338" s="682"/>
      <c r="HC338" s="682"/>
      <c r="HF338" s="700">
        <v>78</v>
      </c>
      <c r="HH338" s="591">
        <v>78</v>
      </c>
    </row>
    <row r="339" spans="37:216" ht="26.25" x14ac:dyDescent="0.4">
      <c r="AK339" s="838">
        <f>SUMIF('4 SUP +'!$E$11:$E$56,'4 SUP +'!$AG$13,FORMULAS!AK$290:AK$335)</f>
        <v>0</v>
      </c>
      <c r="AL339" s="838">
        <f>SUMIF('4 SUP +'!$E$11:$E$56,'4 SUP +'!$AG$13,FORMULAS!AL$290:AL$335)</f>
        <v>0</v>
      </c>
      <c r="AM339" s="838">
        <f>SUMIF('4 SUP +'!$E$11:$E$56,'4 SUP +'!$AG$13,FORMULAS!AM$290:AM$335)</f>
        <v>0</v>
      </c>
      <c r="AN339" s="838">
        <f>SUMIF('4 SUP +'!$E$11:$E$56,'4 SUP +'!$AG$13,FORMULAS!AN$290:AN$335)</f>
        <v>0</v>
      </c>
      <c r="AO339" s="838">
        <f>SUMIF('4 SUP +'!$E$11:$E$56,'4 SUP +'!$AG$13,FORMULAS!AO$290:AO$335)</f>
        <v>0</v>
      </c>
      <c r="AP339" s="838">
        <f>SUMIF('4 SUP +'!$E$11:$E$56,'4 SUP +'!$AG$13,FORMULAS!AP$290:AP$335)</f>
        <v>0</v>
      </c>
      <c r="AQ339" s="838">
        <f>SUMIF('4 SUP +'!$E$11:$E$56,'4 SUP +'!$AG$13,FORMULAS!AQ$290:AQ$335)</f>
        <v>0</v>
      </c>
      <c r="AR339" s="838"/>
      <c r="AS339" s="838">
        <f>SUMIF('4 SUP +'!$E$11:$E$56,'4 SUP +'!$AG$13,FORMULAS!AS$290:AS$335)</f>
        <v>0</v>
      </c>
      <c r="AT339" s="838">
        <f>SUMIF('4 SUP +'!$E$11:$E$56,'4 SUP +'!$AG$13,FORMULAS!AT$290:AT$335)</f>
        <v>0</v>
      </c>
      <c r="AU339" s="838">
        <f>SUMIF('4 SUP +'!$E$11:$E$56,'4 SUP +'!$AG$13,FORMULAS!AU$290:AU$335)</f>
        <v>0</v>
      </c>
      <c r="AV339" s="838">
        <f>SUMIF('4 SUP +'!$E$11:$E$56,'4 SUP +'!$AG$13,FORMULAS!AV$290:AV$335)</f>
        <v>0</v>
      </c>
      <c r="AW339" s="838">
        <f>SUMIF('4 SUP +'!$E$11:$E$56,'4 SUP +'!$AG$13,FORMULAS!AW$290:AW$335)</f>
        <v>0</v>
      </c>
      <c r="AX339" s="838">
        <f>SUMIF('4 SUP +'!$E$11:$E$56,'4 SUP +'!$AG$13,FORMULAS!AX$290:AX$335)</f>
        <v>0</v>
      </c>
      <c r="AY339" s="838">
        <f>SUMIF('4 SUP +'!$E$11:$E$56,'4 SUP +'!$AG$13,FORMULAS!AY$290:AY$335)</f>
        <v>0</v>
      </c>
      <c r="AZ339" s="838"/>
      <c r="BA339" s="838">
        <f>SUMIF('4 SUP +'!$E$11:$E$56,'4 SUP +'!$AG$13,FORMULAS!BA$290:BA$335)</f>
        <v>0</v>
      </c>
      <c r="BB339" s="838">
        <f>SUMIF('4 SUP +'!$E$11:$E$56,'4 SUP +'!$AG$13,FORMULAS!BB$290:BB$335)</f>
        <v>0</v>
      </c>
      <c r="BC339" s="838">
        <f>SUMIF('4 SUP +'!$E$11:$E$56,'4 SUP +'!$AG$13,FORMULAS!BC$290:BC$335)</f>
        <v>0</v>
      </c>
      <c r="BD339" s="838">
        <f>SUMIF('4 SUP +'!$E$11:$E$56,'4 SUP +'!$AG$13,FORMULAS!BD$290:BD$335)</f>
        <v>0</v>
      </c>
      <c r="BE339" s="838">
        <f>SUMIF('4 SUP +'!$E$11:$E$56,'4 SUP +'!$AG$13,FORMULAS!BE$290:BE$335)</f>
        <v>0</v>
      </c>
      <c r="BF339" s="838">
        <f>SUMIF('4 SUP +'!$E$11:$E$56,'4 SUP +'!$AG$13,FORMULAS!BF$290:BF$335)</f>
        <v>0</v>
      </c>
      <c r="BG339" s="838">
        <f>SUMIF('4 SUP +'!$E$11:$E$56,'4 SUP +'!$AG$13,FORMULAS!BG$290:BG$335)</f>
        <v>0</v>
      </c>
      <c r="BH339" s="838">
        <f>SUMIF('4 SUP +'!$E$11:$E$56,'4 SUP +'!$AG$13,FORMULAS!BH$290:BH$335)</f>
        <v>0</v>
      </c>
      <c r="BI339" s="838">
        <f>SUMIF('4 SUP +'!$E$11:$E$56,'4 SUP +'!$AG$13,FORMULAS!BI$290:BI$335)</f>
        <v>0</v>
      </c>
      <c r="BJ339" s="838">
        <f>SUMIF('4 SUP +'!$E$11:$E$56,'4 SUP +'!$AG$13,FORMULAS!BJ$290:BJ$335)</f>
        <v>0</v>
      </c>
      <c r="BK339" s="838">
        <f>SUMIF('4 SUP +'!$E$11:$E$56,'4 SUP +'!$AG$13,FORMULAS!BK$290:BK$335)</f>
        <v>0</v>
      </c>
      <c r="BL339" s="838">
        <f>SUMIF('4 SUP +'!$E$11:$E$56,'4 SUP +'!$AG$13,FORMULAS!BL$290:BL$335)</f>
        <v>0</v>
      </c>
      <c r="BM339" s="838">
        <f>SUMIF('4 SUP +'!$E$11:$E$56,'4 SUP +'!$AG$13,FORMULAS!BM$290:BM$335)</f>
        <v>0</v>
      </c>
      <c r="BO339" s="869" t="s">
        <v>525</v>
      </c>
      <c r="BQ339" s="870">
        <f>+$BA$337</f>
        <v>0</v>
      </c>
      <c r="BS339" s="869"/>
      <c r="BT339" s="870">
        <f>+$BA$340</f>
        <v>0</v>
      </c>
      <c r="BV339" s="838">
        <f>SUMIF('4 SUP +'!$E$11:$E$56,'4 SUP +'!$AG$13,FORMULAS!BV$290:BV$335)</f>
        <v>0</v>
      </c>
      <c r="BW339" s="838">
        <f>SUMIF('4 SUP +'!$E$11:$E$56,'4 SUP +'!$AG$13,FORMULAS!BW$290:BW$335)</f>
        <v>0</v>
      </c>
      <c r="BX339" s="838">
        <f>SUMIF('4 SUP +'!$E$11:$E$56,'4 SUP +'!$AG$13,FORMULAS!BX$290:BX$335)</f>
        <v>0</v>
      </c>
      <c r="BY339" s="838">
        <f>SUMIF('4 SUP +'!$E$11:$E$56,'4 SUP +'!$AG$13,FORMULAS!BY$290:BY$335)</f>
        <v>0</v>
      </c>
      <c r="BZ339" s="838">
        <f>SUMIF('4 SUP +'!$E$11:$E$56,'4 SUP +'!$AG$13,FORMULAS!BZ$290:BZ$335)</f>
        <v>0</v>
      </c>
      <c r="CA339" s="838">
        <f>SUMIF('4 SUP +'!$E$11:$E$56,'4 SUP +'!$AG$13,FORMULAS!CA$290:CA$335)</f>
        <v>0</v>
      </c>
      <c r="CB339" s="838">
        <f>SUMIF('4 SUP +'!$E$11:$E$56,'4 SUP +'!$AG$13,FORMULAS!CB$290:CB$335)</f>
        <v>0</v>
      </c>
      <c r="CC339" s="838">
        <f>SUMIF('4 SUP +'!$E$11:$E$56,'4 SUP +'!$AG$13,FORMULAS!CC$290:CC$335)</f>
        <v>0</v>
      </c>
      <c r="CD339" s="838">
        <f>SUMIF('4 SUP +'!$E$11:$E$56,'4 SUP +'!$AG$13,FORMULAS!CD$290:CD$335)</f>
        <v>0</v>
      </c>
      <c r="CE339" s="838"/>
      <c r="CF339" s="838">
        <f>SUMIF('4 SUP +'!$E$11:$E$56,'4 SUP +'!$AG$13,FORMULAS!CF$290:CF$335)</f>
        <v>0</v>
      </c>
      <c r="CG339" s="838">
        <f>SUMIF('4 SUP +'!$E$11:$E$56,'4 SUP +'!$AG$13,FORMULAS!CG$290:CG$335)</f>
        <v>0</v>
      </c>
      <c r="CH339" s="838">
        <f>SUMIF('4 SUP +'!$E$11:$E$56,'4 SUP +'!$AG$13,FORMULAS!CH$290:CH$335)</f>
        <v>0</v>
      </c>
      <c r="CI339" s="838">
        <f>SUMIF('4 SUP +'!$E$11:$E$56,'4 SUP +'!$AG$13,FORMULAS!CI$290:CI$335)</f>
        <v>0</v>
      </c>
      <c r="CJ339" s="838">
        <f>SUMIF('4 SUP +'!$E$11:$E$56,'4 SUP +'!$AG$13,FORMULAS!CJ$290:CJ$335)</f>
        <v>0</v>
      </c>
      <c r="CK339" s="838">
        <f>SUMIF('4 SUP +'!$E$11:$E$56,'4 SUP +'!$AG$13,FORMULAS!CK$290:CK$335)</f>
        <v>0</v>
      </c>
      <c r="CL339" s="838">
        <f>SUMIF('4 SUP +'!$E$11:$E$56,'4 SUP +'!$AG$13,FORMULAS!CL$290:CL$335)</f>
        <v>0</v>
      </c>
      <c r="CM339" s="838"/>
      <c r="CN339" s="838">
        <f>SUMIF('4 SUP +'!$E$11:$E$56,'4 SUP +'!$AG$13,FORMULAS!CN$290:CN$335)</f>
        <v>0</v>
      </c>
      <c r="CO339" s="838">
        <f>SUMIF('4 SUP +'!$E$11:$E$56,'4 SUP +'!$AG$13,FORMULAS!CO$290:CO$335)</f>
        <v>0</v>
      </c>
      <c r="CP339" s="852"/>
      <c r="CQ339" s="838">
        <f>SUMIF('4 SUP +'!$E$11:$E$56,'4 SUP +'!$AG$13,FORMULAS!CQ$290:CQ$335)</f>
        <v>0</v>
      </c>
      <c r="CR339" s="838">
        <f>SUMIF('4 SUP +'!$E$11:$E$56,'4 SUP +'!$AG$13,FORMULAS!CR$290:CR$335)</f>
        <v>0</v>
      </c>
      <c r="CS339" s="838"/>
      <c r="CT339" s="838">
        <f>SUMIF('4 SUP +'!$E$11:$E$56,'4 SUP +'!$AG$13,FORMULAS!CT$290:CT$335)</f>
        <v>0</v>
      </c>
      <c r="CU339" s="838"/>
      <c r="CV339" s="838">
        <f>SUMIF('4 SUP +'!$E$11:$E$56,'4 SUP +'!$AG$13,FORMULAS!CV$290:CV$335)</f>
        <v>0</v>
      </c>
      <c r="CW339" s="838"/>
      <c r="CX339" s="858"/>
      <c r="CY339" s="838"/>
      <c r="CZ339" s="838">
        <f>SUMIF('4 SUP +'!$E$11:$E$56,'4 SUP +'!$AG$13,FORMULAS!CZ$290:CZ$335)</f>
        <v>0</v>
      </c>
      <c r="DA339" s="838"/>
      <c r="DB339" s="838">
        <f>SUMIF('4 SUP +'!$E$11:$E$56,'4 SUP +'!$AG$13,FORMULAS!DB$290:DB$335)</f>
        <v>0</v>
      </c>
      <c r="DC339" s="838"/>
      <c r="DD339" s="838">
        <f>SUMIF('4 SUP +'!$E$11:$E$56,'4 SUP +'!$AG$13,FORMULAS!DD$290:DD$335)</f>
        <v>0</v>
      </c>
      <c r="DE339" s="858"/>
      <c r="DF339" s="838">
        <f>SUMIF('4 SUP +'!$E$11:$E$56,'4 SUP +'!$AG$13,FORMULAS!DF$290:DF$335)</f>
        <v>0</v>
      </c>
      <c r="DG339" s="858"/>
      <c r="DH339" s="838">
        <f>SUMIF('4 SUP +'!$E$11:$E$56,'4 SUP +'!$AG$13,FORMULAS!DH$290:DH$335)</f>
        <v>0</v>
      </c>
      <c r="DI339" s="838"/>
      <c r="DJ339" s="858"/>
      <c r="DK339" s="858"/>
      <c r="DL339" s="838">
        <f>SUMIF('4 SUP +'!$E$11:$E$56,'4 SUP +'!$AG$13,FORMULAS!DL$290:DL$335)</f>
        <v>0</v>
      </c>
      <c r="DM339" s="838"/>
      <c r="DN339" s="838"/>
      <c r="DO339" s="838"/>
      <c r="DP339" s="838"/>
      <c r="DQ339" s="838"/>
      <c r="DR339" s="838"/>
      <c r="DS339" s="838"/>
      <c r="DT339" s="838"/>
      <c r="DU339" s="838"/>
      <c r="DV339" s="838"/>
      <c r="DW339" s="838"/>
      <c r="DX339" s="838"/>
      <c r="DY339" s="838"/>
      <c r="DZ339" s="838"/>
      <c r="EA339" s="838"/>
      <c r="EB339" s="838"/>
      <c r="EC339" s="838"/>
      <c r="ED339" s="838"/>
      <c r="EE339" s="838"/>
      <c r="EF339" s="838"/>
      <c r="EG339" s="838"/>
      <c r="EH339" s="858"/>
      <c r="EI339" s="838"/>
      <c r="EJ339" s="858"/>
      <c r="EK339" s="838"/>
      <c r="EL339" s="858"/>
      <c r="EM339" s="838"/>
      <c r="EO339" s="858"/>
      <c r="EP339" s="838"/>
      <c r="EQ339" s="858"/>
      <c r="ER339" s="838"/>
      <c r="ES339" s="858"/>
      <c r="ET339" s="858"/>
      <c r="EU339" s="858"/>
      <c r="EV339" s="858"/>
      <c r="EW339" s="838"/>
      <c r="EX339" s="838"/>
      <c r="EY339" s="838"/>
      <c r="EZ339" s="838"/>
      <c r="FA339" s="838"/>
      <c r="FB339" s="838"/>
      <c r="FC339" s="838"/>
      <c r="FD339" s="838"/>
      <c r="FE339" s="838"/>
      <c r="FF339" s="838"/>
      <c r="FG339" s="838"/>
      <c r="FH339" s="838"/>
      <c r="FI339" s="838"/>
      <c r="FJ339" s="838"/>
      <c r="FK339" s="838"/>
      <c r="FL339" s="838"/>
      <c r="FM339" s="838"/>
      <c r="FN339" s="838"/>
      <c r="FO339" s="838"/>
      <c r="FP339" s="838"/>
      <c r="GM339" s="838"/>
      <c r="GN339" s="838"/>
      <c r="GO339" s="838"/>
      <c r="GP339" s="838"/>
      <c r="GQ339" s="838"/>
      <c r="GR339" s="838"/>
      <c r="GS339" s="838"/>
      <c r="GW339" s="682"/>
      <c r="GX339" s="682"/>
      <c r="GY339" s="682"/>
      <c r="GZ339" s="682"/>
      <c r="HA339" s="682"/>
      <c r="HB339" s="682"/>
      <c r="HC339" s="682"/>
      <c r="HF339" s="700">
        <v>78.5</v>
      </c>
      <c r="HH339" s="591">
        <v>78.5</v>
      </c>
    </row>
    <row r="340" spans="37:216" ht="26.25" x14ac:dyDescent="0.4">
      <c r="AK340" s="838">
        <f>SUMIF('4 SUP +'!$E$11:$E$56,'4 SUP +'!$AG$14,FORMULAS!AK$290:AK$335)</f>
        <v>0</v>
      </c>
      <c r="AL340" s="838">
        <f>SUMIF('4 SUP +'!$E$11:$E$56,'4 SUP +'!$AG$14,FORMULAS!AL$290:AL$335)</f>
        <v>0</v>
      </c>
      <c r="AM340" s="838">
        <f>SUMIF('4 SUP +'!$E$11:$E$56,'4 SUP +'!$AG$14,FORMULAS!AM$290:AM$335)</f>
        <v>0</v>
      </c>
      <c r="AN340" s="838">
        <f>SUMIF('4 SUP +'!$E$11:$E$56,'4 SUP +'!$AG$14,FORMULAS!AN$290:AN$335)</f>
        <v>0</v>
      </c>
      <c r="AO340" s="838">
        <f>SUMIF('4 SUP +'!$E$11:$E$56,'4 SUP +'!$AG$14,FORMULAS!AO$290:AO$335)</f>
        <v>0</v>
      </c>
      <c r="AP340" s="838">
        <f>SUMIF('4 SUP +'!$E$11:$E$56,'4 SUP +'!$AG$14,FORMULAS!AP$290:AP$335)</f>
        <v>0</v>
      </c>
      <c r="AQ340" s="838">
        <f>SUMIF('4 SUP +'!$E$11:$E$56,'4 SUP +'!$AG$14,FORMULAS!AQ$290:AQ$335)</f>
        <v>0</v>
      </c>
      <c r="AR340" s="838"/>
      <c r="AS340" s="838">
        <f>SUMIF('4 SUP +'!$E$11:$E$56,'4 SUP +'!$AG$14,FORMULAS!AS$290:AS$335)</f>
        <v>0</v>
      </c>
      <c r="AT340" s="838">
        <f>SUMIF('4 SUP +'!$E$11:$E$56,'4 SUP +'!$AG$14,FORMULAS!AT$290:AT$335)</f>
        <v>0</v>
      </c>
      <c r="AU340" s="838">
        <f>SUMIF('4 SUP +'!$E$11:$E$56,'4 SUP +'!$AG$14,FORMULAS!AU$290:AU$335)</f>
        <v>0</v>
      </c>
      <c r="AV340" s="838">
        <f>SUMIF('4 SUP +'!$E$11:$E$56,'4 SUP +'!$AG$14,FORMULAS!AV$290:AV$335)</f>
        <v>0</v>
      </c>
      <c r="AW340" s="838">
        <f>SUMIF('4 SUP +'!$E$11:$E$56,'4 SUP +'!$AG$14,FORMULAS!AW$290:AW$335)</f>
        <v>0</v>
      </c>
      <c r="AX340" s="838">
        <f>SUMIF('4 SUP +'!$E$11:$E$56,'4 SUP +'!$AG$14,FORMULAS!AX$290:AX$335)</f>
        <v>0</v>
      </c>
      <c r="AY340" s="838">
        <f>SUMIF('4 SUP +'!$E$11:$E$56,'4 SUP +'!$AG$14,FORMULAS!AY$290:AY$335)</f>
        <v>0</v>
      </c>
      <c r="AZ340" s="838"/>
      <c r="BA340" s="838">
        <f>SUMIF('4 SUP +'!$E$11:$E$56,'4 SUP +'!$AG$14,FORMULAS!BA$290:BA$335)</f>
        <v>0</v>
      </c>
      <c r="BB340" s="838">
        <f>SUMIF('4 SUP +'!$E$11:$E$56,'4 SUP +'!$AG$14,FORMULAS!BB$290:BB$335)</f>
        <v>0</v>
      </c>
      <c r="BC340" s="838">
        <f>SUMIF('4 SUP +'!$E$11:$E$56,'4 SUP +'!$AG$14,FORMULAS!BC$290:BC$335)</f>
        <v>0</v>
      </c>
      <c r="BD340" s="838">
        <f>SUMIF('4 SUP +'!$E$11:$E$56,'4 SUP +'!$AG$14,FORMULAS!BD$290:BD$335)</f>
        <v>0</v>
      </c>
      <c r="BE340" s="838">
        <f>SUMIF('4 SUP +'!$E$11:$E$56,'4 SUP +'!$AG$14,FORMULAS!BE$290:BE$335)</f>
        <v>0</v>
      </c>
      <c r="BF340" s="838">
        <f>SUMIF('4 SUP +'!$E$11:$E$56,'4 SUP +'!$AG$14,FORMULAS!BF$290:BF$335)</f>
        <v>0</v>
      </c>
      <c r="BG340" s="838">
        <f>SUMIF('4 SUP +'!$E$11:$E$56,'4 SUP +'!$AG$14,FORMULAS!BG$290:BG$335)</f>
        <v>0</v>
      </c>
      <c r="BH340" s="838">
        <f>SUMIF('4 SUP +'!$E$11:$E$56,'4 SUP +'!$AG$14,FORMULAS!BH$290:BH$335)</f>
        <v>0</v>
      </c>
      <c r="BI340" s="838">
        <f>SUMIF('4 SUP +'!$E$11:$E$56,'4 SUP +'!$AG$14,FORMULAS!BI$290:BI$335)</f>
        <v>0</v>
      </c>
      <c r="BJ340" s="838">
        <f>SUMIF('4 SUP +'!$E$11:$E$56,'4 SUP +'!$AG$14,FORMULAS!BJ$290:BJ$335)</f>
        <v>0</v>
      </c>
      <c r="BK340" s="838">
        <f>SUMIF('4 SUP +'!$E$11:$E$56,'4 SUP +'!$AG$14,FORMULAS!BK$290:BK$335)</f>
        <v>0</v>
      </c>
      <c r="BL340" s="838">
        <f>SUMIF('4 SUP +'!$E$11:$E$56,'4 SUP +'!$AG$14,FORMULAS!BL$290:BL$335)</f>
        <v>0</v>
      </c>
      <c r="BM340" s="838">
        <f>SUMIF('4 SUP +'!$E$11:$E$56,'4 SUP +'!$AG$14,FORMULAS!BM$290:BM$335)</f>
        <v>0</v>
      </c>
      <c r="BO340" s="869" t="s">
        <v>528</v>
      </c>
      <c r="BQ340" s="870">
        <f>+$BB$337+$CG$337*2</f>
        <v>0</v>
      </c>
      <c r="BS340" s="869"/>
      <c r="BT340" s="870">
        <f>+$BB$340+$CG$340*2</f>
        <v>0</v>
      </c>
      <c r="BV340" s="838">
        <f>SUMIF('4 SUP +'!$E$11:$E$56,'4 SUP +'!$AG$14,FORMULAS!BV$290:BV$335)</f>
        <v>0</v>
      </c>
      <c r="BW340" s="838">
        <f>SUMIF('4 SUP +'!$E$11:$E$56,'4 SUP +'!$AG$14,FORMULAS!BW$290:BW$335)</f>
        <v>0</v>
      </c>
      <c r="BX340" s="838">
        <f>SUMIF('4 SUP +'!$E$11:$E$56,'4 SUP +'!$AG$14,FORMULAS!BX$290:BX$335)</f>
        <v>0</v>
      </c>
      <c r="BY340" s="838">
        <f>SUMIF('4 SUP +'!$E$11:$E$56,'4 SUP +'!$AG$14,FORMULAS!BY$290:BY$335)</f>
        <v>0</v>
      </c>
      <c r="BZ340" s="838">
        <f>SUMIF('4 SUP +'!$E$11:$E$56,'4 SUP +'!$AG$14,FORMULAS!BZ$290:BZ$335)</f>
        <v>0</v>
      </c>
      <c r="CA340" s="838">
        <f>SUMIF('4 SUP +'!$E$11:$E$56,'4 SUP +'!$AG$14,FORMULAS!CA$290:CA$335)</f>
        <v>0</v>
      </c>
      <c r="CB340" s="838">
        <f>SUMIF('4 SUP +'!$E$11:$E$56,'4 SUP +'!$AG$14,FORMULAS!CB$290:CB$335)</f>
        <v>0</v>
      </c>
      <c r="CC340" s="838">
        <f>SUMIF('4 SUP +'!$E$11:$E$56,'4 SUP +'!$AG$14,FORMULAS!CC$290:CC$335)</f>
        <v>0</v>
      </c>
      <c r="CD340" s="838">
        <f>SUMIF('4 SUP +'!$E$11:$E$56,'4 SUP +'!$AG$14,FORMULAS!CD$290:CD$335)</f>
        <v>0</v>
      </c>
      <c r="CE340" s="838"/>
      <c r="CF340" s="838">
        <f>SUMIF('4 SUP +'!$E$11:$E$56,'4 SUP +'!$AG$14,FORMULAS!CF$290:CF$335)</f>
        <v>0</v>
      </c>
      <c r="CG340" s="838">
        <f>SUMIF('4 SUP +'!$E$11:$E$56,'4 SUP +'!$AG$14,FORMULAS!CG$290:CG$335)</f>
        <v>0</v>
      </c>
      <c r="CH340" s="838">
        <f>SUMIF('4 SUP +'!$E$11:$E$56,'4 SUP +'!$AG$14,FORMULAS!CH$290:CH$335)</f>
        <v>0</v>
      </c>
      <c r="CI340" s="838">
        <f>SUMIF('4 SUP +'!$E$11:$E$56,'4 SUP +'!$AG$14,FORMULAS!CI$290:CI$335)</f>
        <v>0</v>
      </c>
      <c r="CJ340" s="838">
        <f>SUMIF('4 SUP +'!$E$11:$E$56,'4 SUP +'!$AG$14,FORMULAS!CJ$290:CJ$335)</f>
        <v>0</v>
      </c>
      <c r="CK340" s="838">
        <f>SUMIF('4 SUP +'!$E$11:$E$56,'4 SUP +'!$AG$14,FORMULAS!CK$290:CK$335)</f>
        <v>0</v>
      </c>
      <c r="CL340" s="838">
        <f>SUMIF('4 SUP +'!$E$11:$E$56,'4 SUP +'!$AG$14,FORMULAS!CL$290:CL$335)</f>
        <v>0</v>
      </c>
      <c r="CM340" s="838"/>
      <c r="CN340" s="838">
        <f>SUMIF('4 SUP +'!$E$11:$E$56,'4 SUP +'!$AG$14,FORMULAS!CN$290:CN$335)</f>
        <v>0</v>
      </c>
      <c r="CO340" s="838">
        <f>SUMIF('4 SUP +'!$E$11:$E$56,'4 SUP +'!$AG$14,FORMULAS!CO$290:CO$335)</f>
        <v>0</v>
      </c>
      <c r="CP340" s="852"/>
      <c r="CQ340" s="838">
        <f>SUMIF('4 SUP +'!$E$11:$E$56,'4 SUP +'!$AG$14,FORMULAS!CQ$290:CQ$335)</f>
        <v>0</v>
      </c>
      <c r="CR340" s="838">
        <f>SUMIF('4 SUP +'!$E$11:$E$56,'4 SUP +'!$AG$14,FORMULAS!CR$290:CR$335)</f>
        <v>0</v>
      </c>
      <c r="CS340" s="838"/>
      <c r="CT340" s="838">
        <f>SUMIF('4 SUP +'!$E$11:$E$56,'4 SUP +'!$AG$14,FORMULAS!CT$290:CT$335)</f>
        <v>0</v>
      </c>
      <c r="CU340" s="838"/>
      <c r="CV340" s="838">
        <f>SUMIF('4 SUP +'!$E$11:$E$56,'4 SUP +'!$AG$14,FORMULAS!CV$290:CV$335)</f>
        <v>0</v>
      </c>
      <c r="CW340" s="838"/>
      <c r="CX340" s="858"/>
      <c r="CY340" s="838"/>
      <c r="CZ340" s="838">
        <f>SUMIF('4 SUP +'!$E$11:$E$56,'4 SUP +'!$AG$14,FORMULAS!CZ$290:CZ$335)</f>
        <v>0</v>
      </c>
      <c r="DA340" s="838"/>
      <c r="DB340" s="838">
        <f>SUMIF('4 SUP +'!$E$11:$E$56,'4 SUP +'!$AG$14,FORMULAS!DB$290:DB$335)</f>
        <v>0</v>
      </c>
      <c r="DC340" s="838"/>
      <c r="DD340" s="838">
        <f>SUMIF('4 SUP +'!$E$11:$E$56,'4 SUP +'!$AG$14,FORMULAS!DD$290:DD$335)</f>
        <v>0</v>
      </c>
      <c r="DE340" s="858"/>
      <c r="DF340" s="838">
        <f>SUMIF('4 SUP +'!$E$11:$E$56,'4 SUP +'!$AG$14,FORMULAS!DF$290:DF$335)</f>
        <v>0</v>
      </c>
      <c r="DG340" s="858"/>
      <c r="DH340" s="838">
        <f>SUMIF('4 SUP +'!$E$11:$E$56,'4 SUP +'!$AG$14,FORMULAS!DH$290:DH$335)</f>
        <v>0</v>
      </c>
      <c r="DI340" s="838"/>
      <c r="DJ340" s="858"/>
      <c r="DK340" s="858"/>
      <c r="DL340" s="838">
        <f>SUMIF('4 SUP +'!$E$11:$E$56,'4 SUP +'!$AG$14,FORMULAS!DL$290:DL$335)</f>
        <v>0</v>
      </c>
      <c r="DM340" s="838"/>
      <c r="DN340" s="838"/>
      <c r="DO340" s="838"/>
      <c r="DP340" s="838"/>
      <c r="DQ340" s="852"/>
      <c r="DR340" s="838"/>
      <c r="DS340" s="838"/>
      <c r="DT340" s="838"/>
      <c r="DU340" s="838"/>
      <c r="DV340" s="838"/>
      <c r="DW340" s="838"/>
      <c r="DX340" s="838"/>
      <c r="DY340" s="838"/>
      <c r="DZ340" s="838"/>
      <c r="EA340" s="838"/>
      <c r="EB340" s="838"/>
      <c r="EC340" s="838"/>
      <c r="ED340" s="838"/>
      <c r="EE340" s="838"/>
      <c r="EF340" s="838"/>
      <c r="EG340" s="838"/>
      <c r="EH340" s="858"/>
      <c r="EI340" s="838"/>
      <c r="EJ340" s="858"/>
      <c r="EK340" s="838"/>
      <c r="EL340" s="858"/>
      <c r="EM340" s="838"/>
      <c r="EO340" s="858"/>
      <c r="EP340" s="838"/>
      <c r="EQ340" s="858"/>
      <c r="ER340" s="838"/>
      <c r="ES340" s="858"/>
      <c r="ET340" s="858"/>
      <c r="EU340" s="858"/>
      <c r="EV340" s="858"/>
      <c r="EW340" s="838"/>
      <c r="EX340" s="838"/>
      <c r="EY340" s="838"/>
      <c r="EZ340" s="838"/>
      <c r="FA340" s="838"/>
      <c r="FB340" s="838"/>
      <c r="FC340" s="838"/>
      <c r="FD340" s="838"/>
      <c r="FE340" s="838"/>
      <c r="FF340" s="838"/>
      <c r="FG340" s="838"/>
      <c r="FH340" s="838"/>
      <c r="FI340" s="838"/>
      <c r="FJ340" s="838"/>
      <c r="FK340" s="838"/>
      <c r="FL340" s="838"/>
      <c r="FM340" s="838"/>
      <c r="FN340" s="838"/>
      <c r="FO340" s="838"/>
      <c r="FP340" s="838"/>
      <c r="GM340" s="838"/>
      <c r="GN340" s="838"/>
      <c r="GO340" s="838"/>
      <c r="GP340" s="838"/>
      <c r="GQ340" s="838"/>
      <c r="GR340" s="838"/>
      <c r="GS340" s="838"/>
      <c r="HF340" s="700">
        <v>79</v>
      </c>
      <c r="HH340" s="591">
        <v>79</v>
      </c>
    </row>
    <row r="341" spans="37:216" ht="26.25" x14ac:dyDescent="0.4">
      <c r="AK341" s="838"/>
      <c r="AL341" s="838"/>
      <c r="AM341" s="838"/>
      <c r="AN341" s="838"/>
      <c r="AO341" s="838"/>
      <c r="AP341" s="838"/>
      <c r="AQ341" s="838"/>
      <c r="AR341" s="838"/>
      <c r="AS341" s="838"/>
      <c r="AT341" s="838"/>
      <c r="AU341" s="838"/>
      <c r="AV341" s="838"/>
      <c r="AW341" s="838"/>
      <c r="AX341" s="838"/>
      <c r="AY341" s="838"/>
      <c r="AZ341" s="838"/>
      <c r="BA341" s="838"/>
      <c r="BB341" s="838"/>
      <c r="BC341" s="838"/>
      <c r="BD341" s="838"/>
      <c r="BE341" s="838"/>
      <c r="BF341" s="838"/>
      <c r="BG341" s="838"/>
      <c r="BH341" s="838"/>
      <c r="BI341" s="838"/>
      <c r="BJ341" s="838"/>
      <c r="BK341" s="838"/>
      <c r="BL341" s="838"/>
      <c r="BM341" s="838"/>
      <c r="BO341" s="869" t="s">
        <v>530</v>
      </c>
      <c r="BQ341" s="870">
        <f>+$BC$337+$CH$337*2</f>
        <v>0</v>
      </c>
      <c r="BS341" s="869"/>
      <c r="BT341" s="870">
        <f>+$BC$340+$CH$340*2</f>
        <v>0</v>
      </c>
      <c r="BV341" s="838"/>
      <c r="BW341" s="838"/>
      <c r="BX341" s="838"/>
      <c r="BY341" s="838"/>
      <c r="BZ341" s="838"/>
      <c r="CA341" s="838"/>
      <c r="CB341" s="838"/>
      <c r="CC341" s="838"/>
      <c r="CD341" s="838"/>
      <c r="CE341" s="838"/>
      <c r="CF341" s="838"/>
      <c r="CG341" s="838"/>
      <c r="CH341" s="838"/>
      <c r="CI341" s="838"/>
      <c r="CJ341" s="838"/>
      <c r="CK341" s="838"/>
      <c r="CL341" s="838"/>
      <c r="CM341" s="838"/>
      <c r="CN341" s="838"/>
      <c r="CO341" s="838"/>
      <c r="CP341" s="852"/>
      <c r="CQ341" s="838"/>
      <c r="CR341" s="838"/>
      <c r="CS341" s="838"/>
      <c r="CT341" s="858"/>
      <c r="CU341" s="838"/>
      <c r="CV341" s="858"/>
      <c r="CW341" s="838"/>
      <c r="CX341" s="858"/>
      <c r="CY341" s="838"/>
      <c r="CZ341" s="858"/>
      <c r="DA341" s="838"/>
      <c r="DB341" s="858"/>
      <c r="DC341" s="838"/>
      <c r="DD341" s="858"/>
      <c r="DE341" s="858"/>
      <c r="DF341" s="858"/>
      <c r="DG341" s="858"/>
      <c r="DH341" s="858"/>
      <c r="DI341" s="838"/>
      <c r="DJ341" s="858"/>
      <c r="DK341" s="858"/>
      <c r="DL341" s="858"/>
      <c r="DM341" s="838"/>
      <c r="DN341" s="838"/>
      <c r="DO341" s="838"/>
      <c r="DP341" s="838"/>
      <c r="DQ341" s="852"/>
      <c r="DR341" s="838"/>
      <c r="DS341" s="838"/>
      <c r="DT341" s="838"/>
      <c r="DU341" s="838"/>
      <c r="DV341" s="838"/>
      <c r="DW341" s="858"/>
      <c r="DX341" s="858"/>
      <c r="DY341" s="858"/>
      <c r="DZ341" s="858"/>
      <c r="EA341" s="838"/>
      <c r="EB341" s="838"/>
      <c r="EC341" s="838"/>
      <c r="ED341" s="838"/>
      <c r="EE341" s="838"/>
      <c r="EF341" s="838"/>
      <c r="EG341" s="852"/>
      <c r="EH341" s="838"/>
      <c r="EI341" s="838"/>
      <c r="EJ341" s="838"/>
      <c r="EK341" s="838"/>
      <c r="EL341" s="838"/>
      <c r="EM341" s="838"/>
      <c r="EO341" s="838"/>
      <c r="EP341" s="838"/>
      <c r="EQ341" s="838"/>
      <c r="ER341" s="838"/>
      <c r="ES341" s="838"/>
      <c r="ET341" s="858"/>
      <c r="EU341" s="838"/>
      <c r="EV341" s="838"/>
      <c r="EW341" s="838"/>
      <c r="EX341" s="838"/>
      <c r="EY341" s="838"/>
      <c r="EZ341" s="838"/>
      <c r="FA341" s="838"/>
      <c r="FB341" s="838"/>
      <c r="FC341" s="838"/>
      <c r="FD341" s="838"/>
      <c r="FE341" s="838"/>
      <c r="FF341" s="838"/>
      <c r="FG341" s="838"/>
      <c r="FH341" s="838"/>
      <c r="FI341" s="838"/>
      <c r="FJ341" s="838"/>
      <c r="FK341" s="838"/>
      <c r="FL341" s="838"/>
      <c r="FM341" s="838"/>
      <c r="FN341" s="838"/>
      <c r="FO341" s="838"/>
      <c r="FP341" s="838"/>
      <c r="GM341" s="838"/>
      <c r="GN341" s="838"/>
      <c r="GO341" s="838"/>
      <c r="GP341" s="838"/>
      <c r="GQ341" s="838"/>
      <c r="GR341" s="838"/>
      <c r="GS341" s="838"/>
      <c r="HF341" s="700">
        <v>79.5</v>
      </c>
      <c r="HH341" s="591">
        <v>79.5</v>
      </c>
    </row>
    <row r="342" spans="37:216" ht="26.25" x14ac:dyDescent="0.4">
      <c r="AK342" s="838"/>
      <c r="AL342" s="838"/>
      <c r="AM342" s="838"/>
      <c r="AN342" s="838"/>
      <c r="AO342" s="838"/>
      <c r="AP342" s="838"/>
      <c r="AQ342" s="838"/>
      <c r="AR342" s="838"/>
      <c r="AS342" s="838"/>
      <c r="AT342" s="838"/>
      <c r="AU342" s="838"/>
      <c r="AV342" s="838"/>
      <c r="AW342" s="838"/>
      <c r="AX342" s="838"/>
      <c r="AY342" s="838"/>
      <c r="AZ342" s="838"/>
      <c r="BA342" s="838"/>
      <c r="BB342" s="838"/>
      <c r="BC342" s="838"/>
      <c r="BD342" s="838"/>
      <c r="BE342" s="838"/>
      <c r="BF342" s="838"/>
      <c r="BG342" s="838"/>
      <c r="BH342" s="838"/>
      <c r="BI342" s="838"/>
      <c r="BJ342" s="838"/>
      <c r="BK342" s="838"/>
      <c r="BL342" s="838"/>
      <c r="BM342" s="838"/>
      <c r="BO342" s="869" t="s">
        <v>531</v>
      </c>
      <c r="BQ342" s="870">
        <f>+$BD$337+$CI$337*2</f>
        <v>0</v>
      </c>
      <c r="BS342" s="869"/>
      <c r="BT342" s="870">
        <f>+$BD$340+$CI$340*2</f>
        <v>0</v>
      </c>
      <c r="BV342" s="838"/>
      <c r="BW342" s="838"/>
      <c r="BX342" s="838"/>
      <c r="BY342" s="838"/>
      <c r="BZ342" s="838"/>
      <c r="CA342" s="838"/>
      <c r="CB342" s="838"/>
      <c r="CC342" s="838"/>
      <c r="CD342" s="838"/>
      <c r="CE342" s="838"/>
      <c r="CF342" s="838"/>
      <c r="CG342" s="838"/>
      <c r="CH342" s="838"/>
      <c r="CI342" s="838"/>
      <c r="CJ342" s="838"/>
      <c r="CK342" s="838"/>
      <c r="CL342" s="838"/>
      <c r="CM342" s="838"/>
      <c r="CN342" s="838"/>
      <c r="CO342" s="838"/>
      <c r="CP342" s="852"/>
      <c r="CQ342" s="838"/>
      <c r="CR342" s="838"/>
      <c r="CS342" s="838"/>
      <c r="CT342" s="858"/>
      <c r="CU342" s="838"/>
      <c r="CV342" s="858"/>
      <c r="CW342" s="838"/>
      <c r="CX342" s="858"/>
      <c r="CY342" s="838"/>
      <c r="CZ342" s="858"/>
      <c r="DA342" s="838"/>
      <c r="DB342" s="858"/>
      <c r="DC342" s="838"/>
      <c r="DD342" s="858"/>
      <c r="DE342" s="858"/>
      <c r="DF342" s="858"/>
      <c r="DG342" s="858"/>
      <c r="DH342" s="858"/>
      <c r="DI342" s="838"/>
      <c r="DJ342" s="858"/>
      <c r="DK342" s="858"/>
      <c r="DL342" s="858"/>
      <c r="DM342" s="838"/>
      <c r="DN342" s="838"/>
      <c r="DO342" s="838"/>
      <c r="DP342" s="838"/>
      <c r="DQ342" s="852"/>
      <c r="DR342" s="838"/>
      <c r="DS342" s="838"/>
      <c r="DT342" s="838"/>
      <c r="DU342" s="838"/>
      <c r="DV342" s="838"/>
      <c r="DW342" s="840"/>
      <c r="DX342" s="840"/>
      <c r="DY342" s="840"/>
      <c r="DZ342" s="840"/>
      <c r="EA342" s="838"/>
      <c r="EB342" s="838"/>
      <c r="EC342" s="838"/>
      <c r="ED342" s="838"/>
      <c r="EE342" s="838"/>
      <c r="EF342" s="838"/>
      <c r="EG342" s="838"/>
      <c r="EH342" s="838"/>
      <c r="EI342" s="838"/>
      <c r="EJ342" s="838"/>
      <c r="EK342" s="838"/>
      <c r="EL342" s="838"/>
      <c r="EM342" s="838"/>
      <c r="EN342" s="838"/>
      <c r="EO342" s="838"/>
      <c r="EP342" s="838"/>
      <c r="EQ342" s="838"/>
      <c r="ER342" s="838"/>
      <c r="ES342" s="838"/>
      <c r="ET342" s="838"/>
      <c r="EU342" s="838"/>
      <c r="EV342" s="838"/>
      <c r="EW342" s="838"/>
      <c r="EX342" s="838"/>
      <c r="EY342" s="838"/>
      <c r="EZ342" s="838"/>
      <c r="FA342" s="838"/>
      <c r="FB342" s="838"/>
      <c r="FC342" s="838"/>
      <c r="FD342" s="838"/>
      <c r="FE342" s="838"/>
      <c r="FF342" s="838"/>
      <c r="FG342" s="838"/>
      <c r="FH342" s="838"/>
      <c r="FI342" s="838"/>
      <c r="FJ342" s="838"/>
      <c r="FK342" s="838"/>
      <c r="FL342" s="838"/>
      <c r="FM342" s="838"/>
      <c r="FN342" s="838"/>
      <c r="FO342" s="838"/>
      <c r="FP342" s="838"/>
      <c r="GM342" s="838"/>
      <c r="GN342" s="838"/>
      <c r="GO342" s="838"/>
      <c r="GP342" s="838"/>
      <c r="GQ342" s="838"/>
      <c r="GR342" s="838"/>
      <c r="GS342" s="838"/>
      <c r="HF342" s="700">
        <v>80</v>
      </c>
      <c r="HH342" s="591">
        <v>80</v>
      </c>
    </row>
    <row r="343" spans="37:216" ht="26.25" x14ac:dyDescent="0.4">
      <c r="AK343" s="838"/>
      <c r="AL343" s="838"/>
      <c r="AM343" s="838"/>
      <c r="AN343" s="838"/>
      <c r="AO343" s="838"/>
      <c r="AP343" s="838"/>
      <c r="AQ343" s="838"/>
      <c r="AR343" s="838"/>
      <c r="AS343" s="838"/>
      <c r="AT343" s="838"/>
      <c r="AU343" s="838"/>
      <c r="AV343" s="838"/>
      <c r="AW343" s="838"/>
      <c r="AX343" s="838"/>
      <c r="AY343" s="838"/>
      <c r="AZ343" s="838"/>
      <c r="BA343" s="838"/>
      <c r="BB343" s="838"/>
      <c r="BC343" s="838"/>
      <c r="BD343" s="838"/>
      <c r="BE343" s="838"/>
      <c r="BF343" s="838"/>
      <c r="BG343" s="838"/>
      <c r="BH343" s="838"/>
      <c r="BI343" s="838"/>
      <c r="BJ343" s="838"/>
      <c r="BK343" s="838"/>
      <c r="BL343" s="838"/>
      <c r="BM343" s="838"/>
      <c r="BO343" s="869" t="s">
        <v>533</v>
      </c>
      <c r="BQ343" s="870">
        <f>+$BE$337+$CF$337*2</f>
        <v>0</v>
      </c>
      <c r="BS343" s="869"/>
      <c r="BT343" s="870">
        <f>+$BE$340+$CF$340*2</f>
        <v>0</v>
      </c>
      <c r="BV343" s="838"/>
      <c r="BW343" s="838"/>
      <c r="BX343" s="838"/>
      <c r="BY343" s="838"/>
      <c r="BZ343" s="838"/>
      <c r="CA343" s="838"/>
      <c r="CB343" s="838"/>
      <c r="CC343" s="838"/>
      <c r="CD343" s="838"/>
      <c r="CE343" s="838"/>
      <c r="CF343" s="838"/>
      <c r="CG343" s="838"/>
      <c r="CH343" s="838"/>
      <c r="CI343" s="838"/>
      <c r="CJ343" s="838"/>
      <c r="CK343" s="838"/>
      <c r="CL343" s="838"/>
      <c r="CM343" s="838"/>
      <c r="CN343" s="838"/>
      <c r="CO343" s="838"/>
      <c r="CP343" s="852"/>
      <c r="CQ343" s="838"/>
      <c r="CR343" s="838"/>
      <c r="CS343" s="838"/>
      <c r="CT343" s="858"/>
      <c r="CU343" s="838"/>
      <c r="CV343" s="858"/>
      <c r="CW343" s="838"/>
      <c r="CX343" s="858"/>
      <c r="CY343" s="838"/>
      <c r="CZ343" s="858"/>
      <c r="DA343" s="838"/>
      <c r="DB343" s="858"/>
      <c r="DC343" s="838"/>
      <c r="DD343" s="858"/>
      <c r="DE343" s="858"/>
      <c r="DF343" s="858"/>
      <c r="DG343" s="858"/>
      <c r="DH343" s="858"/>
      <c r="DI343" s="838"/>
      <c r="DJ343" s="858"/>
      <c r="DK343" s="858"/>
      <c r="DL343" s="858"/>
      <c r="DM343" s="838"/>
      <c r="DN343" s="838"/>
      <c r="DQ343" s="872"/>
      <c r="DW343" s="837"/>
      <c r="DX343" s="837"/>
      <c r="DY343" s="837"/>
      <c r="DZ343" s="837"/>
      <c r="EA343" s="838"/>
      <c r="EB343" s="838"/>
      <c r="EC343" s="838"/>
      <c r="ED343" s="838"/>
      <c r="EE343" s="838"/>
      <c r="EF343" s="838"/>
      <c r="EG343" s="838"/>
      <c r="EH343" s="838"/>
      <c r="EI343" s="838"/>
      <c r="EJ343" s="838"/>
      <c r="EK343" s="838"/>
      <c r="EL343" s="838"/>
      <c r="EM343" s="838"/>
      <c r="EN343" s="838"/>
      <c r="EO343" s="838"/>
      <c r="EP343" s="838"/>
      <c r="EQ343" s="838"/>
      <c r="ER343" s="838"/>
      <c r="ES343" s="838"/>
      <c r="ET343" s="838"/>
      <c r="EU343" s="838"/>
      <c r="EV343" s="838"/>
      <c r="HF343" s="700">
        <v>80.5</v>
      </c>
      <c r="HH343" s="591">
        <v>80.5</v>
      </c>
    </row>
    <row r="344" spans="37:216" ht="26.25" x14ac:dyDescent="0.4">
      <c r="AK344" s="838"/>
      <c r="AL344" s="838"/>
      <c r="AM344" s="838"/>
      <c r="AN344" s="838"/>
      <c r="AO344" s="838"/>
      <c r="AP344" s="838"/>
      <c r="AQ344" s="838"/>
      <c r="AR344" s="838"/>
      <c r="AS344" s="838"/>
      <c r="AT344" s="838"/>
      <c r="AU344" s="838"/>
      <c r="AV344" s="838"/>
      <c r="AW344" s="838"/>
      <c r="AX344" s="838"/>
      <c r="AY344" s="838"/>
      <c r="AZ344" s="838"/>
      <c r="BA344" s="838"/>
      <c r="BB344" s="838"/>
      <c r="BC344" s="838"/>
      <c r="BD344" s="838"/>
      <c r="BE344" s="838"/>
      <c r="BF344" s="838"/>
      <c r="BG344" s="838"/>
      <c r="BH344" s="838"/>
      <c r="BI344" s="838"/>
      <c r="BJ344" s="838"/>
      <c r="BK344" s="838"/>
      <c r="BL344" s="838"/>
      <c r="BM344" s="838"/>
      <c r="BO344" s="869" t="s">
        <v>535</v>
      </c>
      <c r="BQ344" s="870">
        <f>+$BF$337</f>
        <v>0</v>
      </c>
      <c r="BS344" s="869"/>
      <c r="BT344" s="870">
        <f>+$BF$340</f>
        <v>0</v>
      </c>
      <c r="DM344" s="838"/>
      <c r="DN344" s="838"/>
      <c r="DQ344" s="852"/>
      <c r="EA344" s="838"/>
      <c r="EB344" s="838"/>
      <c r="EC344" s="838"/>
      <c r="ED344" s="838"/>
      <c r="EE344" s="838"/>
      <c r="EF344" s="838"/>
      <c r="EG344" s="838"/>
      <c r="EH344" s="838"/>
      <c r="EI344" s="838"/>
      <c r="EJ344" s="838"/>
      <c r="EK344" s="838"/>
      <c r="EL344" s="838"/>
      <c r="EM344" s="838"/>
      <c r="EN344" s="838"/>
      <c r="EO344" s="838"/>
      <c r="EP344" s="838"/>
      <c r="EQ344" s="838"/>
      <c r="ER344" s="838"/>
      <c r="ES344" s="838"/>
      <c r="ET344" s="838"/>
      <c r="EU344" s="838"/>
      <c r="EV344" s="838"/>
      <c r="FP344" s="837"/>
      <c r="HF344" s="700">
        <v>81</v>
      </c>
      <c r="HH344" s="591">
        <v>81</v>
      </c>
    </row>
    <row r="345" spans="37:216" ht="26.25" x14ac:dyDescent="0.4">
      <c r="AK345" s="838"/>
      <c r="AL345" s="838"/>
      <c r="AM345" s="838"/>
      <c r="AN345" s="838"/>
      <c r="AO345" s="838"/>
      <c r="AP345" s="838"/>
      <c r="AQ345" s="838"/>
      <c r="AR345" s="838"/>
      <c r="AS345" s="838"/>
      <c r="AT345" s="838"/>
      <c r="AU345" s="838"/>
      <c r="AV345" s="838"/>
      <c r="AW345" s="838"/>
      <c r="AX345" s="838"/>
      <c r="AY345" s="838"/>
      <c r="AZ345" s="838"/>
      <c r="BA345" s="838"/>
      <c r="BB345" s="838"/>
      <c r="BC345" s="838"/>
      <c r="BD345" s="838"/>
      <c r="BE345" s="838"/>
      <c r="BF345" s="838"/>
      <c r="BG345" s="838"/>
      <c r="BH345" s="838"/>
      <c r="BI345" s="838"/>
      <c r="BJ345" s="838"/>
      <c r="BK345" s="838"/>
      <c r="BL345" s="838"/>
      <c r="BM345" s="838"/>
      <c r="BO345" s="869" t="s">
        <v>537</v>
      </c>
      <c r="BQ345" s="870">
        <f>+$BG$337</f>
        <v>0</v>
      </c>
      <c r="BS345" s="869"/>
      <c r="BT345" s="870">
        <f>+$BG$340</f>
        <v>0</v>
      </c>
      <c r="BV345" s="838"/>
      <c r="BW345" s="838"/>
      <c r="BX345" s="838"/>
      <c r="BY345" s="838"/>
      <c r="BZ345" s="838"/>
      <c r="CA345" s="838"/>
      <c r="CB345" s="838"/>
      <c r="CC345" s="838"/>
      <c r="CD345" s="838"/>
      <c r="CE345" s="838"/>
      <c r="CF345" s="838"/>
      <c r="CG345" s="838"/>
      <c r="CH345" s="838"/>
      <c r="CI345" s="838"/>
      <c r="CJ345" s="838"/>
      <c r="CK345" s="838"/>
      <c r="CL345" s="838"/>
      <c r="CM345" s="838"/>
      <c r="CN345" s="838"/>
      <c r="CO345" s="838"/>
      <c r="CP345" s="852"/>
      <c r="CQ345" s="838"/>
      <c r="CR345" s="838"/>
      <c r="CS345" s="838"/>
      <c r="CT345" s="858"/>
      <c r="CU345" s="838"/>
      <c r="CV345" s="858"/>
      <c r="CW345" s="838"/>
      <c r="CX345" s="858"/>
      <c r="CY345" s="838"/>
      <c r="CZ345" s="858"/>
      <c r="DA345" s="838"/>
      <c r="DB345" s="858"/>
      <c r="DC345" s="838"/>
      <c r="DD345" s="858"/>
      <c r="DE345" s="858"/>
      <c r="DF345" s="858"/>
      <c r="DG345" s="858"/>
      <c r="DH345" s="858"/>
      <c r="DI345" s="838"/>
      <c r="DJ345" s="858"/>
      <c r="DK345" s="858"/>
      <c r="DL345" s="858"/>
      <c r="DM345" s="838"/>
      <c r="DN345" s="838"/>
      <c r="DQ345" s="852"/>
      <c r="FP345" s="837"/>
      <c r="HF345" s="700">
        <v>81.5</v>
      </c>
      <c r="HH345" s="591">
        <v>81.5</v>
      </c>
    </row>
    <row r="346" spans="37:216" ht="26.25" x14ac:dyDescent="0.4">
      <c r="AK346" s="838"/>
      <c r="AL346" s="838"/>
      <c r="AM346" s="838"/>
      <c r="AN346" s="838"/>
      <c r="AO346" s="838"/>
      <c r="AP346" s="838"/>
      <c r="AQ346" s="838"/>
      <c r="AR346" s="838"/>
      <c r="AS346" s="838"/>
      <c r="AT346" s="838"/>
      <c r="AU346" s="838"/>
      <c r="AV346" s="838"/>
      <c r="AW346" s="838"/>
      <c r="AX346" s="838"/>
      <c r="AY346" s="838"/>
      <c r="AZ346" s="838"/>
      <c r="BA346" s="838"/>
      <c r="BB346" s="838"/>
      <c r="BC346" s="838"/>
      <c r="BD346" s="838"/>
      <c r="BE346" s="838"/>
      <c r="BF346" s="838"/>
      <c r="BG346" s="838"/>
      <c r="BH346" s="838"/>
      <c r="BI346" s="838"/>
      <c r="BJ346" s="838"/>
      <c r="BK346" s="838"/>
      <c r="BL346" s="838"/>
      <c r="BM346" s="838"/>
      <c r="BO346" s="869" t="s">
        <v>539</v>
      </c>
      <c r="BQ346" s="870">
        <f>+$BH$337+$CJ$337*2</f>
        <v>0</v>
      </c>
      <c r="BS346" s="869"/>
      <c r="BT346" s="870">
        <f>+$BH$340+$CJ$340*2</f>
        <v>0</v>
      </c>
      <c r="BV346" s="838"/>
      <c r="BW346" s="838"/>
      <c r="BX346" s="838"/>
      <c r="BY346" s="838"/>
      <c r="BZ346" s="838"/>
      <c r="CA346" s="838"/>
      <c r="CB346" s="838"/>
      <c r="CC346" s="838"/>
      <c r="CD346" s="838"/>
      <c r="CE346" s="838"/>
      <c r="CF346" s="838"/>
      <c r="CG346" s="838"/>
      <c r="CH346" s="838"/>
      <c r="CI346" s="838"/>
      <c r="CJ346" s="838"/>
      <c r="CK346" s="838"/>
      <c r="CL346" s="838"/>
      <c r="CM346" s="838"/>
      <c r="CN346" s="838"/>
      <c r="CO346" s="838"/>
      <c r="CP346" s="852"/>
      <c r="CQ346" s="838"/>
      <c r="CR346" s="838"/>
      <c r="CS346" s="838"/>
      <c r="CT346" s="858"/>
      <c r="CU346" s="838"/>
      <c r="CV346" s="858"/>
      <c r="CW346" s="838"/>
      <c r="CX346" s="858"/>
      <c r="CY346" s="838"/>
      <c r="CZ346" s="858"/>
      <c r="DA346" s="838"/>
      <c r="DB346" s="858"/>
      <c r="DC346" s="838"/>
      <c r="DD346" s="858"/>
      <c r="DE346" s="858"/>
      <c r="DF346" s="858"/>
      <c r="DG346" s="858"/>
      <c r="DH346" s="858"/>
      <c r="DI346" s="838"/>
      <c r="DJ346" s="858"/>
      <c r="DK346" s="858"/>
      <c r="DL346" s="858"/>
      <c r="DM346" s="838"/>
      <c r="DN346" s="838"/>
      <c r="DQ346" s="852"/>
      <c r="HF346" s="700">
        <v>82</v>
      </c>
      <c r="HH346" s="591">
        <v>82</v>
      </c>
    </row>
    <row r="347" spans="37:216" ht="26.25" x14ac:dyDescent="0.4">
      <c r="AK347" s="838"/>
      <c r="AL347" s="838"/>
      <c r="AM347" s="838"/>
      <c r="AN347" s="838"/>
      <c r="AO347" s="838"/>
      <c r="AP347" s="838"/>
      <c r="AQ347" s="838"/>
      <c r="AR347" s="838"/>
      <c r="AS347" s="838"/>
      <c r="AT347" s="838"/>
      <c r="AU347" s="838"/>
      <c r="AV347" s="838"/>
      <c r="AW347" s="838"/>
      <c r="AX347" s="838"/>
      <c r="AY347" s="838"/>
      <c r="AZ347" s="838"/>
      <c r="BA347" s="838"/>
      <c r="BB347" s="838"/>
      <c r="BC347" s="838"/>
      <c r="BD347" s="838"/>
      <c r="BE347" s="838"/>
      <c r="BF347" s="838"/>
      <c r="BG347" s="838"/>
      <c r="BH347" s="838"/>
      <c r="BI347" s="838"/>
      <c r="BJ347" s="838"/>
      <c r="BK347" s="838"/>
      <c r="BL347" s="838"/>
      <c r="BM347" s="838"/>
      <c r="BO347" s="869" t="s">
        <v>540</v>
      </c>
      <c r="BQ347" s="870">
        <f>+$BI$337</f>
        <v>0</v>
      </c>
      <c r="BS347" s="869"/>
      <c r="BT347" s="870">
        <f>+$BI$340</f>
        <v>0</v>
      </c>
      <c r="BV347" s="838"/>
      <c r="BW347" s="838"/>
      <c r="BX347" s="838"/>
      <c r="BY347" s="838"/>
      <c r="BZ347" s="838"/>
      <c r="CA347" s="838"/>
      <c r="CB347" s="838"/>
      <c r="CC347" s="838"/>
      <c r="CD347" s="838"/>
      <c r="CE347" s="838"/>
      <c r="CF347" s="838"/>
      <c r="CG347" s="838"/>
      <c r="CH347" s="838"/>
      <c r="CI347" s="838"/>
      <c r="CJ347" s="838"/>
      <c r="CK347" s="838"/>
      <c r="CL347" s="838"/>
      <c r="CM347" s="838"/>
      <c r="CN347" s="838"/>
      <c r="CO347" s="838"/>
      <c r="CP347" s="852"/>
      <c r="CQ347" s="838"/>
      <c r="CR347" s="838"/>
      <c r="CS347" s="838"/>
      <c r="CT347" s="858"/>
      <c r="CU347" s="838"/>
      <c r="CV347" s="858"/>
      <c r="CW347" s="838"/>
      <c r="CX347" s="858"/>
      <c r="CY347" s="838"/>
      <c r="CZ347" s="858"/>
      <c r="DA347" s="838"/>
      <c r="DB347" s="858"/>
      <c r="DC347" s="838"/>
      <c r="DD347" s="858"/>
      <c r="DE347" s="858"/>
      <c r="DF347" s="858"/>
      <c r="DG347" s="858"/>
      <c r="DH347" s="858"/>
      <c r="DI347" s="838"/>
      <c r="DJ347" s="858"/>
      <c r="DK347" s="858"/>
      <c r="DL347" s="858"/>
      <c r="DM347" s="838"/>
      <c r="DN347" s="838"/>
      <c r="HF347" s="700">
        <v>82.5</v>
      </c>
      <c r="HH347" s="591">
        <v>82.5</v>
      </c>
    </row>
    <row r="348" spans="37:216" ht="26.25" x14ac:dyDescent="0.4">
      <c r="AK348" s="838"/>
      <c r="AL348" s="838"/>
      <c r="AM348" s="838"/>
      <c r="AN348" s="838"/>
      <c r="AO348" s="838"/>
      <c r="AP348" s="838"/>
      <c r="AQ348" s="838"/>
      <c r="AR348" s="838"/>
      <c r="AS348" s="838"/>
      <c r="AT348" s="838"/>
      <c r="AU348" s="838"/>
      <c r="AV348" s="838"/>
      <c r="AW348" s="838"/>
      <c r="AX348" s="838"/>
      <c r="AY348" s="838"/>
      <c r="AZ348" s="838"/>
      <c r="BA348" s="838"/>
      <c r="BB348" s="838"/>
      <c r="BC348" s="838"/>
      <c r="BD348" s="838"/>
      <c r="BE348" s="838"/>
      <c r="BF348" s="838"/>
      <c r="BG348" s="838"/>
      <c r="BH348" s="838"/>
      <c r="BI348" s="838"/>
      <c r="BJ348" s="838"/>
      <c r="BK348" s="838"/>
      <c r="BL348" s="838"/>
      <c r="BM348" s="838"/>
      <c r="BO348" s="869" t="s">
        <v>541</v>
      </c>
      <c r="BQ348" s="870">
        <f>+$BJ$337</f>
        <v>0</v>
      </c>
      <c r="BS348" s="869"/>
      <c r="BT348" s="870">
        <f>+$BJ$340</f>
        <v>0</v>
      </c>
      <c r="BV348" s="838"/>
      <c r="BW348" s="838"/>
      <c r="BX348" s="838"/>
      <c r="BY348" s="838"/>
      <c r="BZ348" s="838"/>
      <c r="CA348" s="838"/>
      <c r="CB348" s="838"/>
      <c r="CC348" s="838"/>
      <c r="CD348" s="838"/>
      <c r="CE348" s="838"/>
      <c r="CF348" s="838"/>
      <c r="CG348" s="838"/>
      <c r="CH348" s="838"/>
      <c r="CI348" s="838"/>
      <c r="CJ348" s="838"/>
      <c r="CK348" s="838"/>
      <c r="CL348" s="838"/>
      <c r="CM348" s="838"/>
      <c r="CN348" s="838"/>
      <c r="CO348" s="838"/>
      <c r="CP348" s="852"/>
      <c r="CQ348" s="838"/>
      <c r="CR348" s="838"/>
      <c r="CS348" s="838"/>
      <c r="CT348" s="858"/>
      <c r="CU348" s="838"/>
      <c r="CV348" s="858"/>
      <c r="CW348" s="838"/>
      <c r="CX348" s="858"/>
      <c r="CY348" s="838"/>
      <c r="CZ348" s="858"/>
      <c r="DA348" s="838"/>
      <c r="DB348" s="858"/>
      <c r="DC348" s="838"/>
      <c r="DD348" s="858"/>
      <c r="DE348" s="858"/>
      <c r="DF348" s="858"/>
      <c r="DG348" s="858"/>
      <c r="DH348" s="858"/>
      <c r="DI348" s="838"/>
      <c r="DJ348" s="858"/>
      <c r="DK348" s="858"/>
      <c r="DL348" s="858"/>
      <c r="DM348" s="838"/>
      <c r="DN348" s="838"/>
      <c r="HF348" s="700">
        <v>83</v>
      </c>
      <c r="HH348" s="591">
        <v>83</v>
      </c>
    </row>
    <row r="349" spans="37:216" ht="26.25" x14ac:dyDescent="0.4">
      <c r="AK349" s="838"/>
      <c r="AL349" s="838"/>
      <c r="AM349" s="838"/>
      <c r="AN349" s="838"/>
      <c r="AO349" s="838"/>
      <c r="AP349" s="838"/>
      <c r="AQ349" s="838"/>
      <c r="AR349" s="838"/>
      <c r="AS349" s="838"/>
      <c r="AT349" s="838"/>
      <c r="AU349" s="838"/>
      <c r="AV349" s="838"/>
      <c r="AW349" s="838"/>
      <c r="AX349" s="838"/>
      <c r="AY349" s="838"/>
      <c r="AZ349" s="838"/>
      <c r="BA349" s="838"/>
      <c r="BB349" s="838"/>
      <c r="BC349" s="838"/>
      <c r="BD349" s="838"/>
      <c r="BE349" s="838"/>
      <c r="BF349" s="838"/>
      <c r="BG349" s="838"/>
      <c r="BH349" s="838"/>
      <c r="BI349" s="838"/>
      <c r="BJ349" s="838"/>
      <c r="BK349" s="838"/>
      <c r="BL349" s="838"/>
      <c r="BM349" s="838"/>
      <c r="BO349" s="869" t="s">
        <v>542</v>
      </c>
      <c r="BQ349" s="870">
        <f>+$BK$337</f>
        <v>0</v>
      </c>
      <c r="BS349" s="869"/>
      <c r="BT349" s="870">
        <f>+$BK$340</f>
        <v>0</v>
      </c>
      <c r="BV349" s="838"/>
      <c r="BW349" s="838"/>
      <c r="BX349" s="838"/>
      <c r="BY349" s="838"/>
      <c r="BZ349" s="838"/>
      <c r="CA349" s="838"/>
      <c r="CB349" s="838"/>
      <c r="CC349" s="838"/>
      <c r="CD349" s="838"/>
      <c r="CE349" s="838"/>
      <c r="CF349" s="838"/>
      <c r="CG349" s="838"/>
      <c r="CH349" s="838"/>
      <c r="CI349" s="838"/>
      <c r="CJ349" s="838"/>
      <c r="CK349" s="838"/>
      <c r="CL349" s="838"/>
      <c r="CM349" s="838"/>
      <c r="CN349" s="838"/>
      <c r="CO349" s="838"/>
      <c r="CP349" s="852"/>
      <c r="CQ349" s="838"/>
      <c r="CR349" s="838"/>
      <c r="CS349" s="838"/>
      <c r="CT349" s="858"/>
      <c r="CU349" s="838"/>
      <c r="CV349" s="858"/>
      <c r="CW349" s="838"/>
      <c r="CX349" s="858"/>
      <c r="CY349" s="838"/>
      <c r="CZ349" s="858"/>
      <c r="DA349" s="838"/>
      <c r="DB349" s="858"/>
      <c r="DC349" s="838"/>
      <c r="DD349" s="858"/>
      <c r="DE349" s="858"/>
      <c r="DF349" s="858"/>
      <c r="DG349" s="858"/>
      <c r="DH349" s="858"/>
      <c r="DI349" s="838"/>
      <c r="DJ349" s="858"/>
      <c r="DK349" s="858"/>
      <c r="DL349" s="858"/>
      <c r="DM349" s="838"/>
      <c r="DN349" s="838"/>
      <c r="HF349" s="700">
        <v>83.5</v>
      </c>
      <c r="HH349" s="591">
        <v>83.5</v>
      </c>
    </row>
    <row r="350" spans="37:216" ht="26.25" x14ac:dyDescent="0.4">
      <c r="AK350" s="838"/>
      <c r="AL350" s="838"/>
      <c r="AM350" s="838"/>
      <c r="AN350" s="838"/>
      <c r="AO350" s="838"/>
      <c r="AP350" s="838"/>
      <c r="AQ350" s="838"/>
      <c r="AR350" s="838"/>
      <c r="AS350" s="838"/>
      <c r="AT350" s="838"/>
      <c r="AU350" s="838"/>
      <c r="AV350" s="838"/>
      <c r="AW350" s="838"/>
      <c r="AX350" s="838"/>
      <c r="AY350" s="838"/>
      <c r="AZ350" s="838"/>
      <c r="BA350" s="838"/>
      <c r="BB350" s="838"/>
      <c r="BC350" s="838"/>
      <c r="BD350" s="838"/>
      <c r="BE350" s="838"/>
      <c r="BF350" s="838"/>
      <c r="BG350" s="838"/>
      <c r="BH350" s="838"/>
      <c r="BI350" s="838"/>
      <c r="BJ350" s="838"/>
      <c r="BK350" s="838"/>
      <c r="BL350" s="838"/>
      <c r="BM350" s="838"/>
      <c r="BO350" s="869" t="s">
        <v>543</v>
      </c>
      <c r="BQ350" s="870">
        <f>($AP$337+$AQ$337)/4+($AX$337+$AY$337)/3+($BL$337+$BM$337)/2+($CK$337+$CL$337)*2</f>
        <v>0</v>
      </c>
      <c r="BS350" s="869"/>
      <c r="BT350" s="870">
        <f>($AP$340+$AQ$340)/4+($AX$340+$AY$340)/3+($BL$340+$BM$340)/2+($CK$340+$CL$340)*2</f>
        <v>0</v>
      </c>
      <c r="BV350" s="838"/>
      <c r="BW350" s="838"/>
      <c r="BX350" s="838"/>
      <c r="BY350" s="838"/>
      <c r="BZ350" s="838"/>
      <c r="CA350" s="838"/>
      <c r="CB350" s="838"/>
      <c r="CC350" s="838"/>
      <c r="CD350" s="838"/>
      <c r="CE350" s="838"/>
      <c r="CF350" s="838"/>
      <c r="CG350" s="838"/>
      <c r="CH350" s="838"/>
      <c r="CI350" s="838"/>
      <c r="CJ350" s="838"/>
      <c r="CK350" s="838"/>
      <c r="CL350" s="838"/>
      <c r="CM350" s="838"/>
      <c r="CN350" s="838"/>
      <c r="CO350" s="838"/>
      <c r="CP350" s="852"/>
      <c r="CQ350" s="838"/>
      <c r="CR350" s="838"/>
      <c r="CS350" s="838"/>
      <c r="CT350" s="858"/>
      <c r="CU350" s="838"/>
      <c r="CV350" s="858"/>
      <c r="CW350" s="838"/>
      <c r="CX350" s="858"/>
      <c r="CY350" s="838"/>
      <c r="CZ350" s="858"/>
      <c r="DA350" s="838"/>
      <c r="DB350" s="858"/>
      <c r="DC350" s="838"/>
      <c r="DD350" s="858"/>
      <c r="DE350" s="858"/>
      <c r="DF350" s="858"/>
      <c r="DG350" s="858"/>
      <c r="DH350" s="858"/>
      <c r="DI350" s="838"/>
      <c r="DJ350" s="858"/>
      <c r="DK350" s="858"/>
      <c r="DL350" s="858"/>
      <c r="DM350" s="838"/>
      <c r="DN350" s="838"/>
      <c r="HF350" s="700">
        <v>84</v>
      </c>
      <c r="HH350" s="591">
        <v>84</v>
      </c>
    </row>
    <row r="351" spans="37:216" ht="26.25" x14ac:dyDescent="0.4">
      <c r="AK351" s="838"/>
      <c r="AL351" s="838"/>
      <c r="AM351" s="838"/>
      <c r="AN351" s="838"/>
      <c r="AO351" s="838"/>
      <c r="AP351" s="838"/>
      <c r="AQ351" s="838"/>
      <c r="AR351" s="838"/>
      <c r="AS351" s="838"/>
      <c r="AT351" s="838"/>
      <c r="AU351" s="838"/>
      <c r="AV351" s="838"/>
      <c r="AW351" s="838"/>
      <c r="AX351" s="838"/>
      <c r="AY351" s="838"/>
      <c r="AZ351" s="838"/>
      <c r="BA351" s="838"/>
      <c r="BB351" s="838"/>
      <c r="BC351" s="838"/>
      <c r="BD351" s="838"/>
      <c r="BE351" s="838"/>
      <c r="BF351" s="838"/>
      <c r="BG351" s="838"/>
      <c r="BH351" s="838"/>
      <c r="BI351" s="838"/>
      <c r="BJ351" s="838"/>
      <c r="BK351" s="838"/>
      <c r="BL351" s="838"/>
      <c r="BM351" s="838"/>
      <c r="BO351" s="869" t="s">
        <v>544</v>
      </c>
      <c r="BQ351" s="870">
        <f>+$BV$337</f>
        <v>0</v>
      </c>
      <c r="BS351" s="869"/>
      <c r="BT351" s="870">
        <f>+$BV$340</f>
        <v>0</v>
      </c>
      <c r="BV351" s="838"/>
      <c r="BW351" s="838"/>
      <c r="BX351" s="838"/>
      <c r="BY351" s="838"/>
      <c r="BZ351" s="838"/>
      <c r="CA351" s="838"/>
      <c r="CB351" s="838"/>
      <c r="CC351" s="838"/>
      <c r="CD351" s="838"/>
      <c r="CE351" s="838"/>
      <c r="CF351" s="838"/>
      <c r="CG351" s="838"/>
      <c r="CH351" s="838"/>
      <c r="CI351" s="838"/>
      <c r="CJ351" s="838"/>
      <c r="CK351" s="838"/>
      <c r="CL351" s="838"/>
      <c r="CM351" s="838"/>
      <c r="CN351" s="838"/>
      <c r="CO351" s="838"/>
      <c r="CP351" s="852"/>
      <c r="CQ351" s="838"/>
      <c r="CR351" s="838"/>
      <c r="CS351" s="838"/>
      <c r="CT351" s="858"/>
      <c r="CU351" s="838"/>
      <c r="CV351" s="858"/>
      <c r="CW351" s="838"/>
      <c r="CX351" s="858"/>
      <c r="CY351" s="838"/>
      <c r="CZ351" s="858"/>
      <c r="DA351" s="838"/>
      <c r="DB351" s="858"/>
      <c r="DC351" s="838"/>
      <c r="DD351" s="858"/>
      <c r="DE351" s="858"/>
      <c r="DF351" s="858"/>
      <c r="DG351" s="858"/>
      <c r="DH351" s="858"/>
      <c r="DI351" s="838"/>
      <c r="DJ351" s="858"/>
      <c r="DK351" s="858"/>
      <c r="DL351" s="858"/>
      <c r="DM351" s="838"/>
      <c r="DN351" s="838"/>
      <c r="ES351" s="847"/>
      <c r="ET351" s="847"/>
      <c r="EU351" s="847"/>
      <c r="EV351" s="847"/>
      <c r="EW351" s="847"/>
      <c r="EX351" s="847"/>
      <c r="EY351" s="847"/>
      <c r="HF351" s="700">
        <v>84.5</v>
      </c>
      <c r="HH351" s="591">
        <v>84.5</v>
      </c>
    </row>
    <row r="352" spans="37:216" ht="26.25" x14ac:dyDescent="0.4">
      <c r="AK352" s="838"/>
      <c r="AL352" s="838"/>
      <c r="AM352" s="838"/>
      <c r="AN352" s="838"/>
      <c r="AO352" s="838"/>
      <c r="AP352" s="838"/>
      <c r="AQ352" s="838"/>
      <c r="AR352" s="838"/>
      <c r="AS352" s="838"/>
      <c r="AT352" s="838"/>
      <c r="AU352" s="838"/>
      <c r="AV352" s="838"/>
      <c r="AW352" s="838"/>
      <c r="AX352" s="838"/>
      <c r="AY352" s="838"/>
      <c r="AZ352" s="838"/>
      <c r="BA352" s="838"/>
      <c r="BB352" s="838"/>
      <c r="BC352" s="838"/>
      <c r="BD352" s="838"/>
      <c r="BE352" s="838"/>
      <c r="BF352" s="838"/>
      <c r="BG352" s="838"/>
      <c r="BH352" s="838"/>
      <c r="BI352" s="838"/>
      <c r="BJ352" s="838"/>
      <c r="BK352" s="838"/>
      <c r="BL352" s="838"/>
      <c r="BM352" s="838"/>
      <c r="BO352" s="869" t="s">
        <v>546</v>
      </c>
      <c r="BQ352" s="870">
        <f>+$BW$337+$BX$337+$DF$337</f>
        <v>0</v>
      </c>
      <c r="BS352" s="869"/>
      <c r="BT352" s="870">
        <f>+$BW$340+$BX$340+$DF$340</f>
        <v>0</v>
      </c>
      <c r="BV352" s="838"/>
      <c r="BW352" s="838"/>
      <c r="BX352" s="838"/>
      <c r="BY352" s="838"/>
      <c r="BZ352" s="838"/>
      <c r="CA352" s="838"/>
      <c r="CB352" s="838"/>
      <c r="CC352" s="838"/>
      <c r="CD352" s="838"/>
      <c r="CE352" s="838"/>
      <c r="CF352" s="838"/>
      <c r="CG352" s="838"/>
      <c r="CH352" s="838"/>
      <c r="CI352" s="838"/>
      <c r="CJ352" s="838"/>
      <c r="CK352" s="838"/>
      <c r="CL352" s="838"/>
      <c r="CM352" s="838"/>
      <c r="CN352" s="838"/>
      <c r="CO352" s="838"/>
      <c r="CP352" s="852"/>
      <c r="CQ352" s="838"/>
      <c r="CR352" s="838"/>
      <c r="CS352" s="838"/>
      <c r="CT352" s="858"/>
      <c r="CU352" s="838"/>
      <c r="CV352" s="858"/>
      <c r="CW352" s="838"/>
      <c r="CX352" s="858"/>
      <c r="CY352" s="838"/>
      <c r="CZ352" s="858"/>
      <c r="DA352" s="838"/>
      <c r="DB352" s="858"/>
      <c r="DC352" s="838"/>
      <c r="DD352" s="858"/>
      <c r="DE352" s="858"/>
      <c r="DF352" s="858"/>
      <c r="DG352" s="858"/>
      <c r="DH352" s="858"/>
      <c r="DI352" s="838"/>
      <c r="DJ352" s="858"/>
      <c r="DK352" s="858"/>
      <c r="DL352" s="858"/>
      <c r="DM352" s="838"/>
      <c r="DN352" s="838"/>
      <c r="DO352" s="838"/>
      <c r="DP352" s="858"/>
      <c r="DQ352" s="858"/>
      <c r="DR352" s="858"/>
      <c r="DS352" s="858"/>
      <c r="DT352" s="858"/>
      <c r="DU352" s="858"/>
      <c r="DV352" s="858"/>
      <c r="DW352" s="858"/>
      <c r="DX352" s="858"/>
      <c r="DY352" s="858"/>
      <c r="DZ352" s="858"/>
      <c r="EA352" s="858"/>
      <c r="EB352" s="858"/>
      <c r="EC352" s="858"/>
      <c r="ED352" s="858"/>
      <c r="EE352" s="858"/>
      <c r="EF352" s="858"/>
      <c r="EG352" s="858"/>
      <c r="EH352" s="858"/>
      <c r="EI352" s="858"/>
      <c r="EJ352" s="858"/>
      <c r="EK352" s="858"/>
      <c r="EL352" s="858"/>
      <c r="EM352" s="858"/>
      <c r="EN352" s="858"/>
      <c r="EO352" s="858"/>
      <c r="EP352" s="858"/>
      <c r="EQ352" s="858"/>
      <c r="ER352" s="858"/>
      <c r="ES352" s="971"/>
      <c r="ET352" s="971"/>
      <c r="EU352" s="971"/>
      <c r="EV352" s="971"/>
      <c r="EW352" s="971"/>
      <c r="EX352" s="971"/>
      <c r="EY352" s="971"/>
      <c r="EZ352" s="837"/>
      <c r="FA352" s="858"/>
      <c r="FB352" s="858"/>
      <c r="FC352" s="858"/>
      <c r="FD352" s="858"/>
      <c r="FE352" s="858"/>
      <c r="FF352" s="858"/>
      <c r="FG352" s="858"/>
      <c r="FH352" s="858"/>
      <c r="FI352" s="858"/>
      <c r="FJ352" s="858"/>
      <c r="FK352" s="858"/>
      <c r="FL352" s="858"/>
      <c r="FM352" s="858"/>
      <c r="FN352" s="858"/>
      <c r="FO352" s="858"/>
      <c r="FP352" s="838"/>
      <c r="FQ352" s="838"/>
      <c r="FR352" s="838"/>
      <c r="FS352" s="858"/>
      <c r="FT352" s="858"/>
      <c r="FU352" s="858"/>
      <c r="FV352" s="858"/>
      <c r="FW352" s="858"/>
      <c r="FX352" s="858"/>
      <c r="FY352" s="858"/>
      <c r="FZ352" s="858"/>
      <c r="GA352" s="858"/>
      <c r="GB352" s="858"/>
      <c r="GC352" s="858"/>
      <c r="GD352" s="858"/>
      <c r="GE352" s="858"/>
      <c r="GF352" s="858"/>
      <c r="GG352" s="858"/>
      <c r="GH352" s="858"/>
      <c r="GI352" s="858"/>
      <c r="GJ352" s="858"/>
      <c r="GK352" s="858"/>
      <c r="GL352" s="858"/>
      <c r="GM352" s="858"/>
      <c r="GN352" s="858"/>
      <c r="GO352" s="858"/>
      <c r="GP352" s="858"/>
      <c r="GQ352" s="858"/>
      <c r="HF352" s="700">
        <v>85</v>
      </c>
      <c r="HH352" s="591">
        <v>85</v>
      </c>
    </row>
    <row r="353" spans="37:216" ht="26.25" x14ac:dyDescent="0.4">
      <c r="AK353" s="838"/>
      <c r="AL353" s="838"/>
      <c r="AM353" s="838"/>
      <c r="AN353" s="838"/>
      <c r="AO353" s="838"/>
      <c r="AP353" s="838"/>
      <c r="AQ353" s="838"/>
      <c r="AR353" s="838"/>
      <c r="AS353" s="838"/>
      <c r="AT353" s="838"/>
      <c r="AU353" s="838"/>
      <c r="AV353" s="838"/>
      <c r="AW353" s="838"/>
      <c r="AX353" s="838"/>
      <c r="AY353" s="838"/>
      <c r="AZ353" s="838"/>
      <c r="BA353" s="838"/>
      <c r="BB353" s="838"/>
      <c r="BC353" s="838"/>
      <c r="BD353" s="838"/>
      <c r="BE353" s="838"/>
      <c r="BF353" s="838"/>
      <c r="BG353" s="838"/>
      <c r="BH353" s="838"/>
      <c r="BI353" s="838"/>
      <c r="BJ353" s="838"/>
      <c r="BK353" s="838"/>
      <c r="BL353" s="838"/>
      <c r="BM353" s="838"/>
      <c r="BO353" s="869" t="s">
        <v>548</v>
      </c>
      <c r="BQ353" s="870">
        <f>+$BY$337</f>
        <v>0</v>
      </c>
      <c r="BS353" s="869"/>
      <c r="BT353" s="870">
        <f>+$BY$340</f>
        <v>0</v>
      </c>
      <c r="BV353" s="838"/>
      <c r="BW353" s="838"/>
      <c r="BX353" s="838"/>
      <c r="BY353" s="838"/>
      <c r="BZ353" s="838"/>
      <c r="CA353" s="838"/>
      <c r="CB353" s="838"/>
      <c r="CC353" s="838"/>
      <c r="CD353" s="838"/>
      <c r="CE353" s="838"/>
      <c r="CF353" s="838"/>
      <c r="CG353" s="838"/>
      <c r="CH353" s="838"/>
      <c r="CI353" s="838"/>
      <c r="CJ353" s="838"/>
      <c r="CK353" s="838"/>
      <c r="CL353" s="838"/>
      <c r="CM353" s="838"/>
      <c r="CN353" s="838"/>
      <c r="CO353" s="838"/>
      <c r="CP353" s="852"/>
      <c r="CQ353" s="838"/>
      <c r="CR353" s="838"/>
      <c r="CS353" s="838"/>
      <c r="CT353" s="858"/>
      <c r="CU353" s="838"/>
      <c r="CV353" s="858"/>
      <c r="CW353" s="838"/>
      <c r="CX353" s="858"/>
      <c r="CY353" s="838"/>
      <c r="CZ353" s="858"/>
      <c r="DA353" s="838"/>
      <c r="DB353" s="858"/>
      <c r="DC353" s="838"/>
      <c r="DD353" s="858"/>
      <c r="DE353" s="858"/>
      <c r="DF353" s="858"/>
      <c r="DG353" s="858"/>
      <c r="DH353" s="858"/>
      <c r="DI353" s="838"/>
      <c r="DJ353" s="858"/>
      <c r="DK353" s="858"/>
      <c r="DL353" s="858"/>
      <c r="DM353" s="838"/>
      <c r="DN353" s="838"/>
      <c r="DO353" s="838"/>
      <c r="DP353" s="858"/>
      <c r="DQ353" s="858"/>
      <c r="DR353" s="858"/>
      <c r="DS353" s="858"/>
      <c r="DT353" s="858"/>
      <c r="DU353" s="858"/>
      <c r="DV353" s="858"/>
      <c r="DW353" s="838"/>
      <c r="DX353" s="858"/>
      <c r="DY353" s="858"/>
      <c r="DZ353" s="858"/>
      <c r="EA353" s="858"/>
      <c r="EB353" s="858"/>
      <c r="EC353" s="858"/>
      <c r="ED353" s="858"/>
      <c r="EE353" s="858"/>
      <c r="EF353" s="858"/>
      <c r="EG353" s="858"/>
      <c r="EH353" s="858"/>
      <c r="EI353" s="858"/>
      <c r="EJ353" s="858"/>
      <c r="EK353" s="858"/>
      <c r="EL353" s="858"/>
      <c r="EM353" s="858"/>
      <c r="EN353" s="858"/>
      <c r="EO353" s="858"/>
      <c r="EP353" s="858"/>
      <c r="EQ353" s="858"/>
      <c r="ER353" s="858"/>
      <c r="ES353" s="847"/>
      <c r="ET353" s="971"/>
      <c r="EU353" s="971"/>
      <c r="EV353" s="971"/>
      <c r="EW353" s="865"/>
      <c r="EX353" s="971"/>
      <c r="EY353" s="971"/>
      <c r="FA353" s="858"/>
      <c r="FB353" s="858"/>
      <c r="FC353" s="858"/>
      <c r="FD353" s="858"/>
      <c r="FE353" s="858"/>
      <c r="FF353" s="858"/>
      <c r="FG353" s="858"/>
      <c r="FH353" s="858"/>
      <c r="FI353" s="858"/>
      <c r="FJ353" s="838"/>
      <c r="FK353" s="858"/>
      <c r="FL353" s="858"/>
      <c r="FM353" s="858"/>
      <c r="FN353" s="858"/>
      <c r="FO353" s="858"/>
      <c r="FP353" s="838"/>
      <c r="FQ353" s="838"/>
      <c r="FR353" s="838"/>
      <c r="FS353" s="853"/>
      <c r="FT353" s="853"/>
      <c r="FU353" s="853"/>
      <c r="FV353" s="1097"/>
      <c r="FW353" s="853"/>
      <c r="FX353" s="853"/>
      <c r="FY353" s="853"/>
      <c r="FZ353" s="838"/>
      <c r="GA353" s="838"/>
      <c r="GB353" s="838"/>
      <c r="GC353" s="838"/>
      <c r="GD353" s="838"/>
      <c r="GE353" s="838"/>
      <c r="GF353" s="838"/>
      <c r="GG353" s="838"/>
      <c r="GH353" s="838"/>
      <c r="GI353" s="838"/>
      <c r="GJ353" s="838"/>
      <c r="GK353" s="838"/>
      <c r="GL353" s="838"/>
      <c r="GM353" s="838"/>
      <c r="GN353" s="838"/>
      <c r="GO353" s="838"/>
      <c r="GP353" s="838"/>
      <c r="GQ353" s="838"/>
      <c r="HF353" s="700">
        <v>85.5</v>
      </c>
      <c r="HH353" s="591">
        <v>85.5</v>
      </c>
    </row>
    <row r="354" spans="37:216" ht="26.25" x14ac:dyDescent="0.4">
      <c r="AK354" s="838"/>
      <c r="AL354" s="838"/>
      <c r="AM354" s="838"/>
      <c r="AN354" s="838"/>
      <c r="AO354" s="838"/>
      <c r="AP354" s="838"/>
      <c r="AQ354" s="838"/>
      <c r="AR354" s="838"/>
      <c r="AS354" s="838"/>
      <c r="AT354" s="838"/>
      <c r="AU354" s="838"/>
      <c r="AV354" s="838"/>
      <c r="AW354" s="838"/>
      <c r="AX354" s="838"/>
      <c r="AY354" s="838"/>
      <c r="AZ354" s="838"/>
      <c r="BA354" s="838"/>
      <c r="BB354" s="838"/>
      <c r="BC354" s="838"/>
      <c r="BD354" s="838"/>
      <c r="BE354" s="838"/>
      <c r="BF354" s="838"/>
      <c r="BG354" s="838"/>
      <c r="BH354" s="838"/>
      <c r="BI354" s="838"/>
      <c r="BJ354" s="838"/>
      <c r="BK354" s="838"/>
      <c r="BL354" s="838"/>
      <c r="BM354" s="838"/>
      <c r="BO354" s="869" t="s">
        <v>549</v>
      </c>
      <c r="BQ354" s="870">
        <f>+$BZ$337</f>
        <v>0</v>
      </c>
      <c r="BS354" s="869"/>
      <c r="BT354" s="870">
        <f>+$BZ$340</f>
        <v>0</v>
      </c>
      <c r="BV354" s="838"/>
      <c r="BW354" s="838"/>
      <c r="BX354" s="838"/>
      <c r="BY354" s="838"/>
      <c r="BZ354" s="838"/>
      <c r="CA354" s="838"/>
      <c r="CB354" s="838"/>
      <c r="CC354" s="838"/>
      <c r="CD354" s="838"/>
      <c r="CE354" s="838"/>
      <c r="CF354" s="838"/>
      <c r="CG354" s="838"/>
      <c r="CH354" s="838"/>
      <c r="CI354" s="838"/>
      <c r="CJ354" s="838"/>
      <c r="CK354" s="838"/>
      <c r="CL354" s="838"/>
      <c r="CM354" s="838"/>
      <c r="CN354" s="838"/>
      <c r="CO354" s="838"/>
      <c r="CP354" s="852"/>
      <c r="CQ354" s="838"/>
      <c r="CR354" s="838"/>
      <c r="CS354" s="838"/>
      <c r="CT354" s="858"/>
      <c r="CU354" s="838"/>
      <c r="CV354" s="858"/>
      <c r="CW354" s="838"/>
      <c r="CX354" s="858"/>
      <c r="CY354" s="838"/>
      <c r="CZ354" s="858"/>
      <c r="DA354" s="838"/>
      <c r="DB354" s="858"/>
      <c r="DC354" s="838"/>
      <c r="DD354" s="858"/>
      <c r="DE354" s="858"/>
      <c r="DF354" s="858"/>
      <c r="DG354" s="858"/>
      <c r="DH354" s="858"/>
      <c r="DI354" s="838"/>
      <c r="DJ354" s="858"/>
      <c r="DK354" s="858"/>
      <c r="DL354" s="858"/>
      <c r="DM354" s="838"/>
      <c r="DN354" s="838"/>
      <c r="DO354" s="838"/>
      <c r="DP354" s="838"/>
      <c r="DQ354" s="855"/>
      <c r="DR354" s="838"/>
      <c r="DS354" s="1096"/>
      <c r="DT354" s="1096"/>
      <c r="DU354" s="838"/>
      <c r="DV354" s="999"/>
      <c r="DW354" s="838"/>
      <c r="DX354" s="838"/>
      <c r="DY354" s="855"/>
      <c r="DZ354" s="838"/>
      <c r="EA354" s="1096"/>
      <c r="EB354" s="1096"/>
      <c r="EC354" s="838"/>
      <c r="ED354" s="999"/>
      <c r="EE354" s="999"/>
      <c r="EF354" s="838"/>
      <c r="EG354" s="855"/>
      <c r="EH354" s="838"/>
      <c r="EI354" s="1096"/>
      <c r="EJ354" s="1096"/>
      <c r="EK354" s="1096"/>
      <c r="EL354" s="1096"/>
      <c r="EM354" s="1096"/>
      <c r="EN354" s="1096"/>
      <c r="EO354" s="1096"/>
      <c r="EP354" s="1096"/>
      <c r="EQ354" s="838"/>
      <c r="ER354" s="999"/>
      <c r="ES354" s="847"/>
      <c r="ET354" s="847"/>
      <c r="EU354" s="849"/>
      <c r="EV354" s="847"/>
      <c r="EW354" s="866"/>
      <c r="EX354" s="866"/>
      <c r="EY354" s="849"/>
      <c r="FA354" s="838"/>
      <c r="FB354" s="855"/>
      <c r="FC354" s="838"/>
      <c r="FD354" s="1096"/>
      <c r="FE354" s="1096"/>
      <c r="FF354" s="1096"/>
      <c r="FG354" s="1096"/>
      <c r="FH354" s="838"/>
      <c r="FI354" s="999"/>
      <c r="FJ354" s="838"/>
      <c r="FK354" s="838"/>
      <c r="FL354" s="855"/>
      <c r="FM354" s="838"/>
      <c r="FN354" s="1096"/>
      <c r="FO354" s="1096"/>
      <c r="FP354" s="838"/>
      <c r="FQ354" s="999"/>
      <c r="FR354" s="838"/>
      <c r="FS354" s="1085"/>
      <c r="FT354" s="1085"/>
      <c r="FU354" s="1097"/>
      <c r="FV354" s="1085"/>
      <c r="FW354" s="1085"/>
      <c r="FX354" s="855"/>
      <c r="FY354" s="1098"/>
      <c r="FZ354" s="1098"/>
      <c r="GA354" s="1098"/>
      <c r="GB354" s="855"/>
      <c r="GC354" s="1098"/>
      <c r="GD354" s="855"/>
      <c r="GE354" s="1098"/>
      <c r="GF354" s="855"/>
      <c r="GG354" s="1098"/>
      <c r="GH354" s="855"/>
      <c r="GI354" s="1098"/>
      <c r="GJ354" s="1098"/>
      <c r="GK354" s="1081"/>
      <c r="GL354" s="855"/>
      <c r="GM354" s="1081"/>
      <c r="GN354" s="855"/>
      <c r="GO354" s="1098"/>
      <c r="GP354" s="855"/>
      <c r="GQ354" s="1098"/>
      <c r="HF354" s="700">
        <v>86</v>
      </c>
      <c r="HH354" s="591">
        <v>86</v>
      </c>
    </row>
    <row r="355" spans="37:216" ht="26.25" x14ac:dyDescent="0.4">
      <c r="AK355" s="838"/>
      <c r="AL355" s="838"/>
      <c r="AM355" s="838"/>
      <c r="AN355" s="838"/>
      <c r="AO355" s="838"/>
      <c r="AP355" s="838"/>
      <c r="AQ355" s="838"/>
      <c r="AR355" s="838"/>
      <c r="AS355" s="838"/>
      <c r="AT355" s="838"/>
      <c r="AU355" s="838"/>
      <c r="AV355" s="838"/>
      <c r="AW355" s="838"/>
      <c r="AX355" s="838"/>
      <c r="AY355" s="838"/>
      <c r="AZ355" s="838"/>
      <c r="BA355" s="838"/>
      <c r="BB355" s="838"/>
      <c r="BC355" s="838"/>
      <c r="BD355" s="838"/>
      <c r="BE355" s="838"/>
      <c r="BF355" s="838"/>
      <c r="BG355" s="838"/>
      <c r="BH355" s="838"/>
      <c r="BI355" s="838"/>
      <c r="BJ355" s="838"/>
      <c r="BK355" s="838"/>
      <c r="BL355" s="838"/>
      <c r="BM355" s="838"/>
      <c r="BO355" s="869" t="s">
        <v>550</v>
      </c>
      <c r="BQ355" s="870">
        <f>+$CA$337</f>
        <v>0</v>
      </c>
      <c r="BS355" s="869"/>
      <c r="BT355" s="870">
        <f>+$CA$340</f>
        <v>0</v>
      </c>
      <c r="BV355" s="838"/>
      <c r="BW355" s="838"/>
      <c r="BX355" s="838"/>
      <c r="BY355" s="838"/>
      <c r="BZ355" s="838"/>
      <c r="CA355" s="838"/>
      <c r="CB355" s="838"/>
      <c r="CC355" s="838"/>
      <c r="CD355" s="838"/>
      <c r="CE355" s="838"/>
      <c r="CF355" s="838"/>
      <c r="CG355" s="838"/>
      <c r="CH355" s="838"/>
      <c r="CI355" s="838"/>
      <c r="CJ355" s="838"/>
      <c r="CK355" s="838"/>
      <c r="CL355" s="838"/>
      <c r="CM355" s="838"/>
      <c r="CN355" s="838"/>
      <c r="CO355" s="838"/>
      <c r="CP355" s="852"/>
      <c r="CQ355" s="838"/>
      <c r="CR355" s="838"/>
      <c r="CS355" s="838"/>
      <c r="CT355" s="858"/>
      <c r="CU355" s="838"/>
      <c r="CV355" s="858"/>
      <c r="CW355" s="838"/>
      <c r="CX355" s="858"/>
      <c r="CY355" s="838"/>
      <c r="CZ355" s="858"/>
      <c r="DA355" s="838"/>
      <c r="DB355" s="858"/>
      <c r="DC355" s="838"/>
      <c r="DD355" s="858"/>
      <c r="DE355" s="858"/>
      <c r="DF355" s="858"/>
      <c r="DG355" s="858"/>
      <c r="DH355" s="858"/>
      <c r="DI355" s="838"/>
      <c r="DJ355" s="858"/>
      <c r="DK355" s="858"/>
      <c r="DL355" s="858"/>
      <c r="DM355" s="838"/>
      <c r="DN355" s="838"/>
      <c r="DO355" s="838"/>
      <c r="DP355" s="838"/>
      <c r="DQ355" s="838"/>
      <c r="DR355" s="838"/>
      <c r="DS355" s="838"/>
      <c r="DT355" s="838"/>
      <c r="DU355" s="838"/>
      <c r="DV355" s="838"/>
      <c r="DW355" s="838"/>
      <c r="DX355" s="838"/>
      <c r="DY355" s="838"/>
      <c r="DZ355" s="838"/>
      <c r="EA355" s="838"/>
      <c r="EB355" s="838"/>
      <c r="EC355" s="838"/>
      <c r="ED355" s="838"/>
      <c r="EE355" s="838"/>
      <c r="EF355" s="838"/>
      <c r="EG355" s="838"/>
      <c r="EH355" s="838"/>
      <c r="EI355" s="838"/>
      <c r="EJ355" s="838"/>
      <c r="EK355" s="838"/>
      <c r="EL355" s="838"/>
      <c r="EM355" s="838"/>
      <c r="EN355" s="838"/>
      <c r="EO355" s="838"/>
      <c r="EP355" s="838"/>
      <c r="EQ355" s="838"/>
      <c r="ER355" s="838"/>
      <c r="ES355" s="847"/>
      <c r="ET355" s="871"/>
      <c r="EU355" s="847"/>
      <c r="EV355" s="847"/>
      <c r="EW355" s="847"/>
      <c r="EX355" s="847"/>
      <c r="EY355" s="847"/>
      <c r="FA355" s="838"/>
      <c r="FB355" s="838"/>
      <c r="FC355" s="838"/>
      <c r="FD355" s="838"/>
      <c r="FE355" s="838"/>
      <c r="FF355" s="838"/>
      <c r="FG355" s="838"/>
      <c r="FH355" s="838"/>
      <c r="FI355" s="838"/>
      <c r="FJ355" s="838"/>
      <c r="FK355" s="838"/>
      <c r="FL355" s="838"/>
      <c r="FM355" s="838"/>
      <c r="FN355" s="838"/>
      <c r="FO355" s="838"/>
      <c r="FP355" s="838"/>
      <c r="FQ355" s="838"/>
      <c r="FR355" s="838"/>
      <c r="FS355" s="838"/>
      <c r="FT355" s="838"/>
      <c r="FU355" s="852"/>
      <c r="FV355" s="838"/>
      <c r="FW355" s="838"/>
      <c r="FX355" s="838"/>
      <c r="FY355" s="858"/>
      <c r="FZ355" s="838"/>
      <c r="GA355" s="858"/>
      <c r="GB355" s="838"/>
      <c r="GC355" s="858"/>
      <c r="GD355" s="838"/>
      <c r="GE355" s="858"/>
      <c r="GF355" s="838"/>
      <c r="GG355" s="858"/>
      <c r="GH355" s="838"/>
      <c r="GI355" s="858"/>
      <c r="GJ355" s="858"/>
      <c r="GK355" s="858"/>
      <c r="GL355" s="858"/>
      <c r="GM355" s="858"/>
      <c r="GN355" s="838"/>
      <c r="GO355" s="858"/>
      <c r="GP355" s="858"/>
      <c r="GQ355" s="858"/>
      <c r="HF355" s="700">
        <v>86.5</v>
      </c>
      <c r="HH355" s="591">
        <v>86.5</v>
      </c>
    </row>
    <row r="356" spans="37:216" ht="26.25" x14ac:dyDescent="0.4">
      <c r="AK356" s="838"/>
      <c r="AL356" s="838"/>
      <c r="AM356" s="838"/>
      <c r="AN356" s="838"/>
      <c r="AO356" s="838"/>
      <c r="AP356" s="838"/>
      <c r="AQ356" s="838"/>
      <c r="AR356" s="838"/>
      <c r="AS356" s="838"/>
      <c r="AT356" s="838"/>
      <c r="AU356" s="838"/>
      <c r="AV356" s="838"/>
      <c r="AW356" s="838"/>
      <c r="AX356" s="838"/>
      <c r="AY356" s="838"/>
      <c r="AZ356" s="838"/>
      <c r="BA356" s="838"/>
      <c r="BB356" s="838"/>
      <c r="BC356" s="838"/>
      <c r="BD356" s="838"/>
      <c r="BE356" s="838"/>
      <c r="BF356" s="838"/>
      <c r="BG356" s="838"/>
      <c r="BH356" s="838"/>
      <c r="BI356" s="838"/>
      <c r="BJ356" s="838"/>
      <c r="BK356" s="838"/>
      <c r="BL356" s="838"/>
      <c r="BM356" s="838"/>
      <c r="BO356" s="869" t="s">
        <v>551</v>
      </c>
      <c r="BQ356" s="870">
        <f>+$CB$337+$DD$337</f>
        <v>0</v>
      </c>
      <c r="BS356" s="869"/>
      <c r="BT356" s="870">
        <f>+$CB$340+$DD$340</f>
        <v>0</v>
      </c>
      <c r="BV356" s="838"/>
      <c r="BW356" s="838"/>
      <c r="BX356" s="838"/>
      <c r="BY356" s="838"/>
      <c r="BZ356" s="838"/>
      <c r="CA356" s="838"/>
      <c r="CB356" s="838"/>
      <c r="CC356" s="838"/>
      <c r="CD356" s="838"/>
      <c r="CE356" s="838"/>
      <c r="CF356" s="838"/>
      <c r="CG356" s="838"/>
      <c r="CH356" s="838"/>
      <c r="CI356" s="838"/>
      <c r="CJ356" s="838"/>
      <c r="CK356" s="838"/>
      <c r="CL356" s="838"/>
      <c r="CM356" s="838"/>
      <c r="CN356" s="838"/>
      <c r="CO356" s="838"/>
      <c r="CP356" s="852"/>
      <c r="CQ356" s="838"/>
      <c r="CR356" s="838"/>
      <c r="CS356" s="838"/>
      <c r="CT356" s="858"/>
      <c r="CU356" s="838"/>
      <c r="CV356" s="858"/>
      <c r="CW356" s="838"/>
      <c r="CX356" s="858"/>
      <c r="CY356" s="838"/>
      <c r="CZ356" s="858"/>
      <c r="DA356" s="838"/>
      <c r="DB356" s="858"/>
      <c r="DC356" s="838"/>
      <c r="DD356" s="858"/>
      <c r="DE356" s="858"/>
      <c r="DF356" s="858"/>
      <c r="DG356" s="858"/>
      <c r="DH356" s="858"/>
      <c r="DI356" s="838"/>
      <c r="DJ356" s="858"/>
      <c r="DK356" s="858"/>
      <c r="DL356" s="858"/>
      <c r="DM356" s="838"/>
      <c r="DN356" s="838"/>
      <c r="DO356" s="838"/>
      <c r="DP356" s="838"/>
      <c r="DQ356" s="838"/>
      <c r="DR356" s="838"/>
      <c r="DS356" s="838"/>
      <c r="DT356" s="838"/>
      <c r="DU356" s="838"/>
      <c r="DV356" s="838"/>
      <c r="DW356" s="838"/>
      <c r="DX356" s="838"/>
      <c r="DY356" s="838"/>
      <c r="DZ356" s="838"/>
      <c r="EA356" s="838"/>
      <c r="EB356" s="838"/>
      <c r="EC356" s="838"/>
      <c r="ED356" s="838"/>
      <c r="EE356" s="838"/>
      <c r="EF356" s="838"/>
      <c r="EG356" s="838"/>
      <c r="EH356" s="838"/>
      <c r="EI356" s="838"/>
      <c r="EJ356" s="838"/>
      <c r="EK356" s="838"/>
      <c r="EL356" s="838"/>
      <c r="EM356" s="838"/>
      <c r="EN356" s="838"/>
      <c r="EO356" s="838"/>
      <c r="EP356" s="838"/>
      <c r="EQ356" s="838"/>
      <c r="ER356" s="838"/>
      <c r="ES356" s="847"/>
      <c r="ET356" s="871"/>
      <c r="EU356" s="847"/>
      <c r="EV356" s="847"/>
      <c r="EW356" s="847"/>
      <c r="EX356" s="847"/>
      <c r="EY356" s="847"/>
      <c r="FA356" s="838"/>
      <c r="FB356" s="838"/>
      <c r="FC356" s="838"/>
      <c r="FD356" s="838"/>
      <c r="FE356" s="838"/>
      <c r="FF356" s="838"/>
      <c r="FG356" s="838"/>
      <c r="FH356" s="838"/>
      <c r="FI356" s="838"/>
      <c r="FJ356" s="838"/>
      <c r="FK356" s="838"/>
      <c r="FL356" s="838"/>
      <c r="FM356" s="838"/>
      <c r="FN356" s="838"/>
      <c r="FO356" s="838"/>
      <c r="FP356" s="838"/>
      <c r="FQ356" s="838"/>
      <c r="FR356" s="838"/>
      <c r="FS356" s="838"/>
      <c r="FT356" s="838"/>
      <c r="FU356" s="852"/>
      <c r="FV356" s="838"/>
      <c r="FW356" s="838"/>
      <c r="FX356" s="838"/>
      <c r="FY356" s="858"/>
      <c r="FZ356" s="838"/>
      <c r="GA356" s="858"/>
      <c r="GB356" s="838"/>
      <c r="GC356" s="858"/>
      <c r="GD356" s="838"/>
      <c r="GE356" s="858"/>
      <c r="GF356" s="838"/>
      <c r="GG356" s="858"/>
      <c r="GH356" s="838"/>
      <c r="GI356" s="858"/>
      <c r="GJ356" s="858"/>
      <c r="GK356" s="858"/>
      <c r="GL356" s="858"/>
      <c r="GM356" s="858"/>
      <c r="GN356" s="838"/>
      <c r="GO356" s="858"/>
      <c r="GP356" s="858"/>
      <c r="GQ356" s="858"/>
      <c r="HF356" s="700">
        <v>87</v>
      </c>
      <c r="HH356" s="591">
        <v>87</v>
      </c>
    </row>
    <row r="357" spans="37:216" ht="26.25" x14ac:dyDescent="0.4">
      <c r="AK357" s="838"/>
      <c r="AL357" s="838"/>
      <c r="AM357" s="838"/>
      <c r="AN357" s="838"/>
      <c r="AO357" s="838"/>
      <c r="AP357" s="838"/>
      <c r="AQ357" s="838"/>
      <c r="AR357" s="838"/>
      <c r="AS357" s="838"/>
      <c r="AT357" s="838"/>
      <c r="AU357" s="838"/>
      <c r="AV357" s="838"/>
      <c r="AW357" s="838"/>
      <c r="AX357" s="838"/>
      <c r="AY357" s="838"/>
      <c r="AZ357" s="838"/>
      <c r="BA357" s="838"/>
      <c r="BB357" s="838"/>
      <c r="BC357" s="838"/>
      <c r="BD357" s="838"/>
      <c r="BE357" s="838"/>
      <c r="BF357" s="838"/>
      <c r="BG357" s="838"/>
      <c r="BH357" s="838"/>
      <c r="BI357" s="838"/>
      <c r="BJ357" s="838"/>
      <c r="BK357" s="838"/>
      <c r="BL357" s="838"/>
      <c r="BM357" s="838"/>
      <c r="BO357" s="869" t="s">
        <v>552</v>
      </c>
      <c r="BQ357" s="870">
        <f>+$CC$337+$CD$337+$DB$337</f>
        <v>0</v>
      </c>
      <c r="BS357" s="869"/>
      <c r="BT357" s="870">
        <f>+$CC$340+$CD$340+$DB$340</f>
        <v>0</v>
      </c>
      <c r="BV357" s="838"/>
      <c r="BW357" s="838"/>
      <c r="BX357" s="838"/>
      <c r="BY357" s="838"/>
      <c r="BZ357" s="838"/>
      <c r="CA357" s="838"/>
      <c r="CB357" s="838"/>
      <c r="CC357" s="838"/>
      <c r="CD357" s="838"/>
      <c r="CE357" s="838"/>
      <c r="CF357" s="838"/>
      <c r="CG357" s="838"/>
      <c r="CH357" s="838"/>
      <c r="CI357" s="838"/>
      <c r="CJ357" s="838"/>
      <c r="CK357" s="838"/>
      <c r="CL357" s="838"/>
      <c r="CM357" s="838"/>
      <c r="CN357" s="838"/>
      <c r="CO357" s="838"/>
      <c r="CP357" s="852"/>
      <c r="CQ357" s="838"/>
      <c r="CR357" s="838"/>
      <c r="CS357" s="838"/>
      <c r="CT357" s="858"/>
      <c r="CU357" s="838"/>
      <c r="CV357" s="858"/>
      <c r="CW357" s="838"/>
      <c r="CX357" s="858"/>
      <c r="CY357" s="838"/>
      <c r="CZ357" s="858"/>
      <c r="DA357" s="838"/>
      <c r="DB357" s="858"/>
      <c r="DC357" s="838"/>
      <c r="DD357" s="858"/>
      <c r="DE357" s="858"/>
      <c r="DF357" s="858"/>
      <c r="DG357" s="858"/>
      <c r="DH357" s="858"/>
      <c r="DI357" s="838"/>
      <c r="DJ357" s="858"/>
      <c r="DK357" s="858"/>
      <c r="DL357" s="858"/>
      <c r="DM357" s="838"/>
      <c r="DN357" s="838"/>
      <c r="DO357" s="838"/>
      <c r="DP357" s="838"/>
      <c r="DQ357" s="838"/>
      <c r="DR357" s="838"/>
      <c r="DS357" s="838"/>
      <c r="DT357" s="838"/>
      <c r="DU357" s="838"/>
      <c r="DV357" s="838"/>
      <c r="DW357" s="838"/>
      <c r="DX357" s="838"/>
      <c r="DY357" s="838"/>
      <c r="DZ357" s="838"/>
      <c r="EA357" s="838"/>
      <c r="EB357" s="838"/>
      <c r="EC357" s="838"/>
      <c r="ED357" s="838"/>
      <c r="EE357" s="838"/>
      <c r="EF357" s="838"/>
      <c r="EG357" s="838"/>
      <c r="EH357" s="838"/>
      <c r="EI357" s="838"/>
      <c r="EJ357" s="838"/>
      <c r="EK357" s="838"/>
      <c r="EL357" s="838"/>
      <c r="EM357" s="838"/>
      <c r="EN357" s="838"/>
      <c r="EO357" s="838"/>
      <c r="EP357" s="838"/>
      <c r="EQ357" s="838"/>
      <c r="ER357" s="838"/>
      <c r="ES357" s="847"/>
      <c r="ET357" s="871"/>
      <c r="EU357" s="847"/>
      <c r="EV357" s="847"/>
      <c r="EW357" s="847"/>
      <c r="EX357" s="847"/>
      <c r="EY357" s="847"/>
      <c r="FA357" s="838"/>
      <c r="FB357" s="838"/>
      <c r="FC357" s="838"/>
      <c r="FD357" s="838"/>
      <c r="FE357" s="838"/>
      <c r="FF357" s="838"/>
      <c r="FG357" s="838"/>
      <c r="FH357" s="838"/>
      <c r="FI357" s="838"/>
      <c r="FJ357" s="838"/>
      <c r="FK357" s="838"/>
      <c r="FL357" s="838"/>
      <c r="FM357" s="838"/>
      <c r="FN357" s="838"/>
      <c r="FO357" s="838"/>
      <c r="FP357" s="838"/>
      <c r="FQ357" s="838"/>
      <c r="FR357" s="838"/>
      <c r="FS357" s="838"/>
      <c r="FT357" s="838"/>
      <c r="FU357" s="852"/>
      <c r="FV357" s="838"/>
      <c r="FW357" s="838"/>
      <c r="FX357" s="838"/>
      <c r="FY357" s="858"/>
      <c r="FZ357" s="838"/>
      <c r="GA357" s="858"/>
      <c r="GB357" s="838"/>
      <c r="GC357" s="858"/>
      <c r="GD357" s="838"/>
      <c r="GE357" s="858"/>
      <c r="GF357" s="838"/>
      <c r="GG357" s="858"/>
      <c r="GH357" s="838"/>
      <c r="GI357" s="858"/>
      <c r="GJ357" s="858"/>
      <c r="GK357" s="858"/>
      <c r="GL357" s="858"/>
      <c r="GM357" s="858"/>
      <c r="GN357" s="838"/>
      <c r="GO357" s="858"/>
      <c r="GP357" s="858"/>
      <c r="GQ357" s="858"/>
      <c r="HF357" s="700">
        <v>87.5</v>
      </c>
      <c r="HH357" s="591">
        <v>87.5</v>
      </c>
    </row>
    <row r="358" spans="37:216" ht="26.25" x14ac:dyDescent="0.4">
      <c r="AK358" s="838"/>
      <c r="AL358" s="838"/>
      <c r="AM358" s="838"/>
      <c r="AN358" s="838"/>
      <c r="AO358" s="838"/>
      <c r="AP358" s="838"/>
      <c r="AQ358" s="838"/>
      <c r="AR358" s="838"/>
      <c r="AS358" s="838"/>
      <c r="AT358" s="838"/>
      <c r="AU358" s="838"/>
      <c r="AV358" s="838"/>
      <c r="AW358" s="838"/>
      <c r="AX358" s="838"/>
      <c r="AY358" s="838"/>
      <c r="AZ358" s="838"/>
      <c r="BA358" s="838"/>
      <c r="BB358" s="838"/>
      <c r="BC358" s="838"/>
      <c r="BD358" s="838"/>
      <c r="BE358" s="838"/>
      <c r="BF358" s="838"/>
      <c r="BG358" s="838"/>
      <c r="BH358" s="838"/>
      <c r="BI358" s="838"/>
      <c r="BJ358" s="838"/>
      <c r="BK358" s="838"/>
      <c r="BL358" s="838"/>
      <c r="BM358" s="838"/>
      <c r="BO358" s="869" t="s">
        <v>553</v>
      </c>
      <c r="BQ358" s="870">
        <f>+$CN$337+$CO$337*1.6</f>
        <v>0</v>
      </c>
      <c r="BS358" s="869"/>
      <c r="BT358" s="870">
        <f>+$CN$340+$CO$340*1.6</f>
        <v>0</v>
      </c>
      <c r="BV358" s="838"/>
      <c r="BW358" s="838"/>
      <c r="BX358" s="838"/>
      <c r="BY358" s="838"/>
      <c r="BZ358" s="838"/>
      <c r="CA358" s="838"/>
      <c r="CB358" s="838"/>
      <c r="CC358" s="838"/>
      <c r="CD358" s="838"/>
      <c r="CE358" s="838"/>
      <c r="CF358" s="838"/>
      <c r="CG358" s="838"/>
      <c r="CH358" s="838"/>
      <c r="CI358" s="838"/>
      <c r="CJ358" s="838"/>
      <c r="CK358" s="838"/>
      <c r="CL358" s="838"/>
      <c r="CM358" s="838"/>
      <c r="CN358" s="838"/>
      <c r="CO358" s="838"/>
      <c r="CP358" s="852"/>
      <c r="CQ358" s="838"/>
      <c r="CR358" s="838"/>
      <c r="CS358" s="838"/>
      <c r="CT358" s="858"/>
      <c r="CU358" s="838"/>
      <c r="CV358" s="858"/>
      <c r="CW358" s="838"/>
      <c r="CX358" s="858"/>
      <c r="CY358" s="838"/>
      <c r="CZ358" s="858"/>
      <c r="DA358" s="838"/>
      <c r="DB358" s="858"/>
      <c r="DC358" s="838"/>
      <c r="DD358" s="858"/>
      <c r="DE358" s="858"/>
      <c r="DF358" s="858"/>
      <c r="DG358" s="858"/>
      <c r="DH358" s="858"/>
      <c r="DI358" s="838"/>
      <c r="DJ358" s="858"/>
      <c r="DK358" s="858"/>
      <c r="DL358" s="858"/>
      <c r="DM358" s="838"/>
      <c r="DN358" s="838"/>
      <c r="DO358" s="838"/>
      <c r="DP358" s="838"/>
      <c r="DQ358" s="838"/>
      <c r="DR358" s="838"/>
      <c r="DS358" s="838"/>
      <c r="DT358" s="838"/>
      <c r="DU358" s="838"/>
      <c r="DV358" s="838"/>
      <c r="DW358" s="838"/>
      <c r="DX358" s="838"/>
      <c r="DY358" s="838"/>
      <c r="DZ358" s="838"/>
      <c r="EA358" s="838"/>
      <c r="EB358" s="838"/>
      <c r="EC358" s="838"/>
      <c r="ED358" s="838"/>
      <c r="EE358" s="838"/>
      <c r="EF358" s="838"/>
      <c r="EG358" s="838"/>
      <c r="EH358" s="838"/>
      <c r="EI358" s="838"/>
      <c r="EJ358" s="838"/>
      <c r="EK358" s="838"/>
      <c r="EL358" s="838"/>
      <c r="EM358" s="838"/>
      <c r="EN358" s="838"/>
      <c r="EO358" s="838"/>
      <c r="EP358" s="838"/>
      <c r="EQ358" s="838"/>
      <c r="ER358" s="838"/>
      <c r="ES358" s="847"/>
      <c r="ET358" s="871"/>
      <c r="EU358" s="847"/>
      <c r="EV358" s="847"/>
      <c r="EW358" s="847"/>
      <c r="EX358" s="847"/>
      <c r="EY358" s="847"/>
      <c r="FA358" s="838"/>
      <c r="FB358" s="838"/>
      <c r="FC358" s="838"/>
      <c r="FD358" s="838"/>
      <c r="FE358" s="838"/>
      <c r="FF358" s="838"/>
      <c r="FG358" s="838"/>
      <c r="FH358" s="838"/>
      <c r="FI358" s="838"/>
      <c r="FJ358" s="838"/>
      <c r="FK358" s="838"/>
      <c r="FL358" s="838"/>
      <c r="FM358" s="838"/>
      <c r="FN358" s="838"/>
      <c r="FO358" s="838"/>
      <c r="FP358" s="838"/>
      <c r="FQ358" s="838"/>
      <c r="FR358" s="838"/>
      <c r="FS358" s="838"/>
      <c r="FT358" s="838"/>
      <c r="FU358" s="852"/>
      <c r="FV358" s="838"/>
      <c r="FW358" s="838"/>
      <c r="FX358" s="838"/>
      <c r="FY358" s="858"/>
      <c r="FZ358" s="838"/>
      <c r="GA358" s="858"/>
      <c r="GB358" s="838"/>
      <c r="GC358" s="858"/>
      <c r="GD358" s="838"/>
      <c r="GE358" s="858"/>
      <c r="GF358" s="838"/>
      <c r="GG358" s="858"/>
      <c r="GH358" s="838"/>
      <c r="GI358" s="858"/>
      <c r="GJ358" s="858"/>
      <c r="GK358" s="858"/>
      <c r="GL358" s="858"/>
      <c r="GM358" s="858"/>
      <c r="GN358" s="838"/>
      <c r="GO358" s="858"/>
      <c r="GP358" s="858"/>
      <c r="GQ358" s="858"/>
      <c r="HF358" s="700">
        <v>88</v>
      </c>
      <c r="HH358" s="591">
        <v>88</v>
      </c>
    </row>
    <row r="359" spans="37:216" ht="26.25" x14ac:dyDescent="0.4">
      <c r="AK359" s="838"/>
      <c r="AL359" s="838"/>
      <c r="AM359" s="838"/>
      <c r="AN359" s="838"/>
      <c r="AO359" s="838"/>
      <c r="AP359" s="838"/>
      <c r="AQ359" s="838"/>
      <c r="AR359" s="838"/>
      <c r="AS359" s="838"/>
      <c r="AT359" s="838"/>
      <c r="AU359" s="838"/>
      <c r="AV359" s="838"/>
      <c r="AW359" s="838"/>
      <c r="AX359" s="838"/>
      <c r="AY359" s="838"/>
      <c r="AZ359" s="838"/>
      <c r="BA359" s="838"/>
      <c r="BB359" s="838"/>
      <c r="BC359" s="838"/>
      <c r="BD359" s="838"/>
      <c r="BE359" s="838"/>
      <c r="BF359" s="838"/>
      <c r="BG359" s="838"/>
      <c r="BH359" s="838"/>
      <c r="BI359" s="838"/>
      <c r="BJ359" s="838"/>
      <c r="BK359" s="838"/>
      <c r="BL359" s="838"/>
      <c r="BM359" s="838"/>
      <c r="BO359" s="869" t="s">
        <v>554</v>
      </c>
      <c r="BQ359" s="870">
        <f>+$CQ$337+$CR$337*1.6</f>
        <v>0</v>
      </c>
      <c r="BS359" s="869"/>
      <c r="BT359" s="870">
        <f>+$CQ$340+$CR$340*1.6</f>
        <v>0</v>
      </c>
      <c r="BV359" s="838"/>
      <c r="BW359" s="838"/>
      <c r="BX359" s="838"/>
      <c r="BY359" s="838"/>
      <c r="BZ359" s="838"/>
      <c r="CA359" s="838"/>
      <c r="CB359" s="838"/>
      <c r="CC359" s="838"/>
      <c r="CD359" s="838"/>
      <c r="CE359" s="838"/>
      <c r="CF359" s="838"/>
      <c r="CG359" s="838"/>
      <c r="CH359" s="838"/>
      <c r="CI359" s="838"/>
      <c r="CJ359" s="838"/>
      <c r="CK359" s="838"/>
      <c r="CL359" s="838"/>
      <c r="CM359" s="838"/>
      <c r="CN359" s="838"/>
      <c r="CO359" s="838"/>
      <c r="CP359" s="852"/>
      <c r="CQ359" s="838"/>
      <c r="CR359" s="838"/>
      <c r="CS359" s="838"/>
      <c r="CT359" s="858"/>
      <c r="CU359" s="838"/>
      <c r="CV359" s="858"/>
      <c r="CW359" s="838"/>
      <c r="CX359" s="858"/>
      <c r="CY359" s="838"/>
      <c r="CZ359" s="858"/>
      <c r="DA359" s="838"/>
      <c r="DB359" s="858"/>
      <c r="DC359" s="838"/>
      <c r="DD359" s="858"/>
      <c r="DE359" s="858"/>
      <c r="DF359" s="858"/>
      <c r="DG359" s="858"/>
      <c r="DH359" s="858"/>
      <c r="DI359" s="838"/>
      <c r="DJ359" s="858"/>
      <c r="DK359" s="858"/>
      <c r="DL359" s="858"/>
      <c r="DM359" s="838"/>
      <c r="DN359" s="838"/>
      <c r="DO359" s="838"/>
      <c r="DP359" s="838"/>
      <c r="DQ359" s="838"/>
      <c r="DR359" s="838"/>
      <c r="DS359" s="838"/>
      <c r="DT359" s="838"/>
      <c r="DU359" s="838"/>
      <c r="DV359" s="838"/>
      <c r="DW359" s="838"/>
      <c r="DX359" s="838"/>
      <c r="DY359" s="838"/>
      <c r="DZ359" s="838"/>
      <c r="EA359" s="838"/>
      <c r="EB359" s="838"/>
      <c r="EC359" s="838"/>
      <c r="ED359" s="838"/>
      <c r="EE359" s="838"/>
      <c r="EF359" s="838"/>
      <c r="EG359" s="838"/>
      <c r="EH359" s="838"/>
      <c r="EI359" s="838"/>
      <c r="EJ359" s="838"/>
      <c r="EK359" s="838"/>
      <c r="EL359" s="838"/>
      <c r="EM359" s="838"/>
      <c r="EN359" s="838"/>
      <c r="EO359" s="838"/>
      <c r="EP359" s="838"/>
      <c r="EQ359" s="838"/>
      <c r="ER359" s="838"/>
      <c r="ES359" s="847"/>
      <c r="ET359" s="871"/>
      <c r="EU359" s="847"/>
      <c r="EV359" s="847"/>
      <c r="EW359" s="847"/>
      <c r="EX359" s="847"/>
      <c r="EY359" s="847"/>
      <c r="FA359" s="838"/>
      <c r="FB359" s="838"/>
      <c r="FC359" s="838"/>
      <c r="FD359" s="838"/>
      <c r="FE359" s="838"/>
      <c r="FF359" s="838"/>
      <c r="FG359" s="838"/>
      <c r="FH359" s="838"/>
      <c r="FI359" s="838"/>
      <c r="FJ359" s="838"/>
      <c r="FK359" s="838"/>
      <c r="FL359" s="838"/>
      <c r="FM359" s="838"/>
      <c r="FN359" s="838"/>
      <c r="FO359" s="838"/>
      <c r="FP359" s="838"/>
      <c r="FQ359" s="838"/>
      <c r="FR359" s="838"/>
      <c r="FS359" s="838"/>
      <c r="FT359" s="838"/>
      <c r="FU359" s="852"/>
      <c r="FV359" s="838"/>
      <c r="FW359" s="838"/>
      <c r="FX359" s="838"/>
      <c r="FY359" s="858"/>
      <c r="FZ359" s="838"/>
      <c r="GA359" s="858"/>
      <c r="GB359" s="838"/>
      <c r="GC359" s="858"/>
      <c r="GD359" s="838"/>
      <c r="GE359" s="858"/>
      <c r="GF359" s="838"/>
      <c r="GG359" s="858"/>
      <c r="GH359" s="838"/>
      <c r="GI359" s="858"/>
      <c r="GJ359" s="858"/>
      <c r="GK359" s="858"/>
      <c r="GL359" s="858"/>
      <c r="GM359" s="858"/>
      <c r="GN359" s="838"/>
      <c r="GO359" s="858"/>
      <c r="GP359" s="858"/>
      <c r="GQ359" s="858"/>
      <c r="HF359" s="700">
        <v>88.5</v>
      </c>
      <c r="HH359" s="591">
        <v>88.5</v>
      </c>
    </row>
    <row r="360" spans="37:216" ht="26.25" x14ac:dyDescent="0.4">
      <c r="AK360" s="838"/>
      <c r="AL360" s="838"/>
      <c r="AM360" s="838"/>
      <c r="AN360" s="838"/>
      <c r="AO360" s="838"/>
      <c r="AP360" s="838"/>
      <c r="AQ360" s="838"/>
      <c r="AR360" s="838"/>
      <c r="AS360" s="838"/>
      <c r="AT360" s="838"/>
      <c r="AU360" s="838"/>
      <c r="AV360" s="838"/>
      <c r="AW360" s="838"/>
      <c r="AX360" s="838"/>
      <c r="AY360" s="838"/>
      <c r="AZ360" s="838"/>
      <c r="BA360" s="838"/>
      <c r="BB360" s="838"/>
      <c r="BC360" s="838"/>
      <c r="BD360" s="838"/>
      <c r="BE360" s="838"/>
      <c r="BF360" s="838"/>
      <c r="BG360" s="838"/>
      <c r="BH360" s="838"/>
      <c r="BI360" s="838"/>
      <c r="BJ360" s="838"/>
      <c r="BK360" s="838"/>
      <c r="BL360" s="838"/>
      <c r="BM360" s="838"/>
      <c r="BO360" s="869" t="s">
        <v>555</v>
      </c>
      <c r="BQ360" s="870">
        <f>+$CT$337</f>
        <v>0</v>
      </c>
      <c r="BS360" s="869"/>
      <c r="BT360" s="870">
        <f>+$CT$340</f>
        <v>0</v>
      </c>
      <c r="BV360" s="838"/>
      <c r="BW360" s="838"/>
      <c r="BX360" s="838"/>
      <c r="BY360" s="838"/>
      <c r="BZ360" s="838"/>
      <c r="CA360" s="838"/>
      <c r="CB360" s="838"/>
      <c r="CC360" s="838"/>
      <c r="CD360" s="838"/>
      <c r="CE360" s="838"/>
      <c r="CF360" s="838"/>
      <c r="CG360" s="838"/>
      <c r="CH360" s="838"/>
      <c r="CI360" s="838"/>
      <c r="CJ360" s="838"/>
      <c r="CK360" s="838"/>
      <c r="CL360" s="838"/>
      <c r="CM360" s="838"/>
      <c r="CN360" s="838"/>
      <c r="CO360" s="838"/>
      <c r="CP360" s="852"/>
      <c r="CQ360" s="838"/>
      <c r="CR360" s="838"/>
      <c r="CS360" s="838"/>
      <c r="CT360" s="858"/>
      <c r="CU360" s="838"/>
      <c r="CV360" s="858"/>
      <c r="CW360" s="838"/>
      <c r="CX360" s="858"/>
      <c r="CY360" s="838"/>
      <c r="CZ360" s="858"/>
      <c r="DA360" s="838"/>
      <c r="DB360" s="858"/>
      <c r="DC360" s="838"/>
      <c r="DD360" s="858"/>
      <c r="DE360" s="858"/>
      <c r="DF360" s="858"/>
      <c r="DG360" s="858"/>
      <c r="DH360" s="858"/>
      <c r="DI360" s="838"/>
      <c r="DJ360" s="858"/>
      <c r="DK360" s="858"/>
      <c r="DL360" s="858"/>
      <c r="DM360" s="838"/>
      <c r="DN360" s="838"/>
      <c r="DO360" s="838"/>
      <c r="DP360" s="838"/>
      <c r="DQ360" s="838"/>
      <c r="DR360" s="838"/>
      <c r="DS360" s="838"/>
      <c r="DT360" s="838"/>
      <c r="DU360" s="838"/>
      <c r="DV360" s="838"/>
      <c r="DW360" s="838"/>
      <c r="DX360" s="838"/>
      <c r="DY360" s="838"/>
      <c r="DZ360" s="838"/>
      <c r="EA360" s="838"/>
      <c r="EB360" s="838"/>
      <c r="EC360" s="838"/>
      <c r="ED360" s="838"/>
      <c r="EE360" s="838"/>
      <c r="EF360" s="838"/>
      <c r="EG360" s="838"/>
      <c r="EH360" s="838"/>
      <c r="EI360" s="838"/>
      <c r="EJ360" s="838"/>
      <c r="EK360" s="838"/>
      <c r="EL360" s="838"/>
      <c r="EM360" s="838"/>
      <c r="EN360" s="838"/>
      <c r="EO360" s="838"/>
      <c r="EP360" s="838"/>
      <c r="EQ360" s="838"/>
      <c r="ER360" s="838"/>
      <c r="ES360" s="847"/>
      <c r="ET360" s="871"/>
      <c r="EU360" s="847"/>
      <c r="EV360" s="847"/>
      <c r="EW360" s="847"/>
      <c r="EX360" s="847"/>
      <c r="EY360" s="847"/>
      <c r="FA360" s="838"/>
      <c r="FB360" s="838"/>
      <c r="FC360" s="838"/>
      <c r="FD360" s="838"/>
      <c r="FE360" s="838"/>
      <c r="FF360" s="838"/>
      <c r="FG360" s="838"/>
      <c r="FH360" s="838"/>
      <c r="FI360" s="838"/>
      <c r="FJ360" s="838"/>
      <c r="FK360" s="838"/>
      <c r="FL360" s="838"/>
      <c r="FM360" s="838"/>
      <c r="FN360" s="838"/>
      <c r="FO360" s="838"/>
      <c r="FP360" s="838"/>
      <c r="FQ360" s="838"/>
      <c r="FR360" s="838"/>
      <c r="FS360" s="838"/>
      <c r="FT360" s="838"/>
      <c r="FU360" s="852"/>
      <c r="FV360" s="838"/>
      <c r="FW360" s="838"/>
      <c r="FX360" s="838"/>
      <c r="FY360" s="858"/>
      <c r="FZ360" s="838"/>
      <c r="GA360" s="858"/>
      <c r="GB360" s="838"/>
      <c r="GC360" s="858"/>
      <c r="GD360" s="838"/>
      <c r="GE360" s="858"/>
      <c r="GF360" s="838"/>
      <c r="GG360" s="858"/>
      <c r="GH360" s="838"/>
      <c r="GI360" s="858"/>
      <c r="GJ360" s="858"/>
      <c r="GK360" s="858"/>
      <c r="GL360" s="858"/>
      <c r="GM360" s="858"/>
      <c r="GN360" s="838"/>
      <c r="GO360" s="858"/>
      <c r="GP360" s="858"/>
      <c r="GQ360" s="858"/>
      <c r="HF360" s="700">
        <v>89</v>
      </c>
      <c r="HH360" s="591">
        <v>89</v>
      </c>
    </row>
    <row r="361" spans="37:216" ht="26.25" x14ac:dyDescent="0.4">
      <c r="AK361" s="838"/>
      <c r="AL361" s="838"/>
      <c r="AM361" s="838"/>
      <c r="AN361" s="838"/>
      <c r="AO361" s="838"/>
      <c r="AP361" s="838"/>
      <c r="AQ361" s="838"/>
      <c r="AR361" s="838"/>
      <c r="AS361" s="838"/>
      <c r="AT361" s="838"/>
      <c r="AU361" s="838"/>
      <c r="AV361" s="838"/>
      <c r="AW361" s="838"/>
      <c r="AX361" s="838"/>
      <c r="AY361" s="838"/>
      <c r="AZ361" s="838"/>
      <c r="BA361" s="838"/>
      <c r="BB361" s="838"/>
      <c r="BC361" s="838"/>
      <c r="BD361" s="838"/>
      <c r="BE361" s="838"/>
      <c r="BF361" s="838"/>
      <c r="BG361" s="838"/>
      <c r="BH361" s="838"/>
      <c r="BI361" s="838"/>
      <c r="BJ361" s="838"/>
      <c r="BK361" s="838"/>
      <c r="BL361" s="838"/>
      <c r="BM361" s="838"/>
      <c r="BO361" s="869" t="s">
        <v>556</v>
      </c>
      <c r="BQ361" s="870">
        <f>+$CV$337+$DL$337</f>
        <v>0</v>
      </c>
      <c r="BS361" s="869"/>
      <c r="BT361" s="870">
        <f>+$CV$340+$DL$340</f>
        <v>0</v>
      </c>
      <c r="BV361" s="838"/>
      <c r="BW361" s="838"/>
      <c r="BX361" s="838"/>
      <c r="BY361" s="838"/>
      <c r="BZ361" s="838"/>
      <c r="CA361" s="838"/>
      <c r="CB361" s="838"/>
      <c r="CC361" s="838"/>
      <c r="CD361" s="838"/>
      <c r="CE361" s="838"/>
      <c r="CF361" s="838"/>
      <c r="CG361" s="838"/>
      <c r="CH361" s="838"/>
      <c r="CI361" s="838"/>
      <c r="CJ361" s="838"/>
      <c r="CK361" s="838"/>
      <c r="CL361" s="838"/>
      <c r="CM361" s="838"/>
      <c r="CN361" s="838"/>
      <c r="CO361" s="838"/>
      <c r="CP361" s="852"/>
      <c r="CQ361" s="838"/>
      <c r="CR361" s="838"/>
      <c r="CS361" s="838"/>
      <c r="CT361" s="858"/>
      <c r="CU361" s="838"/>
      <c r="CV361" s="858"/>
      <c r="CW361" s="838"/>
      <c r="CX361" s="858"/>
      <c r="CY361" s="838"/>
      <c r="CZ361" s="858"/>
      <c r="DA361" s="838"/>
      <c r="DB361" s="858"/>
      <c r="DC361" s="838"/>
      <c r="DD361" s="858"/>
      <c r="DE361" s="858"/>
      <c r="DF361" s="858"/>
      <c r="DG361" s="858"/>
      <c r="DH361" s="858"/>
      <c r="DI361" s="838"/>
      <c r="DJ361" s="858"/>
      <c r="DK361" s="858"/>
      <c r="DL361" s="858"/>
      <c r="DM361" s="838"/>
      <c r="DN361" s="838"/>
      <c r="DO361" s="838"/>
      <c r="DP361" s="838"/>
      <c r="DQ361" s="838"/>
      <c r="DR361" s="838"/>
      <c r="DS361" s="838"/>
      <c r="DT361" s="838"/>
      <c r="DU361" s="838"/>
      <c r="DV361" s="838"/>
      <c r="DW361" s="838"/>
      <c r="DX361" s="838"/>
      <c r="DY361" s="838"/>
      <c r="DZ361" s="838"/>
      <c r="EA361" s="838"/>
      <c r="EB361" s="838"/>
      <c r="EC361" s="838"/>
      <c r="ED361" s="838"/>
      <c r="EE361" s="838"/>
      <c r="EF361" s="838"/>
      <c r="EG361" s="838"/>
      <c r="EH361" s="838"/>
      <c r="EI361" s="838"/>
      <c r="EJ361" s="838"/>
      <c r="EK361" s="838"/>
      <c r="EL361" s="838"/>
      <c r="EM361" s="838"/>
      <c r="EN361" s="838"/>
      <c r="EO361" s="838"/>
      <c r="EP361" s="838"/>
      <c r="EQ361" s="838"/>
      <c r="ER361" s="838"/>
      <c r="ES361" s="847"/>
      <c r="ET361" s="871"/>
      <c r="EU361" s="847"/>
      <c r="EV361" s="847"/>
      <c r="EW361" s="847"/>
      <c r="EX361" s="847"/>
      <c r="EY361" s="847"/>
      <c r="FA361" s="838"/>
      <c r="FB361" s="838"/>
      <c r="FC361" s="838"/>
      <c r="FD361" s="838"/>
      <c r="FE361" s="838"/>
      <c r="FF361" s="838"/>
      <c r="FG361" s="838"/>
      <c r="FH361" s="838"/>
      <c r="FI361" s="838"/>
      <c r="FJ361" s="838"/>
      <c r="FK361" s="838"/>
      <c r="FL361" s="838"/>
      <c r="FM361" s="838"/>
      <c r="FN361" s="838"/>
      <c r="FO361" s="838"/>
      <c r="FP361" s="838"/>
      <c r="FQ361" s="838"/>
      <c r="FR361" s="838"/>
      <c r="FS361" s="838"/>
      <c r="FT361" s="838"/>
      <c r="FU361" s="852"/>
      <c r="FV361" s="838"/>
      <c r="FW361" s="838"/>
      <c r="FX361" s="838"/>
      <c r="FY361" s="858"/>
      <c r="FZ361" s="838"/>
      <c r="GA361" s="858"/>
      <c r="GB361" s="838"/>
      <c r="GC361" s="858"/>
      <c r="GD361" s="838"/>
      <c r="GE361" s="858"/>
      <c r="GF361" s="838"/>
      <c r="GG361" s="858"/>
      <c r="GH361" s="838"/>
      <c r="GI361" s="858"/>
      <c r="GJ361" s="858"/>
      <c r="GK361" s="858"/>
      <c r="GL361" s="858"/>
      <c r="GM361" s="858"/>
      <c r="GN361" s="838"/>
      <c r="GO361" s="858"/>
      <c r="GP361" s="858"/>
      <c r="GQ361" s="858"/>
      <c r="HF361" s="700">
        <v>89.5</v>
      </c>
      <c r="HH361" s="591">
        <v>89.5</v>
      </c>
    </row>
    <row r="362" spans="37:216" ht="26.25" x14ac:dyDescent="0.4">
      <c r="AK362" s="838"/>
      <c r="AL362" s="838"/>
      <c r="AM362" s="838"/>
      <c r="AN362" s="838"/>
      <c r="AO362" s="838"/>
      <c r="AP362" s="838"/>
      <c r="AQ362" s="838"/>
      <c r="AR362" s="838"/>
      <c r="AS362" s="838"/>
      <c r="AT362" s="838"/>
      <c r="AU362" s="838"/>
      <c r="AV362" s="838"/>
      <c r="AW362" s="838"/>
      <c r="AX362" s="838"/>
      <c r="AY362" s="838"/>
      <c r="AZ362" s="838"/>
      <c r="BA362" s="838"/>
      <c r="BB362" s="838"/>
      <c r="BC362" s="838"/>
      <c r="BD362" s="838"/>
      <c r="BE362" s="838"/>
      <c r="BF362" s="838"/>
      <c r="BG362" s="838"/>
      <c r="BH362" s="838"/>
      <c r="BI362" s="838"/>
      <c r="BJ362" s="838"/>
      <c r="BK362" s="838"/>
      <c r="BL362" s="838"/>
      <c r="BM362" s="838"/>
      <c r="BO362" s="869" t="s">
        <v>557</v>
      </c>
      <c r="BQ362" s="870"/>
      <c r="BS362" s="869"/>
      <c r="BT362" s="870"/>
      <c r="BV362" s="838"/>
      <c r="BW362" s="838"/>
      <c r="BX362" s="838"/>
      <c r="BY362" s="838"/>
      <c r="BZ362" s="838"/>
      <c r="CA362" s="838"/>
      <c r="CB362" s="838"/>
      <c r="CC362" s="838"/>
      <c r="CD362" s="838"/>
      <c r="CE362" s="838"/>
      <c r="CF362" s="838"/>
      <c r="CG362" s="838"/>
      <c r="CH362" s="838"/>
      <c r="CI362" s="838"/>
      <c r="CJ362" s="838"/>
      <c r="CK362" s="838"/>
      <c r="CL362" s="838"/>
      <c r="CM362" s="838"/>
      <c r="CN362" s="838"/>
      <c r="CO362" s="838"/>
      <c r="CP362" s="852"/>
      <c r="CQ362" s="838"/>
      <c r="CR362" s="838"/>
      <c r="CS362" s="852"/>
      <c r="CT362" s="858"/>
      <c r="CU362" s="838"/>
      <c r="CV362" s="858"/>
      <c r="CW362" s="838"/>
      <c r="CX362" s="858"/>
      <c r="CY362" s="838"/>
      <c r="CZ362" s="858"/>
      <c r="DA362" s="838"/>
      <c r="DB362" s="858"/>
      <c r="DC362" s="838"/>
      <c r="DD362" s="858"/>
      <c r="DE362" s="858"/>
      <c r="DF362" s="858"/>
      <c r="DG362" s="838"/>
      <c r="DH362" s="858"/>
      <c r="DI362" s="838"/>
      <c r="DJ362" s="858"/>
      <c r="DK362" s="838"/>
      <c r="DL362" s="858"/>
      <c r="DM362" s="838"/>
      <c r="DN362" s="838"/>
      <c r="DO362" s="838"/>
      <c r="DP362" s="838"/>
      <c r="DQ362" s="838"/>
      <c r="DR362" s="838"/>
      <c r="DS362" s="838"/>
      <c r="DT362" s="838"/>
      <c r="DU362" s="838"/>
      <c r="DV362" s="838"/>
      <c r="DW362" s="838"/>
      <c r="DX362" s="838"/>
      <c r="DY362" s="838"/>
      <c r="DZ362" s="838"/>
      <c r="EA362" s="838"/>
      <c r="EB362" s="838"/>
      <c r="EC362" s="838"/>
      <c r="ED362" s="838"/>
      <c r="EE362" s="838"/>
      <c r="EF362" s="838"/>
      <c r="EG362" s="838"/>
      <c r="EH362" s="838"/>
      <c r="EI362" s="838"/>
      <c r="EJ362" s="838"/>
      <c r="EK362" s="838"/>
      <c r="EL362" s="838"/>
      <c r="EM362" s="838"/>
      <c r="EN362" s="838"/>
      <c r="EO362" s="838"/>
      <c r="EP362" s="838"/>
      <c r="EQ362" s="838"/>
      <c r="ER362" s="838"/>
      <c r="ES362" s="847"/>
      <c r="ET362" s="871"/>
      <c r="EU362" s="847"/>
      <c r="EV362" s="847"/>
      <c r="EW362" s="847"/>
      <c r="EX362" s="847"/>
      <c r="EY362" s="847"/>
      <c r="FA362" s="838"/>
      <c r="FB362" s="838"/>
      <c r="FC362" s="838"/>
      <c r="FD362" s="838"/>
      <c r="FE362" s="838"/>
      <c r="FF362" s="838"/>
      <c r="FG362" s="838"/>
      <c r="FH362" s="838"/>
      <c r="FI362" s="838"/>
      <c r="FJ362" s="838"/>
      <c r="FK362" s="838"/>
      <c r="FL362" s="838"/>
      <c r="FM362" s="838"/>
      <c r="FN362" s="838"/>
      <c r="FO362" s="838"/>
      <c r="FP362" s="838"/>
      <c r="FQ362" s="838"/>
      <c r="FR362" s="838"/>
      <c r="FS362" s="838"/>
      <c r="FT362" s="838"/>
      <c r="FU362" s="852"/>
      <c r="FV362" s="838"/>
      <c r="FW362" s="838"/>
      <c r="FX362" s="838"/>
      <c r="FY362" s="858"/>
      <c r="FZ362" s="838"/>
      <c r="GA362" s="858"/>
      <c r="GB362" s="838"/>
      <c r="GC362" s="858"/>
      <c r="GD362" s="838"/>
      <c r="GE362" s="858"/>
      <c r="GF362" s="838"/>
      <c r="GG362" s="858"/>
      <c r="GH362" s="838"/>
      <c r="GI362" s="858"/>
      <c r="GJ362" s="858"/>
      <c r="GK362" s="858"/>
      <c r="GL362" s="858"/>
      <c r="GM362" s="858"/>
      <c r="GN362" s="838"/>
      <c r="GO362" s="858"/>
      <c r="GP362" s="858"/>
      <c r="GQ362" s="858"/>
      <c r="HF362" s="700">
        <v>90</v>
      </c>
      <c r="HH362" s="591">
        <v>90</v>
      </c>
    </row>
    <row r="363" spans="37:216" ht="26.25" x14ac:dyDescent="0.4">
      <c r="AK363" s="838"/>
      <c r="AL363" s="852"/>
      <c r="AM363" s="838"/>
      <c r="AN363" s="838"/>
      <c r="AO363" s="838"/>
      <c r="AP363" s="838"/>
      <c r="AQ363" s="838"/>
      <c r="AR363" s="838"/>
      <c r="AS363" s="838"/>
      <c r="AT363" s="838"/>
      <c r="AU363" s="838"/>
      <c r="AV363" s="838"/>
      <c r="AW363" s="838"/>
      <c r="AX363" s="838"/>
      <c r="AY363" s="838"/>
      <c r="AZ363" s="838"/>
      <c r="BA363" s="838"/>
      <c r="BB363" s="838"/>
      <c r="BC363" s="838"/>
      <c r="BD363" s="838"/>
      <c r="BE363" s="838"/>
      <c r="BF363" s="838"/>
      <c r="BG363" s="838"/>
      <c r="BH363" s="838"/>
      <c r="BI363" s="838"/>
      <c r="BJ363" s="838"/>
      <c r="BK363" s="838"/>
      <c r="BL363" s="838"/>
      <c r="BM363" s="838"/>
      <c r="BO363" s="869" t="s">
        <v>558</v>
      </c>
      <c r="BQ363" s="870">
        <f>+$CZ$337</f>
        <v>0</v>
      </c>
      <c r="BS363" s="869"/>
      <c r="BT363" s="870">
        <f>+$CZ$340</f>
        <v>0</v>
      </c>
      <c r="CN363" s="871"/>
      <c r="CO363" s="847"/>
      <c r="CP363" s="847"/>
      <c r="CQ363" s="847"/>
      <c r="CR363" s="871"/>
      <c r="CS363" s="847"/>
      <c r="CT363" s="847"/>
      <c r="DO363" s="838"/>
      <c r="DP363" s="838"/>
      <c r="DQ363" s="838"/>
      <c r="DR363" s="838"/>
      <c r="DS363" s="838"/>
      <c r="DT363" s="838"/>
      <c r="DU363" s="838"/>
      <c r="DV363" s="838"/>
      <c r="DW363" s="838"/>
      <c r="DX363" s="838"/>
      <c r="DY363" s="838"/>
      <c r="DZ363" s="838"/>
      <c r="EA363" s="838"/>
      <c r="EB363" s="838"/>
      <c r="EC363" s="838"/>
      <c r="ED363" s="838"/>
      <c r="EE363" s="838"/>
      <c r="EF363" s="838"/>
      <c r="EG363" s="838"/>
      <c r="EH363" s="838"/>
      <c r="EI363" s="838"/>
      <c r="EJ363" s="838"/>
      <c r="EK363" s="838"/>
      <c r="EL363" s="838"/>
      <c r="EM363" s="838"/>
      <c r="EN363" s="838"/>
      <c r="EO363" s="838"/>
      <c r="EP363" s="838"/>
      <c r="EQ363" s="838"/>
      <c r="ER363" s="838"/>
      <c r="ES363" s="847"/>
      <c r="ET363" s="871"/>
      <c r="EU363" s="847"/>
      <c r="EV363" s="847"/>
      <c r="EW363" s="847"/>
      <c r="EX363" s="847"/>
      <c r="EY363" s="847"/>
      <c r="FA363" s="838"/>
      <c r="FB363" s="838"/>
      <c r="FC363" s="838"/>
      <c r="FD363" s="838"/>
      <c r="FE363" s="838"/>
      <c r="FF363" s="838"/>
      <c r="FG363" s="838"/>
      <c r="FH363" s="838"/>
      <c r="FI363" s="838"/>
      <c r="FJ363" s="838"/>
      <c r="FK363" s="838"/>
      <c r="FL363" s="838"/>
      <c r="FM363" s="838"/>
      <c r="FN363" s="838"/>
      <c r="FO363" s="838"/>
      <c r="FP363" s="838"/>
      <c r="FQ363" s="838"/>
      <c r="FR363" s="838"/>
      <c r="FS363" s="838"/>
      <c r="FT363" s="838"/>
      <c r="FU363" s="852"/>
      <c r="FV363" s="838"/>
      <c r="FW363" s="838"/>
      <c r="FX363" s="838"/>
      <c r="FY363" s="858"/>
      <c r="FZ363" s="838"/>
      <c r="GA363" s="858"/>
      <c r="GB363" s="838"/>
      <c r="GC363" s="858"/>
      <c r="GD363" s="838"/>
      <c r="GE363" s="858"/>
      <c r="GF363" s="838"/>
      <c r="GG363" s="858"/>
      <c r="GH363" s="838"/>
      <c r="GI363" s="858"/>
      <c r="GJ363" s="858"/>
      <c r="GK363" s="858"/>
      <c r="GL363" s="858"/>
      <c r="GM363" s="858"/>
      <c r="GN363" s="838"/>
      <c r="GO363" s="858"/>
      <c r="GP363" s="858"/>
      <c r="GQ363" s="858"/>
      <c r="HF363" s="700">
        <v>90.5</v>
      </c>
      <c r="HH363" s="591">
        <v>90.5</v>
      </c>
    </row>
    <row r="364" spans="37:216" ht="26.25" x14ac:dyDescent="0.4">
      <c r="AL364" s="852"/>
      <c r="BO364" s="869" t="s">
        <v>559</v>
      </c>
      <c r="BQ364" s="870">
        <f>+$DH$337</f>
        <v>0</v>
      </c>
      <c r="BS364" s="869"/>
      <c r="BT364" s="870">
        <f>+$DH$340</f>
        <v>0</v>
      </c>
      <c r="CN364" s="871"/>
      <c r="CO364" s="847"/>
      <c r="CP364" s="847"/>
      <c r="CQ364" s="847"/>
      <c r="CR364" s="871"/>
      <c r="CS364" s="847"/>
      <c r="CT364" s="847"/>
      <c r="DO364" s="838"/>
      <c r="DP364" s="838"/>
      <c r="DQ364" s="838"/>
      <c r="DR364" s="838"/>
      <c r="DS364" s="838"/>
      <c r="DT364" s="838"/>
      <c r="DU364" s="838"/>
      <c r="DV364" s="838"/>
      <c r="DW364" s="838"/>
      <c r="DX364" s="838"/>
      <c r="DY364" s="838"/>
      <c r="DZ364" s="838"/>
      <c r="EA364" s="838"/>
      <c r="EB364" s="838"/>
      <c r="EC364" s="838"/>
      <c r="ED364" s="838"/>
      <c r="EE364" s="838"/>
      <c r="EF364" s="838"/>
      <c r="EG364" s="838"/>
      <c r="EH364" s="838"/>
      <c r="EI364" s="838"/>
      <c r="EJ364" s="838"/>
      <c r="EK364" s="838"/>
      <c r="EL364" s="838"/>
      <c r="EM364" s="838"/>
      <c r="EN364" s="838"/>
      <c r="EO364" s="838"/>
      <c r="EP364" s="838"/>
      <c r="EQ364" s="838"/>
      <c r="ER364" s="838"/>
      <c r="ES364" s="847"/>
      <c r="ET364" s="871"/>
      <c r="EU364" s="847"/>
      <c r="EV364" s="847"/>
      <c r="EW364" s="847"/>
      <c r="EX364" s="847"/>
      <c r="EY364" s="847"/>
      <c r="FA364" s="838"/>
      <c r="FB364" s="838"/>
      <c r="FC364" s="838"/>
      <c r="FD364" s="838"/>
      <c r="FE364" s="838"/>
      <c r="FF364" s="838"/>
      <c r="FG364" s="838"/>
      <c r="FH364" s="838"/>
      <c r="FI364" s="838"/>
      <c r="FJ364" s="838"/>
      <c r="FK364" s="838"/>
      <c r="FL364" s="838"/>
      <c r="FM364" s="838"/>
      <c r="FN364" s="838"/>
      <c r="FO364" s="838"/>
      <c r="FP364" s="838"/>
      <c r="FQ364" s="838"/>
      <c r="FR364" s="838"/>
      <c r="FS364" s="838"/>
      <c r="FT364" s="838"/>
      <c r="FU364" s="852"/>
      <c r="FV364" s="838"/>
      <c r="FW364" s="838"/>
      <c r="FX364" s="838"/>
      <c r="FY364" s="858"/>
      <c r="FZ364" s="838"/>
      <c r="GA364" s="858"/>
      <c r="GB364" s="838"/>
      <c r="GC364" s="858"/>
      <c r="GD364" s="838"/>
      <c r="GE364" s="858"/>
      <c r="GF364" s="838"/>
      <c r="GG364" s="858"/>
      <c r="GH364" s="838"/>
      <c r="GI364" s="858"/>
      <c r="GJ364" s="858"/>
      <c r="GK364" s="858"/>
      <c r="GL364" s="858"/>
      <c r="GM364" s="858"/>
      <c r="GN364" s="838"/>
      <c r="GO364" s="858"/>
      <c r="GP364" s="858"/>
      <c r="GQ364" s="858"/>
      <c r="HF364" s="700">
        <v>91</v>
      </c>
      <c r="HH364" s="591">
        <v>91</v>
      </c>
    </row>
    <row r="365" spans="37:216" ht="26.25" x14ac:dyDescent="0.4">
      <c r="AL365" s="852"/>
      <c r="CN365" s="871"/>
      <c r="CO365" s="847"/>
      <c r="CP365" s="847"/>
      <c r="CQ365" s="847"/>
      <c r="CR365" s="871"/>
      <c r="CS365" s="847"/>
      <c r="CT365" s="847"/>
      <c r="DO365" s="838"/>
      <c r="DP365" s="838"/>
      <c r="DQ365" s="838"/>
      <c r="DR365" s="838"/>
      <c r="DS365" s="838"/>
      <c r="DT365" s="838"/>
      <c r="DU365" s="838"/>
      <c r="DV365" s="838"/>
      <c r="DW365" s="838"/>
      <c r="DX365" s="838"/>
      <c r="DY365" s="838"/>
      <c r="DZ365" s="838"/>
      <c r="EA365" s="838"/>
      <c r="EB365" s="838"/>
      <c r="EC365" s="838"/>
      <c r="ED365" s="838"/>
      <c r="EE365" s="838"/>
      <c r="EF365" s="838"/>
      <c r="EG365" s="838"/>
      <c r="EH365" s="838"/>
      <c r="EI365" s="838"/>
      <c r="EJ365" s="838"/>
      <c r="EK365" s="838"/>
      <c r="EL365" s="838"/>
      <c r="EM365" s="838"/>
      <c r="EN365" s="838"/>
      <c r="EO365" s="838"/>
      <c r="EP365" s="838"/>
      <c r="EQ365" s="838"/>
      <c r="ER365" s="838"/>
      <c r="ES365" s="847"/>
      <c r="ET365" s="871"/>
      <c r="EU365" s="847"/>
      <c r="EV365" s="847"/>
      <c r="EW365" s="847"/>
      <c r="EX365" s="847"/>
      <c r="EY365" s="847"/>
      <c r="FA365" s="838"/>
      <c r="FB365" s="838"/>
      <c r="FC365" s="838"/>
      <c r="FD365" s="838"/>
      <c r="FE365" s="838"/>
      <c r="FF365" s="838"/>
      <c r="FG365" s="838"/>
      <c r="FH365" s="838"/>
      <c r="FI365" s="838"/>
      <c r="FJ365" s="838"/>
      <c r="FK365" s="838"/>
      <c r="FL365" s="838"/>
      <c r="FM365" s="838"/>
      <c r="FN365" s="838"/>
      <c r="FO365" s="838"/>
      <c r="FP365" s="838"/>
      <c r="FQ365" s="838"/>
      <c r="FR365" s="838"/>
      <c r="FS365" s="838"/>
      <c r="FT365" s="838"/>
      <c r="FU365" s="852"/>
      <c r="FV365" s="838"/>
      <c r="FW365" s="838"/>
      <c r="FX365" s="838"/>
      <c r="FY365" s="858"/>
      <c r="FZ365" s="838"/>
      <c r="GA365" s="858"/>
      <c r="GB365" s="838"/>
      <c r="GC365" s="858"/>
      <c r="GD365" s="838"/>
      <c r="GE365" s="858"/>
      <c r="GF365" s="838"/>
      <c r="GG365" s="858"/>
      <c r="GH365" s="838"/>
      <c r="GI365" s="858"/>
      <c r="GJ365" s="858"/>
      <c r="GK365" s="858"/>
      <c r="GL365" s="858"/>
      <c r="GM365" s="858"/>
      <c r="GN365" s="838"/>
      <c r="GO365" s="858"/>
      <c r="GP365" s="858"/>
      <c r="GQ365" s="858"/>
      <c r="HF365" s="700">
        <v>91.5</v>
      </c>
      <c r="HH365" s="591">
        <v>91.5</v>
      </c>
    </row>
    <row r="366" spans="37:216" ht="26.25" x14ac:dyDescent="0.4">
      <c r="AL366" s="872"/>
      <c r="CN366" s="871"/>
      <c r="CO366" s="847"/>
      <c r="CP366" s="847"/>
      <c r="CQ366" s="847"/>
      <c r="CR366" s="871"/>
      <c r="CS366" s="847"/>
      <c r="CT366" s="847"/>
      <c r="DO366" s="838"/>
      <c r="DP366" s="838"/>
      <c r="DQ366" s="838"/>
      <c r="DR366" s="838"/>
      <c r="DS366" s="838"/>
      <c r="DT366" s="838"/>
      <c r="DU366" s="838"/>
      <c r="DV366" s="838"/>
      <c r="DW366" s="838"/>
      <c r="DX366" s="838"/>
      <c r="DY366" s="838"/>
      <c r="DZ366" s="838"/>
      <c r="EA366" s="838"/>
      <c r="EB366" s="838"/>
      <c r="EC366" s="838"/>
      <c r="ED366" s="838"/>
      <c r="EE366" s="838"/>
      <c r="EF366" s="838"/>
      <c r="EG366" s="838"/>
      <c r="EH366" s="838"/>
      <c r="EI366" s="838"/>
      <c r="EJ366" s="838"/>
      <c r="EK366" s="838"/>
      <c r="EL366" s="838"/>
      <c r="EM366" s="838"/>
      <c r="EN366" s="838"/>
      <c r="EO366" s="838"/>
      <c r="EP366" s="838"/>
      <c r="EQ366" s="838"/>
      <c r="ER366" s="838"/>
      <c r="ES366" s="847"/>
      <c r="ET366" s="871"/>
      <c r="EU366" s="847"/>
      <c r="EV366" s="847"/>
      <c r="EW366" s="847"/>
      <c r="EX366" s="847"/>
      <c r="EY366" s="847"/>
      <c r="FA366" s="838"/>
      <c r="FB366" s="838"/>
      <c r="FC366" s="838"/>
      <c r="FD366" s="838"/>
      <c r="FE366" s="838"/>
      <c r="FF366" s="838"/>
      <c r="FG366" s="838"/>
      <c r="FH366" s="838"/>
      <c r="FI366" s="838"/>
      <c r="FJ366" s="838"/>
      <c r="FK366" s="838"/>
      <c r="FL366" s="838"/>
      <c r="FM366" s="838"/>
      <c r="FN366" s="838"/>
      <c r="FO366" s="838"/>
      <c r="FP366" s="838"/>
      <c r="FQ366" s="838"/>
      <c r="FR366" s="838"/>
      <c r="FS366" s="838"/>
      <c r="FT366" s="838"/>
      <c r="FU366" s="852"/>
      <c r="FV366" s="838"/>
      <c r="FW366" s="838"/>
      <c r="FX366" s="838"/>
      <c r="FY366" s="858"/>
      <c r="FZ366" s="838"/>
      <c r="GA366" s="858"/>
      <c r="GB366" s="838"/>
      <c r="GC366" s="858"/>
      <c r="GD366" s="838"/>
      <c r="GE366" s="858"/>
      <c r="GF366" s="838"/>
      <c r="GG366" s="858"/>
      <c r="GH366" s="838"/>
      <c r="GI366" s="858"/>
      <c r="GJ366" s="858"/>
      <c r="GK366" s="858"/>
      <c r="GL366" s="858"/>
      <c r="GM366" s="858"/>
      <c r="GN366" s="838"/>
      <c r="GO366" s="858"/>
      <c r="GP366" s="858"/>
      <c r="GQ366" s="858"/>
      <c r="HF366" s="700">
        <v>92</v>
      </c>
      <c r="HH366" s="591">
        <v>92</v>
      </c>
    </row>
    <row r="367" spans="37:216" ht="26.25" customHeight="1" x14ac:dyDescent="0.4">
      <c r="AL367" s="852"/>
      <c r="CN367" s="871"/>
      <c r="CO367" s="847"/>
      <c r="CP367" s="847"/>
      <c r="CQ367" s="847"/>
      <c r="CR367" s="871"/>
      <c r="CS367" s="847"/>
      <c r="CT367" s="847"/>
      <c r="DO367" s="838"/>
      <c r="DP367" s="838"/>
      <c r="DQ367" s="838"/>
      <c r="DR367" s="838"/>
      <c r="DS367" s="838"/>
      <c r="DT367" s="838"/>
      <c r="DU367" s="838"/>
      <c r="DV367" s="838"/>
      <c r="DW367" s="838"/>
      <c r="DX367" s="838"/>
      <c r="DY367" s="838"/>
      <c r="DZ367" s="838"/>
      <c r="EA367" s="838"/>
      <c r="EB367" s="838"/>
      <c r="EC367" s="838"/>
      <c r="ED367" s="838"/>
      <c r="EE367" s="838"/>
      <c r="EF367" s="838"/>
      <c r="EG367" s="838"/>
      <c r="EH367" s="838"/>
      <c r="EI367" s="838"/>
      <c r="EJ367" s="838"/>
      <c r="EK367" s="838"/>
      <c r="EL367" s="838"/>
      <c r="EM367" s="838"/>
      <c r="EN367" s="838"/>
      <c r="EO367" s="838"/>
      <c r="EP367" s="838"/>
      <c r="EQ367" s="838"/>
      <c r="ER367" s="838"/>
      <c r="ES367" s="847"/>
      <c r="ET367" s="871"/>
      <c r="EU367" s="847"/>
      <c r="EV367" s="847"/>
      <c r="EW367" s="847"/>
      <c r="EX367" s="847"/>
      <c r="EY367" s="847"/>
      <c r="FA367" s="838"/>
      <c r="FB367" s="838"/>
      <c r="FC367" s="838"/>
      <c r="FD367" s="838"/>
      <c r="FE367" s="838"/>
      <c r="FF367" s="838"/>
      <c r="FG367" s="838"/>
      <c r="FH367" s="838"/>
      <c r="FI367" s="838"/>
      <c r="FJ367" s="838"/>
      <c r="FK367" s="838"/>
      <c r="FL367" s="838"/>
      <c r="FM367" s="838"/>
      <c r="FN367" s="838"/>
      <c r="FO367" s="838"/>
      <c r="FP367" s="838"/>
      <c r="FQ367" s="838"/>
      <c r="FR367" s="838"/>
      <c r="FS367" s="838"/>
      <c r="FT367" s="838"/>
      <c r="FU367" s="852"/>
      <c r="FV367" s="838"/>
      <c r="FW367" s="838"/>
      <c r="FX367" s="838"/>
      <c r="FY367" s="858"/>
      <c r="FZ367" s="838"/>
      <c r="GA367" s="858"/>
      <c r="GB367" s="838"/>
      <c r="GC367" s="858"/>
      <c r="GD367" s="838"/>
      <c r="GE367" s="858"/>
      <c r="GF367" s="838"/>
      <c r="GG367" s="858"/>
      <c r="GH367" s="838"/>
      <c r="GI367" s="858"/>
      <c r="GJ367" s="858"/>
      <c r="GK367" s="858"/>
      <c r="GL367" s="858"/>
      <c r="GM367" s="858"/>
      <c r="GN367" s="838"/>
      <c r="GO367" s="858"/>
      <c r="GP367" s="858"/>
      <c r="GQ367" s="858"/>
      <c r="HF367" s="700">
        <v>92.5</v>
      </c>
      <c r="HH367" s="591">
        <v>92.5</v>
      </c>
    </row>
    <row r="368" spans="37:216" ht="26.25" x14ac:dyDescent="0.4">
      <c r="AL368" s="852"/>
      <c r="CN368" s="871"/>
      <c r="CO368" s="847"/>
      <c r="CP368" s="847"/>
      <c r="CQ368" s="847"/>
      <c r="CR368" s="871"/>
      <c r="CS368" s="847"/>
      <c r="CT368" s="847"/>
      <c r="DO368" s="838"/>
      <c r="DP368" s="838"/>
      <c r="DQ368" s="838"/>
      <c r="DR368" s="838"/>
      <c r="DS368" s="838"/>
      <c r="DT368" s="838"/>
      <c r="DU368" s="838"/>
      <c r="DV368" s="838"/>
      <c r="DW368" s="838"/>
      <c r="DX368" s="838"/>
      <c r="DY368" s="838"/>
      <c r="DZ368" s="838"/>
      <c r="EA368" s="838"/>
      <c r="EB368" s="838"/>
      <c r="EC368" s="838"/>
      <c r="ED368" s="838"/>
      <c r="EE368" s="838"/>
      <c r="EF368" s="838"/>
      <c r="EG368" s="838"/>
      <c r="EH368" s="838"/>
      <c r="EI368" s="838"/>
      <c r="EJ368" s="838"/>
      <c r="EK368" s="838"/>
      <c r="EL368" s="838"/>
      <c r="EM368" s="838"/>
      <c r="EN368" s="838"/>
      <c r="EO368" s="838"/>
      <c r="EP368" s="838"/>
      <c r="EQ368" s="838"/>
      <c r="ER368" s="838"/>
      <c r="ES368" s="847"/>
      <c r="ET368" s="871"/>
      <c r="EU368" s="847"/>
      <c r="EV368" s="847"/>
      <c r="EW368" s="847"/>
      <c r="EX368" s="847"/>
      <c r="EY368" s="847"/>
      <c r="FA368" s="838"/>
      <c r="FB368" s="838"/>
      <c r="FC368" s="838"/>
      <c r="FD368" s="838"/>
      <c r="FE368" s="838"/>
      <c r="FF368" s="838"/>
      <c r="FG368" s="838"/>
      <c r="FH368" s="838"/>
      <c r="FI368" s="838"/>
      <c r="FJ368" s="838"/>
      <c r="FK368" s="838"/>
      <c r="FL368" s="838"/>
      <c r="FM368" s="838"/>
      <c r="FN368" s="838"/>
      <c r="FO368" s="838"/>
      <c r="FP368" s="838"/>
      <c r="FQ368" s="838"/>
      <c r="FR368" s="838"/>
      <c r="FS368" s="838"/>
      <c r="FT368" s="838"/>
      <c r="FU368" s="852"/>
      <c r="FV368" s="838"/>
      <c r="FW368" s="838"/>
      <c r="FX368" s="838"/>
      <c r="FY368" s="858"/>
      <c r="FZ368" s="838"/>
      <c r="GA368" s="858"/>
      <c r="GB368" s="838"/>
      <c r="GC368" s="858"/>
      <c r="GD368" s="838"/>
      <c r="GE368" s="858"/>
      <c r="GF368" s="838"/>
      <c r="GG368" s="858"/>
      <c r="GH368" s="838"/>
      <c r="GI368" s="858"/>
      <c r="GJ368" s="858"/>
      <c r="GK368" s="858"/>
      <c r="GL368" s="858"/>
      <c r="GM368" s="858"/>
      <c r="GN368" s="838"/>
      <c r="GO368" s="858"/>
      <c r="GP368" s="858"/>
      <c r="GQ368" s="858"/>
      <c r="HF368" s="700">
        <v>93</v>
      </c>
      <c r="HH368" s="591">
        <v>93</v>
      </c>
    </row>
    <row r="369" spans="38:216" ht="26.25" x14ac:dyDescent="0.4">
      <c r="AL369" s="852"/>
      <c r="CN369" s="871"/>
      <c r="CO369" s="847"/>
      <c r="CP369" s="847"/>
      <c r="CQ369" s="847"/>
      <c r="CR369" s="871"/>
      <c r="CS369" s="847"/>
      <c r="CT369" s="847"/>
      <c r="DO369" s="838"/>
      <c r="DP369" s="838"/>
      <c r="DQ369" s="838"/>
      <c r="DR369" s="838"/>
      <c r="DS369" s="838"/>
      <c r="DT369" s="838"/>
      <c r="DU369" s="838"/>
      <c r="DV369" s="838"/>
      <c r="DW369" s="838"/>
      <c r="DX369" s="838"/>
      <c r="DY369" s="838"/>
      <c r="DZ369" s="838"/>
      <c r="EA369" s="838"/>
      <c r="EB369" s="838"/>
      <c r="EC369" s="838"/>
      <c r="ED369" s="838"/>
      <c r="EE369" s="838"/>
      <c r="EF369" s="838"/>
      <c r="EG369" s="838"/>
      <c r="EH369" s="838"/>
      <c r="EI369" s="838"/>
      <c r="EJ369" s="838"/>
      <c r="EK369" s="838"/>
      <c r="EL369" s="838"/>
      <c r="EM369" s="838"/>
      <c r="EN369" s="838"/>
      <c r="EO369" s="838"/>
      <c r="EP369" s="838"/>
      <c r="EQ369" s="838"/>
      <c r="ER369" s="838"/>
      <c r="ES369" s="847"/>
      <c r="ET369" s="871"/>
      <c r="EU369" s="847"/>
      <c r="EV369" s="847"/>
      <c r="EW369" s="847"/>
      <c r="EX369" s="847"/>
      <c r="EY369" s="847"/>
      <c r="FA369" s="838"/>
      <c r="FB369" s="838"/>
      <c r="FC369" s="838"/>
      <c r="FD369" s="838"/>
      <c r="FE369" s="838"/>
      <c r="FF369" s="838"/>
      <c r="FG369" s="838"/>
      <c r="FH369" s="838"/>
      <c r="FI369" s="838"/>
      <c r="FJ369" s="838"/>
      <c r="FK369" s="838"/>
      <c r="FL369" s="838"/>
      <c r="FM369" s="838"/>
      <c r="FN369" s="838"/>
      <c r="FO369" s="838"/>
      <c r="FP369" s="838"/>
      <c r="FQ369" s="838"/>
      <c r="FR369" s="838"/>
      <c r="FS369" s="838"/>
      <c r="FT369" s="838"/>
      <c r="FU369" s="852"/>
      <c r="FV369" s="838"/>
      <c r="FW369" s="838"/>
      <c r="FX369" s="838"/>
      <c r="FY369" s="858"/>
      <c r="FZ369" s="838"/>
      <c r="GA369" s="858"/>
      <c r="GB369" s="838"/>
      <c r="GC369" s="858"/>
      <c r="GD369" s="838"/>
      <c r="GE369" s="858"/>
      <c r="GF369" s="838"/>
      <c r="GG369" s="858"/>
      <c r="GH369" s="838"/>
      <c r="GI369" s="858"/>
      <c r="GJ369" s="858"/>
      <c r="GK369" s="858"/>
      <c r="GL369" s="858"/>
      <c r="GM369" s="858"/>
      <c r="GN369" s="838"/>
      <c r="GO369" s="858"/>
      <c r="GP369" s="858"/>
      <c r="GQ369" s="858"/>
      <c r="HF369" s="700">
        <v>93.5</v>
      </c>
      <c r="HH369" s="591">
        <v>93.5</v>
      </c>
    </row>
    <row r="370" spans="38:216" ht="26.25" x14ac:dyDescent="0.4">
      <c r="CN370" s="871"/>
      <c r="CO370" s="847"/>
      <c r="CP370" s="847"/>
      <c r="CQ370" s="847"/>
      <c r="CR370" s="871"/>
      <c r="CS370" s="847"/>
      <c r="CT370" s="847"/>
      <c r="DO370" s="838"/>
      <c r="DP370" s="838"/>
      <c r="DQ370" s="838"/>
      <c r="DR370" s="838"/>
      <c r="DS370" s="838"/>
      <c r="DT370" s="838"/>
      <c r="DU370" s="838"/>
      <c r="DV370" s="838"/>
      <c r="DW370" s="838"/>
      <c r="DX370" s="838"/>
      <c r="DY370" s="838"/>
      <c r="DZ370" s="838"/>
      <c r="EA370" s="838"/>
      <c r="EB370" s="838"/>
      <c r="EC370" s="838"/>
      <c r="ED370" s="838"/>
      <c r="EE370" s="838"/>
      <c r="EF370" s="838"/>
      <c r="EG370" s="838"/>
      <c r="EH370" s="838"/>
      <c r="EI370" s="838"/>
      <c r="EJ370" s="838"/>
      <c r="EK370" s="838"/>
      <c r="EL370" s="838"/>
      <c r="EM370" s="838"/>
      <c r="EN370" s="838"/>
      <c r="EO370" s="838"/>
      <c r="EP370" s="838"/>
      <c r="EQ370" s="838"/>
      <c r="ER370" s="838"/>
      <c r="ES370" s="847"/>
      <c r="ET370" s="871"/>
      <c r="EU370" s="847"/>
      <c r="EV370" s="847"/>
      <c r="EW370" s="847"/>
      <c r="EX370" s="847"/>
      <c r="EY370" s="847"/>
      <c r="FA370" s="838"/>
      <c r="FB370" s="838"/>
      <c r="FC370" s="838"/>
      <c r="FD370" s="838"/>
      <c r="FE370" s="838"/>
      <c r="FF370" s="838"/>
      <c r="FG370" s="838"/>
      <c r="FH370" s="838"/>
      <c r="FI370" s="838"/>
      <c r="FJ370" s="838"/>
      <c r="FK370" s="838"/>
      <c r="FL370" s="838"/>
      <c r="FM370" s="838"/>
      <c r="FN370" s="838"/>
      <c r="FO370" s="838"/>
      <c r="FP370" s="838"/>
      <c r="FQ370" s="838"/>
      <c r="FR370" s="838"/>
      <c r="FS370" s="838"/>
      <c r="FT370" s="838"/>
      <c r="FU370" s="852"/>
      <c r="FV370" s="838"/>
      <c r="FW370" s="838"/>
      <c r="FX370" s="838"/>
      <c r="FY370" s="858"/>
      <c r="FZ370" s="838"/>
      <c r="GA370" s="858"/>
      <c r="GB370" s="838"/>
      <c r="GC370" s="858"/>
      <c r="GD370" s="838"/>
      <c r="GE370" s="858"/>
      <c r="GF370" s="838"/>
      <c r="GG370" s="858"/>
      <c r="GH370" s="838"/>
      <c r="GI370" s="858"/>
      <c r="GJ370" s="858"/>
      <c r="GK370" s="858"/>
      <c r="GL370" s="858"/>
      <c r="GM370" s="858"/>
      <c r="GN370" s="838"/>
      <c r="GO370" s="858"/>
      <c r="GP370" s="858"/>
      <c r="GQ370" s="858"/>
      <c r="HF370" s="700">
        <v>94</v>
      </c>
      <c r="HH370" s="591">
        <v>94</v>
      </c>
    </row>
    <row r="371" spans="38:216" ht="26.25" x14ac:dyDescent="0.4">
      <c r="CN371" s="871"/>
      <c r="CO371" s="847"/>
      <c r="CP371" s="847"/>
      <c r="CQ371" s="847"/>
      <c r="CR371" s="871"/>
      <c r="CS371" s="847"/>
      <c r="CT371" s="847"/>
      <c r="DO371" s="838"/>
      <c r="DP371" s="838"/>
      <c r="DQ371" s="838"/>
      <c r="DR371" s="838"/>
      <c r="DS371" s="838"/>
      <c r="DT371" s="838"/>
      <c r="DU371" s="838"/>
      <c r="DV371" s="838"/>
      <c r="DW371" s="838"/>
      <c r="DX371" s="838"/>
      <c r="DY371" s="838"/>
      <c r="DZ371" s="838"/>
      <c r="EA371" s="838"/>
      <c r="EB371" s="838"/>
      <c r="EC371" s="838"/>
      <c r="ED371" s="838"/>
      <c r="EE371" s="838"/>
      <c r="EF371" s="838"/>
      <c r="EG371" s="838"/>
      <c r="EH371" s="838"/>
      <c r="EI371" s="838"/>
      <c r="EJ371" s="838"/>
      <c r="EK371" s="838"/>
      <c r="EL371" s="838"/>
      <c r="EM371" s="838"/>
      <c r="EN371" s="838"/>
      <c r="EO371" s="838"/>
      <c r="EP371" s="838"/>
      <c r="EQ371" s="838"/>
      <c r="ER371" s="838"/>
      <c r="ES371" s="847"/>
      <c r="ET371" s="871"/>
      <c r="EU371" s="847"/>
      <c r="EV371" s="847"/>
      <c r="EW371" s="847"/>
      <c r="EX371" s="847"/>
      <c r="EY371" s="847"/>
      <c r="FA371" s="838"/>
      <c r="FB371" s="838"/>
      <c r="FC371" s="838"/>
      <c r="FD371" s="838"/>
      <c r="FE371" s="838"/>
      <c r="FF371" s="838"/>
      <c r="FG371" s="838"/>
      <c r="FH371" s="838"/>
      <c r="FI371" s="838"/>
      <c r="FJ371" s="838"/>
      <c r="FK371" s="838"/>
      <c r="FL371" s="838"/>
      <c r="FM371" s="838"/>
      <c r="FN371" s="838"/>
      <c r="FO371" s="838"/>
      <c r="FP371" s="838"/>
      <c r="FQ371" s="838"/>
      <c r="FR371" s="838"/>
      <c r="FS371" s="838"/>
      <c r="FT371" s="838"/>
      <c r="FU371" s="852"/>
      <c r="FV371" s="838"/>
      <c r="FW371" s="838"/>
      <c r="FX371" s="838"/>
      <c r="FY371" s="858"/>
      <c r="FZ371" s="838"/>
      <c r="GA371" s="858"/>
      <c r="GB371" s="838"/>
      <c r="GC371" s="858"/>
      <c r="GD371" s="838"/>
      <c r="GE371" s="858"/>
      <c r="GF371" s="838"/>
      <c r="GG371" s="858"/>
      <c r="GH371" s="838"/>
      <c r="GI371" s="858"/>
      <c r="GJ371" s="858"/>
      <c r="GK371" s="858"/>
      <c r="GL371" s="858"/>
      <c r="GM371" s="858"/>
      <c r="GN371" s="838"/>
      <c r="GO371" s="858"/>
      <c r="GP371" s="858"/>
      <c r="GQ371" s="858"/>
      <c r="HF371" s="700">
        <v>94.5</v>
      </c>
      <c r="HH371" s="591">
        <v>94.5</v>
      </c>
    </row>
    <row r="372" spans="38:216" ht="26.25" x14ac:dyDescent="0.4">
      <c r="CN372" s="871"/>
      <c r="CO372" s="847"/>
      <c r="CP372" s="847"/>
      <c r="CQ372" s="847"/>
      <c r="CR372" s="871"/>
      <c r="CS372" s="847"/>
      <c r="CT372" s="847"/>
      <c r="DO372" s="838"/>
      <c r="DP372" s="838"/>
      <c r="DQ372" s="838"/>
      <c r="DR372" s="838"/>
      <c r="DS372" s="838"/>
      <c r="DT372" s="838"/>
      <c r="DU372" s="838"/>
      <c r="DV372" s="838"/>
      <c r="DW372" s="838"/>
      <c r="DX372" s="838"/>
      <c r="DY372" s="838"/>
      <c r="DZ372" s="838"/>
      <c r="EA372" s="838"/>
      <c r="EB372" s="838"/>
      <c r="EC372" s="838"/>
      <c r="ED372" s="838"/>
      <c r="EE372" s="838"/>
      <c r="EF372" s="838"/>
      <c r="EG372" s="838"/>
      <c r="EH372" s="838"/>
      <c r="EI372" s="838"/>
      <c r="EJ372" s="838"/>
      <c r="EK372" s="838"/>
      <c r="EL372" s="838"/>
      <c r="EM372" s="838"/>
      <c r="EN372" s="838"/>
      <c r="EO372" s="838"/>
      <c r="EP372" s="838"/>
      <c r="EQ372" s="838"/>
      <c r="ER372" s="838"/>
      <c r="ES372" s="847"/>
      <c r="ET372" s="871"/>
      <c r="EU372" s="847"/>
      <c r="EV372" s="847"/>
      <c r="EW372" s="847"/>
      <c r="EX372" s="847"/>
      <c r="EY372" s="847"/>
      <c r="FA372" s="838"/>
      <c r="FB372" s="838"/>
      <c r="FC372" s="838"/>
      <c r="FD372" s="838"/>
      <c r="FE372" s="838"/>
      <c r="FF372" s="838"/>
      <c r="FG372" s="838"/>
      <c r="FH372" s="838"/>
      <c r="FI372" s="838"/>
      <c r="FJ372" s="838"/>
      <c r="FK372" s="838"/>
      <c r="FL372" s="838"/>
      <c r="FM372" s="838"/>
      <c r="FN372" s="838"/>
      <c r="FO372" s="838"/>
      <c r="FP372" s="838"/>
      <c r="FQ372" s="838"/>
      <c r="FR372" s="838"/>
      <c r="FS372" s="838"/>
      <c r="FT372" s="838"/>
      <c r="FU372" s="852"/>
      <c r="FV372" s="838"/>
      <c r="FW372" s="838"/>
      <c r="FX372" s="838"/>
      <c r="FY372" s="858"/>
      <c r="FZ372" s="838"/>
      <c r="GA372" s="858"/>
      <c r="GB372" s="838"/>
      <c r="GC372" s="858"/>
      <c r="GD372" s="838"/>
      <c r="GE372" s="858"/>
      <c r="GF372" s="838"/>
      <c r="GG372" s="858"/>
      <c r="GH372" s="838"/>
      <c r="GI372" s="858"/>
      <c r="GJ372" s="858"/>
      <c r="GK372" s="858"/>
      <c r="GL372" s="858"/>
      <c r="GM372" s="858"/>
      <c r="GN372" s="838"/>
      <c r="GO372" s="858"/>
      <c r="GP372" s="858"/>
      <c r="GQ372" s="858"/>
      <c r="HF372" s="700">
        <v>95</v>
      </c>
      <c r="HH372" s="591">
        <v>95</v>
      </c>
    </row>
    <row r="373" spans="38:216" ht="26.25" x14ac:dyDescent="0.4">
      <c r="DO373" s="838"/>
      <c r="DP373" s="838"/>
      <c r="DQ373" s="838"/>
      <c r="DR373" s="838"/>
      <c r="DS373" s="838"/>
      <c r="DT373" s="838"/>
      <c r="DU373" s="838"/>
      <c r="DV373" s="838"/>
      <c r="DW373" s="838"/>
      <c r="DX373" s="838"/>
      <c r="DY373" s="838"/>
      <c r="DZ373" s="838"/>
      <c r="EA373" s="838"/>
      <c r="EB373" s="838"/>
      <c r="EC373" s="838"/>
      <c r="ED373" s="838"/>
      <c r="EE373" s="838"/>
      <c r="EF373" s="838"/>
      <c r="EG373" s="838"/>
      <c r="EH373" s="838"/>
      <c r="EI373" s="838"/>
      <c r="EJ373" s="838"/>
      <c r="EK373" s="838"/>
      <c r="EL373" s="838"/>
      <c r="EM373" s="838"/>
      <c r="EN373" s="838"/>
      <c r="EO373" s="838"/>
      <c r="EP373" s="838"/>
      <c r="EQ373" s="838"/>
      <c r="ER373" s="838"/>
      <c r="ES373" s="847"/>
      <c r="ET373" s="871"/>
      <c r="EU373" s="847"/>
      <c r="EV373" s="847"/>
      <c r="EW373" s="847"/>
      <c r="EX373" s="847"/>
      <c r="EY373" s="847"/>
      <c r="FA373" s="838"/>
      <c r="FB373" s="838"/>
      <c r="FC373" s="838"/>
      <c r="FD373" s="838"/>
      <c r="FE373" s="838"/>
      <c r="FF373" s="838"/>
      <c r="FG373" s="838"/>
      <c r="FH373" s="838"/>
      <c r="FI373" s="838"/>
      <c r="FJ373" s="838"/>
      <c r="FK373" s="838"/>
      <c r="FL373" s="838"/>
      <c r="FM373" s="838"/>
      <c r="FN373" s="838"/>
      <c r="FO373" s="838"/>
      <c r="FP373" s="838"/>
      <c r="FQ373" s="838"/>
      <c r="FR373" s="838"/>
      <c r="FS373" s="838"/>
      <c r="FT373" s="838"/>
      <c r="FU373" s="852"/>
      <c r="FV373" s="838"/>
      <c r="FW373" s="838"/>
      <c r="FX373" s="838"/>
      <c r="FY373" s="858"/>
      <c r="FZ373" s="838"/>
      <c r="GA373" s="858"/>
      <c r="GB373" s="838"/>
      <c r="GC373" s="858"/>
      <c r="GD373" s="838"/>
      <c r="GE373" s="858"/>
      <c r="GF373" s="838"/>
      <c r="GG373" s="858"/>
      <c r="GH373" s="838"/>
      <c r="GI373" s="858"/>
      <c r="GJ373" s="858"/>
      <c r="GK373" s="858"/>
      <c r="GL373" s="858"/>
      <c r="GM373" s="858"/>
      <c r="GN373" s="838"/>
      <c r="GO373" s="858"/>
      <c r="GP373" s="858"/>
      <c r="GQ373" s="858"/>
      <c r="HF373" s="700">
        <v>95.5</v>
      </c>
      <c r="HH373" s="591">
        <v>95.5</v>
      </c>
    </row>
    <row r="374" spans="38:216" ht="26.25" x14ac:dyDescent="0.4">
      <c r="DO374" s="838"/>
      <c r="DP374" s="838"/>
      <c r="DQ374" s="838"/>
      <c r="DR374" s="838"/>
      <c r="DS374" s="838"/>
      <c r="DT374" s="838"/>
      <c r="DU374" s="838"/>
      <c r="DV374" s="838"/>
      <c r="DW374" s="838"/>
      <c r="DX374" s="838"/>
      <c r="DY374" s="838"/>
      <c r="DZ374" s="838"/>
      <c r="EA374" s="838"/>
      <c r="EB374" s="838"/>
      <c r="EC374" s="838"/>
      <c r="ED374" s="838"/>
      <c r="EE374" s="838"/>
      <c r="EF374" s="838"/>
      <c r="EG374" s="838"/>
      <c r="EH374" s="838"/>
      <c r="EI374" s="838"/>
      <c r="EJ374" s="838"/>
      <c r="EK374" s="838"/>
      <c r="EL374" s="838"/>
      <c r="EM374" s="838"/>
      <c r="EN374" s="838"/>
      <c r="EO374" s="838"/>
      <c r="EP374" s="838"/>
      <c r="EQ374" s="838"/>
      <c r="ER374" s="838"/>
      <c r="ES374" s="847"/>
      <c r="ET374" s="871"/>
      <c r="EU374" s="847"/>
      <c r="EV374" s="847"/>
      <c r="EW374" s="847"/>
      <c r="EX374" s="847"/>
      <c r="EY374" s="847"/>
      <c r="FA374" s="838"/>
      <c r="FB374" s="838"/>
      <c r="FC374" s="838"/>
      <c r="FD374" s="838"/>
      <c r="FE374" s="838"/>
      <c r="FF374" s="838"/>
      <c r="FG374" s="838"/>
      <c r="FH374" s="838"/>
      <c r="FI374" s="838"/>
      <c r="FJ374" s="838"/>
      <c r="FK374" s="838"/>
      <c r="FL374" s="838"/>
      <c r="FM374" s="838"/>
      <c r="FN374" s="838"/>
      <c r="FO374" s="838"/>
      <c r="FP374" s="838"/>
      <c r="FQ374" s="838"/>
      <c r="FR374" s="838"/>
      <c r="FS374" s="838"/>
      <c r="FT374" s="838"/>
      <c r="FU374" s="852"/>
      <c r="FV374" s="838"/>
      <c r="FW374" s="838"/>
      <c r="FX374" s="838"/>
      <c r="FY374" s="858"/>
      <c r="FZ374" s="838"/>
      <c r="GA374" s="858"/>
      <c r="GB374" s="838"/>
      <c r="GC374" s="858"/>
      <c r="GD374" s="838"/>
      <c r="GE374" s="858"/>
      <c r="GF374" s="838"/>
      <c r="GG374" s="858"/>
      <c r="GH374" s="838"/>
      <c r="GI374" s="858"/>
      <c r="GJ374" s="858"/>
      <c r="GK374" s="858"/>
      <c r="GL374" s="858"/>
      <c r="GM374" s="858"/>
      <c r="GN374" s="838"/>
      <c r="GO374" s="858"/>
      <c r="GP374" s="858"/>
      <c r="GQ374" s="858"/>
      <c r="HF374" s="700">
        <v>96</v>
      </c>
      <c r="HH374" s="591">
        <v>96</v>
      </c>
    </row>
    <row r="375" spans="38:216" ht="26.25" x14ac:dyDescent="0.4">
      <c r="CS375" s="1020"/>
      <c r="CT375" s="1020"/>
      <c r="CU375" s="1020"/>
      <c r="CV375" s="1020"/>
      <c r="CW375" s="1020"/>
      <c r="CX375" s="1020"/>
      <c r="CY375" s="1020"/>
      <c r="CZ375" s="1020"/>
      <c r="DA375" s="1020"/>
      <c r="DB375" s="1020"/>
      <c r="DC375" s="1020"/>
      <c r="DO375" s="838"/>
      <c r="DP375" s="838"/>
      <c r="DQ375" s="838"/>
      <c r="DR375" s="838"/>
      <c r="DS375" s="838"/>
      <c r="DT375" s="838"/>
      <c r="DU375" s="838"/>
      <c r="DV375" s="838"/>
      <c r="DW375" s="838"/>
      <c r="DX375" s="838"/>
      <c r="DY375" s="838"/>
      <c r="DZ375" s="838"/>
      <c r="EA375" s="838"/>
      <c r="EB375" s="838"/>
      <c r="EC375" s="838"/>
      <c r="ED375" s="838"/>
      <c r="EE375" s="838"/>
      <c r="EF375" s="838"/>
      <c r="EG375" s="838"/>
      <c r="EH375" s="838"/>
      <c r="EI375" s="838"/>
      <c r="EJ375" s="838"/>
      <c r="EK375" s="838"/>
      <c r="EL375" s="838"/>
      <c r="EM375" s="838"/>
      <c r="EN375" s="838"/>
      <c r="EO375" s="838"/>
      <c r="EP375" s="838"/>
      <c r="EQ375" s="838"/>
      <c r="ER375" s="838"/>
      <c r="ES375" s="847"/>
      <c r="ET375" s="871"/>
      <c r="EU375" s="847"/>
      <c r="EV375" s="847"/>
      <c r="EW375" s="847"/>
      <c r="EX375" s="847"/>
      <c r="EY375" s="847"/>
      <c r="FA375" s="838"/>
      <c r="FB375" s="838"/>
      <c r="FC375" s="838"/>
      <c r="FD375" s="838"/>
      <c r="FE375" s="838"/>
      <c r="FF375" s="838"/>
      <c r="FG375" s="838"/>
      <c r="FH375" s="838"/>
      <c r="FI375" s="838"/>
      <c r="FJ375" s="838"/>
      <c r="FK375" s="838"/>
      <c r="FL375" s="838"/>
      <c r="FM375" s="838"/>
      <c r="FN375" s="838"/>
      <c r="FO375" s="838"/>
      <c r="FP375" s="838"/>
      <c r="FQ375" s="838"/>
      <c r="FR375" s="838"/>
      <c r="FS375" s="838"/>
      <c r="FT375" s="838"/>
      <c r="FU375" s="852"/>
      <c r="FV375" s="838"/>
      <c r="FW375" s="838"/>
      <c r="FX375" s="838"/>
      <c r="FY375" s="858"/>
      <c r="FZ375" s="838"/>
      <c r="GA375" s="858"/>
      <c r="GB375" s="838"/>
      <c r="GC375" s="858"/>
      <c r="GD375" s="838"/>
      <c r="GE375" s="858"/>
      <c r="GF375" s="838"/>
      <c r="GG375" s="858"/>
      <c r="GH375" s="838"/>
      <c r="GI375" s="858"/>
      <c r="GJ375" s="858"/>
      <c r="GK375" s="858"/>
      <c r="GL375" s="858"/>
      <c r="GM375" s="858"/>
      <c r="GN375" s="838"/>
      <c r="GO375" s="858"/>
      <c r="GP375" s="858"/>
      <c r="GQ375" s="858"/>
      <c r="HF375" s="700">
        <v>96.5</v>
      </c>
      <c r="HH375" s="591">
        <v>96.5</v>
      </c>
    </row>
    <row r="376" spans="38:216" ht="26.25" x14ac:dyDescent="0.4">
      <c r="CS376" s="1019"/>
      <c r="CT376" s="1019"/>
      <c r="CU376" s="1019"/>
      <c r="CV376" s="1019"/>
      <c r="CW376" s="1019"/>
      <c r="CX376" s="1019"/>
      <c r="CY376" s="1019"/>
      <c r="CZ376" s="1019"/>
      <c r="DA376" s="1019"/>
      <c r="DB376" s="1019"/>
      <c r="DC376" s="1019"/>
      <c r="DO376" s="838"/>
      <c r="DP376" s="838"/>
      <c r="DQ376" s="838"/>
      <c r="DR376" s="838"/>
      <c r="DS376" s="838"/>
      <c r="DT376" s="838"/>
      <c r="DU376" s="838"/>
      <c r="DV376" s="838"/>
      <c r="DW376" s="838"/>
      <c r="DX376" s="838"/>
      <c r="DY376" s="838"/>
      <c r="DZ376" s="838"/>
      <c r="EA376" s="838"/>
      <c r="EB376" s="838"/>
      <c r="EC376" s="838"/>
      <c r="ED376" s="838"/>
      <c r="EE376" s="838"/>
      <c r="EF376" s="838"/>
      <c r="EG376" s="838"/>
      <c r="EH376" s="838"/>
      <c r="EI376" s="838"/>
      <c r="EJ376" s="838"/>
      <c r="EK376" s="838"/>
      <c r="EL376" s="838"/>
      <c r="EM376" s="838"/>
      <c r="EN376" s="838"/>
      <c r="EO376" s="838"/>
      <c r="EP376" s="838"/>
      <c r="EQ376" s="838"/>
      <c r="ER376" s="838"/>
      <c r="ES376" s="847"/>
      <c r="ET376" s="871"/>
      <c r="EU376" s="847"/>
      <c r="EV376" s="847"/>
      <c r="EW376" s="847"/>
      <c r="EX376" s="847"/>
      <c r="EY376" s="847"/>
      <c r="FA376" s="838"/>
      <c r="FB376" s="838"/>
      <c r="FC376" s="838"/>
      <c r="FD376" s="838"/>
      <c r="FE376" s="838"/>
      <c r="FF376" s="838"/>
      <c r="FG376" s="838"/>
      <c r="FH376" s="838"/>
      <c r="FI376" s="838"/>
      <c r="FJ376" s="838"/>
      <c r="FK376" s="838"/>
      <c r="FL376" s="838"/>
      <c r="FM376" s="838"/>
      <c r="FN376" s="838"/>
      <c r="FO376" s="838"/>
      <c r="FP376" s="838"/>
      <c r="FQ376" s="838"/>
      <c r="FR376" s="838"/>
      <c r="FS376" s="838"/>
      <c r="FT376" s="838"/>
      <c r="FU376" s="852"/>
      <c r="FV376" s="838"/>
      <c r="FW376" s="838"/>
      <c r="FX376" s="838"/>
      <c r="FY376" s="858"/>
      <c r="FZ376" s="838"/>
      <c r="GA376" s="858"/>
      <c r="GB376" s="838"/>
      <c r="GC376" s="858"/>
      <c r="GD376" s="838"/>
      <c r="GE376" s="858"/>
      <c r="GF376" s="838"/>
      <c r="GG376" s="858"/>
      <c r="GH376" s="838"/>
      <c r="GI376" s="858"/>
      <c r="GJ376" s="858"/>
      <c r="GK376" s="858"/>
      <c r="GL376" s="858"/>
      <c r="GM376" s="858"/>
      <c r="GN376" s="838"/>
      <c r="GO376" s="858"/>
      <c r="GP376" s="858"/>
      <c r="GQ376" s="858"/>
      <c r="HF376" s="700">
        <v>97</v>
      </c>
      <c r="HH376" s="591">
        <v>97</v>
      </c>
    </row>
    <row r="377" spans="38:216" ht="26.25" x14ac:dyDescent="0.4">
      <c r="CS377" s="1019"/>
      <c r="CT377" s="1019"/>
      <c r="CU377" s="1019"/>
      <c r="CV377" s="1019"/>
      <c r="CW377" s="1019"/>
      <c r="CX377" s="1019"/>
      <c r="CY377" s="1019"/>
      <c r="CZ377" s="1019"/>
      <c r="DA377" s="1019"/>
      <c r="DB377" s="1019"/>
      <c r="DC377" s="1019"/>
      <c r="DO377" s="838"/>
      <c r="DP377" s="838"/>
      <c r="DQ377" s="838"/>
      <c r="DR377" s="838"/>
      <c r="DS377" s="838"/>
      <c r="DT377" s="838"/>
      <c r="DU377" s="838"/>
      <c r="DV377" s="838"/>
      <c r="DW377" s="838"/>
      <c r="DX377" s="838"/>
      <c r="DY377" s="838"/>
      <c r="DZ377" s="838"/>
      <c r="EA377" s="838"/>
      <c r="EB377" s="838"/>
      <c r="EC377" s="838"/>
      <c r="ED377" s="838"/>
      <c r="EE377" s="838"/>
      <c r="EF377" s="838"/>
      <c r="EG377" s="838"/>
      <c r="EH377" s="838"/>
      <c r="EI377" s="838"/>
      <c r="EJ377" s="838"/>
      <c r="EK377" s="838"/>
      <c r="EL377" s="838"/>
      <c r="EM377" s="838"/>
      <c r="EN377" s="838"/>
      <c r="EO377" s="838"/>
      <c r="EP377" s="838"/>
      <c r="EQ377" s="838"/>
      <c r="ER377" s="838"/>
      <c r="ES377" s="847"/>
      <c r="ET377" s="871"/>
      <c r="EU377" s="847"/>
      <c r="EV377" s="847"/>
      <c r="EW377" s="847"/>
      <c r="EX377" s="847"/>
      <c r="EY377" s="847"/>
      <c r="FA377" s="838"/>
      <c r="FB377" s="838"/>
      <c r="FC377" s="838"/>
      <c r="FD377" s="838"/>
      <c r="FE377" s="838"/>
      <c r="FF377" s="838"/>
      <c r="FG377" s="838"/>
      <c r="FH377" s="838"/>
      <c r="FI377" s="838"/>
      <c r="FJ377" s="838"/>
      <c r="FK377" s="838"/>
      <c r="FL377" s="838"/>
      <c r="FM377" s="838"/>
      <c r="FN377" s="838"/>
      <c r="FO377" s="838"/>
      <c r="FP377" s="838"/>
      <c r="FQ377" s="838"/>
      <c r="FR377" s="838"/>
      <c r="FS377" s="838"/>
      <c r="FT377" s="838"/>
      <c r="FU377" s="852"/>
      <c r="FV377" s="838"/>
      <c r="FW377" s="838"/>
      <c r="FX377" s="838"/>
      <c r="FY377" s="858"/>
      <c r="FZ377" s="838"/>
      <c r="GA377" s="858"/>
      <c r="GB377" s="838"/>
      <c r="GC377" s="858"/>
      <c r="GD377" s="838"/>
      <c r="GE377" s="858"/>
      <c r="GF377" s="838"/>
      <c r="GG377" s="858"/>
      <c r="GH377" s="838"/>
      <c r="GI377" s="858"/>
      <c r="GJ377" s="858"/>
      <c r="GK377" s="858"/>
      <c r="GL377" s="858"/>
      <c r="GM377" s="858"/>
      <c r="GN377" s="838"/>
      <c r="GO377" s="858"/>
      <c r="GP377" s="858"/>
      <c r="GQ377" s="858"/>
      <c r="HF377" s="700">
        <v>97.5</v>
      </c>
      <c r="HH377" s="591">
        <v>97.5</v>
      </c>
    </row>
    <row r="378" spans="38:216" ht="26.25" x14ac:dyDescent="0.4">
      <c r="CS378" s="1019"/>
      <c r="CT378" s="1019"/>
      <c r="CU378" s="1019"/>
      <c r="CV378" s="1019"/>
      <c r="CW378" s="1019"/>
      <c r="CX378" s="1019"/>
      <c r="CY378" s="1019"/>
      <c r="CZ378" s="1019"/>
      <c r="DA378" s="1019"/>
      <c r="DB378" s="1019"/>
      <c r="DC378" s="1019"/>
      <c r="DO378" s="838"/>
      <c r="DP378" s="838"/>
      <c r="DQ378" s="838"/>
      <c r="DR378" s="838"/>
      <c r="DS378" s="838"/>
      <c r="DT378" s="838"/>
      <c r="DU378" s="838"/>
      <c r="DV378" s="838"/>
      <c r="DW378" s="838"/>
      <c r="DX378" s="838"/>
      <c r="DY378" s="838"/>
      <c r="DZ378" s="838"/>
      <c r="EA378" s="838"/>
      <c r="EB378" s="838"/>
      <c r="EC378" s="838"/>
      <c r="ED378" s="838"/>
      <c r="EE378" s="838"/>
      <c r="EF378" s="838"/>
      <c r="EG378" s="838"/>
      <c r="EH378" s="838"/>
      <c r="EI378" s="838"/>
      <c r="EJ378" s="838"/>
      <c r="EK378" s="838"/>
      <c r="EL378" s="838"/>
      <c r="EM378" s="838"/>
      <c r="EN378" s="838"/>
      <c r="EO378" s="838"/>
      <c r="EP378" s="838"/>
      <c r="EQ378" s="838"/>
      <c r="ER378" s="838"/>
      <c r="ES378" s="847"/>
      <c r="ET378" s="871"/>
      <c r="EU378" s="847"/>
      <c r="EV378" s="847"/>
      <c r="EW378" s="847"/>
      <c r="EX378" s="847"/>
      <c r="EY378" s="847"/>
      <c r="FA378" s="838"/>
      <c r="FB378" s="838"/>
      <c r="FC378" s="838"/>
      <c r="FD378" s="838"/>
      <c r="FE378" s="838"/>
      <c r="FF378" s="838"/>
      <c r="FG378" s="838"/>
      <c r="FH378" s="838"/>
      <c r="FI378" s="838"/>
      <c r="FJ378" s="838"/>
      <c r="FK378" s="838"/>
      <c r="FL378" s="838"/>
      <c r="FM378" s="838"/>
      <c r="FN378" s="838"/>
      <c r="FO378" s="838"/>
      <c r="FP378" s="838"/>
      <c r="FQ378" s="838"/>
      <c r="FR378" s="838"/>
      <c r="FS378" s="838"/>
      <c r="FT378" s="838"/>
      <c r="FU378" s="852"/>
      <c r="FV378" s="838"/>
      <c r="FW378" s="838"/>
      <c r="FX378" s="838"/>
      <c r="FY378" s="858"/>
      <c r="FZ378" s="838"/>
      <c r="GA378" s="858"/>
      <c r="GB378" s="838"/>
      <c r="GC378" s="858"/>
      <c r="GD378" s="838"/>
      <c r="GE378" s="858"/>
      <c r="GF378" s="838"/>
      <c r="GG378" s="858"/>
      <c r="GH378" s="838"/>
      <c r="GI378" s="858"/>
      <c r="GJ378" s="858"/>
      <c r="GK378" s="858"/>
      <c r="GL378" s="858"/>
      <c r="GM378" s="858"/>
      <c r="GN378" s="838"/>
      <c r="GO378" s="858"/>
      <c r="GP378" s="858"/>
      <c r="GQ378" s="858"/>
      <c r="HF378" s="700">
        <v>98</v>
      </c>
      <c r="HH378" s="591">
        <v>98</v>
      </c>
    </row>
    <row r="379" spans="38:216" ht="26.25" x14ac:dyDescent="0.4">
      <c r="DO379" s="838"/>
      <c r="DP379" s="838"/>
      <c r="DQ379" s="838"/>
      <c r="DR379" s="838"/>
      <c r="DS379" s="838"/>
      <c r="DT379" s="838"/>
      <c r="DU379" s="838"/>
      <c r="DV379" s="838"/>
      <c r="DW379" s="838"/>
      <c r="DX379" s="838"/>
      <c r="DY379" s="838"/>
      <c r="DZ379" s="838"/>
      <c r="EA379" s="838"/>
      <c r="EB379" s="838"/>
      <c r="EC379" s="838"/>
      <c r="ED379" s="838"/>
      <c r="EE379" s="838"/>
      <c r="EF379" s="838"/>
      <c r="EG379" s="838"/>
      <c r="EH379" s="838"/>
      <c r="EI379" s="838"/>
      <c r="EJ379" s="838"/>
      <c r="EK379" s="838"/>
      <c r="EL379" s="838"/>
      <c r="EM379" s="838"/>
      <c r="EN379" s="838"/>
      <c r="EO379" s="838"/>
      <c r="EP379" s="838"/>
      <c r="EQ379" s="838"/>
      <c r="ER379" s="838"/>
      <c r="ES379" s="847"/>
      <c r="ET379" s="871"/>
      <c r="EU379" s="847"/>
      <c r="EV379" s="847"/>
      <c r="EW379" s="847"/>
      <c r="EX379" s="847"/>
      <c r="EY379" s="847"/>
      <c r="FA379" s="838"/>
      <c r="FB379" s="838"/>
      <c r="FC379" s="838"/>
      <c r="FD379" s="838"/>
      <c r="FE379" s="838"/>
      <c r="FF379" s="838"/>
      <c r="FG379" s="838"/>
      <c r="FH379" s="838"/>
      <c r="FI379" s="838"/>
      <c r="FJ379" s="838"/>
      <c r="FK379" s="838"/>
      <c r="FL379" s="838"/>
      <c r="FM379" s="838"/>
      <c r="FN379" s="838"/>
      <c r="FO379" s="838"/>
      <c r="FP379" s="838"/>
      <c r="FQ379" s="838"/>
      <c r="FR379" s="838"/>
      <c r="FS379" s="838"/>
      <c r="FT379" s="838"/>
      <c r="FU379" s="852"/>
      <c r="FV379" s="838"/>
      <c r="FW379" s="838"/>
      <c r="FX379" s="838"/>
      <c r="FY379" s="858"/>
      <c r="FZ379" s="838"/>
      <c r="GA379" s="858"/>
      <c r="GB379" s="838"/>
      <c r="GC379" s="858"/>
      <c r="GD379" s="838"/>
      <c r="GE379" s="858"/>
      <c r="GF379" s="838"/>
      <c r="GG379" s="858"/>
      <c r="GH379" s="838"/>
      <c r="GI379" s="858"/>
      <c r="GJ379" s="858"/>
      <c r="GK379" s="858"/>
      <c r="GL379" s="858"/>
      <c r="GM379" s="858"/>
      <c r="GN379" s="838"/>
      <c r="GO379" s="858"/>
      <c r="GP379" s="858"/>
      <c r="GQ379" s="858"/>
      <c r="HF379" s="700">
        <v>98.5</v>
      </c>
      <c r="HH379" s="591">
        <v>98.5</v>
      </c>
    </row>
    <row r="380" spans="38:216" ht="26.25" x14ac:dyDescent="0.4">
      <c r="DO380" s="838"/>
      <c r="DP380" s="838"/>
      <c r="DQ380" s="838"/>
      <c r="DR380" s="838"/>
      <c r="DS380" s="838"/>
      <c r="DT380" s="838"/>
      <c r="DU380" s="838"/>
      <c r="DV380" s="838"/>
      <c r="DW380" s="838"/>
      <c r="DX380" s="838"/>
      <c r="DY380" s="838"/>
      <c r="DZ380" s="838"/>
      <c r="EA380" s="838"/>
      <c r="EB380" s="838"/>
      <c r="EC380" s="838"/>
      <c r="ED380" s="838"/>
      <c r="EE380" s="838"/>
      <c r="EF380" s="838"/>
      <c r="EG380" s="838"/>
      <c r="EH380" s="838"/>
      <c r="EI380" s="838"/>
      <c r="EJ380" s="838"/>
      <c r="EK380" s="838"/>
      <c r="EL380" s="838"/>
      <c r="EM380" s="838"/>
      <c r="EN380" s="838"/>
      <c r="EO380" s="838"/>
      <c r="EP380" s="838"/>
      <c r="EQ380" s="838"/>
      <c r="ER380" s="838"/>
      <c r="ES380" s="847"/>
      <c r="ET380" s="871"/>
      <c r="EU380" s="847"/>
      <c r="EV380" s="847"/>
      <c r="EW380" s="847"/>
      <c r="EX380" s="847"/>
      <c r="EY380" s="847"/>
      <c r="FA380" s="838"/>
      <c r="FB380" s="838"/>
      <c r="FC380" s="838"/>
      <c r="FD380" s="838"/>
      <c r="FE380" s="838"/>
      <c r="FF380" s="838"/>
      <c r="FG380" s="838"/>
      <c r="FH380" s="838"/>
      <c r="FI380" s="838"/>
      <c r="FJ380" s="838"/>
      <c r="FK380" s="838"/>
      <c r="FL380" s="838"/>
      <c r="FM380" s="838"/>
      <c r="FN380" s="838"/>
      <c r="FO380" s="838"/>
      <c r="FP380" s="838"/>
      <c r="FQ380" s="838"/>
      <c r="FR380" s="838"/>
      <c r="FS380" s="838"/>
      <c r="FT380" s="838"/>
      <c r="FU380" s="852"/>
      <c r="FV380" s="838"/>
      <c r="FW380" s="838"/>
      <c r="FX380" s="838"/>
      <c r="FY380" s="858"/>
      <c r="FZ380" s="838"/>
      <c r="GA380" s="858"/>
      <c r="GB380" s="838"/>
      <c r="GC380" s="858"/>
      <c r="GD380" s="838"/>
      <c r="GE380" s="858"/>
      <c r="GF380" s="838"/>
      <c r="GG380" s="858"/>
      <c r="GH380" s="838"/>
      <c r="GI380" s="858"/>
      <c r="GJ380" s="858"/>
      <c r="GK380" s="858"/>
      <c r="GL380" s="858"/>
      <c r="GM380" s="858"/>
      <c r="GN380" s="838"/>
      <c r="GO380" s="858"/>
      <c r="GP380" s="858"/>
      <c r="GQ380" s="858"/>
      <c r="HF380" s="700">
        <v>99</v>
      </c>
      <c r="HH380" s="591">
        <v>99</v>
      </c>
    </row>
    <row r="381" spans="38:216" ht="26.25" x14ac:dyDescent="0.4">
      <c r="DO381" s="838"/>
      <c r="DP381" s="838"/>
      <c r="DQ381" s="838"/>
      <c r="DR381" s="838"/>
      <c r="DS381" s="838"/>
      <c r="DT381" s="838"/>
      <c r="DU381" s="838"/>
      <c r="DV381" s="838"/>
      <c r="DW381" s="838"/>
      <c r="DX381" s="838"/>
      <c r="DY381" s="838"/>
      <c r="DZ381" s="838"/>
      <c r="EA381" s="838"/>
      <c r="EB381" s="838"/>
      <c r="EC381" s="838"/>
      <c r="ED381" s="838"/>
      <c r="EE381" s="838"/>
      <c r="EF381" s="838"/>
      <c r="EG381" s="838"/>
      <c r="EH381" s="838"/>
      <c r="EI381" s="838"/>
      <c r="EJ381" s="838"/>
      <c r="EK381" s="838"/>
      <c r="EL381" s="838"/>
      <c r="EM381" s="838"/>
      <c r="EN381" s="838"/>
      <c r="EO381" s="838"/>
      <c r="EP381" s="838"/>
      <c r="EQ381" s="838"/>
      <c r="ER381" s="838"/>
      <c r="ES381" s="847"/>
      <c r="ET381" s="871"/>
      <c r="EU381" s="847"/>
      <c r="EV381" s="847"/>
      <c r="EW381" s="847"/>
      <c r="EX381" s="847"/>
      <c r="EY381" s="847"/>
      <c r="FA381" s="838"/>
      <c r="FB381" s="838"/>
      <c r="FC381" s="838"/>
      <c r="FD381" s="838"/>
      <c r="FE381" s="838"/>
      <c r="FF381" s="838"/>
      <c r="FG381" s="838"/>
      <c r="FH381" s="838"/>
      <c r="FI381" s="838"/>
      <c r="FJ381" s="838"/>
      <c r="FK381" s="838"/>
      <c r="FL381" s="838"/>
      <c r="FM381" s="838"/>
      <c r="FN381" s="838"/>
      <c r="FO381" s="838"/>
      <c r="FP381" s="838"/>
      <c r="FQ381" s="838"/>
      <c r="FR381" s="838"/>
      <c r="FS381" s="838"/>
      <c r="FT381" s="838"/>
      <c r="FU381" s="852"/>
      <c r="FV381" s="838"/>
      <c r="FW381" s="838"/>
      <c r="FX381" s="838"/>
      <c r="FY381" s="858"/>
      <c r="FZ381" s="838"/>
      <c r="GA381" s="858"/>
      <c r="GB381" s="838"/>
      <c r="GC381" s="858"/>
      <c r="GD381" s="838"/>
      <c r="GE381" s="858"/>
      <c r="GF381" s="838"/>
      <c r="GG381" s="858"/>
      <c r="GH381" s="838"/>
      <c r="GI381" s="858"/>
      <c r="GJ381" s="858"/>
      <c r="GK381" s="858"/>
      <c r="GL381" s="858"/>
      <c r="GM381" s="858"/>
      <c r="GN381" s="838"/>
      <c r="GO381" s="858"/>
      <c r="GP381" s="858"/>
      <c r="GQ381" s="858"/>
      <c r="HF381" s="700">
        <v>99.5</v>
      </c>
      <c r="HH381" s="591">
        <v>99.5</v>
      </c>
    </row>
    <row r="382" spans="38:216" ht="26.25" x14ac:dyDescent="0.4">
      <c r="DO382" s="838"/>
      <c r="DP382" s="838"/>
      <c r="DQ382" s="838"/>
      <c r="DR382" s="838"/>
      <c r="DS382" s="838"/>
      <c r="DT382" s="838"/>
      <c r="DU382" s="838"/>
      <c r="DV382" s="838"/>
      <c r="DW382" s="838"/>
      <c r="DX382" s="838"/>
      <c r="DY382" s="838"/>
      <c r="DZ382" s="838"/>
      <c r="EA382" s="838"/>
      <c r="EB382" s="838"/>
      <c r="EC382" s="838"/>
      <c r="ED382" s="838"/>
      <c r="EE382" s="838"/>
      <c r="EF382" s="838"/>
      <c r="EG382" s="838"/>
      <c r="EH382" s="838"/>
      <c r="EI382" s="838"/>
      <c r="EJ382" s="838"/>
      <c r="EK382" s="838"/>
      <c r="EL382" s="838"/>
      <c r="EM382" s="838"/>
      <c r="EN382" s="838"/>
      <c r="EO382" s="838"/>
      <c r="EP382" s="838"/>
      <c r="EQ382" s="838"/>
      <c r="ER382" s="838"/>
      <c r="ES382" s="847"/>
      <c r="ET382" s="871"/>
      <c r="EU382" s="847"/>
      <c r="EV382" s="847"/>
      <c r="EW382" s="847"/>
      <c r="EX382" s="847"/>
      <c r="EY382" s="847"/>
      <c r="FA382" s="838"/>
      <c r="FB382" s="838"/>
      <c r="FC382" s="838"/>
      <c r="FD382" s="838"/>
      <c r="FE382" s="838"/>
      <c r="FF382" s="838"/>
      <c r="FG382" s="838"/>
      <c r="FH382" s="838"/>
      <c r="FI382" s="838"/>
      <c r="FJ382" s="838"/>
      <c r="FK382" s="838"/>
      <c r="FL382" s="838"/>
      <c r="FM382" s="838"/>
      <c r="FN382" s="838"/>
      <c r="FO382" s="838"/>
      <c r="FP382" s="838"/>
      <c r="FQ382" s="838"/>
      <c r="FR382" s="838"/>
      <c r="FS382" s="838"/>
      <c r="FT382" s="838"/>
      <c r="FU382" s="852"/>
      <c r="FV382" s="838"/>
      <c r="FW382" s="838"/>
      <c r="FX382" s="838"/>
      <c r="FY382" s="858"/>
      <c r="FZ382" s="838"/>
      <c r="GA382" s="858"/>
      <c r="GB382" s="838"/>
      <c r="GC382" s="858"/>
      <c r="GD382" s="838"/>
      <c r="GE382" s="858"/>
      <c r="GF382" s="838"/>
      <c r="GG382" s="858"/>
      <c r="GH382" s="838"/>
      <c r="GI382" s="858"/>
      <c r="GJ382" s="858"/>
      <c r="GK382" s="858"/>
      <c r="GL382" s="858"/>
      <c r="GM382" s="858"/>
      <c r="GN382" s="838"/>
      <c r="GO382" s="858"/>
      <c r="GP382" s="858"/>
      <c r="GQ382" s="858"/>
      <c r="HF382" s="700">
        <v>100</v>
      </c>
      <c r="HH382" s="591">
        <v>100</v>
      </c>
    </row>
    <row r="383" spans="38:216" ht="26.25" x14ac:dyDescent="0.4">
      <c r="DO383" s="838"/>
      <c r="DP383" s="838"/>
      <c r="DQ383" s="838"/>
      <c r="DR383" s="838"/>
      <c r="DS383" s="838"/>
      <c r="DT383" s="838"/>
      <c r="DU383" s="838"/>
      <c r="DV383" s="838"/>
      <c r="DW383" s="838"/>
      <c r="DX383" s="838"/>
      <c r="DY383" s="838"/>
      <c r="DZ383" s="838"/>
      <c r="EA383" s="838"/>
      <c r="EB383" s="838"/>
      <c r="EC383" s="838"/>
      <c r="ED383" s="838"/>
      <c r="EE383" s="838"/>
      <c r="EF383" s="838"/>
      <c r="EG383" s="838"/>
      <c r="EH383" s="838"/>
      <c r="EI383" s="838"/>
      <c r="EJ383" s="838"/>
      <c r="EK383" s="838"/>
      <c r="EL383" s="838"/>
      <c r="EM383" s="838"/>
      <c r="EN383" s="838"/>
      <c r="EO383" s="838"/>
      <c r="EP383" s="838"/>
      <c r="EQ383" s="838"/>
      <c r="ER383" s="838"/>
      <c r="ES383" s="847"/>
      <c r="ET383" s="871"/>
      <c r="EU383" s="847"/>
      <c r="EV383" s="847"/>
      <c r="EW383" s="847"/>
      <c r="EX383" s="847"/>
      <c r="EY383" s="847"/>
      <c r="FA383" s="838"/>
      <c r="FB383" s="838"/>
      <c r="FC383" s="838"/>
      <c r="FD383" s="838"/>
      <c r="FE383" s="838"/>
      <c r="FF383" s="838"/>
      <c r="FG383" s="838"/>
      <c r="FH383" s="838"/>
      <c r="FI383" s="838"/>
      <c r="FJ383" s="838"/>
      <c r="FK383" s="838"/>
      <c r="FL383" s="838"/>
      <c r="FM383" s="838"/>
      <c r="FN383" s="838"/>
      <c r="FO383" s="838"/>
      <c r="FP383" s="838"/>
      <c r="FQ383" s="838"/>
      <c r="FR383" s="838"/>
      <c r="FS383" s="838"/>
      <c r="FT383" s="838"/>
      <c r="FU383" s="852"/>
      <c r="FV383" s="838"/>
      <c r="FW383" s="838"/>
      <c r="FX383" s="852"/>
      <c r="FY383" s="858"/>
      <c r="FZ383" s="838"/>
      <c r="GA383" s="858"/>
      <c r="GB383" s="838"/>
      <c r="GC383" s="858"/>
      <c r="GD383" s="838"/>
      <c r="GE383" s="858"/>
      <c r="GF383" s="838"/>
      <c r="GG383" s="858"/>
      <c r="GH383" s="838"/>
      <c r="GI383" s="858"/>
      <c r="GJ383" s="858"/>
      <c r="GK383" s="858"/>
      <c r="GL383" s="838"/>
      <c r="GM383" s="858"/>
      <c r="GN383" s="838"/>
      <c r="GO383" s="858"/>
      <c r="GP383" s="838"/>
      <c r="GQ383" s="858"/>
      <c r="HF383" s="700">
        <v>100.5</v>
      </c>
      <c r="HH383" s="591">
        <v>100.5</v>
      </c>
    </row>
    <row r="384" spans="38:216" ht="26.25" x14ac:dyDescent="0.4">
      <c r="DQ384" s="852"/>
      <c r="ES384" s="847"/>
      <c r="ET384" s="871"/>
      <c r="EU384" s="847"/>
      <c r="EV384" s="847"/>
      <c r="EW384" s="847"/>
      <c r="EX384" s="847"/>
      <c r="EY384" s="847"/>
      <c r="FA384" s="838"/>
      <c r="FB384" s="838"/>
      <c r="FC384" s="838"/>
      <c r="FD384" s="838"/>
      <c r="FE384" s="838"/>
      <c r="FF384" s="838"/>
      <c r="FG384" s="838"/>
      <c r="FH384" s="838"/>
      <c r="FI384" s="838"/>
      <c r="FJ384" s="838"/>
      <c r="FK384" s="838"/>
      <c r="FL384" s="838"/>
      <c r="FM384" s="838"/>
      <c r="FN384" s="838"/>
      <c r="FO384" s="838"/>
      <c r="FP384" s="838"/>
      <c r="FQ384" s="838"/>
      <c r="FR384" s="838"/>
      <c r="FS384" s="838"/>
      <c r="FT384" s="838"/>
      <c r="FU384" s="838"/>
      <c r="FV384" s="838"/>
      <c r="FW384" s="838"/>
      <c r="FX384" s="838"/>
      <c r="FY384" s="838"/>
      <c r="FZ384" s="838"/>
      <c r="GA384" s="838"/>
      <c r="GB384" s="838"/>
      <c r="GC384" s="838"/>
      <c r="GD384" s="838"/>
      <c r="GE384" s="838"/>
      <c r="GF384" s="838"/>
      <c r="GG384" s="838"/>
      <c r="GH384" s="838"/>
      <c r="GI384" s="838"/>
      <c r="GJ384" s="838"/>
      <c r="GK384" s="838"/>
      <c r="GL384" s="838"/>
      <c r="GM384" s="838"/>
      <c r="GN384" s="838"/>
      <c r="GO384" s="838"/>
      <c r="GP384" s="838"/>
      <c r="GQ384" s="838"/>
      <c r="HF384" s="700">
        <v>101</v>
      </c>
      <c r="HH384" s="591">
        <v>101</v>
      </c>
    </row>
    <row r="385" spans="121:216" ht="26.25" x14ac:dyDescent="0.4">
      <c r="DQ385" s="852"/>
      <c r="ES385" s="847"/>
      <c r="ET385" s="871"/>
      <c r="EU385" s="847"/>
      <c r="EV385" s="847"/>
      <c r="EW385" s="847"/>
      <c r="EX385" s="847"/>
      <c r="EY385" s="847"/>
      <c r="HF385" s="700">
        <v>101.5</v>
      </c>
      <c r="HH385" s="591">
        <v>101.5</v>
      </c>
    </row>
    <row r="386" spans="121:216" ht="26.25" x14ac:dyDescent="0.4">
      <c r="DQ386" s="852"/>
      <c r="ES386" s="847"/>
      <c r="ET386" s="871"/>
      <c r="EU386" s="847"/>
      <c r="EV386" s="847"/>
      <c r="EW386" s="847"/>
      <c r="EX386" s="847"/>
      <c r="EY386" s="847"/>
      <c r="HF386" s="700">
        <v>102</v>
      </c>
      <c r="HH386" s="591">
        <v>102</v>
      </c>
    </row>
    <row r="387" spans="121:216" ht="26.25" x14ac:dyDescent="0.4">
      <c r="DQ387" s="872"/>
      <c r="ES387" s="847"/>
      <c r="ET387" s="871"/>
      <c r="EU387" s="847"/>
      <c r="EV387" s="847"/>
      <c r="EW387" s="847"/>
      <c r="EX387" s="847"/>
      <c r="EY387" s="847"/>
      <c r="HF387" s="700">
        <v>102.5</v>
      </c>
      <c r="HH387" s="591">
        <v>102.5</v>
      </c>
    </row>
    <row r="388" spans="121:216" ht="26.25" x14ac:dyDescent="0.4">
      <c r="DQ388" s="852"/>
      <c r="ES388" s="847"/>
      <c r="ET388" s="871"/>
      <c r="EU388" s="847"/>
      <c r="EV388" s="847"/>
      <c r="EW388" s="847"/>
      <c r="EX388" s="847"/>
      <c r="EY388" s="847"/>
      <c r="HF388" s="700">
        <v>103</v>
      </c>
      <c r="HH388" s="591">
        <v>103</v>
      </c>
    </row>
    <row r="389" spans="121:216" ht="26.25" x14ac:dyDescent="0.4">
      <c r="DQ389" s="852"/>
      <c r="ES389" s="847"/>
      <c r="ET389" s="871"/>
      <c r="EU389" s="847"/>
      <c r="EV389" s="847"/>
      <c r="EW389" s="847"/>
      <c r="EX389" s="847"/>
      <c r="EY389" s="847"/>
      <c r="HF389" s="700">
        <v>103.5</v>
      </c>
      <c r="HH389" s="591">
        <v>103.5</v>
      </c>
    </row>
    <row r="390" spans="121:216" ht="26.25" x14ac:dyDescent="0.4">
      <c r="DQ390" s="852"/>
      <c r="ES390" s="847"/>
      <c r="ET390" s="871"/>
      <c r="EU390" s="847"/>
      <c r="EV390" s="847"/>
      <c r="EW390" s="847"/>
      <c r="EX390" s="847"/>
      <c r="EY390" s="847"/>
      <c r="HF390" s="700">
        <v>104</v>
      </c>
      <c r="HH390" s="591">
        <v>104</v>
      </c>
    </row>
    <row r="391" spans="121:216" ht="26.25" x14ac:dyDescent="0.4">
      <c r="ES391" s="847"/>
      <c r="ET391" s="871"/>
      <c r="EU391" s="847"/>
      <c r="EV391" s="847"/>
      <c r="EW391" s="847"/>
      <c r="EX391" s="847"/>
      <c r="EY391" s="847"/>
      <c r="HF391" s="700">
        <v>104.5</v>
      </c>
      <c r="HH391" s="591">
        <v>104.5</v>
      </c>
    </row>
    <row r="392" spans="121:216" ht="26.25" x14ac:dyDescent="0.4">
      <c r="ES392" s="847"/>
      <c r="ET392" s="871"/>
      <c r="EU392" s="847"/>
      <c r="EV392" s="847"/>
      <c r="EW392" s="847"/>
      <c r="EX392" s="847"/>
      <c r="EY392" s="847"/>
      <c r="HF392" s="700">
        <v>105</v>
      </c>
      <c r="HH392" s="591">
        <v>105</v>
      </c>
    </row>
    <row r="393" spans="121:216" ht="26.25" x14ac:dyDescent="0.4">
      <c r="ES393" s="847"/>
      <c r="ET393" s="871"/>
      <c r="EU393" s="847"/>
      <c r="EV393" s="847"/>
      <c r="EW393" s="847"/>
      <c r="EX393" s="847"/>
      <c r="EY393" s="847"/>
      <c r="HF393" s="700">
        <v>105.5</v>
      </c>
      <c r="HH393" s="591">
        <v>105.5</v>
      </c>
    </row>
    <row r="394" spans="121:216" x14ac:dyDescent="0.35">
      <c r="ES394" s="847"/>
      <c r="ET394" s="847"/>
      <c r="EU394" s="847"/>
      <c r="EV394" s="847"/>
      <c r="EW394" s="847"/>
      <c r="EX394" s="847"/>
      <c r="EY394" s="847"/>
      <c r="HF394" s="700">
        <v>106</v>
      </c>
      <c r="HH394" s="591">
        <v>106</v>
      </c>
    </row>
    <row r="395" spans="121:216" x14ac:dyDescent="0.35">
      <c r="HF395" s="700">
        <v>106.5</v>
      </c>
      <c r="HH395" s="591">
        <v>106.5</v>
      </c>
    </row>
    <row r="396" spans="121:216" x14ac:dyDescent="0.35">
      <c r="HF396" s="700">
        <v>107</v>
      </c>
      <c r="HH396" s="591">
        <v>107</v>
      </c>
    </row>
    <row r="397" spans="121:216" x14ac:dyDescent="0.35">
      <c r="HF397" s="700">
        <v>107.5</v>
      </c>
      <c r="HH397" s="591">
        <v>107.5</v>
      </c>
    </row>
    <row r="398" spans="121:216" x14ac:dyDescent="0.35">
      <c r="HF398" s="700">
        <v>108</v>
      </c>
      <c r="HH398" s="591">
        <v>108</v>
      </c>
    </row>
    <row r="399" spans="121:216" x14ac:dyDescent="0.35">
      <c r="HF399" s="700">
        <v>108.5</v>
      </c>
      <c r="HH399" s="591">
        <v>108.5</v>
      </c>
    </row>
    <row r="400" spans="121:216" x14ac:dyDescent="0.35">
      <c r="HF400" s="700">
        <v>109</v>
      </c>
      <c r="HH400" s="591">
        <v>109</v>
      </c>
    </row>
    <row r="401" spans="214:216" x14ac:dyDescent="0.35">
      <c r="HF401" s="700">
        <v>109.5</v>
      </c>
      <c r="HH401" s="591">
        <v>109.5</v>
      </c>
    </row>
    <row r="402" spans="214:216" x14ac:dyDescent="0.35">
      <c r="HF402" s="700">
        <v>110</v>
      </c>
      <c r="HH402" s="591">
        <v>110</v>
      </c>
    </row>
    <row r="403" spans="214:216" x14ac:dyDescent="0.35">
      <c r="HF403" s="700">
        <v>110.5</v>
      </c>
      <c r="HH403" s="591">
        <v>110.5</v>
      </c>
    </row>
    <row r="404" spans="214:216" x14ac:dyDescent="0.35">
      <c r="HF404" s="700">
        <v>111</v>
      </c>
      <c r="HH404" s="591">
        <v>111</v>
      </c>
    </row>
    <row r="405" spans="214:216" x14ac:dyDescent="0.35">
      <c r="HF405" s="700">
        <v>111.5</v>
      </c>
      <c r="HH405" s="591">
        <v>111.5</v>
      </c>
    </row>
    <row r="406" spans="214:216" x14ac:dyDescent="0.35">
      <c r="HF406" s="700">
        <v>112</v>
      </c>
      <c r="HH406" s="591">
        <v>112</v>
      </c>
    </row>
    <row r="407" spans="214:216" x14ac:dyDescent="0.35">
      <c r="HF407" s="700">
        <v>112.5</v>
      </c>
      <c r="HH407" s="591">
        <v>112.5</v>
      </c>
    </row>
    <row r="408" spans="214:216" x14ac:dyDescent="0.35">
      <c r="HF408" s="700">
        <v>113</v>
      </c>
      <c r="HH408" s="591">
        <v>113</v>
      </c>
    </row>
    <row r="409" spans="214:216" x14ac:dyDescent="0.35">
      <c r="HF409" s="700">
        <v>113.5</v>
      </c>
      <c r="HH409" s="591">
        <v>113.5</v>
      </c>
    </row>
    <row r="410" spans="214:216" x14ac:dyDescent="0.35">
      <c r="HF410" s="700">
        <v>114</v>
      </c>
      <c r="HH410" s="591">
        <v>114</v>
      </c>
    </row>
    <row r="411" spans="214:216" x14ac:dyDescent="0.35">
      <c r="HF411" s="700">
        <v>114.5</v>
      </c>
      <c r="HH411" s="591">
        <v>114.5</v>
      </c>
    </row>
    <row r="412" spans="214:216" x14ac:dyDescent="0.35">
      <c r="HF412" s="700">
        <v>115</v>
      </c>
      <c r="HH412" s="591">
        <v>115</v>
      </c>
    </row>
    <row r="413" spans="214:216" x14ac:dyDescent="0.35">
      <c r="HF413" s="700">
        <v>115.5</v>
      </c>
      <c r="HH413" s="591">
        <v>115.5</v>
      </c>
    </row>
    <row r="414" spans="214:216" x14ac:dyDescent="0.35">
      <c r="HF414" s="700">
        <v>116</v>
      </c>
      <c r="HH414" s="591">
        <v>116</v>
      </c>
    </row>
    <row r="415" spans="214:216" x14ac:dyDescent="0.35">
      <c r="HF415" s="700">
        <v>116.5</v>
      </c>
      <c r="HH415" s="591">
        <v>116.5</v>
      </c>
    </row>
    <row r="416" spans="214:216" x14ac:dyDescent="0.35">
      <c r="HF416" s="700">
        <v>117</v>
      </c>
      <c r="HH416" s="591">
        <v>117</v>
      </c>
    </row>
    <row r="417" spans="213:216" x14ac:dyDescent="0.35">
      <c r="HF417" s="700">
        <v>117.5</v>
      </c>
      <c r="HH417" s="591">
        <v>117.5</v>
      </c>
    </row>
    <row r="418" spans="213:216" x14ac:dyDescent="0.35">
      <c r="HF418" s="700">
        <v>118</v>
      </c>
      <c r="HH418" s="591">
        <v>118</v>
      </c>
    </row>
    <row r="419" spans="213:216" x14ac:dyDescent="0.35">
      <c r="HF419" s="700">
        <v>118.5</v>
      </c>
      <c r="HH419" s="591">
        <v>118.5</v>
      </c>
    </row>
    <row r="420" spans="213:216" x14ac:dyDescent="0.35">
      <c r="HF420" s="700">
        <v>119</v>
      </c>
      <c r="HH420" s="591">
        <v>119</v>
      </c>
    </row>
    <row r="421" spans="213:216" x14ac:dyDescent="0.35">
      <c r="HF421" s="700">
        <v>119.5</v>
      </c>
      <c r="HH421" s="591">
        <v>119.5</v>
      </c>
    </row>
    <row r="422" spans="213:216" x14ac:dyDescent="0.35">
      <c r="HF422" s="700">
        <v>120</v>
      </c>
      <c r="HH422" s="591">
        <v>120</v>
      </c>
    </row>
    <row r="423" spans="213:216" x14ac:dyDescent="0.35">
      <c r="HF423" s="700">
        <v>120.5</v>
      </c>
      <c r="HH423" s="1169"/>
    </row>
    <row r="424" spans="213:216" x14ac:dyDescent="0.35">
      <c r="HF424" s="700">
        <v>121</v>
      </c>
      <c r="HH424" s="1169"/>
    </row>
    <row r="425" spans="213:216" x14ac:dyDescent="0.35">
      <c r="HF425" s="700">
        <v>121.5</v>
      </c>
      <c r="HH425" s="1169"/>
    </row>
    <row r="426" spans="213:216" x14ac:dyDescent="0.35">
      <c r="HF426" s="700">
        <v>122</v>
      </c>
      <c r="HH426" s="1169"/>
    </row>
    <row r="427" spans="213:216" x14ac:dyDescent="0.35">
      <c r="HF427" s="700">
        <v>122.5</v>
      </c>
      <c r="HH427" s="1169"/>
    </row>
    <row r="428" spans="213:216" x14ac:dyDescent="0.35">
      <c r="HF428" s="700">
        <v>123</v>
      </c>
      <c r="HH428" s="1169"/>
    </row>
    <row r="429" spans="213:216" x14ac:dyDescent="0.35">
      <c r="HF429" s="700">
        <v>123.5</v>
      </c>
      <c r="HH429" s="1169"/>
    </row>
    <row r="430" spans="213:216" x14ac:dyDescent="0.35">
      <c r="HE430" s="700"/>
      <c r="HF430" s="700">
        <v>124</v>
      </c>
      <c r="HH430" s="1169"/>
    </row>
    <row r="431" spans="213:216" x14ac:dyDescent="0.35">
      <c r="HE431" s="700"/>
      <c r="HF431" s="700">
        <v>124.5</v>
      </c>
      <c r="HH431" s="1169"/>
    </row>
    <row r="432" spans="213:216" x14ac:dyDescent="0.35">
      <c r="HE432" s="700"/>
      <c r="HF432" s="700">
        <v>125</v>
      </c>
      <c r="HH432" s="1169"/>
    </row>
    <row r="433" spans="213:216" x14ac:dyDescent="0.35">
      <c r="HE433" s="700"/>
      <c r="HF433" s="700">
        <v>125.5</v>
      </c>
      <c r="HH433" s="1169"/>
    </row>
    <row r="434" spans="213:216" x14ac:dyDescent="0.35">
      <c r="HE434" s="700"/>
      <c r="HF434" s="700">
        <v>126</v>
      </c>
      <c r="HH434" s="1169"/>
    </row>
    <row r="435" spans="213:216" x14ac:dyDescent="0.35">
      <c r="HE435" s="700"/>
      <c r="HF435" s="700">
        <v>126.5</v>
      </c>
      <c r="HH435" s="1169"/>
    </row>
    <row r="436" spans="213:216" x14ac:dyDescent="0.35">
      <c r="HE436" s="700"/>
      <c r="HF436" s="700">
        <v>127</v>
      </c>
      <c r="HH436" s="1169"/>
    </row>
    <row r="437" spans="213:216" x14ac:dyDescent="0.35">
      <c r="HE437" s="700"/>
      <c r="HF437" s="700">
        <v>127.5</v>
      </c>
      <c r="HH437" s="1169"/>
    </row>
    <row r="438" spans="213:216" x14ac:dyDescent="0.35">
      <c r="HE438" s="700"/>
      <c r="HF438" s="700">
        <v>128</v>
      </c>
      <c r="HH438" s="1169"/>
    </row>
    <row r="439" spans="213:216" x14ac:dyDescent="0.35">
      <c r="HE439" s="700"/>
      <c r="HF439" s="700">
        <v>128.5</v>
      </c>
      <c r="HH439" s="1169"/>
    </row>
    <row r="440" spans="213:216" x14ac:dyDescent="0.35">
      <c r="HE440" s="700"/>
      <c r="HF440" s="700">
        <v>129</v>
      </c>
      <c r="HH440" s="1169"/>
    </row>
    <row r="441" spans="213:216" x14ac:dyDescent="0.35">
      <c r="HE441" s="700"/>
      <c r="HF441" s="700">
        <v>129.5</v>
      </c>
      <c r="HH441" s="1169"/>
    </row>
    <row r="442" spans="213:216" x14ac:dyDescent="0.35">
      <c r="HE442" s="700"/>
      <c r="HF442" s="700">
        <v>130</v>
      </c>
      <c r="HH442" s="1169"/>
    </row>
    <row r="443" spans="213:216" x14ac:dyDescent="0.35">
      <c r="HE443" s="700"/>
      <c r="HF443" s="700">
        <v>130.5</v>
      </c>
      <c r="HH443" s="1169"/>
    </row>
    <row r="444" spans="213:216" x14ac:dyDescent="0.35">
      <c r="HE444" s="700"/>
      <c r="HF444" s="700">
        <v>131</v>
      </c>
      <c r="HH444" s="1169"/>
    </row>
    <row r="445" spans="213:216" x14ac:dyDescent="0.35">
      <c r="HE445" s="700"/>
      <c r="HF445" s="700">
        <v>131.5</v>
      </c>
      <c r="HH445" s="1169"/>
    </row>
    <row r="446" spans="213:216" x14ac:dyDescent="0.35">
      <c r="HE446" s="700"/>
      <c r="HF446" s="700">
        <v>132</v>
      </c>
      <c r="HH446" s="1169"/>
    </row>
    <row r="447" spans="213:216" x14ac:dyDescent="0.35">
      <c r="HE447" s="700"/>
      <c r="HF447" s="700">
        <v>132.5</v>
      </c>
      <c r="HH447" s="1169"/>
    </row>
    <row r="448" spans="213:216" x14ac:dyDescent="0.35">
      <c r="HE448" s="700"/>
      <c r="HF448" s="700">
        <v>133</v>
      </c>
      <c r="HH448" s="1169"/>
    </row>
    <row r="449" spans="213:216" x14ac:dyDescent="0.35">
      <c r="HE449" s="700"/>
      <c r="HF449" s="700">
        <v>133.5</v>
      </c>
      <c r="HH449" s="1169"/>
    </row>
    <row r="450" spans="213:216" x14ac:dyDescent="0.35">
      <c r="HE450" s="700"/>
      <c r="HF450" s="700">
        <v>134</v>
      </c>
      <c r="HH450" s="1169"/>
    </row>
    <row r="451" spans="213:216" x14ac:dyDescent="0.35">
      <c r="HE451" s="700"/>
      <c r="HF451" s="700">
        <v>134.5</v>
      </c>
      <c r="HH451" s="1169"/>
    </row>
    <row r="452" spans="213:216" x14ac:dyDescent="0.35">
      <c r="HE452" s="700"/>
      <c r="HF452" s="700">
        <v>135</v>
      </c>
      <c r="HH452" s="1169"/>
    </row>
    <row r="453" spans="213:216" x14ac:dyDescent="0.35">
      <c r="HE453" s="700"/>
      <c r="HF453" s="700">
        <v>135.5</v>
      </c>
      <c r="HH453" s="1169"/>
    </row>
    <row r="454" spans="213:216" x14ac:dyDescent="0.35">
      <c r="HE454" s="700"/>
      <c r="HF454" s="700">
        <v>136</v>
      </c>
      <c r="HH454" s="1169"/>
    </row>
    <row r="455" spans="213:216" x14ac:dyDescent="0.35">
      <c r="HE455" s="700"/>
      <c r="HF455" s="700">
        <v>136.5</v>
      </c>
      <c r="HH455" s="1169"/>
    </row>
    <row r="456" spans="213:216" x14ac:dyDescent="0.35">
      <c r="HE456" s="700"/>
      <c r="HF456" s="700">
        <v>137</v>
      </c>
      <c r="HH456" s="1169"/>
    </row>
    <row r="457" spans="213:216" x14ac:dyDescent="0.35">
      <c r="HE457" s="700"/>
      <c r="HF457" s="700">
        <v>137.5</v>
      </c>
      <c r="HH457" s="1169"/>
    </row>
    <row r="458" spans="213:216" x14ac:dyDescent="0.35">
      <c r="HE458" s="700"/>
      <c r="HF458" s="700">
        <v>138</v>
      </c>
      <c r="HH458" s="1169"/>
    </row>
    <row r="459" spans="213:216" x14ac:dyDescent="0.35">
      <c r="HE459" s="700"/>
      <c r="HF459" s="700">
        <v>138.5</v>
      </c>
      <c r="HH459" s="1169"/>
    </row>
    <row r="460" spans="213:216" x14ac:dyDescent="0.35">
      <c r="HE460" s="700"/>
      <c r="HF460" s="700">
        <v>139</v>
      </c>
      <c r="HH460" s="1169"/>
    </row>
    <row r="461" spans="213:216" x14ac:dyDescent="0.35">
      <c r="HE461" s="700"/>
      <c r="HF461" s="700">
        <v>139.5</v>
      </c>
      <c r="HH461" s="1169"/>
    </row>
    <row r="462" spans="213:216" x14ac:dyDescent="0.35">
      <c r="HE462" s="700"/>
      <c r="HF462" s="700">
        <v>140</v>
      </c>
      <c r="HH462" s="1169"/>
    </row>
    <row r="463" spans="213:216" x14ac:dyDescent="0.35">
      <c r="HE463" s="700"/>
      <c r="HF463" s="700">
        <v>140.5</v>
      </c>
      <c r="HH463" s="1169"/>
    </row>
    <row r="464" spans="213:216" x14ac:dyDescent="0.35">
      <c r="HE464" s="700"/>
      <c r="HF464" s="700">
        <v>141</v>
      </c>
      <c r="HH464" s="1169"/>
    </row>
    <row r="465" spans="213:216" x14ac:dyDescent="0.35">
      <c r="HE465" s="700"/>
      <c r="HF465" s="700">
        <v>141.5</v>
      </c>
      <c r="HH465" s="1169"/>
    </row>
    <row r="466" spans="213:216" x14ac:dyDescent="0.35">
      <c r="HE466" s="700"/>
      <c r="HF466" s="700">
        <v>142</v>
      </c>
      <c r="HH466" s="1169"/>
    </row>
    <row r="467" spans="213:216" x14ac:dyDescent="0.35">
      <c r="HE467" s="700"/>
      <c r="HF467" s="700">
        <v>142.5</v>
      </c>
      <c r="HH467" s="1169"/>
    </row>
    <row r="468" spans="213:216" x14ac:dyDescent="0.35">
      <c r="HE468" s="700"/>
      <c r="HF468" s="700">
        <v>143</v>
      </c>
      <c r="HH468" s="1169"/>
    </row>
    <row r="469" spans="213:216" x14ac:dyDescent="0.35">
      <c r="HE469" s="700"/>
      <c r="HF469" s="700">
        <v>143.5</v>
      </c>
      <c r="HH469" s="1169"/>
    </row>
    <row r="470" spans="213:216" x14ac:dyDescent="0.35">
      <c r="HE470" s="700"/>
      <c r="HF470" s="700">
        <v>144</v>
      </c>
      <c r="HH470" s="1169"/>
    </row>
    <row r="471" spans="213:216" x14ac:dyDescent="0.35">
      <c r="HE471" s="700"/>
      <c r="HF471" s="700">
        <v>144.5</v>
      </c>
      <c r="HH471" s="1169"/>
    </row>
    <row r="472" spans="213:216" x14ac:dyDescent="0.35">
      <c r="HE472" s="700"/>
      <c r="HF472" s="700">
        <v>145</v>
      </c>
      <c r="HH472" s="1169"/>
    </row>
    <row r="473" spans="213:216" x14ac:dyDescent="0.35">
      <c r="HE473" s="700"/>
      <c r="HF473" s="700">
        <v>145.5</v>
      </c>
      <c r="HH473" s="1169"/>
    </row>
    <row r="474" spans="213:216" x14ac:dyDescent="0.35">
      <c r="HE474" s="700"/>
      <c r="HF474" s="700">
        <v>146</v>
      </c>
      <c r="HH474" s="1169"/>
    </row>
    <row r="475" spans="213:216" x14ac:dyDescent="0.35">
      <c r="HE475" s="700"/>
      <c r="HF475" s="700">
        <v>146.5</v>
      </c>
      <c r="HH475" s="1169"/>
    </row>
    <row r="476" spans="213:216" x14ac:dyDescent="0.35">
      <c r="HE476" s="700"/>
      <c r="HF476" s="700">
        <v>147</v>
      </c>
      <c r="HH476" s="1169"/>
    </row>
    <row r="477" spans="213:216" x14ac:dyDescent="0.35">
      <c r="HE477" s="700"/>
      <c r="HF477" s="700">
        <v>147.5</v>
      </c>
      <c r="HH477" s="1169"/>
    </row>
    <row r="478" spans="213:216" x14ac:dyDescent="0.35">
      <c r="HE478" s="700"/>
      <c r="HF478" s="700">
        <v>148</v>
      </c>
      <c r="HH478" s="1169"/>
    </row>
    <row r="479" spans="213:216" x14ac:dyDescent="0.35">
      <c r="HE479" s="700"/>
      <c r="HF479" s="700">
        <v>148.5</v>
      </c>
      <c r="HH479" s="1169"/>
    </row>
    <row r="480" spans="213:216" x14ac:dyDescent="0.35">
      <c r="HE480" s="700"/>
      <c r="HF480" s="700">
        <v>149</v>
      </c>
      <c r="HH480" s="1169"/>
    </row>
    <row r="481" spans="213:216" x14ac:dyDescent="0.35">
      <c r="HE481" s="700"/>
      <c r="HF481" s="700">
        <v>149.5</v>
      </c>
      <c r="HH481" s="1169"/>
    </row>
    <row r="482" spans="213:216" x14ac:dyDescent="0.35">
      <c r="HE482" s="700"/>
      <c r="HF482" s="700">
        <v>150</v>
      </c>
      <c r="HH482" s="1169"/>
    </row>
    <row r="483" spans="213:216" x14ac:dyDescent="0.35">
      <c r="HE483" s="700"/>
      <c r="HF483" s="700">
        <v>150.5</v>
      </c>
      <c r="HH483" s="1169"/>
    </row>
    <row r="484" spans="213:216" x14ac:dyDescent="0.35">
      <c r="HE484" s="700"/>
      <c r="HF484" s="700">
        <v>151</v>
      </c>
      <c r="HH484" s="1169"/>
    </row>
    <row r="485" spans="213:216" x14ac:dyDescent="0.35">
      <c r="HE485" s="700"/>
      <c r="HF485" s="700">
        <v>151.5</v>
      </c>
      <c r="HH485" s="1169"/>
    </row>
    <row r="486" spans="213:216" x14ac:dyDescent="0.35">
      <c r="HE486" s="700"/>
      <c r="HF486" s="700">
        <v>152</v>
      </c>
      <c r="HH486" s="1169"/>
    </row>
    <row r="487" spans="213:216" x14ac:dyDescent="0.35">
      <c r="HE487" s="700"/>
      <c r="HF487" s="700">
        <v>152.5</v>
      </c>
      <c r="HH487" s="1169"/>
    </row>
    <row r="488" spans="213:216" x14ac:dyDescent="0.35">
      <c r="HE488" s="700"/>
      <c r="HF488" s="700">
        <v>153</v>
      </c>
      <c r="HH488" s="1169"/>
    </row>
    <row r="489" spans="213:216" x14ac:dyDescent="0.35">
      <c r="HE489" s="700"/>
      <c r="HF489" s="700">
        <v>153.5</v>
      </c>
      <c r="HH489" s="1169"/>
    </row>
    <row r="490" spans="213:216" x14ac:dyDescent="0.35">
      <c r="HE490" s="700"/>
      <c r="HF490" s="700">
        <v>154</v>
      </c>
      <c r="HH490" s="1169"/>
    </row>
    <row r="491" spans="213:216" x14ac:dyDescent="0.35">
      <c r="HE491" s="700"/>
      <c r="HF491" s="700">
        <v>154.5</v>
      </c>
      <c r="HH491" s="1169"/>
    </row>
    <row r="492" spans="213:216" x14ac:dyDescent="0.35">
      <c r="HE492" s="700"/>
      <c r="HF492" s="700">
        <v>155</v>
      </c>
      <c r="HH492" s="1169"/>
    </row>
    <row r="493" spans="213:216" x14ac:dyDescent="0.35">
      <c r="HE493" s="700"/>
      <c r="HF493" s="700">
        <v>155.5</v>
      </c>
      <c r="HH493" s="1169"/>
    </row>
    <row r="494" spans="213:216" x14ac:dyDescent="0.35">
      <c r="HE494" s="700"/>
      <c r="HF494" s="700">
        <v>156</v>
      </c>
      <c r="HH494" s="1169"/>
    </row>
    <row r="495" spans="213:216" x14ac:dyDescent="0.35">
      <c r="HE495" s="700"/>
      <c r="HF495" s="700">
        <v>156.5</v>
      </c>
      <c r="HH495" s="1169"/>
    </row>
    <row r="496" spans="213:216" x14ac:dyDescent="0.35">
      <c r="HE496" s="700"/>
      <c r="HF496" s="700">
        <v>157</v>
      </c>
      <c r="HH496" s="1169"/>
    </row>
    <row r="497" spans="213:216" x14ac:dyDescent="0.35">
      <c r="HE497" s="700"/>
      <c r="HF497" s="700">
        <v>157.5</v>
      </c>
      <c r="HH497" s="1169"/>
    </row>
    <row r="498" spans="213:216" x14ac:dyDescent="0.35">
      <c r="HE498" s="700"/>
      <c r="HF498" s="700">
        <v>158</v>
      </c>
      <c r="HH498" s="1169"/>
    </row>
    <row r="499" spans="213:216" x14ac:dyDescent="0.35">
      <c r="HE499" s="700"/>
      <c r="HF499" s="700">
        <v>158.5</v>
      </c>
      <c r="HH499" s="1169"/>
    </row>
    <row r="500" spans="213:216" x14ac:dyDescent="0.35">
      <c r="HE500" s="700"/>
      <c r="HF500" s="700">
        <v>159</v>
      </c>
      <c r="HH500" s="1169"/>
    </row>
    <row r="501" spans="213:216" x14ac:dyDescent="0.35">
      <c r="HE501" s="700"/>
      <c r="HF501" s="700">
        <v>159.5</v>
      </c>
      <c r="HH501" s="1169"/>
    </row>
    <row r="502" spans="213:216" x14ac:dyDescent="0.35">
      <c r="HE502" s="700"/>
      <c r="HF502" s="700">
        <v>160</v>
      </c>
      <c r="HH502" s="1169"/>
    </row>
    <row r="503" spans="213:216" x14ac:dyDescent="0.35">
      <c r="HE503" s="700"/>
      <c r="HF503" s="700">
        <v>160.5</v>
      </c>
      <c r="HH503" s="1169"/>
    </row>
    <row r="504" spans="213:216" x14ac:dyDescent="0.35">
      <c r="HE504" s="700"/>
      <c r="HF504" s="700">
        <v>161</v>
      </c>
      <c r="HH504" s="1169"/>
    </row>
    <row r="505" spans="213:216" x14ac:dyDescent="0.35">
      <c r="HE505" s="700"/>
      <c r="HF505" s="700">
        <v>161.5</v>
      </c>
      <c r="HH505" s="1169"/>
    </row>
    <row r="506" spans="213:216" x14ac:dyDescent="0.35">
      <c r="HE506" s="700"/>
      <c r="HF506" s="700">
        <v>162</v>
      </c>
      <c r="HH506" s="1169"/>
    </row>
    <row r="507" spans="213:216" x14ac:dyDescent="0.35">
      <c r="HE507" s="700"/>
      <c r="HF507" s="700">
        <v>162.5</v>
      </c>
      <c r="HH507" s="1169"/>
    </row>
    <row r="508" spans="213:216" x14ac:dyDescent="0.35">
      <c r="HE508" s="700"/>
      <c r="HF508" s="700">
        <v>163</v>
      </c>
      <c r="HH508" s="1169"/>
    </row>
    <row r="509" spans="213:216" x14ac:dyDescent="0.35">
      <c r="HE509" s="700"/>
      <c r="HF509" s="700">
        <v>163.5</v>
      </c>
      <c r="HH509" s="1169"/>
    </row>
    <row r="510" spans="213:216" x14ac:dyDescent="0.35">
      <c r="HE510" s="700"/>
      <c r="HF510" s="700">
        <v>164</v>
      </c>
      <c r="HH510" s="1169"/>
    </row>
    <row r="511" spans="213:216" x14ac:dyDescent="0.35">
      <c r="HE511" s="700"/>
      <c r="HF511" s="700">
        <v>164.5</v>
      </c>
      <c r="HH511" s="1169"/>
    </row>
    <row r="512" spans="213:216" x14ac:dyDescent="0.35">
      <c r="HE512" s="700"/>
      <c r="HF512" s="700">
        <v>165</v>
      </c>
      <c r="HH512" s="1169"/>
    </row>
    <row r="513" spans="213:216" x14ac:dyDescent="0.35">
      <c r="HE513" s="700"/>
      <c r="HF513" s="700">
        <v>165.5</v>
      </c>
      <c r="HH513" s="1169"/>
    </row>
    <row r="514" spans="213:216" x14ac:dyDescent="0.35">
      <c r="HE514" s="700"/>
      <c r="HF514" s="700">
        <v>166</v>
      </c>
      <c r="HH514" s="1169"/>
    </row>
    <row r="515" spans="213:216" x14ac:dyDescent="0.35">
      <c r="HE515" s="700"/>
      <c r="HF515" s="700">
        <v>166.5</v>
      </c>
      <c r="HH515" s="1169"/>
    </row>
    <row r="516" spans="213:216" x14ac:dyDescent="0.35">
      <c r="HE516" s="700"/>
      <c r="HF516" s="700">
        <v>167</v>
      </c>
      <c r="HH516" s="1169"/>
    </row>
    <row r="517" spans="213:216" x14ac:dyDescent="0.35">
      <c r="HE517" s="700"/>
      <c r="HF517" s="700">
        <v>167.5</v>
      </c>
      <c r="HH517" s="1169"/>
    </row>
    <row r="518" spans="213:216" x14ac:dyDescent="0.35">
      <c r="HE518" s="700"/>
      <c r="HF518" s="700">
        <v>168</v>
      </c>
      <c r="HH518" s="1169"/>
    </row>
    <row r="519" spans="213:216" x14ac:dyDescent="0.35">
      <c r="HE519" s="700"/>
      <c r="HF519" s="700">
        <v>168.5</v>
      </c>
      <c r="HH519" s="1169"/>
    </row>
    <row r="520" spans="213:216" x14ac:dyDescent="0.35">
      <c r="HE520" s="700"/>
      <c r="HF520" s="700">
        <v>169</v>
      </c>
      <c r="HH520" s="1169"/>
    </row>
    <row r="521" spans="213:216" x14ac:dyDescent="0.35">
      <c r="HE521" s="700"/>
      <c r="HF521" s="700">
        <v>169.5</v>
      </c>
      <c r="HH521" s="1169"/>
    </row>
    <row r="522" spans="213:216" x14ac:dyDescent="0.35">
      <c r="HE522" s="700"/>
      <c r="HF522" s="700">
        <v>170</v>
      </c>
      <c r="HH522" s="1169"/>
    </row>
    <row r="523" spans="213:216" x14ac:dyDescent="0.35">
      <c r="HE523" s="700"/>
      <c r="HF523" s="700">
        <v>170.5</v>
      </c>
      <c r="HH523" s="1169"/>
    </row>
    <row r="524" spans="213:216" x14ac:dyDescent="0.35">
      <c r="HE524" s="700"/>
      <c r="HF524" s="700">
        <v>171</v>
      </c>
      <c r="HH524" s="1169"/>
    </row>
    <row r="525" spans="213:216" x14ac:dyDescent="0.35">
      <c r="HE525" s="700"/>
      <c r="HF525" s="700">
        <v>171.5</v>
      </c>
      <c r="HH525" s="1169"/>
    </row>
    <row r="526" spans="213:216" x14ac:dyDescent="0.35">
      <c r="HE526" s="700"/>
      <c r="HF526" s="700">
        <v>172</v>
      </c>
      <c r="HH526" s="1169"/>
    </row>
    <row r="527" spans="213:216" x14ac:dyDescent="0.35">
      <c r="HE527" s="700"/>
      <c r="HF527" s="700">
        <v>172.5</v>
      </c>
      <c r="HH527" s="1169"/>
    </row>
    <row r="528" spans="213:216" x14ac:dyDescent="0.35">
      <c r="HE528" s="700"/>
      <c r="HF528" s="700">
        <v>173</v>
      </c>
      <c r="HH528" s="1169"/>
    </row>
    <row r="529" spans="213:216" x14ac:dyDescent="0.35">
      <c r="HE529" s="700"/>
      <c r="HF529" s="700">
        <v>173.5</v>
      </c>
      <c r="HH529" s="1169"/>
    </row>
    <row r="530" spans="213:216" x14ac:dyDescent="0.35">
      <c r="HE530" s="700"/>
      <c r="HF530" s="700">
        <v>174</v>
      </c>
      <c r="HH530" s="1169"/>
    </row>
    <row r="531" spans="213:216" x14ac:dyDescent="0.35">
      <c r="HE531" s="700"/>
      <c r="HF531" s="700">
        <v>174.5</v>
      </c>
      <c r="HH531" s="1169"/>
    </row>
    <row r="532" spans="213:216" x14ac:dyDescent="0.35">
      <c r="HE532" s="700"/>
      <c r="HF532" s="700">
        <v>175</v>
      </c>
      <c r="HH532" s="1169"/>
    </row>
    <row r="533" spans="213:216" x14ac:dyDescent="0.35">
      <c r="HE533" s="700"/>
      <c r="HF533" s="700">
        <v>175.5</v>
      </c>
      <c r="HH533" s="1169"/>
    </row>
    <row r="534" spans="213:216" x14ac:dyDescent="0.35">
      <c r="HE534" s="700"/>
      <c r="HF534" s="700">
        <v>176</v>
      </c>
      <c r="HH534" s="1169"/>
    </row>
    <row r="535" spans="213:216" x14ac:dyDescent="0.35">
      <c r="HE535" s="700"/>
      <c r="HF535" s="700">
        <v>176.5</v>
      </c>
      <c r="HH535" s="1169"/>
    </row>
    <row r="536" spans="213:216" x14ac:dyDescent="0.35">
      <c r="HE536" s="700"/>
      <c r="HF536" s="700">
        <v>177</v>
      </c>
      <c r="HH536" s="1169"/>
    </row>
    <row r="537" spans="213:216" x14ac:dyDescent="0.35">
      <c r="HE537" s="700"/>
      <c r="HF537" s="700">
        <v>177.5</v>
      </c>
      <c r="HH537" s="1169"/>
    </row>
    <row r="538" spans="213:216" x14ac:dyDescent="0.35">
      <c r="HE538" s="700"/>
      <c r="HF538" s="700">
        <v>178</v>
      </c>
      <c r="HH538" s="1169"/>
    </row>
    <row r="539" spans="213:216" x14ac:dyDescent="0.35">
      <c r="HE539" s="700"/>
      <c r="HF539" s="700">
        <v>178.5</v>
      </c>
      <c r="HH539" s="1169"/>
    </row>
    <row r="540" spans="213:216" x14ac:dyDescent="0.35">
      <c r="HE540" s="700"/>
      <c r="HF540" s="700">
        <v>179</v>
      </c>
      <c r="HH540" s="1169"/>
    </row>
    <row r="541" spans="213:216" x14ac:dyDescent="0.35">
      <c r="HE541" s="700"/>
      <c r="HF541" s="700">
        <v>179.5</v>
      </c>
      <c r="HH541" s="1169"/>
    </row>
    <row r="542" spans="213:216" x14ac:dyDescent="0.35">
      <c r="HE542" s="700"/>
      <c r="HF542" s="700">
        <v>180</v>
      </c>
      <c r="HH542" s="1169"/>
    </row>
    <row r="543" spans="213:216" x14ac:dyDescent="0.35">
      <c r="HE543" s="700"/>
      <c r="HF543" s="700">
        <v>180.5</v>
      </c>
      <c r="HH543" s="1169"/>
    </row>
    <row r="544" spans="213:216" x14ac:dyDescent="0.35">
      <c r="HE544" s="700"/>
      <c r="HF544" s="700">
        <v>181</v>
      </c>
      <c r="HH544" s="1169"/>
    </row>
    <row r="545" spans="213:216" x14ac:dyDescent="0.35">
      <c r="HE545" s="700"/>
      <c r="HF545" s="700">
        <v>181.5</v>
      </c>
      <c r="HH545" s="1169"/>
    </row>
    <row r="546" spans="213:216" x14ac:dyDescent="0.35">
      <c r="HE546" s="700"/>
      <c r="HF546" s="700">
        <v>182</v>
      </c>
      <c r="HH546" s="1169"/>
    </row>
    <row r="547" spans="213:216" x14ac:dyDescent="0.35">
      <c r="HE547" s="700"/>
      <c r="HF547" s="700">
        <v>182.5</v>
      </c>
      <c r="HH547" s="1169"/>
    </row>
    <row r="548" spans="213:216" x14ac:dyDescent="0.35">
      <c r="HE548" s="700"/>
      <c r="HF548" s="700">
        <v>183</v>
      </c>
      <c r="HH548" s="1169"/>
    </row>
    <row r="549" spans="213:216" x14ac:dyDescent="0.35">
      <c r="HE549" s="700"/>
      <c r="HF549" s="700">
        <v>183.5</v>
      </c>
      <c r="HH549" s="1169"/>
    </row>
    <row r="550" spans="213:216" x14ac:dyDescent="0.35">
      <c r="HE550" s="700"/>
      <c r="HF550" s="700">
        <v>184</v>
      </c>
      <c r="HH550" s="1169"/>
    </row>
    <row r="551" spans="213:216" x14ac:dyDescent="0.35">
      <c r="HE551" s="700"/>
      <c r="HF551" s="700">
        <v>184.5</v>
      </c>
      <c r="HH551" s="1169"/>
    </row>
    <row r="552" spans="213:216" x14ac:dyDescent="0.35">
      <c r="HE552" s="700"/>
      <c r="HF552" s="700">
        <v>185</v>
      </c>
      <c r="HH552" s="1169"/>
    </row>
    <row r="553" spans="213:216" x14ac:dyDescent="0.35">
      <c r="HE553" s="700"/>
      <c r="HF553" s="700">
        <v>185.5</v>
      </c>
      <c r="HH553" s="1169"/>
    </row>
    <row r="554" spans="213:216" x14ac:dyDescent="0.35">
      <c r="HE554" s="700"/>
      <c r="HF554" s="700">
        <v>186</v>
      </c>
      <c r="HH554" s="1169"/>
    </row>
    <row r="555" spans="213:216" x14ac:dyDescent="0.35">
      <c r="HE555" s="700"/>
      <c r="HF555" s="700">
        <v>186.5</v>
      </c>
      <c r="HH555" s="1169"/>
    </row>
    <row r="556" spans="213:216" x14ac:dyDescent="0.35">
      <c r="HE556" s="700"/>
      <c r="HF556" s="700">
        <v>187</v>
      </c>
      <c r="HH556" s="1169"/>
    </row>
    <row r="557" spans="213:216" x14ac:dyDescent="0.35">
      <c r="HE557" s="700"/>
      <c r="HF557" s="700">
        <v>187.5</v>
      </c>
      <c r="HH557" s="1169"/>
    </row>
    <row r="558" spans="213:216" x14ac:dyDescent="0.35">
      <c r="HE558" s="700"/>
      <c r="HF558" s="700">
        <v>188</v>
      </c>
      <c r="HH558" s="1169"/>
    </row>
    <row r="559" spans="213:216" x14ac:dyDescent="0.35">
      <c r="HE559" s="700"/>
      <c r="HF559" s="700">
        <v>188.5</v>
      </c>
      <c r="HH559" s="1169"/>
    </row>
    <row r="560" spans="213:216" x14ac:dyDescent="0.35">
      <c r="HE560" s="700"/>
      <c r="HF560" s="700">
        <v>189</v>
      </c>
      <c r="HH560" s="1169"/>
    </row>
    <row r="561" spans="213:216" x14ac:dyDescent="0.35">
      <c r="HE561" s="700"/>
      <c r="HF561" s="700">
        <v>189.5</v>
      </c>
      <c r="HH561" s="1169"/>
    </row>
    <row r="562" spans="213:216" x14ac:dyDescent="0.35">
      <c r="HE562" s="700"/>
      <c r="HF562" s="700">
        <v>190</v>
      </c>
      <c r="HH562" s="1169"/>
    </row>
    <row r="563" spans="213:216" x14ac:dyDescent="0.35">
      <c r="HE563" s="700"/>
      <c r="HF563" s="700">
        <v>190.5</v>
      </c>
      <c r="HH563" s="1169"/>
    </row>
    <row r="564" spans="213:216" x14ac:dyDescent="0.35">
      <c r="HE564" s="700"/>
      <c r="HF564" s="700">
        <v>191</v>
      </c>
      <c r="HH564" s="1169"/>
    </row>
    <row r="565" spans="213:216" x14ac:dyDescent="0.35">
      <c r="HE565" s="700"/>
      <c r="HF565" s="700">
        <v>191.5</v>
      </c>
    </row>
    <row r="566" spans="213:216" x14ac:dyDescent="0.35">
      <c r="HE566" s="700"/>
      <c r="HF566" s="700">
        <v>192</v>
      </c>
    </row>
    <row r="567" spans="213:216" x14ac:dyDescent="0.35">
      <c r="HE567" s="700"/>
      <c r="HF567" s="700">
        <v>192.5</v>
      </c>
    </row>
    <row r="568" spans="213:216" x14ac:dyDescent="0.35">
      <c r="HE568" s="700"/>
      <c r="HF568" s="700">
        <v>193</v>
      </c>
    </row>
    <row r="569" spans="213:216" x14ac:dyDescent="0.35">
      <c r="HE569" s="700"/>
      <c r="HF569" s="700">
        <v>193.5</v>
      </c>
    </row>
    <row r="570" spans="213:216" x14ac:dyDescent="0.35">
      <c r="HE570" s="700"/>
      <c r="HF570" s="700">
        <v>194</v>
      </c>
    </row>
    <row r="571" spans="213:216" x14ac:dyDescent="0.35">
      <c r="HE571" s="700"/>
      <c r="HF571" s="700">
        <v>194.5</v>
      </c>
    </row>
    <row r="572" spans="213:216" x14ac:dyDescent="0.35">
      <c r="HE572" s="700"/>
      <c r="HF572" s="700">
        <v>195</v>
      </c>
    </row>
    <row r="573" spans="213:216" x14ac:dyDescent="0.35">
      <c r="HE573" s="700"/>
      <c r="HF573" s="700">
        <v>195.5</v>
      </c>
    </row>
    <row r="574" spans="213:216" x14ac:dyDescent="0.35">
      <c r="HE574" s="700"/>
      <c r="HF574" s="700">
        <v>196</v>
      </c>
    </row>
    <row r="575" spans="213:216" x14ac:dyDescent="0.35">
      <c r="HE575" s="700"/>
      <c r="HF575" s="700">
        <v>196.5</v>
      </c>
    </row>
    <row r="576" spans="213:216" x14ac:dyDescent="0.35">
      <c r="HE576" s="700"/>
      <c r="HF576" s="700">
        <v>197</v>
      </c>
    </row>
    <row r="577" spans="213:214" x14ac:dyDescent="0.35">
      <c r="HE577" s="700"/>
      <c r="HF577" s="700">
        <v>197.5</v>
      </c>
    </row>
    <row r="578" spans="213:214" x14ac:dyDescent="0.35">
      <c r="HE578" s="700"/>
      <c r="HF578" s="700">
        <v>198</v>
      </c>
    </row>
    <row r="579" spans="213:214" x14ac:dyDescent="0.35">
      <c r="HE579" s="700"/>
      <c r="HF579" s="700">
        <v>198.5</v>
      </c>
    </row>
    <row r="580" spans="213:214" x14ac:dyDescent="0.35">
      <c r="HE580" s="700"/>
      <c r="HF580" s="700">
        <v>199</v>
      </c>
    </row>
    <row r="581" spans="213:214" x14ac:dyDescent="0.35">
      <c r="HE581" s="700"/>
      <c r="HF581" s="700">
        <v>199.5</v>
      </c>
    </row>
    <row r="582" spans="213:214" x14ac:dyDescent="0.35">
      <c r="HE582" s="700"/>
      <c r="HF582" s="700">
        <v>200</v>
      </c>
    </row>
    <row r="583" spans="213:214" x14ac:dyDescent="0.35">
      <c r="HE583" s="700"/>
      <c r="HF583" s="700">
        <v>200.5</v>
      </c>
    </row>
    <row r="584" spans="213:214" x14ac:dyDescent="0.35">
      <c r="HE584" s="700"/>
      <c r="HF584" s="700">
        <v>201</v>
      </c>
    </row>
    <row r="585" spans="213:214" x14ac:dyDescent="0.35">
      <c r="HE585" s="700"/>
      <c r="HF585" s="700">
        <v>201.5</v>
      </c>
    </row>
    <row r="586" spans="213:214" x14ac:dyDescent="0.35">
      <c r="HE586" s="700"/>
      <c r="HF586" s="700">
        <v>202</v>
      </c>
    </row>
    <row r="587" spans="213:214" x14ac:dyDescent="0.35">
      <c r="HE587" s="700"/>
      <c r="HF587" s="700">
        <v>202.5</v>
      </c>
    </row>
    <row r="588" spans="213:214" x14ac:dyDescent="0.35">
      <c r="HE588" s="700"/>
      <c r="HF588" s="700">
        <v>203</v>
      </c>
    </row>
    <row r="589" spans="213:214" x14ac:dyDescent="0.35">
      <c r="HE589" s="700"/>
      <c r="HF589" s="700">
        <v>203.5</v>
      </c>
    </row>
    <row r="590" spans="213:214" x14ac:dyDescent="0.35">
      <c r="HE590" s="700"/>
      <c r="HF590" s="700">
        <v>204</v>
      </c>
    </row>
    <row r="591" spans="213:214" x14ac:dyDescent="0.35">
      <c r="HE591" s="700"/>
      <c r="HF591" s="700">
        <v>204.5</v>
      </c>
    </row>
    <row r="592" spans="213:214" x14ac:dyDescent="0.35">
      <c r="HE592" s="700"/>
      <c r="HF592" s="700">
        <v>205</v>
      </c>
    </row>
    <row r="593" spans="213:214" x14ac:dyDescent="0.35">
      <c r="HE593" s="700"/>
      <c r="HF593" s="700">
        <v>205.5</v>
      </c>
    </row>
    <row r="594" spans="213:214" x14ac:dyDescent="0.35">
      <c r="HE594" s="700"/>
      <c r="HF594" s="700">
        <v>206</v>
      </c>
    </row>
    <row r="595" spans="213:214" x14ac:dyDescent="0.35">
      <c r="HE595" s="700"/>
      <c r="HF595" s="700">
        <v>206.5</v>
      </c>
    </row>
    <row r="596" spans="213:214" x14ac:dyDescent="0.35">
      <c r="HE596" s="700"/>
      <c r="HF596" s="700">
        <v>207</v>
      </c>
    </row>
    <row r="597" spans="213:214" x14ac:dyDescent="0.35">
      <c r="HE597" s="700"/>
      <c r="HF597" s="700">
        <v>207.5</v>
      </c>
    </row>
    <row r="598" spans="213:214" x14ac:dyDescent="0.35">
      <c r="HE598" s="700"/>
      <c r="HF598" s="700">
        <v>208</v>
      </c>
    </row>
    <row r="599" spans="213:214" x14ac:dyDescent="0.35">
      <c r="HE599" s="700"/>
      <c r="HF599" s="700">
        <v>208.5</v>
      </c>
    </row>
    <row r="600" spans="213:214" x14ac:dyDescent="0.35">
      <c r="HE600" s="700"/>
      <c r="HF600" s="700">
        <v>209</v>
      </c>
    </row>
    <row r="601" spans="213:214" x14ac:dyDescent="0.35">
      <c r="HE601" s="700"/>
      <c r="HF601" s="700">
        <v>209.5</v>
      </c>
    </row>
    <row r="602" spans="213:214" x14ac:dyDescent="0.35">
      <c r="HE602" s="700"/>
      <c r="HF602" s="700">
        <v>210</v>
      </c>
    </row>
    <row r="603" spans="213:214" x14ac:dyDescent="0.35">
      <c r="HE603" s="700"/>
      <c r="HF603" s="700">
        <v>210.5</v>
      </c>
    </row>
    <row r="604" spans="213:214" x14ac:dyDescent="0.35">
      <c r="HE604" s="700"/>
      <c r="HF604" s="700">
        <v>211</v>
      </c>
    </row>
    <row r="605" spans="213:214" x14ac:dyDescent="0.35">
      <c r="HE605" s="700"/>
      <c r="HF605" s="700">
        <v>211.5</v>
      </c>
    </row>
    <row r="606" spans="213:214" x14ac:dyDescent="0.35">
      <c r="HE606" s="700"/>
      <c r="HF606" s="700">
        <v>212</v>
      </c>
    </row>
    <row r="607" spans="213:214" x14ac:dyDescent="0.35">
      <c r="HE607" s="700"/>
      <c r="HF607" s="700">
        <v>212.5</v>
      </c>
    </row>
    <row r="608" spans="213:214" x14ac:dyDescent="0.35">
      <c r="HE608" s="700"/>
      <c r="HF608" s="700">
        <v>213</v>
      </c>
    </row>
    <row r="609" spans="213:214" x14ac:dyDescent="0.35">
      <c r="HE609" s="700"/>
      <c r="HF609" s="700">
        <v>213.5</v>
      </c>
    </row>
    <row r="610" spans="213:214" x14ac:dyDescent="0.35">
      <c r="HE610" s="700"/>
      <c r="HF610" s="700">
        <v>214</v>
      </c>
    </row>
    <row r="611" spans="213:214" x14ac:dyDescent="0.35">
      <c r="HE611" s="700"/>
      <c r="HF611" s="700">
        <v>214.5</v>
      </c>
    </row>
    <row r="612" spans="213:214" x14ac:dyDescent="0.35">
      <c r="HE612" s="700"/>
      <c r="HF612" s="700">
        <v>215</v>
      </c>
    </row>
    <row r="613" spans="213:214" x14ac:dyDescent="0.35">
      <c r="HE613" s="700"/>
      <c r="HF613" s="700">
        <v>215.5</v>
      </c>
    </row>
    <row r="614" spans="213:214" x14ac:dyDescent="0.35">
      <c r="HE614" s="700"/>
      <c r="HF614" s="700">
        <v>216</v>
      </c>
    </row>
    <row r="615" spans="213:214" x14ac:dyDescent="0.35">
      <c r="HE615" s="700"/>
      <c r="HF615" s="700">
        <v>216.5</v>
      </c>
    </row>
    <row r="616" spans="213:214" x14ac:dyDescent="0.35">
      <c r="HE616" s="700"/>
      <c r="HF616" s="700">
        <v>217</v>
      </c>
    </row>
    <row r="617" spans="213:214" x14ac:dyDescent="0.35">
      <c r="HE617" s="700"/>
      <c r="HF617" s="700">
        <v>217.5</v>
      </c>
    </row>
    <row r="618" spans="213:214" x14ac:dyDescent="0.35">
      <c r="HE618" s="700"/>
      <c r="HF618" s="700">
        <v>218</v>
      </c>
    </row>
    <row r="619" spans="213:214" x14ac:dyDescent="0.35">
      <c r="HE619" s="700"/>
      <c r="HF619" s="700">
        <v>218.5</v>
      </c>
    </row>
    <row r="620" spans="213:214" x14ac:dyDescent="0.35">
      <c r="HE620" s="700"/>
      <c r="HF620" s="700">
        <v>219</v>
      </c>
    </row>
    <row r="621" spans="213:214" x14ac:dyDescent="0.35">
      <c r="HE621" s="700"/>
      <c r="HF621" s="700">
        <v>219.5</v>
      </c>
    </row>
    <row r="622" spans="213:214" x14ac:dyDescent="0.35">
      <c r="HE622" s="700"/>
      <c r="HF622" s="700">
        <v>220</v>
      </c>
    </row>
    <row r="623" spans="213:214" x14ac:dyDescent="0.35">
      <c r="HE623" s="700"/>
      <c r="HF623" s="700">
        <v>220.5</v>
      </c>
    </row>
    <row r="624" spans="213:214" x14ac:dyDescent="0.35">
      <c r="HE624" s="700"/>
      <c r="HF624" s="700">
        <v>221</v>
      </c>
    </row>
    <row r="625" spans="213:214" x14ac:dyDescent="0.35">
      <c r="HE625" s="700"/>
      <c r="HF625" s="700">
        <v>221.5</v>
      </c>
    </row>
    <row r="626" spans="213:214" x14ac:dyDescent="0.35">
      <c r="HE626" s="700"/>
      <c r="HF626" s="700">
        <v>222</v>
      </c>
    </row>
    <row r="627" spans="213:214" x14ac:dyDescent="0.35">
      <c r="HE627" s="700"/>
      <c r="HF627" s="700">
        <v>222.5</v>
      </c>
    </row>
    <row r="628" spans="213:214" x14ac:dyDescent="0.35">
      <c r="HE628" s="700"/>
      <c r="HF628" s="700">
        <v>223</v>
      </c>
    </row>
    <row r="629" spans="213:214" x14ac:dyDescent="0.35">
      <c r="HE629" s="700"/>
      <c r="HF629" s="700">
        <v>223.5</v>
      </c>
    </row>
    <row r="630" spans="213:214" x14ac:dyDescent="0.35">
      <c r="HE630" s="700"/>
      <c r="HF630" s="700">
        <v>224</v>
      </c>
    </row>
    <row r="631" spans="213:214" x14ac:dyDescent="0.35">
      <c r="HE631" s="700"/>
      <c r="HF631" s="700">
        <v>224.5</v>
      </c>
    </row>
    <row r="632" spans="213:214" x14ac:dyDescent="0.35">
      <c r="HE632" s="700"/>
      <c r="HF632" s="700">
        <v>225</v>
      </c>
    </row>
    <row r="633" spans="213:214" x14ac:dyDescent="0.35">
      <c r="HE633" s="700"/>
      <c r="HF633" s="700">
        <v>225.5</v>
      </c>
    </row>
    <row r="634" spans="213:214" x14ac:dyDescent="0.35">
      <c r="HE634" s="700"/>
      <c r="HF634" s="700">
        <v>226</v>
      </c>
    </row>
    <row r="635" spans="213:214" x14ac:dyDescent="0.35">
      <c r="HE635" s="700"/>
      <c r="HF635" s="700">
        <v>226.5</v>
      </c>
    </row>
    <row r="636" spans="213:214" x14ac:dyDescent="0.35">
      <c r="HE636" s="700"/>
      <c r="HF636" s="700">
        <v>227</v>
      </c>
    </row>
    <row r="637" spans="213:214" x14ac:dyDescent="0.35">
      <c r="HE637" s="700"/>
      <c r="HF637" s="700">
        <v>227.5</v>
      </c>
    </row>
    <row r="638" spans="213:214" x14ac:dyDescent="0.35">
      <c r="HE638" s="700"/>
      <c r="HF638" s="700">
        <v>228</v>
      </c>
    </row>
    <row r="639" spans="213:214" x14ac:dyDescent="0.35">
      <c r="HE639" s="700"/>
      <c r="HF639" s="700">
        <v>228.5</v>
      </c>
    </row>
    <row r="640" spans="213:214" x14ac:dyDescent="0.35">
      <c r="HE640" s="700"/>
      <c r="HF640" s="700">
        <v>229</v>
      </c>
    </row>
    <row r="641" spans="213:214" x14ac:dyDescent="0.35">
      <c r="HE641" s="700"/>
      <c r="HF641" s="700">
        <v>229.5</v>
      </c>
    </row>
    <row r="642" spans="213:214" x14ac:dyDescent="0.35">
      <c r="HE642" s="700"/>
      <c r="HF642" s="700">
        <v>230</v>
      </c>
    </row>
    <row r="643" spans="213:214" x14ac:dyDescent="0.35">
      <c r="HE643" s="700"/>
      <c r="HF643" s="700">
        <v>230.5</v>
      </c>
    </row>
    <row r="644" spans="213:214" x14ac:dyDescent="0.35">
      <c r="HE644" s="700"/>
      <c r="HF644" s="700">
        <v>231</v>
      </c>
    </row>
    <row r="645" spans="213:214" x14ac:dyDescent="0.35">
      <c r="HE645" s="700"/>
      <c r="HF645" s="700">
        <v>231.5</v>
      </c>
    </row>
    <row r="646" spans="213:214" x14ac:dyDescent="0.35">
      <c r="HE646" s="700"/>
      <c r="HF646" s="700">
        <v>232</v>
      </c>
    </row>
    <row r="647" spans="213:214" x14ac:dyDescent="0.35">
      <c r="HE647" s="700"/>
      <c r="HF647" s="700">
        <v>232.5</v>
      </c>
    </row>
    <row r="648" spans="213:214" x14ac:dyDescent="0.35">
      <c r="HE648" s="700"/>
      <c r="HF648" s="700">
        <v>233</v>
      </c>
    </row>
    <row r="649" spans="213:214" x14ac:dyDescent="0.35">
      <c r="HE649" s="700"/>
      <c r="HF649" s="700">
        <v>233.5</v>
      </c>
    </row>
    <row r="650" spans="213:214" x14ac:dyDescent="0.35">
      <c r="HE650" s="700"/>
      <c r="HF650" s="700">
        <v>234</v>
      </c>
    </row>
    <row r="651" spans="213:214" x14ac:dyDescent="0.35">
      <c r="HE651" s="700"/>
      <c r="HF651" s="700">
        <v>234.5</v>
      </c>
    </row>
    <row r="652" spans="213:214" x14ac:dyDescent="0.35">
      <c r="HE652" s="700"/>
      <c r="HF652" s="700">
        <v>235</v>
      </c>
    </row>
    <row r="653" spans="213:214" x14ac:dyDescent="0.35">
      <c r="HE653" s="700"/>
      <c r="HF653" s="700">
        <v>235.5</v>
      </c>
    </row>
    <row r="654" spans="213:214" x14ac:dyDescent="0.35">
      <c r="HE654" s="700"/>
      <c r="HF654" s="700">
        <v>236</v>
      </c>
    </row>
    <row r="655" spans="213:214" x14ac:dyDescent="0.35">
      <c r="HE655" s="700"/>
      <c r="HF655" s="700">
        <v>236.5</v>
      </c>
    </row>
    <row r="656" spans="213:214" x14ac:dyDescent="0.35">
      <c r="HE656" s="700"/>
      <c r="HF656" s="700">
        <v>237</v>
      </c>
    </row>
    <row r="657" spans="213:214" x14ac:dyDescent="0.35">
      <c r="HE657" s="700"/>
      <c r="HF657" s="700">
        <v>237.5</v>
      </c>
    </row>
    <row r="658" spans="213:214" x14ac:dyDescent="0.35">
      <c r="HE658" s="700"/>
      <c r="HF658" s="700">
        <v>238</v>
      </c>
    </row>
    <row r="659" spans="213:214" x14ac:dyDescent="0.35">
      <c r="HE659" s="700"/>
      <c r="HF659" s="700">
        <v>238.5</v>
      </c>
    </row>
    <row r="660" spans="213:214" x14ac:dyDescent="0.35">
      <c r="HE660" s="700"/>
      <c r="HF660" s="700">
        <v>239</v>
      </c>
    </row>
    <row r="661" spans="213:214" x14ac:dyDescent="0.35">
      <c r="HE661" s="700"/>
      <c r="HF661" s="700">
        <v>239.5</v>
      </c>
    </row>
    <row r="662" spans="213:214" x14ac:dyDescent="0.35">
      <c r="HE662" s="700"/>
      <c r="HF662" s="700">
        <v>240</v>
      </c>
    </row>
    <row r="663" spans="213:214" x14ac:dyDescent="0.35">
      <c r="HE663" s="699"/>
      <c r="HF663" s="700" t="s">
        <v>1078</v>
      </c>
    </row>
    <row r="664" spans="213:214" x14ac:dyDescent="0.35">
      <c r="HE664" s="699"/>
      <c r="HF664" s="700" t="s">
        <v>1079</v>
      </c>
    </row>
  </sheetData>
  <sheetProtection password="AD51" sheet="1"/>
  <mergeCells count="29">
    <mergeCell ref="AK72:AN72"/>
    <mergeCell ref="A14:B14"/>
    <mergeCell ref="A7:B7"/>
    <mergeCell ref="A8:B8"/>
    <mergeCell ref="A9:B9"/>
    <mergeCell ref="A10:B10"/>
    <mergeCell ref="A12:B12"/>
    <mergeCell ref="A13:B13"/>
    <mergeCell ref="A33:B33"/>
    <mergeCell ref="A41:B41"/>
    <mergeCell ref="A34:B34"/>
    <mergeCell ref="A35:B35"/>
    <mergeCell ref="A31:B31"/>
    <mergeCell ref="A40:B40"/>
    <mergeCell ref="AC5:AN5"/>
    <mergeCell ref="C38:N38"/>
    <mergeCell ref="P38:AA38"/>
    <mergeCell ref="AC38:AN38"/>
    <mergeCell ref="DT52:EP52"/>
    <mergeCell ref="A42:B42"/>
    <mergeCell ref="A43:B43"/>
    <mergeCell ref="I172:Y173"/>
    <mergeCell ref="C5:N5"/>
    <mergeCell ref="P5:AA5"/>
    <mergeCell ref="A11:B11"/>
    <mergeCell ref="A44:B44"/>
    <mergeCell ref="A29:B29"/>
    <mergeCell ref="A30:B30"/>
    <mergeCell ref="A36:B36"/>
  </mergeCells>
  <phoneticPr fontId="25" type="noConversion"/>
  <pageMargins left="0.75" right="0.75" top="1" bottom="1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 enableFormatConditionsCalculation="0">
    <tabColor indexed="44"/>
    <pageSetUpPr autoPageBreaks="0"/>
  </sheetPr>
  <dimension ref="A1:AI43"/>
  <sheetViews>
    <sheetView showGridLines="0" showZeros="0" tabSelected="1" zoomScale="70" zoomScaleNormal="63" workbookViewId="0">
      <selection activeCell="D14" sqref="D14"/>
    </sheetView>
  </sheetViews>
  <sheetFormatPr baseColWidth="10" defaultColWidth="0" defaultRowHeight="12.75" zeroHeight="1" x14ac:dyDescent="0.2"/>
  <cols>
    <col min="1" max="1" width="60" style="30" customWidth="1"/>
    <col min="2" max="6" width="13.7109375" style="30" customWidth="1"/>
    <col min="7" max="7" width="2.5703125" style="30" customWidth="1"/>
    <col min="8" max="8" width="13.7109375" style="30" customWidth="1"/>
    <col min="9" max="10" width="13.42578125" style="30" customWidth="1"/>
    <col min="11" max="11" width="2.5703125" style="30" customWidth="1"/>
    <col min="12" max="13" width="13.5703125" style="30" customWidth="1"/>
    <col min="14" max="14" width="2.5703125" style="30" customWidth="1"/>
    <col min="15" max="16" width="13.5703125" style="30" customWidth="1"/>
    <col min="17" max="17" width="2.5703125" style="30" customWidth="1"/>
    <col min="18" max="18" width="13.7109375" style="30" customWidth="1"/>
    <col min="19" max="19" width="13.5703125" style="30" customWidth="1"/>
    <col min="20" max="20" width="2.5703125" style="30" customWidth="1"/>
    <col min="21" max="22" width="13.7109375" style="30" customWidth="1"/>
    <col min="23" max="23" width="2" style="30" customWidth="1"/>
    <col min="24" max="29" width="10.85546875" style="30" customWidth="1"/>
    <col min="30" max="31" width="13.7109375" style="30" customWidth="1"/>
    <col min="32" max="38" width="10.85546875" style="30" customWidth="1"/>
    <col min="39" max="16384" width="0" style="30" hidden="1"/>
  </cols>
  <sheetData>
    <row r="1" spans="1:31" ht="37.5" customHeight="1" x14ac:dyDescent="0.2">
      <c r="A1" s="1365"/>
      <c r="B1" s="1365"/>
      <c r="C1" s="1479" t="s">
        <v>1311</v>
      </c>
      <c r="D1" s="1480"/>
      <c r="E1" s="1480"/>
      <c r="F1" s="1480"/>
      <c r="G1" s="1480"/>
      <c r="H1" s="1480"/>
      <c r="I1" s="1480"/>
      <c r="J1" s="1480"/>
      <c r="K1" s="1480"/>
      <c r="L1" s="1480"/>
      <c r="M1" s="1480"/>
      <c r="N1" s="1480"/>
      <c r="O1" s="1480"/>
      <c r="P1" s="1480"/>
      <c r="Q1" s="1480"/>
      <c r="R1" s="1480"/>
      <c r="S1" s="1480"/>
      <c r="T1" s="1480"/>
      <c r="U1" s="1480"/>
      <c r="V1" s="1481"/>
    </row>
    <row r="2" spans="1:31" ht="30.75" customHeight="1" x14ac:dyDescent="0.2">
      <c r="A2" s="1365"/>
      <c r="B2" s="1365"/>
      <c r="C2" s="1482"/>
      <c r="D2" s="1483"/>
      <c r="E2" s="1483"/>
      <c r="F2" s="1483"/>
      <c r="G2" s="1483"/>
      <c r="H2" s="1483"/>
      <c r="I2" s="1483"/>
      <c r="J2" s="1483"/>
      <c r="K2" s="1483"/>
      <c r="L2" s="1483"/>
      <c r="M2" s="1483"/>
      <c r="N2" s="1483"/>
      <c r="O2" s="1483"/>
      <c r="P2" s="1483"/>
      <c r="Q2" s="1483"/>
      <c r="R2" s="1483"/>
      <c r="S2" s="1483"/>
      <c r="T2" s="1483"/>
      <c r="U2" s="1483"/>
      <c r="V2" s="1484"/>
    </row>
    <row r="3" spans="1:31" ht="22.5" customHeight="1" x14ac:dyDescent="0.35">
      <c r="A3" s="1740" t="s">
        <v>1312</v>
      </c>
      <c r="B3" s="1738"/>
      <c r="C3" s="1739"/>
      <c r="D3" s="1739"/>
      <c r="E3" s="1739"/>
      <c r="F3" s="1739"/>
      <c r="G3" s="1739"/>
      <c r="H3" s="1739"/>
      <c r="I3" s="1739"/>
      <c r="K3" s="529"/>
      <c r="P3" s="1741" t="s">
        <v>1091</v>
      </c>
      <c r="Q3" s="1485">
        <f>+'5 ALMACEN '!W1</f>
        <v>0</v>
      </c>
      <c r="R3" s="1485"/>
      <c r="S3" s="1485"/>
      <c r="T3" s="712"/>
      <c r="U3" s="712"/>
      <c r="V3" s="712"/>
    </row>
    <row r="4" spans="1:31" ht="29.25" customHeight="1" x14ac:dyDescent="0.45">
      <c r="A4" s="76"/>
      <c r="B4" s="1488">
        <f>+'5 ALMACEN '!D2</f>
        <v>0</v>
      </c>
      <c r="C4" s="1488"/>
      <c r="D4" s="1488"/>
      <c r="E4" s="1488"/>
      <c r="F4" s="1488"/>
      <c r="G4" s="1488"/>
      <c r="H4" s="1488"/>
      <c r="I4" s="1488"/>
      <c r="J4" s="76" t="s">
        <v>97</v>
      </c>
      <c r="K4" s="76"/>
      <c r="L4" s="528"/>
      <c r="M4" s="1488">
        <f>+'5 ALMACEN '!S2</f>
        <v>0</v>
      </c>
      <c r="N4" s="1488"/>
      <c r="O4" s="1488"/>
      <c r="P4" s="1488"/>
      <c r="Q4" s="1488"/>
      <c r="R4" s="1488"/>
      <c r="S4" s="1488"/>
      <c r="T4" s="1488"/>
      <c r="U4" s="1488"/>
      <c r="V4" s="1488"/>
      <c r="Y4" s="682"/>
      <c r="Z4" s="682"/>
      <c r="AA4" s="682"/>
      <c r="AB4" s="682"/>
    </row>
    <row r="5" spans="1:31" ht="25.5" customHeight="1" x14ac:dyDescent="0.4">
      <c r="A5" s="1262"/>
      <c r="E5" s="1263" t="s">
        <v>236</v>
      </c>
      <c r="F5" s="1263"/>
      <c r="Y5" s="682"/>
      <c r="Z5" s="682"/>
      <c r="AA5" s="682"/>
      <c r="AB5" s="682"/>
    </row>
    <row r="6" spans="1:31" s="65" customFormat="1" ht="33" customHeight="1" x14ac:dyDescent="0.35">
      <c r="A6" s="1156"/>
      <c r="B6" s="1486" t="s">
        <v>14</v>
      </c>
      <c r="C6" s="1486"/>
      <c r="D6" s="1486"/>
      <c r="E6" s="1486"/>
      <c r="F6" s="1486"/>
      <c r="G6" s="32"/>
      <c r="H6" s="1486" t="s">
        <v>0</v>
      </c>
      <c r="I6" s="1486"/>
      <c r="J6" s="1487"/>
      <c r="K6" s="924"/>
      <c r="L6" s="1486" t="s">
        <v>403</v>
      </c>
      <c r="M6" s="1486"/>
      <c r="N6" s="924"/>
      <c r="O6" s="1486" t="s">
        <v>405</v>
      </c>
      <c r="P6" s="1486"/>
      <c r="Q6" s="32"/>
      <c r="R6" s="1487" t="s">
        <v>88</v>
      </c>
      <c r="S6" s="1487"/>
      <c r="T6" s="32"/>
      <c r="U6" s="1486" t="s">
        <v>87</v>
      </c>
      <c r="V6" s="1486"/>
      <c r="Y6" s="682"/>
      <c r="Z6" s="682"/>
      <c r="AA6" s="682"/>
      <c r="AB6" s="682"/>
      <c r="AD6" s="32"/>
      <c r="AE6" s="32"/>
    </row>
    <row r="7" spans="1:31" s="33" customFormat="1" ht="34.5" customHeight="1" x14ac:dyDescent="0.2">
      <c r="A7" s="1302" t="s">
        <v>1</v>
      </c>
      <c r="B7" s="1303">
        <f>IF($J$23=16,95.5,91.5)</f>
        <v>91.5</v>
      </c>
      <c r="C7" s="1303">
        <f>IF($J$23=16,115.5,111.5)</f>
        <v>111.5</v>
      </c>
      <c r="D7" s="1303">
        <f>IF($J$23=16,135.5,131.5)</f>
        <v>131.5</v>
      </c>
      <c r="E7" s="1303">
        <f>IF($J$23=16,155.5,151.5)</f>
        <v>151.5</v>
      </c>
      <c r="F7" s="1303">
        <f>IF($J$23=16,175.5,171.5)</f>
        <v>171.5</v>
      </c>
      <c r="H7" s="1304"/>
      <c r="I7" s="1305"/>
      <c r="J7" s="1306"/>
      <c r="K7" s="889"/>
      <c r="L7" s="1307" t="s">
        <v>26</v>
      </c>
      <c r="M7" s="1307" t="s">
        <v>84</v>
      </c>
      <c r="N7" s="525"/>
      <c r="O7" s="1307" t="s">
        <v>26</v>
      </c>
      <c r="P7" s="1307" t="s">
        <v>84</v>
      </c>
      <c r="Q7" s="69"/>
      <c r="R7" s="1307" t="s">
        <v>26</v>
      </c>
      <c r="S7" s="1307" t="s">
        <v>84</v>
      </c>
      <c r="T7" s="70"/>
      <c r="U7" s="1307" t="s">
        <v>26</v>
      </c>
      <c r="V7" s="1307" t="s">
        <v>84</v>
      </c>
    </row>
    <row r="8" spans="1:31" ht="27" customHeight="1" x14ac:dyDescent="0.4">
      <c r="A8" s="1158" t="s">
        <v>1286</v>
      </c>
      <c r="B8" s="66"/>
      <c r="C8" s="66"/>
      <c r="D8" s="66"/>
      <c r="E8" s="73"/>
      <c r="F8" s="66"/>
      <c r="G8" s="71"/>
      <c r="H8" s="66"/>
      <c r="I8" s="523"/>
      <c r="J8" s="73"/>
      <c r="K8" s="890"/>
      <c r="L8" s="82">
        <f>SUMIF(FORMULAS!$BG$64:$DB$64,28,FORMULAS!$BG$67:$DB$67)</f>
        <v>0</v>
      </c>
      <c r="M8" s="787">
        <f>IF(L8&gt;0,26,0)</f>
        <v>0</v>
      </c>
      <c r="N8" s="526"/>
      <c r="O8" s="82">
        <f>SUMIF(FORMULAS!$BG$64:$DB$64,28,FORMULAS!$BG$66:$DB$66)</f>
        <v>0</v>
      </c>
      <c r="P8" s="787">
        <f>IF(O8&gt;0,26,0)</f>
        <v>0</v>
      </c>
      <c r="Q8" s="71"/>
      <c r="R8" s="73"/>
      <c r="S8" s="531"/>
      <c r="T8" s="72"/>
      <c r="U8" s="66"/>
      <c r="V8" s="530"/>
    </row>
    <row r="9" spans="1:31" ht="27" customHeight="1" x14ac:dyDescent="0.4">
      <c r="A9" s="1158" t="s">
        <v>1287</v>
      </c>
      <c r="B9" s="66"/>
      <c r="C9" s="66"/>
      <c r="D9" s="66"/>
      <c r="E9" s="66"/>
      <c r="F9" s="66"/>
      <c r="H9" s="66"/>
      <c r="I9" s="522"/>
      <c r="J9" s="66"/>
      <c r="K9" s="891"/>
      <c r="L9" s="82">
        <f>SUMIF(FORMULAS!$BG$64:$DB$64,30,FORMULAS!$BG$67:$DB$67)</f>
        <v>0</v>
      </c>
      <c r="M9" s="787">
        <f>IF(L9&gt;0,28,0)</f>
        <v>0</v>
      </c>
      <c r="N9" s="526"/>
      <c r="O9" s="82">
        <f>SUMIF(FORMULAS!$BG$64:$DB$64,30,FORMULAS!$BG$66:$DB$66)</f>
        <v>0</v>
      </c>
      <c r="P9" s="787">
        <f>IF(O9&gt;0,28,0)</f>
        <v>0</v>
      </c>
      <c r="Q9" s="71"/>
      <c r="R9" s="66"/>
      <c r="S9" s="530"/>
      <c r="T9" s="72"/>
      <c r="U9" s="66"/>
      <c r="V9" s="530"/>
    </row>
    <row r="10" spans="1:31" ht="27" customHeight="1" x14ac:dyDescent="0.4">
      <c r="A10" s="1158" t="s">
        <v>71</v>
      </c>
      <c r="B10" s="66"/>
      <c r="C10" s="66"/>
      <c r="D10" s="66"/>
      <c r="E10" s="66"/>
      <c r="F10" s="66"/>
      <c r="H10" s="66"/>
      <c r="I10" s="522"/>
      <c r="J10" s="66"/>
      <c r="K10" s="891"/>
      <c r="L10" s="82">
        <f>SUMIF(FORMULAS!$BG$64:$DB$64,56,FORMULAS!$BG$67:$DB$67)</f>
        <v>0</v>
      </c>
      <c r="M10" s="787">
        <f>IF(L10&gt;0,54,0)</f>
        <v>0</v>
      </c>
      <c r="N10" s="524"/>
      <c r="O10" s="82">
        <f>SUMIF(FORMULAS!$BG$64:$DB$64,56,FORMULAS!$BG$66:$DB$66)</f>
        <v>0</v>
      </c>
      <c r="P10" s="787">
        <f>IF(O10&gt;0,54,0)</f>
        <v>0</v>
      </c>
      <c r="Q10" s="71"/>
      <c r="R10" s="66"/>
      <c r="S10" s="530"/>
      <c r="T10" s="72"/>
      <c r="U10" s="66"/>
      <c r="V10" s="530"/>
    </row>
    <row r="11" spans="1:31" ht="27" customHeight="1" x14ac:dyDescent="0.4">
      <c r="A11" s="1158" t="s">
        <v>72</v>
      </c>
      <c r="B11" s="66"/>
      <c r="C11" s="66"/>
      <c r="D11" s="66"/>
      <c r="E11" s="66"/>
      <c r="F11" s="66"/>
      <c r="H11" s="66"/>
      <c r="I11" s="522"/>
      <c r="J11" s="66"/>
      <c r="K11" s="891"/>
      <c r="L11" s="82">
        <f>SUMIF(FORMULAS!$BG$64:$DB$64,60,FORMULAS!$BG$67:$DB$67)</f>
        <v>0</v>
      </c>
      <c r="M11" s="787">
        <f>IF(L11&gt;0,58,0)</f>
        <v>0</v>
      </c>
      <c r="N11" s="524"/>
      <c r="O11" s="82">
        <f>SUMIF(FORMULAS!$BG$64:$DB$64,60,FORMULAS!$BG$66:$DB$66)</f>
        <v>0</v>
      </c>
      <c r="P11" s="787">
        <f>IF(O11&gt;0,58,0)</f>
        <v>0</v>
      </c>
      <c r="Q11" s="71"/>
      <c r="R11" s="66"/>
      <c r="S11" s="530"/>
      <c r="T11" s="72"/>
      <c r="U11" s="66"/>
      <c r="V11" s="530"/>
    </row>
    <row r="12" spans="1:31" ht="27" customHeight="1" x14ac:dyDescent="0.4">
      <c r="A12" s="1158" t="s">
        <v>77</v>
      </c>
      <c r="B12" s="66"/>
      <c r="C12" s="66"/>
      <c r="D12" s="66"/>
      <c r="E12" s="66"/>
      <c r="F12" s="66"/>
      <c r="H12" s="66"/>
      <c r="I12" s="522"/>
      <c r="J12" s="66"/>
      <c r="K12" s="891"/>
      <c r="L12" s="82">
        <f>SUMIF(FORMULAS!$BG$64:$DB$64,70,FORMULAS!$BG$67:$DB$67)</f>
        <v>0</v>
      </c>
      <c r="M12" s="787">
        <f>IF(L12&gt;0,68,0)</f>
        <v>0</v>
      </c>
      <c r="N12" s="526"/>
      <c r="O12" s="82">
        <f>SUMIF(FORMULAS!$BG$64:$DB$64,70,FORMULAS!$BG$66:$DB$66)</f>
        <v>0</v>
      </c>
      <c r="P12" s="787">
        <f>IF(O12&gt;0,68,0)</f>
        <v>0</v>
      </c>
      <c r="Q12" s="71"/>
      <c r="R12" s="66"/>
      <c r="S12" s="530"/>
      <c r="T12" s="72"/>
      <c r="U12" s="66"/>
      <c r="V12" s="530"/>
    </row>
    <row r="13" spans="1:31" ht="27" customHeight="1" x14ac:dyDescent="0.4">
      <c r="A13" s="1158" t="s">
        <v>76</v>
      </c>
      <c r="B13" s="66"/>
      <c r="C13" s="66"/>
      <c r="D13" s="66"/>
      <c r="E13" s="66"/>
      <c r="F13" s="66"/>
      <c r="H13" s="66"/>
      <c r="I13" s="522"/>
      <c r="J13" s="66"/>
      <c r="K13" s="891"/>
      <c r="L13" s="1221">
        <f>SUMIF(FORMULAS!$BG$64:$DB$64,75,FORMULAS!$BG$67:$DB$67)</f>
        <v>0</v>
      </c>
      <c r="M13" s="1222">
        <f>IF(L13&gt;0,73,0)</f>
        <v>0</v>
      </c>
      <c r="N13" s="526"/>
      <c r="O13" s="1221">
        <f>SUMIF(FORMULAS!$BG$64:$DB$64,75,FORMULAS!$BG$66:$DB$66)</f>
        <v>0</v>
      </c>
      <c r="P13" s="1222">
        <f>IF(O13&gt;0,73,0)</f>
        <v>0</v>
      </c>
      <c r="Q13" s="71"/>
      <c r="R13" s="66"/>
      <c r="S13" s="530"/>
      <c r="T13" s="72"/>
      <c r="U13" s="66"/>
      <c r="V13" s="530"/>
    </row>
    <row r="14" spans="1:31" ht="27" customHeight="1" x14ac:dyDescent="0.4">
      <c r="A14" s="1158" t="s">
        <v>73</v>
      </c>
      <c r="B14" s="66"/>
      <c r="C14" s="66"/>
      <c r="D14" s="66"/>
      <c r="E14" s="66"/>
      <c r="F14" s="66"/>
      <c r="H14" s="66"/>
      <c r="I14" s="522"/>
      <c r="J14" s="66"/>
      <c r="K14" s="37"/>
      <c r="L14" s="82">
        <f>SUMIF(FORMULAS!$BG$64:$DB$64,84,FORMULAS!$BG$67:$DB$67)</f>
        <v>0</v>
      </c>
      <c r="M14" s="787">
        <f>IF(L14&gt;0,82,0)</f>
        <v>0</v>
      </c>
      <c r="N14" s="524"/>
      <c r="O14" s="82">
        <f>SUMIF(FORMULAS!$BG$64:$DB$64,84,FORMULAS!$BG$66:$DB$66)</f>
        <v>0</v>
      </c>
      <c r="P14" s="787">
        <f>IF(O14&gt;0,82,0)</f>
        <v>0</v>
      </c>
      <c r="Q14" s="71"/>
      <c r="R14" s="66"/>
      <c r="S14" s="530"/>
      <c r="T14" s="72"/>
      <c r="U14" s="66"/>
      <c r="V14" s="530"/>
    </row>
    <row r="15" spans="1:31" ht="27" customHeight="1" x14ac:dyDescent="0.4">
      <c r="A15" s="1158" t="s">
        <v>74</v>
      </c>
      <c r="B15" s="66"/>
      <c r="C15" s="66"/>
      <c r="D15" s="66"/>
      <c r="E15" s="66"/>
      <c r="F15" s="66"/>
      <c r="H15" s="66"/>
      <c r="I15" s="522"/>
      <c r="J15" s="66"/>
      <c r="K15" s="37"/>
      <c r="L15" s="82">
        <f>SUMIF(FORMULAS!$BG$64:$DB$64,90,FORMULAS!$BG$67:$DB$67)</f>
        <v>0</v>
      </c>
      <c r="M15" s="787">
        <f>IF(L15&gt;0,88,0)</f>
        <v>0</v>
      </c>
      <c r="N15" s="524"/>
      <c r="O15" s="82">
        <f>SUMIF(FORMULAS!$BG$64:$DB$64,90,FORMULAS!$BG$66:$DB$66)</f>
        <v>0</v>
      </c>
      <c r="P15" s="787">
        <f>IF(O15&gt;0,88,0)</f>
        <v>0</v>
      </c>
      <c r="Q15" s="71"/>
      <c r="R15" s="66"/>
      <c r="S15" s="530"/>
      <c r="T15" s="72"/>
      <c r="U15" s="66"/>
      <c r="V15" s="530"/>
    </row>
    <row r="16" spans="1:31" ht="27" customHeight="1" x14ac:dyDescent="0.4">
      <c r="A16" s="1158" t="s">
        <v>75</v>
      </c>
      <c r="B16" s="66"/>
      <c r="C16" s="66"/>
      <c r="D16" s="66"/>
      <c r="E16" s="66"/>
      <c r="F16" s="66"/>
      <c r="H16" s="66"/>
      <c r="I16" s="522"/>
      <c r="J16" s="66"/>
      <c r="K16" s="37"/>
      <c r="L16" s="82">
        <f>SUMIF(FORMULAS!$BG$64:$DB$64,112,FORMULAS!$BG$67:$DB$67)</f>
        <v>0</v>
      </c>
      <c r="M16" s="787">
        <f>IF(L16&gt;0,110,0)</f>
        <v>0</v>
      </c>
      <c r="N16" s="526"/>
      <c r="O16" s="82">
        <f>SUMIF(FORMULAS!$BG$64:$DB$64,112,FORMULAS!$BG$66:$DB$66)</f>
        <v>0</v>
      </c>
      <c r="P16" s="787">
        <f>IF(O16&gt;0,110,0)</f>
        <v>0</v>
      </c>
      <c r="Q16" s="71"/>
      <c r="R16" s="66"/>
      <c r="S16" s="530"/>
      <c r="T16" s="72"/>
      <c r="U16" s="66"/>
      <c r="V16" s="530"/>
    </row>
    <row r="17" spans="1:35" ht="27" customHeight="1" x14ac:dyDescent="0.4">
      <c r="A17" s="1158" t="s">
        <v>226</v>
      </c>
      <c r="B17" s="66"/>
      <c r="C17" s="66"/>
      <c r="D17" s="66"/>
      <c r="E17" s="66"/>
      <c r="F17" s="66"/>
      <c r="H17" s="66"/>
      <c r="I17" s="522"/>
      <c r="J17" s="66"/>
      <c r="K17" s="891"/>
      <c r="L17" s="82">
        <f>SUMIF(FORMULAS!$BG$64:$DB$64,120,FORMULAS!$BG$67:$DB$67)</f>
        <v>0</v>
      </c>
      <c r="M17" s="787">
        <f>IF(L17&gt;0,118,0)</f>
        <v>0</v>
      </c>
      <c r="N17" s="526"/>
      <c r="O17" s="82">
        <f>SUMIF(FORMULAS!$BG$64:$DB$64,120,FORMULAS!$BG$66:$DB$66)</f>
        <v>0</v>
      </c>
      <c r="P17" s="787">
        <f>IF(O17&gt;0,118,0)</f>
        <v>0</v>
      </c>
      <c r="Q17" s="71"/>
      <c r="R17" s="66"/>
      <c r="S17" s="530"/>
      <c r="T17" s="72"/>
      <c r="U17" s="66"/>
      <c r="V17" s="530"/>
    </row>
    <row r="18" spans="1:35" ht="27" customHeight="1" x14ac:dyDescent="0.4">
      <c r="A18" s="1158" t="s">
        <v>1288</v>
      </c>
      <c r="B18" s="66"/>
      <c r="C18" s="66"/>
      <c r="D18" s="66"/>
      <c r="E18" s="66"/>
      <c r="F18" s="66"/>
      <c r="G18" s="71"/>
      <c r="H18" s="82">
        <f>SUMIF(FORMULAS!BG63:DB63,"P1",FORMULAS!BG66:DB66)</f>
        <v>0</v>
      </c>
      <c r="I18" s="522"/>
      <c r="J18" s="66"/>
      <c r="K18" s="891"/>
      <c r="L18" s="82">
        <f>SUMIF(FORMULAS!$BG$64:$DB$64,140,FORMULAS!$BG$67:$DB$67)</f>
        <v>0</v>
      </c>
      <c r="M18" s="787">
        <f>IF(L18&gt;0,138,0)</f>
        <v>0</v>
      </c>
      <c r="N18" s="524"/>
      <c r="O18" s="82">
        <f>SUMIF(FORMULAS!$BG$64:$DB$64,140,FORMULAS!$BG$66:$DB$66)</f>
        <v>0</v>
      </c>
      <c r="P18" s="787">
        <f>IF(O18&gt;0,138,0)</f>
        <v>0</v>
      </c>
      <c r="Q18" s="71"/>
      <c r="R18" s="39"/>
      <c r="S18" s="532"/>
      <c r="T18" s="72"/>
      <c r="U18" s="66"/>
      <c r="V18" s="530"/>
    </row>
    <row r="19" spans="1:35" ht="27" customHeight="1" x14ac:dyDescent="0.4">
      <c r="A19" s="1158" t="s">
        <v>1289</v>
      </c>
      <c r="B19" s="66"/>
      <c r="C19" s="66"/>
      <c r="D19" s="66"/>
      <c r="E19" s="66"/>
      <c r="F19" s="66"/>
      <c r="G19" s="71"/>
      <c r="H19" s="82">
        <f>'5 ALMACEN '!U37</f>
        <v>0</v>
      </c>
      <c r="I19" s="522"/>
      <c r="J19" s="66"/>
      <c r="K19" s="891"/>
      <c r="L19" s="82">
        <f>SUMIF(FORMULAS!BG64:DB64,150,FORMULAS!BG67:DB67)</f>
        <v>0</v>
      </c>
      <c r="M19" s="787">
        <f>IF(L19&gt;0,148,0)</f>
        <v>0</v>
      </c>
      <c r="N19" s="524"/>
      <c r="O19" s="82">
        <f>SUMIF(FORMULAS!$BG$64:$DB$64,150,FORMULAS!$BG$66:$DB$66)</f>
        <v>0</v>
      </c>
      <c r="P19" s="787">
        <f>IF(O19&gt;0,148,0)</f>
        <v>0</v>
      </c>
      <c r="Q19" s="71"/>
      <c r="R19" s="39"/>
      <c r="S19" s="532"/>
      <c r="T19" s="72"/>
      <c r="U19" s="66"/>
      <c r="V19" s="530"/>
    </row>
    <row r="20" spans="1:35" ht="27" customHeight="1" x14ac:dyDescent="0.4">
      <c r="A20" s="1157" t="s">
        <v>103</v>
      </c>
      <c r="B20" s="1118"/>
      <c r="C20" s="1118"/>
      <c r="D20" s="1118"/>
      <c r="E20" s="1118"/>
      <c r="F20" s="1118"/>
      <c r="G20" s="71"/>
      <c r="H20" s="1118"/>
      <c r="I20" s="1121"/>
      <c r="J20" s="1118"/>
      <c r="K20" s="891"/>
      <c r="L20" s="520"/>
      <c r="M20" s="555"/>
      <c r="N20" s="527"/>
      <c r="O20" s="561"/>
      <c r="P20" s="691"/>
      <c r="Q20" s="71"/>
      <c r="R20" s="39"/>
      <c r="S20" s="532"/>
      <c r="T20" s="72"/>
      <c r="U20" s="66"/>
      <c r="V20" s="530"/>
    </row>
    <row r="21" spans="1:35" ht="27" customHeight="1" x14ac:dyDescent="0.4">
      <c r="A21" s="1159"/>
      <c r="B21" s="66"/>
      <c r="C21" s="66"/>
      <c r="D21" s="66"/>
      <c r="E21" s="66"/>
      <c r="F21" s="522"/>
      <c r="G21" s="1123"/>
      <c r="H21" s="1122"/>
      <c r="I21" s="66"/>
      <c r="J21" s="66"/>
      <c r="K21" s="891"/>
      <c r="L21" s="520"/>
      <c r="M21" s="555"/>
      <c r="N21" s="527"/>
      <c r="O21" s="561"/>
      <c r="P21" s="691"/>
      <c r="Q21" s="71"/>
      <c r="R21" s="39"/>
      <c r="S21" s="532"/>
      <c r="T21" s="72"/>
      <c r="U21" s="66"/>
      <c r="V21" s="530"/>
    </row>
    <row r="22" spans="1:35" ht="27" customHeight="1" x14ac:dyDescent="0.4">
      <c r="A22" s="1160"/>
      <c r="B22" s="46"/>
      <c r="C22" s="46"/>
      <c r="D22" s="46"/>
      <c r="E22" s="46"/>
      <c r="F22" s="46"/>
      <c r="G22" s="1119"/>
      <c r="H22" s="46"/>
      <c r="I22" s="1120"/>
      <c r="J22" s="46"/>
      <c r="K22" s="37"/>
      <c r="L22" s="35"/>
      <c r="M22" s="555"/>
      <c r="N22" s="527"/>
      <c r="O22" s="561"/>
      <c r="P22" s="691"/>
      <c r="Q22" s="71"/>
      <c r="R22" s="39"/>
      <c r="S22" s="532"/>
      <c r="T22" s="72"/>
      <c r="U22" s="66"/>
      <c r="V22" s="530"/>
    </row>
    <row r="23" spans="1:35" s="41" customFormat="1" ht="27.75" customHeight="1" x14ac:dyDescent="0.4">
      <c r="A23" s="1475" t="s">
        <v>4</v>
      </c>
      <c r="B23" s="1476"/>
      <c r="C23" s="1476"/>
      <c r="D23" s="1477"/>
      <c r="E23" s="74" t="s">
        <v>101</v>
      </c>
      <c r="G23" s="38"/>
      <c r="H23" s="38"/>
      <c r="I23" s="38"/>
      <c r="J23" s="1117">
        <f>+'2 M-A +'!J37</f>
        <v>0</v>
      </c>
      <c r="L23" s="35"/>
      <c r="M23" s="555"/>
      <c r="N23" s="527"/>
      <c r="O23" s="561"/>
      <c r="P23" s="691"/>
      <c r="Q23" s="71"/>
      <c r="R23" s="39"/>
      <c r="S23" s="532"/>
      <c r="T23" s="72"/>
      <c r="U23" s="66"/>
      <c r="V23" s="530"/>
      <c r="Y23" s="684"/>
      <c r="Z23" s="684"/>
      <c r="AA23" s="684"/>
      <c r="AB23" s="684"/>
      <c r="AI23" s="684"/>
    </row>
    <row r="24" spans="1:35" s="41" customFormat="1" ht="27.75" customHeight="1" x14ac:dyDescent="0.4">
      <c r="A24" s="1472">
        <f>+'5 ALMACEN '!W5</f>
        <v>0</v>
      </c>
      <c r="B24" s="1473"/>
      <c r="C24" s="1473"/>
      <c r="D24" s="1474"/>
      <c r="K24" s="1116"/>
      <c r="L24" s="35"/>
      <c r="M24" s="555"/>
      <c r="N24" s="527"/>
      <c r="O24" s="561"/>
      <c r="P24" s="691"/>
      <c r="Q24" s="71"/>
      <c r="R24" s="39"/>
      <c r="S24" s="532"/>
      <c r="T24" s="72"/>
      <c r="U24" s="66"/>
      <c r="V24" s="530"/>
      <c r="Y24" s="685"/>
      <c r="Z24" s="684"/>
      <c r="AA24" s="685"/>
      <c r="AB24" s="685"/>
    </row>
    <row r="25" spans="1:35" s="41" customFormat="1" ht="27.75" customHeight="1" x14ac:dyDescent="0.5">
      <c r="A25" s="1478" t="s">
        <v>11</v>
      </c>
      <c r="B25" s="1478"/>
      <c r="C25" s="1478"/>
      <c r="D25" s="1478"/>
      <c r="E25" s="1478"/>
      <c r="F25" s="1478"/>
      <c r="G25" s="1478"/>
      <c r="H25" s="1478"/>
      <c r="I25" s="1478"/>
      <c r="J25" s="1478"/>
      <c r="K25" s="571"/>
      <c r="L25" s="35"/>
      <c r="M25" s="555"/>
      <c r="N25" s="527"/>
      <c r="O25" s="561"/>
      <c r="P25" s="691"/>
      <c r="Q25" s="71"/>
      <c r="R25" s="39"/>
      <c r="S25" s="532"/>
      <c r="T25" s="72"/>
      <c r="U25" s="66"/>
      <c r="V25" s="530"/>
    </row>
    <row r="26" spans="1:35" s="41" customFormat="1" ht="27.75" customHeight="1" x14ac:dyDescent="0.4">
      <c r="A26" s="1192"/>
      <c r="B26" s="1193"/>
      <c r="C26" s="1194"/>
      <c r="D26" s="1195"/>
      <c r="E26" s="1194"/>
      <c r="F26" s="1195"/>
      <c r="G26" s="1195"/>
      <c r="H26" s="1195"/>
      <c r="I26" s="1195"/>
      <c r="J26" s="1196"/>
      <c r="K26" s="45">
        <v>12</v>
      </c>
      <c r="L26" s="35"/>
      <c r="M26" s="555"/>
      <c r="N26" s="527"/>
      <c r="O26" s="561"/>
      <c r="P26" s="691"/>
      <c r="Q26" s="71"/>
      <c r="R26" s="39"/>
      <c r="S26" s="532"/>
      <c r="T26" s="72"/>
      <c r="U26" s="66"/>
      <c r="V26" s="530"/>
    </row>
    <row r="27" spans="1:35" s="41" customFormat="1" ht="27.75" customHeight="1" x14ac:dyDescent="0.4">
      <c r="A27" s="1197"/>
      <c r="B27" s="1198"/>
      <c r="C27" s="1198"/>
      <c r="D27" s="1198"/>
      <c r="E27" s="1198"/>
      <c r="F27" s="1198"/>
      <c r="G27" s="1198"/>
      <c r="H27" s="1198"/>
      <c r="I27" s="1198"/>
      <c r="J27" s="1199"/>
      <c r="K27" s="45"/>
      <c r="L27" s="35"/>
      <c r="M27" s="555"/>
      <c r="N27" s="527"/>
      <c r="O27" s="561"/>
      <c r="P27" s="691"/>
      <c r="Q27" s="71"/>
      <c r="R27" s="39"/>
      <c r="S27" s="532"/>
      <c r="T27" s="72"/>
      <c r="U27" s="66"/>
      <c r="V27" s="530"/>
    </row>
    <row r="28" spans="1:35" s="41" customFormat="1" ht="27.75" customHeight="1" x14ac:dyDescent="0.4">
      <c r="A28" s="1197"/>
      <c r="B28" s="1200"/>
      <c r="C28" s="1200"/>
      <c r="D28" s="1200"/>
      <c r="E28" s="1198"/>
      <c r="F28" s="1201"/>
      <c r="G28" s="1201"/>
      <c r="H28" s="1201"/>
      <c r="I28" s="1201"/>
      <c r="J28" s="1202"/>
      <c r="K28" s="45"/>
      <c r="L28" s="35"/>
      <c r="M28" s="555"/>
      <c r="N28" s="527"/>
      <c r="O28" s="561"/>
      <c r="P28" s="691"/>
      <c r="Q28" s="71"/>
      <c r="R28" s="39"/>
      <c r="S28" s="532"/>
      <c r="T28" s="72"/>
      <c r="U28" s="66"/>
      <c r="V28" s="530"/>
    </row>
    <row r="29" spans="1:35" s="41" customFormat="1" ht="27.75" customHeight="1" x14ac:dyDescent="0.4">
      <c r="A29" s="1197"/>
      <c r="B29" s="1200"/>
      <c r="C29" s="1200"/>
      <c r="D29" s="1200"/>
      <c r="E29" s="1198"/>
      <c r="F29" s="1201"/>
      <c r="G29" s="1201"/>
      <c r="H29" s="1201"/>
      <c r="I29" s="1201"/>
      <c r="J29" s="1202"/>
      <c r="K29" s="45"/>
      <c r="L29" s="35"/>
      <c r="M29" s="555"/>
      <c r="N29" s="527"/>
      <c r="O29" s="561"/>
      <c r="P29" s="691"/>
      <c r="Q29" s="71"/>
      <c r="R29" s="39"/>
      <c r="S29" s="532"/>
      <c r="T29" s="72"/>
      <c r="U29" s="66"/>
      <c r="V29" s="530"/>
    </row>
    <row r="30" spans="1:35" s="41" customFormat="1" ht="27.75" customHeight="1" x14ac:dyDescent="0.4">
      <c r="A30" s="1197"/>
      <c r="B30" s="1200"/>
      <c r="C30" s="1200"/>
      <c r="D30" s="1200"/>
      <c r="E30" s="1198"/>
      <c r="F30" s="1201"/>
      <c r="G30" s="1201"/>
      <c r="H30" s="1201"/>
      <c r="I30" s="1201"/>
      <c r="J30" s="1202"/>
      <c r="K30" s="45"/>
      <c r="L30" s="35"/>
      <c r="M30" s="555"/>
      <c r="N30" s="527"/>
      <c r="O30" s="561"/>
      <c r="P30" s="691"/>
      <c r="Q30" s="71"/>
      <c r="R30" s="39"/>
      <c r="S30" s="532"/>
      <c r="T30" s="72"/>
      <c r="U30" s="66"/>
      <c r="V30" s="530"/>
    </row>
    <row r="31" spans="1:35" s="77" customFormat="1" ht="27.75" customHeight="1" x14ac:dyDescent="0.4">
      <c r="A31" s="1197"/>
      <c r="B31" s="1200"/>
      <c r="C31" s="1201"/>
      <c r="D31" s="1201"/>
      <c r="E31" s="1198"/>
      <c r="F31" s="1191"/>
      <c r="G31" s="1191"/>
      <c r="H31" s="1191"/>
      <c r="I31" s="1191"/>
      <c r="J31" s="1203"/>
      <c r="K31" s="40"/>
      <c r="L31" s="35"/>
      <c r="M31" s="555"/>
      <c r="N31" s="527"/>
      <c r="O31" s="561"/>
      <c r="P31" s="691"/>
      <c r="Q31" s="71"/>
      <c r="R31" s="39"/>
      <c r="S31" s="532"/>
      <c r="T31" s="72"/>
      <c r="U31" s="66"/>
      <c r="V31" s="530"/>
      <c r="AD31" s="41"/>
      <c r="AE31" s="41"/>
      <c r="AF31" s="41"/>
      <c r="AG31" s="78"/>
    </row>
    <row r="32" spans="1:35" ht="27.75" customHeight="1" x14ac:dyDescent="0.4">
      <c r="A32" s="1204"/>
      <c r="B32" s="1201"/>
      <c r="C32" s="1201"/>
      <c r="D32" s="1201"/>
      <c r="E32" s="1201"/>
      <c r="F32" s="1191"/>
      <c r="G32" s="1191"/>
      <c r="H32" s="1191"/>
      <c r="I32" s="1191"/>
      <c r="J32" s="1203"/>
      <c r="K32" s="40"/>
      <c r="L32" s="35"/>
      <c r="M32" s="555"/>
      <c r="N32" s="527"/>
      <c r="O32" s="561"/>
      <c r="P32" s="691"/>
      <c r="Q32" s="71"/>
      <c r="R32" s="39"/>
      <c r="S32" s="532"/>
      <c r="T32" s="72"/>
      <c r="U32" s="66"/>
      <c r="V32" s="530"/>
      <c r="AD32" s="47"/>
      <c r="AE32" s="47"/>
      <c r="AF32" s="47"/>
      <c r="AG32" s="47"/>
    </row>
    <row r="33" spans="1:33" ht="27.75" customHeight="1" x14ac:dyDescent="0.4">
      <c r="A33" s="1204"/>
      <c r="B33" s="1201"/>
      <c r="C33" s="1201"/>
      <c r="D33" s="1201"/>
      <c r="E33" s="1201"/>
      <c r="F33" s="1191"/>
      <c r="G33" s="1191"/>
      <c r="H33" s="1191"/>
      <c r="I33" s="1191"/>
      <c r="J33" s="1203"/>
      <c r="K33" s="40"/>
      <c r="L33" s="35"/>
      <c r="M33" s="555"/>
      <c r="N33" s="527"/>
      <c r="O33" s="561"/>
      <c r="P33" s="691"/>
      <c r="Q33" s="71"/>
      <c r="R33" s="39"/>
      <c r="S33" s="532"/>
      <c r="T33" s="72"/>
      <c r="U33" s="66"/>
      <c r="V33" s="530"/>
      <c r="AF33" s="36"/>
      <c r="AG33" s="36"/>
    </row>
    <row r="34" spans="1:33" ht="27.75" customHeight="1" x14ac:dyDescent="0.4">
      <c r="A34" s="1204"/>
      <c r="B34" s="1201"/>
      <c r="C34" s="1201"/>
      <c r="D34" s="1201"/>
      <c r="E34" s="1201"/>
      <c r="F34" s="1191"/>
      <c r="G34" s="1191"/>
      <c r="H34" s="1191"/>
      <c r="I34" s="1198"/>
      <c r="J34" s="1199"/>
      <c r="K34" s="37"/>
      <c r="L34" s="35"/>
      <c r="M34" s="555"/>
      <c r="N34" s="527"/>
      <c r="O34" s="561"/>
      <c r="P34" s="691"/>
      <c r="Q34" s="71"/>
      <c r="R34" s="39"/>
      <c r="S34" s="532"/>
      <c r="T34" s="72"/>
      <c r="U34" s="66"/>
      <c r="V34" s="530"/>
      <c r="AF34" s="36"/>
      <c r="AG34" s="36"/>
    </row>
    <row r="35" spans="1:33" ht="27.75" customHeight="1" x14ac:dyDescent="0.4">
      <c r="A35" s="1204"/>
      <c r="B35" s="1201"/>
      <c r="C35" s="1201"/>
      <c r="D35" s="1201"/>
      <c r="E35" s="1201"/>
      <c r="F35" s="1191"/>
      <c r="G35" s="1191"/>
      <c r="H35" s="1191"/>
      <c r="I35" s="1198"/>
      <c r="J35" s="1199"/>
      <c r="K35" s="37"/>
      <c r="L35" s="35"/>
      <c r="M35" s="555"/>
      <c r="N35" s="527"/>
      <c r="O35" s="561"/>
      <c r="P35" s="691"/>
      <c r="Q35" s="71"/>
      <c r="R35" s="39"/>
      <c r="S35" s="532"/>
      <c r="T35" s="72"/>
      <c r="U35" s="66"/>
      <c r="V35" s="530"/>
      <c r="AF35" s="36"/>
      <c r="AG35" s="36"/>
    </row>
    <row r="36" spans="1:33" ht="27.75" customHeight="1" x14ac:dyDescent="0.4">
      <c r="A36" s="1204"/>
      <c r="B36" s="1201"/>
      <c r="C36" s="1201"/>
      <c r="D36" s="1201"/>
      <c r="E36" s="1201"/>
      <c r="F36" s="1201"/>
      <c r="G36" s="1201"/>
      <c r="H36" s="1201"/>
      <c r="I36" s="1201"/>
      <c r="J36" s="1202"/>
      <c r="K36" s="42"/>
      <c r="L36" s="35"/>
      <c r="M36" s="555"/>
      <c r="N36" s="527"/>
      <c r="O36" s="561"/>
      <c r="P36" s="691"/>
      <c r="Q36" s="71"/>
      <c r="R36" s="39"/>
      <c r="S36" s="532"/>
      <c r="T36" s="72"/>
      <c r="U36" s="66"/>
      <c r="V36" s="530"/>
      <c r="AF36" s="36"/>
      <c r="AG36" s="36"/>
    </row>
    <row r="37" spans="1:33" ht="27.75" customHeight="1" x14ac:dyDescent="0.4">
      <c r="A37" s="1204"/>
      <c r="B37" s="1201"/>
      <c r="C37" s="1201"/>
      <c r="D37" s="1201"/>
      <c r="E37" s="1201"/>
      <c r="F37" s="1201"/>
      <c r="G37" s="1201"/>
      <c r="H37" s="1201"/>
      <c r="I37" s="1201"/>
      <c r="J37" s="1202"/>
      <c r="K37" s="42"/>
      <c r="L37" s="35"/>
      <c r="M37" s="555"/>
      <c r="N37" s="527"/>
      <c r="O37" s="561"/>
      <c r="P37" s="691"/>
      <c r="Q37" s="71"/>
      <c r="R37" s="39"/>
      <c r="S37" s="532"/>
      <c r="T37" s="72"/>
      <c r="U37" s="66"/>
      <c r="V37" s="530"/>
      <c r="AF37" s="36"/>
      <c r="AG37" s="36"/>
    </row>
    <row r="38" spans="1:33" ht="27.75" customHeight="1" x14ac:dyDescent="0.4">
      <c r="A38" s="1205"/>
      <c r="B38" s="1206"/>
      <c r="C38" s="1206"/>
      <c r="D38" s="1206"/>
      <c r="E38" s="1206"/>
      <c r="F38" s="1206"/>
      <c r="G38" s="1206"/>
      <c r="H38" s="1206"/>
      <c r="I38" s="1206"/>
      <c r="J38" s="1207"/>
      <c r="K38" s="42"/>
      <c r="L38" s="35"/>
      <c r="M38" s="555"/>
      <c r="N38" s="527"/>
      <c r="O38" s="561"/>
      <c r="P38" s="691"/>
      <c r="Q38" s="71"/>
      <c r="R38" s="39"/>
      <c r="S38" s="532"/>
      <c r="T38" s="72"/>
      <c r="U38" s="66"/>
      <c r="V38" s="530"/>
      <c r="AF38" s="36"/>
      <c r="AG38" s="36"/>
    </row>
    <row r="39" spans="1:33" ht="10.5" customHeight="1" x14ac:dyDescent="0.2">
      <c r="A39" s="79" t="s">
        <v>89</v>
      </c>
      <c r="K39" s="80"/>
      <c r="AF39" s="36"/>
      <c r="AG39" s="36"/>
    </row>
    <row r="40" spans="1:33" ht="18.75" hidden="1" customHeight="1" x14ac:dyDescent="0.25">
      <c r="A40" s="79"/>
      <c r="B40" s="43"/>
      <c r="C40" s="43"/>
      <c r="D40" s="43"/>
      <c r="F40" s="43"/>
      <c r="G40" s="43"/>
      <c r="H40" s="48"/>
      <c r="I40" s="49"/>
      <c r="J40" s="49"/>
      <c r="K40" s="49"/>
      <c r="L40" s="49"/>
      <c r="M40" s="49"/>
      <c r="N40" s="47"/>
      <c r="O40" s="47"/>
      <c r="P40" s="47"/>
      <c r="Q40" s="47"/>
      <c r="V40" s="81"/>
      <c r="AF40" s="36"/>
      <c r="AG40" s="36"/>
    </row>
    <row r="41" spans="1:33" hidden="1" x14ac:dyDescent="0.2"/>
    <row r="42" spans="1:33" hidden="1" x14ac:dyDescent="0.2"/>
    <row r="43" spans="1:33" hidden="1" x14ac:dyDescent="0.2">
      <c r="B43" s="30">
        <f>+B15+C15+D15+E15+F15</f>
        <v>0</v>
      </c>
      <c r="C43" s="30">
        <f>+B8+C8+D8+E8+F8</f>
        <v>0</v>
      </c>
      <c r="D43" s="30">
        <f>+B10+C10+D10+E10+F10+B11+C11+D11+E11+F11+F13+E13+D13+C13+B13</f>
        <v>0</v>
      </c>
      <c r="F43" s="30">
        <f>+F14+E14+D14+C14+B14</f>
        <v>0</v>
      </c>
      <c r="G43" s="30">
        <f>+B14+C14+D14+E14+F14</f>
        <v>0</v>
      </c>
    </row>
  </sheetData>
  <customSheetViews>
    <customSheetView guid="{CF822260-65C0-11DB-9743-000854DFF85C}" scale="50" showRuler="0" topLeftCell="J25">
      <selection activeCell="N44" sqref="N44"/>
      <pageMargins left="0.51181102362204722" right="0.51181102362204722" top="0.39370078740157483" bottom="0.39370078740157483" header="0" footer="0"/>
      <pageSetup scale="43" orientation="landscape" horizontalDpi="300" verticalDpi="300" r:id="rId1"/>
      <headerFooter alignWithMargins="0"/>
    </customSheetView>
    <customSheetView guid="{15A61C62-840D-11DA-A6CD-BDC37E227F7F}" scale="50" showRuler="0" topLeftCell="J25">
      <selection activeCell="N44" sqref="N44"/>
      <pageMargins left="0.51181102362204722" right="0.51181102362204722" top="0.39370078740157483" bottom="0.39370078740157483" header="0" footer="0"/>
      <pageSetup scale="43" orientation="landscape" horizontalDpi="300" verticalDpi="300" r:id="rId2"/>
      <headerFooter alignWithMargins="0"/>
    </customSheetView>
    <customSheetView guid="{0083E5B0-44AE-40B5-9617-6484D451C028}" scale="50" showPageBreaks="1" hiddenColumns="1" showRuler="0" topLeftCell="I1">
      <selection activeCell="AG18" sqref="AG18"/>
      <pageMargins left="0.51181102362204722" right="0.51181102362204722" top="0.39370078740157483" bottom="0.39370078740157483" header="0" footer="0"/>
      <pageSetup scale="43" orientation="landscape" horizontalDpi="300" verticalDpi="300" r:id="rId3"/>
      <headerFooter alignWithMargins="0"/>
    </customSheetView>
    <customSheetView guid="{781ED8A8-51CE-4197-9E83-B42C8B1C8CEA}" scale="50" hiddenColumns="1" showRuler="0" topLeftCell="A2">
      <selection activeCell="B23" sqref="B23"/>
      <pageMargins left="0.51181102362204722" right="0.51181102362204722" top="0.39370078740157483" bottom="0.39370078740157483" header="0" footer="0"/>
      <pageSetup scale="43" orientation="landscape" horizontalDpi="300" verticalDpi="300" r:id="rId4"/>
      <headerFooter alignWithMargins="0"/>
    </customSheetView>
  </customSheetViews>
  <mergeCells count="15">
    <mergeCell ref="A24:D24"/>
    <mergeCell ref="A23:D23"/>
    <mergeCell ref="A25:J25"/>
    <mergeCell ref="C1:V2"/>
    <mergeCell ref="A1:B2"/>
    <mergeCell ref="C3:I3"/>
    <mergeCell ref="Q3:S3"/>
    <mergeCell ref="H6:J6"/>
    <mergeCell ref="B4:I4"/>
    <mergeCell ref="B6:F6"/>
    <mergeCell ref="O6:P6"/>
    <mergeCell ref="L6:M6"/>
    <mergeCell ref="M4:V4"/>
    <mergeCell ref="R6:S6"/>
    <mergeCell ref="U6:V6"/>
  </mergeCells>
  <phoneticPr fontId="0" type="noConversion"/>
  <dataValidations count="6">
    <dataValidation allowBlank="1" showInputMessage="1" showErrorMessage="1" promptTitle="ALTURA" prompt="DE 12 o 16" sqref="J23"/>
    <dataValidation allowBlank="1" showInputMessage="1" showErrorMessage="1" promptTitle="NOTA" prompt="MEDIDA EN CM" sqref="M20:M38 V8:V38 S8:S38 P20:P38"/>
    <dataValidation type="textLength" operator="equal" allowBlank="1" showInputMessage="1" showErrorMessage="1" errorTitle="ERROR" error="INGRESAR DATOS EN HOJA 5" promptTitle="NOTA" prompt="INTRODUCIR EN HOJA 5" sqref="A4:K4 M4:V4 Q3:Z3">
      <formula1>0</formula1>
    </dataValidation>
    <dataValidation allowBlank="1" showInputMessage="1" showErrorMessage="1" promptTitle="ALTURA PISO TECHO" prompt="MEDIDA EN CENTIMETROS" sqref="H7:J7"/>
    <dataValidation allowBlank="1" showInputMessage="1" showErrorMessage="1" promptTitle="ALTURA MEDIA ALTURA" prompt="MEDIDA EN CM" sqref="B7:F7"/>
    <dataValidation allowBlank="1" showInputMessage="1" showErrorMessage="1" promptTitle="COLOR DE ALUMINIO" sqref="A24:D24"/>
  </dataValidations>
  <printOptions horizontalCentered="1" verticalCentered="1"/>
  <pageMargins left="0.19685039370078741" right="0.19685039370078741" top="0.78740157480314965" bottom="3.937007874015748E-2" header="0" footer="0"/>
  <pageSetup paperSize="9" scale="45" orientation="landscape" r:id="rId5"/>
  <headerFooter alignWithMargins="0"/>
  <drawing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 enableFormatConditionsCalculation="0">
    <tabColor indexed="47"/>
  </sheetPr>
  <dimension ref="A1:IE1312"/>
  <sheetViews>
    <sheetView showGridLines="0" showZeros="0" zoomScale="90" zoomScaleNormal="96" workbookViewId="0">
      <selection activeCell="N25" sqref="N25"/>
    </sheetView>
  </sheetViews>
  <sheetFormatPr baseColWidth="10" defaultColWidth="0" defaultRowHeight="33" zeroHeight="1" x14ac:dyDescent="0.45"/>
  <cols>
    <col min="1" max="1" width="11.7109375" style="30" customWidth="1"/>
    <col min="2" max="2" width="2.42578125" style="30" customWidth="1"/>
    <col min="3" max="3" width="5.7109375" style="30" customWidth="1"/>
    <col min="4" max="4" width="21.140625" style="30" customWidth="1"/>
    <col min="5" max="5" width="7.5703125" style="30" customWidth="1"/>
    <col min="6" max="6" width="7.5703125" style="567" customWidth="1"/>
    <col min="7" max="7" width="2.85546875" style="567" customWidth="1"/>
    <col min="8" max="8" width="3.85546875" style="567" hidden="1" customWidth="1"/>
    <col min="9" max="9" width="2.85546875" style="567" customWidth="1"/>
    <col min="10" max="10" width="2.85546875" style="567" hidden="1" customWidth="1"/>
    <col min="11" max="11" width="2.85546875" style="567" customWidth="1"/>
    <col min="12" max="12" width="9.42578125" style="567" hidden="1" customWidth="1"/>
    <col min="13" max="27" width="4.7109375" style="567" customWidth="1"/>
    <col min="28" max="28" width="4.7109375" style="30" customWidth="1"/>
    <col min="29" max="29" width="1" style="30" customWidth="1"/>
    <col min="30" max="42" width="2.85546875" style="38" customWidth="1"/>
    <col min="43" max="43" width="5.85546875" style="38" customWidth="1"/>
    <col min="44" max="44" width="5" style="38" customWidth="1"/>
    <col min="45" max="45" width="2.5703125" style="36" customWidth="1"/>
    <col min="46" max="46" width="1.7109375" style="30" customWidth="1"/>
    <col min="47" max="49" width="13.7109375" style="699" hidden="1" customWidth="1"/>
    <col min="50" max="52" width="16.5703125" style="699" hidden="1" customWidth="1"/>
    <col min="53" max="53" width="0" style="699" hidden="1" customWidth="1"/>
    <col min="54" max="54" width="5.140625" style="699" hidden="1" customWidth="1"/>
    <col min="55" max="57" width="13.7109375" style="699" hidden="1" customWidth="1"/>
    <col min="58" max="60" width="16.5703125" style="699" hidden="1" customWidth="1"/>
    <col min="61" max="61" width="14.5703125" style="699" hidden="1" customWidth="1"/>
    <col min="62" max="62" width="4.42578125" style="699" hidden="1" customWidth="1"/>
    <col min="63" max="65" width="13.7109375" style="699" hidden="1" customWidth="1"/>
    <col min="66" max="74" width="16.5703125" style="699" hidden="1" customWidth="1"/>
    <col min="75" max="75" width="10.85546875" style="699" hidden="1" customWidth="1"/>
    <col min="76" max="76" width="6.5703125" style="699" hidden="1" customWidth="1"/>
    <col min="77" max="77" width="32.7109375" style="698" hidden="1" customWidth="1"/>
    <col min="78" max="79" width="15" style="699" hidden="1" customWidth="1"/>
    <col min="80" max="80" width="6.42578125" style="699" hidden="1" customWidth="1"/>
    <col min="81" max="81" width="49.28515625" style="698" hidden="1" customWidth="1"/>
    <col min="82" max="82" width="12.140625" style="699" hidden="1" customWidth="1"/>
    <col min="83" max="83" width="5.42578125" style="699" hidden="1" customWidth="1"/>
    <col min="84" max="86" width="13.7109375" style="699" hidden="1" customWidth="1"/>
    <col min="87" max="91" width="16.5703125" style="699" hidden="1" customWidth="1"/>
    <col min="92" max="92" width="10.85546875" style="699" hidden="1" customWidth="1"/>
    <col min="93" max="93" width="9.85546875" style="699" hidden="1" customWidth="1"/>
    <col min="94" max="96" width="13.7109375" style="699" hidden="1" customWidth="1"/>
    <col min="97" max="99" width="16.5703125" style="699" hidden="1" customWidth="1"/>
    <col min="100" max="100" width="12.140625" style="699" hidden="1" customWidth="1"/>
    <col min="101" max="101" width="4.42578125" style="699" hidden="1" customWidth="1"/>
    <col min="102" max="102" width="11.140625" style="557" hidden="1" customWidth="1"/>
    <col min="103" max="103" width="11.140625" style="556" hidden="1" customWidth="1"/>
    <col min="104" max="104" width="4.85546875" style="556" hidden="1" customWidth="1"/>
    <col min="105" max="105" width="11.28515625" style="556" hidden="1" customWidth="1"/>
    <col min="106" max="106" width="12.42578125" style="557" hidden="1" customWidth="1"/>
    <col min="107" max="107" width="3.28515625" style="556" hidden="1" customWidth="1"/>
    <col min="108" max="108" width="26.140625" style="556" hidden="1" customWidth="1"/>
    <col min="109" max="109" width="2.5703125" style="556" hidden="1" customWidth="1"/>
    <col min="110" max="110" width="24" style="556" hidden="1" customWidth="1"/>
    <col min="111" max="111" width="2.140625" style="556" hidden="1" customWidth="1"/>
    <col min="112" max="112" width="24" style="556" hidden="1" customWidth="1"/>
    <col min="113" max="113" width="2.140625" style="556" hidden="1" customWidth="1"/>
    <col min="114" max="114" width="29.42578125" style="556" hidden="1" customWidth="1"/>
    <col min="115" max="115" width="2.140625" style="556" hidden="1" customWidth="1"/>
    <col min="116" max="116" width="29" style="556" hidden="1" customWidth="1"/>
    <col min="117" max="117" width="2.28515625" style="556" hidden="1" customWidth="1"/>
    <col min="118" max="118" width="19.7109375" style="556" hidden="1" customWidth="1"/>
    <col min="119" max="119" width="3.28515625" style="556" hidden="1" customWidth="1"/>
    <col min="120" max="120" width="21.28515625" style="556" hidden="1" customWidth="1"/>
    <col min="121" max="121" width="3.140625" style="556" hidden="1" customWidth="1"/>
    <col min="122" max="122" width="0" style="556" hidden="1" customWidth="1"/>
    <col min="123" max="123" width="2.140625" style="556" hidden="1" customWidth="1"/>
    <col min="124" max="124" width="0" style="556" hidden="1" customWidth="1"/>
    <col min="125" max="125" width="6.28515625" style="556" hidden="1" customWidth="1"/>
    <col min="126" max="164" width="0" style="556" hidden="1" customWidth="1"/>
    <col min="165" max="165" width="37.28515625" style="556" hidden="1" customWidth="1"/>
    <col min="166" max="174" width="0" style="556" hidden="1" customWidth="1"/>
    <col min="175" max="176" width="14.5703125" style="556" hidden="1" customWidth="1"/>
    <col min="177" max="177" width="0" style="556" hidden="1" customWidth="1"/>
    <col min="178" max="203" width="14.5703125" style="556" hidden="1" customWidth="1"/>
    <col min="204" max="206" width="0" style="556" hidden="1" customWidth="1"/>
    <col min="207" max="207" width="26" style="556" hidden="1" customWidth="1"/>
    <col min="208" max="208" width="0" style="556" hidden="1" customWidth="1"/>
    <col min="209" max="209" width="14.85546875" style="556" hidden="1" customWidth="1"/>
    <col min="210" max="211" width="0" style="556" hidden="1" customWidth="1"/>
    <col min="212" max="220" width="14.5703125" style="556" hidden="1" customWidth="1"/>
    <col min="221" max="221" width="0" style="556" hidden="1" customWidth="1"/>
    <col min="222" max="228" width="14.5703125" style="556" hidden="1" customWidth="1"/>
    <col min="229" max="230" width="0" style="556" hidden="1" customWidth="1"/>
    <col min="231" max="231" width="14.5703125" style="556" hidden="1" customWidth="1"/>
    <col min="232" max="233" width="0" style="556" hidden="1" customWidth="1"/>
    <col min="234" max="239" width="14.5703125" style="556" hidden="1" customWidth="1"/>
    <col min="240" max="16384" width="0" style="556" hidden="1"/>
  </cols>
  <sheetData>
    <row r="1" spans="1:209" ht="39.950000000000003" customHeight="1" x14ac:dyDescent="0.45">
      <c r="A1" s="1510"/>
      <c r="B1" s="1510"/>
      <c r="C1" s="1510"/>
      <c r="D1" s="1510"/>
      <c r="E1" s="1510"/>
      <c r="F1" s="1509" t="s">
        <v>98</v>
      </c>
      <c r="G1" s="1509"/>
      <c r="H1" s="1509"/>
      <c r="I1" s="1509"/>
      <c r="J1" s="1509"/>
      <c r="K1" s="1509"/>
      <c r="L1" s="1509"/>
      <c r="M1" s="1509"/>
      <c r="N1" s="1509"/>
      <c r="O1" s="1509"/>
      <c r="P1" s="1509"/>
      <c r="Q1" s="1509"/>
      <c r="R1" s="1509"/>
      <c r="S1" s="1509"/>
      <c r="T1" s="1509"/>
      <c r="U1" s="1509"/>
      <c r="V1" s="1509"/>
      <c r="W1" s="1509"/>
      <c r="X1" s="1509"/>
      <c r="Y1" s="1509"/>
      <c r="Z1" s="1509"/>
      <c r="AA1" s="1509"/>
      <c r="AD1" s="30"/>
      <c r="AE1" s="30"/>
      <c r="AF1" s="30"/>
      <c r="AG1" s="30"/>
      <c r="AH1" s="1514" t="s">
        <v>1091</v>
      </c>
      <c r="AI1" s="1514"/>
      <c r="AJ1" s="1515">
        <f>+'5 ALMACEN '!W1</f>
        <v>0</v>
      </c>
      <c r="AK1" s="1515"/>
      <c r="AL1" s="1515"/>
      <c r="AM1" s="1515"/>
      <c r="AN1" s="1515"/>
      <c r="AO1" s="1515"/>
      <c r="AP1" s="30"/>
      <c r="AQ1" s="30"/>
      <c r="AR1" s="30"/>
      <c r="AS1" s="713"/>
      <c r="AT1" s="556"/>
      <c r="AU1" s="698"/>
      <c r="AV1" s="698"/>
      <c r="AW1" s="698"/>
      <c r="AX1" s="698"/>
      <c r="AY1" s="698"/>
      <c r="AZ1" s="698"/>
      <c r="BA1" s="698"/>
      <c r="BB1" s="698"/>
      <c r="BC1" s="698"/>
      <c r="BD1" s="698"/>
      <c r="BE1" s="698"/>
      <c r="BF1" s="698"/>
      <c r="BG1" s="698"/>
      <c r="BH1" s="698"/>
      <c r="BI1" s="698"/>
      <c r="BJ1" s="698"/>
      <c r="BK1" s="698"/>
      <c r="BL1" s="698"/>
      <c r="BM1" s="698"/>
      <c r="BN1" s="698"/>
      <c r="BO1" s="698"/>
      <c r="BP1" s="698"/>
      <c r="BQ1" s="698"/>
      <c r="BR1" s="698"/>
      <c r="BS1" s="698"/>
      <c r="BT1" s="698"/>
      <c r="BU1" s="698"/>
      <c r="BV1" s="698"/>
      <c r="BW1" s="698"/>
      <c r="BX1" s="698"/>
      <c r="BZ1" s="698"/>
      <c r="CA1" s="698"/>
      <c r="CB1" s="698"/>
      <c r="CD1" s="698"/>
      <c r="CE1" s="698"/>
      <c r="CF1" s="698"/>
      <c r="CG1" s="698"/>
      <c r="CH1" s="698"/>
      <c r="CI1" s="698"/>
      <c r="CJ1" s="698"/>
      <c r="CK1" s="698"/>
      <c r="CL1" s="698"/>
      <c r="CM1" s="698"/>
      <c r="CN1" s="698"/>
      <c r="CO1" s="698"/>
      <c r="CP1" s="698"/>
      <c r="CQ1" s="698"/>
      <c r="CR1" s="698"/>
      <c r="CS1" s="698"/>
      <c r="CT1" s="698"/>
      <c r="CU1" s="698"/>
      <c r="CV1" s="698"/>
      <c r="CW1" s="698"/>
      <c r="CY1" s="557"/>
      <c r="CZ1" s="557"/>
      <c r="DA1" s="557"/>
      <c r="DC1" s="557"/>
      <c r="DD1" s="557"/>
      <c r="DE1" s="557"/>
      <c r="DF1" s="557"/>
      <c r="DG1" s="557"/>
      <c r="DH1" s="557"/>
      <c r="DI1" s="557"/>
      <c r="DJ1" s="557"/>
      <c r="DK1" s="557"/>
      <c r="DL1" s="557"/>
      <c r="DM1" s="557"/>
      <c r="DN1" s="557"/>
      <c r="DO1" s="557"/>
      <c r="DP1" s="557"/>
      <c r="DQ1" s="557"/>
      <c r="DR1" s="557"/>
      <c r="DS1" s="557"/>
      <c r="DT1" s="557"/>
      <c r="DU1" s="557"/>
      <c r="DV1" s="557"/>
      <c r="DW1" s="557"/>
      <c r="DX1" s="557"/>
      <c r="DY1" s="557"/>
      <c r="DZ1" s="557"/>
      <c r="EA1" s="557"/>
      <c r="EB1" s="557"/>
      <c r="EC1" s="557"/>
      <c r="ED1" s="557"/>
      <c r="EE1" s="557"/>
      <c r="EF1" s="557"/>
      <c r="EG1" s="557"/>
      <c r="EH1" s="557"/>
      <c r="EI1" s="557"/>
      <c r="EJ1" s="557"/>
      <c r="EK1" s="557"/>
      <c r="EL1" s="557"/>
      <c r="EM1" s="557"/>
      <c r="EN1" s="557"/>
      <c r="EO1" s="557"/>
      <c r="EP1" s="557"/>
      <c r="EQ1" s="557"/>
      <c r="ER1" s="557"/>
      <c r="ES1" s="557"/>
      <c r="ET1" s="557"/>
      <c r="EU1" s="557"/>
      <c r="EV1" s="557"/>
      <c r="EW1" s="557"/>
      <c r="EX1" s="557"/>
      <c r="EY1" s="557"/>
      <c r="EZ1" s="557"/>
      <c r="FA1" s="557"/>
      <c r="FB1" s="557"/>
      <c r="FC1" s="557"/>
      <c r="FD1" s="557"/>
      <c r="FE1" s="557"/>
      <c r="FF1" s="557"/>
      <c r="FG1" s="557"/>
      <c r="FH1" s="557"/>
      <c r="FI1" s="557"/>
      <c r="FJ1" s="557"/>
      <c r="FK1" s="557"/>
      <c r="FL1" s="557"/>
      <c r="FM1" s="557"/>
      <c r="FN1" s="557"/>
      <c r="FO1" s="557"/>
      <c r="FP1" s="557"/>
      <c r="FQ1" s="557"/>
      <c r="FR1" s="557"/>
      <c r="FS1" s="557"/>
      <c r="FT1" s="557"/>
      <c r="FU1" s="557"/>
      <c r="FV1" s="557"/>
      <c r="FW1" s="557"/>
      <c r="FX1" s="557"/>
      <c r="FY1" s="557"/>
      <c r="FZ1" s="557"/>
      <c r="GA1" s="557"/>
      <c r="GB1" s="557"/>
      <c r="GC1" s="557"/>
      <c r="GD1" s="557"/>
      <c r="GE1" s="557"/>
      <c r="GF1" s="557"/>
      <c r="GG1" s="557"/>
      <c r="GH1" s="557"/>
      <c r="GI1" s="557"/>
      <c r="GJ1" s="557"/>
      <c r="GK1" s="557"/>
      <c r="GL1" s="557"/>
      <c r="GM1" s="557"/>
      <c r="GN1" s="557"/>
      <c r="GO1" s="557"/>
      <c r="GP1" s="557"/>
      <c r="GQ1" s="557"/>
      <c r="GR1" s="557"/>
      <c r="GS1" s="557"/>
      <c r="GT1" s="557"/>
      <c r="GU1" s="557"/>
      <c r="GV1" s="557"/>
      <c r="GW1" s="557"/>
      <c r="GX1" s="557"/>
      <c r="GY1" s="557"/>
      <c r="GZ1" s="557"/>
      <c r="HA1" s="557"/>
    </row>
    <row r="2" spans="1:209" ht="16.5" customHeight="1" x14ac:dyDescent="0.45">
      <c r="A2" s="65"/>
      <c r="B2" s="65"/>
      <c r="C2" s="1511" t="s">
        <v>99</v>
      </c>
      <c r="D2" s="1511"/>
      <c r="E2" s="1512">
        <f>+'5 ALMACEN '!D2</f>
        <v>0</v>
      </c>
      <c r="F2" s="1512"/>
      <c r="G2" s="1512"/>
      <c r="H2" s="1512"/>
      <c r="I2" s="1512"/>
      <c r="J2" s="1512"/>
      <c r="K2" s="1512"/>
      <c r="L2" s="1512"/>
      <c r="M2" s="1512"/>
      <c r="N2" s="1512"/>
      <c r="O2" s="1512"/>
      <c r="P2" s="1512"/>
      <c r="Q2" s="1512"/>
      <c r="R2" s="1512"/>
      <c r="S2" s="1512"/>
      <c r="T2" s="1513" t="s">
        <v>97</v>
      </c>
      <c r="U2" s="1513"/>
      <c r="V2" s="1513"/>
      <c r="W2" s="1376">
        <f>+'5 ALMACEN '!S2</f>
        <v>0</v>
      </c>
      <c r="X2" s="1376"/>
      <c r="Y2" s="1376"/>
      <c r="Z2" s="1376"/>
      <c r="AA2" s="1376"/>
      <c r="AB2" s="1376"/>
      <c r="AC2" s="1376"/>
      <c r="AD2" s="1376"/>
      <c r="AE2" s="1376"/>
      <c r="AF2" s="1376"/>
      <c r="AG2" s="1376"/>
      <c r="AH2" s="1376"/>
      <c r="AI2" s="1376"/>
      <c r="AJ2" s="1376"/>
      <c r="AK2" s="1376"/>
      <c r="AL2" s="1376"/>
      <c r="AM2" s="1376"/>
      <c r="AN2" s="1376"/>
      <c r="AO2" s="1376"/>
      <c r="AP2" s="1376"/>
      <c r="AQ2" s="1376"/>
      <c r="AR2" s="1376"/>
      <c r="AS2" s="1376"/>
      <c r="AT2" s="556"/>
      <c r="EM2" s="557"/>
      <c r="EN2" s="557"/>
      <c r="EO2" s="557"/>
      <c r="EP2" s="557"/>
      <c r="EQ2" s="557"/>
      <c r="ER2" s="557"/>
      <c r="ES2" s="557"/>
      <c r="ET2" s="557"/>
      <c r="EU2" s="557"/>
      <c r="EV2" s="557"/>
      <c r="EW2" s="557"/>
      <c r="EX2" s="557"/>
      <c r="EY2" s="557"/>
      <c r="EZ2" s="557"/>
      <c r="FA2" s="557"/>
      <c r="FB2" s="557"/>
      <c r="FC2" s="557"/>
      <c r="FD2" s="557"/>
      <c r="FE2" s="557"/>
      <c r="FF2" s="557"/>
      <c r="FG2" s="557"/>
      <c r="FH2" s="557"/>
      <c r="FI2" s="557"/>
      <c r="FJ2" s="557"/>
      <c r="FK2" s="557"/>
      <c r="FL2" s="557"/>
      <c r="FM2" s="557"/>
      <c r="FN2" s="557"/>
      <c r="FO2" s="557"/>
      <c r="FP2" s="557"/>
      <c r="FQ2" s="557"/>
      <c r="FR2" s="557"/>
      <c r="FS2" s="557"/>
      <c r="FT2" s="557"/>
      <c r="FU2" s="557"/>
      <c r="FV2" s="557"/>
      <c r="FW2" s="557"/>
      <c r="FX2" s="557"/>
      <c r="FY2" s="557"/>
      <c r="FZ2" s="557"/>
      <c r="GA2" s="557"/>
      <c r="GB2" s="557"/>
      <c r="GC2" s="557"/>
      <c r="GD2" s="557"/>
      <c r="GE2" s="557"/>
      <c r="GF2" s="557"/>
      <c r="GG2" s="557"/>
      <c r="GH2" s="557"/>
      <c r="GI2" s="557"/>
      <c r="GJ2" s="557"/>
      <c r="GK2" s="557"/>
      <c r="GL2" s="557"/>
      <c r="GM2" s="557"/>
      <c r="GN2" s="557"/>
      <c r="GO2" s="557"/>
      <c r="GP2" s="557"/>
      <c r="GQ2" s="557"/>
      <c r="GR2" s="557"/>
      <c r="GS2" s="557"/>
      <c r="GT2" s="557"/>
      <c r="GU2" s="557"/>
      <c r="GV2" s="557"/>
      <c r="GW2" s="557"/>
      <c r="GX2" s="557"/>
      <c r="GY2" s="557"/>
      <c r="GZ2" s="557"/>
      <c r="HA2" s="557"/>
    </row>
    <row r="3" spans="1:209" ht="23.25" customHeight="1" x14ac:dyDescent="0.45">
      <c r="A3" s="1002"/>
      <c r="B3" s="1002"/>
      <c r="C3" s="1264" t="s">
        <v>3</v>
      </c>
      <c r="D3" s="1002"/>
      <c r="E3" s="1002"/>
      <c r="F3" s="1002"/>
      <c r="G3" s="1002"/>
      <c r="H3" s="1002"/>
      <c r="I3" s="1002"/>
      <c r="J3" s="1002"/>
      <c r="K3" s="1002"/>
      <c r="L3" s="1002"/>
      <c r="M3" s="1002"/>
      <c r="N3" s="1002"/>
      <c r="O3" s="1002"/>
      <c r="P3" s="1002"/>
      <c r="Q3" s="1002"/>
      <c r="R3" s="1002"/>
      <c r="S3" s="1002"/>
      <c r="T3" s="1002"/>
      <c r="U3" s="1002"/>
      <c r="V3" s="1002"/>
      <c r="W3" s="1002"/>
      <c r="X3" s="1002"/>
      <c r="Y3" s="1002"/>
      <c r="Z3" s="1002"/>
      <c r="AA3" s="1002"/>
      <c r="AB3" s="1002"/>
      <c r="AC3" s="1002"/>
      <c r="AD3" s="1002"/>
      <c r="AE3" s="1002"/>
      <c r="AF3" s="1002"/>
      <c r="AG3" s="1002"/>
      <c r="AH3" s="1002"/>
      <c r="AI3" s="1002"/>
      <c r="AJ3" s="1002"/>
      <c r="AK3" s="1002"/>
      <c r="AL3" s="1002"/>
      <c r="AM3" s="1002"/>
      <c r="AN3" s="1002"/>
      <c r="AO3" s="1002"/>
      <c r="AP3" s="1002"/>
      <c r="AQ3" s="1002"/>
      <c r="AR3" s="1002"/>
      <c r="AS3" s="1002"/>
      <c r="AT3" s="556"/>
      <c r="EM3" s="557"/>
      <c r="EN3" s="557"/>
      <c r="EO3" s="557"/>
      <c r="EP3" s="557"/>
      <c r="EQ3" s="557"/>
      <c r="ER3" s="557"/>
      <c r="ES3" s="557"/>
      <c r="ET3" s="557"/>
      <c r="EU3" s="557"/>
      <c r="EV3" s="557"/>
      <c r="EW3" s="557"/>
      <c r="EX3" s="557"/>
      <c r="EY3" s="557"/>
      <c r="EZ3" s="557"/>
      <c r="FA3" s="557"/>
      <c r="FB3" s="557"/>
      <c r="FC3" s="557"/>
      <c r="FD3" s="557"/>
      <c r="FE3" s="557"/>
      <c r="FF3" s="557"/>
      <c r="FG3" s="557"/>
      <c r="FH3" s="557"/>
      <c r="FI3" s="557"/>
      <c r="FJ3" s="557"/>
      <c r="FK3" s="557"/>
      <c r="FL3" s="557"/>
      <c r="FM3" s="557"/>
      <c r="FN3" s="557"/>
      <c r="FO3" s="557"/>
      <c r="FP3" s="557"/>
      <c r="FQ3" s="557"/>
      <c r="FR3" s="557"/>
      <c r="FS3" s="557"/>
      <c r="FT3" s="557"/>
      <c r="FU3" s="557"/>
      <c r="FV3" s="557"/>
      <c r="FW3" s="557"/>
      <c r="FX3" s="557"/>
      <c r="FY3" s="557"/>
      <c r="FZ3" s="557"/>
      <c r="GA3" s="557"/>
      <c r="GB3" s="557"/>
      <c r="GC3" s="557"/>
      <c r="GD3" s="557"/>
      <c r="GE3" s="557"/>
      <c r="GF3" s="557"/>
      <c r="GG3" s="557"/>
      <c r="GH3" s="557"/>
      <c r="GI3" s="557"/>
      <c r="GJ3" s="557"/>
      <c r="GK3" s="557"/>
      <c r="GL3" s="557"/>
      <c r="GM3" s="557"/>
      <c r="GN3" s="557"/>
      <c r="GO3" s="557"/>
      <c r="GP3" s="557"/>
      <c r="GQ3" s="557"/>
      <c r="GR3" s="557"/>
      <c r="GS3" s="557"/>
      <c r="GT3" s="557"/>
      <c r="GU3" s="557"/>
      <c r="GV3" s="557"/>
      <c r="GW3" s="557"/>
      <c r="GX3" s="557"/>
      <c r="GY3" s="557"/>
      <c r="GZ3" s="557"/>
      <c r="HA3" s="557"/>
    </row>
    <row r="4" spans="1:209" ht="7.5" hidden="1" customHeight="1" x14ac:dyDescent="0.45">
      <c r="A4" s="1002"/>
      <c r="B4" s="1002"/>
      <c r="C4" s="1002"/>
      <c r="D4" s="1002"/>
      <c r="E4" s="1002">
        <f>+AG11</f>
        <v>0</v>
      </c>
      <c r="F4" s="1002">
        <f>+AG15</f>
        <v>0</v>
      </c>
      <c r="G4" s="1002"/>
      <c r="H4" s="1002"/>
      <c r="I4" s="1002"/>
      <c r="J4" s="1002"/>
      <c r="K4" s="1002"/>
      <c r="L4" s="1002"/>
      <c r="M4" s="1002"/>
      <c r="N4" s="1002"/>
      <c r="O4" s="1002"/>
      <c r="P4" s="1002"/>
      <c r="Q4" s="1002"/>
      <c r="R4" s="1002"/>
      <c r="S4" s="1002"/>
      <c r="T4" s="1002"/>
      <c r="U4" s="1002"/>
      <c r="V4" s="1002"/>
      <c r="W4" s="1002"/>
      <c r="X4" s="1002"/>
      <c r="Y4" s="1002"/>
      <c r="Z4" s="1002"/>
      <c r="AA4" s="1002"/>
      <c r="AB4" s="1002"/>
      <c r="AC4" s="1002"/>
      <c r="AD4" s="1002"/>
      <c r="AE4" s="1002"/>
      <c r="AF4" s="1002"/>
      <c r="AG4" s="1002"/>
      <c r="AH4" s="1002"/>
      <c r="AI4" s="1002"/>
      <c r="AJ4" s="1002"/>
      <c r="AK4" s="1002"/>
      <c r="AL4" s="1002"/>
      <c r="AM4" s="1002"/>
      <c r="AN4" s="1002"/>
      <c r="AO4" s="1002"/>
      <c r="AP4" s="1002"/>
      <c r="AQ4" s="1002"/>
      <c r="AR4" s="1002"/>
      <c r="AS4" s="1002"/>
      <c r="AT4" s="556"/>
      <c r="EM4" s="557"/>
      <c r="EN4" s="557"/>
      <c r="EO4" s="557"/>
      <c r="EP4" s="557"/>
      <c r="EQ4" s="557"/>
      <c r="ER4" s="557"/>
      <c r="ES4" s="557"/>
      <c r="ET4" s="557"/>
      <c r="EU4" s="557"/>
      <c r="EV4" s="557"/>
      <c r="EW4" s="557"/>
      <c r="EX4" s="557"/>
      <c r="EY4" s="557"/>
      <c r="EZ4" s="557"/>
      <c r="FA4" s="557"/>
      <c r="FB4" s="557"/>
      <c r="FC4" s="557"/>
      <c r="FD4" s="557"/>
      <c r="FE4" s="557"/>
      <c r="FF4" s="557"/>
      <c r="FG4" s="557"/>
      <c r="FH4" s="557"/>
      <c r="FI4" s="557"/>
      <c r="FJ4" s="557"/>
      <c r="FK4" s="557"/>
      <c r="FL4" s="557"/>
      <c r="FM4" s="557"/>
      <c r="FN4" s="557"/>
      <c r="FO4" s="557"/>
      <c r="FP4" s="557"/>
      <c r="FQ4" s="557"/>
      <c r="FR4" s="557"/>
      <c r="FS4" s="557"/>
      <c r="FT4" s="557"/>
      <c r="FU4" s="557"/>
      <c r="FV4" s="557"/>
      <c r="FW4" s="557"/>
      <c r="FX4" s="557"/>
      <c r="FY4" s="557"/>
      <c r="FZ4" s="557"/>
      <c r="GA4" s="557"/>
      <c r="GB4" s="557"/>
      <c r="GC4" s="557"/>
      <c r="GD4" s="557"/>
      <c r="GE4" s="557"/>
      <c r="GF4" s="557"/>
      <c r="GG4" s="557"/>
      <c r="GH4" s="557"/>
      <c r="GI4" s="557"/>
      <c r="GJ4" s="557"/>
      <c r="GK4" s="557"/>
      <c r="GL4" s="557"/>
      <c r="GM4" s="557"/>
      <c r="GN4" s="557"/>
      <c r="GO4" s="557"/>
      <c r="GP4" s="557"/>
      <c r="GQ4" s="557"/>
      <c r="GR4" s="557"/>
      <c r="GS4" s="557"/>
      <c r="GT4" s="557"/>
      <c r="GU4" s="557"/>
      <c r="GV4" s="557"/>
      <c r="GW4" s="557"/>
      <c r="GX4" s="557"/>
      <c r="GY4" s="557"/>
      <c r="GZ4" s="557"/>
      <c r="HA4" s="557"/>
    </row>
    <row r="5" spans="1:209" ht="7.5" hidden="1" customHeight="1" x14ac:dyDescent="0.45">
      <c r="A5" s="1002"/>
      <c r="B5" s="1002"/>
      <c r="C5" s="1002"/>
      <c r="D5" s="1002"/>
      <c r="E5" s="1002">
        <f>+AG12</f>
        <v>0</v>
      </c>
      <c r="F5" s="1002">
        <f>+AG17</f>
        <v>0</v>
      </c>
      <c r="G5" s="1002"/>
      <c r="H5" s="1002"/>
      <c r="I5" s="1002"/>
      <c r="J5" s="1002"/>
      <c r="K5" s="1002"/>
      <c r="L5" s="1002"/>
      <c r="M5" s="1002"/>
      <c r="N5" s="1002"/>
      <c r="O5" s="1002"/>
      <c r="P5" s="1002"/>
      <c r="Q5" s="1002"/>
      <c r="R5" s="1002"/>
      <c r="S5" s="1002"/>
      <c r="T5" s="1002"/>
      <c r="U5" s="1002"/>
      <c r="V5" s="1002"/>
      <c r="W5" s="1002"/>
      <c r="X5" s="1002"/>
      <c r="Y5" s="1002"/>
      <c r="Z5" s="1002"/>
      <c r="AA5" s="1002"/>
      <c r="AB5" s="1002"/>
      <c r="AC5" s="1002"/>
      <c r="AD5" s="1002"/>
      <c r="AE5" s="1002"/>
      <c r="AF5" s="1002"/>
      <c r="AG5" s="1002"/>
      <c r="AH5" s="1002"/>
      <c r="AI5" s="1002"/>
      <c r="AJ5" s="1002"/>
      <c r="AK5" s="1002"/>
      <c r="AL5" s="1002"/>
      <c r="AM5" s="1002"/>
      <c r="AN5" s="1002"/>
      <c r="AO5" s="1002"/>
      <c r="AP5" s="1002"/>
      <c r="AQ5" s="1002"/>
      <c r="AR5" s="1002"/>
      <c r="AS5" s="1002"/>
      <c r="AT5" s="556"/>
      <c r="EM5" s="557"/>
      <c r="EN5" s="557"/>
      <c r="EO5" s="557"/>
      <c r="EP5" s="557"/>
      <c r="EQ5" s="557"/>
      <c r="ER5" s="557"/>
      <c r="ES5" s="557"/>
      <c r="ET5" s="557"/>
      <c r="EU5" s="557"/>
      <c r="EV5" s="557"/>
      <c r="EW5" s="557"/>
      <c r="EX5" s="557"/>
      <c r="EY5" s="557"/>
      <c r="EZ5" s="557"/>
      <c r="FA5" s="557"/>
      <c r="FB5" s="557"/>
      <c r="FC5" s="557"/>
      <c r="FD5" s="557"/>
      <c r="FE5" s="557"/>
      <c r="FF5" s="557"/>
      <c r="FG5" s="557"/>
      <c r="FH5" s="557"/>
      <c r="FI5" s="557"/>
      <c r="FJ5" s="557"/>
      <c r="FK5" s="557"/>
      <c r="FL5" s="557"/>
      <c r="FM5" s="557"/>
      <c r="FN5" s="557"/>
      <c r="FO5" s="557"/>
      <c r="FP5" s="557"/>
      <c r="FQ5" s="557"/>
      <c r="FR5" s="557"/>
      <c r="FS5" s="557"/>
      <c r="FT5" s="557"/>
      <c r="FU5" s="557"/>
      <c r="FV5" s="557"/>
      <c r="FW5" s="557"/>
      <c r="FX5" s="557"/>
      <c r="FY5" s="557"/>
      <c r="FZ5" s="557"/>
      <c r="GA5" s="557"/>
      <c r="GB5" s="557"/>
      <c r="GC5" s="557"/>
      <c r="GD5" s="557"/>
      <c r="GE5" s="557"/>
      <c r="GF5" s="557"/>
      <c r="GG5" s="557"/>
      <c r="GH5" s="557"/>
      <c r="GI5" s="557"/>
      <c r="GJ5" s="557"/>
      <c r="GK5" s="557"/>
      <c r="GL5" s="557"/>
      <c r="GM5" s="557"/>
      <c r="GN5" s="557"/>
      <c r="GO5" s="557"/>
      <c r="GP5" s="557"/>
      <c r="GQ5" s="557"/>
      <c r="GR5" s="557"/>
      <c r="GS5" s="557"/>
      <c r="GT5" s="557"/>
      <c r="GU5" s="557"/>
      <c r="GV5" s="557"/>
      <c r="GW5" s="557"/>
      <c r="GX5" s="557"/>
      <c r="GY5" s="557"/>
      <c r="GZ5" s="557"/>
      <c r="HA5" s="557"/>
    </row>
    <row r="6" spans="1:209" ht="7.5" hidden="1" customHeight="1" x14ac:dyDescent="0.45">
      <c r="A6" s="1002"/>
      <c r="B6" s="1002"/>
      <c r="C6" s="1002"/>
      <c r="D6" s="1002"/>
      <c r="E6" s="1002">
        <f>+AG13</f>
        <v>0</v>
      </c>
      <c r="F6" s="1002"/>
      <c r="G6" s="1002"/>
      <c r="H6" s="1002"/>
      <c r="I6" s="1002"/>
      <c r="J6" s="1002"/>
      <c r="K6" s="1002"/>
      <c r="L6" s="1002"/>
      <c r="M6" s="1002"/>
      <c r="N6" s="1002"/>
      <c r="O6" s="1002"/>
      <c r="P6" s="1002"/>
      <c r="Q6" s="1002"/>
      <c r="R6" s="1002"/>
      <c r="S6" s="1002"/>
      <c r="T6" s="1002"/>
      <c r="U6" s="1002"/>
      <c r="V6" s="1002"/>
      <c r="W6" s="1002"/>
      <c r="X6" s="1002"/>
      <c r="Y6" s="1002"/>
      <c r="Z6" s="1002"/>
      <c r="AA6" s="1002"/>
      <c r="AB6" s="1002"/>
      <c r="AC6" s="1002"/>
      <c r="AD6" s="1002"/>
      <c r="AE6" s="1002"/>
      <c r="AF6" s="1002"/>
      <c r="AG6" s="1002"/>
      <c r="AH6" s="1002"/>
      <c r="AI6" s="1002"/>
      <c r="AJ6" s="1002"/>
      <c r="AK6" s="1002"/>
      <c r="AL6" s="1002"/>
      <c r="AM6" s="1002"/>
      <c r="AN6" s="1002"/>
      <c r="AO6" s="1002"/>
      <c r="AP6" s="1002"/>
      <c r="AQ6" s="1002"/>
      <c r="AR6" s="1002"/>
      <c r="AS6" s="1002"/>
      <c r="AT6" s="556"/>
      <c r="EM6" s="557"/>
      <c r="EN6" s="557"/>
      <c r="EO6" s="557"/>
      <c r="EP6" s="557"/>
      <c r="EQ6" s="557"/>
      <c r="ER6" s="557"/>
      <c r="ES6" s="557"/>
      <c r="ET6" s="557"/>
      <c r="EU6" s="557"/>
      <c r="EV6" s="557"/>
      <c r="EW6" s="557"/>
      <c r="EX6" s="557"/>
      <c r="EY6" s="557"/>
      <c r="EZ6" s="557"/>
      <c r="FA6" s="557"/>
      <c r="FB6" s="557"/>
      <c r="FC6" s="557"/>
      <c r="FD6" s="557"/>
      <c r="FE6" s="557"/>
      <c r="FF6" s="557"/>
      <c r="FG6" s="557"/>
      <c r="FH6" s="557"/>
      <c r="FI6" s="557"/>
      <c r="FJ6" s="557"/>
      <c r="FK6" s="557"/>
      <c r="FL6" s="557"/>
      <c r="FM6" s="557"/>
      <c r="FN6" s="557"/>
      <c r="FO6" s="557"/>
      <c r="FP6" s="557"/>
      <c r="FQ6" s="557"/>
      <c r="FR6" s="557"/>
      <c r="FS6" s="557"/>
      <c r="FT6" s="557"/>
      <c r="FU6" s="557"/>
      <c r="FV6" s="557"/>
      <c r="FW6" s="557"/>
      <c r="FX6" s="557"/>
      <c r="FY6" s="557"/>
      <c r="FZ6" s="557"/>
      <c r="GA6" s="557"/>
      <c r="GB6" s="557"/>
      <c r="GC6" s="557"/>
      <c r="GD6" s="557"/>
      <c r="GE6" s="557"/>
      <c r="GF6" s="557"/>
      <c r="GG6" s="557"/>
      <c r="GH6" s="557"/>
      <c r="GI6" s="557"/>
      <c r="GJ6" s="557"/>
      <c r="GK6" s="557"/>
      <c r="GL6" s="557"/>
      <c r="GM6" s="557"/>
      <c r="GN6" s="557"/>
      <c r="GO6" s="557"/>
      <c r="GP6" s="557"/>
      <c r="GQ6" s="557"/>
      <c r="GR6" s="557"/>
      <c r="GS6" s="557"/>
      <c r="GT6" s="557"/>
      <c r="GU6" s="557"/>
      <c r="GV6" s="557"/>
      <c r="GW6" s="557"/>
      <c r="GX6" s="557"/>
      <c r="GY6" s="557"/>
      <c r="GZ6" s="557"/>
      <c r="HA6" s="557"/>
    </row>
    <row r="7" spans="1:209" ht="7.5" hidden="1" customHeight="1" x14ac:dyDescent="0.45">
      <c r="A7" s="1002"/>
      <c r="B7" s="1002"/>
      <c r="C7" s="1002"/>
      <c r="D7" s="1002"/>
      <c r="E7" s="1002">
        <f>+AG14</f>
        <v>0</v>
      </c>
      <c r="F7" s="1002"/>
      <c r="G7" s="1002"/>
      <c r="H7" s="1002"/>
      <c r="I7" s="1002"/>
      <c r="J7" s="1002"/>
      <c r="K7" s="1002"/>
      <c r="L7" s="1002"/>
      <c r="M7" s="1002"/>
      <c r="N7" s="1002"/>
      <c r="O7" s="1002"/>
      <c r="P7" s="1002"/>
      <c r="Q7" s="1002"/>
      <c r="R7" s="1002"/>
      <c r="S7" s="1002"/>
      <c r="T7" s="1002"/>
      <c r="U7" s="1002"/>
      <c r="V7" s="1002"/>
      <c r="W7" s="1002"/>
      <c r="X7" s="1002"/>
      <c r="Y7" s="1002"/>
      <c r="Z7" s="1002"/>
      <c r="AA7" s="1002"/>
      <c r="AB7" s="1002"/>
      <c r="AC7" s="1002"/>
      <c r="AD7" s="1002"/>
      <c r="AE7" s="1002"/>
      <c r="AF7" s="1002"/>
      <c r="AG7" s="1002"/>
      <c r="AH7" s="1002"/>
      <c r="AI7" s="1002"/>
      <c r="AJ7" s="1002"/>
      <c r="AK7" s="1002"/>
      <c r="AL7" s="1002"/>
      <c r="AM7" s="1002"/>
      <c r="AN7" s="1002"/>
      <c r="AO7" s="1002"/>
      <c r="AP7" s="1002"/>
      <c r="AQ7" s="1002"/>
      <c r="AR7" s="1002"/>
      <c r="AS7" s="1002"/>
      <c r="AT7" s="556"/>
      <c r="EM7" s="557"/>
      <c r="EN7" s="557"/>
      <c r="EO7" s="557"/>
      <c r="EP7" s="557"/>
      <c r="EQ7" s="557"/>
      <c r="ER7" s="557"/>
      <c r="ES7" s="557"/>
      <c r="ET7" s="557"/>
      <c r="EU7" s="557"/>
      <c r="EV7" s="557"/>
      <c r="EW7" s="557"/>
      <c r="EX7" s="557"/>
      <c r="EY7" s="557"/>
      <c r="EZ7" s="557"/>
      <c r="FA7" s="557"/>
      <c r="FB7" s="557"/>
      <c r="FC7" s="557"/>
      <c r="FD7" s="557"/>
      <c r="FE7" s="557"/>
      <c r="FF7" s="557"/>
      <c r="FG7" s="557"/>
      <c r="FH7" s="557"/>
      <c r="FI7" s="557"/>
      <c r="FJ7" s="557"/>
      <c r="FK7" s="557"/>
      <c r="FL7" s="557"/>
      <c r="FM7" s="557"/>
      <c r="FN7" s="557"/>
      <c r="FO7" s="557"/>
      <c r="FP7" s="557"/>
      <c r="FQ7" s="557"/>
      <c r="FR7" s="557"/>
      <c r="FS7" s="557"/>
      <c r="FT7" s="557"/>
      <c r="FU7" s="557"/>
      <c r="FV7" s="557"/>
      <c r="FW7" s="557"/>
      <c r="FX7" s="557"/>
      <c r="FY7" s="557"/>
      <c r="FZ7" s="557"/>
      <c r="GA7" s="557"/>
      <c r="GB7" s="557"/>
      <c r="GC7" s="557"/>
      <c r="GD7" s="557"/>
      <c r="GE7" s="557"/>
      <c r="GF7" s="557"/>
      <c r="GG7" s="557"/>
      <c r="GH7" s="557"/>
      <c r="GI7" s="557"/>
      <c r="GJ7" s="557"/>
      <c r="GK7" s="557"/>
      <c r="GL7" s="557"/>
      <c r="GM7" s="557"/>
      <c r="GN7" s="557"/>
      <c r="GO7" s="557"/>
      <c r="GP7" s="557"/>
      <c r="GQ7" s="557"/>
      <c r="GR7" s="557"/>
      <c r="GS7" s="557"/>
      <c r="GT7" s="557"/>
      <c r="GU7" s="557"/>
      <c r="GV7" s="557"/>
      <c r="GW7" s="557"/>
      <c r="GX7" s="557"/>
      <c r="GY7" s="557"/>
      <c r="GZ7" s="557"/>
      <c r="HA7" s="557"/>
    </row>
    <row r="8" spans="1:209" s="55" customFormat="1" ht="16.5" customHeight="1" x14ac:dyDescent="0.2">
      <c r="A8" s="1506" t="s">
        <v>3</v>
      </c>
      <c r="B8" s="1506"/>
      <c r="C8" s="1506"/>
      <c r="D8" s="1506"/>
      <c r="E8" s="1506"/>
      <c r="F8" s="1506"/>
      <c r="G8" s="1506"/>
      <c r="H8" s="1506"/>
      <c r="I8" s="1506"/>
      <c r="J8" s="1506"/>
      <c r="K8" s="1506"/>
      <c r="L8" s="1506"/>
      <c r="M8" s="1506"/>
      <c r="N8" s="1506"/>
      <c r="O8" s="1506"/>
      <c r="P8" s="1506"/>
      <c r="Q8" s="1506"/>
      <c r="R8" s="1506"/>
      <c r="S8" s="1506"/>
      <c r="T8" s="1506"/>
      <c r="U8" s="1506"/>
      <c r="V8" s="1506"/>
      <c r="W8" s="1506"/>
      <c r="X8" s="1506"/>
      <c r="Y8" s="1506"/>
      <c r="Z8" s="1506"/>
      <c r="AA8" s="1506"/>
      <c r="AB8" s="1506"/>
      <c r="AD8" s="1518" t="s">
        <v>94</v>
      </c>
      <c r="AE8" s="1518"/>
      <c r="AF8" s="1518"/>
      <c r="AG8" s="1518"/>
      <c r="AH8" s="1518"/>
      <c r="AI8" s="1518"/>
      <c r="AJ8" s="1518"/>
      <c r="AK8" s="1518"/>
      <c r="AL8" s="1518"/>
      <c r="AM8" s="1518"/>
      <c r="AN8" s="1518"/>
      <c r="AO8" s="1518"/>
      <c r="AP8" s="1518"/>
      <c r="AQ8" s="1518"/>
      <c r="AR8" s="1518"/>
      <c r="AS8" s="1518"/>
      <c r="AU8" s="700"/>
      <c r="AV8" s="700"/>
      <c r="AW8" s="700"/>
      <c r="AX8" s="700"/>
      <c r="AY8" s="700"/>
      <c r="AZ8" s="700"/>
      <c r="BA8" s="700"/>
      <c r="BB8" s="700"/>
      <c r="BC8" s="700"/>
      <c r="BD8" s="700"/>
      <c r="BE8" s="700"/>
      <c r="BF8" s="700"/>
      <c r="BG8" s="700"/>
      <c r="BH8" s="700"/>
      <c r="BI8" s="700"/>
      <c r="BJ8" s="700"/>
      <c r="BK8" s="700"/>
      <c r="BL8" s="700"/>
      <c r="BM8" s="700"/>
      <c r="BN8" s="700"/>
      <c r="BO8" s="700"/>
      <c r="BP8" s="700"/>
      <c r="BQ8" s="700"/>
      <c r="BR8" s="700"/>
      <c r="BS8" s="700"/>
      <c r="BT8" s="700"/>
      <c r="BU8" s="700"/>
      <c r="BV8" s="700"/>
      <c r="BW8" s="700"/>
      <c r="BX8" s="700"/>
      <c r="BY8" s="925"/>
      <c r="BZ8" s="700"/>
      <c r="CA8" s="700"/>
      <c r="CB8" s="700"/>
      <c r="CC8" s="925"/>
      <c r="CD8" s="700"/>
      <c r="CE8" s="700"/>
      <c r="CF8" s="700"/>
      <c r="CG8" s="700"/>
      <c r="CH8" s="700"/>
      <c r="CI8" s="700"/>
      <c r="CJ8" s="700"/>
      <c r="CK8" s="700"/>
      <c r="CL8" s="700"/>
      <c r="CM8" s="700"/>
      <c r="CN8" s="700"/>
      <c r="CO8" s="700"/>
      <c r="CP8" s="700"/>
      <c r="CQ8" s="700"/>
      <c r="CR8" s="700"/>
      <c r="CS8" s="700"/>
      <c r="CT8" s="700"/>
      <c r="CU8" s="700"/>
      <c r="CV8" s="700"/>
      <c r="CW8" s="700"/>
      <c r="CX8" s="926"/>
      <c r="DB8" s="926"/>
    </row>
    <row r="9" spans="1:209" s="55" customFormat="1" ht="13.5" customHeight="1" x14ac:dyDescent="0.2">
      <c r="A9" s="1405" t="s">
        <v>1</v>
      </c>
      <c r="B9" s="1407"/>
      <c r="C9" s="1407"/>
      <c r="D9" s="1407"/>
      <c r="E9" s="1497" t="s">
        <v>689</v>
      </c>
      <c r="F9" s="1499" t="s">
        <v>690</v>
      </c>
      <c r="G9" s="1494" t="s">
        <v>992</v>
      </c>
      <c r="H9" s="1495"/>
      <c r="I9" s="1495"/>
      <c r="J9" s="1495"/>
      <c r="K9" s="1496"/>
      <c r="L9" s="559"/>
      <c r="M9" s="1501" t="s">
        <v>86</v>
      </c>
      <c r="N9" s="1502"/>
      <c r="O9" s="1502"/>
      <c r="P9" s="1502"/>
      <c r="Q9" s="1502"/>
      <c r="R9" s="1502"/>
      <c r="S9" s="1502"/>
      <c r="T9" s="1502"/>
      <c r="U9" s="1502"/>
      <c r="V9" s="1502"/>
      <c r="W9" s="1502"/>
      <c r="X9" s="1502"/>
      <c r="Y9" s="1502"/>
      <c r="Z9" s="1502"/>
      <c r="AA9" s="1502"/>
      <c r="AB9" s="1507" t="s">
        <v>45</v>
      </c>
      <c r="AC9" s="560"/>
      <c r="AD9" s="1521"/>
      <c r="AE9" s="1522"/>
      <c r="AF9" s="1523"/>
      <c r="AG9" s="1517" t="s">
        <v>7</v>
      </c>
      <c r="AH9" s="1517"/>
      <c r="AI9" s="1517" t="s">
        <v>1</v>
      </c>
      <c r="AJ9" s="1517"/>
      <c r="AK9" s="1517"/>
      <c r="AL9" s="1517"/>
      <c r="AM9" s="1517"/>
      <c r="AN9" s="1517"/>
      <c r="AO9" s="1517"/>
      <c r="AP9" s="1517"/>
      <c r="AQ9" s="1517"/>
      <c r="AR9" s="1517"/>
      <c r="AS9" s="1517"/>
      <c r="AT9" s="539"/>
      <c r="AW9" s="700"/>
      <c r="AX9" s="700"/>
      <c r="AY9" s="700"/>
      <c r="AZ9" s="700"/>
      <c r="BA9" s="700"/>
      <c r="BB9" s="700"/>
      <c r="BC9" s="700"/>
      <c r="BD9" s="700"/>
      <c r="BE9" s="700"/>
      <c r="BF9" s="700"/>
      <c r="BG9" s="700"/>
      <c r="BH9" s="700"/>
      <c r="BI9" s="700"/>
      <c r="BJ9" s="700"/>
      <c r="BK9" s="700"/>
      <c r="BL9" s="700"/>
      <c r="BM9" s="700"/>
      <c r="BN9" s="700"/>
      <c r="BO9" s="700"/>
      <c r="BP9" s="700"/>
      <c r="BQ9" s="700"/>
      <c r="BR9" s="700"/>
      <c r="BS9" s="700"/>
      <c r="BT9" s="700"/>
      <c r="BU9" s="700"/>
      <c r="BV9" s="700"/>
      <c r="BW9" s="700"/>
      <c r="BX9" s="700"/>
      <c r="BY9" s="700"/>
      <c r="BZ9" s="700"/>
      <c r="CA9" s="700"/>
      <c r="CB9" s="700"/>
      <c r="CC9" s="700"/>
      <c r="CD9" s="700"/>
      <c r="CE9" s="700"/>
      <c r="CF9" s="700"/>
      <c r="CG9" s="700"/>
      <c r="CH9" s="700"/>
      <c r="CI9" s="700"/>
      <c r="CJ9" s="700"/>
      <c r="CK9" s="700"/>
      <c r="CL9" s="700"/>
      <c r="CM9" s="700"/>
      <c r="CN9" s="700"/>
      <c r="CO9" s="700"/>
      <c r="CP9" s="700"/>
      <c r="CQ9" s="700"/>
      <c r="CR9" s="700"/>
      <c r="CS9" s="700"/>
      <c r="CT9" s="700"/>
      <c r="CU9" s="700"/>
      <c r="CV9" s="700"/>
      <c r="CW9" s="700"/>
    </row>
    <row r="10" spans="1:209" s="55" customFormat="1" ht="13.5" customHeight="1" x14ac:dyDescent="0.2">
      <c r="A10" s="1406"/>
      <c r="B10" s="1408"/>
      <c r="C10" s="1408"/>
      <c r="D10" s="1408"/>
      <c r="E10" s="1498"/>
      <c r="F10" s="1500"/>
      <c r="G10" s="915" t="s">
        <v>1038</v>
      </c>
      <c r="H10" s="558"/>
      <c r="I10" s="915" t="s">
        <v>1039</v>
      </c>
      <c r="J10" s="558"/>
      <c r="K10" s="915" t="s">
        <v>1040</v>
      </c>
      <c r="L10" s="559"/>
      <c r="M10" s="1503"/>
      <c r="N10" s="1504"/>
      <c r="O10" s="1504"/>
      <c r="P10" s="1504"/>
      <c r="Q10" s="1504"/>
      <c r="R10" s="1504"/>
      <c r="S10" s="1504"/>
      <c r="T10" s="1504"/>
      <c r="U10" s="1504"/>
      <c r="V10" s="1504"/>
      <c r="W10" s="1504"/>
      <c r="X10" s="1504"/>
      <c r="Y10" s="1504"/>
      <c r="Z10" s="1504"/>
      <c r="AA10" s="1504"/>
      <c r="AB10" s="1508"/>
      <c r="AC10" s="560"/>
      <c r="AD10" s="1524"/>
      <c r="AE10" s="1524"/>
      <c r="AF10" s="1525"/>
      <c r="AG10" s="1517"/>
      <c r="AH10" s="1517"/>
      <c r="AI10" s="1517"/>
      <c r="AJ10" s="1517"/>
      <c r="AK10" s="1517"/>
      <c r="AL10" s="1517"/>
      <c r="AM10" s="1517"/>
      <c r="AN10" s="1517"/>
      <c r="AO10" s="1517"/>
      <c r="AP10" s="1517"/>
      <c r="AQ10" s="1517"/>
      <c r="AR10" s="1517"/>
      <c r="AS10" s="1517"/>
      <c r="AT10" s="539"/>
      <c r="AW10" s="700"/>
      <c r="AX10" s="700"/>
      <c r="AY10" s="700"/>
      <c r="AZ10" s="700"/>
      <c r="BA10" s="700"/>
      <c r="BB10" s="700"/>
      <c r="BC10" s="700"/>
      <c r="BD10" s="700"/>
      <c r="BE10" s="700"/>
      <c r="BF10" s="700"/>
      <c r="BG10" s="700"/>
      <c r="BH10" s="700"/>
      <c r="BI10" s="700"/>
      <c r="BJ10" s="700"/>
      <c r="BK10" s="700"/>
      <c r="BL10" s="700"/>
      <c r="BM10" s="700"/>
      <c r="BN10" s="700"/>
      <c r="BO10" s="700"/>
      <c r="BP10" s="700"/>
      <c r="BQ10" s="700"/>
      <c r="BR10" s="700"/>
      <c r="BS10" s="700"/>
      <c r="BT10" s="700"/>
      <c r="BU10" s="700"/>
      <c r="BV10" s="700"/>
      <c r="BW10" s="700"/>
      <c r="BX10" s="700"/>
      <c r="BY10" s="700"/>
      <c r="BZ10" s="700"/>
      <c r="CA10" s="700"/>
      <c r="CB10" s="700"/>
      <c r="CC10" s="700"/>
      <c r="CD10" s="700"/>
      <c r="CE10" s="700"/>
      <c r="CF10" s="700"/>
      <c r="CG10" s="700"/>
      <c r="CH10" s="700"/>
      <c r="CI10" s="700"/>
      <c r="CJ10" s="700"/>
      <c r="CK10" s="700"/>
      <c r="CL10" s="700"/>
      <c r="CM10" s="700"/>
      <c r="CN10" s="700"/>
      <c r="CO10" s="700"/>
      <c r="CP10" s="700"/>
      <c r="CQ10" s="700"/>
      <c r="CR10" s="700"/>
      <c r="CS10" s="700"/>
      <c r="CT10" s="700"/>
      <c r="CU10" s="700"/>
      <c r="CV10" s="700"/>
      <c r="CW10" s="700"/>
    </row>
    <row r="11" spans="1:209" ht="15" customHeight="1" x14ac:dyDescent="0.45">
      <c r="A11" s="1170"/>
      <c r="B11" s="944" t="str">
        <f t="shared" ref="B11:B27" si="0">IF(A11&gt;0,"x"," ")</f>
        <v xml:space="preserve"> </v>
      </c>
      <c r="C11" s="921"/>
      <c r="D11" s="921"/>
      <c r="E11" s="922"/>
      <c r="F11" s="922"/>
      <c r="G11" s="916"/>
      <c r="H11" s="917">
        <f>IF(OR(G11="x",G11="X",),$AB11,0)</f>
        <v>0</v>
      </c>
      <c r="I11" s="916"/>
      <c r="J11" s="917">
        <f>IF(OR(I11="x",I11="X",),$AB11,0)</f>
        <v>0</v>
      </c>
      <c r="K11" s="916"/>
      <c r="L11" s="917">
        <f>IF(OR(K11="x",K11="X",),$AB11,0)</f>
        <v>0</v>
      </c>
      <c r="M11" s="950"/>
      <c r="N11" s="951"/>
      <c r="O11" s="951"/>
      <c r="P11" s="951"/>
      <c r="Q11" s="951"/>
      <c r="R11" s="951"/>
      <c r="S11" s="951"/>
      <c r="T11" s="951"/>
      <c r="U11" s="951"/>
      <c r="V11" s="951"/>
      <c r="W11" s="951"/>
      <c r="X11" s="951"/>
      <c r="Y11" s="951"/>
      <c r="Z11" s="951"/>
      <c r="AA11" s="951"/>
      <c r="AB11" s="957">
        <f t="shared" ref="AB11:AB56" si="1">COUNTA(M11:AA11)</f>
        <v>0</v>
      </c>
      <c r="AC11" s="45"/>
      <c r="AD11" s="1519" t="s">
        <v>805</v>
      </c>
      <c r="AE11" s="1519"/>
      <c r="AF11" s="1519"/>
      <c r="AG11" s="1505"/>
      <c r="AH11" s="1505"/>
      <c r="AI11" s="1516"/>
      <c r="AJ11" s="1516"/>
      <c r="AK11" s="1516"/>
      <c r="AL11" s="1516"/>
      <c r="AM11" s="1516"/>
      <c r="AN11" s="1516"/>
      <c r="AO11" s="1516"/>
      <c r="AP11" s="1516"/>
      <c r="AQ11" s="1516"/>
      <c r="AR11" s="1516"/>
      <c r="AS11" s="1516"/>
      <c r="AT11" s="556"/>
    </row>
    <row r="12" spans="1:209" ht="15" customHeight="1" x14ac:dyDescent="0.45">
      <c r="A12" s="1170"/>
      <c r="B12" s="944" t="str">
        <f t="shared" si="0"/>
        <v xml:space="preserve"> </v>
      </c>
      <c r="C12" s="921"/>
      <c r="D12" s="921"/>
      <c r="E12" s="922"/>
      <c r="F12" s="922"/>
      <c r="G12" s="916"/>
      <c r="H12" s="917">
        <f t="shared" ref="H12:H56" si="2">IF(OR(G12="x",G12="X",),AB12,0)</f>
        <v>0</v>
      </c>
      <c r="I12" s="916"/>
      <c r="J12" s="917">
        <f t="shared" ref="J12:J56" si="3">IF(OR(I12="x",I12="X",),$AB12,0)</f>
        <v>0</v>
      </c>
      <c r="K12" s="916"/>
      <c r="L12" s="917">
        <f t="shared" ref="L12:L56" si="4">IF(OR(K12="x",K12="X",),$AB12,0)</f>
        <v>0</v>
      </c>
      <c r="M12" s="952"/>
      <c r="N12" s="953"/>
      <c r="O12" s="953"/>
      <c r="P12" s="953"/>
      <c r="Q12" s="953"/>
      <c r="R12" s="953"/>
      <c r="S12" s="953"/>
      <c r="T12" s="953"/>
      <c r="U12" s="953"/>
      <c r="V12" s="953"/>
      <c r="W12" s="953"/>
      <c r="X12" s="953"/>
      <c r="Y12" s="953"/>
      <c r="Z12" s="953"/>
      <c r="AA12" s="953"/>
      <c r="AB12" s="957">
        <f t="shared" si="1"/>
        <v>0</v>
      </c>
      <c r="AC12" s="44"/>
      <c r="AD12" s="1520" t="s">
        <v>805</v>
      </c>
      <c r="AE12" s="1520"/>
      <c r="AF12" s="1520"/>
      <c r="AG12" s="1505"/>
      <c r="AH12" s="1505"/>
      <c r="AI12" s="1516"/>
      <c r="AJ12" s="1516"/>
      <c r="AK12" s="1516"/>
      <c r="AL12" s="1516"/>
      <c r="AM12" s="1516"/>
      <c r="AN12" s="1516"/>
      <c r="AO12" s="1516"/>
      <c r="AP12" s="1516"/>
      <c r="AQ12" s="1516"/>
      <c r="AR12" s="1516"/>
      <c r="AS12" s="1516"/>
      <c r="AT12" s="556"/>
    </row>
    <row r="13" spans="1:209" ht="15" customHeight="1" x14ac:dyDescent="0.45">
      <c r="A13" s="1170"/>
      <c r="B13" s="944" t="str">
        <f t="shared" si="0"/>
        <v xml:space="preserve"> </v>
      </c>
      <c r="C13" s="921"/>
      <c r="D13" s="921"/>
      <c r="E13" s="922"/>
      <c r="F13" s="922"/>
      <c r="G13" s="916"/>
      <c r="H13" s="917">
        <f t="shared" si="2"/>
        <v>0</v>
      </c>
      <c r="I13" s="916"/>
      <c r="J13" s="917">
        <f t="shared" si="3"/>
        <v>0</v>
      </c>
      <c r="K13" s="916"/>
      <c r="L13" s="917">
        <f t="shared" si="4"/>
        <v>0</v>
      </c>
      <c r="M13" s="950"/>
      <c r="N13" s="951"/>
      <c r="O13" s="951"/>
      <c r="P13" s="951"/>
      <c r="Q13" s="951"/>
      <c r="R13" s="951"/>
      <c r="S13" s="951"/>
      <c r="T13" s="951"/>
      <c r="U13" s="951"/>
      <c r="V13" s="951"/>
      <c r="W13" s="951"/>
      <c r="X13" s="951"/>
      <c r="Y13" s="951"/>
      <c r="Z13" s="951"/>
      <c r="AA13" s="951"/>
      <c r="AB13" s="957">
        <f t="shared" si="1"/>
        <v>0</v>
      </c>
      <c r="AC13" s="44"/>
      <c r="AD13" s="1520" t="s">
        <v>806</v>
      </c>
      <c r="AE13" s="1520"/>
      <c r="AF13" s="1520"/>
      <c r="AG13" s="1505"/>
      <c r="AH13" s="1505"/>
      <c r="AI13" s="1516"/>
      <c r="AJ13" s="1516"/>
      <c r="AK13" s="1516"/>
      <c r="AL13" s="1516"/>
      <c r="AM13" s="1516"/>
      <c r="AN13" s="1516"/>
      <c r="AO13" s="1516"/>
      <c r="AP13" s="1516"/>
      <c r="AQ13" s="1516"/>
      <c r="AR13" s="1516"/>
      <c r="AS13" s="1516"/>
      <c r="AT13" s="556"/>
    </row>
    <row r="14" spans="1:209" ht="15" customHeight="1" x14ac:dyDescent="0.45">
      <c r="A14" s="1170"/>
      <c r="B14" s="944" t="str">
        <f t="shared" si="0"/>
        <v xml:space="preserve"> </v>
      </c>
      <c r="C14" s="921"/>
      <c r="D14" s="921"/>
      <c r="E14" s="922"/>
      <c r="F14" s="922"/>
      <c r="G14" s="916"/>
      <c r="H14" s="917">
        <f t="shared" si="2"/>
        <v>0</v>
      </c>
      <c r="I14" s="916"/>
      <c r="J14" s="917">
        <f t="shared" si="3"/>
        <v>0</v>
      </c>
      <c r="K14" s="916"/>
      <c r="L14" s="917">
        <f t="shared" si="4"/>
        <v>0</v>
      </c>
      <c r="M14" s="952"/>
      <c r="N14" s="953"/>
      <c r="O14" s="953"/>
      <c r="P14" s="953"/>
      <c r="Q14" s="953"/>
      <c r="R14" s="953"/>
      <c r="S14" s="953"/>
      <c r="T14" s="953"/>
      <c r="U14" s="953"/>
      <c r="V14" s="953"/>
      <c r="W14" s="953"/>
      <c r="X14" s="953"/>
      <c r="Y14" s="953"/>
      <c r="Z14" s="953"/>
      <c r="AA14" s="953"/>
      <c r="AB14" s="957">
        <f t="shared" si="1"/>
        <v>0</v>
      </c>
      <c r="AC14" s="44"/>
      <c r="AD14" s="1520" t="s">
        <v>806</v>
      </c>
      <c r="AE14" s="1520"/>
      <c r="AF14" s="1520"/>
      <c r="AG14" s="1505"/>
      <c r="AH14" s="1505"/>
      <c r="AI14" s="1516"/>
      <c r="AJ14" s="1516"/>
      <c r="AK14" s="1516"/>
      <c r="AL14" s="1516"/>
      <c r="AM14" s="1516"/>
      <c r="AN14" s="1516"/>
      <c r="AO14" s="1516"/>
      <c r="AP14" s="1516"/>
      <c r="AQ14" s="1516"/>
      <c r="AR14" s="1516"/>
      <c r="AS14" s="1516"/>
      <c r="AT14" s="556"/>
    </row>
    <row r="15" spans="1:209" ht="15" customHeight="1" x14ac:dyDescent="0.45">
      <c r="A15" s="1170"/>
      <c r="B15" s="944" t="str">
        <f t="shared" si="0"/>
        <v xml:space="preserve"> </v>
      </c>
      <c r="C15" s="921"/>
      <c r="D15" s="921"/>
      <c r="E15" s="922"/>
      <c r="F15" s="922"/>
      <c r="G15" s="916"/>
      <c r="H15" s="917">
        <f t="shared" si="2"/>
        <v>0</v>
      </c>
      <c r="I15" s="916"/>
      <c r="J15" s="917">
        <f t="shared" si="3"/>
        <v>0</v>
      </c>
      <c r="K15" s="916"/>
      <c r="L15" s="917">
        <f t="shared" si="4"/>
        <v>0</v>
      </c>
      <c r="M15" s="950"/>
      <c r="N15" s="951"/>
      <c r="O15" s="951"/>
      <c r="P15" s="951"/>
      <c r="Q15" s="951"/>
      <c r="R15" s="951"/>
      <c r="S15" s="951"/>
      <c r="T15" s="951"/>
      <c r="U15" s="951"/>
      <c r="V15" s="951"/>
      <c r="W15" s="951"/>
      <c r="X15" s="951"/>
      <c r="Y15" s="951"/>
      <c r="Z15" s="951"/>
      <c r="AA15" s="951"/>
      <c r="AB15" s="957">
        <f t="shared" si="1"/>
        <v>0</v>
      </c>
      <c r="AC15" s="44"/>
      <c r="AD15" s="1520" t="s">
        <v>753</v>
      </c>
      <c r="AE15" s="1520"/>
      <c r="AF15" s="1520"/>
      <c r="AG15" s="1505"/>
      <c r="AH15" s="1505"/>
      <c r="AI15" s="1516"/>
      <c r="AJ15" s="1516"/>
      <c r="AK15" s="1516"/>
      <c r="AL15" s="1516"/>
      <c r="AM15" s="1516"/>
      <c r="AN15" s="1516"/>
      <c r="AO15" s="1516"/>
      <c r="AP15" s="1516"/>
      <c r="AQ15" s="1516"/>
      <c r="AR15" s="1516"/>
      <c r="AS15" s="1516"/>
      <c r="AT15" s="556"/>
    </row>
    <row r="16" spans="1:209" ht="15" customHeight="1" x14ac:dyDescent="0.45">
      <c r="A16" s="1170"/>
      <c r="B16" s="944" t="str">
        <f t="shared" si="0"/>
        <v xml:space="preserve"> </v>
      </c>
      <c r="C16" s="921"/>
      <c r="D16" s="921"/>
      <c r="E16" s="922"/>
      <c r="F16" s="922"/>
      <c r="G16" s="916"/>
      <c r="H16" s="917">
        <f t="shared" si="2"/>
        <v>0</v>
      </c>
      <c r="I16" s="916"/>
      <c r="J16" s="917">
        <f t="shared" si="3"/>
        <v>0</v>
      </c>
      <c r="K16" s="916"/>
      <c r="L16" s="917">
        <f t="shared" si="4"/>
        <v>0</v>
      </c>
      <c r="M16" s="952"/>
      <c r="N16" s="953"/>
      <c r="O16" s="953"/>
      <c r="P16" s="953"/>
      <c r="Q16" s="953"/>
      <c r="R16" s="953"/>
      <c r="S16" s="953"/>
      <c r="T16" s="953"/>
      <c r="U16" s="953"/>
      <c r="V16" s="953"/>
      <c r="W16" s="953"/>
      <c r="X16" s="953"/>
      <c r="Y16" s="953"/>
      <c r="Z16" s="953"/>
      <c r="AA16" s="953"/>
      <c r="AB16" s="957">
        <f t="shared" si="1"/>
        <v>0</v>
      </c>
      <c r="AC16" s="44"/>
      <c r="AD16" s="1520" t="s">
        <v>753</v>
      </c>
      <c r="AE16" s="1520"/>
      <c r="AF16" s="1520"/>
      <c r="AG16" s="1505"/>
      <c r="AH16" s="1505"/>
      <c r="AI16" s="1516"/>
      <c r="AJ16" s="1516"/>
      <c r="AK16" s="1516"/>
      <c r="AL16" s="1516"/>
      <c r="AM16" s="1516"/>
      <c r="AN16" s="1516"/>
      <c r="AO16" s="1516"/>
      <c r="AP16" s="1516"/>
      <c r="AQ16" s="1516"/>
      <c r="AR16" s="1516"/>
      <c r="AS16" s="1516"/>
      <c r="AT16" s="556"/>
    </row>
    <row r="17" spans="1:46" ht="15" customHeight="1" x14ac:dyDescent="0.45">
      <c r="A17" s="1170"/>
      <c r="B17" s="944" t="str">
        <f t="shared" si="0"/>
        <v xml:space="preserve"> </v>
      </c>
      <c r="C17" s="921"/>
      <c r="D17" s="921"/>
      <c r="E17" s="922"/>
      <c r="F17" s="922"/>
      <c r="G17" s="916"/>
      <c r="H17" s="917">
        <f t="shared" si="2"/>
        <v>0</v>
      </c>
      <c r="I17" s="916"/>
      <c r="J17" s="917">
        <f t="shared" si="3"/>
        <v>0</v>
      </c>
      <c r="K17" s="916"/>
      <c r="L17" s="917">
        <f t="shared" si="4"/>
        <v>0</v>
      </c>
      <c r="M17" s="950"/>
      <c r="N17" s="951"/>
      <c r="O17" s="951"/>
      <c r="P17" s="951"/>
      <c r="Q17" s="951"/>
      <c r="R17" s="951"/>
      <c r="S17" s="951"/>
      <c r="T17" s="951"/>
      <c r="U17" s="951"/>
      <c r="V17" s="951"/>
      <c r="W17" s="951"/>
      <c r="X17" s="951"/>
      <c r="Y17" s="951"/>
      <c r="Z17" s="951"/>
      <c r="AA17" s="951"/>
      <c r="AB17" s="957">
        <f t="shared" si="1"/>
        <v>0</v>
      </c>
      <c r="AC17" s="44"/>
      <c r="AD17" s="1526" t="s">
        <v>1107</v>
      </c>
      <c r="AE17" s="1526"/>
      <c r="AF17" s="1526"/>
      <c r="AG17" s="1505"/>
      <c r="AH17" s="1505"/>
      <c r="AI17" s="1516"/>
      <c r="AJ17" s="1516"/>
      <c r="AK17" s="1516"/>
      <c r="AL17" s="1516"/>
      <c r="AM17" s="1516"/>
      <c r="AN17" s="1516"/>
      <c r="AO17" s="1516"/>
      <c r="AP17" s="1516"/>
      <c r="AQ17" s="1516"/>
      <c r="AR17" s="1516"/>
      <c r="AS17" s="1516"/>
      <c r="AT17" s="556"/>
    </row>
    <row r="18" spans="1:46" ht="15" customHeight="1" x14ac:dyDescent="0.45">
      <c r="A18" s="1170"/>
      <c r="B18" s="944" t="str">
        <f t="shared" si="0"/>
        <v xml:space="preserve"> </v>
      </c>
      <c r="C18" s="921"/>
      <c r="D18" s="921"/>
      <c r="E18" s="922"/>
      <c r="F18" s="922"/>
      <c r="G18" s="916"/>
      <c r="H18" s="917">
        <f t="shared" si="2"/>
        <v>0</v>
      </c>
      <c r="I18" s="916"/>
      <c r="J18" s="917">
        <f t="shared" si="3"/>
        <v>0</v>
      </c>
      <c r="K18" s="916"/>
      <c r="L18" s="917">
        <f t="shared" si="4"/>
        <v>0</v>
      </c>
      <c r="M18" s="952"/>
      <c r="N18" s="953"/>
      <c r="O18" s="953"/>
      <c r="P18" s="953"/>
      <c r="Q18" s="953"/>
      <c r="R18" s="953"/>
      <c r="S18" s="953"/>
      <c r="T18" s="953"/>
      <c r="U18" s="953"/>
      <c r="V18" s="953"/>
      <c r="W18" s="953"/>
      <c r="X18" s="953"/>
      <c r="Y18" s="953"/>
      <c r="Z18" s="953"/>
      <c r="AA18" s="953"/>
      <c r="AB18" s="957">
        <f t="shared" si="1"/>
        <v>0</v>
      </c>
      <c r="AC18" s="44"/>
      <c r="AD18" s="1526" t="s">
        <v>1107</v>
      </c>
      <c r="AE18" s="1526"/>
      <c r="AF18" s="1526"/>
      <c r="AG18" s="1505"/>
      <c r="AH18" s="1505"/>
      <c r="AI18" s="1516"/>
      <c r="AJ18" s="1516"/>
      <c r="AK18" s="1516"/>
      <c r="AL18" s="1516"/>
      <c r="AM18" s="1516"/>
      <c r="AN18" s="1516"/>
      <c r="AO18" s="1516"/>
      <c r="AP18" s="1516"/>
      <c r="AQ18" s="1516"/>
      <c r="AR18" s="1516"/>
      <c r="AS18" s="1516"/>
      <c r="AT18" s="556"/>
    </row>
    <row r="19" spans="1:46" ht="15" customHeight="1" x14ac:dyDescent="0.45">
      <c r="A19" s="1170"/>
      <c r="B19" s="944" t="str">
        <f t="shared" si="0"/>
        <v xml:space="preserve"> </v>
      </c>
      <c r="C19" s="921"/>
      <c r="D19" s="921"/>
      <c r="E19" s="922"/>
      <c r="F19" s="922"/>
      <c r="G19" s="916"/>
      <c r="H19" s="917">
        <f t="shared" si="2"/>
        <v>0</v>
      </c>
      <c r="I19" s="916"/>
      <c r="J19" s="917">
        <f t="shared" si="3"/>
        <v>0</v>
      </c>
      <c r="K19" s="916"/>
      <c r="L19" s="917">
        <f t="shared" si="4"/>
        <v>0</v>
      </c>
      <c r="M19" s="950"/>
      <c r="N19" s="951"/>
      <c r="O19" s="951"/>
      <c r="P19" s="951"/>
      <c r="Q19" s="951"/>
      <c r="R19" s="951"/>
      <c r="S19" s="951"/>
      <c r="T19" s="951"/>
      <c r="U19" s="951"/>
      <c r="V19" s="951"/>
      <c r="W19" s="951"/>
      <c r="X19" s="951"/>
      <c r="Y19" s="951"/>
      <c r="Z19" s="951"/>
      <c r="AA19" s="951"/>
      <c r="AB19" s="957">
        <f t="shared" si="1"/>
        <v>0</v>
      </c>
      <c r="AC19" s="44"/>
      <c r="AD19" s="1402" t="s">
        <v>11</v>
      </c>
      <c r="AE19" s="1402"/>
      <c r="AF19" s="1402"/>
      <c r="AG19" s="1402"/>
      <c r="AH19" s="1402"/>
      <c r="AI19" s="1402"/>
      <c r="AJ19" s="1402"/>
      <c r="AK19" s="1402"/>
      <c r="AL19" s="1402"/>
      <c r="AM19" s="1402"/>
      <c r="AN19" s="1402"/>
      <c r="AO19" s="1402"/>
      <c r="AP19" s="1402"/>
      <c r="AQ19" s="1402"/>
      <c r="AR19" s="1402"/>
      <c r="AS19" s="1402"/>
      <c r="AT19" s="556"/>
    </row>
    <row r="20" spans="1:46" ht="15" customHeight="1" x14ac:dyDescent="0.45">
      <c r="A20" s="1170"/>
      <c r="B20" s="944" t="str">
        <f t="shared" si="0"/>
        <v xml:space="preserve"> </v>
      </c>
      <c r="C20" s="921"/>
      <c r="D20" s="921"/>
      <c r="E20" s="922"/>
      <c r="F20" s="922"/>
      <c r="G20" s="916"/>
      <c r="H20" s="917">
        <f t="shared" si="2"/>
        <v>0</v>
      </c>
      <c r="I20" s="916"/>
      <c r="J20" s="917">
        <f t="shared" si="3"/>
        <v>0</v>
      </c>
      <c r="K20" s="916"/>
      <c r="L20" s="917">
        <f t="shared" si="4"/>
        <v>0</v>
      </c>
      <c r="M20" s="952"/>
      <c r="N20" s="953"/>
      <c r="O20" s="953"/>
      <c r="P20" s="953"/>
      <c r="Q20" s="953"/>
      <c r="R20" s="953"/>
      <c r="S20" s="953"/>
      <c r="T20" s="953"/>
      <c r="U20" s="953"/>
      <c r="V20" s="953"/>
      <c r="W20" s="953"/>
      <c r="X20" s="953"/>
      <c r="Y20" s="953"/>
      <c r="Z20" s="953"/>
      <c r="AA20" s="953"/>
      <c r="AB20" s="957">
        <f t="shared" si="1"/>
        <v>0</v>
      </c>
      <c r="AC20" s="44"/>
      <c r="AD20" s="1178"/>
      <c r="AE20" s="1179"/>
      <c r="AF20" s="1179"/>
      <c r="AG20" s="1179"/>
      <c r="AH20" s="1179"/>
      <c r="AI20" s="1179"/>
      <c r="AJ20" s="1179"/>
      <c r="AK20" s="1179"/>
      <c r="AL20" s="1179"/>
      <c r="AM20" s="1179"/>
      <c r="AN20" s="1179"/>
      <c r="AO20" s="1179"/>
      <c r="AP20" s="1179"/>
      <c r="AQ20" s="1179"/>
      <c r="AR20" s="1179"/>
      <c r="AS20" s="1180"/>
      <c r="AT20" s="556"/>
    </row>
    <row r="21" spans="1:46" ht="15" customHeight="1" x14ac:dyDescent="0.45">
      <c r="A21" s="1170"/>
      <c r="B21" s="944" t="str">
        <f t="shared" si="0"/>
        <v xml:space="preserve"> </v>
      </c>
      <c r="C21" s="921"/>
      <c r="D21" s="921"/>
      <c r="E21" s="922"/>
      <c r="F21" s="922"/>
      <c r="G21" s="916"/>
      <c r="H21" s="917">
        <f t="shared" si="2"/>
        <v>0</v>
      </c>
      <c r="I21" s="916"/>
      <c r="J21" s="917">
        <f t="shared" si="3"/>
        <v>0</v>
      </c>
      <c r="K21" s="916"/>
      <c r="L21" s="917">
        <f t="shared" si="4"/>
        <v>0</v>
      </c>
      <c r="M21" s="950"/>
      <c r="N21" s="951"/>
      <c r="O21" s="951"/>
      <c r="P21" s="951"/>
      <c r="Q21" s="951"/>
      <c r="R21" s="951"/>
      <c r="S21" s="951"/>
      <c r="T21" s="951"/>
      <c r="U21" s="951"/>
      <c r="V21" s="951"/>
      <c r="W21" s="951"/>
      <c r="X21" s="951"/>
      <c r="Y21" s="951"/>
      <c r="Z21" s="951"/>
      <c r="AA21" s="951"/>
      <c r="AB21" s="957">
        <f t="shared" si="1"/>
        <v>0</v>
      </c>
      <c r="AC21" s="44"/>
      <c r="AD21" s="1181"/>
      <c r="AE21" s="1182"/>
      <c r="AF21" s="1182"/>
      <c r="AG21" s="1182"/>
      <c r="AH21" s="1182"/>
      <c r="AI21" s="1182"/>
      <c r="AJ21" s="1182"/>
      <c r="AK21" s="1182"/>
      <c r="AL21" s="1182"/>
      <c r="AM21" s="1182"/>
      <c r="AN21" s="1182"/>
      <c r="AO21" s="1182"/>
      <c r="AP21" s="1182"/>
      <c r="AQ21" s="1182"/>
      <c r="AR21" s="1182"/>
      <c r="AS21" s="1183"/>
      <c r="AT21" s="556"/>
    </row>
    <row r="22" spans="1:46" ht="15" customHeight="1" x14ac:dyDescent="0.45">
      <c r="A22" s="1170"/>
      <c r="B22" s="944" t="str">
        <f t="shared" si="0"/>
        <v xml:space="preserve"> </v>
      </c>
      <c r="C22" s="921"/>
      <c r="D22" s="921"/>
      <c r="E22" s="922"/>
      <c r="F22" s="922"/>
      <c r="G22" s="916"/>
      <c r="H22" s="917">
        <f t="shared" si="2"/>
        <v>0</v>
      </c>
      <c r="I22" s="916"/>
      <c r="J22" s="917">
        <f t="shared" si="3"/>
        <v>0</v>
      </c>
      <c r="K22" s="916"/>
      <c r="L22" s="917">
        <f t="shared" si="4"/>
        <v>0</v>
      </c>
      <c r="M22" s="952"/>
      <c r="N22" s="953"/>
      <c r="O22" s="953"/>
      <c r="P22" s="953"/>
      <c r="Q22" s="953"/>
      <c r="R22" s="953"/>
      <c r="S22" s="953"/>
      <c r="T22" s="953"/>
      <c r="U22" s="953"/>
      <c r="V22" s="953"/>
      <c r="W22" s="953"/>
      <c r="X22" s="953"/>
      <c r="Y22" s="953"/>
      <c r="Z22" s="953"/>
      <c r="AA22" s="953"/>
      <c r="AB22" s="957">
        <f t="shared" si="1"/>
        <v>0</v>
      </c>
      <c r="AC22" s="44"/>
      <c r="AD22" s="1181"/>
      <c r="AE22" s="1182"/>
      <c r="AF22" s="1182"/>
      <c r="AG22" s="1182"/>
      <c r="AH22" s="1182"/>
      <c r="AI22" s="1182"/>
      <c r="AJ22" s="1182"/>
      <c r="AK22" s="1182"/>
      <c r="AL22" s="1182"/>
      <c r="AM22" s="1182"/>
      <c r="AN22" s="1182"/>
      <c r="AO22" s="1182"/>
      <c r="AP22" s="1182"/>
      <c r="AQ22" s="1182"/>
      <c r="AR22" s="1182"/>
      <c r="AS22" s="1183"/>
      <c r="AT22" s="556"/>
    </row>
    <row r="23" spans="1:46" ht="15" customHeight="1" x14ac:dyDescent="0.45">
      <c r="A23" s="1170"/>
      <c r="B23" s="944" t="str">
        <f t="shared" si="0"/>
        <v xml:space="preserve"> </v>
      </c>
      <c r="C23" s="921"/>
      <c r="D23" s="921"/>
      <c r="E23" s="922"/>
      <c r="F23" s="922"/>
      <c r="G23" s="916"/>
      <c r="H23" s="917">
        <f t="shared" si="2"/>
        <v>0</v>
      </c>
      <c r="I23" s="916"/>
      <c r="J23" s="917">
        <f t="shared" si="3"/>
        <v>0</v>
      </c>
      <c r="K23" s="916"/>
      <c r="L23" s="917">
        <f t="shared" si="4"/>
        <v>0</v>
      </c>
      <c r="M23" s="950"/>
      <c r="N23" s="951"/>
      <c r="O23" s="951"/>
      <c r="P23" s="951"/>
      <c r="Q23" s="951"/>
      <c r="R23" s="951"/>
      <c r="S23" s="951"/>
      <c r="T23" s="951"/>
      <c r="U23" s="951"/>
      <c r="V23" s="951"/>
      <c r="W23" s="951"/>
      <c r="X23" s="951"/>
      <c r="Y23" s="951"/>
      <c r="Z23" s="951"/>
      <c r="AA23" s="951"/>
      <c r="AB23" s="957">
        <f t="shared" si="1"/>
        <v>0</v>
      </c>
      <c r="AC23" s="44"/>
      <c r="AD23" s="1181"/>
      <c r="AE23" s="1182"/>
      <c r="AF23" s="1182"/>
      <c r="AG23" s="1184"/>
      <c r="AH23" s="1184"/>
      <c r="AI23" s="1182"/>
      <c r="AJ23" s="1182"/>
      <c r="AK23" s="1182"/>
      <c r="AL23" s="1182"/>
      <c r="AM23" s="1182"/>
      <c r="AN23" s="1182"/>
      <c r="AO23" s="1182"/>
      <c r="AP23" s="1182"/>
      <c r="AQ23" s="1182"/>
      <c r="AR23" s="1182"/>
      <c r="AS23" s="1183"/>
      <c r="AT23" s="556"/>
    </row>
    <row r="24" spans="1:46" ht="15" customHeight="1" x14ac:dyDescent="0.45">
      <c r="A24" s="1170"/>
      <c r="B24" s="944" t="str">
        <f t="shared" si="0"/>
        <v xml:space="preserve"> </v>
      </c>
      <c r="C24" s="921"/>
      <c r="D24" s="921"/>
      <c r="E24" s="922"/>
      <c r="F24" s="922"/>
      <c r="G24" s="916"/>
      <c r="H24" s="917">
        <f t="shared" si="2"/>
        <v>0</v>
      </c>
      <c r="I24" s="916"/>
      <c r="J24" s="917">
        <f t="shared" si="3"/>
        <v>0</v>
      </c>
      <c r="K24" s="916"/>
      <c r="L24" s="917">
        <f t="shared" si="4"/>
        <v>0</v>
      </c>
      <c r="M24" s="952"/>
      <c r="N24" s="953"/>
      <c r="O24" s="953"/>
      <c r="P24" s="953"/>
      <c r="Q24" s="953"/>
      <c r="R24" s="953"/>
      <c r="S24" s="953"/>
      <c r="T24" s="953"/>
      <c r="U24" s="953"/>
      <c r="V24" s="953"/>
      <c r="W24" s="953"/>
      <c r="X24" s="953"/>
      <c r="Y24" s="953"/>
      <c r="Z24" s="953"/>
      <c r="AA24" s="953"/>
      <c r="AB24" s="957">
        <f t="shared" si="1"/>
        <v>0</v>
      </c>
      <c r="AC24" s="44"/>
      <c r="AD24" s="1181"/>
      <c r="AE24" s="1182"/>
      <c r="AF24" s="1184"/>
      <c r="AG24" s="1184"/>
      <c r="AH24" s="1184"/>
      <c r="AI24" s="1184"/>
      <c r="AJ24" s="1184"/>
      <c r="AK24" s="1184"/>
      <c r="AL24" s="1184"/>
      <c r="AM24" s="1184"/>
      <c r="AN24" s="1184"/>
      <c r="AO24" s="1184"/>
      <c r="AP24" s="1184"/>
      <c r="AQ24" s="1182"/>
      <c r="AR24" s="1182"/>
      <c r="AS24" s="1183"/>
      <c r="AT24" s="556"/>
    </row>
    <row r="25" spans="1:46" ht="15" customHeight="1" x14ac:dyDescent="0.45">
      <c r="A25" s="1170"/>
      <c r="B25" s="944" t="str">
        <f t="shared" si="0"/>
        <v xml:space="preserve"> </v>
      </c>
      <c r="C25" s="921"/>
      <c r="D25" s="921"/>
      <c r="E25" s="923"/>
      <c r="F25" s="922"/>
      <c r="G25" s="916"/>
      <c r="H25" s="917">
        <f t="shared" si="2"/>
        <v>0</v>
      </c>
      <c r="I25" s="916"/>
      <c r="J25" s="917">
        <f t="shared" si="3"/>
        <v>0</v>
      </c>
      <c r="K25" s="916"/>
      <c r="L25" s="917">
        <f t="shared" si="4"/>
        <v>0</v>
      </c>
      <c r="M25" s="950"/>
      <c r="N25" s="951"/>
      <c r="O25" s="951"/>
      <c r="P25" s="951"/>
      <c r="Q25" s="951"/>
      <c r="R25" s="951"/>
      <c r="S25" s="951"/>
      <c r="T25" s="951"/>
      <c r="U25" s="951"/>
      <c r="V25" s="951"/>
      <c r="W25" s="951"/>
      <c r="X25" s="951"/>
      <c r="Y25" s="951"/>
      <c r="Z25" s="951"/>
      <c r="AA25" s="951"/>
      <c r="AB25" s="957">
        <f t="shared" si="1"/>
        <v>0</v>
      </c>
      <c r="AC25" s="44"/>
      <c r="AD25" s="1181"/>
      <c r="AE25" s="1182"/>
      <c r="AF25" s="1184"/>
      <c r="AG25" s="1184"/>
      <c r="AH25" s="1184"/>
      <c r="AI25" s="1184"/>
      <c r="AJ25" s="1184"/>
      <c r="AK25" s="1184"/>
      <c r="AL25" s="1184"/>
      <c r="AM25" s="1184"/>
      <c r="AN25" s="1184"/>
      <c r="AO25" s="1184"/>
      <c r="AP25" s="1184"/>
      <c r="AQ25" s="1182"/>
      <c r="AR25" s="1182"/>
      <c r="AS25" s="1183"/>
      <c r="AT25" s="556"/>
    </row>
    <row r="26" spans="1:46" ht="15" customHeight="1" x14ac:dyDescent="0.45">
      <c r="A26" s="1170"/>
      <c r="B26" s="944" t="str">
        <f t="shared" si="0"/>
        <v xml:space="preserve"> </v>
      </c>
      <c r="C26" s="921"/>
      <c r="D26" s="921"/>
      <c r="E26" s="923"/>
      <c r="F26" s="922"/>
      <c r="G26" s="916"/>
      <c r="H26" s="917">
        <f t="shared" si="2"/>
        <v>0</v>
      </c>
      <c r="I26" s="916"/>
      <c r="J26" s="917">
        <f t="shared" si="3"/>
        <v>0</v>
      </c>
      <c r="K26" s="916"/>
      <c r="L26" s="917">
        <f t="shared" si="4"/>
        <v>0</v>
      </c>
      <c r="M26" s="952"/>
      <c r="N26" s="953"/>
      <c r="O26" s="953"/>
      <c r="P26" s="953"/>
      <c r="Q26" s="953"/>
      <c r="R26" s="953"/>
      <c r="S26" s="953"/>
      <c r="T26" s="953"/>
      <c r="U26" s="953"/>
      <c r="V26" s="953"/>
      <c r="W26" s="953"/>
      <c r="X26" s="953"/>
      <c r="Y26" s="953"/>
      <c r="Z26" s="953"/>
      <c r="AA26" s="953"/>
      <c r="AB26" s="957">
        <f t="shared" si="1"/>
        <v>0</v>
      </c>
      <c r="AC26" s="44"/>
      <c r="AD26" s="1181"/>
      <c r="AE26" s="1182"/>
      <c r="AF26" s="1184"/>
      <c r="AG26" s="1184"/>
      <c r="AH26" s="1184"/>
      <c r="AI26" s="1184"/>
      <c r="AJ26" s="1184"/>
      <c r="AK26" s="1184"/>
      <c r="AL26" s="1184"/>
      <c r="AM26" s="1184"/>
      <c r="AN26" s="1184"/>
      <c r="AO26" s="1184"/>
      <c r="AP26" s="1184"/>
      <c r="AQ26" s="1182"/>
      <c r="AR26" s="1182"/>
      <c r="AS26" s="1183"/>
      <c r="AT26" s="556"/>
    </row>
    <row r="27" spans="1:46" ht="15" customHeight="1" x14ac:dyDescent="0.45">
      <c r="A27" s="1170"/>
      <c r="B27" s="944" t="str">
        <f t="shared" si="0"/>
        <v xml:space="preserve"> </v>
      </c>
      <c r="C27" s="921"/>
      <c r="D27" s="921"/>
      <c r="E27" s="923"/>
      <c r="F27" s="922"/>
      <c r="G27" s="916"/>
      <c r="H27" s="917">
        <f t="shared" si="2"/>
        <v>0</v>
      </c>
      <c r="I27" s="916"/>
      <c r="J27" s="917">
        <f t="shared" si="3"/>
        <v>0</v>
      </c>
      <c r="K27" s="916"/>
      <c r="L27" s="917">
        <f t="shared" si="4"/>
        <v>0</v>
      </c>
      <c r="M27" s="950"/>
      <c r="N27" s="951"/>
      <c r="O27" s="951"/>
      <c r="P27" s="951"/>
      <c r="Q27" s="951"/>
      <c r="R27" s="951"/>
      <c r="S27" s="951"/>
      <c r="T27" s="951"/>
      <c r="U27" s="951"/>
      <c r="V27" s="951"/>
      <c r="W27" s="951"/>
      <c r="X27" s="951"/>
      <c r="Y27" s="951"/>
      <c r="Z27" s="951"/>
      <c r="AA27" s="951"/>
      <c r="AB27" s="957">
        <f t="shared" si="1"/>
        <v>0</v>
      </c>
      <c r="AC27" s="44"/>
      <c r="AD27" s="1181"/>
      <c r="AE27" s="1182"/>
      <c r="AF27" s="1184"/>
      <c r="AG27" s="1184"/>
      <c r="AH27" s="1184"/>
      <c r="AI27" s="1184"/>
      <c r="AJ27" s="1184"/>
      <c r="AK27" s="1184"/>
      <c r="AL27" s="1184"/>
      <c r="AM27" s="1184"/>
      <c r="AN27" s="1184"/>
      <c r="AO27" s="1184"/>
      <c r="AP27" s="1184"/>
      <c r="AQ27" s="1182"/>
      <c r="AR27" s="1182"/>
      <c r="AS27" s="1183"/>
      <c r="AT27" s="556"/>
    </row>
    <row r="28" spans="1:46" ht="15" customHeight="1" x14ac:dyDescent="0.45">
      <c r="A28" s="1170"/>
      <c r="B28" s="944" t="str">
        <f t="shared" ref="B28:B56" si="5">IF(A28&gt;0,"x"," ")</f>
        <v xml:space="preserve"> </v>
      </c>
      <c r="C28" s="921"/>
      <c r="D28" s="921"/>
      <c r="E28" s="923"/>
      <c r="F28" s="922"/>
      <c r="G28" s="916"/>
      <c r="H28" s="917">
        <f t="shared" si="2"/>
        <v>0</v>
      </c>
      <c r="I28" s="916"/>
      <c r="J28" s="917">
        <f t="shared" si="3"/>
        <v>0</v>
      </c>
      <c r="K28" s="916"/>
      <c r="L28" s="917">
        <f t="shared" si="4"/>
        <v>0</v>
      </c>
      <c r="M28" s="952"/>
      <c r="N28" s="953"/>
      <c r="O28" s="953"/>
      <c r="P28" s="953"/>
      <c r="Q28" s="953"/>
      <c r="R28" s="953"/>
      <c r="S28" s="953"/>
      <c r="T28" s="953"/>
      <c r="U28" s="953"/>
      <c r="V28" s="953"/>
      <c r="W28" s="953"/>
      <c r="X28" s="953"/>
      <c r="Y28" s="953"/>
      <c r="Z28" s="953"/>
      <c r="AA28" s="953"/>
      <c r="AB28" s="957">
        <f t="shared" si="1"/>
        <v>0</v>
      </c>
      <c r="AC28" s="44"/>
      <c r="AD28" s="1181"/>
      <c r="AE28" s="1182"/>
      <c r="AF28" s="1184"/>
      <c r="AG28" s="1184"/>
      <c r="AH28" s="1184"/>
      <c r="AI28" s="1184"/>
      <c r="AJ28" s="1184"/>
      <c r="AK28" s="1184"/>
      <c r="AL28" s="1184"/>
      <c r="AM28" s="1184"/>
      <c r="AN28" s="1184"/>
      <c r="AO28" s="1184"/>
      <c r="AP28" s="1184"/>
      <c r="AQ28" s="1182"/>
      <c r="AR28" s="1182"/>
      <c r="AS28" s="1183"/>
      <c r="AT28" s="556"/>
    </row>
    <row r="29" spans="1:46" ht="15" customHeight="1" x14ac:dyDescent="0.45">
      <c r="A29" s="1170"/>
      <c r="B29" s="944" t="str">
        <f t="shared" si="5"/>
        <v xml:space="preserve"> </v>
      </c>
      <c r="C29" s="921"/>
      <c r="D29" s="921"/>
      <c r="E29" s="923"/>
      <c r="F29" s="922"/>
      <c r="G29" s="916"/>
      <c r="H29" s="917">
        <f t="shared" si="2"/>
        <v>0</v>
      </c>
      <c r="I29" s="916"/>
      <c r="J29" s="917">
        <f t="shared" si="3"/>
        <v>0</v>
      </c>
      <c r="K29" s="916"/>
      <c r="L29" s="917">
        <f t="shared" si="4"/>
        <v>0</v>
      </c>
      <c r="M29" s="950"/>
      <c r="N29" s="951"/>
      <c r="O29" s="951"/>
      <c r="P29" s="951"/>
      <c r="Q29" s="951"/>
      <c r="R29" s="951"/>
      <c r="S29" s="951"/>
      <c r="T29" s="951"/>
      <c r="U29" s="951"/>
      <c r="V29" s="951"/>
      <c r="W29" s="951"/>
      <c r="X29" s="951"/>
      <c r="Y29" s="951"/>
      <c r="Z29" s="951"/>
      <c r="AA29" s="951"/>
      <c r="AB29" s="957">
        <f t="shared" si="1"/>
        <v>0</v>
      </c>
      <c r="AC29" s="44"/>
      <c r="AD29" s="1181"/>
      <c r="AE29" s="1182"/>
      <c r="AF29" s="1184"/>
      <c r="AG29" s="1184"/>
      <c r="AH29" s="1184"/>
      <c r="AI29" s="1184"/>
      <c r="AJ29" s="1184"/>
      <c r="AK29" s="1184"/>
      <c r="AL29" s="1184"/>
      <c r="AM29" s="1184"/>
      <c r="AN29" s="1184"/>
      <c r="AO29" s="1184"/>
      <c r="AP29" s="1184"/>
      <c r="AQ29" s="1182"/>
      <c r="AR29" s="1182"/>
      <c r="AS29" s="1183"/>
      <c r="AT29" s="556"/>
    </row>
    <row r="30" spans="1:46" ht="15" customHeight="1" x14ac:dyDescent="0.45">
      <c r="A30" s="1170"/>
      <c r="B30" s="944" t="str">
        <f t="shared" si="5"/>
        <v xml:space="preserve"> </v>
      </c>
      <c r="C30" s="921"/>
      <c r="D30" s="921"/>
      <c r="E30" s="923"/>
      <c r="F30" s="922"/>
      <c r="G30" s="916"/>
      <c r="H30" s="917">
        <f t="shared" si="2"/>
        <v>0</v>
      </c>
      <c r="I30" s="916"/>
      <c r="J30" s="917">
        <f t="shared" si="3"/>
        <v>0</v>
      </c>
      <c r="K30" s="916"/>
      <c r="L30" s="917">
        <f t="shared" si="4"/>
        <v>0</v>
      </c>
      <c r="M30" s="952"/>
      <c r="N30" s="953"/>
      <c r="O30" s="953"/>
      <c r="P30" s="953"/>
      <c r="Q30" s="953"/>
      <c r="R30" s="953"/>
      <c r="S30" s="953"/>
      <c r="T30" s="953"/>
      <c r="U30" s="953"/>
      <c r="V30" s="953"/>
      <c r="W30" s="953"/>
      <c r="X30" s="953"/>
      <c r="Y30" s="953"/>
      <c r="Z30" s="953"/>
      <c r="AA30" s="953"/>
      <c r="AB30" s="957">
        <f t="shared" si="1"/>
        <v>0</v>
      </c>
      <c r="AC30" s="44"/>
      <c r="AD30" s="1181"/>
      <c r="AE30" s="1182"/>
      <c r="AF30" s="1184"/>
      <c r="AG30" s="1184"/>
      <c r="AH30" s="1184"/>
      <c r="AI30" s="1184"/>
      <c r="AJ30" s="1184"/>
      <c r="AK30" s="1184"/>
      <c r="AL30" s="1184"/>
      <c r="AM30" s="1184"/>
      <c r="AN30" s="1184"/>
      <c r="AO30" s="1184"/>
      <c r="AP30" s="1184"/>
      <c r="AQ30" s="1182"/>
      <c r="AR30" s="1182"/>
      <c r="AS30" s="1183"/>
      <c r="AT30" s="556"/>
    </row>
    <row r="31" spans="1:46" ht="15" customHeight="1" x14ac:dyDescent="0.45">
      <c r="A31" s="1170"/>
      <c r="B31" s="944" t="str">
        <f t="shared" si="5"/>
        <v xml:space="preserve"> </v>
      </c>
      <c r="C31" s="921"/>
      <c r="D31" s="921"/>
      <c r="E31" s="923"/>
      <c r="F31" s="922"/>
      <c r="G31" s="916"/>
      <c r="H31" s="917">
        <f t="shared" si="2"/>
        <v>0</v>
      </c>
      <c r="I31" s="916"/>
      <c r="J31" s="917">
        <f t="shared" si="3"/>
        <v>0</v>
      </c>
      <c r="K31" s="916"/>
      <c r="L31" s="917">
        <f t="shared" si="4"/>
        <v>0</v>
      </c>
      <c r="M31" s="950"/>
      <c r="N31" s="951"/>
      <c r="O31" s="951"/>
      <c r="P31" s="951"/>
      <c r="Q31" s="951"/>
      <c r="R31" s="951"/>
      <c r="S31" s="951"/>
      <c r="T31" s="951"/>
      <c r="U31" s="951"/>
      <c r="V31" s="951"/>
      <c r="W31" s="951"/>
      <c r="X31" s="951"/>
      <c r="Y31" s="951"/>
      <c r="Z31" s="951"/>
      <c r="AA31" s="951"/>
      <c r="AB31" s="957">
        <f t="shared" si="1"/>
        <v>0</v>
      </c>
      <c r="AC31" s="44"/>
      <c r="AD31" s="1181"/>
      <c r="AE31" s="1182"/>
      <c r="AF31" s="1184"/>
      <c r="AG31" s="1184"/>
      <c r="AH31" s="1184"/>
      <c r="AI31" s="1184"/>
      <c r="AJ31" s="1184"/>
      <c r="AK31" s="1184"/>
      <c r="AL31" s="1184"/>
      <c r="AM31" s="1184"/>
      <c r="AN31" s="1184"/>
      <c r="AO31" s="1184"/>
      <c r="AP31" s="1184"/>
      <c r="AQ31" s="1182"/>
      <c r="AR31" s="1182"/>
      <c r="AS31" s="1183"/>
      <c r="AT31" s="556"/>
    </row>
    <row r="32" spans="1:46" ht="15" customHeight="1" x14ac:dyDescent="0.45">
      <c r="A32" s="1170"/>
      <c r="B32" s="944" t="str">
        <f t="shared" si="5"/>
        <v xml:space="preserve"> </v>
      </c>
      <c r="C32" s="921"/>
      <c r="D32" s="921"/>
      <c r="E32" s="923"/>
      <c r="F32" s="922"/>
      <c r="G32" s="916"/>
      <c r="H32" s="917">
        <f t="shared" si="2"/>
        <v>0</v>
      </c>
      <c r="I32" s="916"/>
      <c r="J32" s="917">
        <f t="shared" si="3"/>
        <v>0</v>
      </c>
      <c r="K32" s="916"/>
      <c r="L32" s="917">
        <f t="shared" si="4"/>
        <v>0</v>
      </c>
      <c r="M32" s="952"/>
      <c r="N32" s="953"/>
      <c r="O32" s="953"/>
      <c r="P32" s="953"/>
      <c r="Q32" s="953"/>
      <c r="R32" s="953"/>
      <c r="S32" s="953"/>
      <c r="T32" s="953"/>
      <c r="U32" s="953"/>
      <c r="V32" s="953"/>
      <c r="W32" s="953"/>
      <c r="X32" s="953"/>
      <c r="Y32" s="953"/>
      <c r="Z32" s="953"/>
      <c r="AA32" s="953"/>
      <c r="AB32" s="957">
        <f t="shared" si="1"/>
        <v>0</v>
      </c>
      <c r="AC32" s="44"/>
      <c r="AD32" s="1181"/>
      <c r="AE32" s="1182"/>
      <c r="AF32" s="1182"/>
      <c r="AG32" s="1182"/>
      <c r="AH32" s="1182"/>
      <c r="AI32" s="1182"/>
      <c r="AJ32" s="1182"/>
      <c r="AK32" s="1182"/>
      <c r="AL32" s="1182"/>
      <c r="AM32" s="1182"/>
      <c r="AN32" s="1182"/>
      <c r="AO32" s="1182"/>
      <c r="AP32" s="1182"/>
      <c r="AQ32" s="1182"/>
      <c r="AR32" s="1182"/>
      <c r="AS32" s="1183"/>
      <c r="AT32" s="556"/>
    </row>
    <row r="33" spans="1:46" ht="15" customHeight="1" x14ac:dyDescent="0.45">
      <c r="A33" s="1170"/>
      <c r="B33" s="944" t="str">
        <f t="shared" si="5"/>
        <v xml:space="preserve"> </v>
      </c>
      <c r="C33" s="921"/>
      <c r="D33" s="921"/>
      <c r="E33" s="923"/>
      <c r="F33" s="922"/>
      <c r="G33" s="935"/>
      <c r="H33" s="917">
        <f t="shared" si="2"/>
        <v>0</v>
      </c>
      <c r="I33" s="935"/>
      <c r="J33" s="917">
        <f t="shared" si="3"/>
        <v>0</v>
      </c>
      <c r="K33" s="935"/>
      <c r="L33" s="917">
        <f t="shared" si="4"/>
        <v>0</v>
      </c>
      <c r="M33" s="950"/>
      <c r="N33" s="951"/>
      <c r="O33" s="951"/>
      <c r="P33" s="951"/>
      <c r="Q33" s="951"/>
      <c r="R33" s="951"/>
      <c r="S33" s="951"/>
      <c r="T33" s="951"/>
      <c r="U33" s="951"/>
      <c r="V33" s="951"/>
      <c r="W33" s="951"/>
      <c r="X33" s="951"/>
      <c r="Y33" s="951"/>
      <c r="Z33" s="951"/>
      <c r="AA33" s="951"/>
      <c r="AB33" s="957">
        <f t="shared" si="1"/>
        <v>0</v>
      </c>
      <c r="AC33" s="44"/>
      <c r="AD33" s="1181"/>
      <c r="AE33" s="1182"/>
      <c r="AF33" s="1182"/>
      <c r="AG33" s="1182"/>
      <c r="AH33" s="1182"/>
      <c r="AI33" s="1182"/>
      <c r="AJ33" s="1182"/>
      <c r="AK33" s="1182"/>
      <c r="AL33" s="1182"/>
      <c r="AM33" s="1182"/>
      <c r="AN33" s="1182"/>
      <c r="AO33" s="1182"/>
      <c r="AP33" s="1182"/>
      <c r="AQ33" s="1182"/>
      <c r="AR33" s="1182"/>
      <c r="AS33" s="1183"/>
      <c r="AT33" s="556"/>
    </row>
    <row r="34" spans="1:46" ht="15" customHeight="1" x14ac:dyDescent="0.45">
      <c r="A34" s="1170"/>
      <c r="B34" s="944" t="str">
        <f t="shared" si="5"/>
        <v xml:space="preserve"> </v>
      </c>
      <c r="C34" s="921"/>
      <c r="D34" s="921"/>
      <c r="E34" s="923"/>
      <c r="F34" s="922"/>
      <c r="G34" s="916"/>
      <c r="H34" s="917">
        <f t="shared" si="2"/>
        <v>0</v>
      </c>
      <c r="I34" s="916"/>
      <c r="J34" s="917">
        <f t="shared" si="3"/>
        <v>0</v>
      </c>
      <c r="K34" s="916"/>
      <c r="L34" s="917">
        <f t="shared" si="4"/>
        <v>0</v>
      </c>
      <c r="M34" s="952"/>
      <c r="N34" s="953"/>
      <c r="O34" s="953"/>
      <c r="P34" s="953"/>
      <c r="Q34" s="953"/>
      <c r="R34" s="953"/>
      <c r="S34" s="953"/>
      <c r="T34" s="953"/>
      <c r="U34" s="953"/>
      <c r="V34" s="953"/>
      <c r="W34" s="953"/>
      <c r="X34" s="953"/>
      <c r="Y34" s="953"/>
      <c r="Z34" s="953"/>
      <c r="AA34" s="953"/>
      <c r="AB34" s="957">
        <f t="shared" si="1"/>
        <v>0</v>
      </c>
      <c r="AC34" s="44"/>
      <c r="AD34" s="1181"/>
      <c r="AE34" s="1182"/>
      <c r="AF34" s="1182"/>
      <c r="AG34" s="1182"/>
      <c r="AH34" s="1182"/>
      <c r="AI34" s="1182"/>
      <c r="AJ34" s="1182"/>
      <c r="AK34" s="1182"/>
      <c r="AL34" s="1182"/>
      <c r="AM34" s="1182"/>
      <c r="AN34" s="1182"/>
      <c r="AO34" s="1182"/>
      <c r="AP34" s="1182"/>
      <c r="AQ34" s="1182"/>
      <c r="AR34" s="1182"/>
      <c r="AS34" s="1183"/>
      <c r="AT34" s="556"/>
    </row>
    <row r="35" spans="1:46" ht="15" customHeight="1" x14ac:dyDescent="0.45">
      <c r="A35" s="1170"/>
      <c r="B35" s="944" t="str">
        <f t="shared" si="5"/>
        <v xml:space="preserve"> </v>
      </c>
      <c r="C35" s="921"/>
      <c r="D35" s="921"/>
      <c r="E35" s="923"/>
      <c r="F35" s="922"/>
      <c r="G35" s="916"/>
      <c r="H35" s="917">
        <f t="shared" si="2"/>
        <v>0</v>
      </c>
      <c r="I35" s="916"/>
      <c r="J35" s="917">
        <f t="shared" si="3"/>
        <v>0</v>
      </c>
      <c r="K35" s="916"/>
      <c r="L35" s="917">
        <f t="shared" si="4"/>
        <v>0</v>
      </c>
      <c r="M35" s="950"/>
      <c r="N35" s="951"/>
      <c r="O35" s="951"/>
      <c r="P35" s="951"/>
      <c r="Q35" s="951"/>
      <c r="R35" s="951"/>
      <c r="S35" s="951"/>
      <c r="T35" s="951"/>
      <c r="U35" s="951"/>
      <c r="V35" s="951"/>
      <c r="W35" s="951"/>
      <c r="X35" s="951"/>
      <c r="Y35" s="951"/>
      <c r="Z35" s="951"/>
      <c r="AA35" s="954"/>
      <c r="AB35" s="957">
        <f t="shared" si="1"/>
        <v>0</v>
      </c>
      <c r="AC35" s="44"/>
      <c r="AD35" s="1181"/>
      <c r="AE35" s="1182"/>
      <c r="AF35" s="1182"/>
      <c r="AG35" s="1182"/>
      <c r="AH35" s="1182"/>
      <c r="AI35" s="1182"/>
      <c r="AJ35" s="1182"/>
      <c r="AK35" s="1182"/>
      <c r="AL35" s="1182"/>
      <c r="AM35" s="1182"/>
      <c r="AN35" s="1182"/>
      <c r="AO35" s="1182"/>
      <c r="AP35" s="1182"/>
      <c r="AQ35" s="1182"/>
      <c r="AR35" s="1182"/>
      <c r="AS35" s="1183"/>
      <c r="AT35" s="556"/>
    </row>
    <row r="36" spans="1:46" ht="15" customHeight="1" x14ac:dyDescent="0.45">
      <c r="A36" s="1170"/>
      <c r="B36" s="944" t="str">
        <f t="shared" si="5"/>
        <v xml:space="preserve"> </v>
      </c>
      <c r="C36" s="921"/>
      <c r="D36" s="921"/>
      <c r="E36" s="923"/>
      <c r="F36" s="922"/>
      <c r="G36" s="916"/>
      <c r="H36" s="917">
        <f t="shared" si="2"/>
        <v>0</v>
      </c>
      <c r="I36" s="916"/>
      <c r="J36" s="917">
        <f t="shared" si="3"/>
        <v>0</v>
      </c>
      <c r="K36" s="916"/>
      <c r="L36" s="917">
        <f t="shared" si="4"/>
        <v>0</v>
      </c>
      <c r="M36" s="952"/>
      <c r="N36" s="953"/>
      <c r="O36" s="953"/>
      <c r="P36" s="953"/>
      <c r="Q36" s="953"/>
      <c r="R36" s="953"/>
      <c r="S36" s="953"/>
      <c r="T36" s="953"/>
      <c r="U36" s="953"/>
      <c r="V36" s="953"/>
      <c r="W36" s="953"/>
      <c r="X36" s="953"/>
      <c r="Y36" s="953"/>
      <c r="Z36" s="953"/>
      <c r="AA36" s="953"/>
      <c r="AB36" s="957">
        <f t="shared" si="1"/>
        <v>0</v>
      </c>
      <c r="AC36" s="44"/>
      <c r="AD36" s="1181"/>
      <c r="AE36" s="1182"/>
      <c r="AF36" s="1182"/>
      <c r="AG36" s="1182"/>
      <c r="AH36" s="1182"/>
      <c r="AI36" s="1182"/>
      <c r="AJ36" s="1182"/>
      <c r="AK36" s="1182"/>
      <c r="AL36" s="1182"/>
      <c r="AM36" s="1182"/>
      <c r="AN36" s="1182"/>
      <c r="AO36" s="1182"/>
      <c r="AP36" s="1182"/>
      <c r="AQ36" s="1182"/>
      <c r="AR36" s="1182"/>
      <c r="AS36" s="1183"/>
      <c r="AT36" s="556"/>
    </row>
    <row r="37" spans="1:46" ht="15" customHeight="1" x14ac:dyDescent="0.45">
      <c r="A37" s="1170"/>
      <c r="B37" s="944" t="str">
        <f t="shared" si="5"/>
        <v xml:space="preserve"> </v>
      </c>
      <c r="C37" s="921"/>
      <c r="D37" s="921"/>
      <c r="E37" s="923"/>
      <c r="F37" s="922"/>
      <c r="G37" s="916"/>
      <c r="H37" s="917">
        <f t="shared" si="2"/>
        <v>0</v>
      </c>
      <c r="I37" s="916"/>
      <c r="J37" s="917">
        <f t="shared" si="3"/>
        <v>0</v>
      </c>
      <c r="K37" s="916"/>
      <c r="L37" s="917">
        <f t="shared" si="4"/>
        <v>0</v>
      </c>
      <c r="M37" s="950"/>
      <c r="N37" s="951"/>
      <c r="O37" s="951"/>
      <c r="P37" s="951"/>
      <c r="Q37" s="951"/>
      <c r="R37" s="951"/>
      <c r="S37" s="951"/>
      <c r="T37" s="951"/>
      <c r="U37" s="951"/>
      <c r="V37" s="951"/>
      <c r="W37" s="951"/>
      <c r="X37" s="951"/>
      <c r="Y37" s="951"/>
      <c r="Z37" s="951"/>
      <c r="AA37" s="954"/>
      <c r="AB37" s="957">
        <f t="shared" si="1"/>
        <v>0</v>
      </c>
      <c r="AC37" s="44"/>
      <c r="AD37" s="1181"/>
      <c r="AE37" s="1182"/>
      <c r="AF37" s="1182"/>
      <c r="AG37" s="1182"/>
      <c r="AH37" s="1182"/>
      <c r="AI37" s="1182"/>
      <c r="AJ37" s="1182"/>
      <c r="AK37" s="1182"/>
      <c r="AL37" s="1182"/>
      <c r="AM37" s="1182"/>
      <c r="AN37" s="1182"/>
      <c r="AO37" s="1182"/>
      <c r="AP37" s="1182"/>
      <c r="AQ37" s="1182"/>
      <c r="AR37" s="1182"/>
      <c r="AS37" s="1183"/>
      <c r="AT37" s="556"/>
    </row>
    <row r="38" spans="1:46" ht="15" customHeight="1" x14ac:dyDescent="0.45">
      <c r="A38" s="1170"/>
      <c r="B38" s="944" t="str">
        <f t="shared" si="5"/>
        <v xml:space="preserve"> </v>
      </c>
      <c r="C38" s="921"/>
      <c r="D38" s="921"/>
      <c r="E38" s="923"/>
      <c r="F38" s="922"/>
      <c r="G38" s="916"/>
      <c r="H38" s="917">
        <f t="shared" si="2"/>
        <v>0</v>
      </c>
      <c r="I38" s="916"/>
      <c r="J38" s="917">
        <f t="shared" si="3"/>
        <v>0</v>
      </c>
      <c r="K38" s="916"/>
      <c r="L38" s="917">
        <f t="shared" si="4"/>
        <v>0</v>
      </c>
      <c r="M38" s="955"/>
      <c r="N38" s="956"/>
      <c r="O38" s="956"/>
      <c r="P38" s="956"/>
      <c r="Q38" s="956"/>
      <c r="R38" s="956"/>
      <c r="S38" s="956"/>
      <c r="T38" s="956"/>
      <c r="U38" s="956"/>
      <c r="V38" s="956"/>
      <c r="W38" s="956"/>
      <c r="X38" s="956"/>
      <c r="Y38" s="956"/>
      <c r="Z38" s="956"/>
      <c r="AA38" s="956"/>
      <c r="AB38" s="957">
        <f t="shared" si="1"/>
        <v>0</v>
      </c>
      <c r="AC38" s="44"/>
      <c r="AD38" s="1181"/>
      <c r="AE38" s="1182"/>
      <c r="AF38" s="1182"/>
      <c r="AG38" s="1182"/>
      <c r="AH38" s="1182"/>
      <c r="AI38" s="1182"/>
      <c r="AJ38" s="1182"/>
      <c r="AK38" s="1182"/>
      <c r="AL38" s="1182"/>
      <c r="AM38" s="1182"/>
      <c r="AN38" s="1182"/>
      <c r="AO38" s="1182"/>
      <c r="AP38" s="1182"/>
      <c r="AQ38" s="1182"/>
      <c r="AR38" s="1182"/>
      <c r="AS38" s="1183"/>
      <c r="AT38" s="556"/>
    </row>
    <row r="39" spans="1:46" ht="15" customHeight="1" x14ac:dyDescent="0.45">
      <c r="A39" s="1170"/>
      <c r="B39" s="944" t="str">
        <f t="shared" si="5"/>
        <v xml:space="preserve"> </v>
      </c>
      <c r="C39" s="921"/>
      <c r="D39" s="921"/>
      <c r="E39" s="923"/>
      <c r="F39" s="922"/>
      <c r="G39" s="916"/>
      <c r="H39" s="917">
        <f t="shared" si="2"/>
        <v>0</v>
      </c>
      <c r="I39" s="916"/>
      <c r="J39" s="917">
        <f t="shared" si="3"/>
        <v>0</v>
      </c>
      <c r="K39" s="916"/>
      <c r="L39" s="917">
        <f t="shared" si="4"/>
        <v>0</v>
      </c>
      <c r="M39" s="955"/>
      <c r="N39" s="956"/>
      <c r="O39" s="956"/>
      <c r="P39" s="956"/>
      <c r="Q39" s="956"/>
      <c r="R39" s="956"/>
      <c r="S39" s="956"/>
      <c r="T39" s="956"/>
      <c r="U39" s="956"/>
      <c r="V39" s="956"/>
      <c r="W39" s="956"/>
      <c r="X39" s="956"/>
      <c r="Y39" s="956"/>
      <c r="Z39" s="956"/>
      <c r="AA39" s="956"/>
      <c r="AB39" s="957">
        <f t="shared" si="1"/>
        <v>0</v>
      </c>
      <c r="AC39" s="562"/>
      <c r="AD39" s="1181"/>
      <c r="AE39" s="1182"/>
      <c r="AF39" s="1182"/>
      <c r="AG39" s="1182"/>
      <c r="AH39" s="1182"/>
      <c r="AI39" s="1182"/>
      <c r="AJ39" s="1182"/>
      <c r="AK39" s="1182"/>
      <c r="AL39" s="1182"/>
      <c r="AM39" s="1182"/>
      <c r="AN39" s="1182"/>
      <c r="AO39" s="1182"/>
      <c r="AP39" s="1182"/>
      <c r="AQ39" s="1182"/>
      <c r="AR39" s="1182"/>
      <c r="AS39" s="1183"/>
      <c r="AT39" s="556"/>
    </row>
    <row r="40" spans="1:46" ht="15" customHeight="1" x14ac:dyDescent="0.45">
      <c r="A40" s="1170"/>
      <c r="B40" s="944" t="str">
        <f t="shared" si="5"/>
        <v xml:space="preserve"> </v>
      </c>
      <c r="C40" s="921"/>
      <c r="D40" s="921"/>
      <c r="E40" s="923"/>
      <c r="F40" s="922"/>
      <c r="G40" s="916"/>
      <c r="H40" s="917">
        <f t="shared" si="2"/>
        <v>0</v>
      </c>
      <c r="I40" s="916"/>
      <c r="J40" s="917">
        <f t="shared" si="3"/>
        <v>0</v>
      </c>
      <c r="K40" s="916"/>
      <c r="L40" s="917">
        <f t="shared" si="4"/>
        <v>0</v>
      </c>
      <c r="M40" s="955"/>
      <c r="N40" s="956"/>
      <c r="O40" s="956"/>
      <c r="P40" s="956"/>
      <c r="Q40" s="956"/>
      <c r="R40" s="956"/>
      <c r="S40" s="956"/>
      <c r="T40" s="956"/>
      <c r="U40" s="956"/>
      <c r="V40" s="956"/>
      <c r="W40" s="956"/>
      <c r="X40" s="956"/>
      <c r="Y40" s="956"/>
      <c r="Z40" s="956"/>
      <c r="AA40" s="956"/>
      <c r="AB40" s="957">
        <f t="shared" si="1"/>
        <v>0</v>
      </c>
      <c r="AC40" s="556"/>
      <c r="AD40" s="1181"/>
      <c r="AE40" s="1182"/>
      <c r="AF40" s="1182"/>
      <c r="AG40" s="1182"/>
      <c r="AH40" s="1182"/>
      <c r="AI40" s="1182"/>
      <c r="AJ40" s="1182"/>
      <c r="AK40" s="1182"/>
      <c r="AL40" s="1182"/>
      <c r="AM40" s="1182"/>
      <c r="AN40" s="1182"/>
      <c r="AO40" s="1182"/>
      <c r="AP40" s="1182"/>
      <c r="AQ40" s="1182"/>
      <c r="AR40" s="1182"/>
      <c r="AS40" s="1183"/>
      <c r="AT40" s="556"/>
    </row>
    <row r="41" spans="1:46" ht="15" customHeight="1" x14ac:dyDescent="0.45">
      <c r="A41" s="1170"/>
      <c r="B41" s="944" t="str">
        <f t="shared" si="5"/>
        <v xml:space="preserve"> </v>
      </c>
      <c r="C41" s="921"/>
      <c r="D41" s="921"/>
      <c r="E41" s="923"/>
      <c r="F41" s="922"/>
      <c r="G41" s="916"/>
      <c r="H41" s="917">
        <f t="shared" si="2"/>
        <v>0</v>
      </c>
      <c r="I41" s="916"/>
      <c r="J41" s="917">
        <f t="shared" si="3"/>
        <v>0</v>
      </c>
      <c r="K41" s="916"/>
      <c r="L41" s="917">
        <f t="shared" si="4"/>
        <v>0</v>
      </c>
      <c r="M41" s="955"/>
      <c r="N41" s="956"/>
      <c r="O41" s="956"/>
      <c r="P41" s="956"/>
      <c r="Q41" s="956"/>
      <c r="R41" s="956"/>
      <c r="S41" s="956"/>
      <c r="T41" s="956"/>
      <c r="U41" s="956"/>
      <c r="V41" s="956"/>
      <c r="W41" s="956"/>
      <c r="X41" s="956"/>
      <c r="Y41" s="956"/>
      <c r="Z41" s="956"/>
      <c r="AA41" s="956"/>
      <c r="AB41" s="957">
        <f t="shared" si="1"/>
        <v>0</v>
      </c>
      <c r="AC41" s="556"/>
      <c r="AD41" s="1181"/>
      <c r="AE41" s="1182"/>
      <c r="AF41" s="1182"/>
      <c r="AG41" s="1182"/>
      <c r="AH41" s="1182"/>
      <c r="AI41" s="1182"/>
      <c r="AJ41" s="1182"/>
      <c r="AK41" s="1182"/>
      <c r="AL41" s="1182"/>
      <c r="AM41" s="1182"/>
      <c r="AN41" s="1182"/>
      <c r="AO41" s="1182"/>
      <c r="AP41" s="1182"/>
      <c r="AQ41" s="1182"/>
      <c r="AR41" s="1182"/>
      <c r="AS41" s="1183"/>
      <c r="AT41" s="556"/>
    </row>
    <row r="42" spans="1:46" ht="15" customHeight="1" x14ac:dyDescent="0.45">
      <c r="A42" s="1170"/>
      <c r="B42" s="944" t="str">
        <f t="shared" si="5"/>
        <v xml:space="preserve"> </v>
      </c>
      <c r="C42" s="921"/>
      <c r="D42" s="921"/>
      <c r="E42" s="923"/>
      <c r="F42" s="922"/>
      <c r="G42" s="916"/>
      <c r="H42" s="917">
        <f t="shared" si="2"/>
        <v>0</v>
      </c>
      <c r="I42" s="916"/>
      <c r="J42" s="917">
        <f t="shared" si="3"/>
        <v>0</v>
      </c>
      <c r="K42" s="916"/>
      <c r="L42" s="917">
        <f t="shared" si="4"/>
        <v>0</v>
      </c>
      <c r="M42" s="955"/>
      <c r="N42" s="956"/>
      <c r="O42" s="956"/>
      <c r="P42" s="956"/>
      <c r="Q42" s="956"/>
      <c r="R42" s="956"/>
      <c r="S42" s="956"/>
      <c r="T42" s="956"/>
      <c r="U42" s="956"/>
      <c r="V42" s="956"/>
      <c r="W42" s="956"/>
      <c r="X42" s="956"/>
      <c r="Y42" s="956"/>
      <c r="Z42" s="956"/>
      <c r="AA42" s="956"/>
      <c r="AB42" s="957">
        <f t="shared" si="1"/>
        <v>0</v>
      </c>
      <c r="AC42" s="556"/>
      <c r="AD42" s="1181"/>
      <c r="AE42" s="1182"/>
      <c r="AF42" s="1182"/>
      <c r="AG42" s="1182"/>
      <c r="AH42" s="1182"/>
      <c r="AI42" s="1182"/>
      <c r="AJ42" s="1182"/>
      <c r="AK42" s="1182"/>
      <c r="AL42" s="1182"/>
      <c r="AM42" s="1182"/>
      <c r="AN42" s="1182"/>
      <c r="AO42" s="1182"/>
      <c r="AP42" s="1182"/>
      <c r="AQ42" s="1182"/>
      <c r="AR42" s="1182"/>
      <c r="AS42" s="1183"/>
      <c r="AT42" s="556"/>
    </row>
    <row r="43" spans="1:46" ht="15" customHeight="1" x14ac:dyDescent="0.45">
      <c r="A43" s="1170"/>
      <c r="B43" s="944" t="str">
        <f t="shared" si="5"/>
        <v xml:space="preserve"> </v>
      </c>
      <c r="C43" s="921"/>
      <c r="D43" s="921"/>
      <c r="E43" s="923"/>
      <c r="F43" s="922"/>
      <c r="G43" s="916"/>
      <c r="H43" s="917">
        <f t="shared" si="2"/>
        <v>0</v>
      </c>
      <c r="I43" s="916"/>
      <c r="J43" s="917">
        <f t="shared" si="3"/>
        <v>0</v>
      </c>
      <c r="K43" s="916"/>
      <c r="L43" s="917">
        <f t="shared" si="4"/>
        <v>0</v>
      </c>
      <c r="M43" s="955"/>
      <c r="N43" s="956"/>
      <c r="O43" s="956"/>
      <c r="P43" s="956"/>
      <c r="Q43" s="956"/>
      <c r="R43" s="956"/>
      <c r="S43" s="956"/>
      <c r="T43" s="956"/>
      <c r="U43" s="956"/>
      <c r="V43" s="956"/>
      <c r="W43" s="956"/>
      <c r="X43" s="956"/>
      <c r="Y43" s="956"/>
      <c r="Z43" s="956"/>
      <c r="AA43" s="956"/>
      <c r="AB43" s="957">
        <f t="shared" si="1"/>
        <v>0</v>
      </c>
      <c r="AC43" s="556"/>
      <c r="AD43" s="1181"/>
      <c r="AE43" s="1182"/>
      <c r="AF43" s="1182"/>
      <c r="AG43" s="1182"/>
      <c r="AH43" s="1182"/>
      <c r="AI43" s="1182"/>
      <c r="AJ43" s="1182"/>
      <c r="AK43" s="1182"/>
      <c r="AL43" s="1182"/>
      <c r="AM43" s="1182"/>
      <c r="AN43" s="1182"/>
      <c r="AO43" s="1182"/>
      <c r="AP43" s="1182"/>
      <c r="AQ43" s="1182"/>
      <c r="AR43" s="1182"/>
      <c r="AS43" s="1183"/>
      <c r="AT43" s="556"/>
    </row>
    <row r="44" spans="1:46" ht="15" customHeight="1" x14ac:dyDescent="0.45">
      <c r="A44" s="1170"/>
      <c r="B44" s="944" t="str">
        <f t="shared" si="5"/>
        <v xml:space="preserve"> </v>
      </c>
      <c r="C44" s="921"/>
      <c r="D44" s="921"/>
      <c r="E44" s="923"/>
      <c r="F44" s="922"/>
      <c r="G44" s="916"/>
      <c r="H44" s="917">
        <f t="shared" si="2"/>
        <v>0</v>
      </c>
      <c r="I44" s="916"/>
      <c r="J44" s="917">
        <f t="shared" si="3"/>
        <v>0</v>
      </c>
      <c r="K44" s="916"/>
      <c r="L44" s="917">
        <f t="shared" si="4"/>
        <v>0</v>
      </c>
      <c r="M44" s="955"/>
      <c r="N44" s="956"/>
      <c r="O44" s="956"/>
      <c r="P44" s="956"/>
      <c r="Q44" s="956"/>
      <c r="R44" s="956"/>
      <c r="S44" s="956"/>
      <c r="T44" s="956"/>
      <c r="U44" s="956"/>
      <c r="V44" s="956"/>
      <c r="W44" s="956"/>
      <c r="X44" s="956"/>
      <c r="Y44" s="956"/>
      <c r="Z44" s="956"/>
      <c r="AA44" s="956"/>
      <c r="AB44" s="957">
        <f t="shared" si="1"/>
        <v>0</v>
      </c>
      <c r="AC44" s="556"/>
      <c r="AD44" s="1181"/>
      <c r="AE44" s="1182"/>
      <c r="AF44" s="1182"/>
      <c r="AG44" s="1182"/>
      <c r="AH44" s="1182"/>
      <c r="AI44" s="1182"/>
      <c r="AJ44" s="1182"/>
      <c r="AK44" s="1182"/>
      <c r="AL44" s="1182"/>
      <c r="AM44" s="1182"/>
      <c r="AN44" s="1182"/>
      <c r="AO44" s="1182"/>
      <c r="AP44" s="1182"/>
      <c r="AQ44" s="1182"/>
      <c r="AR44" s="1182"/>
      <c r="AS44" s="1183"/>
      <c r="AT44" s="556"/>
    </row>
    <row r="45" spans="1:46" ht="15" customHeight="1" x14ac:dyDescent="0.45">
      <c r="A45" s="1170"/>
      <c r="B45" s="944" t="str">
        <f t="shared" si="5"/>
        <v xml:space="preserve"> </v>
      </c>
      <c r="C45" s="921"/>
      <c r="D45" s="921"/>
      <c r="E45" s="923"/>
      <c r="F45" s="922"/>
      <c r="G45" s="916"/>
      <c r="H45" s="917">
        <f t="shared" si="2"/>
        <v>0</v>
      </c>
      <c r="I45" s="916"/>
      <c r="J45" s="917">
        <f t="shared" si="3"/>
        <v>0</v>
      </c>
      <c r="K45" s="916"/>
      <c r="L45" s="917">
        <f t="shared" si="4"/>
        <v>0</v>
      </c>
      <c r="M45" s="955"/>
      <c r="N45" s="956"/>
      <c r="O45" s="956"/>
      <c r="P45" s="956"/>
      <c r="Q45" s="956"/>
      <c r="R45" s="956"/>
      <c r="S45" s="956"/>
      <c r="T45" s="956"/>
      <c r="U45" s="956"/>
      <c r="V45" s="956"/>
      <c r="W45" s="956"/>
      <c r="X45" s="956"/>
      <c r="Y45" s="956"/>
      <c r="Z45" s="956"/>
      <c r="AA45" s="956"/>
      <c r="AB45" s="957">
        <f t="shared" si="1"/>
        <v>0</v>
      </c>
      <c r="AC45" s="556"/>
      <c r="AD45" s="1181"/>
      <c r="AE45" s="1182"/>
      <c r="AF45" s="1182"/>
      <c r="AG45" s="1182"/>
      <c r="AH45" s="1182"/>
      <c r="AI45" s="1182"/>
      <c r="AJ45" s="1182"/>
      <c r="AK45" s="1182"/>
      <c r="AL45" s="1182"/>
      <c r="AM45" s="1182"/>
      <c r="AN45" s="1182"/>
      <c r="AO45" s="1182"/>
      <c r="AP45" s="1182"/>
      <c r="AQ45" s="1182"/>
      <c r="AR45" s="1182"/>
      <c r="AS45" s="1183"/>
      <c r="AT45" s="556"/>
    </row>
    <row r="46" spans="1:46" ht="15" customHeight="1" x14ac:dyDescent="0.45">
      <c r="A46" s="1170"/>
      <c r="B46" s="944" t="str">
        <f t="shared" si="5"/>
        <v xml:space="preserve"> </v>
      </c>
      <c r="C46" s="921"/>
      <c r="D46" s="921"/>
      <c r="E46" s="923"/>
      <c r="F46" s="922"/>
      <c r="G46" s="916"/>
      <c r="H46" s="917">
        <f t="shared" si="2"/>
        <v>0</v>
      </c>
      <c r="I46" s="916"/>
      <c r="J46" s="917">
        <f t="shared" si="3"/>
        <v>0</v>
      </c>
      <c r="K46" s="916"/>
      <c r="L46" s="917">
        <f t="shared" si="4"/>
        <v>0</v>
      </c>
      <c r="M46" s="955"/>
      <c r="N46" s="956"/>
      <c r="O46" s="956"/>
      <c r="P46" s="956"/>
      <c r="Q46" s="956"/>
      <c r="R46" s="956"/>
      <c r="S46" s="956"/>
      <c r="T46" s="956"/>
      <c r="U46" s="956"/>
      <c r="V46" s="956"/>
      <c r="W46" s="956"/>
      <c r="X46" s="956"/>
      <c r="Y46" s="956"/>
      <c r="Z46" s="956"/>
      <c r="AA46" s="956"/>
      <c r="AB46" s="957">
        <f t="shared" si="1"/>
        <v>0</v>
      </c>
      <c r="AC46" s="556"/>
      <c r="AD46" s="1181"/>
      <c r="AE46" s="1182"/>
      <c r="AF46" s="1182"/>
      <c r="AG46" s="1182"/>
      <c r="AH46" s="1182"/>
      <c r="AI46" s="1182"/>
      <c r="AJ46" s="1182"/>
      <c r="AK46" s="1182"/>
      <c r="AL46" s="1182"/>
      <c r="AM46" s="1182"/>
      <c r="AN46" s="1182"/>
      <c r="AO46" s="1182"/>
      <c r="AP46" s="1182"/>
      <c r="AQ46" s="1182"/>
      <c r="AR46" s="1182"/>
      <c r="AS46" s="1183"/>
      <c r="AT46" s="556"/>
    </row>
    <row r="47" spans="1:46" ht="15" customHeight="1" x14ac:dyDescent="0.45">
      <c r="A47" s="1170"/>
      <c r="B47" s="944" t="str">
        <f t="shared" si="5"/>
        <v xml:space="preserve"> </v>
      </c>
      <c r="C47" s="921"/>
      <c r="D47" s="921"/>
      <c r="E47" s="923"/>
      <c r="F47" s="922"/>
      <c r="G47" s="916"/>
      <c r="H47" s="917">
        <f t="shared" si="2"/>
        <v>0</v>
      </c>
      <c r="I47" s="916"/>
      <c r="J47" s="917">
        <f t="shared" si="3"/>
        <v>0</v>
      </c>
      <c r="K47" s="916"/>
      <c r="L47" s="917">
        <f t="shared" si="4"/>
        <v>0</v>
      </c>
      <c r="M47" s="955"/>
      <c r="N47" s="956"/>
      <c r="O47" s="956"/>
      <c r="P47" s="956"/>
      <c r="Q47" s="956"/>
      <c r="R47" s="956"/>
      <c r="S47" s="956"/>
      <c r="T47" s="956"/>
      <c r="U47" s="956"/>
      <c r="V47" s="956"/>
      <c r="W47" s="956"/>
      <c r="X47" s="956"/>
      <c r="Y47" s="956"/>
      <c r="Z47" s="956"/>
      <c r="AA47" s="956"/>
      <c r="AB47" s="957">
        <f t="shared" si="1"/>
        <v>0</v>
      </c>
      <c r="AC47" s="556"/>
      <c r="AD47" s="1181"/>
      <c r="AE47" s="1182"/>
      <c r="AF47" s="1182"/>
      <c r="AG47" s="1182"/>
      <c r="AH47" s="1182"/>
      <c r="AI47" s="1182"/>
      <c r="AJ47" s="1182"/>
      <c r="AK47" s="1182"/>
      <c r="AL47" s="1182"/>
      <c r="AM47" s="1182"/>
      <c r="AN47" s="1182"/>
      <c r="AO47" s="1182"/>
      <c r="AP47" s="1182"/>
      <c r="AQ47" s="1182"/>
      <c r="AR47" s="1182"/>
      <c r="AS47" s="1183"/>
      <c r="AT47" s="556"/>
    </row>
    <row r="48" spans="1:46" ht="15" customHeight="1" x14ac:dyDescent="0.45">
      <c r="A48" s="1170"/>
      <c r="B48" s="944" t="str">
        <f t="shared" si="5"/>
        <v xml:space="preserve"> </v>
      </c>
      <c r="C48" s="921"/>
      <c r="D48" s="921"/>
      <c r="E48" s="923"/>
      <c r="F48" s="922"/>
      <c r="G48" s="916"/>
      <c r="H48" s="917">
        <f t="shared" si="2"/>
        <v>0</v>
      </c>
      <c r="I48" s="916"/>
      <c r="J48" s="917">
        <f t="shared" si="3"/>
        <v>0</v>
      </c>
      <c r="K48" s="916"/>
      <c r="L48" s="917">
        <f t="shared" si="4"/>
        <v>0</v>
      </c>
      <c r="M48" s="955"/>
      <c r="N48" s="956"/>
      <c r="O48" s="956"/>
      <c r="P48" s="956"/>
      <c r="Q48" s="956"/>
      <c r="R48" s="956"/>
      <c r="S48" s="956"/>
      <c r="T48" s="956"/>
      <c r="U48" s="956"/>
      <c r="V48" s="956"/>
      <c r="W48" s="956"/>
      <c r="X48" s="956"/>
      <c r="Y48" s="956"/>
      <c r="Z48" s="956"/>
      <c r="AA48" s="956"/>
      <c r="AB48" s="957">
        <f t="shared" si="1"/>
        <v>0</v>
      </c>
      <c r="AC48" s="563"/>
      <c r="AD48" s="1255"/>
      <c r="AE48" s="1256"/>
      <c r="AF48" s="1256"/>
      <c r="AG48" s="1256"/>
      <c r="AH48" s="1256"/>
      <c r="AI48" s="1256"/>
      <c r="AJ48" s="1256"/>
      <c r="AK48" s="1256"/>
      <c r="AL48" s="1250"/>
      <c r="AM48" s="1250"/>
      <c r="AN48" s="1250"/>
      <c r="AO48" s="1250"/>
      <c r="AP48" s="1250"/>
      <c r="AQ48" s="1250"/>
      <c r="AR48" s="1250"/>
      <c r="AS48" s="1183"/>
      <c r="AT48" s="556"/>
    </row>
    <row r="49" spans="1:108" ht="15" customHeight="1" x14ac:dyDescent="0.45">
      <c r="A49" s="1170"/>
      <c r="B49" s="944" t="str">
        <f t="shared" si="5"/>
        <v xml:space="preserve"> </v>
      </c>
      <c r="C49" s="921"/>
      <c r="D49" s="921"/>
      <c r="E49" s="923"/>
      <c r="F49" s="922"/>
      <c r="G49" s="916"/>
      <c r="H49" s="917">
        <f t="shared" si="2"/>
        <v>0</v>
      </c>
      <c r="I49" s="916"/>
      <c r="J49" s="917">
        <f t="shared" si="3"/>
        <v>0</v>
      </c>
      <c r="K49" s="916"/>
      <c r="L49" s="917">
        <f t="shared" si="4"/>
        <v>0</v>
      </c>
      <c r="M49" s="955"/>
      <c r="N49" s="956"/>
      <c r="O49" s="956"/>
      <c r="P49" s="956"/>
      <c r="Q49" s="956"/>
      <c r="R49" s="956"/>
      <c r="S49" s="956"/>
      <c r="T49" s="956"/>
      <c r="U49" s="956"/>
      <c r="V49" s="956"/>
      <c r="W49" s="956"/>
      <c r="X49" s="956"/>
      <c r="Y49" s="956"/>
      <c r="Z49" s="956"/>
      <c r="AA49" s="956"/>
      <c r="AB49" s="957">
        <f t="shared" si="1"/>
        <v>0</v>
      </c>
      <c r="AC49" s="556"/>
      <c r="AD49" s="1255"/>
      <c r="AE49" s="1256"/>
      <c r="AF49" s="1256"/>
      <c r="AG49" s="1256"/>
      <c r="AH49" s="1256"/>
      <c r="AI49" s="1256"/>
      <c r="AJ49" s="1256"/>
      <c r="AK49" s="1266"/>
      <c r="AL49" s="1266"/>
      <c r="AM49" s="1266"/>
      <c r="AN49" s="1266"/>
      <c r="AO49" s="1266"/>
      <c r="AP49" s="1266"/>
      <c r="AQ49" s="1266"/>
      <c r="AR49" s="1266"/>
      <c r="AS49" s="1185"/>
      <c r="AT49" s="556"/>
    </row>
    <row r="50" spans="1:108" ht="15" customHeight="1" x14ac:dyDescent="0.45">
      <c r="A50" s="1170"/>
      <c r="B50" s="944" t="str">
        <f t="shared" si="5"/>
        <v xml:space="preserve"> </v>
      </c>
      <c r="C50" s="921"/>
      <c r="D50" s="921"/>
      <c r="E50" s="923"/>
      <c r="F50" s="922"/>
      <c r="G50" s="916"/>
      <c r="H50" s="917">
        <f t="shared" si="2"/>
        <v>0</v>
      </c>
      <c r="I50" s="916"/>
      <c r="J50" s="917">
        <f t="shared" si="3"/>
        <v>0</v>
      </c>
      <c r="K50" s="916"/>
      <c r="L50" s="917">
        <f t="shared" si="4"/>
        <v>0</v>
      </c>
      <c r="M50" s="955"/>
      <c r="N50" s="956"/>
      <c r="O50" s="956"/>
      <c r="P50" s="956"/>
      <c r="Q50" s="956"/>
      <c r="R50" s="956"/>
      <c r="S50" s="956"/>
      <c r="T50" s="956"/>
      <c r="U50" s="956"/>
      <c r="V50" s="956"/>
      <c r="W50" s="956"/>
      <c r="X50" s="956"/>
      <c r="Y50" s="956"/>
      <c r="Z50" s="956"/>
      <c r="AA50" s="956"/>
      <c r="AB50" s="957">
        <f t="shared" si="1"/>
        <v>0</v>
      </c>
      <c r="AC50" s="556"/>
      <c r="AD50" s="1491"/>
      <c r="AE50" s="1492"/>
      <c r="AF50" s="1266"/>
      <c r="AG50" s="1493"/>
      <c r="AH50" s="1493"/>
      <c r="AI50" s="1493"/>
      <c r="AJ50" s="1493"/>
      <c r="AK50" s="1493"/>
      <c r="AL50" s="1493"/>
      <c r="AM50" s="1493"/>
      <c r="AN50" s="1493"/>
      <c r="AO50" s="1493"/>
      <c r="AP50" s="1493"/>
      <c r="AQ50" s="1266"/>
      <c r="AR50" s="1266"/>
      <c r="AS50" s="1185"/>
      <c r="AT50" s="556"/>
    </row>
    <row r="51" spans="1:108" ht="15" customHeight="1" x14ac:dyDescent="0.45">
      <c r="A51" s="1170"/>
      <c r="B51" s="944" t="str">
        <f t="shared" si="5"/>
        <v xml:space="preserve"> </v>
      </c>
      <c r="C51" s="921"/>
      <c r="D51" s="921"/>
      <c r="E51" s="923"/>
      <c r="F51" s="922"/>
      <c r="G51" s="916"/>
      <c r="H51" s="917">
        <f t="shared" si="2"/>
        <v>0</v>
      </c>
      <c r="I51" s="916"/>
      <c r="J51" s="917">
        <f t="shared" si="3"/>
        <v>0</v>
      </c>
      <c r="K51" s="916"/>
      <c r="L51" s="917">
        <f t="shared" si="4"/>
        <v>0</v>
      </c>
      <c r="M51" s="955"/>
      <c r="N51" s="956"/>
      <c r="O51" s="956"/>
      <c r="P51" s="956"/>
      <c r="Q51" s="956"/>
      <c r="R51" s="956"/>
      <c r="S51" s="956"/>
      <c r="T51" s="956"/>
      <c r="U51" s="956"/>
      <c r="V51" s="956"/>
      <c r="W51" s="956"/>
      <c r="X51" s="956"/>
      <c r="Y51" s="956"/>
      <c r="Z51" s="956"/>
      <c r="AA51" s="956"/>
      <c r="AB51" s="957">
        <f t="shared" si="1"/>
        <v>0</v>
      </c>
      <c r="AC51" s="556"/>
      <c r="AD51" s="1489"/>
      <c r="AE51" s="1490"/>
      <c r="AF51" s="1267"/>
      <c r="AG51" s="1490"/>
      <c r="AH51" s="1490"/>
      <c r="AI51" s="1490"/>
      <c r="AJ51" s="1490"/>
      <c r="AK51" s="1490"/>
      <c r="AL51" s="1490"/>
      <c r="AM51" s="1490"/>
      <c r="AN51" s="1490"/>
      <c r="AO51" s="1490"/>
      <c r="AP51" s="1490"/>
      <c r="AQ51" s="1267"/>
      <c r="AR51" s="1267"/>
      <c r="AS51" s="1185"/>
      <c r="AT51" s="556"/>
    </row>
    <row r="52" spans="1:108" ht="15" customHeight="1" x14ac:dyDescent="0.45">
      <c r="A52" s="1170"/>
      <c r="B52" s="944" t="str">
        <f t="shared" si="5"/>
        <v xml:space="preserve"> </v>
      </c>
      <c r="C52" s="921"/>
      <c r="D52" s="921"/>
      <c r="E52" s="923"/>
      <c r="F52" s="922"/>
      <c r="G52" s="916"/>
      <c r="H52" s="917">
        <f t="shared" si="2"/>
        <v>0</v>
      </c>
      <c r="I52" s="916"/>
      <c r="J52" s="917">
        <f t="shared" si="3"/>
        <v>0</v>
      </c>
      <c r="K52" s="916"/>
      <c r="L52" s="917">
        <f t="shared" si="4"/>
        <v>0</v>
      </c>
      <c r="M52" s="955"/>
      <c r="N52" s="956"/>
      <c r="O52" s="956"/>
      <c r="P52" s="956"/>
      <c r="Q52" s="956"/>
      <c r="R52" s="956"/>
      <c r="S52" s="956"/>
      <c r="T52" s="956"/>
      <c r="U52" s="956"/>
      <c r="V52" s="956"/>
      <c r="W52" s="956"/>
      <c r="X52" s="956"/>
      <c r="Y52" s="956"/>
      <c r="Z52" s="956"/>
      <c r="AA52" s="956"/>
      <c r="AB52" s="957">
        <f t="shared" si="1"/>
        <v>0</v>
      </c>
      <c r="AC52" s="556"/>
      <c r="AD52" s="1489"/>
      <c r="AE52" s="1490"/>
      <c r="AF52" s="1267"/>
      <c r="AG52" s="1490"/>
      <c r="AH52" s="1490"/>
      <c r="AI52" s="1490"/>
      <c r="AJ52" s="1490"/>
      <c r="AK52" s="1490"/>
      <c r="AL52" s="1490"/>
      <c r="AM52" s="1490"/>
      <c r="AN52" s="1490"/>
      <c r="AO52" s="1490"/>
      <c r="AP52" s="1490"/>
      <c r="AQ52" s="1267"/>
      <c r="AR52" s="1267"/>
      <c r="AS52" s="1185"/>
      <c r="AT52" s="556"/>
    </row>
    <row r="53" spans="1:108" ht="15" customHeight="1" x14ac:dyDescent="0.45">
      <c r="A53" s="1170"/>
      <c r="B53" s="944" t="str">
        <f t="shared" si="5"/>
        <v xml:space="preserve"> </v>
      </c>
      <c r="C53" s="921"/>
      <c r="D53" s="921"/>
      <c r="E53" s="922"/>
      <c r="F53" s="922"/>
      <c r="G53" s="916"/>
      <c r="H53" s="917">
        <f t="shared" si="2"/>
        <v>0</v>
      </c>
      <c r="I53" s="916"/>
      <c r="J53" s="917">
        <f t="shared" si="3"/>
        <v>0</v>
      </c>
      <c r="K53" s="916"/>
      <c r="L53" s="917">
        <f t="shared" si="4"/>
        <v>0</v>
      </c>
      <c r="M53" s="950"/>
      <c r="N53" s="956"/>
      <c r="O53" s="956"/>
      <c r="P53" s="956"/>
      <c r="Q53" s="956"/>
      <c r="R53" s="956"/>
      <c r="S53" s="956"/>
      <c r="T53" s="956"/>
      <c r="U53" s="956"/>
      <c r="V53" s="956"/>
      <c r="W53" s="956"/>
      <c r="X53" s="956"/>
      <c r="Y53" s="956"/>
      <c r="Z53" s="956"/>
      <c r="AA53" s="956"/>
      <c r="AB53" s="957">
        <f t="shared" si="1"/>
        <v>0</v>
      </c>
      <c r="AC53" s="556"/>
      <c r="AD53" s="1489"/>
      <c r="AE53" s="1490"/>
      <c r="AF53" s="1267"/>
      <c r="AG53" s="1490"/>
      <c r="AH53" s="1490"/>
      <c r="AI53" s="1490"/>
      <c r="AJ53" s="1490"/>
      <c r="AK53" s="1490"/>
      <c r="AL53" s="1490"/>
      <c r="AM53" s="1490"/>
      <c r="AN53" s="1490"/>
      <c r="AO53" s="1490"/>
      <c r="AP53" s="1490"/>
      <c r="AQ53" s="1267"/>
      <c r="AR53" s="1267"/>
      <c r="AS53" s="1185"/>
      <c r="AT53" s="556"/>
      <c r="CX53" s="566"/>
      <c r="CY53" s="74"/>
      <c r="CZ53" s="74"/>
      <c r="DA53" s="74"/>
      <c r="DB53" s="566"/>
      <c r="DC53" s="74"/>
      <c r="DD53" s="74"/>
    </row>
    <row r="54" spans="1:108" ht="15" customHeight="1" x14ac:dyDescent="0.45">
      <c r="A54" s="1170"/>
      <c r="B54" s="944" t="str">
        <f t="shared" si="5"/>
        <v xml:space="preserve"> </v>
      </c>
      <c r="C54" s="921"/>
      <c r="D54" s="921"/>
      <c r="E54" s="922"/>
      <c r="F54" s="922"/>
      <c r="G54" s="916"/>
      <c r="H54" s="917">
        <f t="shared" si="2"/>
        <v>0</v>
      </c>
      <c r="I54" s="916"/>
      <c r="J54" s="917">
        <f t="shared" si="3"/>
        <v>0</v>
      </c>
      <c r="K54" s="916"/>
      <c r="L54" s="917">
        <f t="shared" si="4"/>
        <v>0</v>
      </c>
      <c r="M54" s="952"/>
      <c r="N54" s="956"/>
      <c r="O54" s="956"/>
      <c r="P54" s="956"/>
      <c r="Q54" s="956"/>
      <c r="R54" s="956"/>
      <c r="S54" s="956"/>
      <c r="T54" s="956"/>
      <c r="U54" s="956"/>
      <c r="V54" s="956"/>
      <c r="W54" s="956"/>
      <c r="X54" s="956"/>
      <c r="Y54" s="956"/>
      <c r="Z54" s="956"/>
      <c r="AA54" s="956"/>
      <c r="AB54" s="957">
        <f t="shared" si="1"/>
        <v>0</v>
      </c>
      <c r="AC54" s="556"/>
      <c r="AD54" s="1489"/>
      <c r="AE54" s="1490"/>
      <c r="AF54" s="1267"/>
      <c r="AG54" s="1490"/>
      <c r="AH54" s="1490"/>
      <c r="AI54" s="1490"/>
      <c r="AJ54" s="1490"/>
      <c r="AK54" s="1490"/>
      <c r="AL54" s="1490"/>
      <c r="AM54" s="1490"/>
      <c r="AN54" s="1490"/>
      <c r="AO54" s="1490"/>
      <c r="AP54" s="1490"/>
      <c r="AQ54" s="1267"/>
      <c r="AR54" s="1267"/>
      <c r="AS54" s="1185"/>
      <c r="AT54" s="556"/>
    </row>
    <row r="55" spans="1:108" ht="15" customHeight="1" x14ac:dyDescent="0.45">
      <c r="A55" s="1170"/>
      <c r="B55" s="944" t="str">
        <f t="shared" si="5"/>
        <v xml:space="preserve"> </v>
      </c>
      <c r="C55" s="921"/>
      <c r="D55" s="921"/>
      <c r="E55" s="922"/>
      <c r="F55" s="922"/>
      <c r="G55" s="916"/>
      <c r="H55" s="917">
        <f t="shared" si="2"/>
        <v>0</v>
      </c>
      <c r="I55" s="916"/>
      <c r="J55" s="917">
        <f t="shared" si="3"/>
        <v>0</v>
      </c>
      <c r="K55" s="916"/>
      <c r="L55" s="917">
        <f t="shared" si="4"/>
        <v>0</v>
      </c>
      <c r="M55" s="950"/>
      <c r="N55" s="956"/>
      <c r="O55" s="956"/>
      <c r="P55" s="956"/>
      <c r="Q55" s="956"/>
      <c r="R55" s="956"/>
      <c r="S55" s="956"/>
      <c r="T55" s="956"/>
      <c r="U55" s="956"/>
      <c r="V55" s="956"/>
      <c r="W55" s="956"/>
      <c r="X55" s="956"/>
      <c r="Y55" s="956"/>
      <c r="Z55" s="956"/>
      <c r="AA55" s="956"/>
      <c r="AB55" s="957">
        <f t="shared" si="1"/>
        <v>0</v>
      </c>
      <c r="AC55" s="556"/>
      <c r="AD55" s="1489"/>
      <c r="AE55" s="1490"/>
      <c r="AF55" s="1267"/>
      <c r="AG55" s="1490"/>
      <c r="AH55" s="1490"/>
      <c r="AI55" s="1490"/>
      <c r="AJ55" s="1490"/>
      <c r="AK55" s="1490"/>
      <c r="AL55" s="1490"/>
      <c r="AM55" s="1490"/>
      <c r="AN55" s="1490"/>
      <c r="AO55" s="1490"/>
      <c r="AP55" s="1490"/>
      <c r="AQ55" s="1266"/>
      <c r="AR55" s="1267"/>
      <c r="AS55" s="1185"/>
      <c r="AT55" s="556"/>
    </row>
    <row r="56" spans="1:108" ht="15" customHeight="1" x14ac:dyDescent="0.45">
      <c r="A56" s="1170"/>
      <c r="B56" s="944" t="str">
        <f t="shared" si="5"/>
        <v xml:space="preserve"> </v>
      </c>
      <c r="C56" s="921"/>
      <c r="D56" s="921"/>
      <c r="E56" s="922"/>
      <c r="F56" s="922"/>
      <c r="G56" s="916"/>
      <c r="H56" s="917">
        <f t="shared" si="2"/>
        <v>0</v>
      </c>
      <c r="I56" s="916"/>
      <c r="J56" s="917">
        <f t="shared" si="3"/>
        <v>0</v>
      </c>
      <c r="K56" s="916"/>
      <c r="L56" s="917">
        <f t="shared" si="4"/>
        <v>0</v>
      </c>
      <c r="M56" s="950"/>
      <c r="N56" s="951"/>
      <c r="O56" s="951"/>
      <c r="P56" s="951"/>
      <c r="Q56" s="951"/>
      <c r="R56" s="951"/>
      <c r="S56" s="951"/>
      <c r="T56" s="951"/>
      <c r="U56" s="951"/>
      <c r="V56" s="951"/>
      <c r="W56" s="951"/>
      <c r="X56" s="951"/>
      <c r="Y56" s="951"/>
      <c r="Z56" s="951"/>
      <c r="AA56" s="951"/>
      <c r="AB56" s="957">
        <f t="shared" si="1"/>
        <v>0</v>
      </c>
      <c r="AC56" s="556"/>
      <c r="AD56" s="1489"/>
      <c r="AE56" s="1490"/>
      <c r="AF56" s="1267"/>
      <c r="AG56" s="1490"/>
      <c r="AH56" s="1490"/>
      <c r="AI56" s="1490"/>
      <c r="AJ56" s="1490"/>
      <c r="AK56" s="1490"/>
      <c r="AL56" s="1490"/>
      <c r="AM56" s="1490"/>
      <c r="AN56" s="1490"/>
      <c r="AO56" s="1490"/>
      <c r="AP56" s="1490"/>
      <c r="AQ56" s="1266"/>
      <c r="AR56" s="1267"/>
      <c r="AS56" s="1186"/>
      <c r="AT56" s="556"/>
    </row>
    <row r="57" spans="1:108" ht="9.75" customHeight="1" x14ac:dyDescent="0.45">
      <c r="A57" s="556"/>
      <c r="B57" s="556"/>
      <c r="C57" s="556"/>
      <c r="D57" s="556"/>
      <c r="E57" s="556"/>
      <c r="F57" s="564"/>
      <c r="G57" s="564"/>
      <c r="H57" s="564"/>
      <c r="I57" s="564"/>
      <c r="J57" s="564"/>
      <c r="K57" s="564"/>
      <c r="L57" s="564"/>
      <c r="M57" s="564"/>
      <c r="N57" s="564"/>
      <c r="O57" s="564"/>
      <c r="P57" s="564"/>
      <c r="Q57" s="564"/>
      <c r="R57" s="564"/>
      <c r="S57" s="564"/>
      <c r="T57" s="564"/>
      <c r="U57" s="564"/>
      <c r="V57" s="564"/>
      <c r="W57" s="564"/>
      <c r="X57" s="564"/>
      <c r="Y57" s="564"/>
      <c r="Z57" s="564"/>
      <c r="AA57" s="564"/>
      <c r="AB57" s="556"/>
      <c r="AC57" s="556"/>
      <c r="AD57" s="1268"/>
      <c r="AE57" s="1268"/>
      <c r="AF57" s="1268"/>
      <c r="AG57" s="1268"/>
      <c r="AH57" s="1268"/>
      <c r="AI57" s="1268"/>
      <c r="AJ57" s="1268"/>
      <c r="AK57" s="1268"/>
      <c r="AL57" s="1268"/>
      <c r="AM57" s="1268"/>
      <c r="AN57" s="1268"/>
      <c r="AO57" s="1268"/>
      <c r="AP57" s="1268"/>
      <c r="AQ57" s="1268"/>
      <c r="AR57" s="1268"/>
      <c r="AS57" s="565"/>
      <c r="AT57" s="556"/>
    </row>
    <row r="58" spans="1:108" hidden="1" x14ac:dyDescent="0.45">
      <c r="A58" s="556"/>
      <c r="B58" s="556"/>
      <c r="C58" s="556"/>
      <c r="D58" s="556"/>
      <c r="E58" s="556"/>
      <c r="F58" s="564"/>
      <c r="G58" s="564"/>
      <c r="H58" s="564"/>
      <c r="I58" s="564"/>
      <c r="J58" s="564"/>
      <c r="K58" s="564"/>
      <c r="L58" s="564"/>
      <c r="M58" s="564"/>
      <c r="N58" s="564"/>
      <c r="O58" s="564"/>
      <c r="P58" s="564"/>
      <c r="Q58" s="564"/>
      <c r="R58" s="564"/>
      <c r="S58" s="564"/>
      <c r="T58" s="564"/>
      <c r="U58" s="564"/>
      <c r="V58" s="564"/>
      <c r="W58" s="564"/>
      <c r="X58" s="564"/>
      <c r="Y58" s="564"/>
      <c r="Z58" s="564"/>
      <c r="AA58" s="564"/>
      <c r="AB58" s="556"/>
      <c r="AC58" s="556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565"/>
      <c r="AT58" s="556"/>
    </row>
    <row r="59" spans="1:108" hidden="1" x14ac:dyDescent="0.45">
      <c r="A59" s="556"/>
      <c r="B59" s="556"/>
      <c r="C59" s="556"/>
      <c r="D59" s="556"/>
      <c r="E59" s="556"/>
      <c r="F59" s="564"/>
      <c r="G59" s="564"/>
      <c r="H59" s="564"/>
      <c r="I59" s="564"/>
      <c r="J59" s="564"/>
      <c r="K59" s="564"/>
      <c r="L59" s="564"/>
      <c r="M59" s="564"/>
      <c r="N59" s="564"/>
      <c r="O59" s="564"/>
      <c r="P59" s="564"/>
      <c r="Q59" s="564"/>
      <c r="R59" s="564"/>
      <c r="S59" s="564"/>
      <c r="T59" s="564"/>
      <c r="U59" s="564"/>
      <c r="V59" s="564"/>
      <c r="W59" s="564"/>
      <c r="X59" s="564"/>
      <c r="Y59" s="564"/>
      <c r="Z59" s="564"/>
      <c r="AA59" s="564"/>
      <c r="AB59" s="556"/>
      <c r="AC59" s="556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565"/>
      <c r="AT59" s="556"/>
    </row>
    <row r="60" spans="1:108" hidden="1" x14ac:dyDescent="0.45">
      <c r="A60" s="556"/>
      <c r="B60" s="556"/>
      <c r="C60" s="556"/>
      <c r="D60" s="556"/>
      <c r="E60" s="556"/>
      <c r="F60" s="564"/>
      <c r="G60" s="564"/>
      <c r="H60" s="564"/>
      <c r="I60" s="564"/>
      <c r="J60" s="564"/>
      <c r="K60" s="564"/>
      <c r="L60" s="564"/>
      <c r="M60" s="564"/>
      <c r="N60" s="564"/>
      <c r="O60" s="564"/>
      <c r="P60" s="564"/>
      <c r="Q60" s="564"/>
      <c r="R60" s="564"/>
      <c r="S60" s="564"/>
      <c r="T60" s="564"/>
      <c r="U60" s="564"/>
      <c r="V60" s="564"/>
      <c r="W60" s="564"/>
      <c r="X60" s="564"/>
      <c r="Y60" s="564"/>
      <c r="Z60" s="564"/>
      <c r="AA60" s="564"/>
      <c r="AB60" s="556"/>
      <c r="AC60" s="556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565"/>
      <c r="AT60" s="556"/>
    </row>
    <row r="61" spans="1:108" hidden="1" x14ac:dyDescent="0.45">
      <c r="A61" s="556"/>
      <c r="B61" s="556"/>
      <c r="C61" s="556"/>
      <c r="D61" s="556"/>
      <c r="E61" s="556"/>
      <c r="F61" s="564"/>
      <c r="G61" s="564"/>
      <c r="H61" s="564"/>
      <c r="I61" s="564"/>
      <c r="J61" s="564"/>
      <c r="K61" s="564"/>
      <c r="L61" s="564"/>
      <c r="M61" s="564"/>
      <c r="N61" s="564"/>
      <c r="O61" s="564"/>
      <c r="P61" s="564"/>
      <c r="Q61" s="564"/>
      <c r="R61" s="564"/>
      <c r="S61" s="564"/>
      <c r="T61" s="564"/>
      <c r="U61" s="564"/>
      <c r="V61" s="564"/>
      <c r="W61" s="564"/>
      <c r="X61" s="564"/>
      <c r="Y61" s="564"/>
      <c r="Z61" s="564"/>
      <c r="AA61" s="564"/>
      <c r="AB61" s="556"/>
      <c r="AC61" s="556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565"/>
      <c r="AT61" s="556"/>
    </row>
    <row r="62" spans="1:108" hidden="1" x14ac:dyDescent="0.45">
      <c r="A62" s="556"/>
      <c r="B62" s="556"/>
      <c r="C62" s="556"/>
      <c r="D62" s="556"/>
      <c r="E62" s="556"/>
      <c r="F62" s="564"/>
      <c r="G62" s="564"/>
      <c r="H62" s="564"/>
      <c r="I62" s="564"/>
      <c r="J62" s="564"/>
      <c r="K62" s="564"/>
      <c r="L62" s="564"/>
      <c r="M62" s="564"/>
      <c r="N62" s="564"/>
      <c r="O62" s="564"/>
      <c r="P62" s="564"/>
      <c r="Q62" s="564"/>
      <c r="R62" s="564"/>
      <c r="S62" s="564"/>
      <c r="T62" s="564"/>
      <c r="U62" s="564"/>
      <c r="V62" s="564"/>
      <c r="W62" s="564"/>
      <c r="X62" s="564"/>
      <c r="Y62" s="564"/>
      <c r="Z62" s="564"/>
      <c r="AA62" s="564"/>
      <c r="AB62" s="556"/>
      <c r="AC62" s="556"/>
      <c r="AD62" s="74"/>
      <c r="AE62" s="74"/>
      <c r="AF62" s="74"/>
      <c r="AG62" s="74"/>
      <c r="AH62" s="74"/>
      <c r="AI62" s="74"/>
      <c r="AJ62" s="74"/>
      <c r="AK62" s="74"/>
      <c r="AL62" s="74"/>
      <c r="AM62" s="74"/>
      <c r="AN62" s="74"/>
      <c r="AO62" s="74"/>
      <c r="AP62" s="74"/>
      <c r="AQ62" s="74"/>
      <c r="AR62" s="74"/>
      <c r="AS62" s="565"/>
      <c r="AT62" s="556"/>
    </row>
    <row r="63" spans="1:108" hidden="1" x14ac:dyDescent="0.45">
      <c r="A63" s="556"/>
      <c r="B63" s="556"/>
      <c r="C63" s="556"/>
      <c r="D63" s="556"/>
      <c r="E63" s="556"/>
      <c r="F63" s="564"/>
      <c r="G63" s="564"/>
      <c r="H63" s="564"/>
      <c r="I63" s="564"/>
      <c r="J63" s="564"/>
      <c r="K63" s="564"/>
      <c r="L63" s="564"/>
      <c r="M63" s="564"/>
      <c r="N63" s="564"/>
      <c r="O63" s="564"/>
      <c r="P63" s="564"/>
      <c r="Q63" s="564"/>
      <c r="R63" s="564"/>
      <c r="S63" s="564"/>
      <c r="T63" s="564"/>
      <c r="U63" s="564"/>
      <c r="V63" s="564"/>
      <c r="W63" s="564"/>
      <c r="X63" s="564"/>
      <c r="Y63" s="564"/>
      <c r="Z63" s="564"/>
      <c r="AA63" s="564"/>
      <c r="AB63" s="556"/>
      <c r="AC63" s="556"/>
      <c r="AD63" s="74"/>
      <c r="AE63" s="74"/>
      <c r="AF63" s="74"/>
      <c r="AG63" s="74"/>
      <c r="AH63" s="74"/>
      <c r="AI63" s="74"/>
      <c r="AJ63" s="74"/>
      <c r="AK63" s="74"/>
      <c r="AL63" s="74"/>
      <c r="AM63" s="74"/>
      <c r="AN63" s="74"/>
      <c r="AO63" s="74"/>
      <c r="AP63" s="74"/>
      <c r="AQ63" s="74"/>
      <c r="AR63" s="74"/>
      <c r="AS63" s="565"/>
      <c r="AT63" s="556"/>
    </row>
    <row r="64" spans="1:108" hidden="1" x14ac:dyDescent="0.45">
      <c r="A64" s="556"/>
      <c r="B64" s="556"/>
      <c r="C64" s="556"/>
      <c r="D64" s="556"/>
      <c r="E64" s="556"/>
      <c r="F64" s="564"/>
      <c r="G64" s="564"/>
      <c r="H64" s="564"/>
      <c r="I64" s="564"/>
      <c r="J64" s="564"/>
      <c r="K64" s="564"/>
      <c r="L64" s="564"/>
      <c r="M64" s="564"/>
      <c r="N64" s="564"/>
      <c r="O64" s="564"/>
      <c r="P64" s="564"/>
      <c r="Q64" s="564"/>
      <c r="R64" s="564"/>
      <c r="S64" s="564"/>
      <c r="T64" s="564"/>
      <c r="U64" s="564"/>
      <c r="V64" s="564"/>
      <c r="W64" s="564"/>
      <c r="X64" s="564"/>
      <c r="Y64" s="564"/>
      <c r="Z64" s="564"/>
      <c r="AA64" s="564"/>
      <c r="AB64" s="556"/>
      <c r="AC64" s="556"/>
      <c r="AD64" s="74"/>
      <c r="AE64" s="74"/>
      <c r="AF64" s="74"/>
      <c r="AG64" s="74"/>
      <c r="AH64" s="74"/>
      <c r="AI64" s="74"/>
      <c r="AJ64" s="74"/>
      <c r="AK64" s="74"/>
      <c r="AL64" s="74"/>
      <c r="AM64" s="74"/>
      <c r="AN64" s="74"/>
      <c r="AO64" s="74"/>
      <c r="AP64" s="74"/>
      <c r="AQ64" s="74"/>
      <c r="AR64" s="74"/>
      <c r="AS64" s="565"/>
      <c r="AT64" s="556"/>
    </row>
    <row r="65" spans="1:46" hidden="1" x14ac:dyDescent="0.45">
      <c r="A65" s="556"/>
      <c r="B65" s="556"/>
      <c r="C65" s="556"/>
      <c r="D65" s="556"/>
      <c r="E65" s="556"/>
      <c r="F65" s="564"/>
      <c r="G65" s="564"/>
      <c r="H65" s="564"/>
      <c r="I65" s="564"/>
      <c r="J65" s="564"/>
      <c r="K65" s="564"/>
      <c r="L65" s="564"/>
      <c r="M65" s="564"/>
      <c r="N65" s="564"/>
      <c r="O65" s="564"/>
      <c r="P65" s="564"/>
      <c r="Q65" s="564"/>
      <c r="R65" s="564"/>
      <c r="S65" s="564"/>
      <c r="T65" s="564"/>
      <c r="U65" s="564"/>
      <c r="V65" s="564"/>
      <c r="W65" s="564"/>
      <c r="X65" s="564"/>
      <c r="Y65" s="564"/>
      <c r="Z65" s="564"/>
      <c r="AA65" s="564"/>
      <c r="AB65" s="556"/>
      <c r="AC65" s="556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  <c r="AS65" s="565"/>
      <c r="AT65" s="556"/>
    </row>
    <row r="66" spans="1:46" hidden="1" x14ac:dyDescent="0.45">
      <c r="A66" s="556"/>
      <c r="B66" s="556"/>
      <c r="C66" s="556"/>
      <c r="D66" s="556"/>
      <c r="E66" s="556"/>
      <c r="F66" s="564"/>
      <c r="G66" s="564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564"/>
      <c r="S66" s="564"/>
      <c r="T66" s="564"/>
      <c r="U66" s="564"/>
      <c r="V66" s="564"/>
      <c r="W66" s="564"/>
      <c r="X66" s="564"/>
      <c r="Y66" s="564"/>
      <c r="Z66" s="564"/>
      <c r="AA66" s="564"/>
      <c r="AB66" s="556"/>
      <c r="AC66" s="556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  <c r="AS66" s="565"/>
      <c r="AT66" s="556"/>
    </row>
    <row r="67" spans="1:46" hidden="1" x14ac:dyDescent="0.45">
      <c r="A67" s="556"/>
      <c r="B67" s="556"/>
      <c r="C67" s="556"/>
      <c r="D67" s="556"/>
      <c r="E67" s="556"/>
      <c r="F67" s="564"/>
      <c r="G67" s="564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564"/>
      <c r="S67" s="564"/>
      <c r="T67" s="564"/>
      <c r="U67" s="564"/>
      <c r="V67" s="564"/>
      <c r="W67" s="564"/>
      <c r="X67" s="564"/>
      <c r="Y67" s="564"/>
      <c r="Z67" s="564"/>
      <c r="AA67" s="564"/>
      <c r="AB67" s="556"/>
      <c r="AC67" s="556"/>
      <c r="AD67" s="74"/>
      <c r="AE67" s="74"/>
      <c r="AF67" s="74"/>
      <c r="AG67" s="74"/>
      <c r="AH67" s="74"/>
      <c r="AI67" s="74"/>
      <c r="AJ67" s="74"/>
      <c r="AK67" s="74"/>
      <c r="AL67" s="74"/>
      <c r="AM67" s="74"/>
      <c r="AN67" s="74"/>
      <c r="AO67" s="74"/>
      <c r="AP67" s="74"/>
      <c r="AQ67" s="74"/>
      <c r="AR67" s="74"/>
      <c r="AS67" s="565"/>
      <c r="AT67" s="556"/>
    </row>
    <row r="68" spans="1:46" hidden="1" x14ac:dyDescent="0.45">
      <c r="A68" s="556"/>
      <c r="B68" s="556"/>
      <c r="C68" s="556"/>
      <c r="D68" s="556"/>
      <c r="E68" s="556"/>
      <c r="F68" s="564"/>
      <c r="G68" s="564"/>
      <c r="H68" s="564"/>
      <c r="I68" s="564"/>
      <c r="J68" s="564"/>
      <c r="K68" s="564"/>
      <c r="L68" s="564"/>
      <c r="M68" s="564"/>
      <c r="N68" s="564"/>
      <c r="O68" s="564"/>
      <c r="P68" s="564"/>
      <c r="Q68" s="564"/>
      <c r="R68" s="564"/>
      <c r="S68" s="564"/>
      <c r="T68" s="564"/>
      <c r="U68" s="564"/>
      <c r="V68" s="564"/>
      <c r="W68" s="564"/>
      <c r="X68" s="564"/>
      <c r="Y68" s="564"/>
      <c r="Z68" s="564"/>
      <c r="AA68" s="564"/>
      <c r="AB68" s="556"/>
      <c r="AC68" s="556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565"/>
      <c r="AT68" s="556"/>
    </row>
    <row r="69" spans="1:46" hidden="1" x14ac:dyDescent="0.45">
      <c r="A69" s="556"/>
      <c r="B69" s="556"/>
      <c r="C69" s="556"/>
      <c r="D69" s="556"/>
      <c r="E69" s="556"/>
      <c r="F69" s="564"/>
      <c r="G69" s="564"/>
      <c r="H69" s="564"/>
      <c r="I69" s="564"/>
      <c r="J69" s="564"/>
      <c r="K69" s="564"/>
      <c r="L69" s="564"/>
      <c r="M69" s="564"/>
      <c r="N69" s="564"/>
      <c r="O69" s="564"/>
      <c r="P69" s="564"/>
      <c r="Q69" s="564"/>
      <c r="R69" s="564"/>
      <c r="S69" s="564"/>
      <c r="T69" s="564"/>
      <c r="U69" s="564"/>
      <c r="V69" s="564"/>
      <c r="W69" s="564"/>
      <c r="X69" s="564"/>
      <c r="Y69" s="564"/>
      <c r="Z69" s="564"/>
      <c r="AA69" s="564"/>
      <c r="AB69" s="556"/>
      <c r="AC69" s="556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565"/>
      <c r="AT69" s="556"/>
    </row>
    <row r="70" spans="1:46" hidden="1" x14ac:dyDescent="0.45">
      <c r="A70" s="556"/>
      <c r="B70" s="556"/>
      <c r="C70" s="556"/>
      <c r="D70" s="556"/>
      <c r="E70" s="556"/>
      <c r="F70" s="564"/>
      <c r="G70" s="564"/>
      <c r="H70" s="564"/>
      <c r="I70" s="564"/>
      <c r="J70" s="564"/>
      <c r="K70" s="564"/>
      <c r="L70" s="564"/>
      <c r="M70" s="564"/>
      <c r="N70" s="564"/>
      <c r="O70" s="564"/>
      <c r="P70" s="564"/>
      <c r="Q70" s="564"/>
      <c r="R70" s="564"/>
      <c r="S70" s="564"/>
      <c r="T70" s="564"/>
      <c r="U70" s="564"/>
      <c r="V70" s="564"/>
      <c r="W70" s="564"/>
      <c r="X70" s="564"/>
      <c r="Y70" s="564"/>
      <c r="Z70" s="564"/>
      <c r="AA70" s="564"/>
      <c r="AB70" s="556"/>
      <c r="AC70" s="556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565"/>
      <c r="AT70" s="556"/>
    </row>
    <row r="71" spans="1:46" hidden="1" x14ac:dyDescent="0.45">
      <c r="A71" s="556"/>
      <c r="B71" s="556"/>
      <c r="C71" s="556"/>
      <c r="D71" s="556"/>
      <c r="E71" s="556"/>
      <c r="F71" s="564"/>
      <c r="G71" s="564"/>
      <c r="H71" s="564"/>
      <c r="I71" s="564"/>
      <c r="J71" s="564"/>
      <c r="K71" s="564"/>
      <c r="L71" s="564"/>
      <c r="M71" s="564"/>
      <c r="N71" s="564"/>
      <c r="O71" s="564"/>
      <c r="P71" s="564"/>
      <c r="Q71" s="564"/>
      <c r="R71" s="564"/>
      <c r="S71" s="564"/>
      <c r="T71" s="564"/>
      <c r="U71" s="564"/>
      <c r="V71" s="564"/>
      <c r="W71" s="564"/>
      <c r="X71" s="564"/>
      <c r="Y71" s="564"/>
      <c r="Z71" s="564"/>
      <c r="AA71" s="564"/>
      <c r="AB71" s="556"/>
      <c r="AC71" s="556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565"/>
      <c r="AT71" s="556"/>
    </row>
    <row r="72" spans="1:46" hidden="1" x14ac:dyDescent="0.45">
      <c r="A72" s="556"/>
      <c r="B72" s="556"/>
      <c r="C72" s="556"/>
      <c r="D72" s="556"/>
      <c r="E72" s="556"/>
      <c r="F72" s="564"/>
      <c r="G72" s="564"/>
      <c r="H72" s="564"/>
      <c r="I72" s="564"/>
      <c r="J72" s="564"/>
      <c r="K72" s="564"/>
      <c r="L72" s="564"/>
      <c r="M72" s="564"/>
      <c r="N72" s="564"/>
      <c r="O72" s="564"/>
      <c r="P72" s="564"/>
      <c r="Q72" s="564"/>
      <c r="R72" s="564"/>
      <c r="S72" s="564"/>
      <c r="T72" s="564"/>
      <c r="U72" s="564"/>
      <c r="V72" s="564"/>
      <c r="W72" s="564"/>
      <c r="X72" s="564"/>
      <c r="Y72" s="564"/>
      <c r="Z72" s="564"/>
      <c r="AA72" s="564"/>
      <c r="AB72" s="556"/>
      <c r="AC72" s="556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565"/>
      <c r="AT72" s="556"/>
    </row>
    <row r="73" spans="1:46" hidden="1" x14ac:dyDescent="0.45">
      <c r="A73" s="556"/>
      <c r="B73" s="556"/>
      <c r="C73" s="556"/>
      <c r="D73" s="556"/>
      <c r="E73" s="556"/>
      <c r="F73" s="564"/>
      <c r="G73" s="564"/>
      <c r="H73" s="564"/>
      <c r="I73" s="564"/>
      <c r="J73" s="564"/>
      <c r="K73" s="564"/>
      <c r="L73" s="564"/>
      <c r="M73" s="564"/>
      <c r="N73" s="564"/>
      <c r="O73" s="564"/>
      <c r="P73" s="564"/>
      <c r="Q73" s="564"/>
      <c r="R73" s="564"/>
      <c r="S73" s="564"/>
      <c r="T73" s="564"/>
      <c r="U73" s="564"/>
      <c r="V73" s="564"/>
      <c r="W73" s="564"/>
      <c r="X73" s="564"/>
      <c r="Y73" s="564"/>
      <c r="Z73" s="564"/>
      <c r="AA73" s="564"/>
      <c r="AB73" s="556"/>
      <c r="AC73" s="556"/>
      <c r="AD73" s="74"/>
      <c r="AE73" s="74"/>
      <c r="AF73" s="74"/>
      <c r="AG73" s="74"/>
      <c r="AH73" s="74"/>
      <c r="AI73" s="74"/>
      <c r="AJ73" s="74"/>
      <c r="AK73" s="74"/>
      <c r="AL73" s="74"/>
      <c r="AM73" s="74"/>
      <c r="AN73" s="74"/>
      <c r="AO73" s="74"/>
      <c r="AP73" s="74"/>
      <c r="AQ73" s="74"/>
      <c r="AR73" s="74"/>
      <c r="AS73" s="565"/>
      <c r="AT73" s="556"/>
    </row>
    <row r="74" spans="1:46" hidden="1" x14ac:dyDescent="0.45">
      <c r="A74" s="556"/>
      <c r="B74" s="556"/>
      <c r="C74" s="556"/>
      <c r="D74" s="556"/>
      <c r="E74" s="556"/>
      <c r="F74" s="564"/>
      <c r="G74" s="564"/>
      <c r="H74" s="564"/>
      <c r="I74" s="564"/>
      <c r="J74" s="564"/>
      <c r="K74" s="564"/>
      <c r="L74" s="564"/>
      <c r="M74" s="564"/>
      <c r="N74" s="564"/>
      <c r="O74" s="564"/>
      <c r="P74" s="564"/>
      <c r="Q74" s="564"/>
      <c r="R74" s="564"/>
      <c r="S74" s="564"/>
      <c r="T74" s="564"/>
      <c r="U74" s="564"/>
      <c r="V74" s="564"/>
      <c r="W74" s="564"/>
      <c r="X74" s="564"/>
      <c r="Y74" s="564"/>
      <c r="Z74" s="564"/>
      <c r="AA74" s="564"/>
      <c r="AB74" s="556"/>
      <c r="AC74" s="556"/>
      <c r="AD74" s="74"/>
      <c r="AE74" s="74"/>
      <c r="AF74" s="74"/>
      <c r="AG74" s="74"/>
      <c r="AH74" s="74"/>
      <c r="AI74" s="74"/>
      <c r="AJ74" s="74"/>
      <c r="AK74" s="74"/>
      <c r="AL74" s="74"/>
      <c r="AM74" s="74"/>
      <c r="AN74" s="74"/>
      <c r="AO74" s="74"/>
      <c r="AP74" s="74"/>
      <c r="AQ74" s="74"/>
      <c r="AR74" s="74"/>
      <c r="AS74" s="565"/>
      <c r="AT74" s="556"/>
    </row>
    <row r="75" spans="1:46" hidden="1" x14ac:dyDescent="0.45">
      <c r="A75" s="556"/>
      <c r="B75" s="556"/>
      <c r="C75" s="556"/>
      <c r="D75" s="556"/>
      <c r="E75" s="556"/>
      <c r="F75" s="564"/>
      <c r="G75" s="564"/>
      <c r="H75" s="564"/>
      <c r="I75" s="564"/>
      <c r="J75" s="564"/>
      <c r="K75" s="564"/>
      <c r="L75" s="564"/>
      <c r="M75" s="564"/>
      <c r="N75" s="564"/>
      <c r="O75" s="564"/>
      <c r="P75" s="564"/>
      <c r="Q75" s="564"/>
      <c r="R75" s="564"/>
      <c r="S75" s="564"/>
      <c r="T75" s="564"/>
      <c r="U75" s="564"/>
      <c r="V75" s="564"/>
      <c r="W75" s="564"/>
      <c r="X75" s="564"/>
      <c r="Y75" s="564"/>
      <c r="Z75" s="564"/>
      <c r="AA75" s="564"/>
      <c r="AB75" s="556"/>
      <c r="AC75" s="556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565"/>
      <c r="AT75" s="556"/>
    </row>
    <row r="76" spans="1:46" hidden="1" x14ac:dyDescent="0.45">
      <c r="A76" s="556"/>
      <c r="B76" s="556"/>
      <c r="C76" s="556"/>
      <c r="D76" s="556"/>
      <c r="E76" s="556"/>
      <c r="F76" s="564"/>
      <c r="G76" s="564"/>
      <c r="H76" s="564"/>
      <c r="I76" s="564"/>
      <c r="J76" s="564"/>
      <c r="K76" s="564"/>
      <c r="L76" s="564"/>
      <c r="M76" s="564"/>
      <c r="N76" s="564"/>
      <c r="O76" s="564"/>
      <c r="P76" s="564"/>
      <c r="Q76" s="564"/>
      <c r="R76" s="564"/>
      <c r="S76" s="564"/>
      <c r="T76" s="564"/>
      <c r="U76" s="564"/>
      <c r="V76" s="564"/>
      <c r="W76" s="564"/>
      <c r="X76" s="564"/>
      <c r="Y76" s="564"/>
      <c r="Z76" s="564"/>
      <c r="AA76" s="564"/>
      <c r="AB76" s="556"/>
      <c r="AC76" s="556"/>
      <c r="AD76" s="74"/>
      <c r="AE76" s="74"/>
      <c r="AF76" s="74"/>
      <c r="AG76" s="74"/>
      <c r="AH76" s="74"/>
      <c r="AI76" s="74"/>
      <c r="AJ76" s="74"/>
      <c r="AK76" s="74"/>
      <c r="AL76" s="74"/>
      <c r="AM76" s="74"/>
      <c r="AN76" s="74"/>
      <c r="AO76" s="74"/>
      <c r="AP76" s="74"/>
      <c r="AQ76" s="74"/>
      <c r="AR76" s="74"/>
      <c r="AS76" s="565"/>
      <c r="AT76" s="556"/>
    </row>
    <row r="77" spans="1:46" hidden="1" x14ac:dyDescent="0.45">
      <c r="A77" s="556"/>
      <c r="B77" s="556"/>
      <c r="C77" s="556"/>
      <c r="D77" s="556"/>
      <c r="E77" s="556"/>
      <c r="F77" s="564"/>
      <c r="G77" s="564"/>
      <c r="H77" s="564"/>
      <c r="I77" s="564"/>
      <c r="J77" s="564"/>
      <c r="K77" s="564"/>
      <c r="L77" s="564"/>
      <c r="M77" s="564"/>
      <c r="N77" s="564"/>
      <c r="O77" s="564"/>
      <c r="P77" s="564"/>
      <c r="Q77" s="564"/>
      <c r="R77" s="564"/>
      <c r="S77" s="564"/>
      <c r="T77" s="564"/>
      <c r="U77" s="564"/>
      <c r="V77" s="564"/>
      <c r="W77" s="564"/>
      <c r="X77" s="564"/>
      <c r="Y77" s="564"/>
      <c r="Z77" s="564"/>
      <c r="AA77" s="564"/>
      <c r="AB77" s="556"/>
      <c r="AC77" s="556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74"/>
      <c r="AS77" s="565"/>
      <c r="AT77" s="556"/>
    </row>
    <row r="78" spans="1:46" hidden="1" x14ac:dyDescent="0.45">
      <c r="A78" s="556"/>
      <c r="B78" s="556"/>
      <c r="C78" s="556"/>
      <c r="D78" s="556"/>
      <c r="E78" s="556"/>
      <c r="F78" s="564"/>
      <c r="G78" s="564"/>
      <c r="H78" s="564"/>
      <c r="I78" s="564"/>
      <c r="J78" s="564"/>
      <c r="K78" s="564"/>
      <c r="L78" s="564"/>
      <c r="M78" s="564"/>
      <c r="N78" s="564"/>
      <c r="O78" s="564"/>
      <c r="P78" s="564"/>
      <c r="Q78" s="564"/>
      <c r="R78" s="564"/>
      <c r="S78" s="564"/>
      <c r="T78" s="564"/>
      <c r="U78" s="564"/>
      <c r="V78" s="564"/>
      <c r="W78" s="564"/>
      <c r="X78" s="564"/>
      <c r="Y78" s="564"/>
      <c r="Z78" s="564"/>
      <c r="AA78" s="564"/>
      <c r="AB78" s="556"/>
      <c r="AC78" s="556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  <c r="AR78" s="74"/>
      <c r="AS78" s="565"/>
      <c r="AT78" s="556"/>
    </row>
    <row r="79" spans="1:46" hidden="1" x14ac:dyDescent="0.45">
      <c r="A79" s="556"/>
      <c r="B79" s="556"/>
      <c r="C79" s="556"/>
      <c r="D79" s="556"/>
      <c r="E79" s="556"/>
      <c r="F79" s="564"/>
      <c r="G79" s="564"/>
      <c r="H79" s="564"/>
      <c r="I79" s="564"/>
      <c r="J79" s="564"/>
      <c r="K79" s="564"/>
      <c r="L79" s="564"/>
      <c r="M79" s="564"/>
      <c r="N79" s="564"/>
      <c r="O79" s="564"/>
      <c r="P79" s="564"/>
      <c r="Q79" s="564"/>
      <c r="R79" s="564"/>
      <c r="S79" s="564"/>
      <c r="T79" s="564"/>
      <c r="U79" s="564"/>
      <c r="V79" s="564"/>
      <c r="W79" s="564"/>
      <c r="X79" s="564"/>
      <c r="Y79" s="564"/>
      <c r="Z79" s="564"/>
      <c r="AA79" s="564"/>
      <c r="AB79" s="556"/>
      <c r="AC79" s="556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  <c r="AS79" s="565"/>
      <c r="AT79" s="556"/>
    </row>
    <row r="80" spans="1:46" hidden="1" x14ac:dyDescent="0.45">
      <c r="A80" s="556"/>
      <c r="B80" s="556"/>
      <c r="C80" s="556"/>
      <c r="D80" s="556"/>
      <c r="E80" s="556"/>
      <c r="F80" s="564"/>
      <c r="G80" s="564"/>
      <c r="H80" s="564"/>
      <c r="I80" s="564"/>
      <c r="J80" s="564"/>
      <c r="K80" s="564"/>
      <c r="L80" s="564"/>
      <c r="M80" s="564"/>
      <c r="N80" s="564"/>
      <c r="O80" s="564"/>
      <c r="P80" s="564"/>
      <c r="Q80" s="564"/>
      <c r="R80" s="564"/>
      <c r="S80" s="564"/>
      <c r="T80" s="564"/>
      <c r="U80" s="564"/>
      <c r="V80" s="564"/>
      <c r="W80" s="564"/>
      <c r="X80" s="564"/>
      <c r="Y80" s="564"/>
      <c r="Z80" s="564"/>
      <c r="AA80" s="564"/>
      <c r="AB80" s="556"/>
      <c r="AC80" s="556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  <c r="AS80" s="565"/>
      <c r="AT80" s="556"/>
    </row>
    <row r="81" spans="1:46" hidden="1" x14ac:dyDescent="0.45">
      <c r="A81" s="556"/>
      <c r="B81" s="556"/>
      <c r="C81" s="556"/>
      <c r="D81" s="556"/>
      <c r="E81" s="556"/>
      <c r="F81" s="564"/>
      <c r="G81" s="564"/>
      <c r="H81" s="564"/>
      <c r="I81" s="564"/>
      <c r="J81" s="564"/>
      <c r="K81" s="564"/>
      <c r="L81" s="564"/>
      <c r="M81" s="564"/>
      <c r="N81" s="564"/>
      <c r="O81" s="564"/>
      <c r="P81" s="564"/>
      <c r="Q81" s="564"/>
      <c r="R81" s="564"/>
      <c r="S81" s="564"/>
      <c r="T81" s="564"/>
      <c r="U81" s="564"/>
      <c r="V81" s="564"/>
      <c r="W81" s="564"/>
      <c r="X81" s="564"/>
      <c r="Y81" s="564"/>
      <c r="Z81" s="564"/>
      <c r="AA81" s="564"/>
      <c r="AB81" s="556"/>
      <c r="AC81" s="556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  <c r="AS81" s="565"/>
      <c r="AT81" s="556"/>
    </row>
    <row r="82" spans="1:46" hidden="1" x14ac:dyDescent="0.45">
      <c r="A82" s="556"/>
      <c r="B82" s="556"/>
      <c r="C82" s="556"/>
      <c r="D82" s="556"/>
      <c r="E82" s="556"/>
      <c r="F82" s="564"/>
      <c r="G82" s="564"/>
      <c r="H82" s="564"/>
      <c r="I82" s="564"/>
      <c r="J82" s="564"/>
      <c r="K82" s="564"/>
      <c r="L82" s="564"/>
      <c r="M82" s="564"/>
      <c r="N82" s="564"/>
      <c r="O82" s="564"/>
      <c r="P82" s="564"/>
      <c r="Q82" s="564"/>
      <c r="R82" s="564"/>
      <c r="S82" s="564"/>
      <c r="T82" s="564"/>
      <c r="U82" s="564"/>
      <c r="V82" s="564"/>
      <c r="W82" s="564"/>
      <c r="X82" s="564"/>
      <c r="Y82" s="564"/>
      <c r="Z82" s="564"/>
      <c r="AA82" s="564"/>
      <c r="AB82" s="556"/>
      <c r="AC82" s="556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565"/>
      <c r="AT82" s="556"/>
    </row>
    <row r="83" spans="1:46" hidden="1" x14ac:dyDescent="0.45">
      <c r="A83" s="556"/>
      <c r="B83" s="556"/>
      <c r="C83" s="556"/>
      <c r="D83" s="556"/>
      <c r="E83" s="556"/>
      <c r="F83" s="564"/>
      <c r="G83" s="564"/>
      <c r="H83" s="564"/>
      <c r="I83" s="564"/>
      <c r="J83" s="564"/>
      <c r="K83" s="564"/>
      <c r="L83" s="564"/>
      <c r="M83" s="564"/>
      <c r="N83" s="564"/>
      <c r="O83" s="564"/>
      <c r="P83" s="564"/>
      <c r="Q83" s="564"/>
      <c r="R83" s="564"/>
      <c r="S83" s="564"/>
      <c r="T83" s="564"/>
      <c r="U83" s="564"/>
      <c r="V83" s="564"/>
      <c r="W83" s="564"/>
      <c r="X83" s="564"/>
      <c r="Y83" s="564"/>
      <c r="Z83" s="564"/>
      <c r="AA83" s="564"/>
      <c r="AB83" s="556"/>
      <c r="AC83" s="556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  <c r="AS83" s="565"/>
      <c r="AT83" s="556"/>
    </row>
    <row r="84" spans="1:46" hidden="1" x14ac:dyDescent="0.45">
      <c r="A84" s="556"/>
      <c r="B84" s="556"/>
      <c r="C84" s="556"/>
      <c r="D84" s="556"/>
      <c r="E84" s="556"/>
      <c r="F84" s="564"/>
      <c r="G84" s="564"/>
      <c r="H84" s="564"/>
      <c r="I84" s="564"/>
      <c r="J84" s="564"/>
      <c r="K84" s="564"/>
      <c r="L84" s="564"/>
      <c r="M84" s="564"/>
      <c r="N84" s="564"/>
      <c r="O84" s="564"/>
      <c r="P84" s="564"/>
      <c r="Q84" s="564"/>
      <c r="R84" s="564"/>
      <c r="S84" s="564"/>
      <c r="T84" s="564"/>
      <c r="U84" s="564"/>
      <c r="V84" s="564"/>
      <c r="W84" s="564"/>
      <c r="X84" s="564"/>
      <c r="Y84" s="564"/>
      <c r="Z84" s="564"/>
      <c r="AA84" s="564"/>
      <c r="AB84" s="556"/>
      <c r="AC84" s="556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565"/>
      <c r="AT84" s="556"/>
    </row>
    <row r="85" spans="1:46" hidden="1" x14ac:dyDescent="0.45">
      <c r="A85" s="556"/>
      <c r="B85" s="556"/>
      <c r="C85" s="556"/>
      <c r="D85" s="556"/>
      <c r="E85" s="556"/>
      <c r="F85" s="564"/>
      <c r="G85" s="564"/>
      <c r="H85" s="564"/>
      <c r="I85" s="564"/>
      <c r="J85" s="564"/>
      <c r="K85" s="564"/>
      <c r="L85" s="564"/>
      <c r="M85" s="564"/>
      <c r="N85" s="564"/>
      <c r="O85" s="564"/>
      <c r="P85" s="564"/>
      <c r="Q85" s="564"/>
      <c r="R85" s="564"/>
      <c r="S85" s="564"/>
      <c r="T85" s="564"/>
      <c r="U85" s="564"/>
      <c r="V85" s="564"/>
      <c r="W85" s="564"/>
      <c r="X85" s="564"/>
      <c r="Y85" s="564"/>
      <c r="Z85" s="564"/>
      <c r="AA85" s="564"/>
      <c r="AB85" s="556"/>
      <c r="AC85" s="556"/>
      <c r="AD85" s="74"/>
      <c r="AE85" s="74"/>
      <c r="AF85" s="74"/>
      <c r="AG85" s="74"/>
      <c r="AH85" s="74"/>
      <c r="AI85" s="74"/>
      <c r="AJ85" s="74"/>
      <c r="AK85" s="74"/>
      <c r="AL85" s="74"/>
      <c r="AM85" s="74"/>
      <c r="AN85" s="74"/>
      <c r="AO85" s="74"/>
      <c r="AP85" s="74"/>
      <c r="AQ85" s="74"/>
      <c r="AR85" s="74"/>
      <c r="AS85" s="565"/>
      <c r="AT85" s="556"/>
    </row>
    <row r="86" spans="1:46" hidden="1" x14ac:dyDescent="0.45">
      <c r="A86" s="556"/>
      <c r="B86" s="556"/>
      <c r="C86" s="556"/>
      <c r="D86" s="556"/>
      <c r="E86" s="556"/>
      <c r="F86" s="564"/>
      <c r="G86" s="564"/>
      <c r="H86" s="564"/>
      <c r="I86" s="564"/>
      <c r="J86" s="564"/>
      <c r="K86" s="564"/>
      <c r="L86" s="564"/>
      <c r="M86" s="564"/>
      <c r="N86" s="564"/>
      <c r="O86" s="564"/>
      <c r="P86" s="564"/>
      <c r="Q86" s="564"/>
      <c r="R86" s="564"/>
      <c r="S86" s="564"/>
      <c r="T86" s="564"/>
      <c r="U86" s="564"/>
      <c r="V86" s="564"/>
      <c r="W86" s="564"/>
      <c r="X86" s="564"/>
      <c r="Y86" s="564"/>
      <c r="Z86" s="564"/>
      <c r="AA86" s="564"/>
      <c r="AB86" s="556"/>
      <c r="AC86" s="556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  <c r="AS86" s="565"/>
      <c r="AT86" s="556"/>
    </row>
    <row r="87" spans="1:46" hidden="1" x14ac:dyDescent="0.45">
      <c r="A87" s="556"/>
      <c r="B87" s="556"/>
      <c r="C87" s="556"/>
      <c r="D87" s="556"/>
      <c r="E87" s="556"/>
      <c r="F87" s="564"/>
      <c r="G87" s="564"/>
      <c r="H87" s="564"/>
      <c r="I87" s="564"/>
      <c r="J87" s="564"/>
      <c r="K87" s="564"/>
      <c r="L87" s="564"/>
      <c r="M87" s="564"/>
      <c r="N87" s="564"/>
      <c r="O87" s="564"/>
      <c r="P87" s="564"/>
      <c r="Q87" s="564"/>
      <c r="R87" s="564"/>
      <c r="S87" s="564"/>
      <c r="T87" s="564"/>
      <c r="U87" s="564"/>
      <c r="V87" s="564"/>
      <c r="W87" s="564"/>
      <c r="X87" s="564"/>
      <c r="Y87" s="564"/>
      <c r="Z87" s="564"/>
      <c r="AA87" s="564"/>
      <c r="AB87" s="556"/>
      <c r="AC87" s="556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4"/>
      <c r="AP87" s="74"/>
      <c r="AQ87" s="74"/>
      <c r="AR87" s="74"/>
      <c r="AS87" s="565"/>
      <c r="AT87" s="556"/>
    </row>
    <row r="88" spans="1:46" hidden="1" x14ac:dyDescent="0.45">
      <c r="A88" s="556"/>
      <c r="B88" s="556"/>
      <c r="C88" s="556"/>
      <c r="D88" s="556"/>
      <c r="E88" s="556"/>
      <c r="F88" s="564"/>
      <c r="G88" s="564"/>
      <c r="H88" s="564"/>
      <c r="I88" s="564"/>
      <c r="J88" s="564"/>
      <c r="K88" s="564"/>
      <c r="L88" s="564"/>
      <c r="M88" s="564"/>
      <c r="N88" s="564"/>
      <c r="O88" s="564"/>
      <c r="P88" s="564"/>
      <c r="Q88" s="564"/>
      <c r="R88" s="564"/>
      <c r="S88" s="564"/>
      <c r="T88" s="564"/>
      <c r="U88" s="564"/>
      <c r="V88" s="564"/>
      <c r="W88" s="564"/>
      <c r="X88" s="564"/>
      <c r="Y88" s="564"/>
      <c r="Z88" s="564"/>
      <c r="AA88" s="564"/>
      <c r="AB88" s="556"/>
      <c r="AC88" s="556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  <c r="AP88" s="74"/>
      <c r="AQ88" s="74"/>
      <c r="AR88" s="74"/>
      <c r="AS88" s="565"/>
      <c r="AT88" s="556"/>
    </row>
    <row r="89" spans="1:46" hidden="1" x14ac:dyDescent="0.45">
      <c r="A89" s="556"/>
      <c r="B89" s="556"/>
      <c r="C89" s="556"/>
      <c r="D89" s="556"/>
      <c r="E89" s="556"/>
      <c r="F89" s="564"/>
      <c r="G89" s="564"/>
      <c r="H89" s="564"/>
      <c r="I89" s="564"/>
      <c r="J89" s="564"/>
      <c r="K89" s="564"/>
      <c r="L89" s="564"/>
      <c r="M89" s="564"/>
      <c r="N89" s="564"/>
      <c r="O89" s="564"/>
      <c r="P89" s="564"/>
      <c r="Q89" s="564"/>
      <c r="R89" s="564"/>
      <c r="S89" s="564"/>
      <c r="T89" s="564"/>
      <c r="U89" s="564"/>
      <c r="V89" s="564"/>
      <c r="W89" s="564"/>
      <c r="X89" s="564"/>
      <c r="Y89" s="564"/>
      <c r="Z89" s="564"/>
      <c r="AA89" s="564"/>
      <c r="AB89" s="556"/>
      <c r="AC89" s="556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4"/>
      <c r="AP89" s="74"/>
      <c r="AQ89" s="74"/>
      <c r="AR89" s="74"/>
      <c r="AS89" s="565"/>
      <c r="AT89" s="556"/>
    </row>
    <row r="90" spans="1:46" hidden="1" x14ac:dyDescent="0.45">
      <c r="A90" s="556"/>
      <c r="B90" s="556"/>
      <c r="C90" s="556"/>
      <c r="D90" s="556"/>
      <c r="E90" s="556"/>
      <c r="F90" s="564"/>
      <c r="G90" s="564"/>
      <c r="H90" s="564"/>
      <c r="I90" s="564"/>
      <c r="J90" s="564"/>
      <c r="K90" s="564"/>
      <c r="L90" s="564"/>
      <c r="M90" s="564"/>
      <c r="N90" s="564"/>
      <c r="O90" s="564"/>
      <c r="P90" s="564"/>
      <c r="Q90" s="564"/>
      <c r="R90" s="564"/>
      <c r="S90" s="564"/>
      <c r="T90" s="564"/>
      <c r="U90" s="564"/>
      <c r="V90" s="564"/>
      <c r="W90" s="564"/>
      <c r="X90" s="564"/>
      <c r="Y90" s="564"/>
      <c r="Z90" s="564"/>
      <c r="AA90" s="564"/>
      <c r="AB90" s="556"/>
      <c r="AC90" s="556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4"/>
      <c r="AP90" s="74"/>
      <c r="AQ90" s="74"/>
      <c r="AR90" s="74"/>
      <c r="AS90" s="565"/>
      <c r="AT90" s="556"/>
    </row>
    <row r="91" spans="1:46" hidden="1" x14ac:dyDescent="0.45">
      <c r="A91" s="556"/>
      <c r="B91" s="556"/>
      <c r="C91" s="556"/>
      <c r="D91" s="556"/>
      <c r="E91" s="556"/>
      <c r="F91" s="564"/>
      <c r="G91" s="564"/>
      <c r="H91" s="564"/>
      <c r="I91" s="564"/>
      <c r="J91" s="564"/>
      <c r="K91" s="564"/>
      <c r="L91" s="564"/>
      <c r="M91" s="564"/>
      <c r="N91" s="564"/>
      <c r="O91" s="564"/>
      <c r="P91" s="564"/>
      <c r="Q91" s="564"/>
      <c r="R91" s="564"/>
      <c r="S91" s="564"/>
      <c r="T91" s="564"/>
      <c r="U91" s="564"/>
      <c r="V91" s="564"/>
      <c r="W91" s="564"/>
      <c r="X91" s="564"/>
      <c r="Y91" s="564"/>
      <c r="Z91" s="564"/>
      <c r="AA91" s="564"/>
      <c r="AB91" s="556"/>
      <c r="AC91" s="556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O91" s="74"/>
      <c r="AP91" s="74"/>
      <c r="AQ91" s="74"/>
      <c r="AR91" s="74"/>
      <c r="AS91" s="565"/>
      <c r="AT91" s="556"/>
    </row>
    <row r="92" spans="1:46" hidden="1" x14ac:dyDescent="0.45">
      <c r="A92" s="556"/>
      <c r="B92" s="556"/>
      <c r="C92" s="556"/>
      <c r="D92" s="556"/>
      <c r="E92" s="556"/>
      <c r="F92" s="564"/>
      <c r="G92" s="564"/>
      <c r="H92" s="564"/>
      <c r="I92" s="564"/>
      <c r="J92" s="564"/>
      <c r="K92" s="564"/>
      <c r="L92" s="564"/>
      <c r="M92" s="564"/>
      <c r="N92" s="564"/>
      <c r="O92" s="564"/>
      <c r="P92" s="564"/>
      <c r="Q92" s="564"/>
      <c r="R92" s="564"/>
      <c r="S92" s="564"/>
      <c r="T92" s="564"/>
      <c r="U92" s="564"/>
      <c r="V92" s="564"/>
      <c r="W92" s="564"/>
      <c r="X92" s="564"/>
      <c r="Y92" s="564"/>
      <c r="Z92" s="564"/>
      <c r="AA92" s="564"/>
      <c r="AB92" s="556"/>
      <c r="AC92" s="556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4"/>
      <c r="AP92" s="74"/>
      <c r="AQ92" s="74"/>
      <c r="AR92" s="74"/>
      <c r="AS92" s="565"/>
      <c r="AT92" s="556"/>
    </row>
    <row r="93" spans="1:46" hidden="1" x14ac:dyDescent="0.45">
      <c r="A93" s="556"/>
      <c r="B93" s="556"/>
      <c r="C93" s="556"/>
      <c r="D93" s="556"/>
      <c r="E93" s="556"/>
      <c r="F93" s="564"/>
      <c r="G93" s="564"/>
      <c r="H93" s="564"/>
      <c r="I93" s="564"/>
      <c r="J93" s="564"/>
      <c r="K93" s="564"/>
      <c r="L93" s="564"/>
      <c r="M93" s="564"/>
      <c r="N93" s="564"/>
      <c r="O93" s="564"/>
      <c r="P93" s="564"/>
      <c r="Q93" s="564"/>
      <c r="R93" s="564"/>
      <c r="S93" s="564"/>
      <c r="T93" s="564"/>
      <c r="U93" s="564"/>
      <c r="V93" s="564"/>
      <c r="W93" s="564"/>
      <c r="X93" s="564"/>
      <c r="Y93" s="564"/>
      <c r="Z93" s="564"/>
      <c r="AA93" s="564"/>
      <c r="AB93" s="556"/>
      <c r="AC93" s="556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4"/>
      <c r="AP93" s="74"/>
      <c r="AQ93" s="74"/>
      <c r="AR93" s="74"/>
      <c r="AS93" s="565"/>
      <c r="AT93" s="556"/>
    </row>
    <row r="94" spans="1:46" hidden="1" x14ac:dyDescent="0.45">
      <c r="A94" s="556"/>
      <c r="B94" s="556"/>
      <c r="C94" s="556"/>
      <c r="D94" s="556"/>
      <c r="E94" s="556"/>
      <c r="F94" s="564"/>
      <c r="G94" s="564"/>
      <c r="H94" s="564"/>
      <c r="I94" s="564"/>
      <c r="J94" s="564"/>
      <c r="K94" s="564"/>
      <c r="L94" s="564"/>
      <c r="M94" s="564"/>
      <c r="N94" s="564"/>
      <c r="O94" s="564"/>
      <c r="P94" s="564"/>
      <c r="Q94" s="564"/>
      <c r="R94" s="564"/>
      <c r="S94" s="564"/>
      <c r="T94" s="564"/>
      <c r="U94" s="564"/>
      <c r="V94" s="564"/>
      <c r="W94" s="564"/>
      <c r="X94" s="564"/>
      <c r="Y94" s="564"/>
      <c r="Z94" s="564"/>
      <c r="AA94" s="564"/>
      <c r="AB94" s="556"/>
      <c r="AC94" s="556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4"/>
      <c r="AP94" s="74"/>
      <c r="AQ94" s="74"/>
      <c r="AR94" s="74"/>
      <c r="AS94" s="565"/>
      <c r="AT94" s="556"/>
    </row>
    <row r="95" spans="1:46" hidden="1" x14ac:dyDescent="0.45">
      <c r="A95" s="556"/>
      <c r="B95" s="556"/>
      <c r="C95" s="556"/>
      <c r="D95" s="556"/>
      <c r="E95" s="556"/>
      <c r="F95" s="564"/>
      <c r="G95" s="564"/>
      <c r="H95" s="564"/>
      <c r="I95" s="564"/>
      <c r="J95" s="564"/>
      <c r="K95" s="564"/>
      <c r="L95" s="564"/>
      <c r="M95" s="564"/>
      <c r="N95" s="564"/>
      <c r="O95" s="564"/>
      <c r="P95" s="564"/>
      <c r="Q95" s="564"/>
      <c r="R95" s="564"/>
      <c r="S95" s="564"/>
      <c r="T95" s="564"/>
      <c r="U95" s="564"/>
      <c r="V95" s="564"/>
      <c r="W95" s="564"/>
      <c r="X95" s="564"/>
      <c r="Y95" s="564"/>
      <c r="Z95" s="564"/>
      <c r="AA95" s="564"/>
      <c r="AB95" s="556"/>
      <c r="AC95" s="556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  <c r="AS95" s="565"/>
      <c r="AT95" s="556"/>
    </row>
    <row r="96" spans="1:46" hidden="1" x14ac:dyDescent="0.45">
      <c r="A96" s="556"/>
      <c r="B96" s="556"/>
      <c r="C96" s="556"/>
      <c r="D96" s="556"/>
      <c r="E96" s="556"/>
      <c r="F96" s="564"/>
      <c r="G96" s="564"/>
      <c r="H96" s="564"/>
      <c r="I96" s="564"/>
      <c r="J96" s="564"/>
      <c r="K96" s="564"/>
      <c r="L96" s="564"/>
      <c r="M96" s="564"/>
      <c r="N96" s="564"/>
      <c r="O96" s="564"/>
      <c r="P96" s="564"/>
      <c r="Q96" s="564"/>
      <c r="R96" s="564"/>
      <c r="S96" s="564"/>
      <c r="T96" s="564"/>
      <c r="U96" s="564"/>
      <c r="V96" s="564"/>
      <c r="W96" s="564"/>
      <c r="X96" s="564"/>
      <c r="Y96" s="564"/>
      <c r="Z96" s="564"/>
      <c r="AA96" s="564"/>
      <c r="AB96" s="556"/>
      <c r="AC96" s="556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  <c r="AR96" s="74"/>
      <c r="AS96" s="565"/>
      <c r="AT96" s="556"/>
    </row>
    <row r="97" spans="1:46" hidden="1" x14ac:dyDescent="0.45">
      <c r="A97" s="556"/>
      <c r="B97" s="556"/>
      <c r="C97" s="556"/>
      <c r="D97" s="556"/>
      <c r="E97" s="556"/>
      <c r="F97" s="564"/>
      <c r="G97" s="564"/>
      <c r="H97" s="564"/>
      <c r="I97" s="564"/>
      <c r="J97" s="564"/>
      <c r="K97" s="564"/>
      <c r="L97" s="564"/>
      <c r="M97" s="564"/>
      <c r="N97" s="564"/>
      <c r="O97" s="564"/>
      <c r="P97" s="564"/>
      <c r="Q97" s="564"/>
      <c r="R97" s="564"/>
      <c r="S97" s="564"/>
      <c r="T97" s="564"/>
      <c r="U97" s="564"/>
      <c r="V97" s="564"/>
      <c r="W97" s="564"/>
      <c r="X97" s="564"/>
      <c r="Y97" s="564"/>
      <c r="Z97" s="564"/>
      <c r="AA97" s="564"/>
      <c r="AB97" s="556"/>
      <c r="AC97" s="556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  <c r="AP97" s="74"/>
      <c r="AQ97" s="74"/>
      <c r="AR97" s="74"/>
      <c r="AS97" s="565"/>
      <c r="AT97" s="556"/>
    </row>
    <row r="98" spans="1:46" hidden="1" x14ac:dyDescent="0.45">
      <c r="A98" s="556"/>
      <c r="B98" s="556"/>
      <c r="C98" s="556"/>
      <c r="D98" s="556"/>
      <c r="E98" s="556"/>
      <c r="F98" s="564"/>
      <c r="G98" s="564"/>
      <c r="H98" s="564"/>
      <c r="I98" s="564"/>
      <c r="J98" s="564"/>
      <c r="K98" s="564"/>
      <c r="L98" s="564"/>
      <c r="M98" s="564"/>
      <c r="N98" s="564"/>
      <c r="O98" s="564"/>
      <c r="P98" s="564"/>
      <c r="Q98" s="564"/>
      <c r="R98" s="564"/>
      <c r="S98" s="564"/>
      <c r="T98" s="564"/>
      <c r="U98" s="564"/>
      <c r="V98" s="564"/>
      <c r="W98" s="564"/>
      <c r="X98" s="564"/>
      <c r="Y98" s="564"/>
      <c r="Z98" s="564"/>
      <c r="AA98" s="564"/>
      <c r="AB98" s="556"/>
      <c r="AC98" s="556"/>
      <c r="AD98" s="74"/>
      <c r="AE98" s="74"/>
      <c r="AF98" s="74"/>
      <c r="AG98" s="74"/>
      <c r="AH98" s="74"/>
      <c r="AI98" s="74"/>
      <c r="AJ98" s="74"/>
      <c r="AK98" s="74"/>
      <c r="AL98" s="74"/>
      <c r="AM98" s="74"/>
      <c r="AN98" s="74"/>
      <c r="AO98" s="74"/>
      <c r="AP98" s="74"/>
      <c r="AQ98" s="74"/>
      <c r="AR98" s="74"/>
      <c r="AS98" s="565"/>
      <c r="AT98" s="556"/>
    </row>
    <row r="99" spans="1:46" hidden="1" x14ac:dyDescent="0.45">
      <c r="A99" s="556"/>
      <c r="B99" s="556"/>
      <c r="C99" s="556"/>
      <c r="D99" s="556"/>
      <c r="E99" s="556"/>
      <c r="F99" s="564"/>
      <c r="G99" s="564"/>
      <c r="H99" s="564"/>
      <c r="I99" s="564"/>
      <c r="J99" s="564"/>
      <c r="K99" s="564"/>
      <c r="L99" s="564"/>
      <c r="M99" s="564"/>
      <c r="N99" s="564"/>
      <c r="O99" s="564"/>
      <c r="P99" s="564"/>
      <c r="Q99" s="564"/>
      <c r="R99" s="564"/>
      <c r="S99" s="564"/>
      <c r="T99" s="564"/>
      <c r="U99" s="564"/>
      <c r="V99" s="564"/>
      <c r="W99" s="564"/>
      <c r="X99" s="564"/>
      <c r="Y99" s="564"/>
      <c r="Z99" s="564"/>
      <c r="AA99" s="564"/>
      <c r="AB99" s="556"/>
      <c r="AC99" s="556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565"/>
      <c r="AT99" s="556"/>
    </row>
    <row r="100" spans="1:46" hidden="1" x14ac:dyDescent="0.45">
      <c r="A100" s="556"/>
      <c r="B100" s="556"/>
      <c r="C100" s="556"/>
      <c r="D100" s="556"/>
      <c r="E100" s="556"/>
      <c r="F100" s="564"/>
      <c r="G100" s="564"/>
      <c r="H100" s="564"/>
      <c r="I100" s="564"/>
      <c r="J100" s="564"/>
      <c r="K100" s="564"/>
      <c r="L100" s="564"/>
      <c r="M100" s="564"/>
      <c r="N100" s="564"/>
      <c r="O100" s="564"/>
      <c r="P100" s="564"/>
      <c r="Q100" s="564"/>
      <c r="R100" s="564"/>
      <c r="S100" s="564"/>
      <c r="T100" s="564"/>
      <c r="U100" s="564"/>
      <c r="V100" s="564"/>
      <c r="W100" s="564"/>
      <c r="X100" s="564"/>
      <c r="Y100" s="564"/>
      <c r="Z100" s="564"/>
      <c r="AA100" s="564"/>
      <c r="AB100" s="556"/>
      <c r="AC100" s="556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565"/>
      <c r="AT100" s="556"/>
    </row>
    <row r="101" spans="1:46" hidden="1" x14ac:dyDescent="0.45">
      <c r="A101" s="556"/>
      <c r="B101" s="556"/>
      <c r="C101" s="556"/>
      <c r="D101" s="556"/>
      <c r="E101" s="556"/>
      <c r="F101" s="564"/>
      <c r="G101" s="564"/>
      <c r="H101" s="564"/>
      <c r="I101" s="564"/>
      <c r="J101" s="564"/>
      <c r="K101" s="564"/>
      <c r="L101" s="564"/>
      <c r="M101" s="564"/>
      <c r="N101" s="564"/>
      <c r="O101" s="564"/>
      <c r="P101" s="564"/>
      <c r="Q101" s="564"/>
      <c r="R101" s="564"/>
      <c r="S101" s="564"/>
      <c r="T101" s="564"/>
      <c r="U101" s="564"/>
      <c r="V101" s="564"/>
      <c r="W101" s="564"/>
      <c r="X101" s="564"/>
      <c r="Y101" s="564"/>
      <c r="Z101" s="564"/>
      <c r="AA101" s="564"/>
      <c r="AB101" s="556"/>
      <c r="AC101" s="556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4"/>
      <c r="AR101" s="74"/>
      <c r="AS101" s="565"/>
      <c r="AT101" s="556"/>
    </row>
    <row r="102" spans="1:46" hidden="1" x14ac:dyDescent="0.45">
      <c r="A102" s="556"/>
      <c r="B102" s="556"/>
      <c r="C102" s="556"/>
      <c r="D102" s="556"/>
      <c r="E102" s="556"/>
      <c r="F102" s="564"/>
      <c r="G102" s="564"/>
      <c r="H102" s="564"/>
      <c r="I102" s="564"/>
      <c r="J102" s="564"/>
      <c r="K102" s="564"/>
      <c r="L102" s="564"/>
      <c r="M102" s="564"/>
      <c r="N102" s="564"/>
      <c r="O102" s="564"/>
      <c r="P102" s="564"/>
      <c r="Q102" s="564"/>
      <c r="R102" s="564"/>
      <c r="S102" s="564"/>
      <c r="T102" s="564"/>
      <c r="U102" s="564"/>
      <c r="V102" s="564"/>
      <c r="W102" s="564"/>
      <c r="X102" s="564"/>
      <c r="Y102" s="564"/>
      <c r="Z102" s="564"/>
      <c r="AA102" s="564"/>
      <c r="AB102" s="556"/>
      <c r="AC102" s="556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565"/>
      <c r="AT102" s="556"/>
    </row>
    <row r="103" spans="1:46" hidden="1" x14ac:dyDescent="0.45">
      <c r="A103" s="556"/>
      <c r="B103" s="556"/>
      <c r="C103" s="556"/>
      <c r="D103" s="556"/>
      <c r="E103" s="556"/>
      <c r="F103" s="564"/>
      <c r="G103" s="564"/>
      <c r="H103" s="564"/>
      <c r="I103" s="564"/>
      <c r="J103" s="564"/>
      <c r="K103" s="564"/>
      <c r="L103" s="564"/>
      <c r="M103" s="564"/>
      <c r="N103" s="564"/>
      <c r="O103" s="564"/>
      <c r="P103" s="564"/>
      <c r="Q103" s="564"/>
      <c r="R103" s="564"/>
      <c r="S103" s="564"/>
      <c r="T103" s="564"/>
      <c r="U103" s="564"/>
      <c r="V103" s="564"/>
      <c r="W103" s="564"/>
      <c r="X103" s="564"/>
      <c r="Y103" s="564"/>
      <c r="Z103" s="564"/>
      <c r="AA103" s="564"/>
      <c r="AB103" s="556"/>
      <c r="AC103" s="556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4"/>
      <c r="AP103" s="74"/>
      <c r="AQ103" s="74"/>
      <c r="AR103" s="74"/>
      <c r="AS103" s="565"/>
      <c r="AT103" s="556"/>
    </row>
    <row r="104" spans="1:46" hidden="1" x14ac:dyDescent="0.45">
      <c r="A104" s="556"/>
      <c r="B104" s="556"/>
      <c r="C104" s="556"/>
      <c r="D104" s="556"/>
      <c r="E104" s="556"/>
      <c r="F104" s="564"/>
      <c r="G104" s="564"/>
      <c r="H104" s="564"/>
      <c r="I104" s="564"/>
      <c r="J104" s="564"/>
      <c r="K104" s="564"/>
      <c r="L104" s="564"/>
      <c r="M104" s="564"/>
      <c r="N104" s="564"/>
      <c r="O104" s="564"/>
      <c r="P104" s="564"/>
      <c r="Q104" s="564"/>
      <c r="R104" s="564"/>
      <c r="S104" s="564"/>
      <c r="T104" s="564"/>
      <c r="U104" s="564"/>
      <c r="V104" s="564"/>
      <c r="W104" s="564"/>
      <c r="X104" s="564"/>
      <c r="Y104" s="564"/>
      <c r="Z104" s="564"/>
      <c r="AA104" s="564"/>
      <c r="AB104" s="556"/>
      <c r="AC104" s="556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4"/>
      <c r="AP104" s="74"/>
      <c r="AQ104" s="74"/>
      <c r="AR104" s="74"/>
      <c r="AS104" s="565"/>
      <c r="AT104" s="556"/>
    </row>
    <row r="105" spans="1:46" hidden="1" x14ac:dyDescent="0.45">
      <c r="A105" s="556"/>
      <c r="B105" s="556"/>
      <c r="C105" s="556"/>
      <c r="D105" s="556"/>
      <c r="E105" s="556"/>
      <c r="F105" s="564"/>
      <c r="G105" s="564"/>
      <c r="H105" s="564"/>
      <c r="I105" s="564"/>
      <c r="J105" s="564"/>
      <c r="K105" s="564"/>
      <c r="L105" s="564"/>
      <c r="M105" s="564"/>
      <c r="N105" s="564"/>
      <c r="O105" s="564"/>
      <c r="P105" s="564"/>
      <c r="Q105" s="564"/>
      <c r="R105" s="564"/>
      <c r="S105" s="564"/>
      <c r="T105" s="564"/>
      <c r="U105" s="564"/>
      <c r="V105" s="564"/>
      <c r="W105" s="564"/>
      <c r="X105" s="564"/>
      <c r="Y105" s="564"/>
      <c r="Z105" s="564"/>
      <c r="AA105" s="564"/>
      <c r="AB105" s="556"/>
      <c r="AC105" s="556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4"/>
      <c r="AP105" s="74"/>
      <c r="AQ105" s="74"/>
      <c r="AR105" s="74"/>
      <c r="AS105" s="565"/>
      <c r="AT105" s="556"/>
    </row>
    <row r="106" spans="1:46" hidden="1" x14ac:dyDescent="0.45">
      <c r="A106" s="556"/>
      <c r="B106" s="556"/>
      <c r="C106" s="556"/>
      <c r="D106" s="556"/>
      <c r="E106" s="556"/>
      <c r="F106" s="564"/>
      <c r="G106" s="564"/>
      <c r="H106" s="564"/>
      <c r="I106" s="564"/>
      <c r="J106" s="564"/>
      <c r="K106" s="564"/>
      <c r="L106" s="564"/>
      <c r="M106" s="564"/>
      <c r="N106" s="564"/>
      <c r="O106" s="564"/>
      <c r="P106" s="564"/>
      <c r="Q106" s="564"/>
      <c r="R106" s="564"/>
      <c r="S106" s="564"/>
      <c r="T106" s="564"/>
      <c r="U106" s="564"/>
      <c r="V106" s="564"/>
      <c r="W106" s="564"/>
      <c r="X106" s="564"/>
      <c r="Y106" s="564"/>
      <c r="Z106" s="564"/>
      <c r="AA106" s="564"/>
      <c r="AB106" s="556"/>
      <c r="AC106" s="556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  <c r="AP106" s="74"/>
      <c r="AQ106" s="74"/>
      <c r="AR106" s="74"/>
      <c r="AS106" s="565"/>
      <c r="AT106" s="556"/>
    </row>
    <row r="107" spans="1:46" hidden="1" x14ac:dyDescent="0.45">
      <c r="A107" s="556"/>
      <c r="B107" s="556"/>
      <c r="C107" s="556"/>
      <c r="D107" s="556"/>
      <c r="E107" s="556"/>
      <c r="F107" s="564"/>
      <c r="G107" s="564"/>
      <c r="H107" s="564"/>
      <c r="I107" s="564"/>
      <c r="J107" s="564"/>
      <c r="K107" s="564"/>
      <c r="L107" s="564"/>
      <c r="M107" s="564"/>
      <c r="N107" s="564"/>
      <c r="O107" s="564"/>
      <c r="P107" s="564"/>
      <c r="Q107" s="564"/>
      <c r="R107" s="564"/>
      <c r="S107" s="564"/>
      <c r="T107" s="564"/>
      <c r="U107" s="564"/>
      <c r="V107" s="564"/>
      <c r="W107" s="564"/>
      <c r="X107" s="564"/>
      <c r="Y107" s="564"/>
      <c r="Z107" s="564"/>
      <c r="AA107" s="564"/>
      <c r="AB107" s="556"/>
      <c r="AC107" s="556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4"/>
      <c r="AP107" s="74"/>
      <c r="AQ107" s="74"/>
      <c r="AR107" s="74"/>
      <c r="AS107" s="565"/>
      <c r="AT107" s="556"/>
    </row>
    <row r="108" spans="1:46" hidden="1" x14ac:dyDescent="0.45">
      <c r="A108" s="556"/>
      <c r="B108" s="556"/>
      <c r="C108" s="556"/>
      <c r="D108" s="556"/>
      <c r="E108" s="556"/>
      <c r="F108" s="564"/>
      <c r="G108" s="564"/>
      <c r="H108" s="564"/>
      <c r="I108" s="564"/>
      <c r="J108" s="564"/>
      <c r="K108" s="564"/>
      <c r="L108" s="564"/>
      <c r="M108" s="564"/>
      <c r="N108" s="564"/>
      <c r="O108" s="564"/>
      <c r="P108" s="564"/>
      <c r="Q108" s="564"/>
      <c r="R108" s="564"/>
      <c r="S108" s="564"/>
      <c r="T108" s="564"/>
      <c r="U108" s="564"/>
      <c r="V108" s="564"/>
      <c r="W108" s="564"/>
      <c r="X108" s="564"/>
      <c r="Y108" s="564"/>
      <c r="Z108" s="564"/>
      <c r="AA108" s="564"/>
      <c r="AB108" s="556"/>
      <c r="AC108" s="556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4"/>
      <c r="AP108" s="74"/>
      <c r="AQ108" s="74"/>
      <c r="AR108" s="74"/>
      <c r="AS108" s="565"/>
      <c r="AT108" s="556"/>
    </row>
    <row r="109" spans="1:46" hidden="1" x14ac:dyDescent="0.45">
      <c r="A109" s="556"/>
      <c r="B109" s="556"/>
      <c r="C109" s="556"/>
      <c r="D109" s="556"/>
      <c r="E109" s="556"/>
      <c r="F109" s="564"/>
      <c r="G109" s="564"/>
      <c r="H109" s="564"/>
      <c r="I109" s="564"/>
      <c r="J109" s="564"/>
      <c r="K109" s="564"/>
      <c r="L109" s="564"/>
      <c r="M109" s="564"/>
      <c r="N109" s="564"/>
      <c r="O109" s="564"/>
      <c r="P109" s="564"/>
      <c r="Q109" s="564"/>
      <c r="R109" s="564"/>
      <c r="S109" s="564"/>
      <c r="T109" s="564"/>
      <c r="U109" s="564"/>
      <c r="V109" s="564"/>
      <c r="W109" s="564"/>
      <c r="X109" s="564"/>
      <c r="Y109" s="564"/>
      <c r="Z109" s="564"/>
      <c r="AA109" s="564"/>
      <c r="AB109" s="556"/>
      <c r="AC109" s="556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74"/>
      <c r="AS109" s="565"/>
      <c r="AT109" s="556"/>
    </row>
    <row r="110" spans="1:46" hidden="1" x14ac:dyDescent="0.45">
      <c r="A110" s="556"/>
      <c r="B110" s="556"/>
      <c r="C110" s="556"/>
      <c r="D110" s="556"/>
      <c r="E110" s="556"/>
      <c r="F110" s="564"/>
      <c r="G110" s="564"/>
      <c r="H110" s="564"/>
      <c r="I110" s="564"/>
      <c r="J110" s="564"/>
      <c r="K110" s="564"/>
      <c r="L110" s="564"/>
      <c r="M110" s="564"/>
      <c r="N110" s="564"/>
      <c r="O110" s="564"/>
      <c r="P110" s="564"/>
      <c r="Q110" s="564"/>
      <c r="R110" s="564"/>
      <c r="S110" s="564"/>
      <c r="T110" s="564"/>
      <c r="U110" s="564"/>
      <c r="V110" s="564"/>
      <c r="W110" s="564"/>
      <c r="X110" s="564"/>
      <c r="Y110" s="564"/>
      <c r="Z110" s="564"/>
      <c r="AA110" s="564"/>
      <c r="AB110" s="556"/>
      <c r="AC110" s="556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  <c r="AQ110" s="74"/>
      <c r="AR110" s="74"/>
      <c r="AS110" s="565"/>
      <c r="AT110" s="556"/>
    </row>
    <row r="111" spans="1:46" hidden="1" x14ac:dyDescent="0.45">
      <c r="A111" s="556"/>
      <c r="B111" s="556"/>
      <c r="C111" s="556"/>
      <c r="D111" s="556"/>
      <c r="E111" s="556"/>
      <c r="F111" s="564"/>
      <c r="G111" s="564"/>
      <c r="H111" s="564"/>
      <c r="I111" s="564"/>
      <c r="J111" s="564"/>
      <c r="K111" s="564"/>
      <c r="L111" s="564"/>
      <c r="M111" s="564"/>
      <c r="N111" s="564"/>
      <c r="O111" s="564"/>
      <c r="P111" s="564"/>
      <c r="Q111" s="564"/>
      <c r="R111" s="564"/>
      <c r="S111" s="564"/>
      <c r="T111" s="564"/>
      <c r="U111" s="564"/>
      <c r="V111" s="564"/>
      <c r="W111" s="564"/>
      <c r="X111" s="564"/>
      <c r="Y111" s="564"/>
      <c r="Z111" s="564"/>
      <c r="AA111" s="564"/>
      <c r="AB111" s="556"/>
      <c r="AC111" s="556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  <c r="AQ111" s="74"/>
      <c r="AR111" s="74"/>
      <c r="AS111" s="565"/>
      <c r="AT111" s="556"/>
    </row>
    <row r="112" spans="1:46" hidden="1" x14ac:dyDescent="0.45">
      <c r="A112" s="556"/>
      <c r="B112" s="556"/>
      <c r="C112" s="556"/>
      <c r="D112" s="556"/>
      <c r="E112" s="556"/>
      <c r="F112" s="564"/>
      <c r="G112" s="564"/>
      <c r="H112" s="564"/>
      <c r="I112" s="564"/>
      <c r="J112" s="564"/>
      <c r="K112" s="564"/>
      <c r="L112" s="564"/>
      <c r="M112" s="564"/>
      <c r="N112" s="564"/>
      <c r="O112" s="564"/>
      <c r="P112" s="564"/>
      <c r="Q112" s="564"/>
      <c r="R112" s="564"/>
      <c r="S112" s="564"/>
      <c r="T112" s="564"/>
      <c r="U112" s="564"/>
      <c r="V112" s="564"/>
      <c r="W112" s="564"/>
      <c r="X112" s="564"/>
      <c r="Y112" s="564"/>
      <c r="Z112" s="564"/>
      <c r="AA112" s="564"/>
      <c r="AB112" s="556"/>
      <c r="AC112" s="556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  <c r="AP112" s="74"/>
      <c r="AQ112" s="74"/>
      <c r="AR112" s="74"/>
      <c r="AS112" s="565"/>
      <c r="AT112" s="556"/>
    </row>
    <row r="113" spans="1:46" hidden="1" x14ac:dyDescent="0.45">
      <c r="A113" s="556"/>
      <c r="B113" s="556"/>
      <c r="C113" s="556"/>
      <c r="D113" s="556"/>
      <c r="E113" s="556"/>
      <c r="F113" s="564"/>
      <c r="G113" s="564"/>
      <c r="H113" s="564"/>
      <c r="I113" s="564"/>
      <c r="J113" s="564"/>
      <c r="K113" s="564"/>
      <c r="L113" s="564"/>
      <c r="M113" s="564"/>
      <c r="N113" s="564"/>
      <c r="O113" s="564"/>
      <c r="P113" s="564"/>
      <c r="Q113" s="564"/>
      <c r="R113" s="564"/>
      <c r="S113" s="564"/>
      <c r="T113" s="564"/>
      <c r="U113" s="564"/>
      <c r="V113" s="564"/>
      <c r="W113" s="564"/>
      <c r="X113" s="564"/>
      <c r="Y113" s="564"/>
      <c r="Z113" s="564"/>
      <c r="AA113" s="564"/>
      <c r="AB113" s="556"/>
      <c r="AC113" s="556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4"/>
      <c r="AP113" s="74"/>
      <c r="AQ113" s="74"/>
      <c r="AR113" s="74"/>
      <c r="AS113" s="565"/>
      <c r="AT113" s="556"/>
    </row>
    <row r="114" spans="1:46" hidden="1" x14ac:dyDescent="0.45">
      <c r="A114" s="556"/>
      <c r="B114" s="556"/>
      <c r="C114" s="556"/>
      <c r="D114" s="556"/>
      <c r="E114" s="556"/>
      <c r="F114" s="564"/>
      <c r="G114" s="564"/>
      <c r="H114" s="564"/>
      <c r="I114" s="564"/>
      <c r="J114" s="564"/>
      <c r="K114" s="564"/>
      <c r="L114" s="564"/>
      <c r="M114" s="564"/>
      <c r="N114" s="564"/>
      <c r="O114" s="564"/>
      <c r="P114" s="564"/>
      <c r="Q114" s="564"/>
      <c r="R114" s="564"/>
      <c r="S114" s="564"/>
      <c r="T114" s="564"/>
      <c r="U114" s="564"/>
      <c r="V114" s="564"/>
      <c r="W114" s="564"/>
      <c r="X114" s="564"/>
      <c r="Y114" s="564"/>
      <c r="Z114" s="564"/>
      <c r="AA114" s="564"/>
      <c r="AB114" s="556"/>
      <c r="AC114" s="556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4"/>
      <c r="AP114" s="74"/>
      <c r="AQ114" s="74"/>
      <c r="AR114" s="74"/>
      <c r="AS114" s="565"/>
      <c r="AT114" s="556"/>
    </row>
    <row r="115" spans="1:46" hidden="1" x14ac:dyDescent="0.45">
      <c r="A115" s="556"/>
      <c r="B115" s="556"/>
      <c r="C115" s="556"/>
      <c r="D115" s="556"/>
      <c r="E115" s="556"/>
      <c r="F115" s="564"/>
      <c r="G115" s="564"/>
      <c r="H115" s="564"/>
      <c r="I115" s="564"/>
      <c r="J115" s="564"/>
      <c r="K115" s="564"/>
      <c r="L115" s="564"/>
      <c r="M115" s="564"/>
      <c r="N115" s="564"/>
      <c r="O115" s="564"/>
      <c r="P115" s="564"/>
      <c r="Q115" s="564"/>
      <c r="R115" s="564"/>
      <c r="S115" s="564"/>
      <c r="T115" s="564"/>
      <c r="U115" s="564"/>
      <c r="V115" s="564"/>
      <c r="W115" s="564"/>
      <c r="X115" s="564"/>
      <c r="Y115" s="564"/>
      <c r="Z115" s="564"/>
      <c r="AA115" s="564"/>
      <c r="AB115" s="556"/>
      <c r="AC115" s="556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4"/>
      <c r="AP115" s="74"/>
      <c r="AQ115" s="74"/>
      <c r="AR115" s="74"/>
      <c r="AS115" s="565"/>
      <c r="AT115" s="556"/>
    </row>
    <row r="116" spans="1:46" hidden="1" x14ac:dyDescent="0.45">
      <c r="A116" s="556"/>
      <c r="B116" s="556"/>
      <c r="C116" s="556"/>
      <c r="D116" s="556"/>
      <c r="E116" s="556"/>
      <c r="F116" s="564"/>
      <c r="G116" s="564"/>
      <c r="H116" s="564"/>
      <c r="I116" s="564"/>
      <c r="J116" s="564"/>
      <c r="K116" s="564"/>
      <c r="L116" s="564"/>
      <c r="M116" s="564"/>
      <c r="N116" s="564"/>
      <c r="O116" s="564"/>
      <c r="P116" s="564"/>
      <c r="Q116" s="564"/>
      <c r="R116" s="564"/>
      <c r="S116" s="564"/>
      <c r="T116" s="564"/>
      <c r="U116" s="564"/>
      <c r="V116" s="564"/>
      <c r="W116" s="564"/>
      <c r="X116" s="564"/>
      <c r="Y116" s="564"/>
      <c r="Z116" s="564"/>
      <c r="AA116" s="564"/>
      <c r="AB116" s="556"/>
      <c r="AC116" s="556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  <c r="AP116" s="74"/>
      <c r="AQ116" s="74"/>
      <c r="AR116" s="74"/>
      <c r="AS116" s="565"/>
      <c r="AT116" s="556"/>
    </row>
    <row r="117" spans="1:46" hidden="1" x14ac:dyDescent="0.45">
      <c r="A117" s="556"/>
      <c r="B117" s="556"/>
      <c r="C117" s="556"/>
      <c r="D117" s="556"/>
      <c r="E117" s="556"/>
      <c r="F117" s="564"/>
      <c r="G117" s="564"/>
      <c r="H117" s="564"/>
      <c r="I117" s="564"/>
      <c r="J117" s="564"/>
      <c r="K117" s="564"/>
      <c r="L117" s="564"/>
      <c r="M117" s="564"/>
      <c r="N117" s="564"/>
      <c r="O117" s="564"/>
      <c r="P117" s="564"/>
      <c r="Q117" s="564"/>
      <c r="R117" s="564"/>
      <c r="S117" s="564"/>
      <c r="T117" s="564"/>
      <c r="U117" s="564"/>
      <c r="V117" s="564"/>
      <c r="W117" s="564"/>
      <c r="X117" s="564"/>
      <c r="Y117" s="564"/>
      <c r="Z117" s="564"/>
      <c r="AA117" s="564"/>
      <c r="AB117" s="556"/>
      <c r="AC117" s="556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4"/>
      <c r="AP117" s="74"/>
      <c r="AQ117" s="74"/>
      <c r="AR117" s="74"/>
      <c r="AS117" s="565"/>
      <c r="AT117" s="556"/>
    </row>
    <row r="118" spans="1:46" hidden="1" x14ac:dyDescent="0.45">
      <c r="A118" s="556"/>
      <c r="B118" s="556"/>
      <c r="C118" s="556"/>
      <c r="D118" s="556"/>
      <c r="E118" s="556"/>
      <c r="F118" s="564"/>
      <c r="G118" s="564"/>
      <c r="H118" s="564"/>
      <c r="I118" s="564"/>
      <c r="J118" s="564"/>
      <c r="K118" s="564"/>
      <c r="L118" s="564"/>
      <c r="M118" s="564"/>
      <c r="N118" s="564"/>
      <c r="O118" s="564"/>
      <c r="P118" s="564"/>
      <c r="Q118" s="564"/>
      <c r="R118" s="564"/>
      <c r="S118" s="564"/>
      <c r="T118" s="564"/>
      <c r="U118" s="564"/>
      <c r="V118" s="564"/>
      <c r="W118" s="564"/>
      <c r="X118" s="564"/>
      <c r="Y118" s="564"/>
      <c r="Z118" s="564"/>
      <c r="AA118" s="564"/>
      <c r="AB118" s="556"/>
      <c r="AC118" s="556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4"/>
      <c r="AP118" s="74"/>
      <c r="AQ118" s="74"/>
      <c r="AR118" s="74"/>
      <c r="AS118" s="565"/>
      <c r="AT118" s="556"/>
    </row>
    <row r="119" spans="1:46" hidden="1" x14ac:dyDescent="0.45">
      <c r="A119" s="556"/>
      <c r="B119" s="556"/>
      <c r="C119" s="556"/>
      <c r="D119" s="556"/>
      <c r="E119" s="556"/>
      <c r="F119" s="564"/>
      <c r="G119" s="564"/>
      <c r="H119" s="564"/>
      <c r="I119" s="564"/>
      <c r="J119" s="564"/>
      <c r="K119" s="564"/>
      <c r="L119" s="564"/>
      <c r="M119" s="564"/>
      <c r="N119" s="564"/>
      <c r="O119" s="564"/>
      <c r="P119" s="564"/>
      <c r="Q119" s="564"/>
      <c r="R119" s="564"/>
      <c r="S119" s="564"/>
      <c r="T119" s="564"/>
      <c r="U119" s="564"/>
      <c r="V119" s="564"/>
      <c r="W119" s="564"/>
      <c r="X119" s="564"/>
      <c r="Y119" s="564"/>
      <c r="Z119" s="564"/>
      <c r="AA119" s="564"/>
      <c r="AB119" s="556"/>
      <c r="AC119" s="556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4"/>
      <c r="AP119" s="74"/>
      <c r="AQ119" s="74"/>
      <c r="AR119" s="74"/>
      <c r="AS119" s="565"/>
      <c r="AT119" s="556"/>
    </row>
    <row r="120" spans="1:46" hidden="1" x14ac:dyDescent="0.45">
      <c r="A120" s="556"/>
      <c r="B120" s="556"/>
      <c r="C120" s="556"/>
      <c r="D120" s="556"/>
      <c r="E120" s="556"/>
      <c r="F120" s="564"/>
      <c r="G120" s="564"/>
      <c r="H120" s="564"/>
      <c r="I120" s="564"/>
      <c r="J120" s="564"/>
      <c r="K120" s="564"/>
      <c r="L120" s="564"/>
      <c r="M120" s="564"/>
      <c r="N120" s="564"/>
      <c r="O120" s="564"/>
      <c r="P120" s="564"/>
      <c r="Q120" s="564"/>
      <c r="R120" s="564"/>
      <c r="S120" s="564"/>
      <c r="T120" s="564"/>
      <c r="U120" s="564"/>
      <c r="V120" s="564"/>
      <c r="W120" s="564"/>
      <c r="X120" s="564"/>
      <c r="Y120" s="564"/>
      <c r="Z120" s="564"/>
      <c r="AA120" s="564"/>
      <c r="AB120" s="556"/>
      <c r="AC120" s="556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4"/>
      <c r="AP120" s="74"/>
      <c r="AQ120" s="74"/>
      <c r="AR120" s="74"/>
      <c r="AS120" s="565"/>
      <c r="AT120" s="556"/>
    </row>
    <row r="121" spans="1:46" hidden="1" x14ac:dyDescent="0.45">
      <c r="A121" s="556"/>
      <c r="B121" s="556"/>
      <c r="C121" s="556"/>
      <c r="D121" s="556"/>
      <c r="E121" s="556"/>
      <c r="F121" s="564"/>
      <c r="G121" s="564"/>
      <c r="H121" s="564"/>
      <c r="I121" s="564"/>
      <c r="J121" s="564"/>
      <c r="K121" s="564"/>
      <c r="L121" s="564"/>
      <c r="M121" s="564"/>
      <c r="N121" s="564"/>
      <c r="O121" s="564"/>
      <c r="P121" s="564"/>
      <c r="Q121" s="564"/>
      <c r="R121" s="564"/>
      <c r="S121" s="564"/>
      <c r="T121" s="564"/>
      <c r="U121" s="564"/>
      <c r="V121" s="564"/>
      <c r="W121" s="564"/>
      <c r="X121" s="564"/>
      <c r="Y121" s="564"/>
      <c r="Z121" s="564"/>
      <c r="AA121" s="564"/>
      <c r="AB121" s="556"/>
      <c r="AC121" s="556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4"/>
      <c r="AP121" s="74"/>
      <c r="AQ121" s="74"/>
      <c r="AR121" s="74"/>
      <c r="AS121" s="565"/>
      <c r="AT121" s="556"/>
    </row>
    <row r="122" spans="1:46" hidden="1" x14ac:dyDescent="0.45">
      <c r="A122" s="556"/>
      <c r="B122" s="556"/>
      <c r="C122" s="556"/>
      <c r="D122" s="556"/>
      <c r="E122" s="556"/>
      <c r="F122" s="564"/>
      <c r="G122" s="564"/>
      <c r="H122" s="564"/>
      <c r="I122" s="564"/>
      <c r="J122" s="564"/>
      <c r="K122" s="564"/>
      <c r="L122" s="564"/>
      <c r="M122" s="564"/>
      <c r="N122" s="564"/>
      <c r="O122" s="564"/>
      <c r="P122" s="564"/>
      <c r="Q122" s="564"/>
      <c r="R122" s="564"/>
      <c r="S122" s="564"/>
      <c r="T122" s="564"/>
      <c r="U122" s="564"/>
      <c r="V122" s="564"/>
      <c r="W122" s="564"/>
      <c r="X122" s="564"/>
      <c r="Y122" s="564"/>
      <c r="Z122" s="564"/>
      <c r="AA122" s="564"/>
      <c r="AB122" s="556"/>
      <c r="AC122" s="556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4"/>
      <c r="AP122" s="74"/>
      <c r="AQ122" s="74"/>
      <c r="AR122" s="74"/>
      <c r="AS122" s="565"/>
      <c r="AT122" s="556"/>
    </row>
    <row r="123" spans="1:46" hidden="1" x14ac:dyDescent="0.45">
      <c r="A123" s="556"/>
      <c r="B123" s="556"/>
      <c r="C123" s="556"/>
      <c r="D123" s="556"/>
      <c r="E123" s="556"/>
      <c r="F123" s="564"/>
      <c r="G123" s="564"/>
      <c r="H123" s="564"/>
      <c r="I123" s="564"/>
      <c r="J123" s="564"/>
      <c r="K123" s="564"/>
      <c r="L123" s="564"/>
      <c r="M123" s="564"/>
      <c r="N123" s="564"/>
      <c r="O123" s="564"/>
      <c r="P123" s="564"/>
      <c r="Q123" s="564"/>
      <c r="R123" s="564"/>
      <c r="S123" s="564"/>
      <c r="T123" s="564"/>
      <c r="U123" s="564"/>
      <c r="V123" s="564"/>
      <c r="W123" s="564"/>
      <c r="X123" s="564"/>
      <c r="Y123" s="564"/>
      <c r="Z123" s="564"/>
      <c r="AA123" s="564"/>
      <c r="AB123" s="556"/>
      <c r="AC123" s="556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4"/>
      <c r="AP123" s="74"/>
      <c r="AQ123" s="74"/>
      <c r="AR123" s="74"/>
      <c r="AS123" s="565"/>
      <c r="AT123" s="556"/>
    </row>
    <row r="124" spans="1:46" hidden="1" x14ac:dyDescent="0.45">
      <c r="A124" s="556"/>
      <c r="B124" s="556"/>
      <c r="C124" s="556"/>
      <c r="D124" s="556"/>
      <c r="E124" s="556"/>
      <c r="F124" s="564"/>
      <c r="G124" s="564"/>
      <c r="H124" s="564"/>
      <c r="I124" s="564"/>
      <c r="J124" s="564"/>
      <c r="K124" s="564"/>
      <c r="L124" s="564"/>
      <c r="M124" s="564"/>
      <c r="N124" s="564"/>
      <c r="O124" s="564"/>
      <c r="P124" s="564"/>
      <c r="Q124" s="564"/>
      <c r="R124" s="564"/>
      <c r="S124" s="564"/>
      <c r="T124" s="564"/>
      <c r="U124" s="564"/>
      <c r="V124" s="564"/>
      <c r="W124" s="564"/>
      <c r="X124" s="564"/>
      <c r="Y124" s="564"/>
      <c r="Z124" s="564"/>
      <c r="AA124" s="564"/>
      <c r="AB124" s="556"/>
      <c r="AC124" s="556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4"/>
      <c r="AP124" s="74"/>
      <c r="AQ124" s="74"/>
      <c r="AR124" s="74"/>
      <c r="AS124" s="565"/>
      <c r="AT124" s="556"/>
    </row>
    <row r="125" spans="1:46" hidden="1" x14ac:dyDescent="0.45">
      <c r="A125" s="556"/>
      <c r="B125" s="556"/>
      <c r="C125" s="556"/>
      <c r="D125" s="556"/>
      <c r="E125" s="556"/>
      <c r="F125" s="564"/>
      <c r="G125" s="564"/>
      <c r="H125" s="564"/>
      <c r="I125" s="564"/>
      <c r="J125" s="564"/>
      <c r="K125" s="564"/>
      <c r="L125" s="564"/>
      <c r="M125" s="564"/>
      <c r="N125" s="564"/>
      <c r="O125" s="564"/>
      <c r="P125" s="564"/>
      <c r="Q125" s="564"/>
      <c r="R125" s="564"/>
      <c r="S125" s="564"/>
      <c r="T125" s="564"/>
      <c r="U125" s="564"/>
      <c r="V125" s="564"/>
      <c r="W125" s="564"/>
      <c r="X125" s="564"/>
      <c r="Y125" s="564"/>
      <c r="Z125" s="564"/>
      <c r="AA125" s="564"/>
      <c r="AB125" s="556"/>
      <c r="AC125" s="556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4"/>
      <c r="AP125" s="74"/>
      <c r="AQ125" s="74"/>
      <c r="AR125" s="74"/>
      <c r="AS125" s="565"/>
      <c r="AT125" s="556"/>
    </row>
    <row r="126" spans="1:46" hidden="1" x14ac:dyDescent="0.45">
      <c r="A126" s="556"/>
      <c r="B126" s="556"/>
      <c r="C126" s="556"/>
      <c r="D126" s="556"/>
      <c r="E126" s="556"/>
      <c r="F126" s="564"/>
      <c r="G126" s="564"/>
      <c r="H126" s="564"/>
      <c r="I126" s="564"/>
      <c r="J126" s="564"/>
      <c r="K126" s="564"/>
      <c r="L126" s="564"/>
      <c r="M126" s="564"/>
      <c r="N126" s="564"/>
      <c r="O126" s="564"/>
      <c r="P126" s="564"/>
      <c r="Q126" s="564"/>
      <c r="R126" s="564"/>
      <c r="S126" s="564"/>
      <c r="T126" s="564"/>
      <c r="U126" s="564"/>
      <c r="V126" s="564"/>
      <c r="W126" s="564"/>
      <c r="X126" s="564"/>
      <c r="Y126" s="564"/>
      <c r="Z126" s="564"/>
      <c r="AA126" s="564"/>
      <c r="AB126" s="556"/>
      <c r="AC126" s="556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4"/>
      <c r="AP126" s="74"/>
      <c r="AQ126" s="74"/>
      <c r="AR126" s="74"/>
      <c r="AS126" s="565"/>
      <c r="AT126" s="556"/>
    </row>
    <row r="127" spans="1:46" hidden="1" x14ac:dyDescent="0.45">
      <c r="A127" s="556"/>
      <c r="B127" s="556"/>
      <c r="C127" s="556"/>
      <c r="D127" s="556"/>
      <c r="E127" s="556"/>
      <c r="F127" s="564"/>
      <c r="G127" s="564"/>
      <c r="H127" s="564"/>
      <c r="I127" s="564"/>
      <c r="J127" s="564"/>
      <c r="K127" s="564"/>
      <c r="L127" s="564"/>
      <c r="M127" s="564"/>
      <c r="N127" s="564"/>
      <c r="O127" s="564"/>
      <c r="P127" s="564"/>
      <c r="Q127" s="564"/>
      <c r="R127" s="564"/>
      <c r="S127" s="564"/>
      <c r="T127" s="564"/>
      <c r="U127" s="564"/>
      <c r="V127" s="564"/>
      <c r="W127" s="564"/>
      <c r="X127" s="564"/>
      <c r="Y127" s="564"/>
      <c r="Z127" s="564"/>
      <c r="AA127" s="564"/>
      <c r="AB127" s="556"/>
      <c r="AC127" s="556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4"/>
      <c r="AP127" s="74"/>
      <c r="AQ127" s="74"/>
      <c r="AR127" s="74"/>
      <c r="AS127" s="565"/>
      <c r="AT127" s="556"/>
    </row>
    <row r="128" spans="1:46" hidden="1" x14ac:dyDescent="0.45">
      <c r="A128" s="556"/>
      <c r="B128" s="556"/>
      <c r="C128" s="556"/>
      <c r="D128" s="556"/>
      <c r="E128" s="556"/>
      <c r="F128" s="564"/>
      <c r="G128" s="564"/>
      <c r="H128" s="564"/>
      <c r="I128" s="564"/>
      <c r="J128" s="564"/>
      <c r="K128" s="564"/>
      <c r="L128" s="564"/>
      <c r="M128" s="564"/>
      <c r="N128" s="564"/>
      <c r="O128" s="564"/>
      <c r="P128" s="564"/>
      <c r="Q128" s="564"/>
      <c r="R128" s="564"/>
      <c r="S128" s="564"/>
      <c r="T128" s="564"/>
      <c r="U128" s="564"/>
      <c r="V128" s="564"/>
      <c r="W128" s="564"/>
      <c r="X128" s="564"/>
      <c r="Y128" s="564"/>
      <c r="Z128" s="564"/>
      <c r="AA128" s="564"/>
      <c r="AB128" s="556"/>
      <c r="AC128" s="556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4"/>
      <c r="AP128" s="74"/>
      <c r="AQ128" s="74"/>
      <c r="AR128" s="74"/>
      <c r="AS128" s="565"/>
      <c r="AT128" s="556"/>
    </row>
    <row r="129" spans="1:46" hidden="1" x14ac:dyDescent="0.45">
      <c r="A129" s="556"/>
      <c r="B129" s="556"/>
      <c r="C129" s="556"/>
      <c r="D129" s="556"/>
      <c r="E129" s="556"/>
      <c r="F129" s="564"/>
      <c r="G129" s="564"/>
      <c r="H129" s="564"/>
      <c r="I129" s="564"/>
      <c r="J129" s="564"/>
      <c r="K129" s="564"/>
      <c r="L129" s="564"/>
      <c r="M129" s="564"/>
      <c r="N129" s="564"/>
      <c r="O129" s="564"/>
      <c r="P129" s="564"/>
      <c r="Q129" s="564"/>
      <c r="R129" s="564"/>
      <c r="S129" s="564"/>
      <c r="T129" s="564"/>
      <c r="U129" s="564"/>
      <c r="V129" s="564"/>
      <c r="W129" s="564"/>
      <c r="X129" s="564"/>
      <c r="Y129" s="564"/>
      <c r="Z129" s="564"/>
      <c r="AA129" s="564"/>
      <c r="AB129" s="556"/>
      <c r="AC129" s="556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4"/>
      <c r="AP129" s="74"/>
      <c r="AQ129" s="74"/>
      <c r="AR129" s="74"/>
      <c r="AS129" s="565"/>
      <c r="AT129" s="556"/>
    </row>
    <row r="130" spans="1:46" hidden="1" x14ac:dyDescent="0.45">
      <c r="A130" s="556"/>
      <c r="B130" s="556"/>
      <c r="C130" s="556"/>
      <c r="D130" s="556"/>
      <c r="E130" s="556"/>
      <c r="F130" s="564"/>
      <c r="G130" s="564"/>
      <c r="H130" s="564"/>
      <c r="I130" s="564"/>
      <c r="J130" s="564"/>
      <c r="K130" s="564"/>
      <c r="L130" s="564"/>
      <c r="M130" s="564"/>
      <c r="N130" s="564"/>
      <c r="O130" s="564"/>
      <c r="P130" s="564"/>
      <c r="Q130" s="564"/>
      <c r="R130" s="564"/>
      <c r="S130" s="564"/>
      <c r="T130" s="564"/>
      <c r="U130" s="564"/>
      <c r="V130" s="564"/>
      <c r="W130" s="564"/>
      <c r="X130" s="564"/>
      <c r="Y130" s="564"/>
      <c r="Z130" s="564"/>
      <c r="AA130" s="564"/>
      <c r="AB130" s="556"/>
      <c r="AC130" s="556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4"/>
      <c r="AR130" s="74"/>
      <c r="AS130" s="565"/>
      <c r="AT130" s="556"/>
    </row>
    <row r="131" spans="1:46" hidden="1" x14ac:dyDescent="0.45">
      <c r="A131" s="556"/>
      <c r="B131" s="556"/>
      <c r="C131" s="556"/>
      <c r="D131" s="556"/>
      <c r="E131" s="556"/>
      <c r="F131" s="564"/>
      <c r="G131" s="564"/>
      <c r="H131" s="564"/>
      <c r="I131" s="564"/>
      <c r="J131" s="564"/>
      <c r="K131" s="564"/>
      <c r="L131" s="564"/>
      <c r="M131" s="564"/>
      <c r="N131" s="564"/>
      <c r="O131" s="564"/>
      <c r="P131" s="564"/>
      <c r="Q131" s="564"/>
      <c r="R131" s="564"/>
      <c r="S131" s="564"/>
      <c r="T131" s="564"/>
      <c r="U131" s="564"/>
      <c r="V131" s="564"/>
      <c r="W131" s="564"/>
      <c r="X131" s="564"/>
      <c r="Y131" s="564"/>
      <c r="Z131" s="564"/>
      <c r="AA131" s="564"/>
      <c r="AB131" s="556"/>
      <c r="AC131" s="556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565"/>
      <c r="AT131" s="556"/>
    </row>
    <row r="132" spans="1:46" hidden="1" x14ac:dyDescent="0.45">
      <c r="A132" s="556"/>
      <c r="B132" s="556"/>
      <c r="C132" s="556"/>
      <c r="D132" s="556"/>
      <c r="E132" s="556"/>
      <c r="F132" s="564"/>
      <c r="G132" s="564"/>
      <c r="H132" s="564"/>
      <c r="I132" s="564"/>
      <c r="J132" s="564"/>
      <c r="K132" s="564"/>
      <c r="L132" s="564"/>
      <c r="M132" s="564"/>
      <c r="N132" s="564"/>
      <c r="O132" s="564"/>
      <c r="P132" s="564"/>
      <c r="Q132" s="564"/>
      <c r="R132" s="564"/>
      <c r="S132" s="564"/>
      <c r="T132" s="564"/>
      <c r="U132" s="564"/>
      <c r="V132" s="564"/>
      <c r="W132" s="564"/>
      <c r="X132" s="564"/>
      <c r="Y132" s="564"/>
      <c r="Z132" s="564"/>
      <c r="AA132" s="564"/>
      <c r="AB132" s="556"/>
      <c r="AC132" s="556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565"/>
      <c r="AT132" s="556"/>
    </row>
    <row r="133" spans="1:46" hidden="1" x14ac:dyDescent="0.45">
      <c r="A133" s="556"/>
      <c r="B133" s="556"/>
      <c r="C133" s="556"/>
      <c r="D133" s="556"/>
      <c r="E133" s="556"/>
      <c r="F133" s="564"/>
      <c r="G133" s="564"/>
      <c r="H133" s="564"/>
      <c r="I133" s="564"/>
      <c r="J133" s="564"/>
      <c r="K133" s="564"/>
      <c r="L133" s="564"/>
      <c r="M133" s="564"/>
      <c r="N133" s="564"/>
      <c r="O133" s="564"/>
      <c r="P133" s="564"/>
      <c r="Q133" s="564"/>
      <c r="R133" s="564"/>
      <c r="S133" s="564"/>
      <c r="T133" s="564"/>
      <c r="U133" s="564"/>
      <c r="V133" s="564"/>
      <c r="W133" s="564"/>
      <c r="X133" s="564"/>
      <c r="Y133" s="564"/>
      <c r="Z133" s="564"/>
      <c r="AA133" s="564"/>
      <c r="AB133" s="556"/>
      <c r="AC133" s="556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565"/>
      <c r="AT133" s="556"/>
    </row>
    <row r="134" spans="1:46" hidden="1" x14ac:dyDescent="0.45">
      <c r="A134" s="556"/>
      <c r="B134" s="556"/>
      <c r="C134" s="556"/>
      <c r="D134" s="556"/>
      <c r="E134" s="556"/>
      <c r="F134" s="564"/>
      <c r="G134" s="564"/>
      <c r="H134" s="564"/>
      <c r="I134" s="564"/>
      <c r="J134" s="564"/>
      <c r="K134" s="564"/>
      <c r="L134" s="564"/>
      <c r="M134" s="564"/>
      <c r="N134" s="564"/>
      <c r="O134" s="564"/>
      <c r="P134" s="564"/>
      <c r="Q134" s="564"/>
      <c r="R134" s="564"/>
      <c r="S134" s="564"/>
      <c r="T134" s="564"/>
      <c r="U134" s="564"/>
      <c r="V134" s="564"/>
      <c r="W134" s="564"/>
      <c r="X134" s="564"/>
      <c r="Y134" s="564"/>
      <c r="Z134" s="564"/>
      <c r="AA134" s="564"/>
      <c r="AB134" s="556"/>
      <c r="AC134" s="556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565"/>
      <c r="AT134" s="556"/>
    </row>
    <row r="135" spans="1:46" hidden="1" x14ac:dyDescent="0.45">
      <c r="A135" s="556"/>
      <c r="B135" s="556"/>
      <c r="C135" s="556"/>
      <c r="D135" s="556"/>
      <c r="E135" s="556"/>
      <c r="F135" s="564"/>
      <c r="G135" s="564"/>
      <c r="H135" s="564"/>
      <c r="I135" s="564"/>
      <c r="J135" s="564"/>
      <c r="K135" s="564"/>
      <c r="L135" s="564"/>
      <c r="M135" s="564"/>
      <c r="N135" s="564"/>
      <c r="O135" s="564"/>
      <c r="P135" s="564"/>
      <c r="Q135" s="564"/>
      <c r="R135" s="564"/>
      <c r="S135" s="564"/>
      <c r="T135" s="564"/>
      <c r="U135" s="564"/>
      <c r="V135" s="564"/>
      <c r="W135" s="564"/>
      <c r="X135" s="564"/>
      <c r="Y135" s="564"/>
      <c r="Z135" s="564"/>
      <c r="AA135" s="564"/>
      <c r="AB135" s="556"/>
      <c r="AC135" s="556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565"/>
      <c r="AT135" s="556"/>
    </row>
    <row r="136" spans="1:46" ht="12.75" hidden="1" customHeight="1" x14ac:dyDescent="0.45">
      <c r="A136" s="556"/>
      <c r="B136" s="556"/>
      <c r="C136" s="556"/>
      <c r="D136" s="556"/>
      <c r="E136" s="556"/>
      <c r="F136" s="564"/>
      <c r="G136" s="564"/>
      <c r="H136" s="564"/>
      <c r="I136" s="564"/>
      <c r="J136" s="564"/>
      <c r="K136" s="564"/>
      <c r="L136" s="564"/>
      <c r="M136" s="564"/>
      <c r="N136" s="564"/>
      <c r="O136" s="564"/>
      <c r="P136" s="564"/>
      <c r="Q136" s="564"/>
      <c r="R136" s="564"/>
      <c r="S136" s="564"/>
      <c r="T136" s="564"/>
      <c r="U136" s="564"/>
      <c r="V136" s="564"/>
      <c r="W136" s="564"/>
      <c r="X136" s="564"/>
      <c r="Y136" s="564"/>
      <c r="Z136" s="564"/>
      <c r="AA136" s="564"/>
      <c r="AB136" s="556"/>
      <c r="AC136" s="556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565"/>
      <c r="AT136" s="556"/>
    </row>
    <row r="137" spans="1:46" hidden="1" x14ac:dyDescent="0.45">
      <c r="A137" s="556"/>
      <c r="B137" s="556"/>
      <c r="C137" s="556"/>
      <c r="D137" s="556"/>
      <c r="E137" s="556"/>
      <c r="F137" s="564"/>
      <c r="G137" s="564"/>
      <c r="H137" s="564"/>
      <c r="I137" s="564"/>
      <c r="J137" s="564"/>
      <c r="K137" s="564"/>
      <c r="L137" s="564"/>
      <c r="M137" s="564"/>
      <c r="N137" s="564"/>
      <c r="O137" s="564"/>
      <c r="P137" s="564"/>
      <c r="Q137" s="564"/>
      <c r="R137" s="564"/>
      <c r="S137" s="564"/>
      <c r="T137" s="564"/>
      <c r="U137" s="564"/>
      <c r="V137" s="564"/>
      <c r="W137" s="564"/>
      <c r="X137" s="564"/>
      <c r="Y137" s="564"/>
      <c r="Z137" s="564"/>
      <c r="AA137" s="564"/>
      <c r="AB137" s="556"/>
      <c r="AC137" s="556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565"/>
      <c r="AT137" s="556"/>
    </row>
    <row r="138" spans="1:46" hidden="1" x14ac:dyDescent="0.45">
      <c r="A138" s="556"/>
      <c r="B138" s="556"/>
      <c r="C138" s="556"/>
      <c r="D138" s="556"/>
      <c r="E138" s="556"/>
      <c r="F138" s="564"/>
      <c r="G138" s="564"/>
      <c r="H138" s="564"/>
      <c r="I138" s="564"/>
      <c r="J138" s="564"/>
      <c r="K138" s="564"/>
      <c r="L138" s="564"/>
      <c r="M138" s="564"/>
      <c r="N138" s="564"/>
      <c r="O138" s="564"/>
      <c r="P138" s="564"/>
      <c r="Q138" s="564"/>
      <c r="R138" s="564"/>
      <c r="S138" s="564"/>
      <c r="T138" s="564"/>
      <c r="U138" s="564"/>
      <c r="V138" s="564"/>
      <c r="W138" s="564"/>
      <c r="X138" s="564"/>
      <c r="Y138" s="564"/>
      <c r="Z138" s="564"/>
      <c r="AA138" s="564"/>
      <c r="AB138" s="556"/>
      <c r="AC138" s="556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565"/>
      <c r="AT138" s="556"/>
    </row>
    <row r="139" spans="1:46" hidden="1" x14ac:dyDescent="0.45">
      <c r="A139" s="556"/>
      <c r="B139" s="556"/>
      <c r="C139" s="556"/>
      <c r="D139" s="556"/>
      <c r="E139" s="556"/>
      <c r="F139" s="564"/>
      <c r="G139" s="564"/>
      <c r="H139" s="564"/>
      <c r="I139" s="564"/>
      <c r="J139" s="564"/>
      <c r="K139" s="564"/>
      <c r="L139" s="564"/>
      <c r="M139" s="564"/>
      <c r="N139" s="564"/>
      <c r="O139" s="564"/>
      <c r="P139" s="564"/>
      <c r="Q139" s="564"/>
      <c r="R139" s="564"/>
      <c r="S139" s="564"/>
      <c r="T139" s="564"/>
      <c r="U139" s="564"/>
      <c r="V139" s="564"/>
      <c r="W139" s="564"/>
      <c r="X139" s="564"/>
      <c r="Y139" s="564"/>
      <c r="Z139" s="564"/>
      <c r="AA139" s="564"/>
      <c r="AB139" s="556"/>
      <c r="AC139" s="556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565"/>
      <c r="AT139" s="556"/>
    </row>
    <row r="140" spans="1:46" hidden="1" x14ac:dyDescent="0.45">
      <c r="A140" s="556"/>
      <c r="B140" s="556"/>
      <c r="C140" s="556"/>
      <c r="D140" s="556"/>
      <c r="E140" s="556"/>
      <c r="F140" s="564"/>
      <c r="G140" s="564"/>
      <c r="H140" s="564"/>
      <c r="I140" s="564"/>
      <c r="J140" s="564"/>
      <c r="K140" s="564"/>
      <c r="L140" s="564"/>
      <c r="M140" s="564"/>
      <c r="N140" s="564"/>
      <c r="O140" s="564"/>
      <c r="P140" s="564"/>
      <c r="Q140" s="564"/>
      <c r="R140" s="564"/>
      <c r="S140" s="564"/>
      <c r="T140" s="564"/>
      <c r="U140" s="564"/>
      <c r="V140" s="564"/>
      <c r="W140" s="564"/>
      <c r="X140" s="564"/>
      <c r="Y140" s="564"/>
      <c r="Z140" s="564"/>
      <c r="AA140" s="564"/>
      <c r="AB140" s="556"/>
      <c r="AC140" s="556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565"/>
      <c r="AT140" s="556"/>
    </row>
    <row r="141" spans="1:46" hidden="1" x14ac:dyDescent="0.45">
      <c r="A141" s="556"/>
      <c r="B141" s="556"/>
      <c r="C141" s="556"/>
      <c r="D141" s="556"/>
      <c r="E141" s="556"/>
      <c r="F141" s="564"/>
      <c r="G141" s="564"/>
      <c r="H141" s="564"/>
      <c r="I141" s="564"/>
      <c r="J141" s="564"/>
      <c r="K141" s="564"/>
      <c r="L141" s="564"/>
      <c r="M141" s="564"/>
      <c r="N141" s="564"/>
      <c r="O141" s="564"/>
      <c r="P141" s="564"/>
      <c r="Q141" s="564"/>
      <c r="R141" s="564"/>
      <c r="S141" s="564"/>
      <c r="T141" s="564"/>
      <c r="U141" s="564"/>
      <c r="V141" s="564"/>
      <c r="W141" s="564"/>
      <c r="X141" s="564"/>
      <c r="Y141" s="564"/>
      <c r="Z141" s="564"/>
      <c r="AA141" s="564"/>
      <c r="AB141" s="556"/>
      <c r="AC141" s="556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565"/>
      <c r="AT141" s="556"/>
    </row>
    <row r="142" spans="1:46" hidden="1" x14ac:dyDescent="0.45">
      <c r="A142" s="556"/>
      <c r="B142" s="556"/>
      <c r="C142" s="556"/>
      <c r="D142" s="556"/>
      <c r="E142" s="556"/>
      <c r="F142" s="564"/>
      <c r="G142" s="564"/>
      <c r="H142" s="564"/>
      <c r="I142" s="564"/>
      <c r="J142" s="564"/>
      <c r="K142" s="564"/>
      <c r="L142" s="564"/>
      <c r="M142" s="564"/>
      <c r="N142" s="564"/>
      <c r="O142" s="564"/>
      <c r="P142" s="564"/>
      <c r="Q142" s="564"/>
      <c r="R142" s="564"/>
      <c r="S142" s="564"/>
      <c r="T142" s="564"/>
      <c r="U142" s="564"/>
      <c r="V142" s="564"/>
      <c r="W142" s="564"/>
      <c r="X142" s="564"/>
      <c r="Y142" s="564"/>
      <c r="Z142" s="564"/>
      <c r="AA142" s="564"/>
      <c r="AB142" s="556"/>
      <c r="AC142" s="556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565"/>
      <c r="AT142" s="556"/>
    </row>
    <row r="143" spans="1:46" hidden="1" x14ac:dyDescent="0.45">
      <c r="A143" s="556"/>
      <c r="B143" s="556"/>
      <c r="C143" s="556"/>
      <c r="D143" s="556"/>
      <c r="E143" s="556"/>
      <c r="F143" s="564"/>
      <c r="G143" s="564"/>
      <c r="H143" s="564"/>
      <c r="I143" s="564"/>
      <c r="J143" s="564"/>
      <c r="K143" s="564"/>
      <c r="L143" s="564"/>
      <c r="M143" s="564"/>
      <c r="N143" s="564"/>
      <c r="O143" s="564"/>
      <c r="P143" s="564"/>
      <c r="Q143" s="564"/>
      <c r="R143" s="564"/>
      <c r="S143" s="564"/>
      <c r="T143" s="564"/>
      <c r="U143" s="564"/>
      <c r="V143" s="564"/>
      <c r="W143" s="564"/>
      <c r="X143" s="564"/>
      <c r="Y143" s="564"/>
      <c r="Z143" s="564"/>
      <c r="AA143" s="564"/>
      <c r="AB143" s="556"/>
      <c r="AC143" s="556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  <c r="AP143" s="74"/>
      <c r="AQ143" s="74"/>
      <c r="AR143" s="74"/>
      <c r="AS143" s="565"/>
      <c r="AT143" s="556"/>
    </row>
    <row r="144" spans="1:46" hidden="1" x14ac:dyDescent="0.45">
      <c r="A144" s="556"/>
      <c r="B144" s="556"/>
      <c r="C144" s="556"/>
      <c r="D144" s="556"/>
      <c r="E144" s="556"/>
      <c r="F144" s="564"/>
      <c r="G144" s="564"/>
      <c r="H144" s="564"/>
      <c r="I144" s="564"/>
      <c r="J144" s="564"/>
      <c r="K144" s="564"/>
      <c r="L144" s="564"/>
      <c r="M144" s="564"/>
      <c r="N144" s="564"/>
      <c r="O144" s="564"/>
      <c r="P144" s="564"/>
      <c r="Q144" s="564"/>
      <c r="R144" s="564"/>
      <c r="S144" s="564"/>
      <c r="T144" s="564"/>
      <c r="U144" s="564"/>
      <c r="V144" s="564"/>
      <c r="W144" s="564"/>
      <c r="X144" s="564"/>
      <c r="Y144" s="564"/>
      <c r="Z144" s="564"/>
      <c r="AA144" s="564"/>
      <c r="AB144" s="556"/>
      <c r="AC144" s="556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4"/>
      <c r="AP144" s="74"/>
      <c r="AQ144" s="74"/>
      <c r="AR144" s="74"/>
      <c r="AS144" s="565"/>
      <c r="AT144" s="556"/>
    </row>
    <row r="145" spans="1:46" hidden="1" x14ac:dyDescent="0.45">
      <c r="A145" s="556"/>
      <c r="B145" s="556"/>
      <c r="C145" s="556"/>
      <c r="D145" s="556"/>
      <c r="E145" s="556"/>
      <c r="F145" s="564"/>
      <c r="G145" s="564"/>
      <c r="H145" s="564"/>
      <c r="I145" s="564"/>
      <c r="J145" s="564"/>
      <c r="K145" s="564"/>
      <c r="L145" s="564"/>
      <c r="M145" s="564"/>
      <c r="N145" s="564"/>
      <c r="O145" s="564"/>
      <c r="P145" s="564"/>
      <c r="Q145" s="564"/>
      <c r="R145" s="564"/>
      <c r="S145" s="564"/>
      <c r="T145" s="564"/>
      <c r="U145" s="564"/>
      <c r="V145" s="564"/>
      <c r="W145" s="564"/>
      <c r="X145" s="564"/>
      <c r="Y145" s="564"/>
      <c r="Z145" s="564"/>
      <c r="AA145" s="564"/>
      <c r="AB145" s="556"/>
      <c r="AC145" s="556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4"/>
      <c r="AP145" s="74"/>
      <c r="AQ145" s="74"/>
      <c r="AR145" s="74"/>
      <c r="AS145" s="565"/>
      <c r="AT145" s="556"/>
    </row>
    <row r="146" spans="1:46" hidden="1" x14ac:dyDescent="0.45">
      <c r="A146" s="556"/>
      <c r="B146" s="556"/>
      <c r="C146" s="556"/>
      <c r="D146" s="556"/>
      <c r="E146" s="556"/>
      <c r="F146" s="564"/>
      <c r="G146" s="564"/>
      <c r="H146" s="564"/>
      <c r="I146" s="564"/>
      <c r="J146" s="564"/>
      <c r="K146" s="564"/>
      <c r="L146" s="564"/>
      <c r="M146" s="564"/>
      <c r="N146" s="564"/>
      <c r="O146" s="564"/>
      <c r="P146" s="564"/>
      <c r="Q146" s="564"/>
      <c r="R146" s="564"/>
      <c r="S146" s="564"/>
      <c r="T146" s="564"/>
      <c r="U146" s="564"/>
      <c r="V146" s="564"/>
      <c r="W146" s="564"/>
      <c r="X146" s="564"/>
      <c r="Y146" s="564"/>
      <c r="Z146" s="564"/>
      <c r="AA146" s="564"/>
      <c r="AB146" s="556"/>
      <c r="AC146" s="556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4"/>
      <c r="AP146" s="74"/>
      <c r="AQ146" s="74"/>
      <c r="AR146" s="74"/>
      <c r="AS146" s="565"/>
      <c r="AT146" s="556"/>
    </row>
    <row r="147" spans="1:46" hidden="1" x14ac:dyDescent="0.45">
      <c r="A147" s="556"/>
      <c r="B147" s="556"/>
      <c r="C147" s="556"/>
      <c r="D147" s="556"/>
      <c r="E147" s="556"/>
      <c r="F147" s="564"/>
      <c r="G147" s="564"/>
      <c r="H147" s="564"/>
      <c r="I147" s="564"/>
      <c r="J147" s="564"/>
      <c r="K147" s="564"/>
      <c r="L147" s="564"/>
      <c r="M147" s="564"/>
      <c r="N147" s="564"/>
      <c r="O147" s="564"/>
      <c r="P147" s="564"/>
      <c r="Q147" s="564"/>
      <c r="R147" s="564"/>
      <c r="S147" s="564"/>
      <c r="T147" s="564"/>
      <c r="U147" s="564"/>
      <c r="V147" s="564"/>
      <c r="W147" s="564"/>
      <c r="X147" s="564"/>
      <c r="Y147" s="564"/>
      <c r="Z147" s="564"/>
      <c r="AA147" s="564"/>
      <c r="AB147" s="556"/>
      <c r="AC147" s="556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4"/>
      <c r="AP147" s="74"/>
      <c r="AQ147" s="74"/>
      <c r="AR147" s="74"/>
      <c r="AS147" s="565"/>
      <c r="AT147" s="556"/>
    </row>
    <row r="148" spans="1:46" hidden="1" x14ac:dyDescent="0.45">
      <c r="A148" s="556"/>
      <c r="B148" s="556"/>
      <c r="C148" s="556"/>
      <c r="D148" s="556"/>
      <c r="E148" s="556"/>
      <c r="F148" s="564"/>
      <c r="G148" s="564"/>
      <c r="H148" s="564"/>
      <c r="I148" s="564"/>
      <c r="J148" s="564"/>
      <c r="K148" s="564"/>
      <c r="L148" s="564"/>
      <c r="M148" s="564"/>
      <c r="N148" s="564"/>
      <c r="O148" s="564"/>
      <c r="P148" s="564"/>
      <c r="Q148" s="564"/>
      <c r="R148" s="564"/>
      <c r="S148" s="564"/>
      <c r="T148" s="564"/>
      <c r="U148" s="564"/>
      <c r="V148" s="564"/>
      <c r="W148" s="564"/>
      <c r="X148" s="564"/>
      <c r="Y148" s="564"/>
      <c r="Z148" s="564"/>
      <c r="AA148" s="564"/>
      <c r="AB148" s="556"/>
      <c r="AC148" s="556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4"/>
      <c r="AP148" s="74"/>
      <c r="AQ148" s="74"/>
      <c r="AR148" s="74"/>
      <c r="AS148" s="565"/>
      <c r="AT148" s="556"/>
    </row>
    <row r="149" spans="1:46" hidden="1" x14ac:dyDescent="0.45">
      <c r="A149" s="556"/>
      <c r="B149" s="556"/>
      <c r="C149" s="556"/>
      <c r="D149" s="556"/>
      <c r="E149" s="556"/>
      <c r="F149" s="564"/>
      <c r="G149" s="564"/>
      <c r="H149" s="564"/>
      <c r="I149" s="564"/>
      <c r="J149" s="564"/>
      <c r="K149" s="564"/>
      <c r="L149" s="564"/>
      <c r="M149" s="564"/>
      <c r="N149" s="564"/>
      <c r="O149" s="564"/>
      <c r="P149" s="564"/>
      <c r="Q149" s="564"/>
      <c r="R149" s="564"/>
      <c r="S149" s="564"/>
      <c r="T149" s="564"/>
      <c r="U149" s="564"/>
      <c r="V149" s="564"/>
      <c r="W149" s="564"/>
      <c r="X149" s="564"/>
      <c r="Y149" s="564"/>
      <c r="Z149" s="564"/>
      <c r="AA149" s="564"/>
      <c r="AB149" s="556"/>
      <c r="AC149" s="556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4"/>
      <c r="AP149" s="74"/>
      <c r="AQ149" s="74"/>
      <c r="AR149" s="74"/>
      <c r="AS149" s="565"/>
      <c r="AT149" s="556"/>
    </row>
    <row r="150" spans="1:46" hidden="1" x14ac:dyDescent="0.45">
      <c r="A150" s="556"/>
      <c r="B150" s="556"/>
      <c r="C150" s="556"/>
      <c r="D150" s="556"/>
      <c r="E150" s="556"/>
      <c r="F150" s="564"/>
      <c r="G150" s="564"/>
      <c r="H150" s="564"/>
      <c r="I150" s="564"/>
      <c r="J150" s="564"/>
      <c r="K150" s="564"/>
      <c r="L150" s="564"/>
      <c r="M150" s="564"/>
      <c r="N150" s="564"/>
      <c r="O150" s="564"/>
      <c r="P150" s="564"/>
      <c r="Q150" s="564"/>
      <c r="R150" s="564"/>
      <c r="S150" s="564"/>
      <c r="T150" s="564"/>
      <c r="U150" s="564"/>
      <c r="V150" s="564"/>
      <c r="W150" s="564"/>
      <c r="X150" s="564"/>
      <c r="Y150" s="564"/>
      <c r="Z150" s="564"/>
      <c r="AA150" s="564"/>
      <c r="AB150" s="556"/>
      <c r="AC150" s="556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4"/>
      <c r="AP150" s="74"/>
      <c r="AQ150" s="74"/>
      <c r="AR150" s="74"/>
      <c r="AS150" s="565"/>
      <c r="AT150" s="556"/>
    </row>
    <row r="151" spans="1:46" hidden="1" x14ac:dyDescent="0.45">
      <c r="A151" s="556"/>
      <c r="B151" s="556"/>
      <c r="C151" s="556"/>
      <c r="D151" s="556"/>
      <c r="E151" s="556"/>
      <c r="F151" s="564"/>
      <c r="G151" s="564"/>
      <c r="H151" s="564"/>
      <c r="I151" s="564"/>
      <c r="J151" s="564"/>
      <c r="K151" s="564"/>
      <c r="L151" s="564"/>
      <c r="M151" s="564"/>
      <c r="N151" s="564"/>
      <c r="O151" s="564"/>
      <c r="P151" s="564"/>
      <c r="Q151" s="564"/>
      <c r="R151" s="564"/>
      <c r="S151" s="564"/>
      <c r="T151" s="564"/>
      <c r="U151" s="564"/>
      <c r="V151" s="564"/>
      <c r="W151" s="564"/>
      <c r="X151" s="564"/>
      <c r="Y151" s="564"/>
      <c r="Z151" s="564"/>
      <c r="AA151" s="564"/>
      <c r="AB151" s="556"/>
      <c r="AC151" s="556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4"/>
      <c r="AP151" s="74"/>
      <c r="AQ151" s="74"/>
      <c r="AR151" s="74"/>
      <c r="AS151" s="565"/>
      <c r="AT151" s="556"/>
    </row>
    <row r="152" spans="1:46" hidden="1" x14ac:dyDescent="0.45">
      <c r="A152" s="556"/>
      <c r="B152" s="556"/>
      <c r="C152" s="556"/>
      <c r="D152" s="556"/>
      <c r="E152" s="556"/>
      <c r="F152" s="564"/>
      <c r="G152" s="564"/>
      <c r="H152" s="564"/>
      <c r="I152" s="564"/>
      <c r="J152" s="564"/>
      <c r="K152" s="564"/>
      <c r="L152" s="564"/>
      <c r="M152" s="564"/>
      <c r="N152" s="564"/>
      <c r="O152" s="564"/>
      <c r="P152" s="564"/>
      <c r="Q152" s="564"/>
      <c r="R152" s="564"/>
      <c r="S152" s="564"/>
      <c r="T152" s="564"/>
      <c r="U152" s="564"/>
      <c r="V152" s="564"/>
      <c r="W152" s="564"/>
      <c r="X152" s="564"/>
      <c r="Y152" s="564"/>
      <c r="Z152" s="564"/>
      <c r="AA152" s="564"/>
      <c r="AB152" s="556"/>
      <c r="AC152" s="556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4"/>
      <c r="AP152" s="74"/>
      <c r="AQ152" s="74"/>
      <c r="AR152" s="74"/>
      <c r="AS152" s="565"/>
      <c r="AT152" s="556"/>
    </row>
    <row r="153" spans="1:46" hidden="1" x14ac:dyDescent="0.45">
      <c r="A153" s="556"/>
      <c r="B153" s="556"/>
      <c r="C153" s="556"/>
      <c r="D153" s="556"/>
      <c r="E153" s="556"/>
      <c r="F153" s="564"/>
      <c r="G153" s="564"/>
      <c r="H153" s="564"/>
      <c r="I153" s="564"/>
      <c r="J153" s="564"/>
      <c r="K153" s="564"/>
      <c r="L153" s="564"/>
      <c r="M153" s="564"/>
      <c r="N153" s="564"/>
      <c r="O153" s="564"/>
      <c r="P153" s="564"/>
      <c r="Q153" s="564"/>
      <c r="R153" s="564"/>
      <c r="S153" s="564"/>
      <c r="T153" s="564"/>
      <c r="U153" s="564"/>
      <c r="V153" s="564"/>
      <c r="W153" s="564"/>
      <c r="X153" s="564"/>
      <c r="Y153" s="564"/>
      <c r="Z153" s="564"/>
      <c r="AA153" s="564"/>
      <c r="AB153" s="556"/>
      <c r="AC153" s="556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4"/>
      <c r="AP153" s="74"/>
      <c r="AQ153" s="74"/>
      <c r="AR153" s="74"/>
      <c r="AS153" s="565"/>
      <c r="AT153" s="556"/>
    </row>
    <row r="154" spans="1:46" hidden="1" x14ac:dyDescent="0.45">
      <c r="A154" s="556"/>
      <c r="B154" s="556"/>
      <c r="C154" s="556"/>
      <c r="D154" s="556"/>
      <c r="E154" s="556"/>
      <c r="F154" s="564"/>
      <c r="G154" s="564"/>
      <c r="H154" s="564"/>
      <c r="I154" s="564"/>
      <c r="J154" s="564"/>
      <c r="K154" s="564"/>
      <c r="L154" s="564"/>
      <c r="M154" s="564"/>
      <c r="N154" s="564"/>
      <c r="O154" s="564"/>
      <c r="P154" s="564"/>
      <c r="Q154" s="564"/>
      <c r="R154" s="564"/>
      <c r="S154" s="564"/>
      <c r="T154" s="564"/>
      <c r="U154" s="564"/>
      <c r="V154" s="564"/>
      <c r="W154" s="564"/>
      <c r="X154" s="564"/>
      <c r="Y154" s="564"/>
      <c r="Z154" s="564"/>
      <c r="AA154" s="564"/>
      <c r="AB154" s="556"/>
      <c r="AC154" s="556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4"/>
      <c r="AP154" s="74"/>
      <c r="AQ154" s="74"/>
      <c r="AR154" s="74"/>
      <c r="AS154" s="565"/>
      <c r="AT154" s="556"/>
    </row>
    <row r="155" spans="1:46" hidden="1" x14ac:dyDescent="0.45">
      <c r="A155" s="556"/>
      <c r="B155" s="556"/>
      <c r="C155" s="556"/>
      <c r="D155" s="556"/>
      <c r="E155" s="556"/>
      <c r="F155" s="564"/>
      <c r="G155" s="564"/>
      <c r="H155" s="564"/>
      <c r="I155" s="564"/>
      <c r="J155" s="564"/>
      <c r="K155" s="564"/>
      <c r="L155" s="564"/>
      <c r="M155" s="564"/>
      <c r="N155" s="564"/>
      <c r="O155" s="564"/>
      <c r="P155" s="564"/>
      <c r="Q155" s="564"/>
      <c r="R155" s="564"/>
      <c r="S155" s="564"/>
      <c r="T155" s="564"/>
      <c r="U155" s="564"/>
      <c r="V155" s="564"/>
      <c r="W155" s="564"/>
      <c r="X155" s="564"/>
      <c r="Y155" s="564"/>
      <c r="Z155" s="564"/>
      <c r="AA155" s="564"/>
      <c r="AB155" s="556"/>
      <c r="AC155" s="556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4"/>
      <c r="AP155" s="74"/>
      <c r="AQ155" s="74"/>
      <c r="AR155" s="74"/>
      <c r="AS155" s="565"/>
      <c r="AT155" s="556"/>
    </row>
    <row r="156" spans="1:46" hidden="1" x14ac:dyDescent="0.45">
      <c r="A156" s="556"/>
      <c r="B156" s="556"/>
      <c r="C156" s="556"/>
      <c r="D156" s="556"/>
      <c r="E156" s="556"/>
      <c r="F156" s="564"/>
      <c r="G156" s="564"/>
      <c r="H156" s="564"/>
      <c r="I156" s="564"/>
      <c r="J156" s="564"/>
      <c r="K156" s="564"/>
      <c r="L156" s="564"/>
      <c r="M156" s="564"/>
      <c r="N156" s="564"/>
      <c r="O156" s="564"/>
      <c r="P156" s="564"/>
      <c r="Q156" s="564"/>
      <c r="R156" s="564"/>
      <c r="S156" s="564"/>
      <c r="T156" s="564"/>
      <c r="U156" s="564"/>
      <c r="V156" s="564"/>
      <c r="W156" s="564"/>
      <c r="X156" s="564"/>
      <c r="Y156" s="564"/>
      <c r="Z156" s="564"/>
      <c r="AA156" s="564"/>
      <c r="AB156" s="556"/>
      <c r="AC156" s="556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4"/>
      <c r="AP156" s="74"/>
      <c r="AQ156" s="74"/>
      <c r="AR156" s="74"/>
      <c r="AS156" s="565"/>
      <c r="AT156" s="556"/>
    </row>
    <row r="157" spans="1:46" hidden="1" x14ac:dyDescent="0.45">
      <c r="A157" s="556"/>
      <c r="B157" s="556"/>
      <c r="C157" s="556"/>
      <c r="D157" s="556"/>
      <c r="E157" s="556"/>
      <c r="F157" s="564"/>
      <c r="G157" s="564"/>
      <c r="H157" s="564"/>
      <c r="I157" s="564"/>
      <c r="J157" s="564"/>
      <c r="K157" s="564"/>
      <c r="L157" s="564"/>
      <c r="M157" s="564"/>
      <c r="N157" s="564"/>
      <c r="O157" s="564"/>
      <c r="P157" s="564"/>
      <c r="Q157" s="564"/>
      <c r="R157" s="564"/>
      <c r="S157" s="564"/>
      <c r="T157" s="564"/>
      <c r="U157" s="564"/>
      <c r="V157" s="564"/>
      <c r="W157" s="564"/>
      <c r="X157" s="564"/>
      <c r="Y157" s="564"/>
      <c r="Z157" s="564"/>
      <c r="AA157" s="564"/>
      <c r="AB157" s="556"/>
      <c r="AC157" s="556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4"/>
      <c r="AP157" s="74"/>
      <c r="AQ157" s="74"/>
      <c r="AR157" s="74"/>
      <c r="AS157" s="565"/>
      <c r="AT157" s="556"/>
    </row>
    <row r="158" spans="1:46" hidden="1" x14ac:dyDescent="0.45">
      <c r="A158" s="556"/>
      <c r="B158" s="556"/>
      <c r="C158" s="556"/>
      <c r="D158" s="556"/>
      <c r="E158" s="556"/>
      <c r="F158" s="564"/>
      <c r="G158" s="564"/>
      <c r="H158" s="564"/>
      <c r="I158" s="564"/>
      <c r="J158" s="564"/>
      <c r="K158" s="564"/>
      <c r="L158" s="564"/>
      <c r="M158" s="564"/>
      <c r="N158" s="564"/>
      <c r="O158" s="564"/>
      <c r="P158" s="564"/>
      <c r="Q158" s="564"/>
      <c r="R158" s="564"/>
      <c r="S158" s="564"/>
      <c r="T158" s="564"/>
      <c r="U158" s="564"/>
      <c r="V158" s="564"/>
      <c r="W158" s="564"/>
      <c r="X158" s="564"/>
      <c r="Y158" s="564"/>
      <c r="Z158" s="564"/>
      <c r="AA158" s="564"/>
      <c r="AB158" s="556"/>
      <c r="AC158" s="556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4"/>
      <c r="AP158" s="74"/>
      <c r="AQ158" s="74"/>
      <c r="AR158" s="74"/>
      <c r="AS158" s="565"/>
      <c r="AT158" s="556"/>
    </row>
    <row r="159" spans="1:46" hidden="1" x14ac:dyDescent="0.45">
      <c r="A159" s="556"/>
      <c r="B159" s="556"/>
      <c r="C159" s="556"/>
      <c r="D159" s="556"/>
      <c r="E159" s="556"/>
      <c r="F159" s="564"/>
      <c r="G159" s="564"/>
      <c r="H159" s="564"/>
      <c r="I159" s="564"/>
      <c r="J159" s="564"/>
      <c r="K159" s="564"/>
      <c r="L159" s="564"/>
      <c r="M159" s="564"/>
      <c r="N159" s="564"/>
      <c r="O159" s="564"/>
      <c r="P159" s="564"/>
      <c r="Q159" s="564"/>
      <c r="R159" s="564"/>
      <c r="S159" s="564"/>
      <c r="T159" s="564"/>
      <c r="U159" s="564"/>
      <c r="V159" s="564"/>
      <c r="W159" s="564"/>
      <c r="X159" s="564"/>
      <c r="Y159" s="564"/>
      <c r="Z159" s="564"/>
      <c r="AA159" s="564"/>
      <c r="AB159" s="556"/>
      <c r="AC159" s="556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4"/>
      <c r="AP159" s="74"/>
      <c r="AQ159" s="74"/>
      <c r="AR159" s="74"/>
      <c r="AS159" s="565"/>
      <c r="AT159" s="556"/>
    </row>
    <row r="160" spans="1:46" hidden="1" x14ac:dyDescent="0.45">
      <c r="A160" s="556"/>
      <c r="B160" s="556"/>
      <c r="C160" s="556"/>
      <c r="D160" s="556"/>
      <c r="E160" s="556"/>
      <c r="F160" s="564"/>
      <c r="G160" s="564"/>
      <c r="H160" s="564"/>
      <c r="I160" s="564"/>
      <c r="J160" s="564"/>
      <c r="K160" s="564"/>
      <c r="L160" s="564"/>
      <c r="M160" s="564"/>
      <c r="N160" s="564"/>
      <c r="O160" s="564"/>
      <c r="P160" s="564"/>
      <c r="Q160" s="564"/>
      <c r="R160" s="564"/>
      <c r="S160" s="564"/>
      <c r="T160" s="564"/>
      <c r="U160" s="564"/>
      <c r="V160" s="564"/>
      <c r="W160" s="564"/>
      <c r="X160" s="564"/>
      <c r="Y160" s="564"/>
      <c r="Z160" s="564"/>
      <c r="AA160" s="564"/>
      <c r="AB160" s="556"/>
      <c r="AC160" s="556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4"/>
      <c r="AP160" s="74"/>
      <c r="AQ160" s="74"/>
      <c r="AR160" s="74"/>
      <c r="AS160" s="565"/>
      <c r="AT160" s="556"/>
    </row>
    <row r="161" spans="1:46" hidden="1" x14ac:dyDescent="0.45">
      <c r="A161" s="556"/>
      <c r="B161" s="556"/>
      <c r="C161" s="556"/>
      <c r="D161" s="556"/>
      <c r="E161" s="556"/>
      <c r="F161" s="564"/>
      <c r="G161" s="564"/>
      <c r="H161" s="564"/>
      <c r="I161" s="564"/>
      <c r="J161" s="564"/>
      <c r="K161" s="564"/>
      <c r="L161" s="564"/>
      <c r="M161" s="564"/>
      <c r="N161" s="564"/>
      <c r="O161" s="564"/>
      <c r="P161" s="564"/>
      <c r="Q161" s="564"/>
      <c r="R161" s="564"/>
      <c r="S161" s="564"/>
      <c r="T161" s="564"/>
      <c r="U161" s="564"/>
      <c r="V161" s="564"/>
      <c r="W161" s="564"/>
      <c r="X161" s="564"/>
      <c r="Y161" s="564"/>
      <c r="Z161" s="564"/>
      <c r="AA161" s="564"/>
      <c r="AB161" s="556"/>
      <c r="AC161" s="556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4"/>
      <c r="AP161" s="74"/>
      <c r="AQ161" s="74"/>
      <c r="AR161" s="74"/>
      <c r="AS161" s="565"/>
      <c r="AT161" s="556"/>
    </row>
    <row r="162" spans="1:46" hidden="1" x14ac:dyDescent="0.45">
      <c r="A162" s="556"/>
      <c r="B162" s="556"/>
      <c r="C162" s="556"/>
      <c r="D162" s="556"/>
      <c r="E162" s="556"/>
      <c r="F162" s="564"/>
      <c r="G162" s="564"/>
      <c r="H162" s="564"/>
      <c r="I162" s="564"/>
      <c r="J162" s="564"/>
      <c r="K162" s="564"/>
      <c r="L162" s="564"/>
      <c r="M162" s="564"/>
      <c r="N162" s="564"/>
      <c r="O162" s="564"/>
      <c r="P162" s="564"/>
      <c r="Q162" s="564"/>
      <c r="R162" s="564"/>
      <c r="S162" s="564"/>
      <c r="T162" s="564"/>
      <c r="U162" s="564"/>
      <c r="V162" s="564"/>
      <c r="W162" s="564"/>
      <c r="X162" s="564"/>
      <c r="Y162" s="564"/>
      <c r="Z162" s="564"/>
      <c r="AA162" s="564"/>
      <c r="AB162" s="556"/>
      <c r="AC162" s="556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4"/>
      <c r="AP162" s="74"/>
      <c r="AQ162" s="74"/>
      <c r="AR162" s="74"/>
      <c r="AS162" s="565"/>
      <c r="AT162" s="556"/>
    </row>
    <row r="163" spans="1:46" hidden="1" x14ac:dyDescent="0.45">
      <c r="A163" s="556"/>
      <c r="B163" s="556"/>
      <c r="C163" s="556"/>
      <c r="D163" s="556"/>
      <c r="E163" s="556"/>
      <c r="F163" s="564"/>
      <c r="G163" s="564"/>
      <c r="H163" s="564"/>
      <c r="I163" s="564"/>
      <c r="J163" s="564"/>
      <c r="K163" s="564"/>
      <c r="L163" s="564"/>
      <c r="M163" s="564"/>
      <c r="N163" s="564"/>
      <c r="O163" s="564"/>
      <c r="P163" s="564"/>
      <c r="Q163" s="564"/>
      <c r="R163" s="564"/>
      <c r="S163" s="564"/>
      <c r="T163" s="564"/>
      <c r="U163" s="564"/>
      <c r="V163" s="564"/>
      <c r="W163" s="564"/>
      <c r="X163" s="564"/>
      <c r="Y163" s="564"/>
      <c r="Z163" s="564"/>
      <c r="AA163" s="564"/>
      <c r="AB163" s="556"/>
      <c r="AC163" s="556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4"/>
      <c r="AP163" s="74"/>
      <c r="AQ163" s="74"/>
      <c r="AR163" s="74"/>
      <c r="AS163" s="565"/>
      <c r="AT163" s="556"/>
    </row>
    <row r="164" spans="1:46" hidden="1" x14ac:dyDescent="0.45">
      <c r="A164" s="556"/>
      <c r="B164" s="556"/>
      <c r="C164" s="556"/>
      <c r="D164" s="556"/>
      <c r="E164" s="556"/>
      <c r="F164" s="564"/>
      <c r="G164" s="564"/>
      <c r="H164" s="564"/>
      <c r="I164" s="564"/>
      <c r="J164" s="564"/>
      <c r="K164" s="564"/>
      <c r="L164" s="564"/>
      <c r="M164" s="564"/>
      <c r="N164" s="564"/>
      <c r="O164" s="564"/>
      <c r="P164" s="564"/>
      <c r="Q164" s="564"/>
      <c r="R164" s="564"/>
      <c r="S164" s="564"/>
      <c r="T164" s="564"/>
      <c r="U164" s="564"/>
      <c r="V164" s="564"/>
      <c r="W164" s="564"/>
      <c r="X164" s="564"/>
      <c r="Y164" s="564"/>
      <c r="Z164" s="564"/>
      <c r="AA164" s="564"/>
      <c r="AB164" s="556"/>
      <c r="AC164" s="556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4"/>
      <c r="AP164" s="74"/>
      <c r="AQ164" s="74"/>
      <c r="AR164" s="74"/>
      <c r="AS164" s="565"/>
      <c r="AT164" s="556"/>
    </row>
    <row r="165" spans="1:46" hidden="1" x14ac:dyDescent="0.45">
      <c r="A165" s="556"/>
      <c r="B165" s="556"/>
      <c r="C165" s="556"/>
      <c r="D165" s="556"/>
      <c r="E165" s="556"/>
      <c r="F165" s="564"/>
      <c r="G165" s="564"/>
      <c r="H165" s="564"/>
      <c r="I165" s="564"/>
      <c r="J165" s="564"/>
      <c r="K165" s="564"/>
      <c r="L165" s="564"/>
      <c r="M165" s="564"/>
      <c r="N165" s="564"/>
      <c r="O165" s="564"/>
      <c r="P165" s="564"/>
      <c r="Q165" s="564"/>
      <c r="R165" s="564"/>
      <c r="S165" s="564"/>
      <c r="T165" s="564"/>
      <c r="U165" s="564"/>
      <c r="V165" s="564"/>
      <c r="W165" s="564"/>
      <c r="X165" s="564"/>
      <c r="Y165" s="564"/>
      <c r="Z165" s="564"/>
      <c r="AA165" s="564"/>
      <c r="AB165" s="556"/>
      <c r="AC165" s="556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4"/>
      <c r="AP165" s="74"/>
      <c r="AQ165" s="74"/>
      <c r="AR165" s="74"/>
      <c r="AS165" s="565"/>
      <c r="AT165" s="556"/>
    </row>
    <row r="166" spans="1:46" hidden="1" x14ac:dyDescent="0.45">
      <c r="A166" s="556"/>
      <c r="B166" s="556"/>
      <c r="C166" s="556"/>
      <c r="D166" s="556"/>
      <c r="E166" s="556"/>
      <c r="F166" s="564"/>
      <c r="G166" s="564"/>
      <c r="H166" s="564"/>
      <c r="I166" s="564"/>
      <c r="J166" s="564"/>
      <c r="K166" s="564"/>
      <c r="L166" s="564"/>
      <c r="M166" s="564"/>
      <c r="N166" s="564"/>
      <c r="O166" s="564"/>
      <c r="P166" s="564"/>
      <c r="Q166" s="564"/>
      <c r="R166" s="564"/>
      <c r="S166" s="564"/>
      <c r="T166" s="564"/>
      <c r="U166" s="564"/>
      <c r="V166" s="564"/>
      <c r="W166" s="564"/>
      <c r="X166" s="564"/>
      <c r="Y166" s="564"/>
      <c r="Z166" s="564"/>
      <c r="AA166" s="564"/>
      <c r="AB166" s="556"/>
      <c r="AC166" s="556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4"/>
      <c r="AP166" s="74"/>
      <c r="AQ166" s="74"/>
      <c r="AR166" s="74"/>
      <c r="AS166" s="565"/>
      <c r="AT166" s="556"/>
    </row>
    <row r="167" spans="1:46" hidden="1" x14ac:dyDescent="0.45">
      <c r="A167" s="556"/>
      <c r="B167" s="556"/>
      <c r="C167" s="556"/>
      <c r="D167" s="556"/>
      <c r="E167" s="556"/>
      <c r="F167" s="564"/>
      <c r="G167" s="564"/>
      <c r="H167" s="564"/>
      <c r="I167" s="564"/>
      <c r="J167" s="564"/>
      <c r="K167" s="564"/>
      <c r="L167" s="564"/>
      <c r="M167" s="564"/>
      <c r="N167" s="564"/>
      <c r="O167" s="564"/>
      <c r="P167" s="564"/>
      <c r="Q167" s="564"/>
      <c r="R167" s="564"/>
      <c r="S167" s="564"/>
      <c r="T167" s="564"/>
      <c r="U167" s="564"/>
      <c r="V167" s="564"/>
      <c r="W167" s="564"/>
      <c r="X167" s="564"/>
      <c r="Y167" s="564"/>
      <c r="Z167" s="564"/>
      <c r="AA167" s="564"/>
      <c r="AB167" s="556"/>
      <c r="AC167" s="556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4"/>
      <c r="AP167" s="74"/>
      <c r="AQ167" s="74"/>
      <c r="AR167" s="74"/>
      <c r="AS167" s="565"/>
      <c r="AT167" s="556"/>
    </row>
    <row r="168" spans="1:46" hidden="1" x14ac:dyDescent="0.45">
      <c r="A168" s="556"/>
      <c r="B168" s="556"/>
      <c r="C168" s="556"/>
      <c r="D168" s="556"/>
      <c r="E168" s="556"/>
      <c r="F168" s="564"/>
      <c r="G168" s="564"/>
      <c r="H168" s="564"/>
      <c r="I168" s="564"/>
      <c r="J168" s="564"/>
      <c r="K168" s="564"/>
      <c r="L168" s="564"/>
      <c r="M168" s="564"/>
      <c r="N168" s="564"/>
      <c r="O168" s="564"/>
      <c r="P168" s="564"/>
      <c r="Q168" s="564"/>
      <c r="R168" s="564"/>
      <c r="S168" s="564"/>
      <c r="T168" s="564"/>
      <c r="U168" s="564"/>
      <c r="V168" s="564"/>
      <c r="W168" s="564"/>
      <c r="X168" s="564"/>
      <c r="Y168" s="564"/>
      <c r="Z168" s="564"/>
      <c r="AA168" s="564"/>
      <c r="AB168" s="556"/>
      <c r="AC168" s="556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4"/>
      <c r="AP168" s="74"/>
      <c r="AQ168" s="74"/>
      <c r="AR168" s="74"/>
      <c r="AS168" s="565"/>
      <c r="AT168" s="556"/>
    </row>
    <row r="169" spans="1:46" hidden="1" x14ac:dyDescent="0.45">
      <c r="A169" s="556"/>
      <c r="B169" s="556"/>
      <c r="C169" s="556"/>
      <c r="D169" s="556"/>
      <c r="E169" s="556"/>
      <c r="F169" s="564"/>
      <c r="G169" s="564"/>
      <c r="H169" s="564"/>
      <c r="I169" s="564"/>
      <c r="J169" s="564"/>
      <c r="K169" s="564"/>
      <c r="L169" s="564"/>
      <c r="M169" s="564"/>
      <c r="N169" s="564"/>
      <c r="O169" s="564"/>
      <c r="P169" s="564"/>
      <c r="Q169" s="564"/>
      <c r="R169" s="564"/>
      <c r="S169" s="564"/>
      <c r="T169" s="564"/>
      <c r="U169" s="564"/>
      <c r="V169" s="564"/>
      <c r="W169" s="564"/>
      <c r="X169" s="564"/>
      <c r="Y169" s="564"/>
      <c r="Z169" s="564"/>
      <c r="AA169" s="564"/>
      <c r="AB169" s="556"/>
      <c r="AC169" s="556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4"/>
      <c r="AP169" s="74"/>
      <c r="AQ169" s="74"/>
      <c r="AR169" s="74"/>
      <c r="AS169" s="565"/>
      <c r="AT169" s="556"/>
    </row>
    <row r="170" spans="1:46" hidden="1" x14ac:dyDescent="0.45">
      <c r="A170" s="556"/>
      <c r="B170" s="556"/>
      <c r="C170" s="556"/>
      <c r="D170" s="556"/>
      <c r="E170" s="556"/>
      <c r="F170" s="564"/>
      <c r="G170" s="564"/>
      <c r="H170" s="564"/>
      <c r="I170" s="564"/>
      <c r="J170" s="564"/>
      <c r="K170" s="564"/>
      <c r="L170" s="564"/>
      <c r="M170" s="564"/>
      <c r="N170" s="564"/>
      <c r="O170" s="564"/>
      <c r="P170" s="564"/>
      <c r="Q170" s="564"/>
      <c r="R170" s="564"/>
      <c r="S170" s="564"/>
      <c r="T170" s="564"/>
      <c r="U170" s="564"/>
      <c r="V170" s="564"/>
      <c r="W170" s="564"/>
      <c r="X170" s="564"/>
      <c r="Y170" s="564"/>
      <c r="Z170" s="564"/>
      <c r="AA170" s="564"/>
      <c r="AB170" s="556"/>
      <c r="AC170" s="556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4"/>
      <c r="AP170" s="74"/>
      <c r="AQ170" s="74"/>
      <c r="AR170" s="74"/>
      <c r="AS170" s="565"/>
      <c r="AT170" s="556"/>
    </row>
    <row r="171" spans="1:46" hidden="1" x14ac:dyDescent="0.45">
      <c r="A171" s="556"/>
      <c r="B171" s="556"/>
      <c r="C171" s="556"/>
      <c r="D171" s="556"/>
      <c r="E171" s="556"/>
      <c r="F171" s="564"/>
      <c r="G171" s="564"/>
      <c r="H171" s="564"/>
      <c r="I171" s="564"/>
      <c r="J171" s="564"/>
      <c r="K171" s="564"/>
      <c r="L171" s="564"/>
      <c r="M171" s="564"/>
      <c r="N171" s="564"/>
      <c r="O171" s="564"/>
      <c r="P171" s="564"/>
      <c r="Q171" s="564"/>
      <c r="R171" s="564"/>
      <c r="S171" s="564"/>
      <c r="T171" s="564"/>
      <c r="U171" s="564"/>
      <c r="V171" s="564"/>
      <c r="W171" s="564"/>
      <c r="X171" s="564"/>
      <c r="Y171" s="564"/>
      <c r="Z171" s="564"/>
      <c r="AA171" s="564"/>
      <c r="AB171" s="556"/>
      <c r="AC171" s="556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4"/>
      <c r="AP171" s="74"/>
      <c r="AQ171" s="74"/>
      <c r="AR171" s="74"/>
      <c r="AS171" s="565"/>
      <c r="AT171" s="556"/>
    </row>
    <row r="172" spans="1:46" hidden="1" x14ac:dyDescent="0.45">
      <c r="A172" s="556"/>
      <c r="B172" s="556"/>
      <c r="C172" s="556"/>
      <c r="D172" s="556"/>
      <c r="E172" s="556"/>
      <c r="F172" s="564"/>
      <c r="G172" s="564"/>
      <c r="H172" s="564"/>
      <c r="I172" s="564"/>
      <c r="J172" s="564"/>
      <c r="K172" s="564"/>
      <c r="L172" s="564"/>
      <c r="M172" s="564"/>
      <c r="N172" s="564"/>
      <c r="O172" s="564"/>
      <c r="P172" s="564"/>
      <c r="Q172" s="564"/>
      <c r="R172" s="564"/>
      <c r="S172" s="564"/>
      <c r="T172" s="564"/>
      <c r="U172" s="564"/>
      <c r="V172" s="564"/>
      <c r="W172" s="564"/>
      <c r="X172" s="564"/>
      <c r="Y172" s="564"/>
      <c r="Z172" s="564"/>
      <c r="AA172" s="564"/>
      <c r="AB172" s="556"/>
      <c r="AC172" s="556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4"/>
      <c r="AP172" s="74"/>
      <c r="AQ172" s="74"/>
      <c r="AR172" s="74"/>
      <c r="AS172" s="565"/>
      <c r="AT172" s="556"/>
    </row>
    <row r="173" spans="1:46" hidden="1" x14ac:dyDescent="0.45">
      <c r="A173" s="556"/>
      <c r="B173" s="556"/>
      <c r="C173" s="556"/>
      <c r="D173" s="556"/>
      <c r="E173" s="556"/>
      <c r="F173" s="564"/>
      <c r="G173" s="564"/>
      <c r="H173" s="564"/>
      <c r="I173" s="564"/>
      <c r="J173" s="564"/>
      <c r="K173" s="564"/>
      <c r="L173" s="564"/>
      <c r="M173" s="564"/>
      <c r="N173" s="564"/>
      <c r="O173" s="564"/>
      <c r="P173" s="564"/>
      <c r="Q173" s="564"/>
      <c r="R173" s="564"/>
      <c r="S173" s="564"/>
      <c r="T173" s="564"/>
      <c r="U173" s="564"/>
      <c r="V173" s="564"/>
      <c r="W173" s="564"/>
      <c r="X173" s="564"/>
      <c r="Y173" s="564"/>
      <c r="Z173" s="564"/>
      <c r="AA173" s="564"/>
      <c r="AB173" s="556"/>
      <c r="AC173" s="556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4"/>
      <c r="AP173" s="74"/>
      <c r="AQ173" s="74"/>
      <c r="AR173" s="74"/>
      <c r="AS173" s="565"/>
      <c r="AT173" s="556"/>
    </row>
    <row r="174" spans="1:46" hidden="1" x14ac:dyDescent="0.45">
      <c r="A174" s="556"/>
      <c r="B174" s="556"/>
      <c r="C174" s="556"/>
      <c r="D174" s="556"/>
      <c r="E174" s="556"/>
      <c r="F174" s="564"/>
      <c r="G174" s="564"/>
      <c r="H174" s="564"/>
      <c r="I174" s="564"/>
      <c r="J174" s="564"/>
      <c r="K174" s="564"/>
      <c r="L174" s="564"/>
      <c r="M174" s="564"/>
      <c r="N174" s="564"/>
      <c r="O174" s="564"/>
      <c r="P174" s="564"/>
      <c r="Q174" s="564"/>
      <c r="R174" s="564"/>
      <c r="S174" s="564"/>
      <c r="T174" s="564"/>
      <c r="U174" s="564"/>
      <c r="V174" s="564"/>
      <c r="W174" s="564"/>
      <c r="X174" s="564"/>
      <c r="Y174" s="564"/>
      <c r="Z174" s="564"/>
      <c r="AA174" s="564"/>
      <c r="AB174" s="556"/>
      <c r="AC174" s="556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4"/>
      <c r="AP174" s="74"/>
      <c r="AQ174" s="74"/>
      <c r="AR174" s="74"/>
      <c r="AS174" s="565"/>
      <c r="AT174" s="556"/>
    </row>
    <row r="175" spans="1:46" hidden="1" x14ac:dyDescent="0.45">
      <c r="A175" s="556"/>
      <c r="B175" s="556"/>
      <c r="C175" s="556"/>
      <c r="D175" s="556"/>
      <c r="E175" s="556"/>
      <c r="F175" s="564"/>
      <c r="G175" s="564"/>
      <c r="H175" s="564"/>
      <c r="I175" s="564"/>
      <c r="J175" s="564"/>
      <c r="K175" s="564"/>
      <c r="L175" s="564"/>
      <c r="M175" s="564"/>
      <c r="N175" s="564"/>
      <c r="O175" s="564"/>
      <c r="P175" s="564"/>
      <c r="Q175" s="564"/>
      <c r="R175" s="564"/>
      <c r="S175" s="564"/>
      <c r="T175" s="564"/>
      <c r="U175" s="564"/>
      <c r="V175" s="564"/>
      <c r="W175" s="564"/>
      <c r="X175" s="564"/>
      <c r="Y175" s="564"/>
      <c r="Z175" s="564"/>
      <c r="AA175" s="564"/>
      <c r="AB175" s="556"/>
      <c r="AC175" s="556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4"/>
      <c r="AP175" s="74"/>
      <c r="AQ175" s="74"/>
      <c r="AR175" s="74"/>
      <c r="AS175" s="565"/>
      <c r="AT175" s="556"/>
    </row>
    <row r="176" spans="1:46" hidden="1" x14ac:dyDescent="0.45">
      <c r="A176" s="556"/>
      <c r="B176" s="556"/>
      <c r="C176" s="556"/>
      <c r="D176" s="556"/>
      <c r="E176" s="556"/>
      <c r="F176" s="564"/>
      <c r="G176" s="564"/>
      <c r="H176" s="564"/>
      <c r="I176" s="564"/>
      <c r="J176" s="564"/>
      <c r="K176" s="564"/>
      <c r="L176" s="564"/>
      <c r="M176" s="564"/>
      <c r="N176" s="564"/>
      <c r="O176" s="564"/>
      <c r="P176" s="564"/>
      <c r="Q176" s="564"/>
      <c r="R176" s="564"/>
      <c r="S176" s="564"/>
      <c r="T176" s="564"/>
      <c r="U176" s="564"/>
      <c r="V176" s="564"/>
      <c r="W176" s="564"/>
      <c r="X176" s="564"/>
      <c r="Y176" s="564"/>
      <c r="Z176" s="564"/>
      <c r="AA176" s="564"/>
      <c r="AB176" s="556"/>
      <c r="AC176" s="556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4"/>
      <c r="AP176" s="74"/>
      <c r="AQ176" s="74"/>
      <c r="AR176" s="74"/>
      <c r="AS176" s="565"/>
      <c r="AT176" s="556"/>
    </row>
    <row r="177" spans="1:46" hidden="1" x14ac:dyDescent="0.45">
      <c r="A177" s="556"/>
      <c r="B177" s="556"/>
      <c r="C177" s="556"/>
      <c r="D177" s="556"/>
      <c r="E177" s="556"/>
      <c r="F177" s="564"/>
      <c r="G177" s="564"/>
      <c r="H177" s="564"/>
      <c r="I177" s="564"/>
      <c r="J177" s="564"/>
      <c r="K177" s="564"/>
      <c r="L177" s="564"/>
      <c r="M177" s="564"/>
      <c r="N177" s="564"/>
      <c r="O177" s="564"/>
      <c r="P177" s="564"/>
      <c r="Q177" s="564"/>
      <c r="R177" s="564"/>
      <c r="S177" s="564"/>
      <c r="T177" s="564"/>
      <c r="U177" s="564"/>
      <c r="V177" s="564"/>
      <c r="W177" s="564"/>
      <c r="X177" s="564"/>
      <c r="Y177" s="564"/>
      <c r="Z177" s="564"/>
      <c r="AA177" s="564"/>
      <c r="AB177" s="556"/>
      <c r="AC177" s="556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4"/>
      <c r="AP177" s="74"/>
      <c r="AQ177" s="74"/>
      <c r="AR177" s="74"/>
      <c r="AS177" s="565"/>
      <c r="AT177" s="556"/>
    </row>
    <row r="178" spans="1:46" hidden="1" x14ac:dyDescent="0.45">
      <c r="A178" s="556"/>
      <c r="B178" s="556"/>
      <c r="C178" s="556"/>
      <c r="D178" s="556"/>
      <c r="E178" s="556"/>
      <c r="F178" s="564"/>
      <c r="G178" s="564"/>
      <c r="H178" s="564"/>
      <c r="I178" s="564"/>
      <c r="J178" s="564"/>
      <c r="K178" s="564"/>
      <c r="L178" s="564"/>
      <c r="M178" s="564"/>
      <c r="N178" s="564"/>
      <c r="O178" s="564"/>
      <c r="P178" s="564"/>
      <c r="Q178" s="564"/>
      <c r="R178" s="564"/>
      <c r="S178" s="564"/>
      <c r="T178" s="564"/>
      <c r="U178" s="564"/>
      <c r="V178" s="564"/>
      <c r="W178" s="564"/>
      <c r="X178" s="564"/>
      <c r="Y178" s="564"/>
      <c r="Z178" s="564"/>
      <c r="AA178" s="564"/>
      <c r="AB178" s="556"/>
      <c r="AC178" s="556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4"/>
      <c r="AP178" s="74"/>
      <c r="AQ178" s="74"/>
      <c r="AR178" s="74"/>
      <c r="AS178" s="565"/>
      <c r="AT178" s="556"/>
    </row>
    <row r="179" spans="1:46" hidden="1" x14ac:dyDescent="0.45">
      <c r="A179" s="556"/>
      <c r="B179" s="556"/>
      <c r="C179" s="556"/>
      <c r="D179" s="556"/>
      <c r="E179" s="556"/>
      <c r="F179" s="564"/>
      <c r="G179" s="564"/>
      <c r="H179" s="564"/>
      <c r="I179" s="564"/>
      <c r="J179" s="564"/>
      <c r="K179" s="564"/>
      <c r="L179" s="564"/>
      <c r="M179" s="564"/>
      <c r="N179" s="564"/>
      <c r="O179" s="564"/>
      <c r="P179" s="564"/>
      <c r="Q179" s="564"/>
      <c r="R179" s="564"/>
      <c r="S179" s="564"/>
      <c r="T179" s="564"/>
      <c r="U179" s="564"/>
      <c r="V179" s="564"/>
      <c r="W179" s="564"/>
      <c r="X179" s="564"/>
      <c r="Y179" s="564"/>
      <c r="Z179" s="564"/>
      <c r="AA179" s="564"/>
      <c r="AB179" s="556"/>
      <c r="AC179" s="556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4"/>
      <c r="AP179" s="74"/>
      <c r="AQ179" s="74"/>
      <c r="AR179" s="74"/>
      <c r="AS179" s="565"/>
      <c r="AT179" s="556"/>
    </row>
    <row r="180" spans="1:46" hidden="1" x14ac:dyDescent="0.45">
      <c r="A180" s="556"/>
      <c r="B180" s="556"/>
      <c r="C180" s="556"/>
      <c r="D180" s="556"/>
      <c r="E180" s="556"/>
      <c r="F180" s="564"/>
      <c r="G180" s="564"/>
      <c r="H180" s="564"/>
      <c r="I180" s="564"/>
      <c r="J180" s="564"/>
      <c r="K180" s="564"/>
      <c r="L180" s="564"/>
      <c r="M180" s="564"/>
      <c r="N180" s="564"/>
      <c r="O180" s="564"/>
      <c r="P180" s="564"/>
      <c r="Q180" s="564"/>
      <c r="R180" s="564"/>
      <c r="S180" s="564"/>
      <c r="T180" s="564"/>
      <c r="U180" s="564"/>
      <c r="V180" s="564"/>
      <c r="W180" s="564"/>
      <c r="X180" s="564"/>
      <c r="Y180" s="564"/>
      <c r="Z180" s="564"/>
      <c r="AA180" s="564"/>
      <c r="AB180" s="556"/>
      <c r="AC180" s="556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4"/>
      <c r="AP180" s="74"/>
      <c r="AQ180" s="74"/>
      <c r="AR180" s="74"/>
      <c r="AS180" s="565"/>
      <c r="AT180" s="556"/>
    </row>
    <row r="181" spans="1:46" hidden="1" x14ac:dyDescent="0.45">
      <c r="A181" s="556"/>
      <c r="B181" s="556"/>
      <c r="C181" s="556"/>
      <c r="D181" s="556"/>
      <c r="E181" s="556"/>
      <c r="F181" s="564"/>
      <c r="G181" s="564"/>
      <c r="H181" s="564"/>
      <c r="I181" s="564"/>
      <c r="J181" s="564"/>
      <c r="K181" s="564"/>
      <c r="L181" s="564"/>
      <c r="M181" s="564"/>
      <c r="N181" s="564"/>
      <c r="O181" s="564"/>
      <c r="P181" s="564"/>
      <c r="Q181" s="564"/>
      <c r="R181" s="564"/>
      <c r="S181" s="564"/>
      <c r="T181" s="564"/>
      <c r="U181" s="564"/>
      <c r="V181" s="564"/>
      <c r="W181" s="564"/>
      <c r="X181" s="564"/>
      <c r="Y181" s="564"/>
      <c r="Z181" s="564"/>
      <c r="AA181" s="564"/>
      <c r="AB181" s="556"/>
      <c r="AC181" s="556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4"/>
      <c r="AP181" s="74"/>
      <c r="AQ181" s="74"/>
      <c r="AR181" s="74"/>
      <c r="AS181" s="565"/>
      <c r="AT181" s="556"/>
    </row>
    <row r="182" spans="1:46" hidden="1" x14ac:dyDescent="0.45">
      <c r="A182" s="556"/>
      <c r="B182" s="556"/>
      <c r="C182" s="556"/>
      <c r="D182" s="556"/>
      <c r="E182" s="556"/>
      <c r="F182" s="564"/>
      <c r="G182" s="564"/>
      <c r="H182" s="564"/>
      <c r="I182" s="564"/>
      <c r="J182" s="564"/>
      <c r="K182" s="564"/>
      <c r="L182" s="564"/>
      <c r="M182" s="564"/>
      <c r="N182" s="564"/>
      <c r="O182" s="564"/>
      <c r="P182" s="564"/>
      <c r="Q182" s="564"/>
      <c r="R182" s="564"/>
      <c r="S182" s="564"/>
      <c r="T182" s="564"/>
      <c r="U182" s="564"/>
      <c r="V182" s="564"/>
      <c r="W182" s="564"/>
      <c r="X182" s="564"/>
      <c r="Y182" s="564"/>
      <c r="Z182" s="564"/>
      <c r="AA182" s="564"/>
      <c r="AB182" s="556"/>
      <c r="AC182" s="556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4"/>
      <c r="AP182" s="74"/>
      <c r="AQ182" s="74"/>
      <c r="AR182" s="74"/>
      <c r="AS182" s="565"/>
      <c r="AT182" s="556"/>
    </row>
    <row r="183" spans="1:46" hidden="1" x14ac:dyDescent="0.45">
      <c r="A183" s="556"/>
      <c r="B183" s="556"/>
      <c r="C183" s="556"/>
      <c r="D183" s="556"/>
      <c r="E183" s="556"/>
      <c r="F183" s="564"/>
      <c r="G183" s="564"/>
      <c r="H183" s="564"/>
      <c r="I183" s="564"/>
      <c r="J183" s="564"/>
      <c r="K183" s="564"/>
      <c r="L183" s="564"/>
      <c r="M183" s="564"/>
      <c r="N183" s="564"/>
      <c r="O183" s="564"/>
      <c r="P183" s="564"/>
      <c r="Q183" s="564"/>
      <c r="R183" s="564"/>
      <c r="S183" s="564"/>
      <c r="T183" s="564"/>
      <c r="U183" s="564"/>
      <c r="V183" s="564"/>
      <c r="W183" s="564"/>
      <c r="X183" s="564"/>
      <c r="Y183" s="564"/>
      <c r="Z183" s="564"/>
      <c r="AA183" s="564"/>
      <c r="AB183" s="556"/>
      <c r="AC183" s="556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4"/>
      <c r="AP183" s="74"/>
      <c r="AQ183" s="74"/>
      <c r="AR183" s="74"/>
      <c r="AS183" s="565"/>
      <c r="AT183" s="556"/>
    </row>
    <row r="184" spans="1:46" hidden="1" x14ac:dyDescent="0.45">
      <c r="A184" s="556"/>
      <c r="B184" s="556"/>
      <c r="C184" s="556"/>
      <c r="D184" s="556"/>
      <c r="E184" s="556"/>
      <c r="F184" s="564"/>
      <c r="G184" s="564"/>
      <c r="H184" s="564"/>
      <c r="I184" s="564"/>
      <c r="J184" s="564"/>
      <c r="K184" s="564"/>
      <c r="L184" s="564"/>
      <c r="M184" s="564"/>
      <c r="N184" s="564"/>
      <c r="O184" s="564"/>
      <c r="P184" s="564"/>
      <c r="Q184" s="564"/>
      <c r="R184" s="564"/>
      <c r="S184" s="564"/>
      <c r="T184" s="564"/>
      <c r="U184" s="564"/>
      <c r="V184" s="564"/>
      <c r="W184" s="564"/>
      <c r="X184" s="564"/>
      <c r="Y184" s="564"/>
      <c r="Z184" s="564"/>
      <c r="AA184" s="564"/>
      <c r="AB184" s="556"/>
      <c r="AC184" s="556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4"/>
      <c r="AP184" s="74"/>
      <c r="AQ184" s="74"/>
      <c r="AR184" s="74"/>
      <c r="AS184" s="565"/>
      <c r="AT184" s="556"/>
    </row>
    <row r="185" spans="1:46" hidden="1" x14ac:dyDescent="0.45">
      <c r="A185" s="556"/>
      <c r="B185" s="556"/>
      <c r="C185" s="556"/>
      <c r="D185" s="556"/>
      <c r="E185" s="556"/>
      <c r="F185" s="564"/>
      <c r="G185" s="564"/>
      <c r="H185" s="564"/>
      <c r="I185" s="564"/>
      <c r="J185" s="564"/>
      <c r="K185" s="564"/>
      <c r="L185" s="564"/>
      <c r="M185" s="564"/>
      <c r="N185" s="564"/>
      <c r="O185" s="564"/>
      <c r="P185" s="564"/>
      <c r="Q185" s="564"/>
      <c r="R185" s="564"/>
      <c r="S185" s="564"/>
      <c r="T185" s="564"/>
      <c r="U185" s="564"/>
      <c r="V185" s="564"/>
      <c r="W185" s="564"/>
      <c r="X185" s="564"/>
      <c r="Y185" s="564"/>
      <c r="Z185" s="564"/>
      <c r="AA185" s="564"/>
      <c r="AB185" s="556"/>
      <c r="AC185" s="556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4"/>
      <c r="AP185" s="74"/>
      <c r="AQ185" s="74"/>
      <c r="AR185" s="74"/>
      <c r="AS185" s="565"/>
      <c r="AT185" s="556"/>
    </row>
    <row r="186" spans="1:46" hidden="1" x14ac:dyDescent="0.45">
      <c r="A186" s="556"/>
      <c r="B186" s="556"/>
      <c r="C186" s="556"/>
      <c r="D186" s="556"/>
      <c r="E186" s="556"/>
      <c r="F186" s="564"/>
      <c r="G186" s="564"/>
      <c r="H186" s="564"/>
      <c r="I186" s="564"/>
      <c r="J186" s="564"/>
      <c r="K186" s="564"/>
      <c r="L186" s="564"/>
      <c r="M186" s="564"/>
      <c r="N186" s="564"/>
      <c r="O186" s="564"/>
      <c r="P186" s="564"/>
      <c r="Q186" s="564"/>
      <c r="R186" s="564"/>
      <c r="S186" s="564"/>
      <c r="T186" s="564"/>
      <c r="U186" s="564"/>
      <c r="V186" s="564"/>
      <c r="W186" s="564"/>
      <c r="X186" s="564"/>
      <c r="Y186" s="564"/>
      <c r="Z186" s="564"/>
      <c r="AA186" s="564"/>
      <c r="AB186" s="556"/>
      <c r="AC186" s="556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4"/>
      <c r="AP186" s="74"/>
      <c r="AQ186" s="74"/>
      <c r="AR186" s="74"/>
      <c r="AS186" s="565"/>
      <c r="AT186" s="556"/>
    </row>
    <row r="187" spans="1:46" hidden="1" x14ac:dyDescent="0.45">
      <c r="A187" s="556"/>
      <c r="B187" s="556"/>
      <c r="C187" s="556"/>
      <c r="D187" s="556"/>
      <c r="E187" s="556"/>
      <c r="F187" s="564"/>
      <c r="G187" s="564"/>
      <c r="H187" s="564"/>
      <c r="I187" s="564"/>
      <c r="J187" s="564"/>
      <c r="K187" s="564"/>
      <c r="L187" s="564"/>
      <c r="M187" s="564"/>
      <c r="N187" s="564"/>
      <c r="O187" s="564"/>
      <c r="P187" s="564"/>
      <c r="Q187" s="564"/>
      <c r="R187" s="564"/>
      <c r="S187" s="564"/>
      <c r="T187" s="564"/>
      <c r="U187" s="564"/>
      <c r="V187" s="564"/>
      <c r="W187" s="564"/>
      <c r="X187" s="564"/>
      <c r="Y187" s="564"/>
      <c r="Z187" s="564"/>
      <c r="AA187" s="564"/>
      <c r="AB187" s="556"/>
      <c r="AC187" s="556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4"/>
      <c r="AP187" s="74"/>
      <c r="AQ187" s="74"/>
      <c r="AR187" s="74"/>
      <c r="AS187" s="565"/>
      <c r="AT187" s="556"/>
    </row>
    <row r="188" spans="1:46" hidden="1" x14ac:dyDescent="0.45">
      <c r="A188" s="556"/>
      <c r="B188" s="556"/>
      <c r="C188" s="556"/>
      <c r="D188" s="556"/>
      <c r="E188" s="556"/>
      <c r="F188" s="564"/>
      <c r="G188" s="564"/>
      <c r="H188" s="564"/>
      <c r="I188" s="564"/>
      <c r="J188" s="564"/>
      <c r="K188" s="564"/>
      <c r="L188" s="564"/>
      <c r="M188" s="564"/>
      <c r="N188" s="564"/>
      <c r="O188" s="564"/>
      <c r="P188" s="564"/>
      <c r="Q188" s="564"/>
      <c r="R188" s="564"/>
      <c r="S188" s="564"/>
      <c r="T188" s="564"/>
      <c r="U188" s="564"/>
      <c r="V188" s="564"/>
      <c r="W188" s="564"/>
      <c r="X188" s="564"/>
      <c r="Y188" s="564"/>
      <c r="Z188" s="564"/>
      <c r="AA188" s="564"/>
      <c r="AB188" s="556"/>
      <c r="AC188" s="556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4"/>
      <c r="AP188" s="74"/>
      <c r="AQ188" s="74"/>
      <c r="AR188" s="74"/>
      <c r="AS188" s="565"/>
      <c r="AT188" s="556"/>
    </row>
    <row r="189" spans="1:46" hidden="1" x14ac:dyDescent="0.45">
      <c r="A189" s="556"/>
      <c r="B189" s="556"/>
      <c r="C189" s="556"/>
      <c r="D189" s="556"/>
      <c r="E189" s="556"/>
      <c r="F189" s="564"/>
      <c r="G189" s="564"/>
      <c r="H189" s="564"/>
      <c r="I189" s="564"/>
      <c r="J189" s="564"/>
      <c r="K189" s="564"/>
      <c r="L189" s="564"/>
      <c r="M189" s="564"/>
      <c r="N189" s="564"/>
      <c r="O189" s="564"/>
      <c r="P189" s="564"/>
      <c r="Q189" s="564"/>
      <c r="R189" s="564"/>
      <c r="S189" s="564"/>
      <c r="T189" s="564"/>
      <c r="U189" s="564"/>
      <c r="V189" s="564"/>
      <c r="W189" s="564"/>
      <c r="X189" s="564"/>
      <c r="Y189" s="564"/>
      <c r="Z189" s="564"/>
      <c r="AA189" s="564"/>
      <c r="AB189" s="556"/>
      <c r="AC189" s="556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4"/>
      <c r="AP189" s="74"/>
      <c r="AQ189" s="74"/>
      <c r="AR189" s="74"/>
      <c r="AS189" s="565"/>
      <c r="AT189" s="556"/>
    </row>
    <row r="190" spans="1:46" hidden="1" x14ac:dyDescent="0.45">
      <c r="A190" s="556"/>
      <c r="B190" s="556"/>
      <c r="C190" s="556"/>
      <c r="D190" s="556"/>
      <c r="E190" s="556"/>
      <c r="F190" s="564"/>
      <c r="G190" s="564"/>
      <c r="H190" s="564"/>
      <c r="I190" s="564"/>
      <c r="J190" s="564"/>
      <c r="K190" s="564"/>
      <c r="L190" s="564"/>
      <c r="M190" s="564"/>
      <c r="N190" s="564"/>
      <c r="O190" s="564"/>
      <c r="P190" s="564"/>
      <c r="Q190" s="564"/>
      <c r="R190" s="564"/>
      <c r="S190" s="564"/>
      <c r="T190" s="564"/>
      <c r="U190" s="564"/>
      <c r="V190" s="564"/>
      <c r="W190" s="564"/>
      <c r="X190" s="564"/>
      <c r="Y190" s="564"/>
      <c r="Z190" s="564"/>
      <c r="AA190" s="564"/>
      <c r="AB190" s="556"/>
      <c r="AC190" s="556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4"/>
      <c r="AP190" s="74"/>
      <c r="AQ190" s="74"/>
      <c r="AR190" s="74"/>
      <c r="AS190" s="565"/>
      <c r="AT190" s="556"/>
    </row>
    <row r="191" spans="1:46" hidden="1" x14ac:dyDescent="0.45">
      <c r="A191" s="556"/>
      <c r="B191" s="556"/>
      <c r="C191" s="556"/>
      <c r="D191" s="556"/>
      <c r="E191" s="556"/>
      <c r="F191" s="564"/>
      <c r="G191" s="564"/>
      <c r="H191" s="564"/>
      <c r="I191" s="564"/>
      <c r="J191" s="564"/>
      <c r="K191" s="564"/>
      <c r="L191" s="564"/>
      <c r="M191" s="564"/>
      <c r="N191" s="564"/>
      <c r="O191" s="564"/>
      <c r="P191" s="564"/>
      <c r="Q191" s="564"/>
      <c r="R191" s="564"/>
      <c r="S191" s="564"/>
      <c r="T191" s="564"/>
      <c r="U191" s="564"/>
      <c r="V191" s="564"/>
      <c r="W191" s="564"/>
      <c r="X191" s="564"/>
      <c r="Y191" s="564"/>
      <c r="Z191" s="564"/>
      <c r="AA191" s="564"/>
      <c r="AB191" s="556"/>
      <c r="AC191" s="556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4"/>
      <c r="AP191" s="74"/>
      <c r="AQ191" s="74"/>
      <c r="AR191" s="74"/>
      <c r="AS191" s="565"/>
      <c r="AT191" s="556"/>
    </row>
    <row r="192" spans="1:46" hidden="1" x14ac:dyDescent="0.45">
      <c r="A192" s="556"/>
      <c r="B192" s="556"/>
      <c r="C192" s="556"/>
      <c r="D192" s="556"/>
      <c r="E192" s="556"/>
      <c r="F192" s="564"/>
      <c r="G192" s="564"/>
      <c r="H192" s="564"/>
      <c r="I192" s="564"/>
      <c r="J192" s="564"/>
      <c r="K192" s="564"/>
      <c r="L192" s="564"/>
      <c r="M192" s="564"/>
      <c r="N192" s="564"/>
      <c r="O192" s="564"/>
      <c r="P192" s="564"/>
      <c r="Q192" s="564"/>
      <c r="R192" s="564"/>
      <c r="S192" s="564"/>
      <c r="T192" s="564"/>
      <c r="U192" s="564"/>
      <c r="V192" s="564"/>
      <c r="W192" s="564"/>
      <c r="X192" s="564"/>
      <c r="Y192" s="564"/>
      <c r="Z192" s="564"/>
      <c r="AA192" s="564"/>
      <c r="AB192" s="556"/>
      <c r="AC192" s="556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4"/>
      <c r="AP192" s="74"/>
      <c r="AQ192" s="74"/>
      <c r="AR192" s="74"/>
      <c r="AS192" s="565"/>
      <c r="AT192" s="556"/>
    </row>
    <row r="193" spans="1:46" hidden="1" x14ac:dyDescent="0.45">
      <c r="A193" s="556"/>
      <c r="B193" s="556"/>
      <c r="C193" s="556"/>
      <c r="D193" s="556"/>
      <c r="E193" s="556"/>
      <c r="F193" s="564"/>
      <c r="G193" s="564"/>
      <c r="H193" s="564"/>
      <c r="I193" s="564"/>
      <c r="J193" s="564"/>
      <c r="K193" s="564"/>
      <c r="L193" s="564"/>
      <c r="M193" s="564"/>
      <c r="N193" s="564"/>
      <c r="O193" s="564"/>
      <c r="P193" s="564"/>
      <c r="Q193" s="564"/>
      <c r="R193" s="564"/>
      <c r="S193" s="564"/>
      <c r="T193" s="564"/>
      <c r="U193" s="564"/>
      <c r="V193" s="564"/>
      <c r="W193" s="564"/>
      <c r="X193" s="564"/>
      <c r="Y193" s="564"/>
      <c r="Z193" s="564"/>
      <c r="AA193" s="564"/>
      <c r="AB193" s="556"/>
      <c r="AC193" s="556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4"/>
      <c r="AP193" s="74"/>
      <c r="AQ193" s="74"/>
      <c r="AR193" s="74"/>
      <c r="AS193" s="565"/>
      <c r="AT193" s="556"/>
    </row>
    <row r="194" spans="1:46" hidden="1" x14ac:dyDescent="0.45">
      <c r="A194" s="556"/>
      <c r="B194" s="556"/>
      <c r="C194" s="556"/>
      <c r="D194" s="556"/>
      <c r="E194" s="556"/>
      <c r="F194" s="564"/>
      <c r="G194" s="564"/>
      <c r="H194" s="564"/>
      <c r="I194" s="564"/>
      <c r="J194" s="564"/>
      <c r="K194" s="564"/>
      <c r="L194" s="564"/>
      <c r="M194" s="564"/>
      <c r="N194" s="564"/>
      <c r="O194" s="564"/>
      <c r="P194" s="564"/>
      <c r="Q194" s="564"/>
      <c r="R194" s="564"/>
      <c r="S194" s="564"/>
      <c r="T194" s="564"/>
      <c r="U194" s="564"/>
      <c r="V194" s="564"/>
      <c r="W194" s="564"/>
      <c r="X194" s="564"/>
      <c r="Y194" s="564"/>
      <c r="Z194" s="564"/>
      <c r="AA194" s="564"/>
      <c r="AB194" s="556"/>
      <c r="AC194" s="556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4"/>
      <c r="AP194" s="74"/>
      <c r="AQ194" s="74"/>
      <c r="AR194" s="74"/>
      <c r="AS194" s="565"/>
      <c r="AT194" s="556"/>
    </row>
    <row r="195" spans="1:46" hidden="1" x14ac:dyDescent="0.45">
      <c r="A195" s="556"/>
      <c r="B195" s="556"/>
      <c r="C195" s="556"/>
      <c r="D195" s="556"/>
      <c r="E195" s="556"/>
      <c r="F195" s="564"/>
      <c r="G195" s="564"/>
      <c r="H195" s="564"/>
      <c r="I195" s="564"/>
      <c r="J195" s="564"/>
      <c r="K195" s="564"/>
      <c r="L195" s="564"/>
      <c r="M195" s="564"/>
      <c r="N195" s="564"/>
      <c r="O195" s="564"/>
      <c r="P195" s="564"/>
      <c r="Q195" s="564"/>
      <c r="R195" s="564"/>
      <c r="S195" s="564"/>
      <c r="T195" s="564"/>
      <c r="U195" s="564"/>
      <c r="V195" s="564"/>
      <c r="W195" s="564"/>
      <c r="X195" s="564"/>
      <c r="Y195" s="564"/>
      <c r="Z195" s="564"/>
      <c r="AA195" s="564"/>
      <c r="AB195" s="556"/>
      <c r="AC195" s="556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4"/>
      <c r="AP195" s="74"/>
      <c r="AQ195" s="74"/>
      <c r="AR195" s="74"/>
      <c r="AS195" s="565"/>
      <c r="AT195" s="556"/>
    </row>
    <row r="196" spans="1:46" hidden="1" x14ac:dyDescent="0.45">
      <c r="A196" s="556"/>
      <c r="B196" s="556"/>
      <c r="C196" s="556"/>
      <c r="D196" s="556"/>
      <c r="E196" s="556"/>
      <c r="F196" s="564"/>
      <c r="G196" s="564"/>
      <c r="H196" s="564"/>
      <c r="I196" s="564"/>
      <c r="J196" s="564"/>
      <c r="K196" s="564"/>
      <c r="L196" s="564"/>
      <c r="M196" s="564"/>
      <c r="N196" s="564"/>
      <c r="O196" s="564"/>
      <c r="P196" s="564"/>
      <c r="Q196" s="564"/>
      <c r="R196" s="564"/>
      <c r="S196" s="564"/>
      <c r="T196" s="564"/>
      <c r="U196" s="564"/>
      <c r="V196" s="564"/>
      <c r="W196" s="564"/>
      <c r="X196" s="564"/>
      <c r="Y196" s="564"/>
      <c r="Z196" s="564"/>
      <c r="AA196" s="564"/>
      <c r="AB196" s="556"/>
      <c r="AC196" s="556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4"/>
      <c r="AP196" s="74"/>
      <c r="AQ196" s="74"/>
      <c r="AR196" s="74"/>
      <c r="AS196" s="565"/>
      <c r="AT196" s="556"/>
    </row>
    <row r="197" spans="1:46" hidden="1" x14ac:dyDescent="0.45">
      <c r="A197" s="556"/>
      <c r="B197" s="556"/>
      <c r="C197" s="556"/>
      <c r="D197" s="556"/>
      <c r="E197" s="556"/>
      <c r="F197" s="564"/>
      <c r="G197" s="564"/>
      <c r="H197" s="564"/>
      <c r="I197" s="564"/>
      <c r="J197" s="564"/>
      <c r="K197" s="564"/>
      <c r="L197" s="564"/>
      <c r="M197" s="564"/>
      <c r="N197" s="564"/>
      <c r="O197" s="564"/>
      <c r="P197" s="564"/>
      <c r="Q197" s="564"/>
      <c r="R197" s="564"/>
      <c r="S197" s="564"/>
      <c r="T197" s="564"/>
      <c r="U197" s="564"/>
      <c r="V197" s="564"/>
      <c r="W197" s="564"/>
      <c r="X197" s="564"/>
      <c r="Y197" s="564"/>
      <c r="Z197" s="564"/>
      <c r="AA197" s="564"/>
      <c r="AB197" s="556"/>
      <c r="AC197" s="556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4"/>
      <c r="AP197" s="74"/>
      <c r="AQ197" s="74"/>
      <c r="AR197" s="74"/>
      <c r="AS197" s="565"/>
      <c r="AT197" s="556"/>
    </row>
    <row r="198" spans="1:46" hidden="1" x14ac:dyDescent="0.45">
      <c r="A198" s="556"/>
      <c r="B198" s="556"/>
      <c r="C198" s="556"/>
      <c r="D198" s="556"/>
      <c r="E198" s="556"/>
      <c r="F198" s="564"/>
      <c r="G198" s="564"/>
      <c r="H198" s="564"/>
      <c r="I198" s="564"/>
      <c r="J198" s="564"/>
      <c r="K198" s="564"/>
      <c r="L198" s="564"/>
      <c r="M198" s="564"/>
      <c r="N198" s="564"/>
      <c r="O198" s="564"/>
      <c r="P198" s="564"/>
      <c r="Q198" s="564"/>
      <c r="R198" s="564"/>
      <c r="S198" s="564"/>
      <c r="T198" s="564"/>
      <c r="U198" s="564"/>
      <c r="V198" s="564"/>
      <c r="W198" s="564"/>
      <c r="X198" s="564"/>
      <c r="Y198" s="564"/>
      <c r="Z198" s="564"/>
      <c r="AA198" s="564"/>
      <c r="AB198" s="556"/>
      <c r="AC198" s="556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4"/>
      <c r="AP198" s="74"/>
      <c r="AQ198" s="74"/>
      <c r="AR198" s="74"/>
      <c r="AS198" s="565"/>
      <c r="AT198" s="556"/>
    </row>
    <row r="199" spans="1:46" hidden="1" x14ac:dyDescent="0.45">
      <c r="A199" s="556"/>
      <c r="B199" s="556"/>
      <c r="C199" s="556"/>
      <c r="D199" s="556"/>
      <c r="E199" s="556"/>
      <c r="F199" s="564"/>
      <c r="G199" s="564"/>
      <c r="H199" s="564"/>
      <c r="I199" s="564"/>
      <c r="J199" s="564"/>
      <c r="K199" s="564"/>
      <c r="L199" s="564"/>
      <c r="M199" s="564"/>
      <c r="N199" s="564"/>
      <c r="O199" s="564"/>
      <c r="P199" s="564"/>
      <c r="Q199" s="564"/>
      <c r="R199" s="564"/>
      <c r="S199" s="564"/>
      <c r="T199" s="564"/>
      <c r="U199" s="564"/>
      <c r="V199" s="564"/>
      <c r="W199" s="564"/>
      <c r="X199" s="564"/>
      <c r="Y199" s="564"/>
      <c r="Z199" s="564"/>
      <c r="AA199" s="564"/>
      <c r="AB199" s="556"/>
      <c r="AC199" s="556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4"/>
      <c r="AP199" s="74"/>
      <c r="AQ199" s="74"/>
      <c r="AR199" s="74"/>
      <c r="AS199" s="565"/>
      <c r="AT199" s="556"/>
    </row>
    <row r="200" spans="1:46" hidden="1" x14ac:dyDescent="0.45">
      <c r="A200" s="556"/>
      <c r="B200" s="556"/>
      <c r="C200" s="556"/>
      <c r="D200" s="556"/>
      <c r="E200" s="556"/>
      <c r="F200" s="564"/>
      <c r="G200" s="564"/>
      <c r="H200" s="564"/>
      <c r="I200" s="564"/>
      <c r="J200" s="564"/>
      <c r="K200" s="564"/>
      <c r="L200" s="564"/>
      <c r="M200" s="564"/>
      <c r="N200" s="564"/>
      <c r="O200" s="564"/>
      <c r="P200" s="564"/>
      <c r="Q200" s="564"/>
      <c r="R200" s="564"/>
      <c r="S200" s="564"/>
      <c r="T200" s="564"/>
      <c r="U200" s="564"/>
      <c r="V200" s="564"/>
      <c r="W200" s="564"/>
      <c r="X200" s="564"/>
      <c r="Y200" s="564"/>
      <c r="Z200" s="564"/>
      <c r="AA200" s="564"/>
      <c r="AB200" s="556"/>
      <c r="AC200" s="556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4"/>
      <c r="AP200" s="74"/>
      <c r="AQ200" s="74"/>
      <c r="AR200" s="74"/>
      <c r="AS200" s="565"/>
      <c r="AT200" s="556"/>
    </row>
    <row r="201" spans="1:46" hidden="1" x14ac:dyDescent="0.45">
      <c r="A201" s="556"/>
      <c r="B201" s="556"/>
      <c r="C201" s="556"/>
      <c r="D201" s="556"/>
      <c r="E201" s="556"/>
      <c r="F201" s="564"/>
      <c r="G201" s="564"/>
      <c r="H201" s="564"/>
      <c r="I201" s="564"/>
      <c r="J201" s="564"/>
      <c r="K201" s="564"/>
      <c r="L201" s="564"/>
      <c r="M201" s="564"/>
      <c r="N201" s="564"/>
      <c r="O201" s="564"/>
      <c r="P201" s="564"/>
      <c r="Q201" s="564"/>
      <c r="R201" s="564"/>
      <c r="S201" s="564"/>
      <c r="T201" s="564"/>
      <c r="U201" s="564"/>
      <c r="V201" s="564"/>
      <c r="W201" s="564"/>
      <c r="X201" s="564"/>
      <c r="Y201" s="564"/>
      <c r="Z201" s="564"/>
      <c r="AA201" s="564"/>
      <c r="AB201" s="556"/>
      <c r="AC201" s="556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4"/>
      <c r="AP201" s="74"/>
      <c r="AQ201" s="74"/>
      <c r="AR201" s="74"/>
      <c r="AS201" s="565"/>
      <c r="AT201" s="556"/>
    </row>
    <row r="202" spans="1:46" hidden="1" x14ac:dyDescent="0.45">
      <c r="A202" s="556"/>
      <c r="B202" s="556"/>
      <c r="C202" s="556"/>
      <c r="D202" s="556"/>
      <c r="E202" s="556"/>
      <c r="F202" s="564"/>
      <c r="G202" s="564"/>
      <c r="H202" s="564"/>
      <c r="I202" s="564"/>
      <c r="J202" s="564"/>
      <c r="K202" s="564"/>
      <c r="L202" s="564"/>
      <c r="M202" s="564"/>
      <c r="N202" s="564"/>
      <c r="O202" s="564"/>
      <c r="P202" s="564"/>
      <c r="Q202" s="564"/>
      <c r="R202" s="564"/>
      <c r="S202" s="564"/>
      <c r="T202" s="564"/>
      <c r="U202" s="564"/>
      <c r="V202" s="564"/>
      <c r="W202" s="564"/>
      <c r="X202" s="564"/>
      <c r="Y202" s="564"/>
      <c r="Z202" s="564"/>
      <c r="AA202" s="564"/>
      <c r="AB202" s="556"/>
      <c r="AC202" s="556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4"/>
      <c r="AP202" s="74"/>
      <c r="AQ202" s="74"/>
      <c r="AR202" s="74"/>
      <c r="AS202" s="565"/>
      <c r="AT202" s="556"/>
    </row>
    <row r="203" spans="1:46" hidden="1" x14ac:dyDescent="0.45">
      <c r="A203" s="556"/>
      <c r="B203" s="556"/>
      <c r="C203" s="556"/>
      <c r="D203" s="556"/>
      <c r="E203" s="556"/>
      <c r="F203" s="564"/>
      <c r="G203" s="564"/>
      <c r="H203" s="564"/>
      <c r="I203" s="564"/>
      <c r="J203" s="564"/>
      <c r="K203" s="564"/>
      <c r="L203" s="564"/>
      <c r="M203" s="564"/>
      <c r="N203" s="564"/>
      <c r="O203" s="564"/>
      <c r="P203" s="564"/>
      <c r="Q203" s="564"/>
      <c r="R203" s="564"/>
      <c r="S203" s="564"/>
      <c r="T203" s="564"/>
      <c r="U203" s="564"/>
      <c r="V203" s="564"/>
      <c r="W203" s="564"/>
      <c r="X203" s="564"/>
      <c r="Y203" s="564"/>
      <c r="Z203" s="564"/>
      <c r="AA203" s="564"/>
      <c r="AB203" s="556"/>
      <c r="AC203" s="556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4"/>
      <c r="AP203" s="74"/>
      <c r="AQ203" s="74"/>
      <c r="AR203" s="74"/>
      <c r="AS203" s="565"/>
      <c r="AT203" s="556"/>
    </row>
    <row r="204" spans="1:46" hidden="1" x14ac:dyDescent="0.45">
      <c r="A204" s="556"/>
      <c r="B204" s="556"/>
      <c r="C204" s="556"/>
      <c r="D204" s="556"/>
      <c r="E204" s="556"/>
      <c r="F204" s="564"/>
      <c r="G204" s="564"/>
      <c r="H204" s="564"/>
      <c r="I204" s="564"/>
      <c r="J204" s="564"/>
      <c r="K204" s="564"/>
      <c r="L204" s="564"/>
      <c r="M204" s="564"/>
      <c r="N204" s="564"/>
      <c r="O204" s="564"/>
      <c r="P204" s="564"/>
      <c r="Q204" s="564"/>
      <c r="R204" s="564"/>
      <c r="S204" s="564"/>
      <c r="T204" s="564"/>
      <c r="U204" s="564"/>
      <c r="V204" s="564"/>
      <c r="W204" s="564"/>
      <c r="X204" s="564"/>
      <c r="Y204" s="564"/>
      <c r="Z204" s="564"/>
      <c r="AA204" s="564"/>
      <c r="AB204" s="556"/>
      <c r="AC204" s="556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4"/>
      <c r="AP204" s="74"/>
      <c r="AQ204" s="74"/>
      <c r="AR204" s="74"/>
      <c r="AS204" s="565"/>
      <c r="AT204" s="556"/>
    </row>
    <row r="205" spans="1:46" hidden="1" x14ac:dyDescent="0.45">
      <c r="A205" s="556"/>
      <c r="B205" s="556"/>
      <c r="C205" s="556"/>
      <c r="D205" s="556"/>
      <c r="E205" s="556"/>
      <c r="F205" s="564"/>
      <c r="G205" s="564"/>
      <c r="H205" s="564"/>
      <c r="I205" s="564"/>
      <c r="J205" s="564"/>
      <c r="K205" s="564"/>
      <c r="L205" s="564"/>
      <c r="M205" s="564"/>
      <c r="N205" s="564"/>
      <c r="O205" s="564"/>
      <c r="P205" s="564"/>
      <c r="Q205" s="564"/>
      <c r="R205" s="564"/>
      <c r="S205" s="564"/>
      <c r="T205" s="564"/>
      <c r="U205" s="564"/>
      <c r="V205" s="564"/>
      <c r="W205" s="564"/>
      <c r="X205" s="564"/>
      <c r="Y205" s="564"/>
      <c r="Z205" s="564"/>
      <c r="AA205" s="564"/>
      <c r="AB205" s="556"/>
      <c r="AC205" s="556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4"/>
      <c r="AP205" s="74"/>
      <c r="AQ205" s="74"/>
      <c r="AR205" s="74"/>
      <c r="AS205" s="565"/>
      <c r="AT205" s="556"/>
    </row>
    <row r="206" spans="1:46" hidden="1" x14ac:dyDescent="0.45">
      <c r="A206" s="556"/>
      <c r="B206" s="556"/>
      <c r="C206" s="556"/>
      <c r="D206" s="556"/>
      <c r="E206" s="556"/>
      <c r="F206" s="564"/>
      <c r="G206" s="564"/>
      <c r="H206" s="564"/>
      <c r="I206" s="564"/>
      <c r="J206" s="564"/>
      <c r="K206" s="564"/>
      <c r="L206" s="564"/>
      <c r="M206" s="564"/>
      <c r="N206" s="564"/>
      <c r="O206" s="564"/>
      <c r="P206" s="564"/>
      <c r="Q206" s="564"/>
      <c r="R206" s="564"/>
      <c r="S206" s="564"/>
      <c r="T206" s="564"/>
      <c r="U206" s="564"/>
      <c r="V206" s="564"/>
      <c r="W206" s="564"/>
      <c r="X206" s="564"/>
      <c r="Y206" s="564"/>
      <c r="Z206" s="564"/>
      <c r="AA206" s="564"/>
      <c r="AB206" s="556"/>
      <c r="AC206" s="556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4"/>
      <c r="AP206" s="74"/>
      <c r="AQ206" s="74"/>
      <c r="AR206" s="74"/>
      <c r="AS206" s="565"/>
      <c r="AT206" s="556"/>
    </row>
    <row r="207" spans="1:46" hidden="1" x14ac:dyDescent="0.45">
      <c r="A207" s="556"/>
      <c r="B207" s="556"/>
      <c r="C207" s="556"/>
      <c r="D207" s="556"/>
      <c r="E207" s="556"/>
      <c r="F207" s="564"/>
      <c r="G207" s="564"/>
      <c r="H207" s="564"/>
      <c r="I207" s="564"/>
      <c r="J207" s="564"/>
      <c r="K207" s="564"/>
      <c r="L207" s="564"/>
      <c r="M207" s="564"/>
      <c r="N207" s="564"/>
      <c r="O207" s="564"/>
      <c r="P207" s="564"/>
      <c r="Q207" s="564"/>
      <c r="R207" s="564"/>
      <c r="S207" s="564"/>
      <c r="T207" s="564"/>
      <c r="U207" s="564"/>
      <c r="V207" s="564"/>
      <c r="W207" s="564"/>
      <c r="X207" s="564"/>
      <c r="Y207" s="564"/>
      <c r="Z207" s="564"/>
      <c r="AA207" s="564"/>
      <c r="AB207" s="556"/>
      <c r="AC207" s="556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4"/>
      <c r="AP207" s="74"/>
      <c r="AQ207" s="74"/>
      <c r="AR207" s="74"/>
      <c r="AS207" s="565"/>
      <c r="AT207" s="556"/>
    </row>
    <row r="208" spans="1:46" hidden="1" x14ac:dyDescent="0.45">
      <c r="A208" s="556"/>
      <c r="B208" s="556"/>
      <c r="C208" s="556"/>
      <c r="D208" s="556"/>
      <c r="E208" s="556"/>
      <c r="F208" s="564"/>
      <c r="G208" s="564"/>
      <c r="H208" s="564"/>
      <c r="I208" s="564"/>
      <c r="J208" s="564"/>
      <c r="K208" s="564"/>
      <c r="L208" s="564"/>
      <c r="M208" s="564"/>
      <c r="N208" s="564"/>
      <c r="O208" s="564"/>
      <c r="P208" s="564"/>
      <c r="Q208" s="564"/>
      <c r="R208" s="564"/>
      <c r="S208" s="564"/>
      <c r="T208" s="564"/>
      <c r="U208" s="564"/>
      <c r="V208" s="564"/>
      <c r="W208" s="564"/>
      <c r="X208" s="564"/>
      <c r="Y208" s="564"/>
      <c r="Z208" s="564"/>
      <c r="AA208" s="564"/>
      <c r="AB208" s="556"/>
      <c r="AC208" s="556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4"/>
      <c r="AP208" s="74"/>
      <c r="AQ208" s="74"/>
      <c r="AR208" s="74"/>
      <c r="AS208" s="565"/>
      <c r="AT208" s="556"/>
    </row>
    <row r="209" spans="1:46" hidden="1" x14ac:dyDescent="0.45">
      <c r="A209" s="556"/>
      <c r="B209" s="556"/>
      <c r="C209" s="556"/>
      <c r="D209" s="556"/>
      <c r="E209" s="556"/>
      <c r="F209" s="564"/>
      <c r="G209" s="564"/>
      <c r="H209" s="564"/>
      <c r="I209" s="564"/>
      <c r="J209" s="564"/>
      <c r="K209" s="564"/>
      <c r="L209" s="564"/>
      <c r="M209" s="564"/>
      <c r="N209" s="564"/>
      <c r="O209" s="564"/>
      <c r="P209" s="564"/>
      <c r="Q209" s="564"/>
      <c r="R209" s="564"/>
      <c r="S209" s="564"/>
      <c r="T209" s="564"/>
      <c r="U209" s="564"/>
      <c r="V209" s="564"/>
      <c r="W209" s="564"/>
      <c r="X209" s="564"/>
      <c r="Y209" s="564"/>
      <c r="Z209" s="564"/>
      <c r="AA209" s="564"/>
      <c r="AB209" s="556"/>
      <c r="AC209" s="556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4"/>
      <c r="AP209" s="74"/>
      <c r="AQ209" s="74"/>
      <c r="AR209" s="74"/>
      <c r="AS209" s="565"/>
      <c r="AT209" s="556"/>
    </row>
    <row r="210" spans="1:46" hidden="1" x14ac:dyDescent="0.45">
      <c r="A210" s="556"/>
      <c r="B210" s="556"/>
      <c r="C210" s="556"/>
      <c r="D210" s="556"/>
      <c r="E210" s="556"/>
      <c r="F210" s="564"/>
      <c r="G210" s="564"/>
      <c r="H210" s="564"/>
      <c r="I210" s="564"/>
      <c r="J210" s="564"/>
      <c r="K210" s="564"/>
      <c r="L210" s="564"/>
      <c r="M210" s="564"/>
      <c r="N210" s="564"/>
      <c r="O210" s="564"/>
      <c r="P210" s="564"/>
      <c r="Q210" s="564"/>
      <c r="R210" s="564"/>
      <c r="S210" s="564"/>
      <c r="T210" s="564"/>
      <c r="U210" s="564"/>
      <c r="V210" s="564"/>
      <c r="W210" s="564"/>
      <c r="X210" s="564"/>
      <c r="Y210" s="564"/>
      <c r="Z210" s="564"/>
      <c r="AA210" s="564"/>
      <c r="AB210" s="556"/>
      <c r="AC210" s="556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4"/>
      <c r="AP210" s="74"/>
      <c r="AQ210" s="74"/>
      <c r="AR210" s="74"/>
      <c r="AS210" s="565"/>
      <c r="AT210" s="556"/>
    </row>
    <row r="211" spans="1:46" hidden="1" x14ac:dyDescent="0.45">
      <c r="A211" s="556"/>
      <c r="B211" s="556"/>
      <c r="C211" s="556"/>
      <c r="D211" s="556"/>
      <c r="E211" s="556"/>
      <c r="F211" s="564"/>
      <c r="G211" s="564"/>
      <c r="H211" s="564"/>
      <c r="I211" s="564"/>
      <c r="J211" s="564"/>
      <c r="K211" s="564"/>
      <c r="L211" s="564"/>
      <c r="M211" s="564"/>
      <c r="N211" s="564"/>
      <c r="O211" s="564"/>
      <c r="P211" s="564"/>
      <c r="Q211" s="564"/>
      <c r="R211" s="564"/>
      <c r="S211" s="564"/>
      <c r="T211" s="564"/>
      <c r="U211" s="564"/>
      <c r="V211" s="564"/>
      <c r="W211" s="564"/>
      <c r="X211" s="564"/>
      <c r="Y211" s="564"/>
      <c r="Z211" s="564"/>
      <c r="AA211" s="564"/>
      <c r="AB211" s="556"/>
      <c r="AC211" s="556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4"/>
      <c r="AP211" s="74"/>
      <c r="AQ211" s="74"/>
      <c r="AR211" s="74"/>
      <c r="AS211" s="565"/>
      <c r="AT211" s="556"/>
    </row>
    <row r="212" spans="1:46" hidden="1" x14ac:dyDescent="0.45">
      <c r="A212" s="556"/>
      <c r="B212" s="556"/>
      <c r="C212" s="556"/>
      <c r="D212" s="556"/>
      <c r="E212" s="556"/>
      <c r="F212" s="564"/>
      <c r="G212" s="564"/>
      <c r="H212" s="564"/>
      <c r="I212" s="564"/>
      <c r="J212" s="564"/>
      <c r="K212" s="564"/>
      <c r="L212" s="564"/>
      <c r="M212" s="564"/>
      <c r="N212" s="564"/>
      <c r="O212" s="564"/>
      <c r="P212" s="564"/>
      <c r="Q212" s="564"/>
      <c r="R212" s="564"/>
      <c r="S212" s="564"/>
      <c r="T212" s="564"/>
      <c r="U212" s="564"/>
      <c r="V212" s="564"/>
      <c r="W212" s="564"/>
      <c r="X212" s="564"/>
      <c r="Y212" s="564"/>
      <c r="Z212" s="564"/>
      <c r="AA212" s="564"/>
      <c r="AB212" s="556"/>
      <c r="AC212" s="556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4"/>
      <c r="AP212" s="74"/>
      <c r="AQ212" s="74"/>
      <c r="AR212" s="74"/>
      <c r="AS212" s="565"/>
      <c r="AT212" s="556"/>
    </row>
    <row r="213" spans="1:46" hidden="1" x14ac:dyDescent="0.45">
      <c r="A213" s="556"/>
      <c r="B213" s="556"/>
      <c r="C213" s="556"/>
      <c r="D213" s="556"/>
      <c r="E213" s="556"/>
      <c r="F213" s="564"/>
      <c r="G213" s="564"/>
      <c r="H213" s="564"/>
      <c r="I213" s="564"/>
      <c r="J213" s="564"/>
      <c r="K213" s="564"/>
      <c r="L213" s="564"/>
      <c r="M213" s="564"/>
      <c r="N213" s="564"/>
      <c r="O213" s="564"/>
      <c r="P213" s="564"/>
      <c r="Q213" s="564"/>
      <c r="R213" s="564"/>
      <c r="S213" s="564"/>
      <c r="T213" s="564"/>
      <c r="U213" s="564"/>
      <c r="V213" s="564"/>
      <c r="W213" s="564"/>
      <c r="X213" s="564"/>
      <c r="Y213" s="564"/>
      <c r="Z213" s="564"/>
      <c r="AA213" s="564"/>
      <c r="AB213" s="556"/>
      <c r="AC213" s="556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4"/>
      <c r="AP213" s="74"/>
      <c r="AQ213" s="74"/>
      <c r="AR213" s="74"/>
      <c r="AS213" s="565"/>
      <c r="AT213" s="556"/>
    </row>
    <row r="214" spans="1:46" hidden="1" x14ac:dyDescent="0.45">
      <c r="A214" s="556"/>
      <c r="B214" s="556"/>
      <c r="C214" s="556"/>
      <c r="D214" s="556"/>
      <c r="E214" s="556"/>
      <c r="F214" s="564"/>
      <c r="G214" s="564"/>
      <c r="H214" s="564"/>
      <c r="I214" s="564"/>
      <c r="J214" s="564"/>
      <c r="K214" s="564"/>
      <c r="L214" s="564"/>
      <c r="M214" s="564"/>
      <c r="N214" s="564"/>
      <c r="O214" s="564"/>
      <c r="P214" s="564"/>
      <c r="Q214" s="564"/>
      <c r="R214" s="564"/>
      <c r="S214" s="564"/>
      <c r="T214" s="564"/>
      <c r="U214" s="564"/>
      <c r="V214" s="564"/>
      <c r="W214" s="564"/>
      <c r="X214" s="564"/>
      <c r="Y214" s="564"/>
      <c r="Z214" s="564"/>
      <c r="AA214" s="564"/>
      <c r="AB214" s="556"/>
      <c r="AC214" s="556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4"/>
      <c r="AP214" s="74"/>
      <c r="AQ214" s="74"/>
      <c r="AR214" s="74"/>
      <c r="AS214" s="565"/>
      <c r="AT214" s="556"/>
    </row>
    <row r="215" spans="1:46" hidden="1" x14ac:dyDescent="0.45">
      <c r="A215" s="556"/>
      <c r="B215" s="556"/>
      <c r="C215" s="556"/>
      <c r="D215" s="556"/>
      <c r="E215" s="556"/>
      <c r="F215" s="564"/>
      <c r="G215" s="564"/>
      <c r="H215" s="564"/>
      <c r="I215" s="564"/>
      <c r="J215" s="564"/>
      <c r="K215" s="564"/>
      <c r="L215" s="564"/>
      <c r="M215" s="564"/>
      <c r="N215" s="564"/>
      <c r="O215" s="564"/>
      <c r="P215" s="564"/>
      <c r="Q215" s="564"/>
      <c r="R215" s="564"/>
      <c r="S215" s="564"/>
      <c r="T215" s="564"/>
      <c r="U215" s="564"/>
      <c r="V215" s="564"/>
      <c r="W215" s="564"/>
      <c r="X215" s="564"/>
      <c r="Y215" s="564"/>
      <c r="Z215" s="564"/>
      <c r="AA215" s="564"/>
      <c r="AB215" s="556"/>
      <c r="AC215" s="556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4"/>
      <c r="AP215" s="74"/>
      <c r="AQ215" s="74"/>
      <c r="AR215" s="74"/>
      <c r="AS215" s="565"/>
      <c r="AT215" s="556"/>
    </row>
    <row r="216" spans="1:46" hidden="1" x14ac:dyDescent="0.45">
      <c r="A216" s="556"/>
      <c r="B216" s="556"/>
      <c r="C216" s="556"/>
      <c r="D216" s="556"/>
      <c r="E216" s="556"/>
      <c r="F216" s="564"/>
      <c r="G216" s="564"/>
      <c r="H216" s="564"/>
      <c r="I216" s="564"/>
      <c r="J216" s="564"/>
      <c r="K216" s="564"/>
      <c r="L216" s="564"/>
      <c r="M216" s="564"/>
      <c r="N216" s="564"/>
      <c r="O216" s="564"/>
      <c r="P216" s="564"/>
      <c r="Q216" s="564"/>
      <c r="R216" s="564"/>
      <c r="S216" s="564"/>
      <c r="T216" s="564"/>
      <c r="U216" s="564"/>
      <c r="V216" s="564"/>
      <c r="W216" s="564"/>
      <c r="X216" s="564"/>
      <c r="Y216" s="564"/>
      <c r="Z216" s="564"/>
      <c r="AA216" s="564"/>
      <c r="AB216" s="556"/>
      <c r="AC216" s="556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4"/>
      <c r="AP216" s="74"/>
      <c r="AQ216" s="74"/>
      <c r="AR216" s="74"/>
      <c r="AS216" s="565"/>
      <c r="AT216" s="556"/>
    </row>
    <row r="217" spans="1:46" hidden="1" x14ac:dyDescent="0.45">
      <c r="A217" s="556"/>
      <c r="B217" s="556"/>
      <c r="C217" s="556"/>
      <c r="D217" s="556"/>
      <c r="E217" s="556"/>
      <c r="F217" s="564"/>
      <c r="G217" s="564"/>
      <c r="H217" s="564"/>
      <c r="I217" s="564"/>
      <c r="J217" s="564"/>
      <c r="K217" s="564"/>
      <c r="L217" s="564"/>
      <c r="M217" s="564"/>
      <c r="N217" s="564"/>
      <c r="O217" s="564"/>
      <c r="P217" s="564"/>
      <c r="Q217" s="564"/>
      <c r="R217" s="564"/>
      <c r="S217" s="564"/>
      <c r="T217" s="564"/>
      <c r="U217" s="564"/>
      <c r="V217" s="564"/>
      <c r="W217" s="564"/>
      <c r="X217" s="564"/>
      <c r="Y217" s="564"/>
      <c r="Z217" s="564"/>
      <c r="AA217" s="564"/>
      <c r="AB217" s="556"/>
      <c r="AC217" s="556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4"/>
      <c r="AP217" s="74"/>
      <c r="AQ217" s="74"/>
      <c r="AR217" s="74"/>
      <c r="AS217" s="565"/>
      <c r="AT217" s="556"/>
    </row>
    <row r="218" spans="1:46" hidden="1" x14ac:dyDescent="0.45">
      <c r="A218" s="556"/>
      <c r="B218" s="556"/>
      <c r="C218" s="556"/>
      <c r="D218" s="556"/>
      <c r="E218" s="556"/>
      <c r="F218" s="564"/>
      <c r="G218" s="564"/>
      <c r="H218" s="564"/>
      <c r="I218" s="564"/>
      <c r="J218" s="564"/>
      <c r="K218" s="564"/>
      <c r="L218" s="564"/>
      <c r="M218" s="564"/>
      <c r="N218" s="564"/>
      <c r="O218" s="564"/>
      <c r="P218" s="564"/>
      <c r="Q218" s="564"/>
      <c r="R218" s="564"/>
      <c r="S218" s="564"/>
      <c r="T218" s="564"/>
      <c r="U218" s="564"/>
      <c r="V218" s="564"/>
      <c r="W218" s="564"/>
      <c r="X218" s="564"/>
      <c r="Y218" s="564"/>
      <c r="Z218" s="564"/>
      <c r="AA218" s="564"/>
      <c r="AB218" s="556"/>
      <c r="AC218" s="556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4"/>
      <c r="AP218" s="74"/>
      <c r="AQ218" s="74"/>
      <c r="AR218" s="74"/>
      <c r="AS218" s="565"/>
      <c r="AT218" s="556"/>
    </row>
    <row r="219" spans="1:46" hidden="1" x14ac:dyDescent="0.45">
      <c r="A219" s="556"/>
      <c r="B219" s="556"/>
      <c r="C219" s="556"/>
      <c r="D219" s="556"/>
      <c r="E219" s="556"/>
      <c r="F219" s="564"/>
      <c r="G219" s="564"/>
      <c r="H219" s="564"/>
      <c r="I219" s="564"/>
      <c r="J219" s="564"/>
      <c r="K219" s="564"/>
      <c r="L219" s="564"/>
      <c r="M219" s="564"/>
      <c r="N219" s="564"/>
      <c r="O219" s="564"/>
      <c r="P219" s="564"/>
      <c r="Q219" s="564"/>
      <c r="R219" s="564"/>
      <c r="S219" s="564"/>
      <c r="T219" s="564"/>
      <c r="U219" s="564"/>
      <c r="V219" s="564"/>
      <c r="W219" s="564"/>
      <c r="X219" s="564"/>
      <c r="Y219" s="564"/>
      <c r="Z219" s="564"/>
      <c r="AA219" s="564"/>
      <c r="AB219" s="556"/>
      <c r="AC219" s="556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4"/>
      <c r="AP219" s="74"/>
      <c r="AQ219" s="74"/>
      <c r="AR219" s="74"/>
      <c r="AS219" s="565"/>
      <c r="AT219" s="556"/>
    </row>
    <row r="220" spans="1:46" hidden="1" x14ac:dyDescent="0.45">
      <c r="A220" s="556"/>
      <c r="B220" s="556"/>
      <c r="C220" s="556"/>
      <c r="D220" s="556"/>
      <c r="E220" s="556"/>
      <c r="F220" s="564"/>
      <c r="G220" s="564"/>
      <c r="H220" s="564"/>
      <c r="I220" s="564"/>
      <c r="J220" s="564"/>
      <c r="K220" s="564"/>
      <c r="L220" s="564"/>
      <c r="M220" s="564"/>
      <c r="N220" s="564"/>
      <c r="O220" s="564"/>
      <c r="P220" s="564"/>
      <c r="Q220" s="564"/>
      <c r="R220" s="564"/>
      <c r="S220" s="564"/>
      <c r="T220" s="564"/>
      <c r="U220" s="564"/>
      <c r="V220" s="564"/>
      <c r="W220" s="564"/>
      <c r="X220" s="564"/>
      <c r="Y220" s="564"/>
      <c r="Z220" s="564"/>
      <c r="AA220" s="564"/>
      <c r="AB220" s="556"/>
      <c r="AC220" s="556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4"/>
      <c r="AP220" s="74"/>
      <c r="AQ220" s="74"/>
      <c r="AR220" s="74"/>
      <c r="AS220" s="565"/>
      <c r="AT220" s="556"/>
    </row>
    <row r="221" spans="1:46" hidden="1" x14ac:dyDescent="0.45">
      <c r="A221" s="556"/>
      <c r="B221" s="556"/>
      <c r="C221" s="556"/>
      <c r="D221" s="556"/>
      <c r="E221" s="556"/>
      <c r="F221" s="564"/>
      <c r="G221" s="564"/>
      <c r="H221" s="564"/>
      <c r="I221" s="564"/>
      <c r="J221" s="564"/>
      <c r="K221" s="564"/>
      <c r="L221" s="564"/>
      <c r="M221" s="564"/>
      <c r="N221" s="564"/>
      <c r="O221" s="564"/>
      <c r="P221" s="564"/>
      <c r="Q221" s="564"/>
      <c r="R221" s="564"/>
      <c r="S221" s="564"/>
      <c r="T221" s="564"/>
      <c r="U221" s="564"/>
      <c r="V221" s="564"/>
      <c r="W221" s="564"/>
      <c r="X221" s="564"/>
      <c r="Y221" s="564"/>
      <c r="Z221" s="564"/>
      <c r="AA221" s="564"/>
      <c r="AB221" s="556"/>
      <c r="AC221" s="556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4"/>
      <c r="AP221" s="74"/>
      <c r="AQ221" s="74"/>
      <c r="AR221" s="74"/>
      <c r="AS221" s="565"/>
      <c r="AT221" s="556"/>
    </row>
    <row r="222" spans="1:46" hidden="1" x14ac:dyDescent="0.45">
      <c r="A222" s="556"/>
      <c r="B222" s="556"/>
      <c r="C222" s="556"/>
      <c r="D222" s="556"/>
      <c r="E222" s="556"/>
      <c r="F222" s="564"/>
      <c r="G222" s="564"/>
      <c r="H222" s="564"/>
      <c r="I222" s="564"/>
      <c r="J222" s="564"/>
      <c r="K222" s="564"/>
      <c r="L222" s="564"/>
      <c r="M222" s="564"/>
      <c r="N222" s="564"/>
      <c r="O222" s="564"/>
      <c r="P222" s="564"/>
      <c r="Q222" s="564"/>
      <c r="R222" s="564"/>
      <c r="S222" s="564"/>
      <c r="T222" s="564"/>
      <c r="U222" s="564"/>
      <c r="V222" s="564"/>
      <c r="W222" s="564"/>
      <c r="X222" s="564"/>
      <c r="Y222" s="564"/>
      <c r="Z222" s="564"/>
      <c r="AA222" s="564"/>
      <c r="AB222" s="556"/>
      <c r="AC222" s="556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4"/>
      <c r="AP222" s="74"/>
      <c r="AQ222" s="74"/>
      <c r="AR222" s="74"/>
      <c r="AS222" s="565"/>
      <c r="AT222" s="556"/>
    </row>
    <row r="223" spans="1:46" hidden="1" x14ac:dyDescent="0.45">
      <c r="A223" s="556"/>
      <c r="B223" s="556"/>
      <c r="C223" s="556"/>
      <c r="D223" s="556"/>
      <c r="E223" s="556"/>
      <c r="F223" s="564"/>
      <c r="G223" s="564"/>
      <c r="H223" s="564"/>
      <c r="I223" s="564"/>
      <c r="J223" s="564"/>
      <c r="K223" s="564"/>
      <c r="L223" s="564"/>
      <c r="M223" s="564"/>
      <c r="N223" s="564"/>
      <c r="O223" s="564"/>
      <c r="P223" s="564"/>
      <c r="Q223" s="564"/>
      <c r="R223" s="564"/>
      <c r="S223" s="564"/>
      <c r="T223" s="564"/>
      <c r="U223" s="564"/>
      <c r="V223" s="564"/>
      <c r="W223" s="564"/>
      <c r="X223" s="564"/>
      <c r="Y223" s="564"/>
      <c r="Z223" s="564"/>
      <c r="AA223" s="564"/>
      <c r="AB223" s="556"/>
      <c r="AC223" s="556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4"/>
      <c r="AP223" s="74"/>
      <c r="AQ223" s="74"/>
      <c r="AR223" s="74"/>
      <c r="AS223" s="565"/>
      <c r="AT223" s="556"/>
    </row>
    <row r="224" spans="1:46" hidden="1" x14ac:dyDescent="0.45">
      <c r="A224" s="556"/>
      <c r="B224" s="556"/>
      <c r="C224" s="556"/>
      <c r="D224" s="556"/>
      <c r="E224" s="556"/>
      <c r="F224" s="564"/>
      <c r="G224" s="564"/>
      <c r="H224" s="564"/>
      <c r="I224" s="564"/>
      <c r="J224" s="564"/>
      <c r="K224" s="564"/>
      <c r="L224" s="564"/>
      <c r="M224" s="564"/>
      <c r="N224" s="564"/>
      <c r="O224" s="564"/>
      <c r="P224" s="564"/>
      <c r="Q224" s="564"/>
      <c r="R224" s="564"/>
      <c r="S224" s="564"/>
      <c r="T224" s="564"/>
      <c r="U224" s="564"/>
      <c r="V224" s="564"/>
      <c r="W224" s="564"/>
      <c r="X224" s="564"/>
      <c r="Y224" s="564"/>
      <c r="Z224" s="564"/>
      <c r="AA224" s="564"/>
      <c r="AB224" s="556"/>
      <c r="AC224" s="556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4"/>
      <c r="AP224" s="74"/>
      <c r="AQ224" s="74"/>
      <c r="AR224" s="74"/>
      <c r="AS224" s="565"/>
      <c r="AT224" s="556"/>
    </row>
    <row r="225" spans="1:46" hidden="1" x14ac:dyDescent="0.45">
      <c r="A225" s="556"/>
      <c r="B225" s="556"/>
      <c r="C225" s="556"/>
      <c r="D225" s="556"/>
      <c r="E225" s="556"/>
      <c r="F225" s="564"/>
      <c r="G225" s="564"/>
      <c r="H225" s="564"/>
      <c r="I225" s="564"/>
      <c r="J225" s="564"/>
      <c r="K225" s="564"/>
      <c r="L225" s="564"/>
      <c r="M225" s="564"/>
      <c r="N225" s="564"/>
      <c r="O225" s="564"/>
      <c r="P225" s="564"/>
      <c r="Q225" s="564"/>
      <c r="R225" s="564"/>
      <c r="S225" s="564"/>
      <c r="T225" s="564"/>
      <c r="U225" s="564"/>
      <c r="V225" s="564"/>
      <c r="W225" s="564"/>
      <c r="X225" s="564"/>
      <c r="Y225" s="564"/>
      <c r="Z225" s="564"/>
      <c r="AA225" s="564"/>
      <c r="AB225" s="556"/>
      <c r="AC225" s="556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4"/>
      <c r="AP225" s="74"/>
      <c r="AQ225" s="74"/>
      <c r="AR225" s="74"/>
      <c r="AS225" s="565"/>
      <c r="AT225" s="556"/>
    </row>
    <row r="226" spans="1:46" hidden="1" x14ac:dyDescent="0.45">
      <c r="A226" s="556"/>
      <c r="B226" s="556"/>
      <c r="C226" s="556"/>
      <c r="D226" s="556"/>
      <c r="E226" s="556"/>
      <c r="F226" s="564"/>
      <c r="G226" s="564"/>
      <c r="H226" s="564"/>
      <c r="I226" s="564"/>
      <c r="J226" s="564"/>
      <c r="K226" s="564"/>
      <c r="L226" s="564"/>
      <c r="M226" s="564"/>
      <c r="N226" s="564"/>
      <c r="O226" s="564"/>
      <c r="P226" s="564"/>
      <c r="Q226" s="564"/>
      <c r="R226" s="564"/>
      <c r="S226" s="564"/>
      <c r="T226" s="564"/>
      <c r="U226" s="564"/>
      <c r="V226" s="564"/>
      <c r="W226" s="564"/>
      <c r="X226" s="564"/>
      <c r="Y226" s="564"/>
      <c r="Z226" s="564"/>
      <c r="AA226" s="564"/>
      <c r="AB226" s="556"/>
      <c r="AC226" s="556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4"/>
      <c r="AP226" s="74"/>
      <c r="AQ226" s="74"/>
      <c r="AR226" s="74"/>
      <c r="AS226" s="565"/>
      <c r="AT226" s="556"/>
    </row>
    <row r="227" spans="1:46" hidden="1" x14ac:dyDescent="0.45">
      <c r="A227" s="556"/>
      <c r="B227" s="556"/>
      <c r="C227" s="556"/>
      <c r="D227" s="556"/>
      <c r="E227" s="556"/>
      <c r="F227" s="564"/>
      <c r="G227" s="564"/>
      <c r="H227" s="564"/>
      <c r="I227" s="564"/>
      <c r="J227" s="564"/>
      <c r="K227" s="564"/>
      <c r="L227" s="564"/>
      <c r="M227" s="564"/>
      <c r="N227" s="564"/>
      <c r="O227" s="564"/>
      <c r="P227" s="564"/>
      <c r="Q227" s="564"/>
      <c r="R227" s="564"/>
      <c r="S227" s="564"/>
      <c r="T227" s="564"/>
      <c r="U227" s="564"/>
      <c r="V227" s="564"/>
      <c r="W227" s="564"/>
      <c r="X227" s="564"/>
      <c r="Y227" s="564"/>
      <c r="Z227" s="564"/>
      <c r="AA227" s="564"/>
      <c r="AB227" s="556"/>
      <c r="AC227" s="556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4"/>
      <c r="AP227" s="74"/>
      <c r="AQ227" s="74"/>
      <c r="AR227" s="74"/>
      <c r="AS227" s="565"/>
      <c r="AT227" s="556"/>
    </row>
    <row r="228" spans="1:46" hidden="1" x14ac:dyDescent="0.45">
      <c r="A228" s="556"/>
      <c r="B228" s="556"/>
      <c r="C228" s="556"/>
      <c r="D228" s="556"/>
      <c r="E228" s="556"/>
      <c r="F228" s="564"/>
      <c r="G228" s="564"/>
      <c r="H228" s="564"/>
      <c r="I228" s="564"/>
      <c r="J228" s="564"/>
      <c r="K228" s="564"/>
      <c r="L228" s="564"/>
      <c r="M228" s="564"/>
      <c r="N228" s="564"/>
      <c r="O228" s="564"/>
      <c r="P228" s="564"/>
      <c r="Q228" s="564"/>
      <c r="R228" s="564"/>
      <c r="S228" s="564"/>
      <c r="T228" s="564"/>
      <c r="U228" s="564"/>
      <c r="V228" s="564"/>
      <c r="W228" s="564"/>
      <c r="X228" s="564"/>
      <c r="Y228" s="564"/>
      <c r="Z228" s="564"/>
      <c r="AA228" s="564"/>
      <c r="AB228" s="556"/>
      <c r="AC228" s="556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4"/>
      <c r="AP228" s="74"/>
      <c r="AQ228" s="74"/>
      <c r="AR228" s="74"/>
      <c r="AS228" s="565"/>
      <c r="AT228" s="556"/>
    </row>
    <row r="229" spans="1:46" hidden="1" x14ac:dyDescent="0.45">
      <c r="A229" s="556"/>
      <c r="B229" s="556"/>
      <c r="C229" s="556"/>
      <c r="D229" s="556"/>
      <c r="E229" s="556"/>
      <c r="F229" s="564"/>
      <c r="G229" s="564"/>
      <c r="H229" s="564"/>
      <c r="I229" s="564"/>
      <c r="J229" s="564"/>
      <c r="K229" s="564"/>
      <c r="L229" s="564"/>
      <c r="M229" s="564"/>
      <c r="N229" s="564"/>
      <c r="O229" s="564"/>
      <c r="P229" s="564"/>
      <c r="Q229" s="564"/>
      <c r="R229" s="564"/>
      <c r="S229" s="564"/>
      <c r="T229" s="564"/>
      <c r="U229" s="564"/>
      <c r="V229" s="564"/>
      <c r="W229" s="564"/>
      <c r="X229" s="564"/>
      <c r="Y229" s="564"/>
      <c r="Z229" s="564"/>
      <c r="AA229" s="564"/>
      <c r="AB229" s="556"/>
      <c r="AC229" s="556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4"/>
      <c r="AP229" s="74"/>
      <c r="AQ229" s="74"/>
      <c r="AR229" s="74"/>
      <c r="AS229" s="565"/>
      <c r="AT229" s="556"/>
    </row>
    <row r="230" spans="1:46" hidden="1" x14ac:dyDescent="0.45">
      <c r="A230" s="556"/>
      <c r="B230" s="556"/>
      <c r="C230" s="556"/>
      <c r="D230" s="556"/>
      <c r="E230" s="556"/>
      <c r="F230" s="564"/>
      <c r="G230" s="564"/>
      <c r="H230" s="564"/>
      <c r="I230" s="564"/>
      <c r="J230" s="564"/>
      <c r="K230" s="564"/>
      <c r="L230" s="564"/>
      <c r="M230" s="564"/>
      <c r="N230" s="564"/>
      <c r="O230" s="564"/>
      <c r="P230" s="564"/>
      <c r="Q230" s="564"/>
      <c r="R230" s="564"/>
      <c r="S230" s="564"/>
      <c r="T230" s="564"/>
      <c r="U230" s="564"/>
      <c r="V230" s="564"/>
      <c r="W230" s="564"/>
      <c r="X230" s="564"/>
      <c r="Y230" s="564"/>
      <c r="Z230" s="564"/>
      <c r="AA230" s="564"/>
      <c r="AB230" s="556"/>
      <c r="AC230" s="556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4"/>
      <c r="AP230" s="74"/>
      <c r="AQ230" s="74"/>
      <c r="AR230" s="74"/>
      <c r="AS230" s="565"/>
      <c r="AT230" s="556"/>
    </row>
    <row r="231" spans="1:46" hidden="1" x14ac:dyDescent="0.45">
      <c r="A231" s="556"/>
      <c r="B231" s="556"/>
      <c r="C231" s="556"/>
      <c r="D231" s="556"/>
      <c r="E231" s="556"/>
      <c r="F231" s="564"/>
      <c r="G231" s="564"/>
      <c r="H231" s="564"/>
      <c r="I231" s="564"/>
      <c r="J231" s="564"/>
      <c r="K231" s="564"/>
      <c r="L231" s="564"/>
      <c r="M231" s="564"/>
      <c r="N231" s="564"/>
      <c r="O231" s="564"/>
      <c r="P231" s="564"/>
      <c r="Q231" s="564"/>
      <c r="R231" s="564"/>
      <c r="S231" s="564"/>
      <c r="T231" s="564"/>
      <c r="U231" s="564"/>
      <c r="V231" s="564"/>
      <c r="W231" s="564"/>
      <c r="X231" s="564"/>
      <c r="Y231" s="564"/>
      <c r="Z231" s="564"/>
      <c r="AA231" s="564"/>
      <c r="AB231" s="556"/>
      <c r="AC231" s="556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4"/>
      <c r="AP231" s="74"/>
      <c r="AQ231" s="74"/>
      <c r="AR231" s="74"/>
      <c r="AS231" s="565"/>
      <c r="AT231" s="556"/>
    </row>
    <row r="232" spans="1:46" hidden="1" x14ac:dyDescent="0.45">
      <c r="A232" s="556"/>
      <c r="B232" s="556"/>
      <c r="C232" s="556"/>
      <c r="D232" s="556"/>
      <c r="E232" s="556"/>
      <c r="F232" s="564"/>
      <c r="G232" s="564"/>
      <c r="H232" s="564"/>
      <c r="I232" s="564"/>
      <c r="J232" s="564"/>
      <c r="K232" s="564"/>
      <c r="L232" s="564"/>
      <c r="M232" s="564"/>
      <c r="N232" s="564"/>
      <c r="O232" s="564"/>
      <c r="P232" s="564"/>
      <c r="Q232" s="564"/>
      <c r="R232" s="564"/>
      <c r="S232" s="564"/>
      <c r="T232" s="564"/>
      <c r="U232" s="564"/>
      <c r="V232" s="564"/>
      <c r="W232" s="564"/>
      <c r="X232" s="564"/>
      <c r="Y232" s="564"/>
      <c r="Z232" s="564"/>
      <c r="AA232" s="564"/>
      <c r="AB232" s="556"/>
      <c r="AC232" s="556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4"/>
      <c r="AP232" s="74"/>
      <c r="AQ232" s="74"/>
      <c r="AR232" s="74"/>
      <c r="AS232" s="565"/>
      <c r="AT232" s="556"/>
    </row>
    <row r="233" spans="1:46" hidden="1" x14ac:dyDescent="0.45">
      <c r="A233" s="556"/>
      <c r="B233" s="556"/>
      <c r="C233" s="556"/>
      <c r="D233" s="556"/>
      <c r="E233" s="556"/>
      <c r="F233" s="564"/>
      <c r="G233" s="564"/>
      <c r="H233" s="564"/>
      <c r="I233" s="564"/>
      <c r="J233" s="564"/>
      <c r="K233" s="564"/>
      <c r="L233" s="564"/>
      <c r="M233" s="564"/>
      <c r="N233" s="564"/>
      <c r="O233" s="564"/>
      <c r="P233" s="564"/>
      <c r="Q233" s="564"/>
      <c r="R233" s="564"/>
      <c r="S233" s="564"/>
      <c r="T233" s="564"/>
      <c r="U233" s="564"/>
      <c r="V233" s="564"/>
      <c r="W233" s="564"/>
      <c r="X233" s="564"/>
      <c r="Y233" s="564"/>
      <c r="Z233" s="564"/>
      <c r="AA233" s="564"/>
      <c r="AB233" s="556"/>
      <c r="AC233" s="556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4"/>
      <c r="AP233" s="74"/>
      <c r="AQ233" s="74"/>
      <c r="AR233" s="74"/>
      <c r="AS233" s="565"/>
      <c r="AT233" s="556"/>
    </row>
    <row r="234" spans="1:46" hidden="1" x14ac:dyDescent="0.45">
      <c r="A234" s="556"/>
      <c r="B234" s="556"/>
      <c r="C234" s="556"/>
      <c r="D234" s="556"/>
      <c r="E234" s="556"/>
      <c r="F234" s="564"/>
      <c r="G234" s="564"/>
      <c r="H234" s="564"/>
      <c r="I234" s="564"/>
      <c r="J234" s="564"/>
      <c r="K234" s="564"/>
      <c r="L234" s="564"/>
      <c r="M234" s="564"/>
      <c r="N234" s="564"/>
      <c r="O234" s="564"/>
      <c r="P234" s="564"/>
      <c r="Q234" s="564"/>
      <c r="R234" s="564"/>
      <c r="S234" s="564"/>
      <c r="T234" s="564"/>
      <c r="U234" s="564"/>
      <c r="V234" s="564"/>
      <c r="W234" s="564"/>
      <c r="X234" s="564"/>
      <c r="Y234" s="564"/>
      <c r="Z234" s="564"/>
      <c r="AA234" s="564"/>
      <c r="AB234" s="556"/>
      <c r="AC234" s="556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4"/>
      <c r="AP234" s="74"/>
      <c r="AQ234" s="74"/>
      <c r="AR234" s="74"/>
      <c r="AS234" s="565"/>
      <c r="AT234" s="556"/>
    </row>
    <row r="235" spans="1:46" hidden="1" x14ac:dyDescent="0.45">
      <c r="A235" s="556"/>
      <c r="B235" s="556"/>
      <c r="C235" s="556"/>
      <c r="D235" s="556"/>
      <c r="E235" s="556"/>
      <c r="F235" s="564"/>
      <c r="G235" s="564"/>
      <c r="H235" s="564"/>
      <c r="I235" s="564"/>
      <c r="J235" s="564"/>
      <c r="K235" s="564"/>
      <c r="L235" s="564"/>
      <c r="M235" s="564"/>
      <c r="N235" s="564"/>
      <c r="O235" s="564"/>
      <c r="P235" s="564"/>
      <c r="Q235" s="564"/>
      <c r="R235" s="564"/>
      <c r="S235" s="564"/>
      <c r="T235" s="564"/>
      <c r="U235" s="564"/>
      <c r="V235" s="564"/>
      <c r="W235" s="564"/>
      <c r="X235" s="564"/>
      <c r="Y235" s="564"/>
      <c r="Z235" s="564"/>
      <c r="AA235" s="564"/>
      <c r="AB235" s="556"/>
      <c r="AC235" s="556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4"/>
      <c r="AP235" s="74"/>
      <c r="AQ235" s="74"/>
      <c r="AR235" s="74"/>
      <c r="AS235" s="565"/>
      <c r="AT235" s="556"/>
    </row>
    <row r="236" spans="1:46" hidden="1" x14ac:dyDescent="0.45">
      <c r="A236" s="556"/>
      <c r="B236" s="556"/>
      <c r="C236" s="556"/>
      <c r="D236" s="556"/>
      <c r="E236" s="556"/>
      <c r="F236" s="564"/>
      <c r="G236" s="564"/>
      <c r="H236" s="564"/>
      <c r="I236" s="564"/>
      <c r="J236" s="564"/>
      <c r="K236" s="564"/>
      <c r="L236" s="564"/>
      <c r="M236" s="564"/>
      <c r="N236" s="564"/>
      <c r="O236" s="564"/>
      <c r="P236" s="564"/>
      <c r="Q236" s="564"/>
      <c r="R236" s="564"/>
      <c r="S236" s="564"/>
      <c r="T236" s="564"/>
      <c r="U236" s="564"/>
      <c r="V236" s="564"/>
      <c r="W236" s="564"/>
      <c r="X236" s="564"/>
      <c r="Y236" s="564"/>
      <c r="Z236" s="564"/>
      <c r="AA236" s="564"/>
      <c r="AB236" s="556"/>
      <c r="AC236" s="556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4"/>
      <c r="AP236" s="74"/>
      <c r="AQ236" s="74"/>
      <c r="AR236" s="74"/>
      <c r="AS236" s="565"/>
      <c r="AT236" s="556"/>
    </row>
    <row r="237" spans="1:46" hidden="1" x14ac:dyDescent="0.45">
      <c r="A237" s="556"/>
      <c r="B237" s="556"/>
      <c r="C237" s="556"/>
      <c r="D237" s="556"/>
      <c r="E237" s="556"/>
      <c r="F237" s="564"/>
      <c r="G237" s="564"/>
      <c r="H237" s="564"/>
      <c r="I237" s="564"/>
      <c r="J237" s="564"/>
      <c r="K237" s="564"/>
      <c r="L237" s="564"/>
      <c r="M237" s="564"/>
      <c r="N237" s="564"/>
      <c r="O237" s="564"/>
      <c r="P237" s="564"/>
      <c r="Q237" s="564"/>
      <c r="R237" s="564"/>
      <c r="S237" s="564"/>
      <c r="T237" s="564"/>
      <c r="U237" s="564"/>
      <c r="V237" s="564"/>
      <c r="W237" s="564"/>
      <c r="X237" s="564"/>
      <c r="Y237" s="564"/>
      <c r="Z237" s="564"/>
      <c r="AA237" s="564"/>
      <c r="AB237" s="556"/>
      <c r="AC237" s="556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4"/>
      <c r="AP237" s="74"/>
      <c r="AQ237" s="74"/>
      <c r="AR237" s="74"/>
      <c r="AS237" s="565"/>
      <c r="AT237" s="556"/>
    </row>
    <row r="238" spans="1:46" hidden="1" x14ac:dyDescent="0.45">
      <c r="A238" s="556"/>
      <c r="B238" s="556"/>
      <c r="C238" s="556"/>
      <c r="D238" s="556"/>
      <c r="E238" s="556"/>
      <c r="F238" s="564"/>
      <c r="G238" s="564"/>
      <c r="H238" s="564"/>
      <c r="I238" s="564"/>
      <c r="J238" s="564"/>
      <c r="K238" s="564"/>
      <c r="L238" s="564"/>
      <c r="M238" s="564"/>
      <c r="N238" s="564"/>
      <c r="O238" s="564"/>
      <c r="P238" s="564"/>
      <c r="Q238" s="564"/>
      <c r="R238" s="564"/>
      <c r="S238" s="564"/>
      <c r="T238" s="564"/>
      <c r="U238" s="564"/>
      <c r="V238" s="564"/>
      <c r="W238" s="564"/>
      <c r="X238" s="564"/>
      <c r="Y238" s="564"/>
      <c r="Z238" s="564"/>
      <c r="AA238" s="564"/>
      <c r="AB238" s="556"/>
      <c r="AC238" s="556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4"/>
      <c r="AP238" s="74"/>
      <c r="AQ238" s="74"/>
      <c r="AR238" s="74"/>
      <c r="AS238" s="565"/>
      <c r="AT238" s="556"/>
    </row>
    <row r="239" spans="1:46" hidden="1" x14ac:dyDescent="0.45">
      <c r="A239" s="556"/>
      <c r="B239" s="556"/>
      <c r="C239" s="556"/>
      <c r="D239" s="556"/>
      <c r="E239" s="556"/>
      <c r="F239" s="564"/>
      <c r="G239" s="564"/>
      <c r="H239" s="564"/>
      <c r="I239" s="564"/>
      <c r="J239" s="564"/>
      <c r="K239" s="564"/>
      <c r="L239" s="564"/>
      <c r="M239" s="564"/>
      <c r="N239" s="564"/>
      <c r="O239" s="564"/>
      <c r="P239" s="564"/>
      <c r="Q239" s="564"/>
      <c r="R239" s="564"/>
      <c r="S239" s="564"/>
      <c r="T239" s="564"/>
      <c r="U239" s="564"/>
      <c r="V239" s="564"/>
      <c r="W239" s="564"/>
      <c r="X239" s="564"/>
      <c r="Y239" s="564"/>
      <c r="Z239" s="564"/>
      <c r="AA239" s="564"/>
      <c r="AB239" s="556"/>
      <c r="AC239" s="556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4"/>
      <c r="AP239" s="74"/>
      <c r="AQ239" s="74"/>
      <c r="AR239" s="74"/>
      <c r="AS239" s="565"/>
      <c r="AT239" s="556"/>
    </row>
    <row r="240" spans="1:46" hidden="1" x14ac:dyDescent="0.45">
      <c r="A240" s="556"/>
      <c r="B240" s="556"/>
      <c r="C240" s="556"/>
      <c r="D240" s="556"/>
      <c r="E240" s="556"/>
      <c r="F240" s="564"/>
      <c r="G240" s="564"/>
      <c r="H240" s="564"/>
      <c r="I240" s="564"/>
      <c r="J240" s="564"/>
      <c r="K240" s="564"/>
      <c r="L240" s="564"/>
      <c r="M240" s="564"/>
      <c r="N240" s="564"/>
      <c r="O240" s="564"/>
      <c r="P240" s="564"/>
      <c r="Q240" s="564"/>
      <c r="R240" s="564"/>
      <c r="S240" s="564"/>
      <c r="T240" s="564"/>
      <c r="U240" s="564"/>
      <c r="V240" s="564"/>
      <c r="W240" s="564"/>
      <c r="X240" s="564"/>
      <c r="Y240" s="564"/>
      <c r="Z240" s="564"/>
      <c r="AA240" s="564"/>
      <c r="AB240" s="556"/>
      <c r="AC240" s="556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4"/>
      <c r="AP240" s="74"/>
      <c r="AQ240" s="74"/>
      <c r="AR240" s="74"/>
      <c r="AS240" s="565"/>
      <c r="AT240" s="556"/>
    </row>
    <row r="241" spans="1:46" hidden="1" x14ac:dyDescent="0.45">
      <c r="A241" s="556"/>
      <c r="B241" s="556"/>
      <c r="C241" s="556"/>
      <c r="D241" s="556"/>
      <c r="E241" s="556"/>
      <c r="F241" s="564"/>
      <c r="G241" s="564"/>
      <c r="H241" s="564"/>
      <c r="I241" s="564"/>
      <c r="J241" s="564"/>
      <c r="K241" s="564"/>
      <c r="L241" s="564"/>
      <c r="M241" s="564"/>
      <c r="N241" s="564"/>
      <c r="O241" s="564"/>
      <c r="P241" s="564"/>
      <c r="Q241" s="564"/>
      <c r="R241" s="564"/>
      <c r="S241" s="564"/>
      <c r="T241" s="564"/>
      <c r="U241" s="564"/>
      <c r="V241" s="564"/>
      <c r="W241" s="564"/>
      <c r="X241" s="564"/>
      <c r="Y241" s="564"/>
      <c r="Z241" s="564"/>
      <c r="AA241" s="564"/>
      <c r="AB241" s="556"/>
      <c r="AC241" s="556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4"/>
      <c r="AP241" s="74"/>
      <c r="AQ241" s="74"/>
      <c r="AR241" s="74"/>
      <c r="AS241" s="565"/>
      <c r="AT241" s="556"/>
    </row>
    <row r="242" spans="1:46" hidden="1" x14ac:dyDescent="0.45">
      <c r="A242" s="556"/>
      <c r="B242" s="556"/>
      <c r="C242" s="556"/>
      <c r="D242" s="556"/>
      <c r="E242" s="556"/>
      <c r="F242" s="564"/>
      <c r="G242" s="564"/>
      <c r="H242" s="564"/>
      <c r="I242" s="564"/>
      <c r="J242" s="564"/>
      <c r="K242" s="564"/>
      <c r="L242" s="564"/>
      <c r="M242" s="564"/>
      <c r="N242" s="564"/>
      <c r="O242" s="564"/>
      <c r="P242" s="564"/>
      <c r="Q242" s="564"/>
      <c r="R242" s="564"/>
      <c r="S242" s="564"/>
      <c r="T242" s="564"/>
      <c r="U242" s="564"/>
      <c r="V242" s="564"/>
      <c r="W242" s="564"/>
      <c r="X242" s="564"/>
      <c r="Y242" s="564"/>
      <c r="Z242" s="564"/>
      <c r="AA242" s="564"/>
      <c r="AB242" s="556"/>
      <c r="AC242" s="556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4"/>
      <c r="AP242" s="74"/>
      <c r="AQ242" s="74"/>
      <c r="AR242" s="74"/>
      <c r="AS242" s="565"/>
      <c r="AT242" s="556"/>
    </row>
    <row r="243" spans="1:46" hidden="1" x14ac:dyDescent="0.45">
      <c r="A243" s="556"/>
      <c r="B243" s="556"/>
      <c r="C243" s="556"/>
      <c r="D243" s="556"/>
      <c r="E243" s="556"/>
      <c r="F243" s="564"/>
      <c r="G243" s="564"/>
      <c r="H243" s="564"/>
      <c r="I243" s="564"/>
      <c r="J243" s="564"/>
      <c r="K243" s="564"/>
      <c r="L243" s="564"/>
      <c r="M243" s="564"/>
      <c r="N243" s="564"/>
      <c r="O243" s="564"/>
      <c r="P243" s="564"/>
      <c r="Q243" s="564"/>
      <c r="R243" s="564"/>
      <c r="S243" s="564"/>
      <c r="T243" s="564"/>
      <c r="U243" s="564"/>
      <c r="V243" s="564"/>
      <c r="W243" s="564"/>
      <c r="X243" s="564"/>
      <c r="Y243" s="564"/>
      <c r="Z243" s="564"/>
      <c r="AA243" s="564"/>
      <c r="AB243" s="556"/>
      <c r="AC243" s="556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O243" s="74"/>
      <c r="AP243" s="74"/>
      <c r="AQ243" s="74"/>
      <c r="AR243" s="74"/>
      <c r="AS243" s="565"/>
      <c r="AT243" s="556"/>
    </row>
    <row r="244" spans="1:46" hidden="1" x14ac:dyDescent="0.45">
      <c r="A244" s="556"/>
      <c r="B244" s="556"/>
      <c r="C244" s="556"/>
      <c r="D244" s="556"/>
      <c r="E244" s="556"/>
      <c r="F244" s="564"/>
      <c r="G244" s="564"/>
      <c r="H244" s="564"/>
      <c r="I244" s="564"/>
      <c r="J244" s="564"/>
      <c r="K244" s="564"/>
      <c r="L244" s="564"/>
      <c r="M244" s="564"/>
      <c r="N244" s="564"/>
      <c r="O244" s="564"/>
      <c r="P244" s="564"/>
      <c r="Q244" s="564"/>
      <c r="R244" s="564"/>
      <c r="S244" s="564"/>
      <c r="T244" s="564"/>
      <c r="U244" s="564"/>
      <c r="V244" s="564"/>
      <c r="W244" s="564"/>
      <c r="X244" s="564"/>
      <c r="Y244" s="564"/>
      <c r="Z244" s="564"/>
      <c r="AA244" s="564"/>
      <c r="AB244" s="556"/>
      <c r="AC244" s="556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O244" s="74"/>
      <c r="AP244" s="74"/>
      <c r="AQ244" s="74"/>
      <c r="AR244" s="74"/>
      <c r="AS244" s="565"/>
      <c r="AT244" s="556"/>
    </row>
    <row r="245" spans="1:46" hidden="1" x14ac:dyDescent="0.45">
      <c r="A245" s="556"/>
      <c r="B245" s="556"/>
      <c r="C245" s="556"/>
      <c r="D245" s="556"/>
      <c r="E245" s="556"/>
      <c r="F245" s="564"/>
      <c r="G245" s="564"/>
      <c r="H245" s="564"/>
      <c r="I245" s="564"/>
      <c r="J245" s="564"/>
      <c r="K245" s="564"/>
      <c r="L245" s="564"/>
      <c r="M245" s="564"/>
      <c r="N245" s="564"/>
      <c r="O245" s="564"/>
      <c r="P245" s="564"/>
      <c r="Q245" s="564"/>
      <c r="R245" s="564"/>
      <c r="S245" s="564"/>
      <c r="T245" s="564"/>
      <c r="U245" s="564"/>
      <c r="V245" s="564"/>
      <c r="W245" s="564"/>
      <c r="X245" s="564"/>
      <c r="Y245" s="564"/>
      <c r="Z245" s="564"/>
      <c r="AA245" s="564"/>
      <c r="AB245" s="556"/>
      <c r="AC245" s="556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O245" s="74"/>
      <c r="AP245" s="74"/>
      <c r="AQ245" s="74"/>
      <c r="AR245" s="74"/>
      <c r="AS245" s="565"/>
      <c r="AT245" s="556"/>
    </row>
    <row r="246" spans="1:46" hidden="1" x14ac:dyDescent="0.45">
      <c r="A246" s="556"/>
      <c r="B246" s="556"/>
      <c r="C246" s="556"/>
      <c r="D246" s="556"/>
      <c r="E246" s="556"/>
      <c r="F246" s="564"/>
      <c r="G246" s="564"/>
      <c r="H246" s="564"/>
      <c r="I246" s="564"/>
      <c r="J246" s="564"/>
      <c r="K246" s="564"/>
      <c r="L246" s="564"/>
      <c r="M246" s="564"/>
      <c r="N246" s="564"/>
      <c r="O246" s="564"/>
      <c r="P246" s="564"/>
      <c r="Q246" s="564"/>
      <c r="R246" s="564"/>
      <c r="S246" s="564"/>
      <c r="T246" s="564"/>
      <c r="U246" s="564"/>
      <c r="V246" s="564"/>
      <c r="W246" s="564"/>
      <c r="X246" s="564"/>
      <c r="Y246" s="564"/>
      <c r="Z246" s="564"/>
      <c r="AA246" s="564"/>
      <c r="AB246" s="556"/>
      <c r="AC246" s="556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O246" s="74"/>
      <c r="AP246" s="74"/>
      <c r="AQ246" s="74"/>
      <c r="AR246" s="74"/>
      <c r="AS246" s="565"/>
      <c r="AT246" s="556"/>
    </row>
    <row r="247" spans="1:46" hidden="1" x14ac:dyDescent="0.45">
      <c r="A247" s="556"/>
      <c r="B247" s="556"/>
      <c r="C247" s="556"/>
      <c r="D247" s="556"/>
      <c r="E247" s="556"/>
      <c r="F247" s="564"/>
      <c r="G247" s="564"/>
      <c r="H247" s="564"/>
      <c r="I247" s="564"/>
      <c r="J247" s="564"/>
      <c r="K247" s="564"/>
      <c r="L247" s="564"/>
      <c r="M247" s="564"/>
      <c r="N247" s="564"/>
      <c r="O247" s="564"/>
      <c r="P247" s="564"/>
      <c r="Q247" s="564"/>
      <c r="R247" s="564"/>
      <c r="S247" s="564"/>
      <c r="T247" s="564"/>
      <c r="U247" s="564"/>
      <c r="V247" s="564"/>
      <c r="W247" s="564"/>
      <c r="X247" s="564"/>
      <c r="Y247" s="564"/>
      <c r="Z247" s="564"/>
      <c r="AA247" s="564"/>
      <c r="AB247" s="556"/>
      <c r="AC247" s="556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O247" s="74"/>
      <c r="AP247" s="74"/>
      <c r="AQ247" s="74"/>
      <c r="AR247" s="74"/>
      <c r="AS247" s="565"/>
      <c r="AT247" s="556"/>
    </row>
    <row r="248" spans="1:46" hidden="1" x14ac:dyDescent="0.45">
      <c r="A248" s="556"/>
      <c r="B248" s="556"/>
      <c r="C248" s="556"/>
      <c r="D248" s="556"/>
      <c r="E248" s="556"/>
      <c r="F248" s="564"/>
      <c r="G248" s="564"/>
      <c r="H248" s="564"/>
      <c r="I248" s="564"/>
      <c r="J248" s="564"/>
      <c r="K248" s="564"/>
      <c r="L248" s="564"/>
      <c r="M248" s="564"/>
      <c r="N248" s="564"/>
      <c r="O248" s="564"/>
      <c r="P248" s="564"/>
      <c r="Q248" s="564"/>
      <c r="R248" s="564"/>
      <c r="S248" s="564"/>
      <c r="T248" s="564"/>
      <c r="U248" s="564"/>
      <c r="V248" s="564"/>
      <c r="W248" s="564"/>
      <c r="X248" s="564"/>
      <c r="Y248" s="564"/>
      <c r="Z248" s="564"/>
      <c r="AA248" s="564"/>
      <c r="AB248" s="556"/>
      <c r="AC248" s="556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O248" s="74"/>
      <c r="AP248" s="74"/>
      <c r="AQ248" s="74"/>
      <c r="AR248" s="74"/>
      <c r="AS248" s="565"/>
      <c r="AT248" s="556"/>
    </row>
    <row r="249" spans="1:46" hidden="1" x14ac:dyDescent="0.45">
      <c r="A249" s="556"/>
      <c r="B249" s="556"/>
      <c r="C249" s="556"/>
      <c r="D249" s="556"/>
      <c r="E249" s="556"/>
      <c r="F249" s="564"/>
      <c r="G249" s="564"/>
      <c r="H249" s="564"/>
      <c r="I249" s="564"/>
      <c r="J249" s="564"/>
      <c r="K249" s="564"/>
      <c r="L249" s="564"/>
      <c r="M249" s="564"/>
      <c r="N249" s="564"/>
      <c r="O249" s="564"/>
      <c r="P249" s="564"/>
      <c r="Q249" s="564"/>
      <c r="R249" s="564"/>
      <c r="S249" s="564"/>
      <c r="T249" s="564"/>
      <c r="U249" s="564"/>
      <c r="V249" s="564"/>
      <c r="W249" s="564"/>
      <c r="X249" s="564"/>
      <c r="Y249" s="564"/>
      <c r="Z249" s="564"/>
      <c r="AA249" s="564"/>
      <c r="AB249" s="556"/>
      <c r="AC249" s="556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O249" s="74"/>
      <c r="AP249" s="74"/>
      <c r="AQ249" s="74"/>
      <c r="AR249" s="74"/>
      <c r="AS249" s="565"/>
      <c r="AT249" s="556"/>
    </row>
    <row r="250" spans="1:46" hidden="1" x14ac:dyDescent="0.45">
      <c r="A250" s="556"/>
      <c r="B250" s="556"/>
      <c r="C250" s="556"/>
      <c r="D250" s="556"/>
      <c r="E250" s="556"/>
      <c r="F250" s="564"/>
      <c r="G250" s="564"/>
      <c r="H250" s="564"/>
      <c r="I250" s="564"/>
      <c r="J250" s="564"/>
      <c r="K250" s="564"/>
      <c r="L250" s="564"/>
      <c r="M250" s="564"/>
      <c r="N250" s="564"/>
      <c r="O250" s="564"/>
      <c r="P250" s="564"/>
      <c r="Q250" s="564"/>
      <c r="R250" s="564"/>
      <c r="S250" s="564"/>
      <c r="T250" s="564"/>
      <c r="U250" s="564"/>
      <c r="V250" s="564"/>
      <c r="W250" s="564"/>
      <c r="X250" s="564"/>
      <c r="Y250" s="564"/>
      <c r="Z250" s="564"/>
      <c r="AA250" s="564"/>
      <c r="AB250" s="556"/>
      <c r="AC250" s="556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O250" s="74"/>
      <c r="AP250" s="74"/>
      <c r="AQ250" s="74"/>
      <c r="AR250" s="74"/>
      <c r="AS250" s="565"/>
      <c r="AT250" s="556"/>
    </row>
    <row r="251" spans="1:46" hidden="1" x14ac:dyDescent="0.45">
      <c r="A251" s="556"/>
      <c r="B251" s="556"/>
      <c r="C251" s="556"/>
      <c r="D251" s="556"/>
      <c r="E251" s="556"/>
      <c r="F251" s="564"/>
      <c r="G251" s="564"/>
      <c r="H251" s="564"/>
      <c r="I251" s="564"/>
      <c r="J251" s="564"/>
      <c r="K251" s="564"/>
      <c r="L251" s="564"/>
      <c r="M251" s="564"/>
      <c r="N251" s="564"/>
      <c r="O251" s="564"/>
      <c r="P251" s="564"/>
      <c r="Q251" s="564"/>
      <c r="R251" s="564"/>
      <c r="S251" s="564"/>
      <c r="T251" s="564"/>
      <c r="U251" s="564"/>
      <c r="V251" s="564"/>
      <c r="W251" s="564"/>
      <c r="X251" s="564"/>
      <c r="Y251" s="564"/>
      <c r="Z251" s="564"/>
      <c r="AA251" s="564"/>
      <c r="AB251" s="556"/>
      <c r="AC251" s="556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O251" s="74"/>
      <c r="AP251" s="74"/>
      <c r="AQ251" s="74"/>
      <c r="AR251" s="74"/>
      <c r="AS251" s="565"/>
      <c r="AT251" s="556"/>
    </row>
    <row r="252" spans="1:46" hidden="1" x14ac:dyDescent="0.45">
      <c r="A252" s="556"/>
      <c r="B252" s="556"/>
      <c r="C252" s="556"/>
      <c r="D252" s="556"/>
      <c r="E252" s="556"/>
      <c r="F252" s="564"/>
      <c r="G252" s="564"/>
      <c r="H252" s="564"/>
      <c r="I252" s="564"/>
      <c r="J252" s="564"/>
      <c r="K252" s="564"/>
      <c r="L252" s="564"/>
      <c r="M252" s="564"/>
      <c r="N252" s="564"/>
      <c r="O252" s="564"/>
      <c r="P252" s="564"/>
      <c r="Q252" s="564"/>
      <c r="R252" s="564"/>
      <c r="S252" s="564"/>
      <c r="T252" s="564"/>
      <c r="U252" s="564"/>
      <c r="V252" s="564"/>
      <c r="W252" s="564"/>
      <c r="X252" s="564"/>
      <c r="Y252" s="564"/>
      <c r="Z252" s="564"/>
      <c r="AA252" s="564"/>
      <c r="AB252" s="556"/>
      <c r="AC252" s="556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O252" s="74"/>
      <c r="AP252" s="74"/>
      <c r="AQ252" s="74"/>
      <c r="AR252" s="74"/>
      <c r="AS252" s="565"/>
      <c r="AT252" s="556"/>
    </row>
    <row r="253" spans="1:46" hidden="1" x14ac:dyDescent="0.45">
      <c r="A253" s="556"/>
      <c r="B253" s="556"/>
      <c r="C253" s="556"/>
      <c r="D253" s="556"/>
      <c r="E253" s="556"/>
      <c r="F253" s="564"/>
      <c r="G253" s="564"/>
      <c r="H253" s="564"/>
      <c r="I253" s="564"/>
      <c r="J253" s="564"/>
      <c r="K253" s="564"/>
      <c r="L253" s="564"/>
      <c r="M253" s="564"/>
      <c r="N253" s="564"/>
      <c r="O253" s="564"/>
      <c r="P253" s="564"/>
      <c r="Q253" s="564"/>
      <c r="R253" s="564"/>
      <c r="S253" s="564"/>
      <c r="T253" s="564"/>
      <c r="U253" s="564"/>
      <c r="V253" s="564"/>
      <c r="W253" s="564"/>
      <c r="X253" s="564"/>
      <c r="Y253" s="564"/>
      <c r="Z253" s="564"/>
      <c r="AA253" s="564"/>
      <c r="AB253" s="556"/>
      <c r="AC253" s="556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O253" s="74"/>
      <c r="AP253" s="74"/>
      <c r="AQ253" s="74"/>
      <c r="AR253" s="74"/>
      <c r="AS253" s="565"/>
      <c r="AT253" s="556"/>
    </row>
    <row r="254" spans="1:46" hidden="1" x14ac:dyDescent="0.45">
      <c r="A254" s="556"/>
      <c r="B254" s="556"/>
      <c r="C254" s="556"/>
      <c r="D254" s="556"/>
      <c r="E254" s="556"/>
      <c r="F254" s="564"/>
      <c r="G254" s="564"/>
      <c r="H254" s="564"/>
      <c r="I254" s="564"/>
      <c r="J254" s="564"/>
      <c r="K254" s="564"/>
      <c r="L254" s="564"/>
      <c r="M254" s="564"/>
      <c r="N254" s="564"/>
      <c r="O254" s="564"/>
      <c r="P254" s="564"/>
      <c r="Q254" s="564"/>
      <c r="R254" s="564"/>
      <c r="S254" s="564"/>
      <c r="T254" s="564"/>
      <c r="U254" s="564"/>
      <c r="V254" s="564"/>
      <c r="W254" s="564"/>
      <c r="X254" s="564"/>
      <c r="Y254" s="564"/>
      <c r="Z254" s="564"/>
      <c r="AA254" s="564"/>
      <c r="AB254" s="556"/>
      <c r="AC254" s="556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O254" s="74"/>
      <c r="AP254" s="74"/>
      <c r="AQ254" s="74"/>
      <c r="AR254" s="74"/>
      <c r="AS254" s="565"/>
      <c r="AT254" s="556"/>
    </row>
    <row r="255" spans="1:46" hidden="1" x14ac:dyDescent="0.45">
      <c r="A255" s="556"/>
      <c r="B255" s="556"/>
      <c r="C255" s="556"/>
      <c r="D255" s="556"/>
      <c r="E255" s="556"/>
      <c r="F255" s="564"/>
      <c r="G255" s="564"/>
      <c r="H255" s="564"/>
      <c r="I255" s="564"/>
      <c r="J255" s="564"/>
      <c r="K255" s="564"/>
      <c r="L255" s="564"/>
      <c r="M255" s="564"/>
      <c r="N255" s="564"/>
      <c r="O255" s="564"/>
      <c r="P255" s="564"/>
      <c r="Q255" s="564"/>
      <c r="R255" s="564"/>
      <c r="S255" s="564"/>
      <c r="T255" s="564"/>
      <c r="U255" s="564"/>
      <c r="V255" s="564"/>
      <c r="W255" s="564"/>
      <c r="X255" s="564"/>
      <c r="Y255" s="564"/>
      <c r="Z255" s="564"/>
      <c r="AA255" s="564"/>
      <c r="AB255" s="556"/>
      <c r="AC255" s="556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O255" s="74"/>
      <c r="AP255" s="74"/>
      <c r="AQ255" s="74"/>
      <c r="AR255" s="74"/>
      <c r="AS255" s="565"/>
      <c r="AT255" s="556"/>
    </row>
    <row r="256" spans="1:46" hidden="1" x14ac:dyDescent="0.45">
      <c r="A256" s="556"/>
      <c r="B256" s="556"/>
      <c r="C256" s="556"/>
      <c r="D256" s="556"/>
      <c r="E256" s="556"/>
      <c r="F256" s="564"/>
      <c r="G256" s="564"/>
      <c r="H256" s="564"/>
      <c r="I256" s="564"/>
      <c r="J256" s="564"/>
      <c r="K256" s="564"/>
      <c r="L256" s="564"/>
      <c r="M256" s="564"/>
      <c r="N256" s="564"/>
      <c r="O256" s="564"/>
      <c r="P256" s="564"/>
      <c r="Q256" s="564"/>
      <c r="R256" s="564"/>
      <c r="S256" s="564"/>
      <c r="T256" s="564"/>
      <c r="U256" s="564"/>
      <c r="V256" s="564"/>
      <c r="W256" s="564"/>
      <c r="X256" s="564"/>
      <c r="Y256" s="564"/>
      <c r="Z256" s="564"/>
      <c r="AA256" s="564"/>
      <c r="AB256" s="556"/>
      <c r="AC256" s="556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O256" s="74"/>
      <c r="AP256" s="74"/>
      <c r="AQ256" s="74"/>
      <c r="AR256" s="74"/>
      <c r="AS256" s="565"/>
      <c r="AT256" s="556"/>
    </row>
    <row r="257" spans="1:46" hidden="1" x14ac:dyDescent="0.45">
      <c r="A257" s="556"/>
      <c r="B257" s="556"/>
      <c r="C257" s="556"/>
      <c r="D257" s="556"/>
      <c r="E257" s="556"/>
      <c r="F257" s="564"/>
      <c r="G257" s="564"/>
      <c r="H257" s="564"/>
      <c r="I257" s="564"/>
      <c r="J257" s="564"/>
      <c r="K257" s="564"/>
      <c r="L257" s="564"/>
      <c r="M257" s="564"/>
      <c r="N257" s="564"/>
      <c r="O257" s="564"/>
      <c r="P257" s="564"/>
      <c r="Q257" s="564"/>
      <c r="R257" s="564"/>
      <c r="S257" s="564"/>
      <c r="T257" s="564"/>
      <c r="U257" s="564"/>
      <c r="V257" s="564"/>
      <c r="W257" s="564"/>
      <c r="X257" s="564"/>
      <c r="Y257" s="564"/>
      <c r="Z257" s="564"/>
      <c r="AA257" s="564"/>
      <c r="AB257" s="556"/>
      <c r="AC257" s="556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O257" s="74"/>
      <c r="AP257" s="74"/>
      <c r="AQ257" s="74"/>
      <c r="AR257" s="74"/>
      <c r="AS257" s="565"/>
      <c r="AT257" s="556"/>
    </row>
    <row r="258" spans="1:46" hidden="1" x14ac:dyDescent="0.45">
      <c r="A258" s="556"/>
      <c r="B258" s="556"/>
      <c r="C258" s="556"/>
      <c r="D258" s="556"/>
      <c r="E258" s="556"/>
      <c r="F258" s="564"/>
      <c r="G258" s="564"/>
      <c r="H258" s="564"/>
      <c r="I258" s="564"/>
      <c r="J258" s="564"/>
      <c r="K258" s="564"/>
      <c r="L258" s="564"/>
      <c r="M258" s="564"/>
      <c r="N258" s="564"/>
      <c r="O258" s="564"/>
      <c r="P258" s="564"/>
      <c r="Q258" s="564"/>
      <c r="R258" s="564"/>
      <c r="S258" s="564"/>
      <c r="T258" s="564"/>
      <c r="U258" s="564"/>
      <c r="V258" s="564"/>
      <c r="W258" s="564"/>
      <c r="X258" s="564"/>
      <c r="Y258" s="564"/>
      <c r="Z258" s="564"/>
      <c r="AA258" s="564"/>
      <c r="AB258" s="556"/>
      <c r="AC258" s="556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O258" s="74"/>
      <c r="AP258" s="74"/>
      <c r="AQ258" s="74"/>
      <c r="AR258" s="74"/>
      <c r="AS258" s="565"/>
      <c r="AT258" s="556"/>
    </row>
    <row r="259" spans="1:46" hidden="1" x14ac:dyDescent="0.45">
      <c r="A259" s="556"/>
      <c r="B259" s="556"/>
      <c r="C259" s="556"/>
      <c r="D259" s="556"/>
      <c r="E259" s="556"/>
      <c r="F259" s="564"/>
      <c r="G259" s="564"/>
      <c r="H259" s="564"/>
      <c r="I259" s="564"/>
      <c r="J259" s="564"/>
      <c r="K259" s="564"/>
      <c r="L259" s="564"/>
      <c r="M259" s="564"/>
      <c r="N259" s="564"/>
      <c r="O259" s="564"/>
      <c r="P259" s="564"/>
      <c r="Q259" s="564"/>
      <c r="R259" s="564"/>
      <c r="S259" s="564"/>
      <c r="T259" s="564"/>
      <c r="U259" s="564"/>
      <c r="V259" s="564"/>
      <c r="W259" s="564"/>
      <c r="X259" s="564"/>
      <c r="Y259" s="564"/>
      <c r="Z259" s="564"/>
      <c r="AA259" s="564"/>
      <c r="AB259" s="556"/>
      <c r="AC259" s="556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O259" s="74"/>
      <c r="AP259" s="74"/>
      <c r="AQ259" s="74"/>
      <c r="AR259" s="74"/>
      <c r="AS259" s="565"/>
      <c r="AT259" s="556"/>
    </row>
    <row r="260" spans="1:46" hidden="1" x14ac:dyDescent="0.45">
      <c r="A260" s="556"/>
      <c r="B260" s="556"/>
      <c r="C260" s="556"/>
      <c r="D260" s="556"/>
      <c r="E260" s="556"/>
      <c r="F260" s="564"/>
      <c r="G260" s="564"/>
      <c r="H260" s="564"/>
      <c r="I260" s="564"/>
      <c r="J260" s="564"/>
      <c r="K260" s="564"/>
      <c r="L260" s="564"/>
      <c r="M260" s="564"/>
      <c r="N260" s="564"/>
      <c r="O260" s="564"/>
      <c r="P260" s="564"/>
      <c r="Q260" s="564"/>
      <c r="R260" s="564"/>
      <c r="S260" s="564"/>
      <c r="T260" s="564"/>
      <c r="U260" s="564"/>
      <c r="V260" s="564"/>
      <c r="W260" s="564"/>
      <c r="X260" s="564"/>
      <c r="Y260" s="564"/>
      <c r="Z260" s="564"/>
      <c r="AA260" s="564"/>
      <c r="AB260" s="556"/>
      <c r="AC260" s="556"/>
      <c r="AD260" s="74"/>
      <c r="AE260" s="74"/>
      <c r="AF260" s="74"/>
      <c r="AG260" s="74"/>
      <c r="AH260" s="74"/>
      <c r="AI260" s="74"/>
      <c r="AJ260" s="74"/>
      <c r="AK260" s="74"/>
      <c r="AL260" s="74"/>
      <c r="AM260" s="74"/>
      <c r="AN260" s="74"/>
      <c r="AO260" s="74"/>
      <c r="AP260" s="74"/>
      <c r="AQ260" s="74"/>
      <c r="AR260" s="74"/>
      <c r="AS260" s="565"/>
      <c r="AT260" s="556"/>
    </row>
    <row r="261" spans="1:46" hidden="1" x14ac:dyDescent="0.45">
      <c r="A261" s="556"/>
      <c r="B261" s="556"/>
      <c r="C261" s="556"/>
      <c r="D261" s="556"/>
      <c r="E261" s="556"/>
      <c r="F261" s="564"/>
      <c r="G261" s="564"/>
      <c r="H261" s="564"/>
      <c r="I261" s="564"/>
      <c r="J261" s="564"/>
      <c r="K261" s="564"/>
      <c r="L261" s="564"/>
      <c r="M261" s="564"/>
      <c r="N261" s="564"/>
      <c r="O261" s="564"/>
      <c r="P261" s="564"/>
      <c r="Q261" s="564"/>
      <c r="R261" s="564"/>
      <c r="S261" s="564"/>
      <c r="T261" s="564"/>
      <c r="U261" s="564"/>
      <c r="V261" s="564"/>
      <c r="W261" s="564"/>
      <c r="X261" s="564"/>
      <c r="Y261" s="564"/>
      <c r="Z261" s="564"/>
      <c r="AA261" s="564"/>
      <c r="AB261" s="556"/>
      <c r="AC261" s="556"/>
      <c r="AD261" s="74"/>
      <c r="AE261" s="74"/>
      <c r="AF261" s="74"/>
      <c r="AG261" s="74"/>
      <c r="AH261" s="74"/>
      <c r="AI261" s="74"/>
      <c r="AJ261" s="74"/>
      <c r="AK261" s="74"/>
      <c r="AL261" s="74"/>
      <c r="AM261" s="74"/>
      <c r="AN261" s="74"/>
      <c r="AO261" s="74"/>
      <c r="AP261" s="74"/>
      <c r="AQ261" s="74"/>
      <c r="AR261" s="74"/>
      <c r="AS261" s="565"/>
      <c r="AT261" s="556"/>
    </row>
    <row r="262" spans="1:46" hidden="1" x14ac:dyDescent="0.45">
      <c r="A262" s="556"/>
      <c r="B262" s="556"/>
      <c r="C262" s="556"/>
      <c r="D262" s="556"/>
      <c r="E262" s="556"/>
      <c r="F262" s="564"/>
      <c r="G262" s="564"/>
      <c r="H262" s="564"/>
      <c r="I262" s="564"/>
      <c r="J262" s="564"/>
      <c r="K262" s="564"/>
      <c r="L262" s="564"/>
      <c r="M262" s="564"/>
      <c r="N262" s="564"/>
      <c r="O262" s="564"/>
      <c r="P262" s="564"/>
      <c r="Q262" s="564"/>
      <c r="R262" s="564"/>
      <c r="S262" s="564"/>
      <c r="T262" s="564"/>
      <c r="U262" s="564"/>
      <c r="V262" s="564"/>
      <c r="W262" s="564"/>
      <c r="X262" s="564"/>
      <c r="Y262" s="564"/>
      <c r="Z262" s="564"/>
      <c r="AA262" s="564"/>
      <c r="AB262" s="556"/>
      <c r="AC262" s="556"/>
      <c r="AD262" s="74"/>
      <c r="AE262" s="74"/>
      <c r="AF262" s="74"/>
      <c r="AG262" s="74"/>
      <c r="AH262" s="74"/>
      <c r="AI262" s="74"/>
      <c r="AJ262" s="74"/>
      <c r="AK262" s="74"/>
      <c r="AL262" s="74"/>
      <c r="AM262" s="74"/>
      <c r="AN262" s="74"/>
      <c r="AO262" s="74"/>
      <c r="AP262" s="74"/>
      <c r="AQ262" s="74"/>
      <c r="AR262" s="74"/>
      <c r="AS262" s="565"/>
      <c r="AT262" s="556"/>
    </row>
    <row r="263" spans="1:46" hidden="1" x14ac:dyDescent="0.45">
      <c r="A263" s="556"/>
      <c r="B263" s="556"/>
      <c r="C263" s="556"/>
      <c r="D263" s="556"/>
      <c r="E263" s="556"/>
      <c r="F263" s="564"/>
      <c r="G263" s="564"/>
      <c r="H263" s="564"/>
      <c r="I263" s="564"/>
      <c r="J263" s="564"/>
      <c r="K263" s="564"/>
      <c r="L263" s="564"/>
      <c r="M263" s="564"/>
      <c r="N263" s="564"/>
      <c r="O263" s="564"/>
      <c r="P263" s="564"/>
      <c r="Q263" s="564"/>
      <c r="R263" s="564"/>
      <c r="S263" s="564"/>
      <c r="T263" s="564"/>
      <c r="U263" s="564"/>
      <c r="V263" s="564"/>
      <c r="W263" s="564"/>
      <c r="X263" s="564"/>
      <c r="Y263" s="564"/>
      <c r="Z263" s="564"/>
      <c r="AA263" s="564"/>
      <c r="AB263" s="556"/>
      <c r="AC263" s="556"/>
      <c r="AD263" s="74"/>
      <c r="AE263" s="74"/>
      <c r="AF263" s="74"/>
      <c r="AG263" s="74"/>
      <c r="AH263" s="74"/>
      <c r="AI263" s="74"/>
      <c r="AJ263" s="74"/>
      <c r="AK263" s="74"/>
      <c r="AL263" s="74"/>
      <c r="AM263" s="74"/>
      <c r="AN263" s="74"/>
      <c r="AO263" s="74"/>
      <c r="AP263" s="74"/>
      <c r="AQ263" s="74"/>
      <c r="AR263" s="74"/>
      <c r="AS263" s="565"/>
      <c r="AT263" s="556"/>
    </row>
    <row r="264" spans="1:46" hidden="1" x14ac:dyDescent="0.45">
      <c r="A264" s="556"/>
      <c r="B264" s="556"/>
      <c r="C264" s="556"/>
      <c r="D264" s="556"/>
      <c r="E264" s="556"/>
      <c r="F264" s="564"/>
      <c r="G264" s="564"/>
      <c r="H264" s="564"/>
      <c r="I264" s="564"/>
      <c r="J264" s="564"/>
      <c r="K264" s="564"/>
      <c r="L264" s="564"/>
      <c r="M264" s="564"/>
      <c r="N264" s="564"/>
      <c r="O264" s="564"/>
      <c r="P264" s="564"/>
      <c r="Q264" s="564"/>
      <c r="R264" s="564"/>
      <c r="S264" s="564"/>
      <c r="T264" s="564"/>
      <c r="U264" s="564"/>
      <c r="V264" s="564"/>
      <c r="W264" s="564"/>
      <c r="X264" s="564"/>
      <c r="Y264" s="564"/>
      <c r="Z264" s="564"/>
      <c r="AA264" s="564"/>
      <c r="AB264" s="556"/>
      <c r="AC264" s="556"/>
      <c r="AD264" s="74"/>
      <c r="AE264" s="74"/>
      <c r="AF264" s="74"/>
      <c r="AG264" s="74"/>
      <c r="AH264" s="74"/>
      <c r="AI264" s="74"/>
      <c r="AJ264" s="74"/>
      <c r="AK264" s="74"/>
      <c r="AL264" s="74"/>
      <c r="AM264" s="74"/>
      <c r="AN264" s="74"/>
      <c r="AO264" s="74"/>
      <c r="AP264" s="74"/>
      <c r="AQ264" s="74"/>
      <c r="AR264" s="74"/>
      <c r="AS264" s="565"/>
      <c r="AT264" s="556"/>
    </row>
    <row r="265" spans="1:46" hidden="1" x14ac:dyDescent="0.45">
      <c r="A265" s="556"/>
      <c r="B265" s="556"/>
      <c r="C265" s="556"/>
      <c r="D265" s="556"/>
      <c r="E265" s="556"/>
      <c r="F265" s="564"/>
      <c r="G265" s="564"/>
      <c r="H265" s="564"/>
      <c r="I265" s="564"/>
      <c r="J265" s="564"/>
      <c r="K265" s="564"/>
      <c r="L265" s="564"/>
      <c r="M265" s="564"/>
      <c r="N265" s="564"/>
      <c r="O265" s="564"/>
      <c r="P265" s="564"/>
      <c r="Q265" s="564"/>
      <c r="R265" s="564"/>
      <c r="S265" s="564"/>
      <c r="T265" s="564"/>
      <c r="U265" s="564"/>
      <c r="V265" s="564"/>
      <c r="W265" s="564"/>
      <c r="X265" s="564"/>
      <c r="Y265" s="564"/>
      <c r="Z265" s="564"/>
      <c r="AA265" s="564"/>
      <c r="AB265" s="556"/>
      <c r="AC265" s="556"/>
      <c r="AD265" s="74"/>
      <c r="AE265" s="74"/>
      <c r="AF265" s="74"/>
      <c r="AG265" s="74"/>
      <c r="AH265" s="74"/>
      <c r="AI265" s="74"/>
      <c r="AJ265" s="74"/>
      <c r="AK265" s="74"/>
      <c r="AL265" s="74"/>
      <c r="AM265" s="74"/>
      <c r="AN265" s="74"/>
      <c r="AO265" s="74"/>
      <c r="AP265" s="74"/>
      <c r="AQ265" s="74"/>
      <c r="AR265" s="74"/>
      <c r="AS265" s="565"/>
      <c r="AT265" s="556"/>
    </row>
    <row r="266" spans="1:46" hidden="1" x14ac:dyDescent="0.45">
      <c r="A266" s="556"/>
      <c r="B266" s="556"/>
      <c r="C266" s="556"/>
      <c r="D266" s="556"/>
      <c r="E266" s="556"/>
      <c r="F266" s="564"/>
      <c r="G266" s="564"/>
      <c r="H266" s="564"/>
      <c r="I266" s="564"/>
      <c r="J266" s="564"/>
      <c r="K266" s="564"/>
      <c r="L266" s="564"/>
      <c r="M266" s="564"/>
      <c r="N266" s="564"/>
      <c r="O266" s="564"/>
      <c r="P266" s="564"/>
      <c r="Q266" s="564"/>
      <c r="R266" s="564"/>
      <c r="S266" s="564"/>
      <c r="T266" s="564"/>
      <c r="U266" s="564"/>
      <c r="V266" s="564"/>
      <c r="W266" s="564"/>
      <c r="X266" s="564"/>
      <c r="Y266" s="564"/>
      <c r="Z266" s="564"/>
      <c r="AA266" s="564"/>
      <c r="AB266" s="556"/>
      <c r="AC266" s="556"/>
      <c r="AD266" s="74"/>
      <c r="AE266" s="74"/>
      <c r="AF266" s="74"/>
      <c r="AG266" s="74"/>
      <c r="AH266" s="74"/>
      <c r="AI266" s="74"/>
      <c r="AJ266" s="74"/>
      <c r="AK266" s="74"/>
      <c r="AL266" s="74"/>
      <c r="AM266" s="74"/>
      <c r="AN266" s="74"/>
      <c r="AO266" s="74"/>
      <c r="AP266" s="74"/>
      <c r="AQ266" s="74"/>
      <c r="AR266" s="74"/>
      <c r="AS266" s="565"/>
      <c r="AT266" s="556"/>
    </row>
    <row r="267" spans="1:46" hidden="1" x14ac:dyDescent="0.45">
      <c r="A267" s="556"/>
      <c r="B267" s="556"/>
      <c r="C267" s="556"/>
      <c r="D267" s="556"/>
      <c r="E267" s="556"/>
      <c r="F267" s="564"/>
      <c r="G267" s="564"/>
      <c r="H267" s="564"/>
      <c r="I267" s="564"/>
      <c r="J267" s="564"/>
      <c r="K267" s="564"/>
      <c r="L267" s="564"/>
      <c r="M267" s="564"/>
      <c r="N267" s="564"/>
      <c r="O267" s="564"/>
      <c r="P267" s="564"/>
      <c r="Q267" s="564"/>
      <c r="R267" s="564"/>
      <c r="S267" s="564"/>
      <c r="T267" s="564"/>
      <c r="U267" s="564"/>
      <c r="V267" s="564"/>
      <c r="W267" s="564"/>
      <c r="X267" s="564"/>
      <c r="Y267" s="564"/>
      <c r="Z267" s="564"/>
      <c r="AA267" s="564"/>
      <c r="AB267" s="556"/>
      <c r="AC267" s="556"/>
      <c r="AD267" s="74"/>
      <c r="AE267" s="74"/>
      <c r="AF267" s="74"/>
      <c r="AG267" s="74"/>
      <c r="AH267" s="74"/>
      <c r="AI267" s="74"/>
      <c r="AJ267" s="74"/>
      <c r="AK267" s="74"/>
      <c r="AL267" s="74"/>
      <c r="AM267" s="74"/>
      <c r="AN267" s="74"/>
      <c r="AO267" s="74"/>
      <c r="AP267" s="74"/>
      <c r="AQ267" s="74"/>
      <c r="AR267" s="74"/>
      <c r="AS267" s="565"/>
      <c r="AT267" s="556"/>
    </row>
    <row r="268" spans="1:46" hidden="1" x14ac:dyDescent="0.45">
      <c r="A268" s="556"/>
      <c r="B268" s="556"/>
      <c r="C268" s="556"/>
      <c r="D268" s="556"/>
      <c r="E268" s="556"/>
      <c r="F268" s="564"/>
      <c r="G268" s="564"/>
      <c r="H268" s="564"/>
      <c r="I268" s="564"/>
      <c r="J268" s="564"/>
      <c r="K268" s="564"/>
      <c r="L268" s="564"/>
      <c r="M268" s="564"/>
      <c r="N268" s="564"/>
      <c r="O268" s="564"/>
      <c r="P268" s="564"/>
      <c r="Q268" s="564"/>
      <c r="R268" s="564"/>
      <c r="S268" s="564"/>
      <c r="T268" s="564"/>
      <c r="U268" s="564"/>
      <c r="V268" s="564"/>
      <c r="W268" s="564"/>
      <c r="X268" s="564"/>
      <c r="Y268" s="564"/>
      <c r="Z268" s="564"/>
      <c r="AA268" s="564"/>
      <c r="AB268" s="556"/>
      <c r="AC268" s="556"/>
      <c r="AD268" s="74"/>
      <c r="AE268" s="74"/>
      <c r="AF268" s="74"/>
      <c r="AG268" s="74"/>
      <c r="AH268" s="74"/>
      <c r="AI268" s="74"/>
      <c r="AJ268" s="74"/>
      <c r="AK268" s="74"/>
      <c r="AL268" s="74"/>
      <c r="AM268" s="74"/>
      <c r="AN268" s="74"/>
      <c r="AO268" s="74"/>
      <c r="AP268" s="74"/>
      <c r="AQ268" s="74"/>
      <c r="AR268" s="74"/>
      <c r="AS268" s="565"/>
      <c r="AT268" s="556"/>
    </row>
    <row r="269" spans="1:46" hidden="1" x14ac:dyDescent="0.45">
      <c r="A269" s="556"/>
      <c r="B269" s="556"/>
      <c r="C269" s="556"/>
      <c r="D269" s="556"/>
      <c r="E269" s="556"/>
      <c r="F269" s="564"/>
      <c r="G269" s="564"/>
      <c r="H269" s="564"/>
      <c r="I269" s="564"/>
      <c r="J269" s="564"/>
      <c r="K269" s="564"/>
      <c r="L269" s="564"/>
      <c r="M269" s="564"/>
      <c r="N269" s="564"/>
      <c r="O269" s="564"/>
      <c r="P269" s="564"/>
      <c r="Q269" s="564"/>
      <c r="R269" s="564"/>
      <c r="S269" s="564"/>
      <c r="T269" s="564"/>
      <c r="U269" s="564"/>
      <c r="V269" s="564"/>
      <c r="W269" s="564"/>
      <c r="X269" s="564"/>
      <c r="Y269" s="564"/>
      <c r="Z269" s="564"/>
      <c r="AA269" s="564"/>
      <c r="AB269" s="556"/>
      <c r="AC269" s="556"/>
      <c r="AD269" s="74"/>
      <c r="AE269" s="74"/>
      <c r="AF269" s="74"/>
      <c r="AG269" s="74"/>
      <c r="AH269" s="74"/>
      <c r="AI269" s="74"/>
      <c r="AJ269" s="74"/>
      <c r="AK269" s="74"/>
      <c r="AL269" s="74"/>
      <c r="AM269" s="74"/>
      <c r="AN269" s="74"/>
      <c r="AO269" s="74"/>
      <c r="AP269" s="74"/>
      <c r="AQ269" s="74"/>
      <c r="AR269" s="74"/>
      <c r="AS269" s="565"/>
      <c r="AT269" s="556"/>
    </row>
    <row r="270" spans="1:46" hidden="1" x14ac:dyDescent="0.45">
      <c r="A270" s="556"/>
      <c r="B270" s="556"/>
      <c r="C270" s="556"/>
      <c r="D270" s="556"/>
      <c r="E270" s="556"/>
      <c r="F270" s="564"/>
      <c r="G270" s="564"/>
      <c r="H270" s="564"/>
      <c r="I270" s="564"/>
      <c r="J270" s="564"/>
      <c r="K270" s="564"/>
      <c r="L270" s="564"/>
      <c r="M270" s="564"/>
      <c r="N270" s="564"/>
      <c r="O270" s="564"/>
      <c r="P270" s="564"/>
      <c r="Q270" s="564"/>
      <c r="R270" s="564"/>
      <c r="S270" s="564"/>
      <c r="T270" s="564"/>
      <c r="U270" s="564"/>
      <c r="V270" s="564"/>
      <c r="W270" s="564"/>
      <c r="X270" s="564"/>
      <c r="Y270" s="564"/>
      <c r="Z270" s="564"/>
      <c r="AA270" s="564"/>
      <c r="AB270" s="556"/>
      <c r="AC270" s="556"/>
      <c r="AD270" s="74"/>
      <c r="AE270" s="74"/>
      <c r="AF270" s="74"/>
      <c r="AG270" s="74"/>
      <c r="AH270" s="74"/>
      <c r="AI270" s="74"/>
      <c r="AJ270" s="74"/>
      <c r="AK270" s="74"/>
      <c r="AL270" s="74"/>
      <c r="AM270" s="74"/>
      <c r="AN270" s="74"/>
      <c r="AO270" s="74"/>
      <c r="AP270" s="74"/>
      <c r="AQ270" s="74"/>
      <c r="AR270" s="74"/>
      <c r="AS270" s="565"/>
      <c r="AT270" s="556"/>
    </row>
    <row r="271" spans="1:46" hidden="1" x14ac:dyDescent="0.45">
      <c r="A271" s="556"/>
      <c r="B271" s="556"/>
      <c r="C271" s="556"/>
      <c r="D271" s="556"/>
      <c r="E271" s="556"/>
      <c r="F271" s="564"/>
      <c r="G271" s="564"/>
      <c r="H271" s="564"/>
      <c r="I271" s="564"/>
      <c r="J271" s="564"/>
      <c r="K271" s="564"/>
      <c r="L271" s="564"/>
      <c r="M271" s="564"/>
      <c r="N271" s="564"/>
      <c r="O271" s="564"/>
      <c r="P271" s="564"/>
      <c r="Q271" s="564"/>
      <c r="R271" s="564"/>
      <c r="S271" s="564"/>
      <c r="T271" s="564"/>
      <c r="U271" s="564"/>
      <c r="V271" s="564"/>
      <c r="W271" s="564"/>
      <c r="X271" s="564"/>
      <c r="Y271" s="564"/>
      <c r="Z271" s="564"/>
      <c r="AA271" s="564"/>
      <c r="AB271" s="556"/>
      <c r="AC271" s="556"/>
      <c r="AD271" s="74"/>
      <c r="AE271" s="74"/>
      <c r="AF271" s="74"/>
      <c r="AG271" s="74"/>
      <c r="AH271" s="74"/>
      <c r="AI271" s="74"/>
      <c r="AJ271" s="74"/>
      <c r="AK271" s="74"/>
      <c r="AL271" s="74"/>
      <c r="AM271" s="74"/>
      <c r="AN271" s="74"/>
      <c r="AO271" s="74"/>
      <c r="AP271" s="74"/>
      <c r="AQ271" s="74"/>
      <c r="AR271" s="74"/>
      <c r="AS271" s="565"/>
      <c r="AT271" s="556"/>
    </row>
    <row r="272" spans="1:46" hidden="1" x14ac:dyDescent="0.45">
      <c r="A272" s="556"/>
      <c r="B272" s="556"/>
      <c r="C272" s="556"/>
      <c r="D272" s="556"/>
      <c r="E272" s="556"/>
      <c r="F272" s="564"/>
      <c r="G272" s="564"/>
      <c r="H272" s="564"/>
      <c r="I272" s="564"/>
      <c r="J272" s="564"/>
      <c r="K272" s="564"/>
      <c r="L272" s="564"/>
      <c r="M272" s="564"/>
      <c r="N272" s="564"/>
      <c r="O272" s="564"/>
      <c r="P272" s="564"/>
      <c r="Q272" s="564"/>
      <c r="R272" s="564"/>
      <c r="S272" s="564"/>
      <c r="T272" s="564"/>
      <c r="U272" s="564"/>
      <c r="V272" s="564"/>
      <c r="W272" s="564"/>
      <c r="X272" s="564"/>
      <c r="Y272" s="564"/>
      <c r="Z272" s="564"/>
      <c r="AA272" s="564"/>
      <c r="AB272" s="556"/>
      <c r="AC272" s="556"/>
      <c r="AD272" s="74"/>
      <c r="AE272" s="74"/>
      <c r="AF272" s="74"/>
      <c r="AG272" s="74"/>
      <c r="AH272" s="74"/>
      <c r="AI272" s="74"/>
      <c r="AJ272" s="74"/>
      <c r="AK272" s="74"/>
      <c r="AL272" s="74"/>
      <c r="AM272" s="74"/>
      <c r="AN272" s="74"/>
      <c r="AO272" s="74"/>
      <c r="AP272" s="74"/>
      <c r="AQ272" s="74"/>
      <c r="AR272" s="74"/>
      <c r="AS272" s="565"/>
      <c r="AT272" s="556"/>
    </row>
    <row r="273" spans="1:46" hidden="1" x14ac:dyDescent="0.45">
      <c r="A273" s="556"/>
      <c r="B273" s="556"/>
      <c r="C273" s="556"/>
      <c r="D273" s="556"/>
      <c r="E273" s="556"/>
      <c r="F273" s="564"/>
      <c r="G273" s="564"/>
      <c r="H273" s="564"/>
      <c r="I273" s="564"/>
      <c r="J273" s="564"/>
      <c r="K273" s="564"/>
      <c r="L273" s="564"/>
      <c r="M273" s="564"/>
      <c r="N273" s="564"/>
      <c r="O273" s="564"/>
      <c r="P273" s="564"/>
      <c r="Q273" s="564"/>
      <c r="R273" s="564"/>
      <c r="S273" s="564"/>
      <c r="T273" s="564"/>
      <c r="U273" s="564"/>
      <c r="V273" s="564"/>
      <c r="W273" s="564"/>
      <c r="X273" s="564"/>
      <c r="Y273" s="564"/>
      <c r="Z273" s="564"/>
      <c r="AA273" s="564"/>
      <c r="AB273" s="556"/>
      <c r="AC273" s="556"/>
      <c r="AD273" s="74"/>
      <c r="AE273" s="74"/>
      <c r="AF273" s="74"/>
      <c r="AG273" s="74"/>
      <c r="AH273" s="74"/>
      <c r="AI273" s="74"/>
      <c r="AJ273" s="74"/>
      <c r="AK273" s="74"/>
      <c r="AL273" s="74"/>
      <c r="AM273" s="74"/>
      <c r="AN273" s="74"/>
      <c r="AO273" s="74"/>
      <c r="AP273" s="74"/>
      <c r="AQ273" s="74"/>
      <c r="AR273" s="74"/>
      <c r="AS273" s="565"/>
      <c r="AT273" s="556"/>
    </row>
    <row r="274" spans="1:46" hidden="1" x14ac:dyDescent="0.45">
      <c r="A274" s="556"/>
      <c r="B274" s="556"/>
      <c r="C274" s="556"/>
      <c r="D274" s="556"/>
      <c r="E274" s="556"/>
      <c r="F274" s="564"/>
      <c r="G274" s="564"/>
      <c r="H274" s="564"/>
      <c r="I274" s="564"/>
      <c r="J274" s="564"/>
      <c r="K274" s="564"/>
      <c r="L274" s="564"/>
      <c r="M274" s="564"/>
      <c r="N274" s="564"/>
      <c r="O274" s="564"/>
      <c r="P274" s="564"/>
      <c r="Q274" s="564"/>
      <c r="R274" s="564"/>
      <c r="S274" s="564"/>
      <c r="T274" s="564"/>
      <c r="U274" s="564"/>
      <c r="V274" s="564"/>
      <c r="W274" s="564"/>
      <c r="X274" s="564"/>
      <c r="Y274" s="564"/>
      <c r="Z274" s="564"/>
      <c r="AA274" s="564"/>
      <c r="AB274" s="556"/>
      <c r="AC274" s="556"/>
      <c r="AD274" s="74"/>
      <c r="AE274" s="74"/>
      <c r="AF274" s="74"/>
      <c r="AG274" s="74"/>
      <c r="AH274" s="74"/>
      <c r="AI274" s="74"/>
      <c r="AJ274" s="74"/>
      <c r="AK274" s="74"/>
      <c r="AL274" s="74"/>
      <c r="AM274" s="74"/>
      <c r="AN274" s="74"/>
      <c r="AO274" s="74"/>
      <c r="AP274" s="74"/>
      <c r="AQ274" s="74"/>
      <c r="AR274" s="74"/>
      <c r="AS274" s="565"/>
      <c r="AT274" s="556"/>
    </row>
    <row r="275" spans="1:46" hidden="1" x14ac:dyDescent="0.45">
      <c r="A275" s="556"/>
      <c r="B275" s="556"/>
      <c r="C275" s="556"/>
      <c r="D275" s="556"/>
      <c r="E275" s="556"/>
      <c r="F275" s="564"/>
      <c r="G275" s="564"/>
      <c r="H275" s="564"/>
      <c r="I275" s="564"/>
      <c r="J275" s="564"/>
      <c r="K275" s="564"/>
      <c r="L275" s="564"/>
      <c r="M275" s="564"/>
      <c r="N275" s="564"/>
      <c r="O275" s="564"/>
      <c r="P275" s="564"/>
      <c r="Q275" s="564"/>
      <c r="R275" s="564"/>
      <c r="S275" s="564"/>
      <c r="T275" s="564"/>
      <c r="U275" s="564"/>
      <c r="V275" s="564"/>
      <c r="W275" s="564"/>
      <c r="X275" s="564"/>
      <c r="Y275" s="564"/>
      <c r="Z275" s="564"/>
      <c r="AA275" s="564"/>
      <c r="AB275" s="556"/>
      <c r="AC275" s="556"/>
      <c r="AD275" s="74"/>
      <c r="AE275" s="74"/>
      <c r="AF275" s="74"/>
      <c r="AG275" s="74"/>
      <c r="AH275" s="74"/>
      <c r="AI275" s="74"/>
      <c r="AJ275" s="74"/>
      <c r="AK275" s="74"/>
      <c r="AL275" s="74"/>
      <c r="AM275" s="74"/>
      <c r="AN275" s="74"/>
      <c r="AO275" s="74"/>
      <c r="AP275" s="74"/>
      <c r="AQ275" s="74"/>
      <c r="AR275" s="74"/>
      <c r="AS275" s="565"/>
      <c r="AT275" s="556"/>
    </row>
    <row r="276" spans="1:46" hidden="1" x14ac:dyDescent="0.45">
      <c r="A276" s="556"/>
      <c r="B276" s="556"/>
      <c r="C276" s="556"/>
      <c r="D276" s="556"/>
      <c r="E276" s="556"/>
      <c r="F276" s="564"/>
      <c r="G276" s="564"/>
      <c r="H276" s="564"/>
      <c r="I276" s="564"/>
      <c r="J276" s="564"/>
      <c r="K276" s="564"/>
      <c r="L276" s="564"/>
      <c r="M276" s="564"/>
      <c r="N276" s="564"/>
      <c r="O276" s="564"/>
      <c r="P276" s="564"/>
      <c r="Q276" s="564"/>
      <c r="R276" s="564"/>
      <c r="S276" s="564"/>
      <c r="T276" s="564"/>
      <c r="U276" s="564"/>
      <c r="V276" s="564"/>
      <c r="W276" s="564"/>
      <c r="X276" s="564"/>
      <c r="Y276" s="564"/>
      <c r="Z276" s="564"/>
      <c r="AA276" s="564"/>
      <c r="AB276" s="556"/>
      <c r="AC276" s="556"/>
      <c r="AD276" s="74"/>
      <c r="AE276" s="74"/>
      <c r="AF276" s="74"/>
      <c r="AG276" s="74"/>
      <c r="AH276" s="74"/>
      <c r="AI276" s="74"/>
      <c r="AJ276" s="74"/>
      <c r="AK276" s="74"/>
      <c r="AL276" s="74"/>
      <c r="AM276" s="74"/>
      <c r="AN276" s="74"/>
      <c r="AO276" s="74"/>
      <c r="AP276" s="74"/>
      <c r="AQ276" s="74"/>
      <c r="AR276" s="74"/>
      <c r="AS276" s="565"/>
      <c r="AT276" s="556"/>
    </row>
    <row r="277" spans="1:46" hidden="1" x14ac:dyDescent="0.45">
      <c r="A277" s="556"/>
      <c r="B277" s="556"/>
      <c r="C277" s="556"/>
      <c r="D277" s="556"/>
      <c r="E277" s="556"/>
      <c r="F277" s="564"/>
      <c r="G277" s="564"/>
      <c r="H277" s="564"/>
      <c r="I277" s="564"/>
      <c r="J277" s="564"/>
      <c r="K277" s="564"/>
      <c r="L277" s="564"/>
      <c r="M277" s="564"/>
      <c r="N277" s="564"/>
      <c r="O277" s="564"/>
      <c r="P277" s="564"/>
      <c r="Q277" s="564"/>
      <c r="R277" s="564"/>
      <c r="S277" s="564"/>
      <c r="T277" s="564"/>
      <c r="U277" s="564"/>
      <c r="V277" s="564"/>
      <c r="W277" s="564"/>
      <c r="X277" s="564"/>
      <c r="Y277" s="564"/>
      <c r="Z277" s="564"/>
      <c r="AA277" s="564"/>
      <c r="AB277" s="556"/>
      <c r="AC277" s="556"/>
      <c r="AD277" s="74"/>
      <c r="AE277" s="74"/>
      <c r="AF277" s="74"/>
      <c r="AG277" s="74"/>
      <c r="AH277" s="74"/>
      <c r="AI277" s="74"/>
      <c r="AJ277" s="74"/>
      <c r="AK277" s="74"/>
      <c r="AL277" s="74"/>
      <c r="AM277" s="74"/>
      <c r="AN277" s="74"/>
      <c r="AO277" s="74"/>
      <c r="AP277" s="74"/>
      <c r="AQ277" s="74"/>
      <c r="AR277" s="74"/>
      <c r="AS277" s="565"/>
      <c r="AT277" s="556"/>
    </row>
    <row r="278" spans="1:46" hidden="1" x14ac:dyDescent="0.45">
      <c r="A278" s="556"/>
      <c r="B278" s="556"/>
      <c r="C278" s="556"/>
      <c r="D278" s="556"/>
      <c r="E278" s="556"/>
      <c r="F278" s="564"/>
      <c r="G278" s="564"/>
      <c r="H278" s="564"/>
      <c r="I278" s="564"/>
      <c r="J278" s="564"/>
      <c r="K278" s="564"/>
      <c r="L278" s="564"/>
      <c r="M278" s="564"/>
      <c r="N278" s="564"/>
      <c r="O278" s="564"/>
      <c r="P278" s="564"/>
      <c r="Q278" s="564"/>
      <c r="R278" s="564"/>
      <c r="S278" s="564"/>
      <c r="T278" s="564"/>
      <c r="U278" s="564"/>
      <c r="V278" s="564"/>
      <c r="W278" s="564"/>
      <c r="X278" s="564"/>
      <c r="Y278" s="564"/>
      <c r="Z278" s="564"/>
      <c r="AA278" s="564"/>
      <c r="AB278" s="556"/>
      <c r="AC278" s="556"/>
      <c r="AD278" s="74"/>
      <c r="AE278" s="74"/>
      <c r="AF278" s="74"/>
      <c r="AG278" s="74"/>
      <c r="AH278" s="74"/>
      <c r="AI278" s="74"/>
      <c r="AJ278" s="74"/>
      <c r="AK278" s="74"/>
      <c r="AL278" s="74"/>
      <c r="AM278" s="74"/>
      <c r="AN278" s="74"/>
      <c r="AO278" s="74"/>
      <c r="AP278" s="74"/>
      <c r="AQ278" s="74"/>
      <c r="AR278" s="74"/>
      <c r="AS278" s="565"/>
      <c r="AT278" s="556"/>
    </row>
    <row r="279" spans="1:46" hidden="1" x14ac:dyDescent="0.45">
      <c r="A279" s="556"/>
      <c r="B279" s="556"/>
      <c r="C279" s="556"/>
      <c r="D279" s="556"/>
      <c r="E279" s="556"/>
      <c r="F279" s="564"/>
      <c r="G279" s="564"/>
      <c r="H279" s="564"/>
      <c r="I279" s="564"/>
      <c r="J279" s="564"/>
      <c r="K279" s="564"/>
      <c r="L279" s="564"/>
      <c r="M279" s="564"/>
      <c r="N279" s="564"/>
      <c r="O279" s="564"/>
      <c r="P279" s="564"/>
      <c r="Q279" s="564"/>
      <c r="R279" s="564"/>
      <c r="S279" s="564"/>
      <c r="T279" s="564"/>
      <c r="U279" s="564"/>
      <c r="V279" s="564"/>
      <c r="W279" s="564"/>
      <c r="X279" s="564"/>
      <c r="Y279" s="564"/>
      <c r="Z279" s="564"/>
      <c r="AA279" s="564"/>
      <c r="AB279" s="556"/>
      <c r="AC279" s="556"/>
      <c r="AD279" s="74"/>
      <c r="AE279" s="74"/>
      <c r="AF279" s="74"/>
      <c r="AG279" s="74"/>
      <c r="AH279" s="74"/>
      <c r="AI279" s="74"/>
      <c r="AJ279" s="74"/>
      <c r="AK279" s="74"/>
      <c r="AL279" s="74"/>
      <c r="AM279" s="74"/>
      <c r="AN279" s="74"/>
      <c r="AO279" s="74"/>
      <c r="AP279" s="74"/>
      <c r="AQ279" s="74"/>
      <c r="AR279" s="74"/>
      <c r="AS279" s="565"/>
      <c r="AT279" s="556"/>
    </row>
    <row r="280" spans="1:46" hidden="1" x14ac:dyDescent="0.45">
      <c r="A280" s="556"/>
      <c r="B280" s="556"/>
      <c r="C280" s="556"/>
      <c r="D280" s="556"/>
      <c r="E280" s="556"/>
      <c r="F280" s="564"/>
      <c r="G280" s="564"/>
      <c r="H280" s="564"/>
      <c r="I280" s="564"/>
      <c r="J280" s="564"/>
      <c r="K280" s="564"/>
      <c r="L280" s="564"/>
      <c r="M280" s="564"/>
      <c r="N280" s="564"/>
      <c r="O280" s="564"/>
      <c r="P280" s="564"/>
      <c r="Q280" s="564"/>
      <c r="R280" s="564"/>
      <c r="S280" s="564"/>
      <c r="T280" s="564"/>
      <c r="U280" s="564"/>
      <c r="V280" s="564"/>
      <c r="W280" s="564"/>
      <c r="X280" s="564"/>
      <c r="Y280" s="564"/>
      <c r="Z280" s="564"/>
      <c r="AA280" s="564"/>
      <c r="AB280" s="556"/>
      <c r="AC280" s="556"/>
      <c r="AD280" s="74"/>
      <c r="AE280" s="74"/>
      <c r="AF280" s="74"/>
      <c r="AG280" s="74"/>
      <c r="AH280" s="74"/>
      <c r="AI280" s="74"/>
      <c r="AJ280" s="74"/>
      <c r="AK280" s="74"/>
      <c r="AL280" s="74"/>
      <c r="AM280" s="74"/>
      <c r="AN280" s="74"/>
      <c r="AO280" s="74"/>
      <c r="AP280" s="74"/>
      <c r="AQ280" s="74"/>
      <c r="AR280" s="74"/>
      <c r="AS280" s="565"/>
      <c r="AT280" s="556"/>
    </row>
    <row r="281" spans="1:46" hidden="1" x14ac:dyDescent="0.45">
      <c r="A281" s="556"/>
      <c r="B281" s="556"/>
      <c r="C281" s="556"/>
      <c r="D281" s="556"/>
      <c r="E281" s="556"/>
      <c r="F281" s="564"/>
      <c r="G281" s="564"/>
      <c r="H281" s="564"/>
      <c r="I281" s="564"/>
      <c r="J281" s="564"/>
      <c r="K281" s="564"/>
      <c r="L281" s="564"/>
      <c r="M281" s="564"/>
      <c r="N281" s="564"/>
      <c r="O281" s="564"/>
      <c r="P281" s="564"/>
      <c r="Q281" s="564"/>
      <c r="R281" s="564"/>
      <c r="S281" s="564"/>
      <c r="T281" s="564"/>
      <c r="U281" s="564"/>
      <c r="V281" s="564"/>
      <c r="W281" s="564"/>
      <c r="X281" s="564"/>
      <c r="Y281" s="564"/>
      <c r="Z281" s="564"/>
      <c r="AA281" s="564"/>
      <c r="AB281" s="556"/>
      <c r="AC281" s="556"/>
      <c r="AD281" s="74"/>
      <c r="AE281" s="74"/>
      <c r="AF281" s="74"/>
      <c r="AG281" s="74"/>
      <c r="AH281" s="74"/>
      <c r="AI281" s="74"/>
      <c r="AJ281" s="74"/>
      <c r="AK281" s="74"/>
      <c r="AL281" s="74"/>
      <c r="AM281" s="74"/>
      <c r="AN281" s="74"/>
      <c r="AO281" s="74"/>
      <c r="AP281" s="74"/>
      <c r="AQ281" s="74"/>
      <c r="AR281" s="74"/>
      <c r="AS281" s="565"/>
      <c r="AT281" s="556"/>
    </row>
    <row r="282" spans="1:46" hidden="1" x14ac:dyDescent="0.45">
      <c r="A282" s="556"/>
      <c r="B282" s="556"/>
      <c r="C282" s="556"/>
      <c r="D282" s="556"/>
      <c r="E282" s="556"/>
      <c r="F282" s="564"/>
      <c r="G282" s="564"/>
      <c r="H282" s="564"/>
      <c r="I282" s="564"/>
      <c r="J282" s="564"/>
      <c r="K282" s="564"/>
      <c r="L282" s="564"/>
      <c r="M282" s="564"/>
      <c r="N282" s="564"/>
      <c r="O282" s="564"/>
      <c r="P282" s="564"/>
      <c r="Q282" s="564"/>
      <c r="R282" s="564"/>
      <c r="S282" s="564"/>
      <c r="T282" s="564"/>
      <c r="U282" s="564"/>
      <c r="V282" s="564"/>
      <c r="W282" s="564"/>
      <c r="X282" s="564"/>
      <c r="Y282" s="564"/>
      <c r="Z282" s="564"/>
      <c r="AA282" s="564"/>
      <c r="AB282" s="556"/>
      <c r="AC282" s="556"/>
      <c r="AD282" s="74"/>
      <c r="AE282" s="74"/>
      <c r="AF282" s="74"/>
      <c r="AG282" s="74"/>
      <c r="AH282" s="74"/>
      <c r="AI282" s="74"/>
      <c r="AJ282" s="74"/>
      <c r="AK282" s="74"/>
      <c r="AL282" s="74"/>
      <c r="AM282" s="74"/>
      <c r="AN282" s="74"/>
      <c r="AO282" s="74"/>
      <c r="AP282" s="74"/>
      <c r="AQ282" s="74"/>
      <c r="AR282" s="74"/>
      <c r="AS282" s="565"/>
      <c r="AT282" s="556"/>
    </row>
    <row r="283" spans="1:46" hidden="1" x14ac:dyDescent="0.45">
      <c r="A283" s="556"/>
      <c r="B283" s="556"/>
      <c r="C283" s="556"/>
      <c r="D283" s="556"/>
      <c r="E283" s="556"/>
      <c r="F283" s="564"/>
      <c r="G283" s="564"/>
      <c r="H283" s="564"/>
      <c r="I283" s="564"/>
      <c r="J283" s="564"/>
      <c r="K283" s="564"/>
      <c r="L283" s="564"/>
      <c r="M283" s="564"/>
      <c r="N283" s="564"/>
      <c r="O283" s="564"/>
      <c r="P283" s="564"/>
      <c r="Q283" s="564"/>
      <c r="R283" s="564"/>
      <c r="S283" s="564"/>
      <c r="T283" s="564"/>
      <c r="U283" s="564"/>
      <c r="V283" s="564"/>
      <c r="W283" s="564"/>
      <c r="X283" s="564"/>
      <c r="Y283" s="564"/>
      <c r="Z283" s="564"/>
      <c r="AA283" s="564"/>
      <c r="AB283" s="556"/>
      <c r="AC283" s="556"/>
      <c r="AD283" s="74"/>
      <c r="AE283" s="74"/>
      <c r="AF283" s="74"/>
      <c r="AG283" s="74"/>
      <c r="AH283" s="74"/>
      <c r="AI283" s="74"/>
      <c r="AJ283" s="74"/>
      <c r="AK283" s="74"/>
      <c r="AL283" s="74"/>
      <c r="AM283" s="74"/>
      <c r="AN283" s="74"/>
      <c r="AO283" s="74"/>
      <c r="AP283" s="74"/>
      <c r="AQ283" s="74"/>
      <c r="AR283" s="74"/>
      <c r="AS283" s="565"/>
      <c r="AT283" s="556"/>
    </row>
    <row r="284" spans="1:46" hidden="1" x14ac:dyDescent="0.45">
      <c r="A284" s="556"/>
      <c r="B284" s="556"/>
      <c r="C284" s="556"/>
      <c r="D284" s="556"/>
      <c r="E284" s="556"/>
      <c r="F284" s="564"/>
      <c r="G284" s="564"/>
      <c r="H284" s="564"/>
      <c r="I284" s="564"/>
      <c r="J284" s="564"/>
      <c r="K284" s="564"/>
      <c r="L284" s="564"/>
      <c r="M284" s="564"/>
      <c r="N284" s="564"/>
      <c r="O284" s="564"/>
      <c r="P284" s="564"/>
      <c r="Q284" s="564"/>
      <c r="R284" s="564"/>
      <c r="S284" s="564"/>
      <c r="T284" s="564"/>
      <c r="U284" s="564"/>
      <c r="V284" s="564"/>
      <c r="W284" s="564"/>
      <c r="X284" s="564"/>
      <c r="Y284" s="564"/>
      <c r="Z284" s="564"/>
      <c r="AA284" s="564"/>
      <c r="AB284" s="556"/>
      <c r="AC284" s="556"/>
      <c r="AD284" s="74"/>
      <c r="AE284" s="74"/>
      <c r="AF284" s="74"/>
      <c r="AG284" s="74"/>
      <c r="AH284" s="74"/>
      <c r="AI284" s="74"/>
      <c r="AJ284" s="74"/>
      <c r="AK284" s="74"/>
      <c r="AL284" s="74"/>
      <c r="AM284" s="74"/>
      <c r="AN284" s="74"/>
      <c r="AO284" s="74"/>
      <c r="AP284" s="74"/>
      <c r="AQ284" s="74"/>
      <c r="AR284" s="74"/>
      <c r="AS284" s="565"/>
      <c r="AT284" s="556"/>
    </row>
    <row r="285" spans="1:46" hidden="1" x14ac:dyDescent="0.45">
      <c r="A285" s="556"/>
      <c r="B285" s="556"/>
      <c r="C285" s="556"/>
      <c r="D285" s="556"/>
      <c r="E285" s="556"/>
      <c r="F285" s="564"/>
      <c r="G285" s="564"/>
      <c r="H285" s="564"/>
      <c r="I285" s="564"/>
      <c r="J285" s="564"/>
      <c r="K285" s="564"/>
      <c r="L285" s="564"/>
      <c r="M285" s="564"/>
      <c r="N285" s="564"/>
      <c r="O285" s="564"/>
      <c r="P285" s="564"/>
      <c r="Q285" s="564"/>
      <c r="R285" s="564"/>
      <c r="S285" s="564"/>
      <c r="T285" s="564"/>
      <c r="U285" s="564"/>
      <c r="V285" s="564"/>
      <c r="W285" s="564"/>
      <c r="X285" s="564"/>
      <c r="Y285" s="564"/>
      <c r="Z285" s="564"/>
      <c r="AA285" s="564"/>
      <c r="AB285" s="556"/>
      <c r="AC285" s="556"/>
      <c r="AD285" s="74"/>
      <c r="AE285" s="74"/>
      <c r="AF285" s="74"/>
      <c r="AG285" s="74"/>
      <c r="AH285" s="74"/>
      <c r="AI285" s="74"/>
      <c r="AJ285" s="74"/>
      <c r="AK285" s="74"/>
      <c r="AL285" s="74"/>
      <c r="AM285" s="74"/>
      <c r="AN285" s="74"/>
      <c r="AO285" s="74"/>
      <c r="AP285" s="74"/>
      <c r="AQ285" s="74"/>
      <c r="AR285" s="74"/>
      <c r="AS285" s="565"/>
      <c r="AT285" s="556"/>
    </row>
    <row r="286" spans="1:46" hidden="1" x14ac:dyDescent="0.45">
      <c r="A286" s="556"/>
      <c r="B286" s="556"/>
      <c r="C286" s="556"/>
      <c r="D286" s="556"/>
      <c r="E286" s="556"/>
      <c r="F286" s="564"/>
      <c r="G286" s="564"/>
      <c r="H286" s="564"/>
      <c r="I286" s="564"/>
      <c r="J286" s="564"/>
      <c r="K286" s="564"/>
      <c r="L286" s="564"/>
      <c r="M286" s="564"/>
      <c r="N286" s="564"/>
      <c r="O286" s="564"/>
      <c r="P286" s="564"/>
      <c r="Q286" s="564"/>
      <c r="R286" s="564"/>
      <c r="S286" s="564"/>
      <c r="T286" s="564"/>
      <c r="U286" s="564"/>
      <c r="V286" s="564"/>
      <c r="W286" s="564"/>
      <c r="X286" s="564"/>
      <c r="Y286" s="564"/>
      <c r="Z286" s="564"/>
      <c r="AA286" s="564"/>
      <c r="AB286" s="556"/>
      <c r="AC286" s="556"/>
      <c r="AD286" s="74"/>
      <c r="AE286" s="74"/>
      <c r="AF286" s="74"/>
      <c r="AG286" s="74"/>
      <c r="AH286" s="74"/>
      <c r="AI286" s="74"/>
      <c r="AJ286" s="74"/>
      <c r="AK286" s="74"/>
      <c r="AL286" s="74"/>
      <c r="AM286" s="74"/>
      <c r="AN286" s="74"/>
      <c r="AO286" s="74"/>
      <c r="AP286" s="74"/>
      <c r="AQ286" s="74"/>
      <c r="AR286" s="74"/>
      <c r="AS286" s="565"/>
      <c r="AT286" s="556"/>
    </row>
    <row r="287" spans="1:46" hidden="1" x14ac:dyDescent="0.45">
      <c r="A287" s="556"/>
      <c r="B287" s="556"/>
      <c r="C287" s="556"/>
      <c r="D287" s="556"/>
      <c r="E287" s="556"/>
      <c r="F287" s="564"/>
      <c r="G287" s="564"/>
      <c r="H287" s="564"/>
      <c r="I287" s="564"/>
      <c r="J287" s="564"/>
      <c r="K287" s="564"/>
      <c r="L287" s="564"/>
      <c r="M287" s="564"/>
      <c r="N287" s="564"/>
      <c r="O287" s="564"/>
      <c r="P287" s="564"/>
      <c r="Q287" s="564"/>
      <c r="R287" s="564"/>
      <c r="S287" s="564"/>
      <c r="T287" s="564"/>
      <c r="U287" s="564"/>
      <c r="V287" s="564"/>
      <c r="W287" s="564"/>
      <c r="X287" s="564"/>
      <c r="Y287" s="564"/>
      <c r="Z287" s="564"/>
      <c r="AA287" s="564"/>
      <c r="AB287" s="556"/>
      <c r="AC287" s="556"/>
      <c r="AD287" s="74"/>
      <c r="AE287" s="74"/>
      <c r="AF287" s="74"/>
      <c r="AG287" s="74"/>
      <c r="AH287" s="74"/>
      <c r="AI287" s="74"/>
      <c r="AJ287" s="74"/>
      <c r="AK287" s="74"/>
      <c r="AL287" s="74"/>
      <c r="AM287" s="74"/>
      <c r="AN287" s="74"/>
      <c r="AO287" s="74"/>
      <c r="AP287" s="74"/>
      <c r="AQ287" s="74"/>
      <c r="AR287" s="74"/>
      <c r="AS287" s="565"/>
      <c r="AT287" s="556"/>
    </row>
    <row r="288" spans="1:46" hidden="1" x14ac:dyDescent="0.45">
      <c r="A288" s="556"/>
      <c r="B288" s="556"/>
      <c r="C288" s="556"/>
      <c r="D288" s="556"/>
      <c r="E288" s="556"/>
      <c r="F288" s="564"/>
      <c r="G288" s="564"/>
      <c r="H288" s="564"/>
      <c r="I288" s="564"/>
      <c r="J288" s="564"/>
      <c r="K288" s="564"/>
      <c r="L288" s="564"/>
      <c r="M288" s="564"/>
      <c r="N288" s="564"/>
      <c r="O288" s="564"/>
      <c r="P288" s="564"/>
      <c r="Q288" s="564"/>
      <c r="R288" s="564"/>
      <c r="S288" s="564"/>
      <c r="T288" s="564"/>
      <c r="U288" s="564"/>
      <c r="V288" s="564"/>
      <c r="W288" s="564"/>
      <c r="X288" s="564"/>
      <c r="Y288" s="564"/>
      <c r="Z288" s="564"/>
      <c r="AA288" s="564"/>
      <c r="AB288" s="556"/>
      <c r="AC288" s="556"/>
      <c r="AD288" s="74"/>
      <c r="AE288" s="74"/>
      <c r="AF288" s="74"/>
      <c r="AG288" s="74"/>
      <c r="AH288" s="74"/>
      <c r="AI288" s="74"/>
      <c r="AJ288" s="74"/>
      <c r="AK288" s="74"/>
      <c r="AL288" s="74"/>
      <c r="AM288" s="74"/>
      <c r="AN288" s="74"/>
      <c r="AO288" s="74"/>
      <c r="AP288" s="74"/>
      <c r="AQ288" s="74"/>
      <c r="AR288" s="74"/>
      <c r="AS288" s="565"/>
      <c r="AT288" s="556"/>
    </row>
    <row r="289" spans="1:46" hidden="1" x14ac:dyDescent="0.45">
      <c r="A289" s="556"/>
      <c r="B289" s="556"/>
      <c r="C289" s="556"/>
      <c r="D289" s="556"/>
      <c r="E289" s="556"/>
      <c r="F289" s="564"/>
      <c r="G289" s="564"/>
      <c r="H289" s="564"/>
      <c r="I289" s="564"/>
      <c r="J289" s="564"/>
      <c r="K289" s="564"/>
      <c r="L289" s="564"/>
      <c r="M289" s="564"/>
      <c r="N289" s="564"/>
      <c r="O289" s="564"/>
      <c r="P289" s="564"/>
      <c r="Q289" s="564"/>
      <c r="R289" s="564"/>
      <c r="S289" s="564"/>
      <c r="T289" s="564"/>
      <c r="U289" s="564"/>
      <c r="V289" s="564"/>
      <c r="W289" s="564"/>
      <c r="X289" s="564"/>
      <c r="Y289" s="564"/>
      <c r="Z289" s="564"/>
      <c r="AA289" s="564"/>
      <c r="AB289" s="556"/>
      <c r="AC289" s="556"/>
      <c r="AD289" s="74"/>
      <c r="AE289" s="74"/>
      <c r="AF289" s="74"/>
      <c r="AG289" s="74"/>
      <c r="AH289" s="74"/>
      <c r="AI289" s="74"/>
      <c r="AJ289" s="74"/>
      <c r="AK289" s="74"/>
      <c r="AL289" s="74"/>
      <c r="AM289" s="74"/>
      <c r="AN289" s="74"/>
      <c r="AO289" s="74"/>
      <c r="AP289" s="74"/>
      <c r="AQ289" s="74"/>
      <c r="AR289" s="74"/>
      <c r="AS289" s="565"/>
      <c r="AT289" s="556"/>
    </row>
    <row r="290" spans="1:46" hidden="1" x14ac:dyDescent="0.45">
      <c r="A290" s="556"/>
      <c r="B290" s="556"/>
      <c r="C290" s="556"/>
      <c r="D290" s="556"/>
      <c r="E290" s="556"/>
      <c r="F290" s="564"/>
      <c r="G290" s="564"/>
      <c r="H290" s="564"/>
      <c r="I290" s="564"/>
      <c r="J290" s="564"/>
      <c r="K290" s="564"/>
      <c r="L290" s="564"/>
      <c r="M290" s="564"/>
      <c r="N290" s="564"/>
      <c r="O290" s="564"/>
      <c r="P290" s="564"/>
      <c r="Q290" s="564"/>
      <c r="R290" s="564"/>
      <c r="S290" s="564"/>
      <c r="T290" s="564"/>
      <c r="U290" s="564"/>
      <c r="V290" s="564"/>
      <c r="W290" s="564"/>
      <c r="X290" s="564"/>
      <c r="Y290" s="564"/>
      <c r="Z290" s="564"/>
      <c r="AA290" s="564"/>
      <c r="AB290" s="556"/>
      <c r="AC290" s="556"/>
      <c r="AD290" s="74"/>
      <c r="AE290" s="74"/>
      <c r="AF290" s="74"/>
      <c r="AG290" s="74"/>
      <c r="AH290" s="74"/>
      <c r="AI290" s="74"/>
      <c r="AJ290" s="74"/>
      <c r="AK290" s="74"/>
      <c r="AL290" s="74"/>
      <c r="AM290" s="74"/>
      <c r="AN290" s="74"/>
      <c r="AO290" s="74"/>
      <c r="AP290" s="74"/>
      <c r="AQ290" s="74"/>
      <c r="AR290" s="74"/>
      <c r="AS290" s="565"/>
      <c r="AT290" s="556"/>
    </row>
    <row r="291" spans="1:46" hidden="1" x14ac:dyDescent="0.45">
      <c r="A291" s="556"/>
      <c r="B291" s="556"/>
      <c r="C291" s="556"/>
      <c r="D291" s="556"/>
      <c r="E291" s="556"/>
      <c r="F291" s="564"/>
      <c r="G291" s="564"/>
      <c r="H291" s="564"/>
      <c r="I291" s="564"/>
      <c r="J291" s="564"/>
      <c r="K291" s="564"/>
      <c r="L291" s="564"/>
      <c r="M291" s="564"/>
      <c r="N291" s="564"/>
      <c r="O291" s="564"/>
      <c r="P291" s="564"/>
      <c r="Q291" s="564"/>
      <c r="R291" s="564"/>
      <c r="S291" s="564"/>
      <c r="T291" s="564"/>
      <c r="U291" s="564"/>
      <c r="V291" s="564"/>
      <c r="W291" s="564"/>
      <c r="X291" s="564"/>
      <c r="Y291" s="564"/>
      <c r="Z291" s="564"/>
      <c r="AA291" s="564"/>
      <c r="AB291" s="556"/>
      <c r="AC291" s="556"/>
      <c r="AD291" s="74"/>
      <c r="AE291" s="74"/>
      <c r="AF291" s="74"/>
      <c r="AG291" s="74"/>
      <c r="AH291" s="74"/>
      <c r="AI291" s="74"/>
      <c r="AJ291" s="74"/>
      <c r="AK291" s="74"/>
      <c r="AL291" s="74"/>
      <c r="AM291" s="74"/>
      <c r="AN291" s="74"/>
      <c r="AO291" s="74"/>
      <c r="AP291" s="74"/>
      <c r="AQ291" s="74"/>
      <c r="AR291" s="74"/>
      <c r="AS291" s="565"/>
      <c r="AT291" s="556"/>
    </row>
    <row r="292" spans="1:46" hidden="1" x14ac:dyDescent="0.45">
      <c r="A292" s="556"/>
      <c r="B292" s="556"/>
      <c r="C292" s="556"/>
      <c r="D292" s="556"/>
      <c r="E292" s="556"/>
      <c r="F292" s="564"/>
      <c r="G292" s="564"/>
      <c r="H292" s="564"/>
      <c r="I292" s="564"/>
      <c r="J292" s="564"/>
      <c r="K292" s="564"/>
      <c r="L292" s="564"/>
      <c r="M292" s="564"/>
      <c r="N292" s="564"/>
      <c r="O292" s="564"/>
      <c r="P292" s="564"/>
      <c r="Q292" s="564"/>
      <c r="R292" s="564"/>
      <c r="S292" s="564"/>
      <c r="T292" s="564"/>
      <c r="U292" s="564"/>
      <c r="V292" s="564"/>
      <c r="W292" s="564"/>
      <c r="X292" s="564"/>
      <c r="Y292" s="564"/>
      <c r="Z292" s="564"/>
      <c r="AA292" s="564"/>
      <c r="AB292" s="556"/>
      <c r="AC292" s="556"/>
      <c r="AD292" s="74"/>
      <c r="AE292" s="74"/>
      <c r="AF292" s="74"/>
      <c r="AG292" s="74"/>
      <c r="AH292" s="74"/>
      <c r="AI292" s="74"/>
      <c r="AJ292" s="74"/>
      <c r="AK292" s="74"/>
      <c r="AL292" s="74"/>
      <c r="AM292" s="74"/>
      <c r="AN292" s="74"/>
      <c r="AO292" s="74"/>
      <c r="AP292" s="74"/>
      <c r="AQ292" s="74"/>
      <c r="AR292" s="74"/>
      <c r="AS292" s="565"/>
      <c r="AT292" s="556"/>
    </row>
    <row r="293" spans="1:46" hidden="1" x14ac:dyDescent="0.45">
      <c r="A293" s="556"/>
      <c r="B293" s="556"/>
      <c r="C293" s="556"/>
      <c r="D293" s="556"/>
      <c r="E293" s="556"/>
      <c r="F293" s="564"/>
      <c r="G293" s="564"/>
      <c r="H293" s="564"/>
      <c r="I293" s="564"/>
      <c r="J293" s="564"/>
      <c r="K293" s="564"/>
      <c r="L293" s="564"/>
      <c r="M293" s="564"/>
      <c r="N293" s="564"/>
      <c r="O293" s="564"/>
      <c r="P293" s="564"/>
      <c r="Q293" s="564"/>
      <c r="R293" s="564"/>
      <c r="S293" s="564"/>
      <c r="T293" s="564"/>
      <c r="U293" s="564"/>
      <c r="V293" s="564"/>
      <c r="W293" s="564"/>
      <c r="X293" s="564"/>
      <c r="Y293" s="564"/>
      <c r="Z293" s="564"/>
      <c r="AA293" s="564"/>
      <c r="AB293" s="556"/>
      <c r="AC293" s="556"/>
      <c r="AD293" s="74"/>
      <c r="AE293" s="74"/>
      <c r="AF293" s="74"/>
      <c r="AG293" s="74"/>
      <c r="AH293" s="74"/>
      <c r="AI293" s="74"/>
      <c r="AJ293" s="74"/>
      <c r="AK293" s="74"/>
      <c r="AL293" s="74"/>
      <c r="AM293" s="74"/>
      <c r="AN293" s="74"/>
      <c r="AO293" s="74"/>
      <c r="AP293" s="74"/>
      <c r="AQ293" s="74"/>
      <c r="AR293" s="74"/>
      <c r="AS293" s="565"/>
      <c r="AT293" s="556"/>
    </row>
    <row r="294" spans="1:46" hidden="1" x14ac:dyDescent="0.45">
      <c r="A294" s="556"/>
      <c r="B294" s="556"/>
      <c r="C294" s="556"/>
      <c r="D294" s="556"/>
      <c r="E294" s="556"/>
      <c r="F294" s="564"/>
      <c r="G294" s="564"/>
      <c r="H294" s="564"/>
      <c r="I294" s="564"/>
      <c r="J294" s="564"/>
      <c r="K294" s="564"/>
      <c r="L294" s="564"/>
      <c r="M294" s="564"/>
      <c r="N294" s="564"/>
      <c r="O294" s="564"/>
      <c r="P294" s="564"/>
      <c r="Q294" s="564"/>
      <c r="R294" s="564"/>
      <c r="S294" s="564"/>
      <c r="T294" s="564"/>
      <c r="U294" s="564"/>
      <c r="V294" s="564"/>
      <c r="W294" s="564"/>
      <c r="X294" s="564"/>
      <c r="Y294" s="564"/>
      <c r="Z294" s="564"/>
      <c r="AA294" s="564"/>
      <c r="AB294" s="556"/>
      <c r="AC294" s="556"/>
      <c r="AD294" s="74"/>
      <c r="AE294" s="74"/>
      <c r="AF294" s="74"/>
      <c r="AG294" s="74"/>
      <c r="AH294" s="74"/>
      <c r="AI294" s="74"/>
      <c r="AJ294" s="74"/>
      <c r="AK294" s="74"/>
      <c r="AL294" s="74"/>
      <c r="AM294" s="74"/>
      <c r="AN294" s="74"/>
      <c r="AO294" s="74"/>
      <c r="AP294" s="74"/>
      <c r="AQ294" s="74"/>
      <c r="AR294" s="74"/>
      <c r="AS294" s="565"/>
      <c r="AT294" s="556"/>
    </row>
    <row r="295" spans="1:46" hidden="1" x14ac:dyDescent="0.45">
      <c r="A295" s="556"/>
      <c r="B295" s="556"/>
      <c r="C295" s="556"/>
      <c r="D295" s="556"/>
      <c r="E295" s="556"/>
      <c r="F295" s="564"/>
      <c r="G295" s="564"/>
      <c r="H295" s="564"/>
      <c r="I295" s="564"/>
      <c r="J295" s="564"/>
      <c r="K295" s="564"/>
      <c r="L295" s="564"/>
      <c r="M295" s="564"/>
      <c r="N295" s="564"/>
      <c r="O295" s="564"/>
      <c r="P295" s="564"/>
      <c r="Q295" s="564"/>
      <c r="R295" s="564"/>
      <c r="S295" s="564"/>
      <c r="T295" s="564"/>
      <c r="U295" s="564"/>
      <c r="V295" s="564"/>
      <c r="W295" s="564"/>
      <c r="X295" s="564"/>
      <c r="Y295" s="564"/>
      <c r="Z295" s="564"/>
      <c r="AA295" s="564"/>
      <c r="AB295" s="556"/>
      <c r="AC295" s="556"/>
      <c r="AD295" s="74"/>
      <c r="AE295" s="74"/>
      <c r="AF295" s="74"/>
      <c r="AG295" s="74"/>
      <c r="AH295" s="74"/>
      <c r="AI295" s="74"/>
      <c r="AJ295" s="74"/>
      <c r="AK295" s="74"/>
      <c r="AL295" s="74"/>
      <c r="AM295" s="74"/>
      <c r="AN295" s="74"/>
      <c r="AO295" s="74"/>
      <c r="AP295" s="74"/>
      <c r="AQ295" s="74"/>
      <c r="AR295" s="74"/>
      <c r="AS295" s="565"/>
      <c r="AT295" s="556"/>
    </row>
    <row r="296" spans="1:46" hidden="1" x14ac:dyDescent="0.45">
      <c r="A296" s="556"/>
      <c r="B296" s="556"/>
      <c r="C296" s="556"/>
      <c r="D296" s="556"/>
      <c r="E296" s="556"/>
      <c r="F296" s="564"/>
      <c r="G296" s="564"/>
      <c r="H296" s="564"/>
      <c r="I296" s="564"/>
      <c r="J296" s="564"/>
      <c r="K296" s="564"/>
      <c r="L296" s="564"/>
      <c r="M296" s="564"/>
      <c r="N296" s="564"/>
      <c r="O296" s="564"/>
      <c r="P296" s="564"/>
      <c r="Q296" s="564"/>
      <c r="R296" s="564"/>
      <c r="S296" s="564"/>
      <c r="T296" s="564"/>
      <c r="U296" s="564"/>
      <c r="V296" s="564"/>
      <c r="W296" s="564"/>
      <c r="X296" s="564"/>
      <c r="Y296" s="564"/>
      <c r="Z296" s="564"/>
      <c r="AA296" s="564"/>
      <c r="AB296" s="556"/>
      <c r="AC296" s="556"/>
      <c r="AD296" s="74"/>
      <c r="AE296" s="74"/>
      <c r="AF296" s="74"/>
      <c r="AG296" s="74"/>
      <c r="AH296" s="74"/>
      <c r="AI296" s="74"/>
      <c r="AJ296" s="74"/>
      <c r="AK296" s="74"/>
      <c r="AL296" s="74"/>
      <c r="AM296" s="74"/>
      <c r="AN296" s="74"/>
      <c r="AO296" s="74"/>
      <c r="AP296" s="74"/>
      <c r="AQ296" s="74"/>
      <c r="AR296" s="74"/>
      <c r="AS296" s="565"/>
      <c r="AT296" s="556"/>
    </row>
    <row r="297" spans="1:46" hidden="1" x14ac:dyDescent="0.45">
      <c r="A297" s="556"/>
      <c r="B297" s="556"/>
      <c r="C297" s="556"/>
      <c r="D297" s="556"/>
      <c r="E297" s="556"/>
      <c r="F297" s="564"/>
      <c r="G297" s="564"/>
      <c r="H297" s="564"/>
      <c r="I297" s="564"/>
      <c r="J297" s="564"/>
      <c r="K297" s="564"/>
      <c r="L297" s="564"/>
      <c r="M297" s="564"/>
      <c r="N297" s="564"/>
      <c r="O297" s="564"/>
      <c r="P297" s="564"/>
      <c r="Q297" s="564"/>
      <c r="R297" s="564"/>
      <c r="S297" s="564"/>
      <c r="T297" s="564"/>
      <c r="U297" s="564"/>
      <c r="V297" s="564"/>
      <c r="W297" s="564"/>
      <c r="X297" s="564"/>
      <c r="Y297" s="564"/>
      <c r="Z297" s="564"/>
      <c r="AA297" s="564"/>
      <c r="AB297" s="556"/>
      <c r="AC297" s="556"/>
      <c r="AD297" s="74"/>
      <c r="AE297" s="74"/>
      <c r="AF297" s="74"/>
      <c r="AG297" s="74"/>
      <c r="AH297" s="74"/>
      <c r="AI297" s="74"/>
      <c r="AJ297" s="74"/>
      <c r="AK297" s="74"/>
      <c r="AL297" s="74"/>
      <c r="AM297" s="74"/>
      <c r="AN297" s="74"/>
      <c r="AO297" s="74"/>
      <c r="AP297" s="74"/>
      <c r="AQ297" s="74"/>
      <c r="AR297" s="74"/>
      <c r="AS297" s="565"/>
      <c r="AT297" s="556"/>
    </row>
    <row r="298" spans="1:46" hidden="1" x14ac:dyDescent="0.45">
      <c r="A298" s="556"/>
      <c r="B298" s="556"/>
      <c r="C298" s="556"/>
      <c r="D298" s="556"/>
      <c r="E298" s="556"/>
      <c r="F298" s="564"/>
      <c r="G298" s="564"/>
      <c r="H298" s="564"/>
      <c r="I298" s="564"/>
      <c r="J298" s="564"/>
      <c r="K298" s="564"/>
      <c r="L298" s="564"/>
      <c r="M298" s="564"/>
      <c r="N298" s="564"/>
      <c r="O298" s="564"/>
      <c r="P298" s="564"/>
      <c r="Q298" s="564"/>
      <c r="R298" s="564"/>
      <c r="S298" s="564"/>
      <c r="T298" s="564"/>
      <c r="U298" s="564"/>
      <c r="V298" s="564"/>
      <c r="W298" s="564"/>
      <c r="X298" s="564"/>
      <c r="Y298" s="564"/>
      <c r="Z298" s="564"/>
      <c r="AA298" s="564"/>
      <c r="AB298" s="556"/>
      <c r="AC298" s="556"/>
      <c r="AD298" s="74"/>
      <c r="AE298" s="74"/>
      <c r="AF298" s="74"/>
      <c r="AG298" s="74"/>
      <c r="AH298" s="74"/>
      <c r="AI298" s="74"/>
      <c r="AJ298" s="74"/>
      <c r="AK298" s="74"/>
      <c r="AL298" s="74"/>
      <c r="AM298" s="74"/>
      <c r="AN298" s="74"/>
      <c r="AO298" s="74"/>
      <c r="AP298" s="74"/>
      <c r="AQ298" s="74"/>
      <c r="AR298" s="74"/>
      <c r="AS298" s="565"/>
      <c r="AT298" s="556"/>
    </row>
    <row r="299" spans="1:46" hidden="1" x14ac:dyDescent="0.45">
      <c r="A299" s="556"/>
      <c r="B299" s="556"/>
      <c r="C299" s="556"/>
      <c r="D299" s="556"/>
      <c r="E299" s="556"/>
      <c r="F299" s="564"/>
      <c r="G299" s="564"/>
      <c r="H299" s="564"/>
      <c r="I299" s="564"/>
      <c r="J299" s="564"/>
      <c r="K299" s="564"/>
      <c r="L299" s="564"/>
      <c r="M299" s="564"/>
      <c r="N299" s="564"/>
      <c r="O299" s="564"/>
      <c r="P299" s="564"/>
      <c r="Q299" s="564"/>
      <c r="R299" s="564"/>
      <c r="S299" s="564"/>
      <c r="T299" s="564"/>
      <c r="U299" s="564"/>
      <c r="V299" s="564"/>
      <c r="W299" s="564"/>
      <c r="X299" s="564"/>
      <c r="Y299" s="564"/>
      <c r="Z299" s="564"/>
      <c r="AA299" s="564"/>
      <c r="AB299" s="556"/>
      <c r="AC299" s="556"/>
      <c r="AD299" s="74"/>
      <c r="AE299" s="74"/>
      <c r="AF299" s="74"/>
      <c r="AG299" s="74"/>
      <c r="AH299" s="74"/>
      <c r="AI299" s="74"/>
      <c r="AJ299" s="74"/>
      <c r="AK299" s="74"/>
      <c r="AL299" s="74"/>
      <c r="AM299" s="74"/>
      <c r="AN299" s="74"/>
      <c r="AO299" s="74"/>
      <c r="AP299" s="74"/>
      <c r="AQ299" s="74"/>
      <c r="AR299" s="74"/>
      <c r="AS299" s="565"/>
      <c r="AT299" s="556"/>
    </row>
    <row r="300" spans="1:46" hidden="1" x14ac:dyDescent="0.45">
      <c r="A300" s="556"/>
      <c r="B300" s="556"/>
      <c r="C300" s="556"/>
      <c r="D300" s="556"/>
      <c r="E300" s="556"/>
      <c r="F300" s="564"/>
      <c r="G300" s="564"/>
      <c r="H300" s="564"/>
      <c r="I300" s="564"/>
      <c r="J300" s="564"/>
      <c r="K300" s="564"/>
      <c r="L300" s="564"/>
      <c r="M300" s="564"/>
      <c r="N300" s="564"/>
      <c r="O300" s="564"/>
      <c r="P300" s="564"/>
      <c r="Q300" s="564"/>
      <c r="R300" s="564"/>
      <c r="S300" s="564"/>
      <c r="T300" s="564"/>
      <c r="U300" s="564"/>
      <c r="V300" s="564"/>
      <c r="W300" s="564"/>
      <c r="X300" s="564"/>
      <c r="Y300" s="564"/>
      <c r="Z300" s="564"/>
      <c r="AA300" s="564"/>
      <c r="AB300" s="556"/>
      <c r="AC300" s="556"/>
      <c r="AD300" s="74"/>
      <c r="AE300" s="74"/>
      <c r="AF300" s="74"/>
      <c r="AG300" s="74"/>
      <c r="AH300" s="74"/>
      <c r="AI300" s="74"/>
      <c r="AJ300" s="74"/>
      <c r="AK300" s="74"/>
      <c r="AL300" s="74"/>
      <c r="AM300" s="74"/>
      <c r="AN300" s="74"/>
      <c r="AO300" s="74"/>
      <c r="AP300" s="74"/>
      <c r="AQ300" s="74"/>
      <c r="AR300" s="74"/>
      <c r="AS300" s="565"/>
      <c r="AT300" s="556"/>
    </row>
    <row r="301" spans="1:46" hidden="1" x14ac:dyDescent="0.45">
      <c r="A301" s="556"/>
      <c r="B301" s="556"/>
      <c r="C301" s="556"/>
      <c r="D301" s="556"/>
      <c r="E301" s="556"/>
      <c r="F301" s="564"/>
      <c r="G301" s="564"/>
      <c r="H301" s="564"/>
      <c r="I301" s="564"/>
      <c r="J301" s="564"/>
      <c r="K301" s="564"/>
      <c r="L301" s="564"/>
      <c r="M301" s="564"/>
      <c r="N301" s="564"/>
      <c r="O301" s="564"/>
      <c r="P301" s="564"/>
      <c r="Q301" s="564"/>
      <c r="R301" s="564"/>
      <c r="S301" s="564"/>
      <c r="T301" s="564"/>
      <c r="U301" s="564"/>
      <c r="V301" s="564"/>
      <c r="W301" s="564"/>
      <c r="X301" s="564"/>
      <c r="Y301" s="564"/>
      <c r="Z301" s="564"/>
      <c r="AA301" s="564"/>
      <c r="AB301" s="556"/>
      <c r="AC301" s="556"/>
      <c r="AD301" s="74"/>
      <c r="AE301" s="74"/>
      <c r="AF301" s="74"/>
      <c r="AG301" s="74"/>
      <c r="AH301" s="74"/>
      <c r="AI301" s="74"/>
      <c r="AJ301" s="74"/>
      <c r="AK301" s="74"/>
      <c r="AL301" s="74"/>
      <c r="AM301" s="74"/>
      <c r="AN301" s="74"/>
      <c r="AO301" s="74"/>
      <c r="AP301" s="74"/>
      <c r="AQ301" s="74"/>
      <c r="AR301" s="74"/>
      <c r="AS301" s="565"/>
      <c r="AT301" s="556"/>
    </row>
    <row r="302" spans="1:46" hidden="1" x14ac:dyDescent="0.45">
      <c r="A302" s="556"/>
      <c r="B302" s="556"/>
      <c r="C302" s="556"/>
      <c r="D302" s="556"/>
      <c r="E302" s="556"/>
      <c r="F302" s="564"/>
      <c r="G302" s="564"/>
      <c r="H302" s="564"/>
      <c r="I302" s="564"/>
      <c r="J302" s="564"/>
      <c r="K302" s="564"/>
      <c r="L302" s="564"/>
      <c r="M302" s="564"/>
      <c r="N302" s="564"/>
      <c r="O302" s="564"/>
      <c r="P302" s="564"/>
      <c r="Q302" s="564"/>
      <c r="R302" s="564"/>
      <c r="S302" s="564"/>
      <c r="T302" s="564"/>
      <c r="U302" s="564"/>
      <c r="V302" s="564"/>
      <c r="W302" s="564"/>
      <c r="X302" s="564"/>
      <c r="Y302" s="564"/>
      <c r="Z302" s="564"/>
      <c r="AA302" s="564"/>
      <c r="AB302" s="556"/>
      <c r="AC302" s="556"/>
      <c r="AD302" s="74"/>
      <c r="AE302" s="74"/>
      <c r="AF302" s="74"/>
      <c r="AG302" s="74"/>
      <c r="AH302" s="74"/>
      <c r="AI302" s="74"/>
      <c r="AJ302" s="74"/>
      <c r="AK302" s="74"/>
      <c r="AL302" s="74"/>
      <c r="AM302" s="74"/>
      <c r="AN302" s="74"/>
      <c r="AO302" s="74"/>
      <c r="AP302" s="74"/>
      <c r="AQ302" s="74"/>
      <c r="AR302" s="74"/>
      <c r="AS302" s="565"/>
      <c r="AT302" s="556"/>
    </row>
    <row r="303" spans="1:46" hidden="1" x14ac:dyDescent="0.45">
      <c r="A303" s="556"/>
      <c r="B303" s="556"/>
      <c r="C303" s="556"/>
      <c r="D303" s="556"/>
      <c r="E303" s="556"/>
      <c r="F303" s="564"/>
      <c r="G303" s="564"/>
      <c r="H303" s="564"/>
      <c r="I303" s="564"/>
      <c r="J303" s="564"/>
      <c r="K303" s="564"/>
      <c r="L303" s="564"/>
      <c r="M303" s="564"/>
      <c r="N303" s="564"/>
      <c r="O303" s="564"/>
      <c r="P303" s="564"/>
      <c r="Q303" s="564"/>
      <c r="R303" s="564"/>
      <c r="S303" s="564"/>
      <c r="T303" s="564"/>
      <c r="U303" s="564"/>
      <c r="V303" s="564"/>
      <c r="W303" s="564"/>
      <c r="X303" s="564"/>
      <c r="Y303" s="564"/>
      <c r="Z303" s="564"/>
      <c r="AA303" s="564"/>
      <c r="AB303" s="556"/>
      <c r="AC303" s="556"/>
      <c r="AD303" s="74"/>
      <c r="AE303" s="74"/>
      <c r="AF303" s="74"/>
      <c r="AG303" s="74"/>
      <c r="AH303" s="74"/>
      <c r="AI303" s="74"/>
      <c r="AJ303" s="74"/>
      <c r="AK303" s="74"/>
      <c r="AL303" s="74"/>
      <c r="AM303" s="74"/>
      <c r="AN303" s="74"/>
      <c r="AO303" s="74"/>
      <c r="AP303" s="74"/>
      <c r="AQ303" s="74"/>
      <c r="AR303" s="74"/>
      <c r="AS303" s="565"/>
      <c r="AT303" s="556"/>
    </row>
    <row r="304" spans="1:46" hidden="1" x14ac:dyDescent="0.45">
      <c r="A304" s="556"/>
      <c r="B304" s="556"/>
      <c r="C304" s="556"/>
      <c r="D304" s="556"/>
      <c r="E304" s="556"/>
      <c r="F304" s="564"/>
      <c r="G304" s="564"/>
      <c r="H304" s="564"/>
      <c r="I304" s="564"/>
      <c r="J304" s="564"/>
      <c r="K304" s="564"/>
      <c r="L304" s="564"/>
      <c r="M304" s="564"/>
      <c r="N304" s="564"/>
      <c r="O304" s="564"/>
      <c r="P304" s="564"/>
      <c r="Q304" s="564"/>
      <c r="R304" s="564"/>
      <c r="S304" s="564"/>
      <c r="T304" s="564"/>
      <c r="U304" s="564"/>
      <c r="V304" s="564"/>
      <c r="W304" s="564"/>
      <c r="X304" s="564"/>
      <c r="Y304" s="564"/>
      <c r="Z304" s="564"/>
      <c r="AA304" s="564"/>
      <c r="AB304" s="556"/>
      <c r="AC304" s="556"/>
      <c r="AD304" s="74"/>
      <c r="AE304" s="74"/>
      <c r="AF304" s="74"/>
      <c r="AG304" s="74"/>
      <c r="AH304" s="74"/>
      <c r="AI304" s="74"/>
      <c r="AJ304" s="74"/>
      <c r="AK304" s="74"/>
      <c r="AL304" s="74"/>
      <c r="AM304" s="74"/>
      <c r="AN304" s="74"/>
      <c r="AO304" s="74"/>
      <c r="AP304" s="74"/>
      <c r="AQ304" s="74"/>
      <c r="AR304" s="74"/>
      <c r="AS304" s="565"/>
      <c r="AT304" s="556"/>
    </row>
    <row r="305" spans="1:46" hidden="1" x14ac:dyDescent="0.45">
      <c r="A305" s="556"/>
      <c r="B305" s="556"/>
      <c r="C305" s="556"/>
      <c r="D305" s="556"/>
      <c r="E305" s="556"/>
      <c r="F305" s="564"/>
      <c r="G305" s="564"/>
      <c r="H305" s="564"/>
      <c r="I305" s="564"/>
      <c r="J305" s="564"/>
      <c r="K305" s="564"/>
      <c r="L305" s="564"/>
      <c r="M305" s="564"/>
      <c r="N305" s="564"/>
      <c r="O305" s="564"/>
      <c r="P305" s="564"/>
      <c r="Q305" s="564"/>
      <c r="R305" s="564"/>
      <c r="S305" s="564"/>
      <c r="T305" s="564"/>
      <c r="U305" s="564"/>
      <c r="V305" s="564"/>
      <c r="W305" s="564"/>
      <c r="X305" s="564"/>
      <c r="Y305" s="564"/>
      <c r="Z305" s="564"/>
      <c r="AA305" s="564"/>
      <c r="AB305" s="556"/>
      <c r="AC305" s="556"/>
      <c r="AD305" s="74"/>
      <c r="AE305" s="74"/>
      <c r="AF305" s="74"/>
      <c r="AG305" s="74"/>
      <c r="AH305" s="74"/>
      <c r="AI305" s="74"/>
      <c r="AJ305" s="74"/>
      <c r="AK305" s="74"/>
      <c r="AL305" s="74"/>
      <c r="AM305" s="74"/>
      <c r="AN305" s="74"/>
      <c r="AO305" s="74"/>
      <c r="AP305" s="74"/>
      <c r="AQ305" s="74"/>
      <c r="AR305" s="74"/>
      <c r="AS305" s="565"/>
      <c r="AT305" s="556"/>
    </row>
    <row r="306" spans="1:46" hidden="1" x14ac:dyDescent="0.45">
      <c r="A306" s="556"/>
      <c r="B306" s="556"/>
      <c r="C306" s="556"/>
      <c r="D306" s="556"/>
      <c r="E306" s="556"/>
      <c r="F306" s="564"/>
      <c r="G306" s="564"/>
      <c r="H306" s="564"/>
      <c r="I306" s="564"/>
      <c r="J306" s="564"/>
      <c r="K306" s="564"/>
      <c r="L306" s="564"/>
      <c r="M306" s="564"/>
      <c r="N306" s="564"/>
      <c r="O306" s="564"/>
      <c r="P306" s="564"/>
      <c r="Q306" s="564"/>
      <c r="R306" s="564"/>
      <c r="S306" s="564"/>
      <c r="T306" s="564"/>
      <c r="U306" s="564"/>
      <c r="V306" s="564"/>
      <c r="W306" s="564"/>
      <c r="X306" s="564"/>
      <c r="Y306" s="564"/>
      <c r="Z306" s="564"/>
      <c r="AA306" s="564"/>
      <c r="AB306" s="556"/>
      <c r="AC306" s="556"/>
      <c r="AD306" s="74"/>
      <c r="AE306" s="74"/>
      <c r="AF306" s="74"/>
      <c r="AG306" s="74"/>
      <c r="AH306" s="74"/>
      <c r="AI306" s="74"/>
      <c r="AJ306" s="74"/>
      <c r="AK306" s="74"/>
      <c r="AL306" s="74"/>
      <c r="AM306" s="74"/>
      <c r="AN306" s="74"/>
      <c r="AO306" s="74"/>
      <c r="AP306" s="74"/>
      <c r="AQ306" s="74"/>
      <c r="AR306" s="74"/>
      <c r="AS306" s="565"/>
      <c r="AT306" s="556"/>
    </row>
    <row r="307" spans="1:46" hidden="1" x14ac:dyDescent="0.45">
      <c r="A307" s="556"/>
      <c r="B307" s="556"/>
      <c r="C307" s="556"/>
      <c r="D307" s="556"/>
      <c r="E307" s="556"/>
      <c r="F307" s="564"/>
      <c r="G307" s="564"/>
      <c r="H307" s="564"/>
      <c r="I307" s="564"/>
      <c r="J307" s="564"/>
      <c r="K307" s="564"/>
      <c r="L307" s="564"/>
      <c r="M307" s="564"/>
      <c r="N307" s="564"/>
      <c r="O307" s="564"/>
      <c r="P307" s="564"/>
      <c r="Q307" s="564"/>
      <c r="R307" s="564"/>
      <c r="S307" s="564"/>
      <c r="T307" s="564"/>
      <c r="U307" s="564"/>
      <c r="V307" s="564"/>
      <c r="W307" s="564"/>
      <c r="X307" s="564"/>
      <c r="Y307" s="564"/>
      <c r="Z307" s="564"/>
      <c r="AA307" s="564"/>
      <c r="AB307" s="556"/>
      <c r="AC307" s="556"/>
      <c r="AD307" s="74"/>
      <c r="AE307" s="74"/>
      <c r="AF307" s="74"/>
      <c r="AG307" s="74"/>
      <c r="AH307" s="74"/>
      <c r="AI307" s="74"/>
      <c r="AJ307" s="74"/>
      <c r="AK307" s="74"/>
      <c r="AL307" s="74"/>
      <c r="AM307" s="74"/>
      <c r="AN307" s="74"/>
      <c r="AO307" s="74"/>
      <c r="AP307" s="74"/>
      <c r="AQ307" s="74"/>
      <c r="AR307" s="74"/>
      <c r="AS307" s="565"/>
      <c r="AT307" s="556"/>
    </row>
    <row r="308" spans="1:46" hidden="1" x14ac:dyDescent="0.45">
      <c r="A308" s="556"/>
      <c r="B308" s="556"/>
      <c r="C308" s="556"/>
      <c r="D308" s="556"/>
      <c r="E308" s="556"/>
      <c r="F308" s="564"/>
      <c r="G308" s="564"/>
      <c r="H308" s="564"/>
      <c r="I308" s="564"/>
      <c r="J308" s="564"/>
      <c r="K308" s="564"/>
      <c r="L308" s="564"/>
      <c r="M308" s="564"/>
      <c r="N308" s="564"/>
      <c r="O308" s="564"/>
      <c r="P308" s="564"/>
      <c r="Q308" s="564"/>
      <c r="R308" s="564"/>
      <c r="S308" s="564"/>
      <c r="T308" s="564"/>
      <c r="U308" s="564"/>
      <c r="V308" s="564"/>
      <c r="W308" s="564"/>
      <c r="X308" s="564"/>
      <c r="Y308" s="564"/>
      <c r="Z308" s="564"/>
      <c r="AA308" s="564"/>
      <c r="AB308" s="556"/>
      <c r="AC308" s="556"/>
      <c r="AD308" s="74"/>
      <c r="AE308" s="74"/>
      <c r="AF308" s="74"/>
      <c r="AG308" s="74"/>
      <c r="AH308" s="74"/>
      <c r="AI308" s="74"/>
      <c r="AJ308" s="74"/>
      <c r="AK308" s="74"/>
      <c r="AL308" s="74"/>
      <c r="AM308" s="74"/>
      <c r="AN308" s="74"/>
      <c r="AO308" s="74"/>
      <c r="AP308" s="74"/>
      <c r="AQ308" s="74"/>
      <c r="AR308" s="74"/>
      <c r="AS308" s="565"/>
      <c r="AT308" s="556"/>
    </row>
    <row r="309" spans="1:46" hidden="1" x14ac:dyDescent="0.45">
      <c r="A309" s="556"/>
      <c r="B309" s="556"/>
      <c r="C309" s="556"/>
      <c r="D309" s="556"/>
      <c r="E309" s="556"/>
      <c r="F309" s="564"/>
      <c r="G309" s="564"/>
      <c r="H309" s="564"/>
      <c r="I309" s="564"/>
      <c r="J309" s="564"/>
      <c r="K309" s="564"/>
      <c r="L309" s="564"/>
      <c r="M309" s="564"/>
      <c r="N309" s="564"/>
      <c r="O309" s="564"/>
      <c r="P309" s="564"/>
      <c r="Q309" s="564"/>
      <c r="R309" s="564"/>
      <c r="S309" s="564"/>
      <c r="T309" s="564"/>
      <c r="U309" s="564"/>
      <c r="V309" s="564"/>
      <c r="W309" s="564"/>
      <c r="X309" s="564"/>
      <c r="Y309" s="564"/>
      <c r="Z309" s="564"/>
      <c r="AA309" s="564"/>
      <c r="AB309" s="556"/>
      <c r="AC309" s="556"/>
      <c r="AD309" s="74"/>
      <c r="AE309" s="74"/>
      <c r="AF309" s="74"/>
      <c r="AG309" s="74"/>
      <c r="AH309" s="74"/>
      <c r="AI309" s="74"/>
      <c r="AJ309" s="74"/>
      <c r="AK309" s="74"/>
      <c r="AL309" s="74"/>
      <c r="AM309" s="74"/>
      <c r="AN309" s="74"/>
      <c r="AO309" s="74"/>
      <c r="AP309" s="74"/>
      <c r="AQ309" s="74"/>
      <c r="AR309" s="74"/>
      <c r="AS309" s="565"/>
      <c r="AT309" s="556"/>
    </row>
    <row r="310" spans="1:46" hidden="1" x14ac:dyDescent="0.45">
      <c r="A310" s="556"/>
      <c r="B310" s="556"/>
      <c r="C310" s="556"/>
      <c r="D310" s="556"/>
      <c r="E310" s="556"/>
      <c r="F310" s="564"/>
      <c r="G310" s="564"/>
      <c r="H310" s="564"/>
      <c r="I310" s="564"/>
      <c r="J310" s="564"/>
      <c r="K310" s="564"/>
      <c r="L310" s="564"/>
      <c r="M310" s="564"/>
      <c r="N310" s="564"/>
      <c r="O310" s="564"/>
      <c r="P310" s="564"/>
      <c r="Q310" s="564"/>
      <c r="R310" s="564"/>
      <c r="S310" s="564"/>
      <c r="T310" s="564"/>
      <c r="U310" s="564"/>
      <c r="V310" s="564"/>
      <c r="W310" s="564"/>
      <c r="X310" s="564"/>
      <c r="Y310" s="564"/>
      <c r="Z310" s="564"/>
      <c r="AA310" s="564"/>
      <c r="AB310" s="556"/>
      <c r="AC310" s="556"/>
      <c r="AD310" s="74"/>
      <c r="AE310" s="74"/>
      <c r="AF310" s="74"/>
      <c r="AG310" s="74"/>
      <c r="AH310" s="74"/>
      <c r="AI310" s="74"/>
      <c r="AJ310" s="74"/>
      <c r="AK310" s="74"/>
      <c r="AL310" s="74"/>
      <c r="AM310" s="74"/>
      <c r="AN310" s="74"/>
      <c r="AO310" s="74"/>
      <c r="AP310" s="74"/>
      <c r="AQ310" s="74"/>
      <c r="AR310" s="74"/>
      <c r="AS310" s="565"/>
      <c r="AT310" s="556"/>
    </row>
    <row r="311" spans="1:46" hidden="1" x14ac:dyDescent="0.45">
      <c r="A311" s="556"/>
      <c r="B311" s="556"/>
      <c r="C311" s="556"/>
      <c r="D311" s="556"/>
      <c r="E311" s="556"/>
      <c r="F311" s="564"/>
      <c r="G311" s="564"/>
      <c r="H311" s="564"/>
      <c r="I311" s="564"/>
      <c r="J311" s="564"/>
      <c r="K311" s="564"/>
      <c r="L311" s="564"/>
      <c r="M311" s="564"/>
      <c r="N311" s="564"/>
      <c r="O311" s="564"/>
      <c r="P311" s="564"/>
      <c r="Q311" s="564"/>
      <c r="R311" s="564"/>
      <c r="S311" s="564"/>
      <c r="T311" s="564"/>
      <c r="U311" s="564"/>
      <c r="V311" s="564"/>
      <c r="W311" s="564"/>
      <c r="X311" s="564"/>
      <c r="Y311" s="564"/>
      <c r="Z311" s="564"/>
      <c r="AA311" s="564"/>
      <c r="AB311" s="556"/>
      <c r="AC311" s="556"/>
      <c r="AD311" s="74"/>
      <c r="AE311" s="74"/>
      <c r="AF311" s="74"/>
      <c r="AG311" s="74"/>
      <c r="AH311" s="74"/>
      <c r="AI311" s="74"/>
      <c r="AJ311" s="74"/>
      <c r="AK311" s="74"/>
      <c r="AL311" s="74"/>
      <c r="AM311" s="74"/>
      <c r="AN311" s="74"/>
      <c r="AO311" s="74"/>
      <c r="AP311" s="74"/>
      <c r="AQ311" s="74"/>
      <c r="AR311" s="74"/>
      <c r="AS311" s="565"/>
      <c r="AT311" s="556"/>
    </row>
    <row r="312" spans="1:46" hidden="1" x14ac:dyDescent="0.45">
      <c r="A312" s="556"/>
      <c r="B312" s="556"/>
      <c r="C312" s="556"/>
      <c r="D312" s="556"/>
      <c r="E312" s="556"/>
      <c r="F312" s="564"/>
      <c r="G312" s="564"/>
      <c r="H312" s="564"/>
      <c r="I312" s="564"/>
      <c r="J312" s="564"/>
      <c r="K312" s="564"/>
      <c r="L312" s="564"/>
      <c r="M312" s="564"/>
      <c r="N312" s="564"/>
      <c r="O312" s="564"/>
      <c r="P312" s="564"/>
      <c r="Q312" s="564"/>
      <c r="R312" s="564"/>
      <c r="S312" s="564"/>
      <c r="T312" s="564"/>
      <c r="U312" s="564"/>
      <c r="V312" s="564"/>
      <c r="W312" s="564"/>
      <c r="X312" s="564"/>
      <c r="Y312" s="564"/>
      <c r="Z312" s="564"/>
      <c r="AA312" s="564"/>
      <c r="AB312" s="556"/>
      <c r="AC312" s="556"/>
      <c r="AD312" s="74"/>
      <c r="AE312" s="74"/>
      <c r="AF312" s="74"/>
      <c r="AG312" s="74"/>
      <c r="AH312" s="74"/>
      <c r="AI312" s="74"/>
      <c r="AJ312" s="74"/>
      <c r="AK312" s="74"/>
      <c r="AL312" s="74"/>
      <c r="AM312" s="74"/>
      <c r="AN312" s="74"/>
      <c r="AO312" s="74"/>
      <c r="AP312" s="74"/>
      <c r="AQ312" s="74"/>
      <c r="AR312" s="74"/>
      <c r="AS312" s="565"/>
      <c r="AT312" s="556"/>
    </row>
    <row r="313" spans="1:46" hidden="1" x14ac:dyDescent="0.45">
      <c r="A313" s="556"/>
      <c r="B313" s="556"/>
      <c r="C313" s="556"/>
      <c r="D313" s="556"/>
      <c r="E313" s="556"/>
      <c r="F313" s="564"/>
      <c r="G313" s="564"/>
      <c r="H313" s="564"/>
      <c r="I313" s="564"/>
      <c r="J313" s="564"/>
      <c r="K313" s="564"/>
      <c r="L313" s="564"/>
      <c r="M313" s="564"/>
      <c r="N313" s="564"/>
      <c r="O313" s="564"/>
      <c r="P313" s="564"/>
      <c r="Q313" s="564"/>
      <c r="R313" s="564"/>
      <c r="S313" s="564"/>
      <c r="T313" s="564"/>
      <c r="U313" s="564"/>
      <c r="V313" s="564"/>
      <c r="W313" s="564"/>
      <c r="X313" s="564"/>
      <c r="Y313" s="564"/>
      <c r="Z313" s="564"/>
      <c r="AA313" s="564"/>
      <c r="AB313" s="556"/>
      <c r="AC313" s="556"/>
      <c r="AD313" s="74"/>
      <c r="AE313" s="74"/>
      <c r="AF313" s="74"/>
      <c r="AG313" s="74"/>
      <c r="AH313" s="74"/>
      <c r="AI313" s="74"/>
      <c r="AJ313" s="74"/>
      <c r="AK313" s="74"/>
      <c r="AL313" s="74"/>
      <c r="AM313" s="74"/>
      <c r="AN313" s="74"/>
      <c r="AO313" s="74"/>
      <c r="AP313" s="74"/>
      <c r="AQ313" s="74"/>
      <c r="AR313" s="74"/>
      <c r="AS313" s="565"/>
      <c r="AT313" s="556"/>
    </row>
    <row r="314" spans="1:46" hidden="1" x14ac:dyDescent="0.45">
      <c r="A314" s="556"/>
      <c r="B314" s="556"/>
      <c r="C314" s="556"/>
      <c r="D314" s="556"/>
      <c r="E314" s="556"/>
      <c r="F314" s="564"/>
      <c r="G314" s="564"/>
      <c r="H314" s="564"/>
      <c r="I314" s="564"/>
      <c r="J314" s="564"/>
      <c r="K314" s="564"/>
      <c r="L314" s="564"/>
      <c r="M314" s="564"/>
      <c r="N314" s="564"/>
      <c r="O314" s="564"/>
      <c r="P314" s="564"/>
      <c r="Q314" s="564"/>
      <c r="R314" s="564"/>
      <c r="S314" s="564"/>
      <c r="T314" s="564"/>
      <c r="U314" s="564"/>
      <c r="V314" s="564"/>
      <c r="W314" s="564"/>
      <c r="X314" s="564"/>
      <c r="Y314" s="564"/>
      <c r="Z314" s="564"/>
      <c r="AA314" s="564"/>
      <c r="AB314" s="556"/>
      <c r="AC314" s="556"/>
      <c r="AD314" s="74"/>
      <c r="AE314" s="74"/>
      <c r="AF314" s="74"/>
      <c r="AG314" s="74"/>
      <c r="AH314" s="74"/>
      <c r="AI314" s="74"/>
      <c r="AJ314" s="74"/>
      <c r="AK314" s="74"/>
      <c r="AL314" s="74"/>
      <c r="AM314" s="74"/>
      <c r="AN314" s="74"/>
      <c r="AO314" s="74"/>
      <c r="AP314" s="74"/>
      <c r="AQ314" s="74"/>
      <c r="AR314" s="74"/>
      <c r="AS314" s="565"/>
      <c r="AT314" s="556"/>
    </row>
    <row r="315" spans="1:46" hidden="1" x14ac:dyDescent="0.45">
      <c r="A315" s="556"/>
      <c r="B315" s="556"/>
      <c r="C315" s="556"/>
      <c r="D315" s="556"/>
      <c r="E315" s="556"/>
      <c r="F315" s="564"/>
      <c r="G315" s="564"/>
      <c r="H315" s="564"/>
      <c r="I315" s="564"/>
      <c r="J315" s="564"/>
      <c r="K315" s="564"/>
      <c r="L315" s="564"/>
      <c r="M315" s="564"/>
      <c r="N315" s="564"/>
      <c r="O315" s="564"/>
      <c r="P315" s="564"/>
      <c r="Q315" s="564"/>
      <c r="R315" s="564"/>
      <c r="S315" s="564"/>
      <c r="T315" s="564"/>
      <c r="U315" s="564"/>
      <c r="V315" s="564"/>
      <c r="W315" s="564"/>
      <c r="X315" s="564"/>
      <c r="Y315" s="564"/>
      <c r="Z315" s="564"/>
      <c r="AA315" s="564"/>
      <c r="AB315" s="556"/>
      <c r="AC315" s="556"/>
      <c r="AD315" s="74"/>
      <c r="AE315" s="74"/>
      <c r="AF315" s="74"/>
      <c r="AG315" s="74"/>
      <c r="AH315" s="74"/>
      <c r="AI315" s="74"/>
      <c r="AJ315" s="74"/>
      <c r="AK315" s="74"/>
      <c r="AL315" s="74"/>
      <c r="AM315" s="74"/>
      <c r="AN315" s="74"/>
      <c r="AO315" s="74"/>
      <c r="AP315" s="74"/>
      <c r="AQ315" s="74"/>
      <c r="AR315" s="74"/>
      <c r="AS315" s="565"/>
      <c r="AT315" s="556"/>
    </row>
    <row r="316" spans="1:46" hidden="1" x14ac:dyDescent="0.45">
      <c r="A316" s="556"/>
      <c r="B316" s="556"/>
      <c r="C316" s="556"/>
      <c r="D316" s="556"/>
      <c r="E316" s="556"/>
      <c r="F316" s="564"/>
      <c r="G316" s="564"/>
      <c r="H316" s="564"/>
      <c r="I316" s="564"/>
      <c r="J316" s="564"/>
      <c r="K316" s="564"/>
      <c r="L316" s="564"/>
      <c r="M316" s="564"/>
      <c r="N316" s="564"/>
      <c r="O316" s="564"/>
      <c r="P316" s="564"/>
      <c r="Q316" s="564"/>
      <c r="R316" s="564"/>
      <c r="S316" s="564"/>
      <c r="T316" s="564"/>
      <c r="U316" s="564"/>
      <c r="V316" s="564"/>
      <c r="W316" s="564"/>
      <c r="X316" s="564"/>
      <c r="Y316" s="564"/>
      <c r="Z316" s="564"/>
      <c r="AA316" s="564"/>
      <c r="AB316" s="556"/>
      <c r="AC316" s="556"/>
      <c r="AD316" s="74"/>
      <c r="AE316" s="74"/>
      <c r="AF316" s="74"/>
      <c r="AG316" s="74"/>
      <c r="AH316" s="74"/>
      <c r="AI316" s="74"/>
      <c r="AJ316" s="74"/>
      <c r="AK316" s="74"/>
      <c r="AL316" s="74"/>
      <c r="AM316" s="74"/>
      <c r="AN316" s="74"/>
      <c r="AO316" s="74"/>
      <c r="AP316" s="74"/>
      <c r="AQ316" s="74"/>
      <c r="AR316" s="74"/>
      <c r="AS316" s="565"/>
      <c r="AT316" s="556"/>
    </row>
    <row r="317" spans="1:46" hidden="1" x14ac:dyDescent="0.45">
      <c r="A317" s="556"/>
      <c r="B317" s="556"/>
      <c r="C317" s="556"/>
      <c r="D317" s="556"/>
      <c r="E317" s="556"/>
      <c r="F317" s="564"/>
      <c r="G317" s="564"/>
      <c r="H317" s="564"/>
      <c r="I317" s="564"/>
      <c r="J317" s="564"/>
      <c r="K317" s="564"/>
      <c r="L317" s="564"/>
      <c r="M317" s="564"/>
      <c r="N317" s="564"/>
      <c r="O317" s="564"/>
      <c r="P317" s="564"/>
      <c r="Q317" s="564"/>
      <c r="R317" s="564"/>
      <c r="S317" s="564"/>
      <c r="T317" s="564"/>
      <c r="U317" s="564"/>
      <c r="V317" s="564"/>
      <c r="W317" s="564"/>
      <c r="X317" s="564"/>
      <c r="Y317" s="564"/>
      <c r="Z317" s="564"/>
      <c r="AA317" s="564"/>
      <c r="AB317" s="556"/>
      <c r="AC317" s="556"/>
      <c r="AD317" s="74"/>
      <c r="AE317" s="74"/>
      <c r="AF317" s="74"/>
      <c r="AG317" s="74"/>
      <c r="AH317" s="74"/>
      <c r="AI317" s="74"/>
      <c r="AJ317" s="74"/>
      <c r="AK317" s="74"/>
      <c r="AL317" s="74"/>
      <c r="AM317" s="74"/>
      <c r="AN317" s="74"/>
      <c r="AO317" s="74"/>
      <c r="AP317" s="74"/>
      <c r="AQ317" s="74"/>
      <c r="AR317" s="74"/>
      <c r="AS317" s="565"/>
      <c r="AT317" s="556"/>
    </row>
    <row r="318" spans="1:46" hidden="1" x14ac:dyDescent="0.45">
      <c r="A318" s="556"/>
      <c r="B318" s="556"/>
      <c r="C318" s="556"/>
      <c r="D318" s="556"/>
      <c r="E318" s="556"/>
      <c r="F318" s="564"/>
      <c r="G318" s="564"/>
      <c r="H318" s="564"/>
      <c r="I318" s="564"/>
      <c r="J318" s="564"/>
      <c r="K318" s="564"/>
      <c r="L318" s="564"/>
      <c r="M318" s="564"/>
      <c r="N318" s="564"/>
      <c r="O318" s="564"/>
      <c r="P318" s="564"/>
      <c r="Q318" s="564"/>
      <c r="R318" s="564"/>
      <c r="S318" s="564"/>
      <c r="T318" s="564"/>
      <c r="U318" s="564"/>
      <c r="V318" s="564"/>
      <c r="W318" s="564"/>
      <c r="X318" s="564"/>
      <c r="Y318" s="564"/>
      <c r="Z318" s="564"/>
      <c r="AA318" s="564"/>
      <c r="AB318" s="556"/>
      <c r="AC318" s="556"/>
      <c r="AD318" s="74"/>
      <c r="AE318" s="74"/>
      <c r="AF318" s="74"/>
      <c r="AG318" s="74"/>
      <c r="AH318" s="74"/>
      <c r="AI318" s="74"/>
      <c r="AJ318" s="74"/>
      <c r="AK318" s="74"/>
      <c r="AL318" s="74"/>
      <c r="AM318" s="74"/>
      <c r="AN318" s="74"/>
      <c r="AO318" s="74"/>
      <c r="AP318" s="74"/>
      <c r="AQ318" s="74"/>
      <c r="AR318" s="74"/>
      <c r="AS318" s="565"/>
      <c r="AT318" s="556"/>
    </row>
    <row r="319" spans="1:46" hidden="1" x14ac:dyDescent="0.45">
      <c r="A319" s="556"/>
      <c r="B319" s="556"/>
      <c r="C319" s="556"/>
      <c r="D319" s="556"/>
      <c r="E319" s="556"/>
      <c r="F319" s="564"/>
      <c r="G319" s="564"/>
      <c r="H319" s="564"/>
      <c r="I319" s="564"/>
      <c r="J319" s="564"/>
      <c r="K319" s="564"/>
      <c r="L319" s="564"/>
      <c r="M319" s="564"/>
      <c r="N319" s="564"/>
      <c r="O319" s="564"/>
      <c r="P319" s="564"/>
      <c r="Q319" s="564"/>
      <c r="R319" s="564"/>
      <c r="S319" s="564"/>
      <c r="T319" s="564"/>
      <c r="U319" s="564"/>
      <c r="V319" s="564"/>
      <c r="W319" s="564"/>
      <c r="X319" s="564"/>
      <c r="Y319" s="564"/>
      <c r="Z319" s="564"/>
      <c r="AA319" s="564"/>
      <c r="AB319" s="556"/>
      <c r="AC319" s="556"/>
      <c r="AD319" s="74"/>
      <c r="AE319" s="74"/>
      <c r="AF319" s="74"/>
      <c r="AG319" s="74"/>
      <c r="AH319" s="74"/>
      <c r="AI319" s="74"/>
      <c r="AJ319" s="74"/>
      <c r="AK319" s="74"/>
      <c r="AL319" s="74"/>
      <c r="AM319" s="74"/>
      <c r="AN319" s="74"/>
      <c r="AO319" s="74"/>
      <c r="AP319" s="74"/>
      <c r="AQ319" s="74"/>
      <c r="AR319" s="74"/>
      <c r="AS319" s="565"/>
      <c r="AT319" s="556"/>
    </row>
    <row r="320" spans="1:46" hidden="1" x14ac:dyDescent="0.45">
      <c r="A320" s="556"/>
      <c r="B320" s="556"/>
      <c r="C320" s="556"/>
      <c r="D320" s="556"/>
      <c r="E320" s="556"/>
      <c r="F320" s="564"/>
      <c r="G320" s="564"/>
      <c r="H320" s="564"/>
      <c r="I320" s="564"/>
      <c r="J320" s="564"/>
      <c r="K320" s="564"/>
      <c r="L320" s="564"/>
      <c r="M320" s="564"/>
      <c r="N320" s="564"/>
      <c r="O320" s="564"/>
      <c r="P320" s="564"/>
      <c r="Q320" s="564"/>
      <c r="R320" s="564"/>
      <c r="S320" s="564"/>
      <c r="T320" s="564"/>
      <c r="U320" s="564"/>
      <c r="V320" s="564"/>
      <c r="W320" s="564"/>
      <c r="X320" s="564"/>
      <c r="Y320" s="564"/>
      <c r="Z320" s="564"/>
      <c r="AA320" s="564"/>
      <c r="AB320" s="556"/>
      <c r="AC320" s="556"/>
      <c r="AD320" s="74"/>
      <c r="AE320" s="74"/>
      <c r="AF320" s="74"/>
      <c r="AG320" s="74"/>
      <c r="AH320" s="74"/>
      <c r="AI320" s="74"/>
      <c r="AJ320" s="74"/>
      <c r="AK320" s="74"/>
      <c r="AL320" s="74"/>
      <c r="AM320" s="74"/>
      <c r="AN320" s="74"/>
      <c r="AO320" s="74"/>
      <c r="AP320" s="74"/>
      <c r="AQ320" s="74"/>
      <c r="AR320" s="74"/>
      <c r="AS320" s="565"/>
      <c r="AT320" s="556"/>
    </row>
    <row r="321" spans="1:46" hidden="1" x14ac:dyDescent="0.45">
      <c r="A321" s="556"/>
      <c r="B321" s="556"/>
      <c r="C321" s="556"/>
      <c r="D321" s="556"/>
      <c r="E321" s="556"/>
      <c r="F321" s="564"/>
      <c r="G321" s="564"/>
      <c r="H321" s="564"/>
      <c r="I321" s="564"/>
      <c r="J321" s="564"/>
      <c r="K321" s="564"/>
      <c r="L321" s="564"/>
      <c r="M321" s="564"/>
      <c r="N321" s="564"/>
      <c r="O321" s="564"/>
      <c r="P321" s="564"/>
      <c r="Q321" s="564"/>
      <c r="R321" s="564"/>
      <c r="S321" s="564"/>
      <c r="T321" s="564"/>
      <c r="U321" s="564"/>
      <c r="V321" s="564"/>
      <c r="W321" s="564"/>
      <c r="X321" s="564"/>
      <c r="Y321" s="564"/>
      <c r="Z321" s="564"/>
      <c r="AA321" s="564"/>
      <c r="AB321" s="556"/>
      <c r="AC321" s="556"/>
      <c r="AD321" s="74"/>
      <c r="AE321" s="74"/>
      <c r="AF321" s="74"/>
      <c r="AG321" s="74"/>
      <c r="AH321" s="74"/>
      <c r="AI321" s="74"/>
      <c r="AJ321" s="74"/>
      <c r="AK321" s="74"/>
      <c r="AL321" s="74"/>
      <c r="AM321" s="74"/>
      <c r="AN321" s="74"/>
      <c r="AO321" s="74"/>
      <c r="AP321" s="74"/>
      <c r="AQ321" s="74"/>
      <c r="AR321" s="74"/>
      <c r="AS321" s="565"/>
      <c r="AT321" s="556"/>
    </row>
    <row r="322" spans="1:46" hidden="1" x14ac:dyDescent="0.45">
      <c r="A322" s="556"/>
      <c r="B322" s="556"/>
      <c r="C322" s="556"/>
      <c r="D322" s="556"/>
      <c r="E322" s="556"/>
      <c r="F322" s="564"/>
      <c r="G322" s="564"/>
      <c r="H322" s="564"/>
      <c r="I322" s="564"/>
      <c r="J322" s="564"/>
      <c r="K322" s="564"/>
      <c r="L322" s="564"/>
      <c r="M322" s="564"/>
      <c r="N322" s="564"/>
      <c r="O322" s="564"/>
      <c r="P322" s="564"/>
      <c r="Q322" s="564"/>
      <c r="R322" s="564"/>
      <c r="S322" s="564"/>
      <c r="T322" s="564"/>
      <c r="U322" s="564"/>
      <c r="V322" s="564"/>
      <c r="W322" s="564"/>
      <c r="X322" s="564"/>
      <c r="Y322" s="564"/>
      <c r="Z322" s="564"/>
      <c r="AA322" s="564"/>
      <c r="AB322" s="556"/>
      <c r="AC322" s="556"/>
      <c r="AD322" s="74"/>
      <c r="AE322" s="74"/>
      <c r="AF322" s="74"/>
      <c r="AG322" s="74"/>
      <c r="AH322" s="74"/>
      <c r="AI322" s="74"/>
      <c r="AJ322" s="74"/>
      <c r="AK322" s="74"/>
      <c r="AL322" s="74"/>
      <c r="AM322" s="74"/>
      <c r="AN322" s="74"/>
      <c r="AO322" s="74"/>
      <c r="AP322" s="74"/>
      <c r="AQ322" s="74"/>
      <c r="AR322" s="74"/>
      <c r="AS322" s="565"/>
      <c r="AT322" s="556"/>
    </row>
    <row r="323" spans="1:46" hidden="1" x14ac:dyDescent="0.45">
      <c r="A323" s="556"/>
      <c r="B323" s="556"/>
      <c r="C323" s="556"/>
      <c r="D323" s="556"/>
      <c r="E323" s="556"/>
      <c r="F323" s="564"/>
      <c r="G323" s="564"/>
      <c r="H323" s="564"/>
      <c r="I323" s="564"/>
      <c r="J323" s="564"/>
      <c r="K323" s="564"/>
      <c r="L323" s="564"/>
      <c r="M323" s="564"/>
      <c r="N323" s="564"/>
      <c r="O323" s="564"/>
      <c r="P323" s="564"/>
      <c r="Q323" s="564"/>
      <c r="R323" s="564"/>
      <c r="S323" s="564"/>
      <c r="T323" s="564"/>
      <c r="U323" s="564"/>
      <c r="V323" s="564"/>
      <c r="W323" s="564"/>
      <c r="X323" s="564"/>
      <c r="Y323" s="564"/>
      <c r="Z323" s="564"/>
      <c r="AA323" s="564"/>
      <c r="AB323" s="556"/>
      <c r="AC323" s="556"/>
      <c r="AD323" s="74"/>
      <c r="AE323" s="74"/>
      <c r="AF323" s="74"/>
      <c r="AG323" s="74"/>
      <c r="AH323" s="74"/>
      <c r="AI323" s="74"/>
      <c r="AJ323" s="74"/>
      <c r="AK323" s="74"/>
      <c r="AL323" s="74"/>
      <c r="AM323" s="74"/>
      <c r="AN323" s="74"/>
      <c r="AO323" s="74"/>
      <c r="AP323" s="74"/>
      <c r="AQ323" s="74"/>
      <c r="AR323" s="74"/>
      <c r="AS323" s="565"/>
      <c r="AT323" s="556"/>
    </row>
    <row r="324" spans="1:46" hidden="1" x14ac:dyDescent="0.45">
      <c r="A324" s="556"/>
      <c r="B324" s="556"/>
      <c r="C324" s="556"/>
      <c r="D324" s="556"/>
      <c r="E324" s="556"/>
      <c r="F324" s="564"/>
      <c r="G324" s="564"/>
      <c r="H324" s="564"/>
      <c r="I324" s="564"/>
      <c r="J324" s="564"/>
      <c r="K324" s="564"/>
      <c r="L324" s="564"/>
      <c r="M324" s="564"/>
      <c r="N324" s="564"/>
      <c r="O324" s="564"/>
      <c r="P324" s="564"/>
      <c r="Q324" s="564"/>
      <c r="R324" s="564"/>
      <c r="S324" s="564"/>
      <c r="T324" s="564"/>
      <c r="U324" s="564"/>
      <c r="V324" s="564"/>
      <c r="W324" s="564"/>
      <c r="X324" s="564"/>
      <c r="Y324" s="564"/>
      <c r="Z324" s="564"/>
      <c r="AA324" s="564"/>
      <c r="AB324" s="556"/>
      <c r="AC324" s="556"/>
      <c r="AD324" s="74"/>
      <c r="AE324" s="74"/>
      <c r="AF324" s="74"/>
      <c r="AG324" s="74"/>
      <c r="AH324" s="74"/>
      <c r="AI324" s="74"/>
      <c r="AJ324" s="74"/>
      <c r="AK324" s="74"/>
      <c r="AL324" s="74"/>
      <c r="AM324" s="74"/>
      <c r="AN324" s="74"/>
      <c r="AO324" s="74"/>
      <c r="AP324" s="74"/>
      <c r="AQ324" s="74"/>
      <c r="AR324" s="74"/>
      <c r="AS324" s="565"/>
      <c r="AT324" s="556"/>
    </row>
    <row r="325" spans="1:46" hidden="1" x14ac:dyDescent="0.45">
      <c r="A325" s="556"/>
      <c r="B325" s="556"/>
      <c r="C325" s="556"/>
      <c r="D325" s="556"/>
      <c r="E325" s="556"/>
      <c r="F325" s="564"/>
      <c r="G325" s="564"/>
      <c r="H325" s="564"/>
      <c r="I325" s="564"/>
      <c r="J325" s="564"/>
      <c r="K325" s="564"/>
      <c r="L325" s="564"/>
      <c r="M325" s="564"/>
      <c r="N325" s="564"/>
      <c r="O325" s="564"/>
      <c r="P325" s="564"/>
      <c r="Q325" s="564"/>
      <c r="R325" s="564"/>
      <c r="S325" s="564"/>
      <c r="T325" s="564"/>
      <c r="U325" s="564"/>
      <c r="V325" s="564"/>
      <c r="W325" s="564"/>
      <c r="X325" s="564"/>
      <c r="Y325" s="564"/>
      <c r="Z325" s="564"/>
      <c r="AA325" s="564"/>
      <c r="AB325" s="556"/>
      <c r="AC325" s="556"/>
      <c r="AD325" s="74"/>
      <c r="AE325" s="74"/>
      <c r="AF325" s="74"/>
      <c r="AG325" s="74"/>
      <c r="AH325" s="74"/>
      <c r="AI325" s="74"/>
      <c r="AJ325" s="74"/>
      <c r="AK325" s="74"/>
      <c r="AL325" s="74"/>
      <c r="AM325" s="74"/>
      <c r="AN325" s="74"/>
      <c r="AO325" s="74"/>
      <c r="AP325" s="74"/>
      <c r="AQ325" s="74"/>
      <c r="AR325" s="74"/>
      <c r="AS325" s="565"/>
      <c r="AT325" s="556"/>
    </row>
    <row r="326" spans="1:46" hidden="1" x14ac:dyDescent="0.45">
      <c r="A326" s="556"/>
      <c r="B326" s="556"/>
      <c r="C326" s="556"/>
      <c r="D326" s="556"/>
      <c r="E326" s="556"/>
      <c r="F326" s="564"/>
      <c r="G326" s="564"/>
      <c r="H326" s="564"/>
      <c r="I326" s="564"/>
      <c r="J326" s="564"/>
      <c r="K326" s="564"/>
      <c r="L326" s="564"/>
      <c r="M326" s="564"/>
      <c r="N326" s="564"/>
      <c r="O326" s="564"/>
      <c r="P326" s="564"/>
      <c r="Q326" s="564"/>
      <c r="R326" s="564"/>
      <c r="S326" s="564"/>
      <c r="T326" s="564"/>
      <c r="U326" s="564"/>
      <c r="V326" s="564"/>
      <c r="W326" s="564"/>
      <c r="X326" s="564"/>
      <c r="Y326" s="564"/>
      <c r="Z326" s="564"/>
      <c r="AA326" s="564"/>
      <c r="AB326" s="556"/>
      <c r="AC326" s="556"/>
      <c r="AD326" s="74"/>
      <c r="AE326" s="74"/>
      <c r="AF326" s="74"/>
      <c r="AG326" s="74"/>
      <c r="AH326" s="74"/>
      <c r="AI326" s="74"/>
      <c r="AJ326" s="74"/>
      <c r="AK326" s="74"/>
      <c r="AL326" s="74"/>
      <c r="AM326" s="74"/>
      <c r="AN326" s="74"/>
      <c r="AO326" s="74"/>
      <c r="AP326" s="74"/>
      <c r="AQ326" s="74"/>
      <c r="AR326" s="74"/>
      <c r="AS326" s="565"/>
      <c r="AT326" s="556"/>
    </row>
    <row r="327" spans="1:46" hidden="1" x14ac:dyDescent="0.45">
      <c r="A327" s="556"/>
      <c r="B327" s="556"/>
      <c r="C327" s="556"/>
      <c r="D327" s="556"/>
      <c r="E327" s="556"/>
      <c r="F327" s="564"/>
      <c r="G327" s="564"/>
      <c r="H327" s="564"/>
      <c r="I327" s="564"/>
      <c r="J327" s="564"/>
      <c r="K327" s="564"/>
      <c r="L327" s="564"/>
      <c r="M327" s="564"/>
      <c r="N327" s="564"/>
      <c r="O327" s="564"/>
      <c r="P327" s="564"/>
      <c r="Q327" s="564"/>
      <c r="R327" s="564"/>
      <c r="S327" s="564"/>
      <c r="T327" s="564"/>
      <c r="U327" s="564"/>
      <c r="V327" s="564"/>
      <c r="W327" s="564"/>
      <c r="X327" s="564"/>
      <c r="Y327" s="564"/>
      <c r="Z327" s="564"/>
      <c r="AA327" s="564"/>
      <c r="AB327" s="556"/>
      <c r="AC327" s="556"/>
      <c r="AD327" s="74"/>
      <c r="AE327" s="74"/>
      <c r="AF327" s="74"/>
      <c r="AG327" s="74"/>
      <c r="AH327" s="74"/>
      <c r="AI327" s="74"/>
      <c r="AJ327" s="74"/>
      <c r="AK327" s="74"/>
      <c r="AL327" s="74"/>
      <c r="AM327" s="74"/>
      <c r="AN327" s="74"/>
      <c r="AO327" s="74"/>
      <c r="AP327" s="74"/>
      <c r="AQ327" s="74"/>
      <c r="AR327" s="74"/>
      <c r="AS327" s="565"/>
      <c r="AT327" s="556"/>
    </row>
    <row r="328" spans="1:46" hidden="1" x14ac:dyDescent="0.45">
      <c r="A328" s="556"/>
      <c r="B328" s="556"/>
      <c r="C328" s="556"/>
      <c r="D328" s="556"/>
      <c r="E328" s="556"/>
      <c r="F328" s="564"/>
      <c r="G328" s="564"/>
      <c r="H328" s="564"/>
      <c r="I328" s="564"/>
      <c r="J328" s="564"/>
      <c r="K328" s="564"/>
      <c r="L328" s="564"/>
      <c r="M328" s="564"/>
      <c r="N328" s="564"/>
      <c r="O328" s="564"/>
      <c r="P328" s="564"/>
      <c r="Q328" s="564"/>
      <c r="R328" s="564"/>
      <c r="S328" s="564"/>
      <c r="T328" s="564"/>
      <c r="U328" s="564"/>
      <c r="V328" s="564"/>
      <c r="W328" s="564"/>
      <c r="X328" s="564"/>
      <c r="Y328" s="564"/>
      <c r="Z328" s="564"/>
      <c r="AA328" s="564"/>
      <c r="AB328" s="556"/>
      <c r="AC328" s="556"/>
      <c r="AD328" s="74"/>
      <c r="AE328" s="74"/>
      <c r="AF328" s="74"/>
      <c r="AG328" s="74"/>
      <c r="AH328" s="74"/>
      <c r="AI328" s="74"/>
      <c r="AJ328" s="74"/>
      <c r="AK328" s="74"/>
      <c r="AL328" s="74"/>
      <c r="AM328" s="74"/>
      <c r="AN328" s="74"/>
      <c r="AO328" s="74"/>
      <c r="AP328" s="74"/>
      <c r="AQ328" s="74"/>
      <c r="AR328" s="74"/>
      <c r="AS328" s="565"/>
      <c r="AT328" s="556"/>
    </row>
    <row r="329" spans="1:46" hidden="1" x14ac:dyDescent="0.45">
      <c r="A329" s="556"/>
      <c r="B329" s="556"/>
      <c r="C329" s="556"/>
      <c r="D329" s="556"/>
      <c r="E329" s="556"/>
      <c r="F329" s="564"/>
      <c r="G329" s="564"/>
      <c r="H329" s="564"/>
      <c r="I329" s="564"/>
      <c r="J329" s="564"/>
      <c r="K329" s="564"/>
      <c r="L329" s="564"/>
      <c r="M329" s="564"/>
      <c r="N329" s="564"/>
      <c r="O329" s="564"/>
      <c r="P329" s="564"/>
      <c r="Q329" s="564"/>
      <c r="R329" s="564"/>
      <c r="S329" s="564"/>
      <c r="T329" s="564"/>
      <c r="U329" s="564"/>
      <c r="V329" s="564"/>
      <c r="W329" s="564"/>
      <c r="X329" s="564"/>
      <c r="Y329" s="564"/>
      <c r="Z329" s="564"/>
      <c r="AA329" s="564"/>
      <c r="AB329" s="556"/>
      <c r="AC329" s="556"/>
      <c r="AD329" s="74"/>
      <c r="AE329" s="74"/>
      <c r="AF329" s="74"/>
      <c r="AG329" s="74"/>
      <c r="AH329" s="74"/>
      <c r="AI329" s="74"/>
      <c r="AJ329" s="74"/>
      <c r="AK329" s="74"/>
      <c r="AL329" s="74"/>
      <c r="AM329" s="74"/>
      <c r="AN329" s="74"/>
      <c r="AO329" s="74"/>
      <c r="AP329" s="74"/>
      <c r="AQ329" s="74"/>
      <c r="AR329" s="74"/>
      <c r="AS329" s="565"/>
      <c r="AT329" s="556"/>
    </row>
    <row r="330" spans="1:46" hidden="1" x14ac:dyDescent="0.45">
      <c r="A330" s="556"/>
      <c r="B330" s="556"/>
      <c r="C330" s="556"/>
      <c r="D330" s="556"/>
      <c r="E330" s="556"/>
      <c r="F330" s="564"/>
      <c r="G330" s="564"/>
      <c r="H330" s="564"/>
      <c r="I330" s="564"/>
      <c r="J330" s="564"/>
      <c r="K330" s="564"/>
      <c r="L330" s="564"/>
      <c r="M330" s="564"/>
      <c r="N330" s="564"/>
      <c r="O330" s="564"/>
      <c r="P330" s="564"/>
      <c r="Q330" s="564"/>
      <c r="R330" s="564"/>
      <c r="S330" s="564"/>
      <c r="T330" s="564"/>
      <c r="U330" s="564"/>
      <c r="V330" s="564"/>
      <c r="W330" s="564"/>
      <c r="X330" s="564"/>
      <c r="Y330" s="564"/>
      <c r="Z330" s="564"/>
      <c r="AA330" s="564"/>
      <c r="AB330" s="556"/>
      <c r="AC330" s="556"/>
      <c r="AD330" s="74"/>
      <c r="AE330" s="74"/>
      <c r="AF330" s="74"/>
      <c r="AG330" s="74"/>
      <c r="AH330" s="74"/>
      <c r="AI330" s="74"/>
      <c r="AJ330" s="74"/>
      <c r="AK330" s="74"/>
      <c r="AL330" s="74"/>
      <c r="AM330" s="74"/>
      <c r="AN330" s="74"/>
      <c r="AO330" s="74"/>
      <c r="AP330" s="74"/>
      <c r="AQ330" s="74"/>
      <c r="AR330" s="74"/>
      <c r="AS330" s="565"/>
      <c r="AT330" s="556"/>
    </row>
    <row r="331" spans="1:46" hidden="1" x14ac:dyDescent="0.45">
      <c r="A331" s="556"/>
      <c r="B331" s="556"/>
      <c r="C331" s="556"/>
      <c r="D331" s="556"/>
      <c r="E331" s="556"/>
      <c r="F331" s="564"/>
      <c r="G331" s="564"/>
      <c r="H331" s="564"/>
      <c r="I331" s="564"/>
      <c r="J331" s="564"/>
      <c r="K331" s="564"/>
      <c r="L331" s="564"/>
      <c r="M331" s="564"/>
      <c r="N331" s="564"/>
      <c r="O331" s="564"/>
      <c r="P331" s="564"/>
      <c r="Q331" s="564"/>
      <c r="R331" s="564"/>
      <c r="S331" s="564"/>
      <c r="T331" s="564"/>
      <c r="U331" s="564"/>
      <c r="V331" s="564"/>
      <c r="W331" s="564"/>
      <c r="X331" s="564"/>
      <c r="Y331" s="564"/>
      <c r="Z331" s="564"/>
      <c r="AA331" s="564"/>
      <c r="AB331" s="556"/>
      <c r="AC331" s="556"/>
      <c r="AD331" s="74"/>
      <c r="AE331" s="74"/>
      <c r="AF331" s="74"/>
      <c r="AG331" s="74"/>
      <c r="AH331" s="74"/>
      <c r="AI331" s="74"/>
      <c r="AJ331" s="74"/>
      <c r="AK331" s="74"/>
      <c r="AL331" s="74"/>
      <c r="AM331" s="74"/>
      <c r="AN331" s="74"/>
      <c r="AO331" s="74"/>
      <c r="AP331" s="74"/>
      <c r="AQ331" s="74"/>
      <c r="AR331" s="74"/>
      <c r="AS331" s="565"/>
      <c r="AT331" s="556"/>
    </row>
    <row r="332" spans="1:46" hidden="1" x14ac:dyDescent="0.45">
      <c r="A332" s="556"/>
      <c r="B332" s="556"/>
      <c r="C332" s="556"/>
      <c r="D332" s="556"/>
      <c r="E332" s="556"/>
      <c r="F332" s="564"/>
      <c r="G332" s="564"/>
      <c r="H332" s="564"/>
      <c r="I332" s="564"/>
      <c r="J332" s="564"/>
      <c r="K332" s="564"/>
      <c r="L332" s="564"/>
      <c r="M332" s="564"/>
      <c r="N332" s="564"/>
      <c r="O332" s="564"/>
      <c r="P332" s="564"/>
      <c r="Q332" s="564"/>
      <c r="R332" s="564"/>
      <c r="S332" s="564"/>
      <c r="T332" s="564"/>
      <c r="U332" s="564"/>
      <c r="V332" s="564"/>
      <c r="W332" s="564"/>
      <c r="X332" s="564"/>
      <c r="Y332" s="564"/>
      <c r="Z332" s="564"/>
      <c r="AA332" s="564"/>
      <c r="AB332" s="556"/>
      <c r="AC332" s="556"/>
      <c r="AD332" s="74"/>
      <c r="AE332" s="74"/>
      <c r="AF332" s="74"/>
      <c r="AG332" s="74"/>
      <c r="AH332" s="74"/>
      <c r="AI332" s="74"/>
      <c r="AJ332" s="74"/>
      <c r="AK332" s="74"/>
      <c r="AL332" s="74"/>
      <c r="AM332" s="74"/>
      <c r="AN332" s="74"/>
      <c r="AO332" s="74"/>
      <c r="AP332" s="74"/>
      <c r="AQ332" s="74"/>
      <c r="AR332" s="74"/>
      <c r="AS332" s="565"/>
      <c r="AT332" s="556"/>
    </row>
    <row r="333" spans="1:46" hidden="1" x14ac:dyDescent="0.45">
      <c r="A333" s="556"/>
      <c r="B333" s="556"/>
      <c r="C333" s="556"/>
      <c r="D333" s="556"/>
      <c r="E333" s="556"/>
      <c r="F333" s="564"/>
      <c r="G333" s="564"/>
      <c r="H333" s="564"/>
      <c r="I333" s="564"/>
      <c r="J333" s="564"/>
      <c r="K333" s="564"/>
      <c r="L333" s="564"/>
      <c r="M333" s="564"/>
      <c r="N333" s="564"/>
      <c r="O333" s="564"/>
      <c r="P333" s="564"/>
      <c r="Q333" s="564"/>
      <c r="R333" s="564"/>
      <c r="S333" s="564"/>
      <c r="T333" s="564"/>
      <c r="U333" s="564"/>
      <c r="V333" s="564"/>
      <c r="W333" s="564"/>
      <c r="X333" s="564"/>
      <c r="Y333" s="564"/>
      <c r="Z333" s="564"/>
      <c r="AA333" s="564"/>
      <c r="AB333" s="556"/>
      <c r="AC333" s="556"/>
      <c r="AD333" s="74"/>
      <c r="AE333" s="74"/>
      <c r="AF333" s="74"/>
      <c r="AG333" s="74"/>
      <c r="AH333" s="74"/>
      <c r="AI333" s="74"/>
      <c r="AJ333" s="74"/>
      <c r="AK333" s="74"/>
      <c r="AL333" s="74"/>
      <c r="AM333" s="74"/>
      <c r="AN333" s="74"/>
      <c r="AO333" s="74"/>
      <c r="AP333" s="74"/>
      <c r="AQ333" s="74"/>
      <c r="AR333" s="74"/>
      <c r="AS333" s="565"/>
      <c r="AT333" s="556"/>
    </row>
    <row r="334" spans="1:46" hidden="1" x14ac:dyDescent="0.45">
      <c r="A334" s="556"/>
      <c r="B334" s="556"/>
      <c r="C334" s="556"/>
      <c r="D334" s="556"/>
      <c r="E334" s="556"/>
      <c r="F334" s="564"/>
      <c r="G334" s="564"/>
      <c r="H334" s="564"/>
      <c r="I334" s="564"/>
      <c r="J334" s="564"/>
      <c r="K334" s="564"/>
      <c r="L334" s="564"/>
      <c r="M334" s="564"/>
      <c r="N334" s="564"/>
      <c r="O334" s="564"/>
      <c r="P334" s="564"/>
      <c r="Q334" s="564"/>
      <c r="R334" s="564"/>
      <c r="S334" s="564"/>
      <c r="T334" s="564"/>
      <c r="U334" s="564"/>
      <c r="V334" s="564"/>
      <c r="W334" s="564"/>
      <c r="X334" s="564"/>
      <c r="Y334" s="564"/>
      <c r="Z334" s="564"/>
      <c r="AA334" s="564"/>
      <c r="AB334" s="556"/>
      <c r="AC334" s="556"/>
      <c r="AD334" s="74"/>
      <c r="AE334" s="74"/>
      <c r="AF334" s="74"/>
      <c r="AG334" s="74"/>
      <c r="AH334" s="74"/>
      <c r="AI334" s="74"/>
      <c r="AJ334" s="74"/>
      <c r="AK334" s="74"/>
      <c r="AL334" s="74"/>
      <c r="AM334" s="74"/>
      <c r="AN334" s="74"/>
      <c r="AO334" s="74"/>
      <c r="AP334" s="74"/>
      <c r="AQ334" s="74"/>
      <c r="AR334" s="74"/>
      <c r="AS334" s="565"/>
      <c r="AT334" s="556"/>
    </row>
    <row r="335" spans="1:46" hidden="1" x14ac:dyDescent="0.45">
      <c r="A335" s="556"/>
      <c r="B335" s="556"/>
      <c r="C335" s="556"/>
      <c r="D335" s="556"/>
      <c r="E335" s="556"/>
      <c r="F335" s="564"/>
      <c r="G335" s="564"/>
      <c r="H335" s="564"/>
      <c r="I335" s="564"/>
      <c r="J335" s="564"/>
      <c r="K335" s="564"/>
      <c r="L335" s="564"/>
      <c r="M335" s="564"/>
      <c r="N335" s="564"/>
      <c r="O335" s="564"/>
      <c r="P335" s="564"/>
      <c r="Q335" s="564"/>
      <c r="R335" s="564"/>
      <c r="S335" s="564"/>
      <c r="T335" s="564"/>
      <c r="U335" s="564"/>
      <c r="V335" s="564"/>
      <c r="W335" s="564"/>
      <c r="X335" s="564"/>
      <c r="Y335" s="564"/>
      <c r="Z335" s="564"/>
      <c r="AA335" s="564"/>
      <c r="AB335" s="556"/>
      <c r="AC335" s="556"/>
      <c r="AD335" s="74"/>
      <c r="AE335" s="74"/>
      <c r="AF335" s="74"/>
      <c r="AG335" s="74"/>
      <c r="AH335" s="74"/>
      <c r="AI335" s="74"/>
      <c r="AJ335" s="74"/>
      <c r="AK335" s="74"/>
      <c r="AL335" s="74"/>
      <c r="AM335" s="74"/>
      <c r="AN335" s="74"/>
      <c r="AO335" s="74"/>
      <c r="AP335" s="74"/>
      <c r="AQ335" s="74"/>
      <c r="AR335" s="74"/>
      <c r="AS335" s="565"/>
      <c r="AT335" s="556"/>
    </row>
    <row r="336" spans="1:46" hidden="1" x14ac:dyDescent="0.45">
      <c r="A336" s="556"/>
      <c r="B336" s="556"/>
      <c r="C336" s="556"/>
      <c r="D336" s="556"/>
      <c r="E336" s="556"/>
      <c r="F336" s="564"/>
      <c r="G336" s="564"/>
      <c r="H336" s="564"/>
      <c r="I336" s="564"/>
      <c r="J336" s="564"/>
      <c r="K336" s="564"/>
      <c r="L336" s="564"/>
      <c r="M336" s="564"/>
      <c r="N336" s="564"/>
      <c r="O336" s="564"/>
      <c r="P336" s="564"/>
      <c r="Q336" s="564"/>
      <c r="R336" s="564"/>
      <c r="S336" s="564"/>
      <c r="T336" s="564"/>
      <c r="U336" s="564"/>
      <c r="V336" s="564"/>
      <c r="W336" s="564"/>
      <c r="X336" s="564"/>
      <c r="Y336" s="564"/>
      <c r="Z336" s="564"/>
      <c r="AA336" s="564"/>
      <c r="AB336" s="556"/>
      <c r="AC336" s="556"/>
      <c r="AD336" s="74"/>
      <c r="AE336" s="74"/>
      <c r="AF336" s="74"/>
      <c r="AG336" s="74"/>
      <c r="AH336" s="74"/>
      <c r="AI336" s="74"/>
      <c r="AJ336" s="74"/>
      <c r="AK336" s="74"/>
      <c r="AL336" s="74"/>
      <c r="AM336" s="74"/>
      <c r="AN336" s="74"/>
      <c r="AO336" s="74"/>
      <c r="AP336" s="74"/>
      <c r="AQ336" s="74"/>
      <c r="AR336" s="74"/>
      <c r="AS336" s="565"/>
      <c r="AT336" s="556"/>
    </row>
    <row r="337" spans="1:46" hidden="1" x14ac:dyDescent="0.45">
      <c r="A337" s="556"/>
      <c r="B337" s="556"/>
      <c r="C337" s="556"/>
      <c r="D337" s="556"/>
      <c r="E337" s="556"/>
      <c r="F337" s="564"/>
      <c r="G337" s="564"/>
      <c r="H337" s="564"/>
      <c r="I337" s="564"/>
      <c r="J337" s="564"/>
      <c r="K337" s="564"/>
      <c r="L337" s="564"/>
      <c r="M337" s="564"/>
      <c r="N337" s="564"/>
      <c r="O337" s="564"/>
      <c r="P337" s="564"/>
      <c r="Q337" s="564"/>
      <c r="R337" s="564"/>
      <c r="S337" s="564"/>
      <c r="T337" s="564"/>
      <c r="U337" s="564"/>
      <c r="V337" s="564"/>
      <c r="W337" s="564"/>
      <c r="X337" s="564"/>
      <c r="Y337" s="564"/>
      <c r="Z337" s="564"/>
      <c r="AA337" s="564"/>
      <c r="AB337" s="556"/>
      <c r="AC337" s="556"/>
      <c r="AD337" s="74"/>
      <c r="AE337" s="74"/>
      <c r="AF337" s="74"/>
      <c r="AG337" s="74"/>
      <c r="AH337" s="74"/>
      <c r="AI337" s="74"/>
      <c r="AJ337" s="74"/>
      <c r="AK337" s="74"/>
      <c r="AL337" s="74"/>
      <c r="AM337" s="74"/>
      <c r="AN337" s="74"/>
      <c r="AO337" s="74"/>
      <c r="AP337" s="74"/>
      <c r="AQ337" s="74"/>
      <c r="AR337" s="74"/>
      <c r="AS337" s="565"/>
      <c r="AT337" s="556"/>
    </row>
    <row r="338" spans="1:46" hidden="1" x14ac:dyDescent="0.45">
      <c r="A338" s="556"/>
      <c r="B338" s="556"/>
      <c r="C338" s="556"/>
      <c r="D338" s="556"/>
      <c r="E338" s="556"/>
      <c r="F338" s="564"/>
      <c r="G338" s="564"/>
      <c r="H338" s="564"/>
      <c r="I338" s="564"/>
      <c r="J338" s="564"/>
      <c r="K338" s="564"/>
      <c r="L338" s="564"/>
      <c r="M338" s="564"/>
      <c r="N338" s="564"/>
      <c r="O338" s="564"/>
      <c r="P338" s="564"/>
      <c r="Q338" s="564"/>
      <c r="R338" s="564"/>
      <c r="S338" s="564"/>
      <c r="T338" s="564"/>
      <c r="U338" s="564"/>
      <c r="V338" s="564"/>
      <c r="W338" s="564"/>
      <c r="X338" s="564"/>
      <c r="Y338" s="564"/>
      <c r="Z338" s="564"/>
      <c r="AA338" s="564"/>
      <c r="AB338" s="556"/>
      <c r="AC338" s="556"/>
      <c r="AD338" s="74"/>
      <c r="AE338" s="74"/>
      <c r="AF338" s="74"/>
      <c r="AG338" s="74"/>
      <c r="AH338" s="74"/>
      <c r="AI338" s="74"/>
      <c r="AJ338" s="74"/>
      <c r="AK338" s="74"/>
      <c r="AL338" s="74"/>
      <c r="AM338" s="74"/>
      <c r="AN338" s="74"/>
      <c r="AO338" s="74"/>
      <c r="AP338" s="74"/>
      <c r="AQ338" s="74"/>
      <c r="AR338" s="74"/>
      <c r="AS338" s="565"/>
      <c r="AT338" s="556"/>
    </row>
    <row r="339" spans="1:46" hidden="1" x14ac:dyDescent="0.45">
      <c r="A339" s="556"/>
      <c r="B339" s="556"/>
      <c r="C339" s="556"/>
      <c r="D339" s="556"/>
      <c r="E339" s="556"/>
      <c r="F339" s="564"/>
      <c r="G339" s="564"/>
      <c r="H339" s="564"/>
      <c r="I339" s="564"/>
      <c r="J339" s="564"/>
      <c r="K339" s="564"/>
      <c r="L339" s="564"/>
      <c r="M339" s="564"/>
      <c r="N339" s="564"/>
      <c r="O339" s="564"/>
      <c r="P339" s="564"/>
      <c r="Q339" s="564"/>
      <c r="R339" s="564"/>
      <c r="S339" s="564"/>
      <c r="T339" s="564"/>
      <c r="U339" s="564"/>
      <c r="V339" s="564"/>
      <c r="W339" s="564"/>
      <c r="X339" s="564"/>
      <c r="Y339" s="564"/>
      <c r="Z339" s="564"/>
      <c r="AA339" s="564"/>
      <c r="AB339" s="556"/>
      <c r="AC339" s="556"/>
      <c r="AD339" s="74"/>
      <c r="AE339" s="74"/>
      <c r="AF339" s="74"/>
      <c r="AG339" s="74"/>
      <c r="AH339" s="74"/>
      <c r="AI339" s="74"/>
      <c r="AJ339" s="74"/>
      <c r="AK339" s="74"/>
      <c r="AL339" s="74"/>
      <c r="AM339" s="74"/>
      <c r="AN339" s="74"/>
      <c r="AO339" s="74"/>
      <c r="AP339" s="74"/>
      <c r="AQ339" s="74"/>
      <c r="AR339" s="74"/>
      <c r="AS339" s="565"/>
      <c r="AT339" s="556"/>
    </row>
    <row r="340" spans="1:46" hidden="1" x14ac:dyDescent="0.45">
      <c r="A340" s="556"/>
      <c r="B340" s="556"/>
      <c r="C340" s="556"/>
      <c r="D340" s="556"/>
      <c r="E340" s="556"/>
      <c r="F340" s="564"/>
      <c r="G340" s="564"/>
      <c r="H340" s="564"/>
      <c r="I340" s="564"/>
      <c r="J340" s="564"/>
      <c r="K340" s="564"/>
      <c r="L340" s="564"/>
      <c r="M340" s="564"/>
      <c r="N340" s="564"/>
      <c r="O340" s="564"/>
      <c r="P340" s="564"/>
      <c r="Q340" s="564"/>
      <c r="R340" s="564"/>
      <c r="S340" s="564"/>
      <c r="T340" s="564"/>
      <c r="U340" s="564"/>
      <c r="V340" s="564"/>
      <c r="W340" s="564"/>
      <c r="X340" s="564"/>
      <c r="Y340" s="564"/>
      <c r="Z340" s="564"/>
      <c r="AA340" s="564"/>
      <c r="AB340" s="556"/>
      <c r="AC340" s="556"/>
      <c r="AD340" s="74"/>
      <c r="AE340" s="74"/>
      <c r="AF340" s="74"/>
      <c r="AG340" s="74"/>
      <c r="AH340" s="74"/>
      <c r="AI340" s="74"/>
      <c r="AJ340" s="74"/>
      <c r="AK340" s="74"/>
      <c r="AL340" s="74"/>
      <c r="AM340" s="74"/>
      <c r="AN340" s="74"/>
      <c r="AO340" s="74"/>
      <c r="AP340" s="74"/>
      <c r="AQ340" s="74"/>
      <c r="AR340" s="74"/>
      <c r="AS340" s="565"/>
      <c r="AT340" s="556"/>
    </row>
    <row r="341" spans="1:46" hidden="1" x14ac:dyDescent="0.45">
      <c r="A341" s="556"/>
      <c r="B341" s="556"/>
      <c r="C341" s="556"/>
      <c r="D341" s="556"/>
      <c r="E341" s="556"/>
      <c r="F341" s="564"/>
      <c r="G341" s="564"/>
      <c r="H341" s="564"/>
      <c r="I341" s="564"/>
      <c r="J341" s="564"/>
      <c r="K341" s="564"/>
      <c r="L341" s="564"/>
      <c r="M341" s="564"/>
      <c r="N341" s="564"/>
      <c r="O341" s="564"/>
      <c r="P341" s="564"/>
      <c r="Q341" s="564"/>
      <c r="R341" s="564"/>
      <c r="S341" s="564"/>
      <c r="T341" s="564"/>
      <c r="U341" s="564"/>
      <c r="V341" s="564"/>
      <c r="W341" s="564"/>
      <c r="X341" s="564"/>
      <c r="Y341" s="564"/>
      <c r="Z341" s="564"/>
      <c r="AA341" s="564"/>
      <c r="AB341" s="556"/>
      <c r="AC341" s="556"/>
      <c r="AD341" s="74"/>
      <c r="AE341" s="74"/>
      <c r="AF341" s="74"/>
      <c r="AG341" s="74"/>
      <c r="AH341" s="74"/>
      <c r="AI341" s="74"/>
      <c r="AJ341" s="74"/>
      <c r="AK341" s="74"/>
      <c r="AL341" s="74"/>
      <c r="AM341" s="74"/>
      <c r="AN341" s="74"/>
      <c r="AO341" s="74"/>
      <c r="AP341" s="74"/>
      <c r="AQ341" s="74"/>
      <c r="AR341" s="74"/>
      <c r="AS341" s="565"/>
      <c r="AT341" s="556"/>
    </row>
    <row r="342" spans="1:46" hidden="1" x14ac:dyDescent="0.45">
      <c r="A342" s="556"/>
      <c r="B342" s="556"/>
      <c r="C342" s="556"/>
      <c r="D342" s="556"/>
      <c r="E342" s="556"/>
      <c r="F342" s="564"/>
      <c r="G342" s="564"/>
      <c r="H342" s="564"/>
      <c r="I342" s="564"/>
      <c r="J342" s="564"/>
      <c r="K342" s="564"/>
      <c r="L342" s="564"/>
      <c r="M342" s="564"/>
      <c r="N342" s="564"/>
      <c r="O342" s="564"/>
      <c r="P342" s="564"/>
      <c r="Q342" s="564"/>
      <c r="R342" s="564"/>
      <c r="S342" s="564"/>
      <c r="T342" s="564"/>
      <c r="U342" s="564"/>
      <c r="V342" s="564"/>
      <c r="W342" s="564"/>
      <c r="X342" s="564"/>
      <c r="Y342" s="564"/>
      <c r="Z342" s="564"/>
      <c r="AA342" s="564"/>
      <c r="AB342" s="556"/>
      <c r="AC342" s="556"/>
      <c r="AD342" s="74"/>
      <c r="AE342" s="74"/>
      <c r="AF342" s="74"/>
      <c r="AG342" s="74"/>
      <c r="AH342" s="74"/>
      <c r="AI342" s="74"/>
      <c r="AJ342" s="74"/>
      <c r="AK342" s="74"/>
      <c r="AL342" s="74"/>
      <c r="AM342" s="74"/>
      <c r="AN342" s="74"/>
      <c r="AO342" s="74"/>
      <c r="AP342" s="74"/>
      <c r="AQ342" s="74"/>
      <c r="AR342" s="74"/>
      <c r="AS342" s="565"/>
      <c r="AT342" s="556"/>
    </row>
    <row r="343" spans="1:46" hidden="1" x14ac:dyDescent="0.45">
      <c r="A343" s="556"/>
      <c r="B343" s="556"/>
      <c r="C343" s="556"/>
      <c r="D343" s="556"/>
      <c r="E343" s="556"/>
      <c r="F343" s="564"/>
      <c r="G343" s="564"/>
      <c r="H343" s="564"/>
      <c r="I343" s="564"/>
      <c r="J343" s="564"/>
      <c r="K343" s="564"/>
      <c r="L343" s="564"/>
      <c r="M343" s="564"/>
      <c r="N343" s="564"/>
      <c r="O343" s="564"/>
      <c r="P343" s="564"/>
      <c r="Q343" s="564"/>
      <c r="R343" s="564"/>
      <c r="S343" s="564"/>
      <c r="T343" s="564"/>
      <c r="U343" s="564"/>
      <c r="V343" s="564"/>
      <c r="W343" s="564"/>
      <c r="X343" s="564"/>
      <c r="Y343" s="564"/>
      <c r="Z343" s="564"/>
      <c r="AA343" s="564"/>
      <c r="AB343" s="556"/>
      <c r="AC343" s="556"/>
      <c r="AD343" s="74"/>
      <c r="AE343" s="74"/>
      <c r="AF343" s="74"/>
      <c r="AG343" s="74"/>
      <c r="AH343" s="74"/>
      <c r="AI343" s="74"/>
      <c r="AJ343" s="74"/>
      <c r="AK343" s="74"/>
      <c r="AL343" s="74"/>
      <c r="AM343" s="74"/>
      <c r="AN343" s="74"/>
      <c r="AO343" s="74"/>
      <c r="AP343" s="74"/>
      <c r="AQ343" s="74"/>
      <c r="AR343" s="74"/>
      <c r="AS343" s="565"/>
      <c r="AT343" s="556"/>
    </row>
    <row r="344" spans="1:46" hidden="1" x14ac:dyDescent="0.45">
      <c r="A344" s="556"/>
      <c r="B344" s="556"/>
      <c r="C344" s="556"/>
      <c r="D344" s="556"/>
      <c r="E344" s="556"/>
      <c r="F344" s="564"/>
      <c r="G344" s="564"/>
      <c r="H344" s="564"/>
      <c r="I344" s="564"/>
      <c r="J344" s="564"/>
      <c r="K344" s="564"/>
      <c r="L344" s="564"/>
      <c r="M344" s="564"/>
      <c r="N344" s="564"/>
      <c r="O344" s="564"/>
      <c r="P344" s="564"/>
      <c r="Q344" s="564"/>
      <c r="R344" s="564"/>
      <c r="S344" s="564"/>
      <c r="T344" s="564"/>
      <c r="U344" s="564"/>
      <c r="V344" s="564"/>
      <c r="W344" s="564"/>
      <c r="X344" s="564"/>
      <c r="Y344" s="564"/>
      <c r="Z344" s="564"/>
      <c r="AA344" s="564"/>
      <c r="AB344" s="556"/>
      <c r="AC344" s="556"/>
      <c r="AD344" s="74"/>
      <c r="AE344" s="74"/>
      <c r="AF344" s="74"/>
      <c r="AG344" s="74"/>
      <c r="AH344" s="74"/>
      <c r="AI344" s="74"/>
      <c r="AJ344" s="74"/>
      <c r="AK344" s="74"/>
      <c r="AL344" s="74"/>
      <c r="AM344" s="74"/>
      <c r="AN344" s="74"/>
      <c r="AO344" s="74"/>
      <c r="AP344" s="74"/>
      <c r="AQ344" s="74"/>
      <c r="AR344" s="74"/>
      <c r="AS344" s="565"/>
      <c r="AT344" s="556"/>
    </row>
    <row r="345" spans="1:46" hidden="1" x14ac:dyDescent="0.45">
      <c r="A345" s="556"/>
      <c r="B345" s="556"/>
      <c r="C345" s="556"/>
      <c r="D345" s="556"/>
      <c r="E345" s="556"/>
      <c r="F345" s="564"/>
      <c r="G345" s="564"/>
      <c r="H345" s="564"/>
      <c r="I345" s="564"/>
      <c r="J345" s="564"/>
      <c r="K345" s="564"/>
      <c r="L345" s="564"/>
      <c r="M345" s="564"/>
      <c r="N345" s="564"/>
      <c r="O345" s="564"/>
      <c r="P345" s="564"/>
      <c r="Q345" s="564"/>
      <c r="R345" s="564"/>
      <c r="S345" s="564"/>
      <c r="T345" s="564"/>
      <c r="U345" s="564"/>
      <c r="V345" s="564"/>
      <c r="W345" s="564"/>
      <c r="X345" s="564"/>
      <c r="Y345" s="564"/>
      <c r="Z345" s="564"/>
      <c r="AA345" s="564"/>
      <c r="AB345" s="556"/>
      <c r="AC345" s="556"/>
      <c r="AD345" s="74"/>
      <c r="AE345" s="74"/>
      <c r="AF345" s="74"/>
      <c r="AG345" s="74"/>
      <c r="AH345" s="74"/>
      <c r="AI345" s="74"/>
      <c r="AJ345" s="74"/>
      <c r="AK345" s="74"/>
      <c r="AL345" s="74"/>
      <c r="AM345" s="74"/>
      <c r="AN345" s="74"/>
      <c r="AO345" s="74"/>
      <c r="AP345" s="74"/>
      <c r="AQ345" s="74"/>
      <c r="AR345" s="74"/>
      <c r="AS345" s="565"/>
      <c r="AT345" s="556"/>
    </row>
    <row r="346" spans="1:46" hidden="1" x14ac:dyDescent="0.45">
      <c r="A346" s="556"/>
      <c r="B346" s="556"/>
      <c r="C346" s="556"/>
      <c r="D346" s="556"/>
      <c r="E346" s="556"/>
      <c r="F346" s="564"/>
      <c r="G346" s="564"/>
      <c r="H346" s="564"/>
      <c r="I346" s="564"/>
      <c r="J346" s="564"/>
      <c r="K346" s="564"/>
      <c r="L346" s="564"/>
      <c r="M346" s="564"/>
      <c r="N346" s="564"/>
      <c r="O346" s="564"/>
      <c r="P346" s="564"/>
      <c r="Q346" s="564"/>
      <c r="R346" s="564"/>
      <c r="S346" s="564"/>
      <c r="T346" s="564"/>
      <c r="U346" s="564"/>
      <c r="V346" s="564"/>
      <c r="W346" s="564"/>
      <c r="X346" s="564"/>
      <c r="Y346" s="564"/>
      <c r="Z346" s="564"/>
      <c r="AA346" s="564"/>
      <c r="AB346" s="556"/>
      <c r="AC346" s="556"/>
      <c r="AD346" s="74"/>
      <c r="AE346" s="74"/>
      <c r="AF346" s="74"/>
      <c r="AG346" s="74"/>
      <c r="AH346" s="74"/>
      <c r="AI346" s="74"/>
      <c r="AJ346" s="74"/>
      <c r="AK346" s="74"/>
      <c r="AL346" s="74"/>
      <c r="AM346" s="74"/>
      <c r="AN346" s="74"/>
      <c r="AO346" s="74"/>
      <c r="AP346" s="74"/>
      <c r="AQ346" s="74"/>
      <c r="AR346" s="74"/>
      <c r="AS346" s="565"/>
      <c r="AT346" s="556"/>
    </row>
    <row r="347" spans="1:46" hidden="1" x14ac:dyDescent="0.45">
      <c r="A347" s="556"/>
      <c r="B347" s="556"/>
      <c r="C347" s="556"/>
      <c r="D347" s="556"/>
      <c r="E347" s="556"/>
      <c r="F347" s="564"/>
      <c r="G347" s="564"/>
      <c r="H347" s="564"/>
      <c r="I347" s="564"/>
      <c r="J347" s="564"/>
      <c r="K347" s="564"/>
      <c r="L347" s="564"/>
      <c r="M347" s="564"/>
      <c r="N347" s="564"/>
      <c r="O347" s="564"/>
      <c r="P347" s="564"/>
      <c r="Q347" s="564"/>
      <c r="R347" s="564"/>
      <c r="S347" s="564"/>
      <c r="T347" s="564"/>
      <c r="U347" s="564"/>
      <c r="V347" s="564"/>
      <c r="W347" s="564"/>
      <c r="X347" s="564"/>
      <c r="Y347" s="564"/>
      <c r="Z347" s="564"/>
      <c r="AA347" s="564"/>
      <c r="AB347" s="556"/>
      <c r="AC347" s="556"/>
      <c r="AD347" s="74"/>
      <c r="AE347" s="74"/>
      <c r="AF347" s="74"/>
      <c r="AG347" s="74"/>
      <c r="AH347" s="74"/>
      <c r="AI347" s="74"/>
      <c r="AJ347" s="74"/>
      <c r="AK347" s="74"/>
      <c r="AL347" s="74"/>
      <c r="AM347" s="74"/>
      <c r="AN347" s="74"/>
      <c r="AO347" s="74"/>
      <c r="AP347" s="74"/>
      <c r="AQ347" s="74"/>
      <c r="AR347" s="74"/>
      <c r="AS347" s="565"/>
      <c r="AT347" s="556"/>
    </row>
    <row r="348" spans="1:46" hidden="1" x14ac:dyDescent="0.45">
      <c r="A348" s="556"/>
      <c r="B348" s="556"/>
      <c r="C348" s="556"/>
      <c r="D348" s="556"/>
      <c r="E348" s="556"/>
      <c r="F348" s="564"/>
      <c r="G348" s="564"/>
      <c r="H348" s="564"/>
      <c r="I348" s="564"/>
      <c r="J348" s="564"/>
      <c r="K348" s="564"/>
      <c r="L348" s="564"/>
      <c r="M348" s="564"/>
      <c r="N348" s="564"/>
      <c r="O348" s="564"/>
      <c r="P348" s="564"/>
      <c r="Q348" s="564"/>
      <c r="R348" s="564"/>
      <c r="S348" s="564"/>
      <c r="T348" s="564"/>
      <c r="U348" s="564"/>
      <c r="V348" s="564"/>
      <c r="W348" s="564"/>
      <c r="X348" s="564"/>
      <c r="Y348" s="564"/>
      <c r="Z348" s="564"/>
      <c r="AA348" s="564"/>
      <c r="AB348" s="556"/>
      <c r="AC348" s="556"/>
      <c r="AD348" s="74"/>
      <c r="AE348" s="74"/>
      <c r="AF348" s="74"/>
      <c r="AG348" s="74"/>
      <c r="AH348" s="74"/>
      <c r="AI348" s="74"/>
      <c r="AJ348" s="74"/>
      <c r="AK348" s="74"/>
      <c r="AL348" s="74"/>
      <c r="AM348" s="74"/>
      <c r="AN348" s="74"/>
      <c r="AO348" s="74"/>
      <c r="AP348" s="74"/>
      <c r="AQ348" s="74"/>
      <c r="AR348" s="74"/>
      <c r="AS348" s="565"/>
      <c r="AT348" s="556"/>
    </row>
    <row r="349" spans="1:46" hidden="1" x14ac:dyDescent="0.45">
      <c r="A349" s="556"/>
      <c r="B349" s="556"/>
      <c r="C349" s="556"/>
      <c r="D349" s="556"/>
      <c r="E349" s="556"/>
      <c r="F349" s="564"/>
      <c r="G349" s="564"/>
      <c r="H349" s="564"/>
      <c r="I349" s="564"/>
      <c r="J349" s="564"/>
      <c r="K349" s="564"/>
      <c r="L349" s="564"/>
      <c r="M349" s="564"/>
      <c r="N349" s="564"/>
      <c r="O349" s="564"/>
      <c r="P349" s="564"/>
      <c r="Q349" s="564"/>
      <c r="R349" s="564"/>
      <c r="S349" s="564"/>
      <c r="T349" s="564"/>
      <c r="U349" s="564"/>
      <c r="V349" s="564"/>
      <c r="W349" s="564"/>
      <c r="X349" s="564"/>
      <c r="Y349" s="564"/>
      <c r="Z349" s="564"/>
      <c r="AA349" s="564"/>
      <c r="AB349" s="556"/>
      <c r="AC349" s="556"/>
      <c r="AD349" s="74"/>
      <c r="AE349" s="74"/>
      <c r="AF349" s="74"/>
      <c r="AG349" s="74"/>
      <c r="AH349" s="74"/>
      <c r="AI349" s="74"/>
      <c r="AJ349" s="74"/>
      <c r="AK349" s="74"/>
      <c r="AL349" s="74"/>
      <c r="AM349" s="74"/>
      <c r="AN349" s="74"/>
      <c r="AO349" s="74"/>
      <c r="AP349" s="74"/>
      <c r="AQ349" s="74"/>
      <c r="AR349" s="74"/>
      <c r="AS349" s="565"/>
      <c r="AT349" s="556"/>
    </row>
    <row r="350" spans="1:46" hidden="1" x14ac:dyDescent="0.45">
      <c r="A350" s="556"/>
      <c r="B350" s="556"/>
      <c r="C350" s="556"/>
      <c r="D350" s="556"/>
      <c r="E350" s="556"/>
      <c r="F350" s="564"/>
      <c r="G350" s="564"/>
      <c r="H350" s="564"/>
      <c r="I350" s="564"/>
      <c r="J350" s="564"/>
      <c r="K350" s="564"/>
      <c r="L350" s="564"/>
      <c r="M350" s="564"/>
      <c r="N350" s="564"/>
      <c r="O350" s="564"/>
      <c r="P350" s="564"/>
      <c r="Q350" s="564"/>
      <c r="R350" s="564"/>
      <c r="S350" s="564"/>
      <c r="T350" s="564"/>
      <c r="U350" s="564"/>
      <c r="V350" s="564"/>
      <c r="W350" s="564"/>
      <c r="X350" s="564"/>
      <c r="Y350" s="564"/>
      <c r="Z350" s="564"/>
      <c r="AA350" s="564"/>
      <c r="AB350" s="556"/>
      <c r="AC350" s="556"/>
      <c r="AD350" s="74"/>
      <c r="AE350" s="74"/>
      <c r="AF350" s="74"/>
      <c r="AG350" s="74"/>
      <c r="AH350" s="74"/>
      <c r="AI350" s="74"/>
      <c r="AJ350" s="74"/>
      <c r="AK350" s="74"/>
      <c r="AL350" s="74"/>
      <c r="AM350" s="74"/>
      <c r="AN350" s="74"/>
      <c r="AO350" s="74"/>
      <c r="AP350" s="74"/>
      <c r="AQ350" s="74"/>
      <c r="AR350" s="74"/>
      <c r="AS350" s="565"/>
      <c r="AT350" s="556"/>
    </row>
    <row r="351" spans="1:46" hidden="1" x14ac:dyDescent="0.45">
      <c r="A351" s="556"/>
      <c r="B351" s="556"/>
      <c r="C351" s="556"/>
      <c r="D351" s="556"/>
      <c r="E351" s="556"/>
      <c r="F351" s="564"/>
      <c r="G351" s="564"/>
      <c r="H351" s="564"/>
      <c r="I351" s="564"/>
      <c r="J351" s="564"/>
      <c r="K351" s="564"/>
      <c r="L351" s="564"/>
      <c r="M351" s="564"/>
      <c r="N351" s="564"/>
      <c r="O351" s="564"/>
      <c r="P351" s="564"/>
      <c r="Q351" s="564"/>
      <c r="R351" s="564"/>
      <c r="S351" s="564"/>
      <c r="T351" s="564"/>
      <c r="U351" s="564"/>
      <c r="V351" s="564"/>
      <c r="W351" s="564"/>
      <c r="X351" s="564"/>
      <c r="Y351" s="564"/>
      <c r="Z351" s="564"/>
      <c r="AA351" s="564"/>
      <c r="AB351" s="556"/>
      <c r="AC351" s="556"/>
      <c r="AD351" s="74"/>
      <c r="AE351" s="74"/>
      <c r="AF351" s="74"/>
      <c r="AG351" s="74"/>
      <c r="AH351" s="74"/>
      <c r="AI351" s="74"/>
      <c r="AJ351" s="74"/>
      <c r="AK351" s="74"/>
      <c r="AL351" s="74"/>
      <c r="AM351" s="74"/>
      <c r="AN351" s="74"/>
      <c r="AO351" s="74"/>
      <c r="AP351" s="74"/>
      <c r="AQ351" s="74"/>
      <c r="AR351" s="74"/>
      <c r="AS351" s="565"/>
      <c r="AT351" s="556"/>
    </row>
    <row r="352" spans="1:46" hidden="1" x14ac:dyDescent="0.45">
      <c r="A352" s="556"/>
      <c r="B352" s="556"/>
      <c r="C352" s="556"/>
      <c r="D352" s="556"/>
      <c r="E352" s="556"/>
      <c r="F352" s="564"/>
      <c r="G352" s="564"/>
      <c r="H352" s="564"/>
      <c r="I352" s="564"/>
      <c r="J352" s="564"/>
      <c r="K352" s="564"/>
      <c r="L352" s="564"/>
      <c r="M352" s="564"/>
      <c r="N352" s="564"/>
      <c r="O352" s="564"/>
      <c r="P352" s="564"/>
      <c r="Q352" s="564"/>
      <c r="R352" s="564"/>
      <c r="S352" s="564"/>
      <c r="T352" s="564"/>
      <c r="U352" s="564"/>
      <c r="V352" s="564"/>
      <c r="W352" s="564"/>
      <c r="X352" s="564"/>
      <c r="Y352" s="564"/>
      <c r="Z352" s="564"/>
      <c r="AA352" s="564"/>
      <c r="AB352" s="556"/>
      <c r="AC352" s="556"/>
      <c r="AD352" s="74"/>
      <c r="AE352" s="74"/>
      <c r="AF352" s="74"/>
      <c r="AG352" s="74"/>
      <c r="AH352" s="74"/>
      <c r="AI352" s="74"/>
      <c r="AJ352" s="74"/>
      <c r="AK352" s="74"/>
      <c r="AL352" s="74"/>
      <c r="AM352" s="74"/>
      <c r="AN352" s="74"/>
      <c r="AO352" s="74"/>
      <c r="AP352" s="74"/>
      <c r="AQ352" s="74"/>
      <c r="AR352" s="74"/>
      <c r="AS352" s="565"/>
      <c r="AT352" s="556"/>
    </row>
    <row r="353" spans="1:46" hidden="1" x14ac:dyDescent="0.45">
      <c r="A353" s="556"/>
      <c r="B353" s="556"/>
      <c r="C353" s="556"/>
      <c r="D353" s="556"/>
      <c r="E353" s="556"/>
      <c r="F353" s="564"/>
      <c r="G353" s="564"/>
      <c r="H353" s="564"/>
      <c r="I353" s="564"/>
      <c r="J353" s="564"/>
      <c r="K353" s="564"/>
      <c r="L353" s="564"/>
      <c r="M353" s="564"/>
      <c r="N353" s="564"/>
      <c r="O353" s="564"/>
      <c r="P353" s="564"/>
      <c r="Q353" s="564"/>
      <c r="R353" s="564"/>
      <c r="S353" s="564"/>
      <c r="T353" s="564"/>
      <c r="U353" s="564"/>
      <c r="V353" s="564"/>
      <c r="W353" s="564"/>
      <c r="X353" s="564"/>
      <c r="Y353" s="564"/>
      <c r="Z353" s="564"/>
      <c r="AA353" s="564"/>
      <c r="AB353" s="556"/>
      <c r="AC353" s="556"/>
      <c r="AD353" s="74"/>
      <c r="AE353" s="74"/>
      <c r="AF353" s="74"/>
      <c r="AG353" s="74"/>
      <c r="AH353" s="74"/>
      <c r="AI353" s="74"/>
      <c r="AJ353" s="74"/>
      <c r="AK353" s="74"/>
      <c r="AL353" s="74"/>
      <c r="AM353" s="74"/>
      <c r="AN353" s="74"/>
      <c r="AO353" s="74"/>
      <c r="AP353" s="74"/>
      <c r="AQ353" s="74"/>
      <c r="AR353" s="74"/>
      <c r="AS353" s="565"/>
      <c r="AT353" s="556"/>
    </row>
    <row r="354" spans="1:46" hidden="1" x14ac:dyDescent="0.45">
      <c r="A354" s="556"/>
      <c r="B354" s="556"/>
      <c r="C354" s="556"/>
      <c r="D354" s="556"/>
      <c r="E354" s="556"/>
      <c r="F354" s="564"/>
      <c r="G354" s="564"/>
      <c r="H354" s="564"/>
      <c r="I354" s="564"/>
      <c r="J354" s="564"/>
      <c r="K354" s="564"/>
      <c r="L354" s="564"/>
      <c r="M354" s="564"/>
      <c r="N354" s="564"/>
      <c r="O354" s="564"/>
      <c r="P354" s="564"/>
      <c r="Q354" s="564"/>
      <c r="R354" s="564"/>
      <c r="S354" s="564"/>
      <c r="T354" s="564"/>
      <c r="U354" s="564"/>
      <c r="V354" s="564"/>
      <c r="W354" s="564"/>
      <c r="X354" s="564"/>
      <c r="Y354" s="564"/>
      <c r="Z354" s="564"/>
      <c r="AA354" s="564"/>
      <c r="AB354" s="556"/>
      <c r="AC354" s="556"/>
      <c r="AD354" s="74"/>
      <c r="AE354" s="74"/>
      <c r="AF354" s="74"/>
      <c r="AG354" s="74"/>
      <c r="AH354" s="74"/>
      <c r="AI354" s="74"/>
      <c r="AJ354" s="74"/>
      <c r="AK354" s="74"/>
      <c r="AL354" s="74"/>
      <c r="AM354" s="74"/>
      <c r="AN354" s="74"/>
      <c r="AO354" s="74"/>
      <c r="AP354" s="74"/>
      <c r="AQ354" s="74"/>
      <c r="AR354" s="74"/>
      <c r="AS354" s="565"/>
      <c r="AT354" s="556"/>
    </row>
    <row r="355" spans="1:46" hidden="1" x14ac:dyDescent="0.45">
      <c r="A355" s="556"/>
      <c r="B355" s="556"/>
      <c r="C355" s="556"/>
      <c r="D355" s="556"/>
      <c r="E355" s="556"/>
      <c r="F355" s="564"/>
      <c r="G355" s="564"/>
      <c r="H355" s="564"/>
      <c r="I355" s="564"/>
      <c r="J355" s="564"/>
      <c r="K355" s="564"/>
      <c r="L355" s="564"/>
      <c r="M355" s="564"/>
      <c r="N355" s="564"/>
      <c r="O355" s="564"/>
      <c r="P355" s="564"/>
      <c r="Q355" s="564"/>
      <c r="R355" s="564"/>
      <c r="S355" s="564"/>
      <c r="T355" s="564"/>
      <c r="U355" s="564"/>
      <c r="V355" s="564"/>
      <c r="W355" s="564"/>
      <c r="X355" s="564"/>
      <c r="Y355" s="564"/>
      <c r="Z355" s="564"/>
      <c r="AA355" s="564"/>
      <c r="AB355" s="556"/>
      <c r="AC355" s="556"/>
      <c r="AD355" s="74"/>
      <c r="AE355" s="74"/>
      <c r="AF355" s="74"/>
      <c r="AG355" s="74"/>
      <c r="AH355" s="74"/>
      <c r="AI355" s="74"/>
      <c r="AJ355" s="74"/>
      <c r="AK355" s="74"/>
      <c r="AL355" s="74"/>
      <c r="AM355" s="74"/>
      <c r="AN355" s="74"/>
      <c r="AO355" s="74"/>
      <c r="AP355" s="74"/>
      <c r="AQ355" s="74"/>
      <c r="AR355" s="74"/>
      <c r="AS355" s="565"/>
      <c r="AT355" s="556"/>
    </row>
    <row r="356" spans="1:46" hidden="1" x14ac:dyDescent="0.45">
      <c r="A356" s="556"/>
      <c r="B356" s="556"/>
      <c r="C356" s="556"/>
      <c r="D356" s="556"/>
      <c r="E356" s="556"/>
      <c r="F356" s="564"/>
      <c r="G356" s="564"/>
      <c r="H356" s="564"/>
      <c r="I356" s="564"/>
      <c r="J356" s="564"/>
      <c r="K356" s="564"/>
      <c r="L356" s="564"/>
      <c r="M356" s="564"/>
      <c r="N356" s="564"/>
      <c r="O356" s="564"/>
      <c r="P356" s="564"/>
      <c r="Q356" s="564"/>
      <c r="R356" s="564"/>
      <c r="S356" s="564"/>
      <c r="T356" s="564"/>
      <c r="U356" s="564"/>
      <c r="V356" s="564"/>
      <c r="W356" s="564"/>
      <c r="X356" s="564"/>
      <c r="Y356" s="564"/>
      <c r="Z356" s="564"/>
      <c r="AA356" s="564"/>
      <c r="AB356" s="556"/>
      <c r="AC356" s="556"/>
      <c r="AD356" s="74"/>
      <c r="AE356" s="74"/>
      <c r="AF356" s="74"/>
      <c r="AG356" s="74"/>
      <c r="AH356" s="74"/>
      <c r="AI356" s="74"/>
      <c r="AJ356" s="74"/>
      <c r="AK356" s="74"/>
      <c r="AL356" s="74"/>
      <c r="AM356" s="74"/>
      <c r="AN356" s="74"/>
      <c r="AO356" s="74"/>
      <c r="AP356" s="74"/>
      <c r="AQ356" s="74"/>
      <c r="AR356" s="74"/>
      <c r="AS356" s="565"/>
      <c r="AT356" s="556"/>
    </row>
    <row r="357" spans="1:46" hidden="1" x14ac:dyDescent="0.45">
      <c r="A357" s="556"/>
      <c r="B357" s="556"/>
      <c r="C357" s="556"/>
      <c r="D357" s="556"/>
      <c r="E357" s="556"/>
      <c r="F357" s="564"/>
      <c r="G357" s="564"/>
      <c r="H357" s="564"/>
      <c r="I357" s="564"/>
      <c r="J357" s="564"/>
      <c r="K357" s="564"/>
      <c r="L357" s="564"/>
      <c r="M357" s="564"/>
      <c r="N357" s="564"/>
      <c r="O357" s="564"/>
      <c r="P357" s="564"/>
      <c r="Q357" s="564"/>
      <c r="R357" s="564"/>
      <c r="S357" s="564"/>
      <c r="T357" s="564"/>
      <c r="U357" s="564"/>
      <c r="V357" s="564"/>
      <c r="W357" s="564"/>
      <c r="X357" s="564"/>
      <c r="Y357" s="564"/>
      <c r="Z357" s="564"/>
      <c r="AA357" s="564"/>
      <c r="AB357" s="556"/>
      <c r="AC357" s="556"/>
      <c r="AD357" s="74"/>
      <c r="AE357" s="74"/>
      <c r="AF357" s="74"/>
      <c r="AG357" s="74"/>
      <c r="AH357" s="74"/>
      <c r="AI357" s="74"/>
      <c r="AJ357" s="74"/>
      <c r="AK357" s="74"/>
      <c r="AL357" s="74"/>
      <c r="AM357" s="74"/>
      <c r="AN357" s="74"/>
      <c r="AO357" s="74"/>
      <c r="AP357" s="74"/>
      <c r="AQ357" s="74"/>
      <c r="AR357" s="74"/>
      <c r="AS357" s="565"/>
      <c r="AT357" s="556"/>
    </row>
    <row r="358" spans="1:46" hidden="1" x14ac:dyDescent="0.45">
      <c r="A358" s="556"/>
      <c r="B358" s="556"/>
      <c r="C358" s="556"/>
      <c r="D358" s="556"/>
      <c r="E358" s="556"/>
      <c r="F358" s="564"/>
      <c r="G358" s="564"/>
      <c r="H358" s="564"/>
      <c r="I358" s="564"/>
      <c r="J358" s="564"/>
      <c r="K358" s="564"/>
      <c r="L358" s="564"/>
      <c r="M358" s="564"/>
      <c r="N358" s="564"/>
      <c r="O358" s="564"/>
      <c r="P358" s="564"/>
      <c r="Q358" s="564"/>
      <c r="R358" s="564"/>
      <c r="S358" s="564"/>
      <c r="T358" s="564"/>
      <c r="U358" s="564"/>
      <c r="V358" s="564"/>
      <c r="W358" s="564"/>
      <c r="X358" s="564"/>
      <c r="Y358" s="564"/>
      <c r="Z358" s="564"/>
      <c r="AA358" s="564"/>
      <c r="AB358" s="556"/>
      <c r="AC358" s="556"/>
      <c r="AD358" s="74"/>
      <c r="AE358" s="74"/>
      <c r="AF358" s="74"/>
      <c r="AG358" s="74"/>
      <c r="AH358" s="74"/>
      <c r="AI358" s="74"/>
      <c r="AJ358" s="74"/>
      <c r="AK358" s="74"/>
      <c r="AL358" s="74"/>
      <c r="AM358" s="74"/>
      <c r="AN358" s="74"/>
      <c r="AO358" s="74"/>
      <c r="AP358" s="74"/>
      <c r="AQ358" s="74"/>
      <c r="AR358" s="74"/>
      <c r="AS358" s="565"/>
      <c r="AT358" s="556"/>
    </row>
    <row r="359" spans="1:46" hidden="1" x14ac:dyDescent="0.45">
      <c r="A359" s="556"/>
      <c r="B359" s="556"/>
      <c r="C359" s="556"/>
      <c r="D359" s="556"/>
      <c r="E359" s="556"/>
      <c r="F359" s="564"/>
      <c r="G359" s="564"/>
      <c r="H359" s="564"/>
      <c r="I359" s="564"/>
      <c r="J359" s="564"/>
      <c r="K359" s="564"/>
      <c r="L359" s="564"/>
      <c r="M359" s="564"/>
      <c r="N359" s="564"/>
      <c r="O359" s="564"/>
      <c r="P359" s="564"/>
      <c r="Q359" s="564"/>
      <c r="R359" s="564"/>
      <c r="S359" s="564"/>
      <c r="T359" s="564"/>
      <c r="U359" s="564"/>
      <c r="V359" s="564"/>
      <c r="W359" s="564"/>
      <c r="X359" s="564"/>
      <c r="Y359" s="564"/>
      <c r="Z359" s="564"/>
      <c r="AA359" s="564"/>
      <c r="AB359" s="556"/>
      <c r="AC359" s="556"/>
      <c r="AD359" s="74"/>
      <c r="AE359" s="74"/>
      <c r="AF359" s="74"/>
      <c r="AG359" s="74"/>
      <c r="AH359" s="74"/>
      <c r="AI359" s="74"/>
      <c r="AJ359" s="74"/>
      <c r="AK359" s="74"/>
      <c r="AL359" s="74"/>
      <c r="AM359" s="74"/>
      <c r="AN359" s="74"/>
      <c r="AO359" s="74"/>
      <c r="AP359" s="74"/>
      <c r="AQ359" s="74"/>
      <c r="AR359" s="74"/>
      <c r="AS359" s="565"/>
      <c r="AT359" s="556"/>
    </row>
    <row r="360" spans="1:46" hidden="1" x14ac:dyDescent="0.45">
      <c r="A360" s="556"/>
      <c r="B360" s="556"/>
      <c r="C360" s="556"/>
      <c r="D360" s="556"/>
      <c r="E360" s="556"/>
      <c r="F360" s="564"/>
      <c r="G360" s="564"/>
      <c r="H360" s="564"/>
      <c r="I360" s="564"/>
      <c r="J360" s="564"/>
      <c r="K360" s="564"/>
      <c r="L360" s="564"/>
      <c r="M360" s="564"/>
      <c r="N360" s="564"/>
      <c r="O360" s="564"/>
      <c r="P360" s="564"/>
      <c r="Q360" s="564"/>
      <c r="R360" s="564"/>
      <c r="S360" s="564"/>
      <c r="T360" s="564"/>
      <c r="U360" s="564"/>
      <c r="V360" s="564"/>
      <c r="W360" s="564"/>
      <c r="X360" s="564"/>
      <c r="Y360" s="564"/>
      <c r="Z360" s="564"/>
      <c r="AA360" s="564"/>
      <c r="AB360" s="556"/>
      <c r="AC360" s="556"/>
      <c r="AD360" s="74"/>
      <c r="AE360" s="74"/>
      <c r="AF360" s="74"/>
      <c r="AG360" s="74"/>
      <c r="AH360" s="74"/>
      <c r="AI360" s="74"/>
      <c r="AJ360" s="74"/>
      <c r="AK360" s="74"/>
      <c r="AL360" s="74"/>
      <c r="AM360" s="74"/>
      <c r="AN360" s="74"/>
      <c r="AO360" s="74"/>
      <c r="AP360" s="74"/>
      <c r="AQ360" s="74"/>
      <c r="AR360" s="74"/>
      <c r="AS360" s="565"/>
      <c r="AT360" s="556"/>
    </row>
    <row r="361" spans="1:46" hidden="1" x14ac:dyDescent="0.45">
      <c r="A361" s="556"/>
      <c r="B361" s="556"/>
      <c r="C361" s="556"/>
      <c r="D361" s="556"/>
      <c r="E361" s="556"/>
      <c r="F361" s="564"/>
      <c r="G361" s="564"/>
      <c r="H361" s="564"/>
      <c r="I361" s="564"/>
      <c r="J361" s="564"/>
      <c r="K361" s="564"/>
      <c r="L361" s="564"/>
      <c r="M361" s="564"/>
      <c r="N361" s="564"/>
      <c r="O361" s="564"/>
      <c r="P361" s="564"/>
      <c r="Q361" s="564"/>
      <c r="R361" s="564"/>
      <c r="S361" s="564"/>
      <c r="T361" s="564"/>
      <c r="U361" s="564"/>
      <c r="V361" s="564"/>
      <c r="W361" s="564"/>
      <c r="X361" s="564"/>
      <c r="Y361" s="564"/>
      <c r="Z361" s="564"/>
      <c r="AA361" s="564"/>
      <c r="AB361" s="556"/>
      <c r="AC361" s="556"/>
      <c r="AD361" s="74"/>
      <c r="AE361" s="74"/>
      <c r="AF361" s="74"/>
      <c r="AG361" s="74"/>
      <c r="AH361" s="74"/>
      <c r="AI361" s="74"/>
      <c r="AJ361" s="74"/>
      <c r="AK361" s="74"/>
      <c r="AL361" s="74"/>
      <c r="AM361" s="74"/>
      <c r="AN361" s="74"/>
      <c r="AO361" s="74"/>
      <c r="AP361" s="74"/>
      <c r="AQ361" s="74"/>
      <c r="AR361" s="74"/>
      <c r="AS361" s="565"/>
      <c r="AT361" s="556"/>
    </row>
    <row r="362" spans="1:46" hidden="1" x14ac:dyDescent="0.45">
      <c r="A362" s="556"/>
      <c r="B362" s="556"/>
      <c r="C362" s="556"/>
      <c r="D362" s="556"/>
      <c r="E362" s="556"/>
      <c r="F362" s="564"/>
      <c r="G362" s="564"/>
      <c r="H362" s="564"/>
      <c r="I362" s="564"/>
      <c r="J362" s="564"/>
      <c r="K362" s="564"/>
      <c r="L362" s="564"/>
      <c r="M362" s="564"/>
      <c r="N362" s="564"/>
      <c r="O362" s="564"/>
      <c r="P362" s="564"/>
      <c r="Q362" s="564"/>
      <c r="R362" s="564"/>
      <c r="S362" s="564"/>
      <c r="T362" s="564"/>
      <c r="U362" s="564"/>
      <c r="V362" s="564"/>
      <c r="W362" s="564"/>
      <c r="X362" s="564"/>
      <c r="Y362" s="564"/>
      <c r="Z362" s="564"/>
      <c r="AA362" s="564"/>
      <c r="AB362" s="556"/>
      <c r="AC362" s="556"/>
      <c r="AD362" s="74"/>
      <c r="AE362" s="74"/>
      <c r="AF362" s="74"/>
      <c r="AG362" s="74"/>
      <c r="AH362" s="74"/>
      <c r="AI362" s="74"/>
      <c r="AJ362" s="74"/>
      <c r="AK362" s="74"/>
      <c r="AL362" s="74"/>
      <c r="AM362" s="74"/>
      <c r="AN362" s="74"/>
      <c r="AO362" s="74"/>
      <c r="AP362" s="74"/>
      <c r="AQ362" s="74"/>
      <c r="AR362" s="74"/>
      <c r="AS362" s="565"/>
      <c r="AT362" s="556"/>
    </row>
    <row r="363" spans="1:46" hidden="1" x14ac:dyDescent="0.45">
      <c r="A363" s="556"/>
      <c r="B363" s="556"/>
      <c r="C363" s="556"/>
      <c r="D363" s="556"/>
      <c r="E363" s="556"/>
      <c r="F363" s="564"/>
      <c r="G363" s="564"/>
      <c r="H363" s="564"/>
      <c r="I363" s="564"/>
      <c r="J363" s="564"/>
      <c r="K363" s="564"/>
      <c r="L363" s="564"/>
      <c r="M363" s="564"/>
      <c r="N363" s="564"/>
      <c r="O363" s="564"/>
      <c r="P363" s="564"/>
      <c r="Q363" s="564"/>
      <c r="R363" s="564"/>
      <c r="S363" s="564"/>
      <c r="T363" s="564"/>
      <c r="U363" s="564"/>
      <c r="V363" s="564"/>
      <c r="W363" s="564"/>
      <c r="X363" s="564"/>
      <c r="Y363" s="564"/>
      <c r="Z363" s="564"/>
      <c r="AA363" s="564"/>
      <c r="AB363" s="556"/>
      <c r="AC363" s="556"/>
      <c r="AD363" s="74"/>
      <c r="AE363" s="74"/>
      <c r="AF363" s="74"/>
      <c r="AG363" s="74"/>
      <c r="AH363" s="74"/>
      <c r="AI363" s="74"/>
      <c r="AJ363" s="74"/>
      <c r="AK363" s="74"/>
      <c r="AL363" s="74"/>
      <c r="AM363" s="74"/>
      <c r="AN363" s="74"/>
      <c r="AO363" s="74"/>
      <c r="AP363" s="74"/>
      <c r="AQ363" s="74"/>
      <c r="AR363" s="74"/>
      <c r="AS363" s="565"/>
      <c r="AT363" s="556"/>
    </row>
    <row r="364" spans="1:46" hidden="1" x14ac:dyDescent="0.45">
      <c r="A364" s="556"/>
      <c r="B364" s="556"/>
      <c r="C364" s="556"/>
      <c r="D364" s="556"/>
      <c r="E364" s="556"/>
      <c r="F364" s="564"/>
      <c r="G364" s="564"/>
      <c r="H364" s="564"/>
      <c r="I364" s="564"/>
      <c r="J364" s="564"/>
      <c r="K364" s="564"/>
      <c r="L364" s="564"/>
      <c r="M364" s="564"/>
      <c r="N364" s="564"/>
      <c r="O364" s="564"/>
      <c r="P364" s="564"/>
      <c r="Q364" s="564"/>
      <c r="R364" s="564"/>
      <c r="S364" s="564"/>
      <c r="T364" s="564"/>
      <c r="U364" s="564"/>
      <c r="V364" s="564"/>
      <c r="W364" s="564"/>
      <c r="X364" s="564"/>
      <c r="Y364" s="564"/>
      <c r="Z364" s="564"/>
      <c r="AA364" s="564"/>
      <c r="AB364" s="556"/>
      <c r="AC364" s="556"/>
      <c r="AD364" s="74"/>
      <c r="AE364" s="74"/>
      <c r="AF364" s="74"/>
      <c r="AG364" s="74"/>
      <c r="AH364" s="74"/>
      <c r="AI364" s="74"/>
      <c r="AJ364" s="74"/>
      <c r="AK364" s="74"/>
      <c r="AL364" s="74"/>
      <c r="AM364" s="74"/>
      <c r="AN364" s="74"/>
      <c r="AO364" s="74"/>
      <c r="AP364" s="74"/>
      <c r="AQ364" s="74"/>
      <c r="AR364" s="74"/>
      <c r="AS364" s="565"/>
      <c r="AT364" s="556"/>
    </row>
    <row r="365" spans="1:46" hidden="1" x14ac:dyDescent="0.45">
      <c r="A365" s="556"/>
      <c r="B365" s="556"/>
      <c r="C365" s="556"/>
      <c r="D365" s="556"/>
      <c r="E365" s="556"/>
      <c r="F365" s="564"/>
      <c r="G365" s="564"/>
      <c r="H365" s="564"/>
      <c r="I365" s="564"/>
      <c r="J365" s="564"/>
      <c r="K365" s="564"/>
      <c r="L365" s="564"/>
      <c r="M365" s="564"/>
      <c r="N365" s="564"/>
      <c r="O365" s="564"/>
      <c r="P365" s="564"/>
      <c r="Q365" s="564"/>
      <c r="R365" s="564"/>
      <c r="S365" s="564"/>
      <c r="T365" s="564"/>
      <c r="U365" s="564"/>
      <c r="V365" s="564"/>
      <c r="W365" s="564"/>
      <c r="X365" s="564"/>
      <c r="Y365" s="564"/>
      <c r="Z365" s="564"/>
      <c r="AA365" s="564"/>
      <c r="AB365" s="556"/>
      <c r="AC365" s="556"/>
      <c r="AD365" s="74"/>
      <c r="AE365" s="74"/>
      <c r="AF365" s="74"/>
      <c r="AG365" s="74"/>
      <c r="AH365" s="74"/>
      <c r="AI365" s="74"/>
      <c r="AJ365" s="74"/>
      <c r="AK365" s="74"/>
      <c r="AL365" s="74"/>
      <c r="AM365" s="74"/>
      <c r="AN365" s="74"/>
      <c r="AO365" s="74"/>
      <c r="AP365" s="74"/>
      <c r="AQ365" s="74"/>
      <c r="AR365" s="74"/>
      <c r="AS365" s="565"/>
      <c r="AT365" s="556"/>
    </row>
    <row r="366" spans="1:46" hidden="1" x14ac:dyDescent="0.45">
      <c r="A366" s="556"/>
      <c r="B366" s="556"/>
      <c r="C366" s="556"/>
      <c r="D366" s="556"/>
      <c r="E366" s="556"/>
      <c r="F366" s="564"/>
      <c r="G366" s="564"/>
      <c r="H366" s="564"/>
      <c r="I366" s="564"/>
      <c r="J366" s="564"/>
      <c r="K366" s="564"/>
      <c r="L366" s="564"/>
      <c r="M366" s="564"/>
      <c r="N366" s="564"/>
      <c r="O366" s="564"/>
      <c r="P366" s="564"/>
      <c r="Q366" s="564"/>
      <c r="R366" s="564"/>
      <c r="S366" s="564"/>
      <c r="T366" s="564"/>
      <c r="U366" s="564"/>
      <c r="V366" s="564"/>
      <c r="W366" s="564"/>
      <c r="X366" s="564"/>
      <c r="Y366" s="564"/>
      <c r="Z366" s="564"/>
      <c r="AA366" s="564"/>
      <c r="AB366" s="556"/>
      <c r="AC366" s="556"/>
      <c r="AD366" s="74"/>
      <c r="AE366" s="74"/>
      <c r="AF366" s="74"/>
      <c r="AG366" s="74"/>
      <c r="AH366" s="74"/>
      <c r="AI366" s="74"/>
      <c r="AJ366" s="74"/>
      <c r="AK366" s="74"/>
      <c r="AL366" s="74"/>
      <c r="AM366" s="74"/>
      <c r="AN366" s="74"/>
      <c r="AO366" s="74"/>
      <c r="AP366" s="74"/>
      <c r="AQ366" s="74"/>
      <c r="AR366" s="74"/>
      <c r="AS366" s="565"/>
      <c r="AT366" s="556"/>
    </row>
    <row r="367" spans="1:46" hidden="1" x14ac:dyDescent="0.45">
      <c r="A367" s="556"/>
      <c r="B367" s="556"/>
      <c r="C367" s="556"/>
      <c r="D367" s="556"/>
      <c r="E367" s="556"/>
      <c r="F367" s="564"/>
      <c r="G367" s="564"/>
      <c r="H367" s="564"/>
      <c r="I367" s="564"/>
      <c r="J367" s="564"/>
      <c r="K367" s="564"/>
      <c r="L367" s="564"/>
      <c r="M367" s="564"/>
      <c r="N367" s="564"/>
      <c r="O367" s="564"/>
      <c r="P367" s="564"/>
      <c r="Q367" s="564"/>
      <c r="R367" s="564"/>
      <c r="S367" s="564"/>
      <c r="T367" s="564"/>
      <c r="U367" s="564"/>
      <c r="V367" s="564"/>
      <c r="W367" s="564"/>
      <c r="X367" s="564"/>
      <c r="Y367" s="564"/>
      <c r="Z367" s="564"/>
      <c r="AA367" s="564"/>
      <c r="AB367" s="556"/>
      <c r="AC367" s="556"/>
      <c r="AD367" s="74"/>
      <c r="AE367" s="74"/>
      <c r="AF367" s="74"/>
      <c r="AG367" s="74"/>
      <c r="AH367" s="74"/>
      <c r="AI367" s="74"/>
      <c r="AJ367" s="74"/>
      <c r="AK367" s="74"/>
      <c r="AL367" s="74"/>
      <c r="AM367" s="74"/>
      <c r="AN367" s="74"/>
      <c r="AO367" s="74"/>
      <c r="AP367" s="74"/>
      <c r="AQ367" s="74"/>
      <c r="AR367" s="74"/>
      <c r="AS367" s="565"/>
      <c r="AT367" s="556"/>
    </row>
    <row r="368" spans="1:46" hidden="1" x14ac:dyDescent="0.45">
      <c r="A368" s="556"/>
      <c r="B368" s="556"/>
      <c r="C368" s="556"/>
      <c r="D368" s="556"/>
      <c r="E368" s="556"/>
      <c r="F368" s="564"/>
      <c r="G368" s="564"/>
      <c r="H368" s="564"/>
      <c r="I368" s="564"/>
      <c r="J368" s="564"/>
      <c r="K368" s="564"/>
      <c r="L368" s="564"/>
      <c r="M368" s="564"/>
      <c r="N368" s="564"/>
      <c r="O368" s="564"/>
      <c r="P368" s="564"/>
      <c r="Q368" s="564"/>
      <c r="R368" s="564"/>
      <c r="S368" s="564"/>
      <c r="T368" s="564"/>
      <c r="U368" s="564"/>
      <c r="V368" s="564"/>
      <c r="W368" s="564"/>
      <c r="X368" s="564"/>
      <c r="Y368" s="564"/>
      <c r="Z368" s="564"/>
      <c r="AA368" s="564"/>
      <c r="AB368" s="556"/>
      <c r="AC368" s="556"/>
      <c r="AD368" s="74"/>
      <c r="AE368" s="74"/>
      <c r="AF368" s="74"/>
      <c r="AG368" s="74"/>
      <c r="AH368" s="74"/>
      <c r="AI368" s="74"/>
      <c r="AJ368" s="74"/>
      <c r="AK368" s="74"/>
      <c r="AL368" s="74"/>
      <c r="AM368" s="74"/>
      <c r="AN368" s="74"/>
      <c r="AO368" s="74"/>
      <c r="AP368" s="74"/>
      <c r="AQ368" s="74"/>
      <c r="AR368" s="74"/>
      <c r="AS368" s="565"/>
      <c r="AT368" s="556"/>
    </row>
    <row r="369" spans="1:46" hidden="1" x14ac:dyDescent="0.45">
      <c r="A369" s="556"/>
      <c r="B369" s="556"/>
      <c r="C369" s="556"/>
      <c r="D369" s="556"/>
      <c r="E369" s="556"/>
      <c r="F369" s="564"/>
      <c r="G369" s="564"/>
      <c r="H369" s="564"/>
      <c r="I369" s="564"/>
      <c r="J369" s="564"/>
      <c r="K369" s="564"/>
      <c r="L369" s="564"/>
      <c r="M369" s="564"/>
      <c r="N369" s="564"/>
      <c r="O369" s="564"/>
      <c r="P369" s="564"/>
      <c r="Q369" s="564"/>
      <c r="R369" s="564"/>
      <c r="S369" s="564"/>
      <c r="T369" s="564"/>
      <c r="U369" s="564"/>
      <c r="V369" s="564"/>
      <c r="W369" s="564"/>
      <c r="X369" s="564"/>
      <c r="Y369" s="564"/>
      <c r="Z369" s="564"/>
      <c r="AA369" s="564"/>
      <c r="AB369" s="556"/>
      <c r="AC369" s="556"/>
      <c r="AD369" s="74"/>
      <c r="AE369" s="74"/>
      <c r="AF369" s="74"/>
      <c r="AG369" s="74"/>
      <c r="AH369" s="74"/>
      <c r="AI369" s="74"/>
      <c r="AJ369" s="74"/>
      <c r="AK369" s="74"/>
      <c r="AL369" s="74"/>
      <c r="AM369" s="74"/>
      <c r="AN369" s="74"/>
      <c r="AO369" s="74"/>
      <c r="AP369" s="74"/>
      <c r="AQ369" s="74"/>
      <c r="AR369" s="74"/>
      <c r="AS369" s="565"/>
      <c r="AT369" s="556"/>
    </row>
    <row r="370" spans="1:46" hidden="1" x14ac:dyDescent="0.45">
      <c r="A370" s="556"/>
      <c r="B370" s="556"/>
      <c r="C370" s="556"/>
      <c r="D370" s="556"/>
      <c r="E370" s="556"/>
      <c r="F370" s="564"/>
      <c r="G370" s="564"/>
      <c r="H370" s="564"/>
      <c r="I370" s="564"/>
      <c r="J370" s="564"/>
      <c r="K370" s="564"/>
      <c r="L370" s="564"/>
      <c r="M370" s="564"/>
      <c r="N370" s="564"/>
      <c r="O370" s="564"/>
      <c r="P370" s="564"/>
      <c r="Q370" s="564"/>
      <c r="R370" s="564"/>
      <c r="S370" s="564"/>
      <c r="T370" s="564"/>
      <c r="U370" s="564"/>
      <c r="V370" s="564"/>
      <c r="W370" s="564"/>
      <c r="X370" s="564"/>
      <c r="Y370" s="564"/>
      <c r="Z370" s="564"/>
      <c r="AA370" s="564"/>
      <c r="AB370" s="556"/>
      <c r="AC370" s="556"/>
      <c r="AD370" s="74"/>
      <c r="AE370" s="74"/>
      <c r="AF370" s="74"/>
      <c r="AG370" s="74"/>
      <c r="AH370" s="74"/>
      <c r="AI370" s="74"/>
      <c r="AJ370" s="74"/>
      <c r="AK370" s="74"/>
      <c r="AL370" s="74"/>
      <c r="AM370" s="74"/>
      <c r="AN370" s="74"/>
      <c r="AO370" s="74"/>
      <c r="AP370" s="74"/>
      <c r="AQ370" s="74"/>
      <c r="AR370" s="74"/>
      <c r="AS370" s="565"/>
      <c r="AT370" s="556"/>
    </row>
    <row r="371" spans="1:46" hidden="1" x14ac:dyDescent="0.45">
      <c r="A371" s="556"/>
      <c r="B371" s="556"/>
      <c r="C371" s="556"/>
      <c r="D371" s="556"/>
      <c r="E371" s="556"/>
      <c r="F371" s="564"/>
      <c r="G371" s="564"/>
      <c r="H371" s="564"/>
      <c r="I371" s="564"/>
      <c r="J371" s="564"/>
      <c r="K371" s="564"/>
      <c r="L371" s="564"/>
      <c r="M371" s="564"/>
      <c r="N371" s="564"/>
      <c r="O371" s="564"/>
      <c r="P371" s="564"/>
      <c r="Q371" s="564"/>
      <c r="R371" s="564"/>
      <c r="S371" s="564"/>
      <c r="T371" s="564"/>
      <c r="U371" s="564"/>
      <c r="V371" s="564"/>
      <c r="W371" s="564"/>
      <c r="X371" s="564"/>
      <c r="Y371" s="564"/>
      <c r="Z371" s="564"/>
      <c r="AA371" s="564"/>
      <c r="AB371" s="556"/>
      <c r="AC371" s="556"/>
      <c r="AD371" s="74"/>
      <c r="AE371" s="74"/>
      <c r="AF371" s="74"/>
      <c r="AG371" s="74"/>
      <c r="AH371" s="74"/>
      <c r="AI371" s="74"/>
      <c r="AJ371" s="74"/>
      <c r="AK371" s="74"/>
      <c r="AL371" s="74"/>
      <c r="AM371" s="74"/>
      <c r="AN371" s="74"/>
      <c r="AO371" s="74"/>
      <c r="AP371" s="74"/>
      <c r="AQ371" s="74"/>
      <c r="AR371" s="74"/>
      <c r="AS371" s="565"/>
      <c r="AT371" s="556"/>
    </row>
    <row r="372" spans="1:46" hidden="1" x14ac:dyDescent="0.45">
      <c r="A372" s="556"/>
      <c r="B372" s="556"/>
      <c r="C372" s="556"/>
      <c r="D372" s="556"/>
      <c r="E372" s="556"/>
      <c r="F372" s="564"/>
      <c r="G372" s="564"/>
      <c r="H372" s="564"/>
      <c r="I372" s="564"/>
      <c r="J372" s="564"/>
      <c r="K372" s="564"/>
      <c r="L372" s="564"/>
      <c r="M372" s="564"/>
      <c r="N372" s="564"/>
      <c r="O372" s="564"/>
      <c r="P372" s="564"/>
      <c r="Q372" s="564"/>
      <c r="R372" s="564"/>
      <c r="S372" s="564"/>
      <c r="T372" s="564"/>
      <c r="U372" s="564"/>
      <c r="V372" s="564"/>
      <c r="W372" s="564"/>
      <c r="X372" s="564"/>
      <c r="Y372" s="564"/>
      <c r="Z372" s="564"/>
      <c r="AA372" s="564"/>
      <c r="AB372" s="556"/>
      <c r="AC372" s="556"/>
      <c r="AD372" s="74"/>
      <c r="AE372" s="74"/>
      <c r="AF372" s="74"/>
      <c r="AG372" s="74"/>
      <c r="AH372" s="74"/>
      <c r="AI372" s="74"/>
      <c r="AJ372" s="74"/>
      <c r="AK372" s="74"/>
      <c r="AL372" s="74"/>
      <c r="AM372" s="74"/>
      <c r="AN372" s="74"/>
      <c r="AO372" s="74"/>
      <c r="AP372" s="74"/>
      <c r="AQ372" s="74"/>
      <c r="AR372" s="74"/>
      <c r="AS372" s="565"/>
      <c r="AT372" s="556"/>
    </row>
    <row r="373" spans="1:46" hidden="1" x14ac:dyDescent="0.45">
      <c r="A373" s="556"/>
      <c r="B373" s="556"/>
      <c r="C373" s="556"/>
      <c r="D373" s="556"/>
      <c r="E373" s="556"/>
      <c r="F373" s="564"/>
      <c r="G373" s="564"/>
      <c r="H373" s="564"/>
      <c r="I373" s="564"/>
      <c r="J373" s="564"/>
      <c r="K373" s="564"/>
      <c r="L373" s="564"/>
      <c r="M373" s="564"/>
      <c r="N373" s="564"/>
      <c r="O373" s="564"/>
      <c r="P373" s="564"/>
      <c r="Q373" s="564"/>
      <c r="R373" s="564"/>
      <c r="S373" s="564"/>
      <c r="T373" s="564"/>
      <c r="U373" s="564"/>
      <c r="V373" s="564"/>
      <c r="W373" s="564"/>
      <c r="X373" s="564"/>
      <c r="Y373" s="564"/>
      <c r="Z373" s="564"/>
      <c r="AA373" s="564"/>
      <c r="AB373" s="556"/>
      <c r="AC373" s="556"/>
      <c r="AD373" s="74"/>
      <c r="AE373" s="74"/>
      <c r="AF373" s="74"/>
      <c r="AG373" s="74"/>
      <c r="AH373" s="74"/>
      <c r="AI373" s="74"/>
      <c r="AJ373" s="74"/>
      <c r="AK373" s="74"/>
      <c r="AL373" s="74"/>
      <c r="AM373" s="74"/>
      <c r="AN373" s="74"/>
      <c r="AO373" s="74"/>
      <c r="AP373" s="74"/>
      <c r="AQ373" s="74"/>
      <c r="AR373" s="74"/>
      <c r="AS373" s="565"/>
      <c r="AT373" s="556"/>
    </row>
    <row r="374" spans="1:46" hidden="1" x14ac:dyDescent="0.45">
      <c r="A374" s="556"/>
      <c r="B374" s="556"/>
      <c r="C374" s="556"/>
      <c r="D374" s="556"/>
      <c r="E374" s="556"/>
      <c r="F374" s="564"/>
      <c r="G374" s="564"/>
      <c r="H374" s="564"/>
      <c r="I374" s="564"/>
      <c r="J374" s="564"/>
      <c r="K374" s="564"/>
      <c r="L374" s="564"/>
      <c r="M374" s="564"/>
      <c r="N374" s="564"/>
      <c r="O374" s="564"/>
      <c r="P374" s="564"/>
      <c r="Q374" s="564"/>
      <c r="R374" s="564"/>
      <c r="S374" s="564"/>
      <c r="T374" s="564"/>
      <c r="U374" s="564"/>
      <c r="V374" s="564"/>
      <c r="W374" s="564"/>
      <c r="X374" s="564"/>
      <c r="Y374" s="564"/>
      <c r="Z374" s="564"/>
      <c r="AA374" s="564"/>
      <c r="AB374" s="556"/>
      <c r="AC374" s="556"/>
      <c r="AD374" s="74"/>
      <c r="AE374" s="74"/>
      <c r="AF374" s="74"/>
      <c r="AG374" s="74"/>
      <c r="AH374" s="74"/>
      <c r="AI374" s="74"/>
      <c r="AJ374" s="74"/>
      <c r="AK374" s="74"/>
      <c r="AL374" s="74"/>
      <c r="AM374" s="74"/>
      <c r="AN374" s="74"/>
      <c r="AO374" s="74"/>
      <c r="AP374" s="74"/>
      <c r="AQ374" s="74"/>
      <c r="AR374" s="74"/>
      <c r="AS374" s="565"/>
      <c r="AT374" s="556"/>
    </row>
    <row r="375" spans="1:46" hidden="1" x14ac:dyDescent="0.45">
      <c r="A375" s="556"/>
      <c r="B375" s="556"/>
      <c r="C375" s="556"/>
      <c r="D375" s="556"/>
      <c r="E375" s="556"/>
      <c r="F375" s="564"/>
      <c r="G375" s="564"/>
      <c r="H375" s="564"/>
      <c r="I375" s="564"/>
      <c r="J375" s="564"/>
      <c r="K375" s="564"/>
      <c r="L375" s="564"/>
      <c r="M375" s="564"/>
      <c r="N375" s="564"/>
      <c r="O375" s="564"/>
      <c r="P375" s="564"/>
      <c r="Q375" s="564"/>
      <c r="R375" s="564"/>
      <c r="S375" s="564"/>
      <c r="T375" s="564"/>
      <c r="U375" s="564"/>
      <c r="V375" s="564"/>
      <c r="W375" s="564"/>
      <c r="X375" s="564"/>
      <c r="Y375" s="564"/>
      <c r="Z375" s="564"/>
      <c r="AA375" s="564"/>
      <c r="AB375" s="556"/>
      <c r="AC375" s="556"/>
      <c r="AD375" s="74"/>
      <c r="AE375" s="74"/>
      <c r="AF375" s="74"/>
      <c r="AG375" s="74"/>
      <c r="AH375" s="74"/>
      <c r="AI375" s="74"/>
      <c r="AJ375" s="74"/>
      <c r="AK375" s="74"/>
      <c r="AL375" s="74"/>
      <c r="AM375" s="74"/>
      <c r="AN375" s="74"/>
      <c r="AO375" s="74"/>
      <c r="AP375" s="74"/>
      <c r="AQ375" s="74"/>
      <c r="AR375" s="74"/>
      <c r="AS375" s="565"/>
      <c r="AT375" s="556"/>
    </row>
    <row r="376" spans="1:46" hidden="1" x14ac:dyDescent="0.45">
      <c r="A376" s="556"/>
      <c r="B376" s="556"/>
      <c r="C376" s="556"/>
      <c r="D376" s="556"/>
      <c r="E376" s="556"/>
      <c r="F376" s="564"/>
      <c r="G376" s="564"/>
      <c r="H376" s="564"/>
      <c r="I376" s="564"/>
      <c r="J376" s="564"/>
      <c r="K376" s="564"/>
      <c r="L376" s="564"/>
      <c r="M376" s="564"/>
      <c r="N376" s="564"/>
      <c r="O376" s="564"/>
      <c r="P376" s="564"/>
      <c r="Q376" s="564"/>
      <c r="R376" s="564"/>
      <c r="S376" s="564"/>
      <c r="T376" s="564"/>
      <c r="U376" s="564"/>
      <c r="V376" s="564"/>
      <c r="W376" s="564"/>
      <c r="X376" s="564"/>
      <c r="Y376" s="564"/>
      <c r="Z376" s="564"/>
      <c r="AA376" s="564"/>
      <c r="AB376" s="556"/>
      <c r="AC376" s="556"/>
      <c r="AD376" s="74"/>
      <c r="AE376" s="74"/>
      <c r="AF376" s="74"/>
      <c r="AG376" s="74"/>
      <c r="AH376" s="74"/>
      <c r="AI376" s="74"/>
      <c r="AJ376" s="74"/>
      <c r="AK376" s="74"/>
      <c r="AL376" s="74"/>
      <c r="AM376" s="74"/>
      <c r="AN376" s="74"/>
      <c r="AO376" s="74"/>
      <c r="AP376" s="74"/>
      <c r="AQ376" s="74"/>
      <c r="AR376" s="74"/>
      <c r="AS376" s="565"/>
      <c r="AT376" s="556"/>
    </row>
    <row r="377" spans="1:46" hidden="1" x14ac:dyDescent="0.45">
      <c r="A377" s="556"/>
      <c r="B377" s="556"/>
      <c r="C377" s="556"/>
      <c r="D377" s="556"/>
      <c r="E377" s="556"/>
      <c r="F377" s="564"/>
      <c r="G377" s="564"/>
      <c r="H377" s="564"/>
      <c r="I377" s="564"/>
      <c r="J377" s="564"/>
      <c r="K377" s="564"/>
      <c r="L377" s="564"/>
      <c r="M377" s="564"/>
      <c r="N377" s="564"/>
      <c r="O377" s="564"/>
      <c r="P377" s="564"/>
      <c r="Q377" s="564"/>
      <c r="R377" s="564"/>
      <c r="S377" s="564"/>
      <c r="T377" s="564"/>
      <c r="U377" s="564"/>
      <c r="V377" s="564"/>
      <c r="W377" s="564"/>
      <c r="X377" s="564"/>
      <c r="Y377" s="564"/>
      <c r="Z377" s="564"/>
      <c r="AA377" s="564"/>
      <c r="AB377" s="556"/>
      <c r="AC377" s="556"/>
      <c r="AD377" s="74"/>
      <c r="AE377" s="74"/>
      <c r="AF377" s="74"/>
      <c r="AG377" s="74"/>
      <c r="AH377" s="74"/>
      <c r="AI377" s="74"/>
      <c r="AJ377" s="74"/>
      <c r="AK377" s="74"/>
      <c r="AL377" s="74"/>
      <c r="AM377" s="74"/>
      <c r="AN377" s="74"/>
      <c r="AO377" s="74"/>
      <c r="AP377" s="74"/>
      <c r="AQ377" s="74"/>
      <c r="AR377" s="74"/>
      <c r="AS377" s="565"/>
      <c r="AT377" s="556"/>
    </row>
    <row r="378" spans="1:46" hidden="1" x14ac:dyDescent="0.45">
      <c r="A378" s="556"/>
      <c r="B378" s="556"/>
      <c r="C378" s="556"/>
      <c r="D378" s="556"/>
      <c r="E378" s="556"/>
      <c r="F378" s="564"/>
      <c r="G378" s="564"/>
      <c r="H378" s="564"/>
      <c r="I378" s="564"/>
      <c r="J378" s="564"/>
      <c r="K378" s="564"/>
      <c r="L378" s="564"/>
      <c r="M378" s="564"/>
      <c r="N378" s="564"/>
      <c r="O378" s="564"/>
      <c r="P378" s="564"/>
      <c r="Q378" s="564"/>
      <c r="R378" s="564"/>
      <c r="S378" s="564"/>
      <c r="T378" s="564"/>
      <c r="U378" s="564"/>
      <c r="V378" s="564"/>
      <c r="W378" s="564"/>
      <c r="X378" s="564"/>
      <c r="Y378" s="564"/>
      <c r="Z378" s="564"/>
      <c r="AA378" s="564"/>
      <c r="AB378" s="556"/>
      <c r="AC378" s="556"/>
      <c r="AD378" s="74"/>
      <c r="AE378" s="74"/>
      <c r="AF378" s="74"/>
      <c r="AG378" s="74"/>
      <c r="AH378" s="74"/>
      <c r="AI378" s="74"/>
      <c r="AJ378" s="74"/>
      <c r="AK378" s="74"/>
      <c r="AL378" s="74"/>
      <c r="AM378" s="74"/>
      <c r="AN378" s="74"/>
      <c r="AO378" s="74"/>
      <c r="AP378" s="74"/>
      <c r="AQ378" s="74"/>
      <c r="AR378" s="74"/>
      <c r="AS378" s="565"/>
      <c r="AT378" s="556"/>
    </row>
    <row r="379" spans="1:46" hidden="1" x14ac:dyDescent="0.45">
      <c r="A379" s="556"/>
      <c r="B379" s="556"/>
      <c r="C379" s="556"/>
      <c r="D379" s="556"/>
      <c r="E379" s="556"/>
      <c r="F379" s="564"/>
      <c r="G379" s="564"/>
      <c r="H379" s="564"/>
      <c r="I379" s="564"/>
      <c r="J379" s="564"/>
      <c r="K379" s="564"/>
      <c r="L379" s="564"/>
      <c r="M379" s="564"/>
      <c r="N379" s="564"/>
      <c r="O379" s="564"/>
      <c r="P379" s="564"/>
      <c r="Q379" s="564"/>
      <c r="R379" s="564"/>
      <c r="S379" s="564"/>
      <c r="T379" s="564"/>
      <c r="U379" s="564"/>
      <c r="V379" s="564"/>
      <c r="W379" s="564"/>
      <c r="X379" s="564"/>
      <c r="Y379" s="564"/>
      <c r="Z379" s="564"/>
      <c r="AA379" s="564"/>
      <c r="AB379" s="556"/>
      <c r="AC379" s="556"/>
      <c r="AD379" s="74"/>
      <c r="AE379" s="74"/>
      <c r="AF379" s="74"/>
      <c r="AG379" s="74"/>
      <c r="AH379" s="74"/>
      <c r="AI379" s="74"/>
      <c r="AJ379" s="74"/>
      <c r="AK379" s="74"/>
      <c r="AL379" s="74"/>
      <c r="AM379" s="74"/>
      <c r="AN379" s="74"/>
      <c r="AO379" s="74"/>
      <c r="AP379" s="74"/>
      <c r="AQ379" s="74"/>
      <c r="AR379" s="74"/>
      <c r="AS379" s="565"/>
      <c r="AT379" s="556"/>
    </row>
    <row r="380" spans="1:46" hidden="1" x14ac:dyDescent="0.45">
      <c r="A380" s="556"/>
      <c r="B380" s="556"/>
      <c r="C380" s="556"/>
      <c r="D380" s="556"/>
      <c r="E380" s="556"/>
      <c r="F380" s="564"/>
      <c r="G380" s="564"/>
      <c r="H380" s="564"/>
      <c r="I380" s="564"/>
      <c r="J380" s="564"/>
      <c r="K380" s="564"/>
      <c r="L380" s="564"/>
      <c r="M380" s="564"/>
      <c r="N380" s="564"/>
      <c r="O380" s="564"/>
      <c r="P380" s="564"/>
      <c r="Q380" s="564"/>
      <c r="R380" s="564"/>
      <c r="S380" s="564"/>
      <c r="T380" s="564"/>
      <c r="U380" s="564"/>
      <c r="V380" s="564"/>
      <c r="W380" s="564"/>
      <c r="X380" s="564"/>
      <c r="Y380" s="564"/>
      <c r="Z380" s="564"/>
      <c r="AA380" s="564"/>
      <c r="AB380" s="556"/>
      <c r="AC380" s="556"/>
      <c r="AD380" s="74"/>
      <c r="AE380" s="74"/>
      <c r="AF380" s="74"/>
      <c r="AG380" s="74"/>
      <c r="AH380" s="74"/>
      <c r="AI380" s="74"/>
      <c r="AJ380" s="74"/>
      <c r="AK380" s="74"/>
      <c r="AL380" s="74"/>
      <c r="AM380" s="74"/>
      <c r="AN380" s="74"/>
      <c r="AO380" s="74"/>
      <c r="AP380" s="74"/>
      <c r="AQ380" s="74"/>
      <c r="AR380" s="74"/>
      <c r="AS380" s="565"/>
      <c r="AT380" s="556"/>
    </row>
    <row r="381" spans="1:46" hidden="1" x14ac:dyDescent="0.45">
      <c r="A381" s="556"/>
      <c r="B381" s="556"/>
      <c r="C381" s="556"/>
      <c r="D381" s="556"/>
      <c r="E381" s="556"/>
      <c r="F381" s="564"/>
      <c r="G381" s="564"/>
      <c r="H381" s="564"/>
      <c r="I381" s="564"/>
      <c r="J381" s="564"/>
      <c r="K381" s="564"/>
      <c r="L381" s="564"/>
      <c r="M381" s="564"/>
      <c r="N381" s="564"/>
      <c r="O381" s="564"/>
      <c r="P381" s="564"/>
      <c r="Q381" s="564"/>
      <c r="R381" s="564"/>
      <c r="S381" s="564"/>
      <c r="T381" s="564"/>
      <c r="U381" s="564"/>
      <c r="V381" s="564"/>
      <c r="W381" s="564"/>
      <c r="X381" s="564"/>
      <c r="Y381" s="564"/>
      <c r="Z381" s="564"/>
      <c r="AA381" s="564"/>
      <c r="AB381" s="556"/>
      <c r="AC381" s="556"/>
      <c r="AD381" s="74"/>
      <c r="AE381" s="74"/>
      <c r="AF381" s="74"/>
      <c r="AG381" s="74"/>
      <c r="AH381" s="74"/>
      <c r="AI381" s="74"/>
      <c r="AJ381" s="74"/>
      <c r="AK381" s="74"/>
      <c r="AL381" s="74"/>
      <c r="AM381" s="74"/>
      <c r="AN381" s="74"/>
      <c r="AO381" s="74"/>
      <c r="AP381" s="74"/>
      <c r="AQ381" s="74"/>
      <c r="AR381" s="74"/>
      <c r="AS381" s="565"/>
      <c r="AT381" s="556"/>
    </row>
    <row r="382" spans="1:46" hidden="1" x14ac:dyDescent="0.45">
      <c r="A382" s="556"/>
      <c r="B382" s="556"/>
      <c r="C382" s="556"/>
      <c r="D382" s="556"/>
      <c r="E382" s="556"/>
      <c r="F382" s="564"/>
      <c r="G382" s="564"/>
      <c r="H382" s="564"/>
      <c r="I382" s="564"/>
      <c r="J382" s="564"/>
      <c r="K382" s="564"/>
      <c r="L382" s="564"/>
      <c r="M382" s="564"/>
      <c r="N382" s="564"/>
      <c r="O382" s="564"/>
      <c r="P382" s="564"/>
      <c r="Q382" s="564"/>
      <c r="R382" s="564"/>
      <c r="S382" s="564"/>
      <c r="T382" s="564"/>
      <c r="U382" s="564"/>
      <c r="V382" s="564"/>
      <c r="W382" s="564"/>
      <c r="X382" s="564"/>
      <c r="Y382" s="564"/>
      <c r="Z382" s="564"/>
      <c r="AA382" s="564"/>
      <c r="AB382" s="556"/>
      <c r="AC382" s="556"/>
      <c r="AD382" s="74"/>
      <c r="AE382" s="74"/>
      <c r="AF382" s="74"/>
      <c r="AG382" s="74"/>
      <c r="AH382" s="74"/>
      <c r="AI382" s="74"/>
      <c r="AJ382" s="74"/>
      <c r="AK382" s="74"/>
      <c r="AL382" s="74"/>
      <c r="AM382" s="74"/>
      <c r="AN382" s="74"/>
      <c r="AO382" s="74"/>
      <c r="AP382" s="74"/>
      <c r="AQ382" s="74"/>
      <c r="AR382" s="74"/>
      <c r="AS382" s="565"/>
      <c r="AT382" s="556"/>
    </row>
    <row r="383" spans="1:46" hidden="1" x14ac:dyDescent="0.45">
      <c r="A383" s="556"/>
      <c r="B383" s="556"/>
      <c r="C383" s="556"/>
      <c r="D383" s="556"/>
      <c r="E383" s="556"/>
      <c r="F383" s="564"/>
      <c r="G383" s="564"/>
      <c r="H383" s="564"/>
      <c r="I383" s="564"/>
      <c r="J383" s="564"/>
      <c r="K383" s="564"/>
      <c r="L383" s="564"/>
      <c r="M383" s="564"/>
      <c r="N383" s="564"/>
      <c r="O383" s="564"/>
      <c r="P383" s="564"/>
      <c r="Q383" s="564"/>
      <c r="R383" s="564"/>
      <c r="S383" s="564"/>
      <c r="T383" s="564"/>
      <c r="U383" s="564"/>
      <c r="V383" s="564"/>
      <c r="W383" s="564"/>
      <c r="X383" s="564"/>
      <c r="Y383" s="564"/>
      <c r="Z383" s="564"/>
      <c r="AA383" s="564"/>
      <c r="AB383" s="556"/>
      <c r="AC383" s="556"/>
      <c r="AD383" s="74"/>
      <c r="AE383" s="74"/>
      <c r="AF383" s="74"/>
      <c r="AG383" s="74"/>
      <c r="AH383" s="74"/>
      <c r="AI383" s="74"/>
      <c r="AJ383" s="74"/>
      <c r="AK383" s="74"/>
      <c r="AL383" s="74"/>
      <c r="AM383" s="74"/>
      <c r="AN383" s="74"/>
      <c r="AO383" s="74"/>
      <c r="AP383" s="74"/>
      <c r="AQ383" s="74"/>
      <c r="AR383" s="74"/>
      <c r="AS383" s="565"/>
      <c r="AT383" s="556"/>
    </row>
    <row r="384" spans="1:46" hidden="1" x14ac:dyDescent="0.45">
      <c r="A384" s="556"/>
      <c r="B384" s="556"/>
      <c r="C384" s="556"/>
      <c r="D384" s="556"/>
      <c r="E384" s="556"/>
      <c r="F384" s="564"/>
      <c r="G384" s="564"/>
      <c r="H384" s="564"/>
      <c r="I384" s="564"/>
      <c r="J384" s="564"/>
      <c r="K384" s="564"/>
      <c r="L384" s="564"/>
      <c r="M384" s="564"/>
      <c r="N384" s="564"/>
      <c r="O384" s="564"/>
      <c r="P384" s="564"/>
      <c r="Q384" s="564"/>
      <c r="R384" s="564"/>
      <c r="S384" s="564"/>
      <c r="T384" s="564"/>
      <c r="U384" s="564"/>
      <c r="V384" s="564"/>
      <c r="W384" s="564"/>
      <c r="X384" s="564"/>
      <c r="Y384" s="564"/>
      <c r="Z384" s="564"/>
      <c r="AA384" s="564"/>
      <c r="AB384" s="556"/>
      <c r="AC384" s="556"/>
      <c r="AD384" s="74"/>
      <c r="AE384" s="74"/>
      <c r="AF384" s="74"/>
      <c r="AG384" s="74"/>
      <c r="AH384" s="74"/>
      <c r="AI384" s="74"/>
      <c r="AJ384" s="74"/>
      <c r="AK384" s="74"/>
      <c r="AL384" s="74"/>
      <c r="AM384" s="74"/>
      <c r="AN384" s="74"/>
      <c r="AO384" s="74"/>
      <c r="AP384" s="74"/>
      <c r="AQ384" s="74"/>
      <c r="AR384" s="74"/>
      <c r="AS384" s="565"/>
      <c r="AT384" s="556"/>
    </row>
    <row r="385" spans="1:46" hidden="1" x14ac:dyDescent="0.45">
      <c r="A385" s="556"/>
      <c r="B385" s="556"/>
      <c r="C385" s="556"/>
      <c r="D385" s="556"/>
      <c r="E385" s="556"/>
      <c r="F385" s="564"/>
      <c r="G385" s="564"/>
      <c r="H385" s="564"/>
      <c r="I385" s="564"/>
      <c r="J385" s="564"/>
      <c r="K385" s="564"/>
      <c r="L385" s="564"/>
      <c r="M385" s="564"/>
      <c r="N385" s="564"/>
      <c r="O385" s="564"/>
      <c r="P385" s="564"/>
      <c r="Q385" s="564"/>
      <c r="R385" s="564"/>
      <c r="S385" s="564"/>
      <c r="T385" s="564"/>
      <c r="U385" s="564"/>
      <c r="V385" s="564"/>
      <c r="W385" s="564"/>
      <c r="X385" s="564"/>
      <c r="Y385" s="564"/>
      <c r="Z385" s="564"/>
      <c r="AA385" s="564"/>
      <c r="AB385" s="556"/>
      <c r="AC385" s="556"/>
      <c r="AD385" s="74"/>
      <c r="AE385" s="74"/>
      <c r="AF385" s="74"/>
      <c r="AG385" s="74"/>
      <c r="AH385" s="74"/>
      <c r="AI385" s="74"/>
      <c r="AJ385" s="74"/>
      <c r="AK385" s="74"/>
      <c r="AL385" s="74"/>
      <c r="AM385" s="74"/>
      <c r="AN385" s="74"/>
      <c r="AO385" s="74"/>
      <c r="AP385" s="74"/>
      <c r="AQ385" s="74"/>
      <c r="AR385" s="74"/>
      <c r="AS385" s="565"/>
      <c r="AT385" s="556"/>
    </row>
    <row r="386" spans="1:46" hidden="1" x14ac:dyDescent="0.45">
      <c r="A386" s="556"/>
      <c r="B386" s="556"/>
      <c r="C386" s="556"/>
      <c r="D386" s="556"/>
      <c r="E386" s="556"/>
      <c r="F386" s="564"/>
      <c r="G386" s="564"/>
      <c r="H386" s="564"/>
      <c r="I386" s="564"/>
      <c r="J386" s="564"/>
      <c r="K386" s="564"/>
      <c r="L386" s="564"/>
      <c r="M386" s="564"/>
      <c r="N386" s="564"/>
      <c r="O386" s="564"/>
      <c r="P386" s="564"/>
      <c r="Q386" s="564"/>
      <c r="R386" s="564"/>
      <c r="S386" s="564"/>
      <c r="T386" s="564"/>
      <c r="U386" s="564"/>
      <c r="V386" s="564"/>
      <c r="W386" s="564"/>
      <c r="X386" s="564"/>
      <c r="Y386" s="564"/>
      <c r="Z386" s="564"/>
      <c r="AA386" s="564"/>
      <c r="AB386" s="556"/>
      <c r="AC386" s="556"/>
      <c r="AD386" s="74"/>
      <c r="AE386" s="74"/>
      <c r="AF386" s="74"/>
      <c r="AG386" s="74"/>
      <c r="AH386" s="74"/>
      <c r="AI386" s="74"/>
      <c r="AJ386" s="74"/>
      <c r="AK386" s="74"/>
      <c r="AL386" s="74"/>
      <c r="AM386" s="74"/>
      <c r="AN386" s="74"/>
      <c r="AO386" s="74"/>
      <c r="AP386" s="74"/>
      <c r="AQ386" s="74"/>
      <c r="AR386" s="74"/>
      <c r="AS386" s="565"/>
      <c r="AT386" s="556"/>
    </row>
    <row r="387" spans="1:46" hidden="1" x14ac:dyDescent="0.45">
      <c r="A387" s="556"/>
      <c r="B387" s="556"/>
      <c r="C387" s="556"/>
      <c r="D387" s="556"/>
      <c r="E387" s="556"/>
      <c r="F387" s="564"/>
      <c r="G387" s="564"/>
      <c r="H387" s="564"/>
      <c r="I387" s="564"/>
      <c r="J387" s="564"/>
      <c r="K387" s="564"/>
      <c r="L387" s="564"/>
      <c r="M387" s="564"/>
      <c r="N387" s="564"/>
      <c r="O387" s="564"/>
      <c r="P387" s="564"/>
      <c r="Q387" s="564"/>
      <c r="R387" s="564"/>
      <c r="S387" s="564"/>
      <c r="T387" s="564"/>
      <c r="U387" s="564"/>
      <c r="V387" s="564"/>
      <c r="W387" s="564"/>
      <c r="X387" s="564"/>
      <c r="Y387" s="564"/>
      <c r="Z387" s="564"/>
      <c r="AA387" s="564"/>
      <c r="AB387" s="556"/>
      <c r="AC387" s="556"/>
      <c r="AD387" s="74"/>
      <c r="AE387" s="74"/>
      <c r="AF387" s="74"/>
      <c r="AG387" s="74"/>
      <c r="AH387" s="74"/>
      <c r="AI387" s="74"/>
      <c r="AJ387" s="74"/>
      <c r="AK387" s="74"/>
      <c r="AL387" s="74"/>
      <c r="AM387" s="74"/>
      <c r="AN387" s="74"/>
      <c r="AO387" s="74"/>
      <c r="AP387" s="74"/>
      <c r="AQ387" s="74"/>
      <c r="AR387" s="74"/>
      <c r="AS387" s="565"/>
      <c r="AT387" s="556"/>
    </row>
    <row r="388" spans="1:46" hidden="1" x14ac:dyDescent="0.45">
      <c r="A388" s="556"/>
      <c r="B388" s="556"/>
      <c r="C388" s="556"/>
      <c r="D388" s="556"/>
      <c r="E388" s="556"/>
      <c r="F388" s="564"/>
      <c r="G388" s="564"/>
      <c r="H388" s="564"/>
      <c r="I388" s="564"/>
      <c r="J388" s="564"/>
      <c r="K388" s="564"/>
      <c r="L388" s="564"/>
      <c r="M388" s="564"/>
      <c r="N388" s="564"/>
      <c r="O388" s="564"/>
      <c r="P388" s="564"/>
      <c r="Q388" s="564"/>
      <c r="R388" s="564"/>
      <c r="S388" s="564"/>
      <c r="T388" s="564"/>
      <c r="U388" s="564"/>
      <c r="V388" s="564"/>
      <c r="W388" s="564"/>
      <c r="X388" s="564"/>
      <c r="Y388" s="564"/>
      <c r="Z388" s="564"/>
      <c r="AA388" s="564"/>
      <c r="AB388" s="556"/>
      <c r="AC388" s="556"/>
      <c r="AD388" s="74"/>
      <c r="AE388" s="74"/>
      <c r="AF388" s="74"/>
      <c r="AG388" s="74"/>
      <c r="AH388" s="74"/>
      <c r="AI388" s="74"/>
      <c r="AJ388" s="74"/>
      <c r="AK388" s="74"/>
      <c r="AL388" s="74"/>
      <c r="AM388" s="74"/>
      <c r="AN388" s="74"/>
      <c r="AO388" s="74"/>
      <c r="AP388" s="74"/>
      <c r="AQ388" s="74"/>
      <c r="AR388" s="74"/>
      <c r="AS388" s="565"/>
      <c r="AT388" s="556"/>
    </row>
    <row r="389" spans="1:46" hidden="1" x14ac:dyDescent="0.45">
      <c r="A389" s="556"/>
      <c r="B389" s="556"/>
      <c r="C389" s="556"/>
      <c r="D389" s="556"/>
      <c r="E389" s="556"/>
      <c r="F389" s="564"/>
      <c r="G389" s="564"/>
      <c r="H389" s="564"/>
      <c r="I389" s="564"/>
      <c r="J389" s="564"/>
      <c r="K389" s="564"/>
      <c r="L389" s="564"/>
      <c r="M389" s="564"/>
      <c r="N389" s="564"/>
      <c r="O389" s="564"/>
      <c r="P389" s="564"/>
      <c r="Q389" s="564"/>
      <c r="R389" s="564"/>
      <c r="S389" s="564"/>
      <c r="T389" s="564"/>
      <c r="U389" s="564"/>
      <c r="V389" s="564"/>
      <c r="W389" s="564"/>
      <c r="X389" s="564"/>
      <c r="Y389" s="564"/>
      <c r="Z389" s="564"/>
      <c r="AA389" s="564"/>
      <c r="AB389" s="556"/>
      <c r="AC389" s="556"/>
      <c r="AD389" s="74"/>
      <c r="AE389" s="74"/>
      <c r="AF389" s="74"/>
      <c r="AG389" s="74"/>
      <c r="AH389" s="74"/>
      <c r="AI389" s="74"/>
      <c r="AJ389" s="74"/>
      <c r="AK389" s="74"/>
      <c r="AL389" s="74"/>
      <c r="AM389" s="74"/>
      <c r="AN389" s="74"/>
      <c r="AO389" s="74"/>
      <c r="AP389" s="74"/>
      <c r="AQ389" s="74"/>
      <c r="AR389" s="74"/>
      <c r="AS389" s="565"/>
      <c r="AT389" s="556"/>
    </row>
    <row r="390" spans="1:46" hidden="1" x14ac:dyDescent="0.45">
      <c r="A390" s="556"/>
      <c r="B390" s="556"/>
      <c r="C390" s="556"/>
      <c r="D390" s="556"/>
      <c r="E390" s="556"/>
      <c r="F390" s="564"/>
      <c r="G390" s="564"/>
      <c r="H390" s="564"/>
      <c r="I390" s="564"/>
      <c r="J390" s="564"/>
      <c r="K390" s="564"/>
      <c r="L390" s="564"/>
      <c r="M390" s="564"/>
      <c r="N390" s="564"/>
      <c r="O390" s="564"/>
      <c r="P390" s="564"/>
      <c r="Q390" s="564"/>
      <c r="R390" s="564"/>
      <c r="S390" s="564"/>
      <c r="T390" s="564"/>
      <c r="U390" s="564"/>
      <c r="V390" s="564"/>
      <c r="W390" s="564"/>
      <c r="X390" s="564"/>
      <c r="Y390" s="564"/>
      <c r="Z390" s="564"/>
      <c r="AA390" s="564"/>
      <c r="AB390" s="556"/>
      <c r="AC390" s="556"/>
      <c r="AD390" s="74"/>
      <c r="AE390" s="74"/>
      <c r="AF390" s="74"/>
      <c r="AG390" s="74"/>
      <c r="AH390" s="74"/>
      <c r="AI390" s="74"/>
      <c r="AJ390" s="74"/>
      <c r="AK390" s="74"/>
      <c r="AL390" s="74"/>
      <c r="AM390" s="74"/>
      <c r="AN390" s="74"/>
      <c r="AO390" s="74"/>
      <c r="AP390" s="74"/>
      <c r="AQ390" s="74"/>
      <c r="AR390" s="74"/>
      <c r="AS390" s="565"/>
      <c r="AT390" s="556"/>
    </row>
    <row r="391" spans="1:46" hidden="1" x14ac:dyDescent="0.45">
      <c r="A391" s="556"/>
      <c r="B391" s="556"/>
      <c r="C391" s="556"/>
      <c r="D391" s="556"/>
      <c r="E391" s="556"/>
      <c r="F391" s="564"/>
      <c r="G391" s="564"/>
      <c r="H391" s="564"/>
      <c r="I391" s="564"/>
      <c r="J391" s="564"/>
      <c r="K391" s="564"/>
      <c r="L391" s="564"/>
      <c r="M391" s="564"/>
      <c r="N391" s="564"/>
      <c r="O391" s="564"/>
      <c r="P391" s="564"/>
      <c r="Q391" s="564"/>
      <c r="R391" s="564"/>
      <c r="S391" s="564"/>
      <c r="T391" s="564"/>
      <c r="U391" s="564"/>
      <c r="V391" s="564"/>
      <c r="W391" s="564"/>
      <c r="X391" s="564"/>
      <c r="Y391" s="564"/>
      <c r="Z391" s="564"/>
      <c r="AA391" s="564"/>
      <c r="AB391" s="556"/>
      <c r="AC391" s="556"/>
      <c r="AD391" s="74"/>
      <c r="AE391" s="74"/>
      <c r="AF391" s="74"/>
      <c r="AG391" s="74"/>
      <c r="AH391" s="74"/>
      <c r="AI391" s="74"/>
      <c r="AJ391" s="74"/>
      <c r="AK391" s="74"/>
      <c r="AL391" s="74"/>
      <c r="AM391" s="74"/>
      <c r="AN391" s="74"/>
      <c r="AO391" s="74"/>
      <c r="AP391" s="74"/>
      <c r="AQ391" s="74"/>
      <c r="AR391" s="74"/>
      <c r="AS391" s="565"/>
      <c r="AT391" s="556"/>
    </row>
    <row r="392" spans="1:46" hidden="1" x14ac:dyDescent="0.45">
      <c r="A392" s="556"/>
      <c r="B392" s="556"/>
      <c r="C392" s="556"/>
      <c r="D392" s="556"/>
      <c r="E392" s="556"/>
      <c r="F392" s="564"/>
      <c r="G392" s="564"/>
      <c r="H392" s="564"/>
      <c r="I392" s="564"/>
      <c r="J392" s="564"/>
      <c r="K392" s="564"/>
      <c r="L392" s="564"/>
      <c r="M392" s="564"/>
      <c r="N392" s="564"/>
      <c r="O392" s="564"/>
      <c r="P392" s="564"/>
      <c r="Q392" s="564"/>
      <c r="R392" s="564"/>
      <c r="S392" s="564"/>
      <c r="T392" s="564"/>
      <c r="U392" s="564"/>
      <c r="V392" s="564"/>
      <c r="W392" s="564"/>
      <c r="X392" s="564"/>
      <c r="Y392" s="564"/>
      <c r="Z392" s="564"/>
      <c r="AA392" s="564"/>
      <c r="AB392" s="556"/>
      <c r="AC392" s="556"/>
      <c r="AD392" s="74"/>
      <c r="AE392" s="74"/>
      <c r="AF392" s="74"/>
      <c r="AG392" s="74"/>
      <c r="AH392" s="74"/>
      <c r="AI392" s="74"/>
      <c r="AJ392" s="74"/>
      <c r="AK392" s="74"/>
      <c r="AL392" s="74"/>
      <c r="AM392" s="74"/>
      <c r="AN392" s="74"/>
      <c r="AO392" s="74"/>
      <c r="AP392" s="74"/>
      <c r="AQ392" s="74"/>
      <c r="AR392" s="74"/>
      <c r="AS392" s="565"/>
      <c r="AT392" s="556"/>
    </row>
    <row r="393" spans="1:46" hidden="1" x14ac:dyDescent="0.45">
      <c r="A393" s="556"/>
      <c r="B393" s="556"/>
      <c r="C393" s="556"/>
      <c r="D393" s="556"/>
      <c r="E393" s="556"/>
      <c r="F393" s="564"/>
      <c r="G393" s="564"/>
      <c r="H393" s="564"/>
      <c r="I393" s="564"/>
      <c r="J393" s="564"/>
      <c r="K393" s="564"/>
      <c r="L393" s="564"/>
      <c r="M393" s="564"/>
      <c r="N393" s="564"/>
      <c r="O393" s="564"/>
      <c r="P393" s="564"/>
      <c r="Q393" s="564"/>
      <c r="R393" s="564"/>
      <c r="S393" s="564"/>
      <c r="T393" s="564"/>
      <c r="U393" s="564"/>
      <c r="V393" s="564"/>
      <c r="W393" s="564"/>
      <c r="X393" s="564"/>
      <c r="Y393" s="564"/>
      <c r="Z393" s="564"/>
      <c r="AA393" s="564"/>
      <c r="AB393" s="556"/>
      <c r="AC393" s="556"/>
      <c r="AD393" s="74"/>
      <c r="AE393" s="74"/>
      <c r="AF393" s="74"/>
      <c r="AG393" s="74"/>
      <c r="AH393" s="74"/>
      <c r="AI393" s="74"/>
      <c r="AJ393" s="74"/>
      <c r="AK393" s="74"/>
      <c r="AL393" s="74"/>
      <c r="AM393" s="74"/>
      <c r="AN393" s="74"/>
      <c r="AO393" s="74"/>
      <c r="AP393" s="74"/>
      <c r="AQ393" s="74"/>
      <c r="AR393" s="74"/>
      <c r="AS393" s="565"/>
      <c r="AT393" s="556"/>
    </row>
    <row r="394" spans="1:46" hidden="1" x14ac:dyDescent="0.45">
      <c r="A394" s="556"/>
      <c r="B394" s="556"/>
      <c r="C394" s="556"/>
      <c r="D394" s="556"/>
      <c r="E394" s="556"/>
      <c r="F394" s="564"/>
      <c r="G394" s="564"/>
      <c r="H394" s="564"/>
      <c r="I394" s="564"/>
      <c r="J394" s="564"/>
      <c r="K394" s="564"/>
      <c r="L394" s="564"/>
      <c r="M394" s="564"/>
      <c r="N394" s="564"/>
      <c r="O394" s="564"/>
      <c r="P394" s="564"/>
      <c r="Q394" s="564"/>
      <c r="R394" s="564"/>
      <c r="S394" s="564"/>
      <c r="T394" s="564"/>
      <c r="U394" s="564"/>
      <c r="V394" s="564"/>
      <c r="W394" s="564"/>
      <c r="X394" s="564"/>
      <c r="Y394" s="564"/>
      <c r="Z394" s="564"/>
      <c r="AA394" s="564"/>
      <c r="AB394" s="556"/>
      <c r="AC394" s="556"/>
      <c r="AD394" s="74"/>
      <c r="AE394" s="74"/>
      <c r="AF394" s="74"/>
      <c r="AG394" s="74"/>
      <c r="AH394" s="74"/>
      <c r="AI394" s="74"/>
      <c r="AJ394" s="74"/>
      <c r="AK394" s="74"/>
      <c r="AL394" s="74"/>
      <c r="AM394" s="74"/>
      <c r="AN394" s="74"/>
      <c r="AO394" s="74"/>
      <c r="AP394" s="74"/>
      <c r="AQ394" s="74"/>
      <c r="AR394" s="74"/>
      <c r="AS394" s="565"/>
      <c r="AT394" s="556"/>
    </row>
    <row r="395" spans="1:46" hidden="1" x14ac:dyDescent="0.45">
      <c r="A395" s="556"/>
      <c r="B395" s="556"/>
      <c r="C395" s="556"/>
      <c r="D395" s="556"/>
      <c r="E395" s="556"/>
      <c r="F395" s="564"/>
      <c r="G395" s="564"/>
      <c r="H395" s="564"/>
      <c r="I395" s="564"/>
      <c r="J395" s="564"/>
      <c r="K395" s="564"/>
      <c r="L395" s="564"/>
      <c r="M395" s="564"/>
      <c r="N395" s="564"/>
      <c r="O395" s="564"/>
      <c r="P395" s="564"/>
      <c r="Q395" s="564"/>
      <c r="R395" s="564"/>
      <c r="S395" s="564"/>
      <c r="T395" s="564"/>
      <c r="U395" s="564"/>
      <c r="V395" s="564"/>
      <c r="W395" s="564"/>
      <c r="X395" s="564"/>
      <c r="Y395" s="564"/>
      <c r="Z395" s="564"/>
      <c r="AA395" s="564"/>
      <c r="AB395" s="556"/>
      <c r="AC395" s="556"/>
      <c r="AD395" s="74"/>
      <c r="AE395" s="74"/>
      <c r="AF395" s="74"/>
      <c r="AG395" s="74"/>
      <c r="AH395" s="74"/>
      <c r="AI395" s="74"/>
      <c r="AJ395" s="74"/>
      <c r="AK395" s="74"/>
      <c r="AL395" s="74"/>
      <c r="AM395" s="74"/>
      <c r="AN395" s="74"/>
      <c r="AO395" s="74"/>
      <c r="AP395" s="74"/>
      <c r="AQ395" s="74"/>
      <c r="AR395" s="74"/>
      <c r="AS395" s="565"/>
      <c r="AT395" s="556"/>
    </row>
    <row r="396" spans="1:46" hidden="1" x14ac:dyDescent="0.45">
      <c r="A396" s="556"/>
      <c r="B396" s="556"/>
      <c r="C396" s="556"/>
      <c r="D396" s="556"/>
      <c r="E396" s="556"/>
      <c r="F396" s="564"/>
      <c r="G396" s="564"/>
      <c r="H396" s="564"/>
      <c r="I396" s="564"/>
      <c r="J396" s="564"/>
      <c r="K396" s="564"/>
      <c r="L396" s="564"/>
      <c r="M396" s="564"/>
      <c r="N396" s="564"/>
      <c r="O396" s="564"/>
      <c r="P396" s="564"/>
      <c r="Q396" s="564"/>
      <c r="R396" s="564"/>
      <c r="S396" s="564"/>
      <c r="T396" s="564"/>
      <c r="U396" s="564"/>
      <c r="V396" s="564"/>
      <c r="W396" s="564"/>
      <c r="X396" s="564"/>
      <c r="Y396" s="564"/>
      <c r="Z396" s="564"/>
      <c r="AA396" s="564"/>
      <c r="AB396" s="556"/>
      <c r="AC396" s="556"/>
      <c r="AD396" s="74"/>
      <c r="AE396" s="74"/>
      <c r="AF396" s="74"/>
      <c r="AG396" s="74"/>
      <c r="AH396" s="74"/>
      <c r="AI396" s="74"/>
      <c r="AJ396" s="74"/>
      <c r="AK396" s="74"/>
      <c r="AL396" s="74"/>
      <c r="AM396" s="74"/>
      <c r="AN396" s="74"/>
      <c r="AO396" s="74"/>
      <c r="AP396" s="74"/>
      <c r="AQ396" s="74"/>
      <c r="AR396" s="74"/>
      <c r="AS396" s="565"/>
      <c r="AT396" s="556"/>
    </row>
    <row r="397" spans="1:46" hidden="1" x14ac:dyDescent="0.45">
      <c r="A397" s="556"/>
      <c r="B397" s="556"/>
      <c r="C397" s="556"/>
      <c r="D397" s="556"/>
      <c r="E397" s="556"/>
      <c r="F397" s="564"/>
      <c r="G397" s="564"/>
      <c r="H397" s="564"/>
      <c r="I397" s="564"/>
      <c r="J397" s="564"/>
      <c r="K397" s="564"/>
      <c r="L397" s="564"/>
      <c r="M397" s="564"/>
      <c r="N397" s="564"/>
      <c r="O397" s="564"/>
      <c r="P397" s="564"/>
      <c r="Q397" s="564"/>
      <c r="R397" s="564"/>
      <c r="S397" s="564"/>
      <c r="T397" s="564"/>
      <c r="U397" s="564"/>
      <c r="V397" s="564"/>
      <c r="W397" s="564"/>
      <c r="X397" s="564"/>
      <c r="Y397" s="564"/>
      <c r="Z397" s="564"/>
      <c r="AA397" s="564"/>
      <c r="AB397" s="556"/>
      <c r="AC397" s="556"/>
      <c r="AD397" s="74"/>
      <c r="AE397" s="74"/>
      <c r="AF397" s="74"/>
      <c r="AG397" s="74"/>
      <c r="AH397" s="74"/>
      <c r="AI397" s="74"/>
      <c r="AJ397" s="74"/>
      <c r="AK397" s="74"/>
      <c r="AL397" s="74"/>
      <c r="AM397" s="74"/>
      <c r="AN397" s="74"/>
      <c r="AO397" s="74"/>
      <c r="AP397" s="74"/>
      <c r="AQ397" s="74"/>
      <c r="AR397" s="74"/>
      <c r="AS397" s="565"/>
      <c r="AT397" s="556"/>
    </row>
    <row r="398" spans="1:46" hidden="1" x14ac:dyDescent="0.45">
      <c r="A398" s="556"/>
      <c r="B398" s="556"/>
      <c r="C398" s="556"/>
      <c r="D398" s="556"/>
      <c r="E398" s="556"/>
      <c r="F398" s="564"/>
      <c r="G398" s="564"/>
      <c r="H398" s="564"/>
      <c r="I398" s="564"/>
      <c r="J398" s="564"/>
      <c r="K398" s="564"/>
      <c r="L398" s="564"/>
      <c r="M398" s="564"/>
      <c r="N398" s="564"/>
      <c r="O398" s="564"/>
      <c r="P398" s="564"/>
      <c r="Q398" s="564"/>
      <c r="R398" s="564"/>
      <c r="S398" s="564"/>
      <c r="T398" s="564"/>
      <c r="U398" s="564"/>
      <c r="V398" s="564"/>
      <c r="W398" s="564"/>
      <c r="X398" s="564"/>
      <c r="Y398" s="564"/>
      <c r="Z398" s="564"/>
      <c r="AA398" s="564"/>
      <c r="AB398" s="556"/>
      <c r="AC398" s="556"/>
      <c r="AD398" s="74"/>
      <c r="AE398" s="74"/>
      <c r="AF398" s="74"/>
      <c r="AG398" s="74"/>
      <c r="AH398" s="74"/>
      <c r="AI398" s="74"/>
      <c r="AJ398" s="74"/>
      <c r="AK398" s="74"/>
      <c r="AL398" s="74"/>
      <c r="AM398" s="74"/>
      <c r="AN398" s="74"/>
      <c r="AO398" s="74"/>
      <c r="AP398" s="74"/>
      <c r="AQ398" s="74"/>
      <c r="AR398" s="74"/>
      <c r="AS398" s="565"/>
      <c r="AT398" s="556"/>
    </row>
    <row r="399" spans="1:46" hidden="1" x14ac:dyDescent="0.45">
      <c r="A399" s="556"/>
      <c r="B399" s="556"/>
      <c r="C399" s="556"/>
      <c r="D399" s="556"/>
      <c r="E399" s="556"/>
      <c r="F399" s="564"/>
      <c r="G399" s="564"/>
      <c r="H399" s="564"/>
      <c r="I399" s="564"/>
      <c r="J399" s="564"/>
      <c r="K399" s="564"/>
      <c r="L399" s="564"/>
      <c r="M399" s="564"/>
      <c r="N399" s="564"/>
      <c r="O399" s="564"/>
      <c r="P399" s="564"/>
      <c r="Q399" s="564"/>
      <c r="R399" s="564"/>
      <c r="S399" s="564"/>
      <c r="T399" s="564"/>
      <c r="U399" s="564"/>
      <c r="V399" s="564"/>
      <c r="W399" s="564"/>
      <c r="X399" s="564"/>
      <c r="Y399" s="564"/>
      <c r="Z399" s="564"/>
      <c r="AA399" s="564"/>
      <c r="AB399" s="556"/>
      <c r="AC399" s="556"/>
      <c r="AD399" s="74"/>
      <c r="AE399" s="74"/>
      <c r="AF399" s="74"/>
      <c r="AG399" s="74"/>
      <c r="AH399" s="74"/>
      <c r="AI399" s="74"/>
      <c r="AJ399" s="74"/>
      <c r="AK399" s="74"/>
      <c r="AL399" s="74"/>
      <c r="AM399" s="74"/>
      <c r="AN399" s="74"/>
      <c r="AO399" s="74"/>
      <c r="AP399" s="74"/>
      <c r="AQ399" s="74"/>
      <c r="AR399" s="74"/>
      <c r="AS399" s="565"/>
      <c r="AT399" s="556"/>
    </row>
    <row r="400" spans="1:46" hidden="1" x14ac:dyDescent="0.45">
      <c r="A400" s="556"/>
      <c r="B400" s="556"/>
      <c r="C400" s="556"/>
      <c r="D400" s="556"/>
      <c r="E400" s="556"/>
      <c r="F400" s="564"/>
      <c r="G400" s="564"/>
      <c r="H400" s="564"/>
      <c r="I400" s="564"/>
      <c r="J400" s="564"/>
      <c r="K400" s="564"/>
      <c r="L400" s="564"/>
      <c r="M400" s="564"/>
      <c r="N400" s="564"/>
      <c r="O400" s="564"/>
      <c r="P400" s="564"/>
      <c r="Q400" s="564"/>
      <c r="R400" s="564"/>
      <c r="S400" s="564"/>
      <c r="T400" s="564"/>
      <c r="U400" s="564"/>
      <c r="V400" s="564"/>
      <c r="W400" s="564"/>
      <c r="X400" s="564"/>
      <c r="Y400" s="564"/>
      <c r="Z400" s="564"/>
      <c r="AA400" s="564"/>
      <c r="AB400" s="556"/>
      <c r="AC400" s="556"/>
      <c r="AD400" s="74"/>
      <c r="AE400" s="74"/>
      <c r="AF400" s="74"/>
      <c r="AG400" s="74"/>
      <c r="AH400" s="74"/>
      <c r="AI400" s="74"/>
      <c r="AJ400" s="74"/>
      <c r="AK400" s="74"/>
      <c r="AL400" s="74"/>
      <c r="AM400" s="74"/>
      <c r="AN400" s="74"/>
      <c r="AO400" s="74"/>
      <c r="AP400" s="74"/>
      <c r="AQ400" s="74"/>
      <c r="AR400" s="74"/>
      <c r="AS400" s="565"/>
      <c r="AT400" s="556"/>
    </row>
    <row r="401" spans="1:46" hidden="1" x14ac:dyDescent="0.45">
      <c r="A401" s="556"/>
      <c r="B401" s="556"/>
      <c r="C401" s="556"/>
      <c r="D401" s="556"/>
      <c r="E401" s="556"/>
      <c r="F401" s="564"/>
      <c r="G401" s="564"/>
      <c r="H401" s="564"/>
      <c r="I401" s="564"/>
      <c r="J401" s="564"/>
      <c r="K401" s="564"/>
      <c r="L401" s="564"/>
      <c r="M401" s="564"/>
      <c r="N401" s="564"/>
      <c r="O401" s="564"/>
      <c r="P401" s="564"/>
      <c r="Q401" s="564"/>
      <c r="R401" s="564"/>
      <c r="S401" s="564"/>
      <c r="T401" s="564"/>
      <c r="U401" s="564"/>
      <c r="V401" s="564"/>
      <c r="W401" s="564"/>
      <c r="X401" s="564"/>
      <c r="Y401" s="564"/>
      <c r="Z401" s="564"/>
      <c r="AA401" s="564"/>
      <c r="AB401" s="556"/>
      <c r="AC401" s="556"/>
      <c r="AD401" s="74"/>
      <c r="AE401" s="74"/>
      <c r="AF401" s="74"/>
      <c r="AG401" s="74"/>
      <c r="AH401" s="74"/>
      <c r="AI401" s="74"/>
      <c r="AJ401" s="74"/>
      <c r="AK401" s="74"/>
      <c r="AL401" s="74"/>
      <c r="AM401" s="74"/>
      <c r="AN401" s="74"/>
      <c r="AO401" s="74"/>
      <c r="AP401" s="74"/>
      <c r="AQ401" s="74"/>
      <c r="AR401" s="74"/>
      <c r="AS401" s="565"/>
      <c r="AT401" s="556"/>
    </row>
    <row r="402" spans="1:46" hidden="1" x14ac:dyDescent="0.45">
      <c r="A402" s="556"/>
      <c r="B402" s="556"/>
      <c r="C402" s="556"/>
      <c r="D402" s="556"/>
      <c r="E402" s="556"/>
      <c r="F402" s="564"/>
      <c r="G402" s="564"/>
      <c r="H402" s="564"/>
      <c r="I402" s="564"/>
      <c r="J402" s="564"/>
      <c r="K402" s="564"/>
      <c r="L402" s="564"/>
      <c r="M402" s="564"/>
      <c r="N402" s="564"/>
      <c r="O402" s="564"/>
      <c r="P402" s="564"/>
      <c r="Q402" s="564"/>
      <c r="R402" s="564"/>
      <c r="S402" s="564"/>
      <c r="T402" s="564"/>
      <c r="U402" s="564"/>
      <c r="V402" s="564"/>
      <c r="W402" s="564"/>
      <c r="X402" s="564"/>
      <c r="Y402" s="564"/>
      <c r="Z402" s="564"/>
      <c r="AA402" s="564"/>
      <c r="AB402" s="556"/>
      <c r="AC402" s="556"/>
      <c r="AD402" s="74"/>
      <c r="AE402" s="74"/>
      <c r="AF402" s="74"/>
      <c r="AG402" s="74"/>
      <c r="AH402" s="74"/>
      <c r="AI402" s="74"/>
      <c r="AJ402" s="74"/>
      <c r="AK402" s="74"/>
      <c r="AL402" s="74"/>
      <c r="AM402" s="74"/>
      <c r="AN402" s="74"/>
      <c r="AO402" s="74"/>
      <c r="AP402" s="74"/>
      <c r="AQ402" s="74"/>
      <c r="AR402" s="74"/>
      <c r="AS402" s="565"/>
      <c r="AT402" s="556"/>
    </row>
    <row r="403" spans="1:46" hidden="1" x14ac:dyDescent="0.45">
      <c r="A403" s="556"/>
      <c r="B403" s="556"/>
      <c r="C403" s="556"/>
      <c r="D403" s="556"/>
      <c r="E403" s="556"/>
      <c r="F403" s="564"/>
      <c r="G403" s="564"/>
      <c r="H403" s="564"/>
      <c r="I403" s="564"/>
      <c r="J403" s="564"/>
      <c r="K403" s="564"/>
      <c r="L403" s="564"/>
      <c r="M403" s="564"/>
      <c r="N403" s="564"/>
      <c r="O403" s="564"/>
      <c r="P403" s="564"/>
      <c r="Q403" s="564"/>
      <c r="R403" s="564"/>
      <c r="S403" s="564"/>
      <c r="T403" s="564"/>
      <c r="U403" s="564"/>
      <c r="V403" s="564"/>
      <c r="W403" s="564"/>
      <c r="X403" s="564"/>
      <c r="Y403" s="564"/>
      <c r="Z403" s="564"/>
      <c r="AA403" s="564"/>
      <c r="AB403" s="556"/>
      <c r="AC403" s="556"/>
      <c r="AD403" s="74"/>
      <c r="AE403" s="74"/>
      <c r="AF403" s="74"/>
      <c r="AG403" s="74"/>
      <c r="AH403" s="74"/>
      <c r="AI403" s="74"/>
      <c r="AJ403" s="74"/>
      <c r="AK403" s="74"/>
      <c r="AL403" s="74"/>
      <c r="AM403" s="74"/>
      <c r="AN403" s="74"/>
      <c r="AO403" s="74"/>
      <c r="AP403" s="74"/>
      <c r="AQ403" s="74"/>
      <c r="AR403" s="74"/>
      <c r="AS403" s="565"/>
      <c r="AT403" s="556"/>
    </row>
    <row r="404" spans="1:46" hidden="1" x14ac:dyDescent="0.45">
      <c r="A404" s="556"/>
      <c r="B404" s="556"/>
      <c r="C404" s="556"/>
      <c r="D404" s="556"/>
      <c r="E404" s="556"/>
      <c r="F404" s="564"/>
      <c r="G404" s="564"/>
      <c r="H404" s="564"/>
      <c r="I404" s="564"/>
      <c r="J404" s="564"/>
      <c r="K404" s="564"/>
      <c r="L404" s="564"/>
      <c r="M404" s="564"/>
      <c r="N404" s="564"/>
      <c r="O404" s="564"/>
      <c r="P404" s="564"/>
      <c r="Q404" s="564"/>
      <c r="R404" s="564"/>
      <c r="S404" s="564"/>
      <c r="T404" s="564"/>
      <c r="U404" s="564"/>
      <c r="V404" s="564"/>
      <c r="W404" s="564"/>
      <c r="X404" s="564"/>
      <c r="Y404" s="564"/>
      <c r="Z404" s="564"/>
      <c r="AA404" s="564"/>
      <c r="AB404" s="556"/>
      <c r="AC404" s="556"/>
      <c r="AD404" s="74"/>
      <c r="AE404" s="74"/>
      <c r="AF404" s="74"/>
      <c r="AG404" s="74"/>
      <c r="AH404" s="74"/>
      <c r="AI404" s="74"/>
      <c r="AJ404" s="74"/>
      <c r="AK404" s="74"/>
      <c r="AL404" s="74"/>
      <c r="AM404" s="74"/>
      <c r="AN404" s="74"/>
      <c r="AO404" s="74"/>
      <c r="AP404" s="74"/>
      <c r="AQ404" s="74"/>
      <c r="AR404" s="74"/>
      <c r="AS404" s="565"/>
      <c r="AT404" s="556"/>
    </row>
    <row r="405" spans="1:46" hidden="1" x14ac:dyDescent="0.45">
      <c r="A405" s="556"/>
      <c r="B405" s="556"/>
      <c r="C405" s="556"/>
      <c r="D405" s="556"/>
      <c r="E405" s="556"/>
      <c r="F405" s="564"/>
      <c r="G405" s="564"/>
      <c r="H405" s="564"/>
      <c r="I405" s="564"/>
      <c r="J405" s="564"/>
      <c r="K405" s="564"/>
      <c r="L405" s="564"/>
      <c r="M405" s="564"/>
      <c r="N405" s="564"/>
      <c r="O405" s="564"/>
      <c r="P405" s="564"/>
      <c r="Q405" s="564"/>
      <c r="R405" s="564"/>
      <c r="S405" s="564"/>
      <c r="T405" s="564"/>
      <c r="U405" s="564"/>
      <c r="V405" s="564"/>
      <c r="W405" s="564"/>
      <c r="X405" s="564"/>
      <c r="Y405" s="564"/>
      <c r="Z405" s="564"/>
      <c r="AA405" s="564"/>
      <c r="AB405" s="556"/>
      <c r="AC405" s="556"/>
      <c r="AD405" s="74"/>
      <c r="AE405" s="74"/>
      <c r="AF405" s="74"/>
      <c r="AG405" s="74"/>
      <c r="AH405" s="74"/>
      <c r="AI405" s="74"/>
      <c r="AJ405" s="74"/>
      <c r="AK405" s="74"/>
      <c r="AL405" s="74"/>
      <c r="AM405" s="74"/>
      <c r="AN405" s="74"/>
      <c r="AO405" s="74"/>
      <c r="AP405" s="74"/>
      <c r="AQ405" s="74"/>
      <c r="AR405" s="74"/>
      <c r="AS405" s="565"/>
      <c r="AT405" s="556"/>
    </row>
    <row r="406" spans="1:46" hidden="1" x14ac:dyDescent="0.45">
      <c r="A406" s="556"/>
      <c r="B406" s="556"/>
      <c r="C406" s="556"/>
      <c r="D406" s="556"/>
      <c r="E406" s="556"/>
      <c r="F406" s="564"/>
      <c r="G406" s="564"/>
      <c r="H406" s="564"/>
      <c r="I406" s="564"/>
      <c r="J406" s="564"/>
      <c r="K406" s="564"/>
      <c r="L406" s="564"/>
      <c r="M406" s="564"/>
      <c r="N406" s="564"/>
      <c r="O406" s="564"/>
      <c r="P406" s="564"/>
      <c r="Q406" s="564"/>
      <c r="R406" s="564"/>
      <c r="S406" s="564"/>
      <c r="T406" s="564"/>
      <c r="U406" s="564"/>
      <c r="V406" s="564"/>
      <c r="W406" s="564"/>
      <c r="X406" s="564"/>
      <c r="Y406" s="564"/>
      <c r="Z406" s="564"/>
      <c r="AA406" s="564"/>
      <c r="AB406" s="556"/>
      <c r="AC406" s="556"/>
      <c r="AD406" s="74"/>
      <c r="AE406" s="74"/>
      <c r="AF406" s="74"/>
      <c r="AG406" s="74"/>
      <c r="AH406" s="74"/>
      <c r="AI406" s="74"/>
      <c r="AJ406" s="74"/>
      <c r="AK406" s="74"/>
      <c r="AL406" s="74"/>
      <c r="AM406" s="74"/>
      <c r="AN406" s="74"/>
      <c r="AO406" s="74"/>
      <c r="AP406" s="74"/>
      <c r="AQ406" s="74"/>
      <c r="AR406" s="74"/>
      <c r="AS406" s="565"/>
      <c r="AT406" s="556"/>
    </row>
    <row r="407" spans="1:46" hidden="1" x14ac:dyDescent="0.45">
      <c r="A407" s="556"/>
      <c r="B407" s="556"/>
      <c r="C407" s="556"/>
      <c r="D407" s="556"/>
      <c r="E407" s="556"/>
      <c r="F407" s="564"/>
      <c r="G407" s="564"/>
      <c r="H407" s="564"/>
      <c r="I407" s="564"/>
      <c r="J407" s="564"/>
      <c r="K407" s="564"/>
      <c r="L407" s="564"/>
      <c r="M407" s="564"/>
      <c r="N407" s="564"/>
      <c r="O407" s="564"/>
      <c r="P407" s="564"/>
      <c r="Q407" s="564"/>
      <c r="R407" s="564"/>
      <c r="S407" s="564"/>
      <c r="T407" s="564"/>
      <c r="U407" s="564"/>
      <c r="V407" s="564"/>
      <c r="W407" s="564"/>
      <c r="X407" s="564"/>
      <c r="Y407" s="564"/>
      <c r="Z407" s="564"/>
      <c r="AA407" s="564"/>
      <c r="AB407" s="556"/>
      <c r="AC407" s="556"/>
      <c r="AD407" s="74"/>
      <c r="AE407" s="74"/>
      <c r="AF407" s="74"/>
      <c r="AG407" s="74"/>
      <c r="AH407" s="74"/>
      <c r="AI407" s="74"/>
      <c r="AJ407" s="74"/>
      <c r="AK407" s="74"/>
      <c r="AL407" s="74"/>
      <c r="AM407" s="74"/>
      <c r="AN407" s="74"/>
      <c r="AO407" s="74"/>
      <c r="AP407" s="74"/>
      <c r="AQ407" s="74"/>
      <c r="AR407" s="74"/>
      <c r="AS407" s="565"/>
      <c r="AT407" s="556"/>
    </row>
    <row r="408" spans="1:46" hidden="1" x14ac:dyDescent="0.45">
      <c r="A408" s="556"/>
      <c r="B408" s="556"/>
      <c r="C408" s="556"/>
      <c r="D408" s="556"/>
      <c r="E408" s="556"/>
      <c r="F408" s="564"/>
      <c r="G408" s="564"/>
      <c r="H408" s="564"/>
      <c r="I408" s="564"/>
      <c r="J408" s="564"/>
      <c r="K408" s="564"/>
      <c r="L408" s="564"/>
      <c r="M408" s="564"/>
      <c r="N408" s="564"/>
      <c r="O408" s="564"/>
      <c r="P408" s="564"/>
      <c r="Q408" s="564"/>
      <c r="R408" s="564"/>
      <c r="S408" s="564"/>
      <c r="T408" s="564"/>
      <c r="U408" s="564"/>
      <c r="V408" s="564"/>
      <c r="W408" s="564"/>
      <c r="X408" s="564"/>
      <c r="Y408" s="564"/>
      <c r="Z408" s="564"/>
      <c r="AA408" s="564"/>
      <c r="AB408" s="556"/>
      <c r="AC408" s="556"/>
      <c r="AD408" s="74"/>
      <c r="AE408" s="74"/>
      <c r="AF408" s="74"/>
      <c r="AG408" s="74"/>
      <c r="AH408" s="74"/>
      <c r="AI408" s="74"/>
      <c r="AJ408" s="74"/>
      <c r="AK408" s="74"/>
      <c r="AL408" s="74"/>
      <c r="AM408" s="74"/>
      <c r="AN408" s="74"/>
      <c r="AO408" s="74"/>
      <c r="AP408" s="74"/>
      <c r="AQ408" s="74"/>
      <c r="AR408" s="74"/>
      <c r="AS408" s="565"/>
      <c r="AT408" s="556"/>
    </row>
    <row r="409" spans="1:46" hidden="1" x14ac:dyDescent="0.45">
      <c r="A409" s="556"/>
      <c r="B409" s="556"/>
      <c r="C409" s="556"/>
      <c r="D409" s="556"/>
      <c r="E409" s="556"/>
      <c r="F409" s="564"/>
      <c r="G409" s="564"/>
      <c r="H409" s="564"/>
      <c r="I409" s="564"/>
      <c r="J409" s="564"/>
      <c r="K409" s="564"/>
      <c r="L409" s="564"/>
      <c r="M409" s="564"/>
      <c r="N409" s="564"/>
      <c r="O409" s="564"/>
      <c r="P409" s="564"/>
      <c r="Q409" s="564"/>
      <c r="R409" s="564"/>
      <c r="S409" s="564"/>
      <c r="T409" s="564"/>
      <c r="U409" s="564"/>
      <c r="V409" s="564"/>
      <c r="W409" s="564"/>
      <c r="X409" s="564"/>
      <c r="Y409" s="564"/>
      <c r="Z409" s="564"/>
      <c r="AA409" s="564"/>
      <c r="AB409" s="556"/>
      <c r="AC409" s="556"/>
      <c r="AD409" s="74"/>
      <c r="AE409" s="74"/>
      <c r="AF409" s="74"/>
      <c r="AG409" s="74"/>
      <c r="AH409" s="74"/>
      <c r="AI409" s="74"/>
      <c r="AJ409" s="74"/>
      <c r="AK409" s="74"/>
      <c r="AL409" s="74"/>
      <c r="AM409" s="74"/>
      <c r="AN409" s="74"/>
      <c r="AO409" s="74"/>
      <c r="AP409" s="74"/>
      <c r="AQ409" s="74"/>
      <c r="AR409" s="74"/>
      <c r="AS409" s="565"/>
      <c r="AT409" s="556"/>
    </row>
    <row r="410" spans="1:46" hidden="1" x14ac:dyDescent="0.45">
      <c r="A410" s="556"/>
      <c r="B410" s="556"/>
      <c r="C410" s="556"/>
      <c r="D410" s="556"/>
      <c r="E410" s="556"/>
      <c r="F410" s="564"/>
      <c r="G410" s="564"/>
      <c r="H410" s="564"/>
      <c r="I410" s="564"/>
      <c r="J410" s="564"/>
      <c r="K410" s="564"/>
      <c r="L410" s="564"/>
      <c r="M410" s="564"/>
      <c r="N410" s="564"/>
      <c r="O410" s="564"/>
      <c r="P410" s="564"/>
      <c r="Q410" s="564"/>
      <c r="R410" s="564"/>
      <c r="S410" s="564"/>
      <c r="T410" s="564"/>
      <c r="U410" s="564"/>
      <c r="V410" s="564"/>
      <c r="W410" s="564"/>
      <c r="X410" s="564"/>
      <c r="Y410" s="564"/>
      <c r="Z410" s="564"/>
      <c r="AA410" s="564"/>
      <c r="AB410" s="556"/>
      <c r="AC410" s="556"/>
      <c r="AD410" s="74"/>
      <c r="AE410" s="74"/>
      <c r="AF410" s="74"/>
      <c r="AG410" s="74"/>
      <c r="AH410" s="74"/>
      <c r="AI410" s="74"/>
      <c r="AJ410" s="74"/>
      <c r="AK410" s="74"/>
      <c r="AL410" s="74"/>
      <c r="AM410" s="74"/>
      <c r="AN410" s="74"/>
      <c r="AO410" s="74"/>
      <c r="AP410" s="74"/>
      <c r="AQ410" s="74"/>
      <c r="AR410" s="74"/>
      <c r="AS410" s="565"/>
      <c r="AT410" s="556"/>
    </row>
    <row r="411" spans="1:46" hidden="1" x14ac:dyDescent="0.45">
      <c r="A411" s="556"/>
      <c r="B411" s="556"/>
      <c r="C411" s="556"/>
      <c r="D411" s="556"/>
      <c r="E411" s="556"/>
      <c r="F411" s="564"/>
      <c r="G411" s="564"/>
      <c r="H411" s="564"/>
      <c r="I411" s="564"/>
      <c r="J411" s="564"/>
      <c r="K411" s="564"/>
      <c r="L411" s="564"/>
      <c r="M411" s="564"/>
      <c r="N411" s="564"/>
      <c r="O411" s="564"/>
      <c r="P411" s="564"/>
      <c r="Q411" s="564"/>
      <c r="R411" s="564"/>
      <c r="S411" s="564"/>
      <c r="T411" s="564"/>
      <c r="U411" s="564"/>
      <c r="V411" s="564"/>
      <c r="W411" s="564"/>
      <c r="X411" s="564"/>
      <c r="Y411" s="564"/>
      <c r="Z411" s="564"/>
      <c r="AA411" s="564"/>
      <c r="AB411" s="556"/>
      <c r="AC411" s="556"/>
      <c r="AD411" s="74"/>
      <c r="AE411" s="74"/>
      <c r="AF411" s="74"/>
      <c r="AG411" s="74"/>
      <c r="AH411" s="74"/>
      <c r="AI411" s="74"/>
      <c r="AJ411" s="74"/>
      <c r="AK411" s="74"/>
      <c r="AL411" s="74"/>
      <c r="AM411" s="74"/>
      <c r="AN411" s="74"/>
      <c r="AO411" s="74"/>
      <c r="AP411" s="74"/>
      <c r="AQ411" s="74"/>
      <c r="AR411" s="74"/>
      <c r="AS411" s="565"/>
      <c r="AT411" s="556"/>
    </row>
    <row r="412" spans="1:46" hidden="1" x14ac:dyDescent="0.45">
      <c r="A412" s="556"/>
      <c r="B412" s="556"/>
      <c r="C412" s="556"/>
      <c r="D412" s="556"/>
      <c r="E412" s="556"/>
      <c r="F412" s="564"/>
      <c r="G412" s="564"/>
      <c r="H412" s="564"/>
      <c r="I412" s="564"/>
      <c r="J412" s="564"/>
      <c r="K412" s="564"/>
      <c r="L412" s="564"/>
      <c r="M412" s="564"/>
      <c r="N412" s="564"/>
      <c r="O412" s="564"/>
      <c r="P412" s="564"/>
      <c r="Q412" s="564"/>
      <c r="R412" s="564"/>
      <c r="S412" s="564"/>
      <c r="T412" s="564"/>
      <c r="U412" s="564"/>
      <c r="V412" s="564"/>
      <c r="W412" s="564"/>
      <c r="X412" s="564"/>
      <c r="Y412" s="564"/>
      <c r="Z412" s="564"/>
      <c r="AA412" s="564"/>
      <c r="AB412" s="556"/>
      <c r="AC412" s="556"/>
      <c r="AD412" s="74"/>
      <c r="AE412" s="74"/>
      <c r="AF412" s="74"/>
      <c r="AG412" s="74"/>
      <c r="AH412" s="74"/>
      <c r="AI412" s="74"/>
      <c r="AJ412" s="74"/>
      <c r="AK412" s="74"/>
      <c r="AL412" s="74"/>
      <c r="AM412" s="74"/>
      <c r="AN412" s="74"/>
      <c r="AO412" s="74"/>
      <c r="AP412" s="74"/>
      <c r="AQ412" s="74"/>
      <c r="AR412" s="74"/>
      <c r="AS412" s="565"/>
      <c r="AT412" s="556"/>
    </row>
    <row r="413" spans="1:46" hidden="1" x14ac:dyDescent="0.45">
      <c r="A413" s="556"/>
      <c r="B413" s="556"/>
      <c r="C413" s="556"/>
      <c r="D413" s="556"/>
      <c r="E413" s="556"/>
      <c r="F413" s="564"/>
      <c r="G413" s="564"/>
      <c r="H413" s="564"/>
      <c r="I413" s="564"/>
      <c r="J413" s="564"/>
      <c r="K413" s="564"/>
      <c r="L413" s="564"/>
      <c r="M413" s="564"/>
      <c r="N413" s="564"/>
      <c r="O413" s="564"/>
      <c r="P413" s="564"/>
      <c r="Q413" s="564"/>
      <c r="R413" s="564"/>
      <c r="S413" s="564"/>
      <c r="T413" s="564"/>
      <c r="U413" s="564"/>
      <c r="V413" s="564"/>
      <c r="W413" s="564"/>
      <c r="X413" s="564"/>
      <c r="Y413" s="564"/>
      <c r="Z413" s="564"/>
      <c r="AA413" s="564"/>
      <c r="AB413" s="556"/>
      <c r="AC413" s="556"/>
      <c r="AD413" s="74"/>
      <c r="AE413" s="74"/>
      <c r="AF413" s="74"/>
      <c r="AG413" s="74"/>
      <c r="AH413" s="74"/>
      <c r="AI413" s="74"/>
      <c r="AJ413" s="74"/>
      <c r="AK413" s="74"/>
      <c r="AL413" s="74"/>
      <c r="AM413" s="74"/>
      <c r="AN413" s="74"/>
      <c r="AO413" s="74"/>
      <c r="AP413" s="74"/>
      <c r="AQ413" s="74"/>
      <c r="AR413" s="74"/>
      <c r="AS413" s="565"/>
      <c r="AT413" s="556"/>
    </row>
    <row r="414" spans="1:46" hidden="1" x14ac:dyDescent="0.45">
      <c r="A414" s="556"/>
      <c r="B414" s="556"/>
      <c r="C414" s="556"/>
      <c r="D414" s="556"/>
      <c r="E414" s="556"/>
      <c r="F414" s="564"/>
      <c r="G414" s="564"/>
      <c r="H414" s="564"/>
      <c r="I414" s="564"/>
      <c r="J414" s="564"/>
      <c r="K414" s="564"/>
      <c r="L414" s="564"/>
      <c r="M414" s="564"/>
      <c r="N414" s="564"/>
      <c r="O414" s="564"/>
      <c r="P414" s="564"/>
      <c r="Q414" s="564"/>
      <c r="R414" s="564"/>
      <c r="S414" s="564"/>
      <c r="T414" s="564"/>
      <c r="U414" s="564"/>
      <c r="V414" s="564"/>
      <c r="W414" s="564"/>
      <c r="X414" s="564"/>
      <c r="Y414" s="564"/>
      <c r="Z414" s="564"/>
      <c r="AA414" s="564"/>
      <c r="AB414" s="556"/>
      <c r="AC414" s="556"/>
      <c r="AD414" s="74"/>
      <c r="AE414" s="74"/>
      <c r="AF414" s="74"/>
      <c r="AG414" s="74"/>
      <c r="AH414" s="74"/>
      <c r="AI414" s="74"/>
      <c r="AJ414" s="74"/>
      <c r="AK414" s="74"/>
      <c r="AL414" s="74"/>
      <c r="AM414" s="74"/>
      <c r="AN414" s="74"/>
      <c r="AO414" s="74"/>
      <c r="AP414" s="74"/>
      <c r="AQ414" s="74"/>
      <c r="AR414" s="74"/>
      <c r="AS414" s="565"/>
      <c r="AT414" s="556"/>
    </row>
    <row r="415" spans="1:46" hidden="1" x14ac:dyDescent="0.45">
      <c r="A415" s="556"/>
      <c r="B415" s="556"/>
      <c r="C415" s="556"/>
      <c r="D415" s="556"/>
      <c r="E415" s="556"/>
      <c r="F415" s="564"/>
      <c r="G415" s="564"/>
      <c r="H415" s="564"/>
      <c r="I415" s="564"/>
      <c r="J415" s="564"/>
      <c r="K415" s="564"/>
      <c r="L415" s="564"/>
      <c r="M415" s="564"/>
      <c r="N415" s="564"/>
      <c r="O415" s="564"/>
      <c r="P415" s="564"/>
      <c r="Q415" s="564"/>
      <c r="R415" s="564"/>
      <c r="S415" s="564"/>
      <c r="T415" s="564"/>
      <c r="U415" s="564"/>
      <c r="V415" s="564"/>
      <c r="W415" s="564"/>
      <c r="X415" s="564"/>
      <c r="Y415" s="564"/>
      <c r="Z415" s="564"/>
      <c r="AA415" s="564"/>
      <c r="AB415" s="556"/>
      <c r="AC415" s="556"/>
      <c r="AD415" s="74"/>
      <c r="AE415" s="74"/>
      <c r="AF415" s="74"/>
      <c r="AG415" s="74"/>
      <c r="AH415" s="74"/>
      <c r="AI415" s="74"/>
      <c r="AJ415" s="74"/>
      <c r="AK415" s="74"/>
      <c r="AL415" s="74"/>
      <c r="AM415" s="74"/>
      <c r="AN415" s="74"/>
      <c r="AO415" s="74"/>
      <c r="AP415" s="74"/>
      <c r="AQ415" s="74"/>
      <c r="AR415" s="74"/>
      <c r="AS415" s="565"/>
      <c r="AT415" s="556"/>
    </row>
    <row r="416" spans="1:46" hidden="1" x14ac:dyDescent="0.45">
      <c r="A416" s="556"/>
      <c r="B416" s="556"/>
      <c r="C416" s="556"/>
      <c r="D416" s="556"/>
      <c r="E416" s="556"/>
      <c r="F416" s="564"/>
      <c r="G416" s="564"/>
      <c r="H416" s="564"/>
      <c r="I416" s="564"/>
      <c r="J416" s="564"/>
      <c r="K416" s="564"/>
      <c r="L416" s="564"/>
      <c r="M416" s="564"/>
      <c r="N416" s="564"/>
      <c r="O416" s="564"/>
      <c r="P416" s="564"/>
      <c r="Q416" s="564"/>
      <c r="R416" s="564"/>
      <c r="S416" s="564"/>
      <c r="T416" s="564"/>
      <c r="U416" s="564"/>
      <c r="V416" s="564"/>
      <c r="W416" s="564"/>
      <c r="X416" s="564"/>
      <c r="Y416" s="564"/>
      <c r="Z416" s="564"/>
      <c r="AA416" s="564"/>
      <c r="AB416" s="556"/>
      <c r="AC416" s="556"/>
      <c r="AD416" s="74"/>
      <c r="AE416" s="74"/>
      <c r="AF416" s="74"/>
      <c r="AG416" s="74"/>
      <c r="AH416" s="74"/>
      <c r="AI416" s="74"/>
      <c r="AJ416" s="74"/>
      <c r="AK416" s="74"/>
      <c r="AL416" s="74"/>
      <c r="AM416" s="74"/>
      <c r="AN416" s="74"/>
      <c r="AO416" s="74"/>
      <c r="AP416" s="74"/>
      <c r="AQ416" s="74"/>
      <c r="AR416" s="74"/>
      <c r="AS416" s="565"/>
      <c r="AT416" s="556"/>
    </row>
    <row r="417" spans="1:46" hidden="1" x14ac:dyDescent="0.45">
      <c r="A417" s="556"/>
      <c r="B417" s="556"/>
      <c r="C417" s="556"/>
      <c r="D417" s="556"/>
      <c r="E417" s="556"/>
      <c r="F417" s="564"/>
      <c r="G417" s="564"/>
      <c r="H417" s="564"/>
      <c r="I417" s="564"/>
      <c r="J417" s="564"/>
      <c r="K417" s="564"/>
      <c r="L417" s="564"/>
      <c r="M417" s="564"/>
      <c r="N417" s="564"/>
      <c r="O417" s="564"/>
      <c r="P417" s="564"/>
      <c r="Q417" s="564"/>
      <c r="R417" s="564"/>
      <c r="S417" s="564"/>
      <c r="T417" s="564"/>
      <c r="U417" s="564"/>
      <c r="V417" s="564"/>
      <c r="W417" s="564"/>
      <c r="X417" s="564"/>
      <c r="Y417" s="564"/>
      <c r="Z417" s="564"/>
      <c r="AA417" s="564"/>
      <c r="AB417" s="556"/>
      <c r="AC417" s="556"/>
      <c r="AD417" s="74"/>
      <c r="AE417" s="74"/>
      <c r="AF417" s="74"/>
      <c r="AG417" s="74"/>
      <c r="AH417" s="74"/>
      <c r="AI417" s="74"/>
      <c r="AJ417" s="74"/>
      <c r="AK417" s="74"/>
      <c r="AL417" s="74"/>
      <c r="AM417" s="74"/>
      <c r="AN417" s="74"/>
      <c r="AO417" s="74"/>
      <c r="AP417" s="74"/>
      <c r="AQ417" s="74"/>
      <c r="AR417" s="74"/>
      <c r="AS417" s="565"/>
      <c r="AT417" s="556"/>
    </row>
    <row r="418" spans="1:46" hidden="1" x14ac:dyDescent="0.45">
      <c r="A418" s="556"/>
      <c r="B418" s="556"/>
      <c r="C418" s="556"/>
      <c r="D418" s="556"/>
      <c r="E418" s="556"/>
      <c r="F418" s="564"/>
      <c r="G418" s="564"/>
      <c r="H418" s="564"/>
      <c r="I418" s="564"/>
      <c r="J418" s="564"/>
      <c r="K418" s="564"/>
      <c r="L418" s="564"/>
      <c r="M418" s="564"/>
      <c r="N418" s="564"/>
      <c r="O418" s="564"/>
      <c r="P418" s="564"/>
      <c r="Q418" s="564"/>
      <c r="R418" s="564"/>
      <c r="S418" s="564"/>
      <c r="T418" s="564"/>
      <c r="U418" s="564"/>
      <c r="V418" s="564"/>
      <c r="W418" s="564"/>
      <c r="X418" s="564"/>
      <c r="Y418" s="564"/>
      <c r="Z418" s="564"/>
      <c r="AA418" s="564"/>
      <c r="AB418" s="556"/>
      <c r="AC418" s="556"/>
      <c r="AD418" s="74"/>
      <c r="AE418" s="74"/>
      <c r="AF418" s="74"/>
      <c r="AG418" s="74"/>
      <c r="AH418" s="74"/>
      <c r="AI418" s="74"/>
      <c r="AJ418" s="74"/>
      <c r="AK418" s="74"/>
      <c r="AL418" s="74"/>
      <c r="AM418" s="74"/>
      <c r="AN418" s="74"/>
      <c r="AO418" s="74"/>
      <c r="AP418" s="74"/>
      <c r="AQ418" s="74"/>
      <c r="AR418" s="74"/>
      <c r="AS418" s="565"/>
      <c r="AT418" s="556"/>
    </row>
    <row r="419" spans="1:46" hidden="1" x14ac:dyDescent="0.45">
      <c r="A419" s="556"/>
      <c r="B419" s="556"/>
      <c r="C419" s="556"/>
      <c r="D419" s="556"/>
      <c r="E419" s="556"/>
      <c r="F419" s="564"/>
      <c r="G419" s="564"/>
      <c r="H419" s="564"/>
      <c r="I419" s="564"/>
      <c r="J419" s="564"/>
      <c r="K419" s="564"/>
      <c r="L419" s="564"/>
      <c r="M419" s="564"/>
      <c r="N419" s="564"/>
      <c r="O419" s="564"/>
      <c r="P419" s="564"/>
      <c r="Q419" s="564"/>
      <c r="R419" s="564"/>
      <c r="S419" s="564"/>
      <c r="T419" s="564"/>
      <c r="U419" s="564"/>
      <c r="V419" s="564"/>
      <c r="W419" s="564"/>
      <c r="X419" s="564"/>
      <c r="Y419" s="564"/>
      <c r="Z419" s="564"/>
      <c r="AA419" s="564"/>
      <c r="AB419" s="556"/>
      <c r="AC419" s="556"/>
      <c r="AD419" s="74"/>
      <c r="AE419" s="74"/>
      <c r="AF419" s="74"/>
      <c r="AG419" s="74"/>
      <c r="AH419" s="74"/>
      <c r="AI419" s="74"/>
      <c r="AJ419" s="74"/>
      <c r="AK419" s="74"/>
      <c r="AL419" s="74"/>
      <c r="AM419" s="74"/>
      <c r="AN419" s="74"/>
      <c r="AO419" s="74"/>
      <c r="AP419" s="74"/>
      <c r="AQ419" s="74"/>
      <c r="AR419" s="74"/>
      <c r="AS419" s="565"/>
      <c r="AT419" s="556"/>
    </row>
    <row r="420" spans="1:46" hidden="1" x14ac:dyDescent="0.45">
      <c r="A420" s="556"/>
      <c r="B420" s="556"/>
      <c r="C420" s="556"/>
      <c r="D420" s="556"/>
      <c r="E420" s="556"/>
      <c r="F420" s="564"/>
      <c r="G420" s="564"/>
      <c r="H420" s="564"/>
      <c r="I420" s="564"/>
      <c r="J420" s="564"/>
      <c r="K420" s="564"/>
      <c r="L420" s="564"/>
      <c r="M420" s="564"/>
      <c r="N420" s="564"/>
      <c r="O420" s="564"/>
      <c r="P420" s="564"/>
      <c r="Q420" s="564"/>
      <c r="R420" s="564"/>
      <c r="S420" s="564"/>
      <c r="T420" s="564"/>
      <c r="U420" s="564"/>
      <c r="V420" s="564"/>
      <c r="W420" s="564"/>
      <c r="X420" s="564"/>
      <c r="Y420" s="564"/>
      <c r="Z420" s="564"/>
      <c r="AA420" s="564"/>
      <c r="AB420" s="556"/>
      <c r="AC420" s="556"/>
      <c r="AD420" s="74"/>
      <c r="AE420" s="74"/>
      <c r="AF420" s="74"/>
      <c r="AG420" s="74"/>
      <c r="AH420" s="74"/>
      <c r="AI420" s="74"/>
      <c r="AJ420" s="74"/>
      <c r="AK420" s="74"/>
      <c r="AL420" s="74"/>
      <c r="AM420" s="74"/>
      <c r="AN420" s="74"/>
      <c r="AO420" s="74"/>
      <c r="AP420" s="74"/>
      <c r="AQ420" s="74"/>
      <c r="AR420" s="74"/>
      <c r="AS420" s="565"/>
      <c r="AT420" s="556"/>
    </row>
    <row r="421" spans="1:46" hidden="1" x14ac:dyDescent="0.45">
      <c r="A421" s="556"/>
      <c r="B421" s="556"/>
      <c r="C421" s="556"/>
      <c r="D421" s="556"/>
      <c r="E421" s="556"/>
      <c r="F421" s="564"/>
      <c r="G421" s="564"/>
      <c r="H421" s="564"/>
      <c r="I421" s="564"/>
      <c r="J421" s="564"/>
      <c r="K421" s="564"/>
      <c r="L421" s="564"/>
      <c r="M421" s="564"/>
      <c r="N421" s="564"/>
      <c r="O421" s="564"/>
      <c r="P421" s="564"/>
      <c r="Q421" s="564"/>
      <c r="R421" s="564"/>
      <c r="S421" s="564"/>
      <c r="T421" s="564"/>
      <c r="U421" s="564"/>
      <c r="V421" s="564"/>
      <c r="W421" s="564"/>
      <c r="X421" s="564"/>
      <c r="Y421" s="564"/>
      <c r="Z421" s="564"/>
      <c r="AA421" s="564"/>
      <c r="AB421" s="556"/>
      <c r="AC421" s="556"/>
      <c r="AD421" s="74"/>
      <c r="AE421" s="74"/>
      <c r="AF421" s="74"/>
      <c r="AG421" s="74"/>
      <c r="AH421" s="74"/>
      <c r="AI421" s="74"/>
      <c r="AJ421" s="74"/>
      <c r="AK421" s="74"/>
      <c r="AL421" s="74"/>
      <c r="AM421" s="74"/>
      <c r="AN421" s="74"/>
      <c r="AO421" s="74"/>
      <c r="AP421" s="74"/>
      <c r="AQ421" s="74"/>
      <c r="AR421" s="74"/>
      <c r="AS421" s="565"/>
      <c r="AT421" s="556"/>
    </row>
    <row r="422" spans="1:46" hidden="1" x14ac:dyDescent="0.45">
      <c r="A422" s="556"/>
      <c r="B422" s="556"/>
      <c r="C422" s="556"/>
      <c r="D422" s="556"/>
      <c r="E422" s="556"/>
      <c r="F422" s="564"/>
      <c r="G422" s="564"/>
      <c r="H422" s="564"/>
      <c r="I422" s="564"/>
      <c r="J422" s="564"/>
      <c r="K422" s="564"/>
      <c r="L422" s="564"/>
      <c r="M422" s="564"/>
      <c r="N422" s="564"/>
      <c r="O422" s="564"/>
      <c r="P422" s="564"/>
      <c r="Q422" s="564"/>
      <c r="R422" s="564"/>
      <c r="S422" s="564"/>
      <c r="T422" s="564"/>
      <c r="U422" s="564"/>
      <c r="V422" s="564"/>
      <c r="W422" s="564"/>
      <c r="X422" s="564"/>
      <c r="Y422" s="564"/>
      <c r="Z422" s="564"/>
      <c r="AA422" s="564"/>
      <c r="AB422" s="556"/>
      <c r="AC422" s="556"/>
      <c r="AD422" s="74"/>
      <c r="AE422" s="74"/>
      <c r="AF422" s="74"/>
      <c r="AG422" s="74"/>
      <c r="AH422" s="74"/>
      <c r="AI422" s="74"/>
      <c r="AJ422" s="74"/>
      <c r="AK422" s="74"/>
      <c r="AL422" s="74"/>
      <c r="AM422" s="74"/>
      <c r="AN422" s="74"/>
      <c r="AO422" s="74"/>
      <c r="AP422" s="74"/>
      <c r="AQ422" s="74"/>
      <c r="AR422" s="74"/>
      <c r="AS422" s="565"/>
      <c r="AT422" s="556"/>
    </row>
    <row r="423" spans="1:46" hidden="1" x14ac:dyDescent="0.45">
      <c r="A423" s="556"/>
      <c r="B423" s="556"/>
      <c r="C423" s="556"/>
      <c r="D423" s="556"/>
      <c r="E423" s="556"/>
      <c r="F423" s="564"/>
      <c r="G423" s="564"/>
      <c r="H423" s="564"/>
      <c r="I423" s="564"/>
      <c r="J423" s="564"/>
      <c r="K423" s="564"/>
      <c r="L423" s="564"/>
      <c r="M423" s="564"/>
      <c r="N423" s="564"/>
      <c r="O423" s="564"/>
      <c r="P423" s="564"/>
      <c r="Q423" s="564"/>
      <c r="R423" s="564"/>
      <c r="S423" s="564"/>
      <c r="T423" s="564"/>
      <c r="U423" s="564"/>
      <c r="V423" s="564"/>
      <c r="W423" s="564"/>
      <c r="X423" s="564"/>
      <c r="Y423" s="564"/>
      <c r="Z423" s="564"/>
      <c r="AA423" s="564"/>
      <c r="AB423" s="556"/>
      <c r="AC423" s="556"/>
      <c r="AD423" s="74"/>
      <c r="AE423" s="74"/>
      <c r="AF423" s="74"/>
      <c r="AG423" s="74"/>
      <c r="AH423" s="74"/>
      <c r="AI423" s="74"/>
      <c r="AJ423" s="74"/>
      <c r="AK423" s="74"/>
      <c r="AL423" s="74"/>
      <c r="AM423" s="74"/>
      <c r="AN423" s="74"/>
      <c r="AO423" s="74"/>
      <c r="AP423" s="74"/>
      <c r="AQ423" s="74"/>
      <c r="AR423" s="74"/>
      <c r="AS423" s="565"/>
      <c r="AT423" s="556"/>
    </row>
    <row r="424" spans="1:46" hidden="1" x14ac:dyDescent="0.45">
      <c r="A424" s="556"/>
      <c r="B424" s="556"/>
      <c r="C424" s="556"/>
      <c r="D424" s="556"/>
      <c r="E424" s="556"/>
      <c r="F424" s="564"/>
      <c r="G424" s="564"/>
      <c r="H424" s="564"/>
      <c r="I424" s="564"/>
      <c r="J424" s="564"/>
      <c r="K424" s="564"/>
      <c r="L424" s="564"/>
      <c r="M424" s="564"/>
      <c r="N424" s="564"/>
      <c r="O424" s="564"/>
      <c r="P424" s="564"/>
      <c r="Q424" s="564"/>
      <c r="R424" s="564"/>
      <c r="S424" s="564"/>
      <c r="T424" s="564"/>
      <c r="U424" s="564"/>
      <c r="V424" s="564"/>
      <c r="W424" s="564"/>
      <c r="X424" s="564"/>
      <c r="Y424" s="564"/>
      <c r="Z424" s="564"/>
      <c r="AA424" s="564"/>
      <c r="AB424" s="556"/>
      <c r="AC424" s="556"/>
      <c r="AD424" s="74"/>
      <c r="AE424" s="74"/>
      <c r="AF424" s="74"/>
      <c r="AG424" s="74"/>
      <c r="AH424" s="74"/>
      <c r="AI424" s="74"/>
      <c r="AJ424" s="74"/>
      <c r="AK424" s="74"/>
      <c r="AL424" s="74"/>
      <c r="AM424" s="74"/>
      <c r="AN424" s="74"/>
      <c r="AO424" s="74"/>
      <c r="AP424" s="74"/>
      <c r="AQ424" s="74"/>
      <c r="AR424" s="74"/>
      <c r="AS424" s="565"/>
      <c r="AT424" s="556"/>
    </row>
    <row r="425" spans="1:46" hidden="1" x14ac:dyDescent="0.45">
      <c r="A425" s="556"/>
      <c r="B425" s="556"/>
      <c r="C425" s="556"/>
      <c r="D425" s="556"/>
      <c r="E425" s="556"/>
      <c r="F425" s="564"/>
      <c r="G425" s="564"/>
      <c r="H425" s="564"/>
      <c r="I425" s="564"/>
      <c r="J425" s="564"/>
      <c r="K425" s="564"/>
      <c r="L425" s="564"/>
      <c r="M425" s="564"/>
      <c r="N425" s="564"/>
      <c r="O425" s="564"/>
      <c r="P425" s="564"/>
      <c r="Q425" s="564"/>
      <c r="R425" s="564"/>
      <c r="S425" s="564"/>
      <c r="T425" s="564"/>
      <c r="U425" s="564"/>
      <c r="V425" s="564"/>
      <c r="W425" s="564"/>
      <c r="X425" s="564"/>
      <c r="Y425" s="564"/>
      <c r="Z425" s="564"/>
      <c r="AA425" s="564"/>
      <c r="AB425" s="556"/>
      <c r="AC425" s="556"/>
      <c r="AD425" s="74"/>
      <c r="AE425" s="74"/>
      <c r="AF425" s="74"/>
      <c r="AG425" s="74"/>
      <c r="AH425" s="74"/>
      <c r="AI425" s="74"/>
      <c r="AJ425" s="74"/>
      <c r="AK425" s="74"/>
      <c r="AL425" s="74"/>
      <c r="AM425" s="74"/>
      <c r="AN425" s="74"/>
      <c r="AO425" s="74"/>
      <c r="AP425" s="74"/>
      <c r="AQ425" s="74"/>
      <c r="AR425" s="74"/>
      <c r="AS425" s="565"/>
      <c r="AT425" s="556"/>
    </row>
    <row r="426" spans="1:46" hidden="1" x14ac:dyDescent="0.45">
      <c r="A426" s="556"/>
      <c r="B426" s="556"/>
      <c r="C426" s="556"/>
      <c r="D426" s="556"/>
      <c r="E426" s="556"/>
      <c r="F426" s="564"/>
      <c r="G426" s="564"/>
      <c r="H426" s="564"/>
      <c r="I426" s="564"/>
      <c r="J426" s="564"/>
      <c r="K426" s="564"/>
      <c r="L426" s="564"/>
      <c r="M426" s="564"/>
      <c r="N426" s="564"/>
      <c r="O426" s="564"/>
      <c r="P426" s="564"/>
      <c r="Q426" s="564"/>
      <c r="R426" s="564"/>
      <c r="S426" s="564"/>
      <c r="T426" s="564"/>
      <c r="U426" s="564"/>
      <c r="V426" s="564"/>
      <c r="W426" s="564"/>
      <c r="X426" s="564"/>
      <c r="Y426" s="564"/>
      <c r="Z426" s="564"/>
      <c r="AA426" s="564"/>
      <c r="AB426" s="556"/>
      <c r="AC426" s="556"/>
      <c r="AD426" s="74"/>
      <c r="AE426" s="74"/>
      <c r="AF426" s="74"/>
      <c r="AG426" s="74"/>
      <c r="AH426" s="74"/>
      <c r="AI426" s="74"/>
      <c r="AJ426" s="74"/>
      <c r="AK426" s="74"/>
      <c r="AL426" s="74"/>
      <c r="AM426" s="74"/>
      <c r="AN426" s="74"/>
      <c r="AO426" s="74"/>
      <c r="AP426" s="74"/>
      <c r="AQ426" s="74"/>
      <c r="AR426" s="74"/>
      <c r="AS426" s="565"/>
      <c r="AT426" s="556"/>
    </row>
    <row r="427" spans="1:46" hidden="1" x14ac:dyDescent="0.45">
      <c r="A427" s="556"/>
      <c r="B427" s="556"/>
      <c r="C427" s="556"/>
      <c r="D427" s="556"/>
      <c r="E427" s="556"/>
      <c r="F427" s="564"/>
      <c r="G427" s="564"/>
      <c r="H427" s="564"/>
      <c r="I427" s="564"/>
      <c r="J427" s="564"/>
      <c r="K427" s="564"/>
      <c r="L427" s="564"/>
      <c r="M427" s="564"/>
      <c r="N427" s="564"/>
      <c r="O427" s="564"/>
      <c r="P427" s="564"/>
      <c r="Q427" s="564"/>
      <c r="R427" s="564"/>
      <c r="S427" s="564"/>
      <c r="T427" s="564"/>
      <c r="U427" s="564"/>
      <c r="V427" s="564"/>
      <c r="W427" s="564"/>
      <c r="X427" s="564"/>
      <c r="Y427" s="564"/>
      <c r="Z427" s="564"/>
      <c r="AA427" s="564"/>
      <c r="AB427" s="556"/>
      <c r="AC427" s="556"/>
      <c r="AD427" s="74"/>
      <c r="AE427" s="74"/>
      <c r="AF427" s="74"/>
      <c r="AG427" s="74"/>
      <c r="AH427" s="74"/>
      <c r="AI427" s="74"/>
      <c r="AJ427" s="74"/>
      <c r="AK427" s="74"/>
      <c r="AL427" s="74"/>
      <c r="AM427" s="74"/>
      <c r="AN427" s="74"/>
      <c r="AO427" s="74"/>
      <c r="AP427" s="74"/>
      <c r="AQ427" s="74"/>
      <c r="AR427" s="74"/>
      <c r="AS427" s="565"/>
      <c r="AT427" s="556"/>
    </row>
    <row r="428" spans="1:46" hidden="1" x14ac:dyDescent="0.45">
      <c r="A428" s="556"/>
      <c r="B428" s="556"/>
      <c r="C428" s="556"/>
      <c r="D428" s="556"/>
      <c r="E428" s="556"/>
      <c r="F428" s="564"/>
      <c r="G428" s="564"/>
      <c r="H428" s="564"/>
      <c r="I428" s="564"/>
      <c r="J428" s="564"/>
      <c r="K428" s="564"/>
      <c r="L428" s="564"/>
      <c r="M428" s="564"/>
      <c r="N428" s="564"/>
      <c r="O428" s="564"/>
      <c r="P428" s="564"/>
      <c r="Q428" s="564"/>
      <c r="R428" s="564"/>
      <c r="S428" s="564"/>
      <c r="T428" s="564"/>
      <c r="U428" s="564"/>
      <c r="V428" s="564"/>
      <c r="W428" s="564"/>
      <c r="X428" s="564"/>
      <c r="Y428" s="564"/>
      <c r="Z428" s="564"/>
      <c r="AA428" s="564"/>
      <c r="AB428" s="556"/>
      <c r="AC428" s="556"/>
      <c r="AD428" s="74"/>
      <c r="AE428" s="74"/>
      <c r="AF428" s="74"/>
      <c r="AG428" s="74"/>
      <c r="AH428" s="74"/>
      <c r="AI428" s="74"/>
      <c r="AJ428" s="74"/>
      <c r="AK428" s="74"/>
      <c r="AL428" s="74"/>
      <c r="AM428" s="74"/>
      <c r="AN428" s="74"/>
      <c r="AO428" s="74"/>
      <c r="AP428" s="74"/>
      <c r="AQ428" s="74"/>
      <c r="AR428" s="74"/>
      <c r="AS428" s="565"/>
      <c r="AT428" s="556"/>
    </row>
    <row r="429" spans="1:46" hidden="1" x14ac:dyDescent="0.45">
      <c r="A429" s="556"/>
      <c r="B429" s="556"/>
      <c r="C429" s="556"/>
      <c r="D429" s="556"/>
      <c r="E429" s="556"/>
      <c r="F429" s="564"/>
      <c r="G429" s="564"/>
      <c r="H429" s="564"/>
      <c r="I429" s="564"/>
      <c r="J429" s="564"/>
      <c r="K429" s="564"/>
      <c r="L429" s="564"/>
      <c r="M429" s="564"/>
      <c r="N429" s="564"/>
      <c r="O429" s="564"/>
      <c r="P429" s="564"/>
      <c r="Q429" s="564"/>
      <c r="R429" s="564"/>
      <c r="S429" s="564"/>
      <c r="T429" s="564"/>
      <c r="U429" s="564"/>
      <c r="V429" s="564"/>
      <c r="W429" s="564"/>
      <c r="X429" s="564"/>
      <c r="Y429" s="564"/>
      <c r="Z429" s="564"/>
      <c r="AA429" s="564"/>
      <c r="AB429" s="556"/>
      <c r="AC429" s="556"/>
      <c r="AD429" s="74"/>
      <c r="AE429" s="74"/>
      <c r="AF429" s="74"/>
      <c r="AG429" s="74"/>
      <c r="AH429" s="74"/>
      <c r="AI429" s="74"/>
      <c r="AJ429" s="74"/>
      <c r="AK429" s="74"/>
      <c r="AL429" s="74"/>
      <c r="AM429" s="74"/>
      <c r="AN429" s="74"/>
      <c r="AO429" s="74"/>
      <c r="AP429" s="74"/>
      <c r="AQ429" s="74"/>
      <c r="AR429" s="74"/>
      <c r="AS429" s="565"/>
      <c r="AT429" s="556"/>
    </row>
    <row r="430" spans="1:46" hidden="1" x14ac:dyDescent="0.45">
      <c r="A430" s="556"/>
      <c r="B430" s="556"/>
      <c r="C430" s="556"/>
      <c r="D430" s="556"/>
      <c r="E430" s="556"/>
      <c r="F430" s="564"/>
      <c r="G430" s="564"/>
      <c r="H430" s="564"/>
      <c r="I430" s="564"/>
      <c r="J430" s="564"/>
      <c r="K430" s="564"/>
      <c r="L430" s="564"/>
      <c r="M430" s="564"/>
      <c r="N430" s="564"/>
      <c r="O430" s="564"/>
      <c r="P430" s="564"/>
      <c r="Q430" s="564"/>
      <c r="R430" s="564"/>
      <c r="S430" s="564"/>
      <c r="T430" s="564"/>
      <c r="U430" s="564"/>
      <c r="V430" s="564"/>
      <c r="W430" s="564"/>
      <c r="X430" s="564"/>
      <c r="Y430" s="564"/>
      <c r="Z430" s="564"/>
      <c r="AA430" s="564"/>
      <c r="AB430" s="556"/>
      <c r="AC430" s="556"/>
      <c r="AD430" s="74"/>
      <c r="AE430" s="74"/>
      <c r="AF430" s="74"/>
      <c r="AG430" s="74"/>
      <c r="AH430" s="74"/>
      <c r="AI430" s="74"/>
      <c r="AJ430" s="74"/>
      <c r="AK430" s="74"/>
      <c r="AL430" s="74"/>
      <c r="AM430" s="74"/>
      <c r="AN430" s="74"/>
      <c r="AO430" s="74"/>
      <c r="AP430" s="74"/>
      <c r="AQ430" s="74"/>
      <c r="AR430" s="74"/>
      <c r="AS430" s="565"/>
      <c r="AT430" s="556"/>
    </row>
    <row r="431" spans="1:46" hidden="1" x14ac:dyDescent="0.45">
      <c r="A431" s="556"/>
      <c r="B431" s="556"/>
      <c r="C431" s="556"/>
      <c r="D431" s="556"/>
      <c r="E431" s="556"/>
      <c r="F431" s="564"/>
      <c r="G431" s="564"/>
      <c r="H431" s="564"/>
      <c r="I431" s="564"/>
      <c r="J431" s="564"/>
      <c r="K431" s="564"/>
      <c r="L431" s="564"/>
      <c r="M431" s="564"/>
      <c r="N431" s="564"/>
      <c r="O431" s="564"/>
      <c r="P431" s="564"/>
      <c r="Q431" s="564"/>
      <c r="R431" s="564"/>
      <c r="S431" s="564"/>
      <c r="T431" s="564"/>
      <c r="U431" s="564"/>
      <c r="V431" s="564"/>
      <c r="W431" s="564"/>
      <c r="X431" s="564"/>
      <c r="Y431" s="564"/>
      <c r="Z431" s="564"/>
      <c r="AA431" s="564"/>
      <c r="AB431" s="556"/>
      <c r="AC431" s="556"/>
      <c r="AD431" s="74"/>
      <c r="AE431" s="74"/>
      <c r="AF431" s="74"/>
      <c r="AG431" s="74"/>
      <c r="AH431" s="74"/>
      <c r="AI431" s="74"/>
      <c r="AJ431" s="74"/>
      <c r="AK431" s="74"/>
      <c r="AL431" s="74"/>
      <c r="AM431" s="74"/>
      <c r="AN431" s="74"/>
      <c r="AO431" s="74"/>
      <c r="AP431" s="74"/>
      <c r="AQ431" s="74"/>
      <c r="AR431" s="74"/>
      <c r="AS431" s="565"/>
      <c r="AT431" s="556"/>
    </row>
    <row r="432" spans="1:46" hidden="1" x14ac:dyDescent="0.45">
      <c r="A432" s="556"/>
      <c r="B432" s="556"/>
      <c r="C432" s="556"/>
      <c r="D432" s="556"/>
      <c r="E432" s="556"/>
      <c r="F432" s="564"/>
      <c r="G432" s="564"/>
      <c r="H432" s="564"/>
      <c r="I432" s="564"/>
      <c r="J432" s="564"/>
      <c r="K432" s="564"/>
      <c r="L432" s="564"/>
      <c r="M432" s="564"/>
      <c r="N432" s="564"/>
      <c r="O432" s="564"/>
      <c r="P432" s="564"/>
      <c r="Q432" s="564"/>
      <c r="R432" s="564"/>
      <c r="S432" s="564"/>
      <c r="T432" s="564"/>
      <c r="U432" s="564"/>
      <c r="V432" s="564"/>
      <c r="W432" s="564"/>
      <c r="X432" s="564"/>
      <c r="Y432" s="564"/>
      <c r="Z432" s="564"/>
      <c r="AA432" s="564"/>
      <c r="AB432" s="556"/>
      <c r="AC432" s="556"/>
      <c r="AD432" s="74"/>
      <c r="AE432" s="74"/>
      <c r="AF432" s="74"/>
      <c r="AG432" s="74"/>
      <c r="AH432" s="74"/>
      <c r="AI432" s="74"/>
      <c r="AJ432" s="74"/>
      <c r="AK432" s="74"/>
      <c r="AL432" s="74"/>
      <c r="AM432" s="74"/>
      <c r="AN432" s="74"/>
      <c r="AO432" s="74"/>
      <c r="AP432" s="74"/>
      <c r="AQ432" s="74"/>
      <c r="AR432" s="74"/>
      <c r="AS432" s="565"/>
      <c r="AT432" s="556"/>
    </row>
    <row r="433" spans="1:46" hidden="1" x14ac:dyDescent="0.45">
      <c r="A433" s="556"/>
      <c r="B433" s="556"/>
      <c r="C433" s="556"/>
      <c r="D433" s="556"/>
      <c r="E433" s="556"/>
      <c r="F433" s="564"/>
      <c r="G433" s="564"/>
      <c r="H433" s="564"/>
      <c r="I433" s="564"/>
      <c r="J433" s="564"/>
      <c r="K433" s="564"/>
      <c r="L433" s="564"/>
      <c r="M433" s="564"/>
      <c r="N433" s="564"/>
      <c r="O433" s="564"/>
      <c r="P433" s="564"/>
      <c r="Q433" s="564"/>
      <c r="R433" s="564"/>
      <c r="S433" s="564"/>
      <c r="T433" s="564"/>
      <c r="U433" s="564"/>
      <c r="V433" s="564"/>
      <c r="W433" s="564"/>
      <c r="X433" s="564"/>
      <c r="Y433" s="564"/>
      <c r="Z433" s="564"/>
      <c r="AA433" s="564"/>
      <c r="AB433" s="556"/>
      <c r="AC433" s="556"/>
      <c r="AD433" s="74"/>
      <c r="AE433" s="74"/>
      <c r="AF433" s="74"/>
      <c r="AG433" s="74"/>
      <c r="AH433" s="74"/>
      <c r="AI433" s="74"/>
      <c r="AJ433" s="74"/>
      <c r="AK433" s="74"/>
      <c r="AL433" s="74"/>
      <c r="AM433" s="74"/>
      <c r="AN433" s="74"/>
      <c r="AO433" s="74"/>
      <c r="AP433" s="74"/>
      <c r="AQ433" s="74"/>
      <c r="AR433" s="74"/>
      <c r="AS433" s="565"/>
      <c r="AT433" s="556"/>
    </row>
    <row r="434" spans="1:46" hidden="1" x14ac:dyDescent="0.45">
      <c r="A434" s="556"/>
      <c r="B434" s="556"/>
      <c r="C434" s="556"/>
      <c r="D434" s="556"/>
      <c r="E434" s="556"/>
      <c r="F434" s="564"/>
      <c r="G434" s="564"/>
      <c r="H434" s="564"/>
      <c r="I434" s="564"/>
      <c r="J434" s="564"/>
      <c r="K434" s="564"/>
      <c r="L434" s="564"/>
      <c r="M434" s="564"/>
      <c r="N434" s="564"/>
      <c r="O434" s="564"/>
      <c r="P434" s="564"/>
      <c r="Q434" s="564"/>
      <c r="R434" s="564"/>
      <c r="S434" s="564"/>
      <c r="T434" s="564"/>
      <c r="U434" s="564"/>
      <c r="V434" s="564"/>
      <c r="W434" s="564"/>
      <c r="X434" s="564"/>
      <c r="Y434" s="564"/>
      <c r="Z434" s="564"/>
      <c r="AA434" s="564"/>
      <c r="AB434" s="556"/>
      <c r="AC434" s="556"/>
      <c r="AD434" s="74"/>
      <c r="AE434" s="74"/>
      <c r="AF434" s="74"/>
      <c r="AG434" s="74"/>
      <c r="AH434" s="74"/>
      <c r="AI434" s="74"/>
      <c r="AJ434" s="74"/>
      <c r="AK434" s="74"/>
      <c r="AL434" s="74"/>
      <c r="AM434" s="74"/>
      <c r="AN434" s="74"/>
      <c r="AO434" s="74"/>
      <c r="AP434" s="74"/>
      <c r="AQ434" s="74"/>
      <c r="AR434" s="74"/>
      <c r="AS434" s="565"/>
      <c r="AT434" s="556"/>
    </row>
    <row r="435" spans="1:46" hidden="1" x14ac:dyDescent="0.45">
      <c r="A435" s="556"/>
      <c r="B435" s="556"/>
      <c r="C435" s="556"/>
      <c r="D435" s="556"/>
      <c r="E435" s="556"/>
      <c r="F435" s="564"/>
      <c r="G435" s="564"/>
      <c r="H435" s="564"/>
      <c r="I435" s="564"/>
      <c r="J435" s="564"/>
      <c r="K435" s="564"/>
      <c r="L435" s="564"/>
      <c r="M435" s="564"/>
      <c r="N435" s="564"/>
      <c r="O435" s="564"/>
      <c r="P435" s="564"/>
      <c r="Q435" s="564"/>
      <c r="R435" s="564"/>
      <c r="S435" s="564"/>
      <c r="T435" s="564"/>
      <c r="U435" s="564"/>
      <c r="V435" s="564"/>
      <c r="W435" s="564"/>
      <c r="X435" s="564"/>
      <c r="Y435" s="564"/>
      <c r="Z435" s="564"/>
      <c r="AA435" s="564"/>
      <c r="AB435" s="556"/>
      <c r="AC435" s="556"/>
      <c r="AD435" s="74"/>
      <c r="AE435" s="74"/>
      <c r="AF435" s="74"/>
      <c r="AG435" s="74"/>
      <c r="AH435" s="74"/>
      <c r="AI435" s="74"/>
      <c r="AJ435" s="74"/>
      <c r="AK435" s="74"/>
      <c r="AL435" s="74"/>
      <c r="AM435" s="74"/>
      <c r="AN435" s="74"/>
      <c r="AO435" s="74"/>
      <c r="AP435" s="74"/>
      <c r="AQ435" s="74"/>
      <c r="AR435" s="74"/>
      <c r="AS435" s="565"/>
      <c r="AT435" s="556"/>
    </row>
    <row r="436" spans="1:46" hidden="1" x14ac:dyDescent="0.45">
      <c r="A436" s="556"/>
      <c r="B436" s="556"/>
      <c r="C436" s="556"/>
      <c r="D436" s="556"/>
      <c r="E436" s="556"/>
      <c r="F436" s="564"/>
      <c r="G436" s="564"/>
      <c r="H436" s="564"/>
      <c r="I436" s="564"/>
      <c r="J436" s="564"/>
      <c r="K436" s="564"/>
      <c r="L436" s="564"/>
      <c r="M436" s="564"/>
      <c r="N436" s="564"/>
      <c r="O436" s="564"/>
      <c r="P436" s="564"/>
      <c r="Q436" s="564"/>
      <c r="R436" s="564"/>
      <c r="S436" s="564"/>
      <c r="T436" s="564"/>
      <c r="U436" s="564"/>
      <c r="V436" s="564"/>
      <c r="W436" s="564"/>
      <c r="X436" s="564"/>
      <c r="Y436" s="564"/>
      <c r="Z436" s="564"/>
      <c r="AA436" s="564"/>
      <c r="AB436" s="556"/>
      <c r="AC436" s="556"/>
      <c r="AD436" s="74"/>
      <c r="AE436" s="74"/>
      <c r="AF436" s="74"/>
      <c r="AG436" s="74"/>
      <c r="AH436" s="74"/>
      <c r="AI436" s="74"/>
      <c r="AJ436" s="74"/>
      <c r="AK436" s="74"/>
      <c r="AL436" s="74"/>
      <c r="AM436" s="74"/>
      <c r="AN436" s="74"/>
      <c r="AO436" s="74"/>
      <c r="AP436" s="74"/>
      <c r="AQ436" s="74"/>
      <c r="AR436" s="74"/>
      <c r="AS436" s="565"/>
      <c r="AT436" s="556"/>
    </row>
    <row r="437" spans="1:46" hidden="1" x14ac:dyDescent="0.45">
      <c r="A437" s="556"/>
      <c r="B437" s="556"/>
      <c r="C437" s="556"/>
      <c r="D437" s="556"/>
      <c r="E437" s="556"/>
      <c r="F437" s="564"/>
      <c r="G437" s="564"/>
      <c r="H437" s="564"/>
      <c r="I437" s="564"/>
      <c r="J437" s="564"/>
      <c r="K437" s="564"/>
      <c r="L437" s="564"/>
      <c r="M437" s="564"/>
      <c r="N437" s="564"/>
      <c r="O437" s="564"/>
      <c r="P437" s="564"/>
      <c r="Q437" s="564"/>
      <c r="R437" s="564"/>
      <c r="S437" s="564"/>
      <c r="T437" s="564"/>
      <c r="U437" s="564"/>
      <c r="V437" s="564"/>
      <c r="W437" s="564"/>
      <c r="X437" s="564"/>
      <c r="Y437" s="564"/>
      <c r="Z437" s="564"/>
      <c r="AA437" s="564"/>
      <c r="AB437" s="556"/>
      <c r="AC437" s="556"/>
      <c r="AD437" s="74"/>
      <c r="AE437" s="74"/>
      <c r="AF437" s="74"/>
      <c r="AG437" s="74"/>
      <c r="AH437" s="74"/>
      <c r="AI437" s="74"/>
      <c r="AJ437" s="74"/>
      <c r="AK437" s="74"/>
      <c r="AL437" s="74"/>
      <c r="AM437" s="74"/>
      <c r="AN437" s="74"/>
      <c r="AO437" s="74"/>
      <c r="AP437" s="74"/>
      <c r="AQ437" s="74"/>
      <c r="AR437" s="74"/>
      <c r="AS437" s="565"/>
      <c r="AT437" s="556"/>
    </row>
    <row r="438" spans="1:46" hidden="1" x14ac:dyDescent="0.45">
      <c r="A438" s="556"/>
      <c r="B438" s="556"/>
      <c r="C438" s="556"/>
      <c r="D438" s="556"/>
      <c r="E438" s="556"/>
      <c r="F438" s="564"/>
      <c r="G438" s="564"/>
      <c r="H438" s="564"/>
      <c r="I438" s="564"/>
      <c r="J438" s="564"/>
      <c r="K438" s="564"/>
      <c r="L438" s="564"/>
      <c r="M438" s="564"/>
      <c r="N438" s="564"/>
      <c r="O438" s="564"/>
      <c r="P438" s="564"/>
      <c r="Q438" s="564"/>
      <c r="R438" s="564"/>
      <c r="S438" s="564"/>
      <c r="T438" s="564"/>
      <c r="U438" s="564"/>
      <c r="V438" s="564"/>
      <c r="W438" s="564"/>
      <c r="X438" s="564"/>
      <c r="Y438" s="564"/>
      <c r="Z438" s="564"/>
      <c r="AA438" s="564"/>
      <c r="AB438" s="556"/>
      <c r="AC438" s="556"/>
      <c r="AD438" s="74"/>
      <c r="AE438" s="74"/>
      <c r="AF438" s="74"/>
      <c r="AG438" s="74"/>
      <c r="AH438" s="74"/>
      <c r="AI438" s="74"/>
      <c r="AJ438" s="74"/>
      <c r="AK438" s="74"/>
      <c r="AL438" s="74"/>
      <c r="AM438" s="74"/>
      <c r="AN438" s="74"/>
      <c r="AO438" s="74"/>
      <c r="AP438" s="74"/>
      <c r="AQ438" s="74"/>
      <c r="AR438" s="74"/>
      <c r="AS438" s="565"/>
      <c r="AT438" s="556"/>
    </row>
    <row r="439" spans="1:46" hidden="1" x14ac:dyDescent="0.45">
      <c r="A439" s="556"/>
      <c r="B439" s="556"/>
      <c r="C439" s="556"/>
      <c r="D439" s="556"/>
      <c r="E439" s="556"/>
      <c r="F439" s="564"/>
      <c r="G439" s="564"/>
      <c r="H439" s="564"/>
      <c r="I439" s="564"/>
      <c r="J439" s="564"/>
      <c r="K439" s="564"/>
      <c r="L439" s="564"/>
      <c r="M439" s="564"/>
      <c r="N439" s="564"/>
      <c r="O439" s="564"/>
      <c r="P439" s="564"/>
      <c r="Q439" s="564"/>
      <c r="R439" s="564"/>
      <c r="S439" s="564"/>
      <c r="T439" s="564"/>
      <c r="U439" s="564"/>
      <c r="V439" s="564"/>
      <c r="W439" s="564"/>
      <c r="X439" s="564"/>
      <c r="Y439" s="564"/>
      <c r="Z439" s="564"/>
      <c r="AA439" s="564"/>
      <c r="AB439" s="556"/>
      <c r="AC439" s="556"/>
      <c r="AD439" s="74"/>
      <c r="AE439" s="74"/>
      <c r="AF439" s="74"/>
      <c r="AG439" s="74"/>
      <c r="AH439" s="74"/>
      <c r="AI439" s="74"/>
      <c r="AJ439" s="74"/>
      <c r="AK439" s="74"/>
      <c r="AL439" s="74"/>
      <c r="AM439" s="74"/>
      <c r="AN439" s="74"/>
      <c r="AO439" s="74"/>
      <c r="AP439" s="74"/>
      <c r="AQ439" s="74"/>
      <c r="AR439" s="74"/>
      <c r="AS439" s="565"/>
      <c r="AT439" s="556"/>
    </row>
    <row r="440" spans="1:46" hidden="1" x14ac:dyDescent="0.45">
      <c r="A440" s="556"/>
      <c r="B440" s="556"/>
      <c r="C440" s="556"/>
      <c r="D440" s="556"/>
      <c r="E440" s="556"/>
      <c r="F440" s="564"/>
      <c r="G440" s="564"/>
      <c r="H440" s="564"/>
      <c r="I440" s="564"/>
      <c r="J440" s="564"/>
      <c r="K440" s="564"/>
      <c r="L440" s="564"/>
      <c r="M440" s="564"/>
      <c r="N440" s="564"/>
      <c r="O440" s="564"/>
      <c r="P440" s="564"/>
      <c r="Q440" s="564"/>
      <c r="R440" s="564"/>
      <c r="S440" s="564"/>
      <c r="T440" s="564"/>
      <c r="U440" s="564"/>
      <c r="V440" s="564"/>
      <c r="W440" s="564"/>
      <c r="X440" s="564"/>
      <c r="Y440" s="564"/>
      <c r="Z440" s="564"/>
      <c r="AA440" s="564"/>
      <c r="AB440" s="556"/>
      <c r="AC440" s="556"/>
      <c r="AD440" s="74"/>
      <c r="AE440" s="74"/>
      <c r="AF440" s="74"/>
      <c r="AG440" s="74"/>
      <c r="AH440" s="74"/>
      <c r="AI440" s="74"/>
      <c r="AJ440" s="74"/>
      <c r="AK440" s="74"/>
      <c r="AL440" s="74"/>
      <c r="AM440" s="74"/>
      <c r="AN440" s="74"/>
      <c r="AO440" s="74"/>
      <c r="AP440" s="74"/>
      <c r="AQ440" s="74"/>
      <c r="AR440" s="74"/>
      <c r="AS440" s="565"/>
      <c r="AT440" s="556"/>
    </row>
    <row r="441" spans="1:46" hidden="1" x14ac:dyDescent="0.45">
      <c r="A441" s="556"/>
      <c r="B441" s="556"/>
      <c r="C441" s="556"/>
      <c r="D441" s="556"/>
      <c r="E441" s="556"/>
      <c r="F441" s="564"/>
      <c r="G441" s="564"/>
      <c r="H441" s="564"/>
      <c r="I441" s="564"/>
      <c r="J441" s="564"/>
      <c r="K441" s="564"/>
      <c r="L441" s="564"/>
      <c r="M441" s="564"/>
      <c r="N441" s="564"/>
      <c r="O441" s="564"/>
      <c r="P441" s="564"/>
      <c r="Q441" s="564"/>
      <c r="R441" s="564"/>
      <c r="S441" s="564"/>
      <c r="T441" s="564"/>
      <c r="U441" s="564"/>
      <c r="V441" s="564"/>
      <c r="W441" s="564"/>
      <c r="X441" s="564"/>
      <c r="Y441" s="564"/>
      <c r="Z441" s="564"/>
      <c r="AA441" s="564"/>
      <c r="AB441" s="556"/>
      <c r="AC441" s="556"/>
      <c r="AD441" s="74"/>
      <c r="AE441" s="74"/>
      <c r="AF441" s="74"/>
      <c r="AG441" s="74"/>
      <c r="AH441" s="74"/>
      <c r="AI441" s="74"/>
      <c r="AJ441" s="74"/>
      <c r="AK441" s="74"/>
      <c r="AL441" s="74"/>
      <c r="AM441" s="74"/>
      <c r="AN441" s="74"/>
      <c r="AO441" s="74"/>
      <c r="AP441" s="74"/>
      <c r="AQ441" s="74"/>
      <c r="AR441" s="74"/>
      <c r="AS441" s="565"/>
      <c r="AT441" s="556"/>
    </row>
    <row r="442" spans="1:46" hidden="1" x14ac:dyDescent="0.45">
      <c r="A442" s="556"/>
      <c r="B442" s="556"/>
      <c r="C442" s="556"/>
      <c r="D442" s="556"/>
      <c r="E442" s="556"/>
      <c r="F442" s="564"/>
      <c r="G442" s="564"/>
      <c r="H442" s="564"/>
      <c r="I442" s="564"/>
      <c r="J442" s="564"/>
      <c r="K442" s="564"/>
      <c r="L442" s="564"/>
      <c r="M442" s="564"/>
      <c r="N442" s="564"/>
      <c r="O442" s="564"/>
      <c r="P442" s="564"/>
      <c r="Q442" s="564"/>
      <c r="R442" s="564"/>
      <c r="S442" s="564"/>
      <c r="T442" s="564"/>
      <c r="U442" s="564"/>
      <c r="V442" s="564"/>
      <c r="W442" s="564"/>
      <c r="X442" s="564"/>
      <c r="Y442" s="564"/>
      <c r="Z442" s="564"/>
      <c r="AA442" s="564"/>
      <c r="AB442" s="556"/>
      <c r="AC442" s="556"/>
      <c r="AD442" s="74"/>
      <c r="AE442" s="74"/>
      <c r="AF442" s="74"/>
      <c r="AG442" s="74"/>
      <c r="AH442" s="74"/>
      <c r="AI442" s="74"/>
      <c r="AJ442" s="74"/>
      <c r="AK442" s="74"/>
      <c r="AL442" s="74"/>
      <c r="AM442" s="74"/>
      <c r="AN442" s="74"/>
      <c r="AO442" s="74"/>
      <c r="AP442" s="74"/>
      <c r="AQ442" s="74"/>
      <c r="AR442" s="74"/>
      <c r="AS442" s="565"/>
      <c r="AT442" s="556"/>
    </row>
    <row r="443" spans="1:46" hidden="1" x14ac:dyDescent="0.45">
      <c r="A443" s="556"/>
      <c r="B443" s="556"/>
      <c r="C443" s="556"/>
      <c r="D443" s="556"/>
      <c r="E443" s="556"/>
      <c r="F443" s="564"/>
      <c r="G443" s="564"/>
      <c r="H443" s="564"/>
      <c r="I443" s="564"/>
      <c r="J443" s="564"/>
      <c r="K443" s="564"/>
      <c r="L443" s="564"/>
      <c r="M443" s="564"/>
      <c r="N443" s="564"/>
      <c r="O443" s="564"/>
      <c r="P443" s="564"/>
      <c r="Q443" s="564"/>
      <c r="R443" s="564"/>
      <c r="S443" s="564"/>
      <c r="T443" s="564"/>
      <c r="U443" s="564"/>
      <c r="V443" s="564"/>
      <c r="W443" s="564"/>
      <c r="X443" s="564"/>
      <c r="Y443" s="564"/>
      <c r="Z443" s="564"/>
      <c r="AA443" s="564"/>
      <c r="AB443" s="556"/>
      <c r="AC443" s="556"/>
      <c r="AD443" s="74"/>
      <c r="AE443" s="74"/>
      <c r="AF443" s="74"/>
      <c r="AG443" s="74"/>
      <c r="AH443" s="74"/>
      <c r="AI443" s="74"/>
      <c r="AJ443" s="74"/>
      <c r="AK443" s="74"/>
      <c r="AL443" s="74"/>
      <c r="AM443" s="74"/>
      <c r="AN443" s="74"/>
      <c r="AO443" s="74"/>
      <c r="AP443" s="74"/>
      <c r="AQ443" s="74"/>
      <c r="AR443" s="74"/>
      <c r="AS443" s="565"/>
      <c r="AT443" s="556"/>
    </row>
    <row r="444" spans="1:46" hidden="1" x14ac:dyDescent="0.45">
      <c r="A444" s="556"/>
      <c r="B444" s="556"/>
      <c r="C444" s="556"/>
      <c r="D444" s="556"/>
      <c r="E444" s="556"/>
      <c r="F444" s="564"/>
      <c r="G444" s="564"/>
      <c r="H444" s="564"/>
      <c r="I444" s="564"/>
      <c r="J444" s="564"/>
      <c r="K444" s="564"/>
      <c r="L444" s="564"/>
      <c r="M444" s="564"/>
      <c r="N444" s="564"/>
      <c r="O444" s="564"/>
      <c r="P444" s="564"/>
      <c r="Q444" s="564"/>
      <c r="R444" s="564"/>
      <c r="S444" s="564"/>
      <c r="T444" s="564"/>
      <c r="U444" s="564"/>
      <c r="V444" s="564"/>
      <c r="W444" s="564"/>
      <c r="X444" s="564"/>
      <c r="Y444" s="564"/>
      <c r="Z444" s="564"/>
      <c r="AA444" s="564"/>
      <c r="AB444" s="556"/>
      <c r="AC444" s="556"/>
      <c r="AD444" s="74"/>
      <c r="AE444" s="74"/>
      <c r="AF444" s="74"/>
      <c r="AG444" s="74"/>
      <c r="AH444" s="74"/>
      <c r="AI444" s="74"/>
      <c r="AJ444" s="74"/>
      <c r="AK444" s="74"/>
      <c r="AL444" s="74"/>
      <c r="AM444" s="74"/>
      <c r="AN444" s="74"/>
      <c r="AO444" s="74"/>
      <c r="AP444" s="74"/>
      <c r="AQ444" s="74"/>
      <c r="AR444" s="74"/>
      <c r="AS444" s="565"/>
      <c r="AT444" s="556"/>
    </row>
    <row r="445" spans="1:46" hidden="1" x14ac:dyDescent="0.45">
      <c r="A445" s="556"/>
      <c r="B445" s="556"/>
      <c r="C445" s="556"/>
      <c r="D445" s="556"/>
      <c r="E445" s="556"/>
      <c r="F445" s="564"/>
      <c r="G445" s="564"/>
      <c r="H445" s="564"/>
      <c r="I445" s="564"/>
      <c r="J445" s="564"/>
      <c r="K445" s="564"/>
      <c r="L445" s="564"/>
      <c r="M445" s="564"/>
      <c r="N445" s="564"/>
      <c r="O445" s="564"/>
      <c r="P445" s="564"/>
      <c r="Q445" s="564"/>
      <c r="R445" s="564"/>
      <c r="S445" s="564"/>
      <c r="T445" s="564"/>
      <c r="U445" s="564"/>
      <c r="V445" s="564"/>
      <c r="W445" s="564"/>
      <c r="X445" s="564"/>
      <c r="Y445" s="564"/>
      <c r="Z445" s="564"/>
      <c r="AA445" s="564"/>
      <c r="AB445" s="556"/>
      <c r="AC445" s="556"/>
      <c r="AD445" s="74"/>
      <c r="AE445" s="74"/>
      <c r="AF445" s="74"/>
      <c r="AG445" s="74"/>
      <c r="AH445" s="74"/>
      <c r="AI445" s="74"/>
      <c r="AJ445" s="74"/>
      <c r="AK445" s="74"/>
      <c r="AL445" s="74"/>
      <c r="AM445" s="74"/>
      <c r="AN445" s="74"/>
      <c r="AO445" s="74"/>
      <c r="AP445" s="74"/>
      <c r="AQ445" s="74"/>
      <c r="AR445" s="74"/>
      <c r="AS445" s="565"/>
      <c r="AT445" s="556"/>
    </row>
    <row r="446" spans="1:46" hidden="1" x14ac:dyDescent="0.45">
      <c r="A446" s="556"/>
      <c r="B446" s="556"/>
      <c r="C446" s="556"/>
      <c r="D446" s="556"/>
      <c r="E446" s="556"/>
      <c r="F446" s="564"/>
      <c r="G446" s="564"/>
      <c r="H446" s="564"/>
      <c r="I446" s="564"/>
      <c r="J446" s="564"/>
      <c r="K446" s="564"/>
      <c r="L446" s="564"/>
      <c r="M446" s="564"/>
      <c r="N446" s="564"/>
      <c r="O446" s="564"/>
      <c r="P446" s="564"/>
      <c r="Q446" s="564"/>
      <c r="R446" s="564"/>
      <c r="S446" s="564"/>
      <c r="T446" s="564"/>
      <c r="U446" s="564"/>
      <c r="V446" s="564"/>
      <c r="W446" s="564"/>
      <c r="X446" s="564"/>
      <c r="Y446" s="564"/>
      <c r="Z446" s="564"/>
      <c r="AA446" s="564"/>
      <c r="AB446" s="556"/>
      <c r="AC446" s="556"/>
      <c r="AD446" s="74"/>
      <c r="AE446" s="74"/>
      <c r="AF446" s="74"/>
      <c r="AG446" s="74"/>
      <c r="AH446" s="74"/>
      <c r="AI446" s="74"/>
      <c r="AJ446" s="74"/>
      <c r="AK446" s="74"/>
      <c r="AL446" s="74"/>
      <c r="AM446" s="74"/>
      <c r="AN446" s="74"/>
      <c r="AO446" s="74"/>
      <c r="AP446" s="74"/>
      <c r="AQ446" s="74"/>
      <c r="AR446" s="74"/>
      <c r="AS446" s="565"/>
      <c r="AT446" s="556"/>
    </row>
    <row r="447" spans="1:46" hidden="1" x14ac:dyDescent="0.45">
      <c r="A447" s="556"/>
      <c r="B447" s="556"/>
      <c r="C447" s="556"/>
      <c r="D447" s="556"/>
      <c r="E447" s="556"/>
      <c r="F447" s="564"/>
      <c r="G447" s="564"/>
      <c r="H447" s="564"/>
      <c r="I447" s="564"/>
      <c r="J447" s="564"/>
      <c r="K447" s="564"/>
      <c r="L447" s="564"/>
      <c r="M447" s="564"/>
      <c r="N447" s="564"/>
      <c r="O447" s="564"/>
      <c r="P447" s="564"/>
      <c r="Q447" s="564"/>
      <c r="R447" s="564"/>
      <c r="S447" s="564"/>
      <c r="T447" s="564"/>
      <c r="U447" s="564"/>
      <c r="V447" s="564"/>
      <c r="W447" s="564"/>
      <c r="X447" s="564"/>
      <c r="Y447" s="564"/>
      <c r="Z447" s="564"/>
      <c r="AA447" s="564"/>
      <c r="AB447" s="556"/>
      <c r="AC447" s="556"/>
      <c r="AD447" s="74"/>
      <c r="AE447" s="74"/>
      <c r="AF447" s="74"/>
      <c r="AG447" s="74"/>
      <c r="AH447" s="74"/>
      <c r="AI447" s="74"/>
      <c r="AJ447" s="74"/>
      <c r="AK447" s="74"/>
      <c r="AL447" s="74"/>
      <c r="AM447" s="74"/>
      <c r="AN447" s="74"/>
      <c r="AO447" s="74"/>
      <c r="AP447" s="74"/>
      <c r="AQ447" s="74"/>
      <c r="AR447" s="74"/>
      <c r="AS447" s="565"/>
      <c r="AT447" s="556"/>
    </row>
    <row r="448" spans="1:46" hidden="1" x14ac:dyDescent="0.45">
      <c r="A448" s="556"/>
      <c r="B448" s="556"/>
      <c r="C448" s="556"/>
      <c r="D448" s="556"/>
      <c r="E448" s="556"/>
      <c r="F448" s="564"/>
      <c r="G448" s="564"/>
      <c r="H448" s="564"/>
      <c r="I448" s="564"/>
      <c r="J448" s="564"/>
      <c r="K448" s="564"/>
      <c r="L448" s="564"/>
      <c r="M448" s="564"/>
      <c r="N448" s="564"/>
      <c r="O448" s="564"/>
      <c r="P448" s="564"/>
      <c r="Q448" s="564"/>
      <c r="R448" s="564"/>
      <c r="S448" s="564"/>
      <c r="T448" s="564"/>
      <c r="U448" s="564"/>
      <c r="V448" s="564"/>
      <c r="W448" s="564"/>
      <c r="X448" s="564"/>
      <c r="Y448" s="564"/>
      <c r="Z448" s="564"/>
      <c r="AA448" s="564"/>
      <c r="AB448" s="556"/>
      <c r="AC448" s="556"/>
      <c r="AD448" s="74"/>
      <c r="AE448" s="74"/>
      <c r="AF448" s="74"/>
      <c r="AG448" s="74"/>
      <c r="AH448" s="74"/>
      <c r="AI448" s="74"/>
      <c r="AJ448" s="74"/>
      <c r="AK448" s="74"/>
      <c r="AL448" s="74"/>
      <c r="AM448" s="74"/>
      <c r="AN448" s="74"/>
      <c r="AO448" s="74"/>
      <c r="AP448" s="74"/>
      <c r="AQ448" s="74"/>
      <c r="AR448" s="74"/>
      <c r="AS448" s="565"/>
      <c r="AT448" s="556"/>
    </row>
    <row r="449" spans="1:46" hidden="1" x14ac:dyDescent="0.45">
      <c r="A449" s="556"/>
      <c r="B449" s="556"/>
      <c r="C449" s="556"/>
      <c r="D449" s="556"/>
      <c r="E449" s="556"/>
      <c r="F449" s="564"/>
      <c r="G449" s="564"/>
      <c r="H449" s="564"/>
      <c r="I449" s="564"/>
      <c r="J449" s="564"/>
      <c r="K449" s="564"/>
      <c r="L449" s="564"/>
      <c r="M449" s="564"/>
      <c r="N449" s="564"/>
      <c r="O449" s="564"/>
      <c r="P449" s="564"/>
      <c r="Q449" s="564"/>
      <c r="R449" s="564"/>
      <c r="S449" s="564"/>
      <c r="T449" s="564"/>
      <c r="U449" s="564"/>
      <c r="V449" s="564"/>
      <c r="W449" s="564"/>
      <c r="X449" s="564"/>
      <c r="Y449" s="564"/>
      <c r="Z449" s="564"/>
      <c r="AA449" s="564"/>
      <c r="AB449" s="556"/>
      <c r="AC449" s="556"/>
      <c r="AD449" s="74"/>
      <c r="AE449" s="74"/>
      <c r="AF449" s="74"/>
      <c r="AG449" s="74"/>
      <c r="AH449" s="74"/>
      <c r="AI449" s="74"/>
      <c r="AJ449" s="74"/>
      <c r="AK449" s="74"/>
      <c r="AL449" s="74"/>
      <c r="AM449" s="74"/>
      <c r="AN449" s="74"/>
      <c r="AO449" s="74"/>
      <c r="AP449" s="74"/>
      <c r="AQ449" s="74"/>
      <c r="AR449" s="74"/>
      <c r="AS449" s="565"/>
      <c r="AT449" s="556"/>
    </row>
    <row r="450" spans="1:46" hidden="1" x14ac:dyDescent="0.45">
      <c r="A450" s="556"/>
      <c r="B450" s="556"/>
      <c r="C450" s="556"/>
      <c r="D450" s="556"/>
      <c r="E450" s="556"/>
      <c r="F450" s="564"/>
      <c r="G450" s="564"/>
      <c r="H450" s="564"/>
      <c r="I450" s="564"/>
      <c r="J450" s="564"/>
      <c r="K450" s="564"/>
      <c r="L450" s="564"/>
      <c r="M450" s="564"/>
      <c r="N450" s="564"/>
      <c r="O450" s="564"/>
      <c r="P450" s="564"/>
      <c r="Q450" s="564"/>
      <c r="R450" s="564"/>
      <c r="S450" s="564"/>
      <c r="T450" s="564"/>
      <c r="U450" s="564"/>
      <c r="V450" s="564"/>
      <c r="W450" s="564"/>
      <c r="X450" s="564"/>
      <c r="Y450" s="564"/>
      <c r="Z450" s="564"/>
      <c r="AA450" s="564"/>
      <c r="AB450" s="556"/>
      <c r="AC450" s="556"/>
      <c r="AD450" s="74"/>
      <c r="AE450" s="74"/>
      <c r="AF450" s="74"/>
      <c r="AG450" s="74"/>
      <c r="AH450" s="74"/>
      <c r="AI450" s="74"/>
      <c r="AJ450" s="74"/>
      <c r="AK450" s="74"/>
      <c r="AL450" s="74"/>
      <c r="AM450" s="74"/>
      <c r="AN450" s="74"/>
      <c r="AO450" s="74"/>
      <c r="AP450" s="74"/>
      <c r="AQ450" s="74"/>
      <c r="AR450" s="74"/>
      <c r="AS450" s="565"/>
      <c r="AT450" s="556"/>
    </row>
    <row r="451" spans="1:46" hidden="1" x14ac:dyDescent="0.45">
      <c r="A451" s="556"/>
      <c r="B451" s="556"/>
      <c r="C451" s="556"/>
      <c r="D451" s="556"/>
      <c r="E451" s="556"/>
      <c r="F451" s="564"/>
      <c r="G451" s="564"/>
      <c r="H451" s="564"/>
      <c r="I451" s="564"/>
      <c r="J451" s="564"/>
      <c r="K451" s="564"/>
      <c r="L451" s="564"/>
      <c r="M451" s="564"/>
      <c r="N451" s="564"/>
      <c r="O451" s="564"/>
      <c r="P451" s="564"/>
      <c r="Q451" s="564"/>
      <c r="R451" s="564"/>
      <c r="S451" s="564"/>
      <c r="T451" s="564"/>
      <c r="U451" s="564"/>
      <c r="V451" s="564"/>
      <c r="W451" s="564"/>
      <c r="X451" s="564"/>
      <c r="Y451" s="564"/>
      <c r="Z451" s="564"/>
      <c r="AA451" s="564"/>
      <c r="AB451" s="556"/>
      <c r="AC451" s="556"/>
      <c r="AD451" s="74"/>
      <c r="AE451" s="74"/>
      <c r="AF451" s="74"/>
      <c r="AG451" s="74"/>
      <c r="AH451" s="74"/>
      <c r="AI451" s="74"/>
      <c r="AJ451" s="74"/>
      <c r="AK451" s="74"/>
      <c r="AL451" s="74"/>
      <c r="AM451" s="74"/>
      <c r="AN451" s="74"/>
      <c r="AO451" s="74"/>
      <c r="AP451" s="74"/>
      <c r="AQ451" s="74"/>
      <c r="AR451" s="74"/>
      <c r="AS451" s="565"/>
      <c r="AT451" s="556"/>
    </row>
    <row r="452" spans="1:46" hidden="1" x14ac:dyDescent="0.45">
      <c r="A452" s="556"/>
      <c r="B452" s="556"/>
      <c r="C452" s="556"/>
      <c r="D452" s="556"/>
      <c r="E452" s="556"/>
      <c r="F452" s="564"/>
      <c r="G452" s="564"/>
      <c r="H452" s="564"/>
      <c r="I452" s="564"/>
      <c r="J452" s="564"/>
      <c r="K452" s="564"/>
      <c r="L452" s="564"/>
      <c r="M452" s="564"/>
      <c r="N452" s="564"/>
      <c r="O452" s="564"/>
      <c r="P452" s="564"/>
      <c r="Q452" s="564"/>
      <c r="R452" s="564"/>
      <c r="S452" s="564"/>
      <c r="T452" s="564"/>
      <c r="U452" s="564"/>
      <c r="V452" s="564"/>
      <c r="W452" s="564"/>
      <c r="X452" s="564"/>
      <c r="Y452" s="564"/>
      <c r="Z452" s="564"/>
      <c r="AA452" s="564"/>
      <c r="AB452" s="556"/>
      <c r="AC452" s="556"/>
      <c r="AD452" s="74"/>
      <c r="AE452" s="74"/>
      <c r="AF452" s="74"/>
      <c r="AG452" s="74"/>
      <c r="AH452" s="74"/>
      <c r="AI452" s="74"/>
      <c r="AJ452" s="74"/>
      <c r="AK452" s="74"/>
      <c r="AL452" s="74"/>
      <c r="AM452" s="74"/>
      <c r="AN452" s="74"/>
      <c r="AO452" s="74"/>
      <c r="AP452" s="74"/>
      <c r="AQ452" s="74"/>
      <c r="AR452" s="74"/>
      <c r="AS452" s="565"/>
      <c r="AT452" s="556"/>
    </row>
    <row r="453" spans="1:46" hidden="1" x14ac:dyDescent="0.45">
      <c r="A453" s="556"/>
      <c r="B453" s="556"/>
      <c r="C453" s="556"/>
      <c r="D453" s="556"/>
      <c r="E453" s="556"/>
      <c r="F453" s="564"/>
      <c r="G453" s="564"/>
      <c r="H453" s="564"/>
      <c r="I453" s="564"/>
      <c r="J453" s="564"/>
      <c r="K453" s="564"/>
      <c r="L453" s="564"/>
      <c r="M453" s="564"/>
      <c r="N453" s="564"/>
      <c r="O453" s="564"/>
      <c r="P453" s="564"/>
      <c r="Q453" s="564"/>
      <c r="R453" s="564"/>
      <c r="S453" s="564"/>
      <c r="T453" s="564"/>
      <c r="U453" s="564"/>
      <c r="V453" s="564"/>
      <c r="W453" s="564"/>
      <c r="X453" s="564"/>
      <c r="Y453" s="564"/>
      <c r="Z453" s="564"/>
      <c r="AA453" s="564"/>
      <c r="AB453" s="556"/>
      <c r="AC453" s="556"/>
      <c r="AD453" s="74"/>
      <c r="AE453" s="74"/>
      <c r="AF453" s="74"/>
      <c r="AG453" s="74"/>
      <c r="AH453" s="74"/>
      <c r="AI453" s="74"/>
      <c r="AJ453" s="74"/>
      <c r="AK453" s="74"/>
      <c r="AL453" s="74"/>
      <c r="AM453" s="74"/>
      <c r="AN453" s="74"/>
      <c r="AO453" s="74"/>
      <c r="AP453" s="74"/>
      <c r="AQ453" s="74"/>
      <c r="AR453" s="74"/>
      <c r="AS453" s="565"/>
      <c r="AT453" s="556"/>
    </row>
    <row r="454" spans="1:46" hidden="1" x14ac:dyDescent="0.45">
      <c r="A454" s="556"/>
      <c r="B454" s="556"/>
      <c r="C454" s="556"/>
      <c r="D454" s="556"/>
      <c r="E454" s="556"/>
      <c r="F454" s="564"/>
      <c r="G454" s="564"/>
      <c r="H454" s="564"/>
      <c r="I454" s="564"/>
      <c r="J454" s="564"/>
      <c r="K454" s="564"/>
      <c r="L454" s="564"/>
      <c r="M454" s="564"/>
      <c r="N454" s="564"/>
      <c r="O454" s="564"/>
      <c r="P454" s="564"/>
      <c r="Q454" s="564"/>
      <c r="R454" s="564"/>
      <c r="S454" s="564"/>
      <c r="T454" s="564"/>
      <c r="U454" s="564"/>
      <c r="V454" s="564"/>
      <c r="W454" s="564"/>
      <c r="X454" s="564"/>
      <c r="Y454" s="564"/>
      <c r="Z454" s="564"/>
      <c r="AA454" s="564"/>
      <c r="AB454" s="556"/>
      <c r="AC454" s="556"/>
      <c r="AD454" s="74"/>
      <c r="AE454" s="74"/>
      <c r="AF454" s="74"/>
      <c r="AG454" s="74"/>
      <c r="AH454" s="74"/>
      <c r="AI454" s="74"/>
      <c r="AJ454" s="74"/>
      <c r="AK454" s="74"/>
      <c r="AL454" s="74"/>
      <c r="AM454" s="74"/>
      <c r="AN454" s="74"/>
      <c r="AO454" s="74"/>
      <c r="AP454" s="74"/>
      <c r="AQ454" s="74"/>
      <c r="AR454" s="74"/>
      <c r="AS454" s="565"/>
      <c r="AT454" s="556"/>
    </row>
    <row r="455" spans="1:46" hidden="1" x14ac:dyDescent="0.45">
      <c r="A455" s="556"/>
      <c r="B455" s="556"/>
      <c r="C455" s="556"/>
      <c r="D455" s="556"/>
      <c r="E455" s="556"/>
      <c r="F455" s="564"/>
      <c r="G455" s="564"/>
      <c r="H455" s="564"/>
      <c r="I455" s="564"/>
      <c r="J455" s="564"/>
      <c r="K455" s="564"/>
      <c r="L455" s="564"/>
      <c r="M455" s="564"/>
      <c r="N455" s="564"/>
      <c r="O455" s="564"/>
      <c r="P455" s="564"/>
      <c r="Q455" s="564"/>
      <c r="R455" s="564"/>
      <c r="S455" s="564"/>
      <c r="T455" s="564"/>
      <c r="U455" s="564"/>
      <c r="V455" s="564"/>
      <c r="W455" s="564"/>
      <c r="X455" s="564"/>
      <c r="Y455" s="564"/>
      <c r="Z455" s="564"/>
      <c r="AA455" s="564"/>
      <c r="AB455" s="556"/>
      <c r="AC455" s="556"/>
      <c r="AD455" s="74"/>
      <c r="AE455" s="74"/>
      <c r="AF455" s="74"/>
      <c r="AG455" s="74"/>
      <c r="AH455" s="74"/>
      <c r="AI455" s="74"/>
      <c r="AJ455" s="74"/>
      <c r="AK455" s="74"/>
      <c r="AL455" s="74"/>
      <c r="AM455" s="74"/>
      <c r="AN455" s="74"/>
      <c r="AO455" s="74"/>
      <c r="AP455" s="74"/>
      <c r="AQ455" s="74"/>
      <c r="AR455" s="74"/>
      <c r="AS455" s="565"/>
      <c r="AT455" s="556"/>
    </row>
    <row r="456" spans="1:46" hidden="1" x14ac:dyDescent="0.45">
      <c r="A456" s="556"/>
      <c r="B456" s="556"/>
      <c r="C456" s="556"/>
      <c r="D456" s="556"/>
      <c r="E456" s="556"/>
      <c r="F456" s="564"/>
      <c r="G456" s="564"/>
      <c r="H456" s="564"/>
      <c r="I456" s="564"/>
      <c r="J456" s="564"/>
      <c r="K456" s="564"/>
      <c r="L456" s="564"/>
      <c r="M456" s="564"/>
      <c r="N456" s="564"/>
      <c r="O456" s="564"/>
      <c r="P456" s="564"/>
      <c r="Q456" s="564"/>
      <c r="R456" s="564"/>
      <c r="S456" s="564"/>
      <c r="T456" s="564"/>
      <c r="U456" s="564"/>
      <c r="V456" s="564"/>
      <c r="W456" s="564"/>
      <c r="X456" s="564"/>
      <c r="Y456" s="564"/>
      <c r="Z456" s="564"/>
      <c r="AA456" s="564"/>
      <c r="AB456" s="556"/>
      <c r="AC456" s="556"/>
      <c r="AD456" s="74"/>
      <c r="AE456" s="74"/>
      <c r="AF456" s="74"/>
      <c r="AG456" s="74"/>
      <c r="AH456" s="74"/>
      <c r="AI456" s="74"/>
      <c r="AJ456" s="74"/>
      <c r="AK456" s="74"/>
      <c r="AL456" s="74"/>
      <c r="AM456" s="74"/>
      <c r="AN456" s="74"/>
      <c r="AO456" s="74"/>
      <c r="AP456" s="74"/>
      <c r="AQ456" s="74"/>
      <c r="AR456" s="74"/>
      <c r="AS456" s="565"/>
      <c r="AT456" s="556"/>
    </row>
    <row r="457" spans="1:46" hidden="1" x14ac:dyDescent="0.45">
      <c r="A457" s="556"/>
      <c r="B457" s="556"/>
      <c r="C457" s="556"/>
      <c r="D457" s="556"/>
      <c r="E457" s="556"/>
      <c r="F457" s="564"/>
      <c r="G457" s="564"/>
      <c r="H457" s="564"/>
      <c r="I457" s="564"/>
      <c r="J457" s="564"/>
      <c r="K457" s="564"/>
      <c r="L457" s="564"/>
      <c r="M457" s="564"/>
      <c r="N457" s="564"/>
      <c r="O457" s="564"/>
      <c r="P457" s="564"/>
      <c r="Q457" s="564"/>
      <c r="R457" s="564"/>
      <c r="S457" s="564"/>
      <c r="T457" s="564"/>
      <c r="U457" s="564"/>
      <c r="V457" s="564"/>
      <c r="W457" s="564"/>
      <c r="X457" s="564"/>
      <c r="Y457" s="564"/>
      <c r="Z457" s="564"/>
      <c r="AA457" s="564"/>
      <c r="AB457" s="556"/>
      <c r="AC457" s="556"/>
      <c r="AD457" s="74"/>
      <c r="AE457" s="74"/>
      <c r="AF457" s="74"/>
      <c r="AG457" s="74"/>
      <c r="AH457" s="74"/>
      <c r="AI457" s="74"/>
      <c r="AJ457" s="74"/>
      <c r="AK457" s="74"/>
      <c r="AL457" s="74"/>
      <c r="AM457" s="74"/>
      <c r="AN457" s="74"/>
      <c r="AO457" s="74"/>
      <c r="AP457" s="74"/>
      <c r="AQ457" s="74"/>
      <c r="AR457" s="74"/>
      <c r="AS457" s="565"/>
      <c r="AT457" s="556"/>
    </row>
    <row r="458" spans="1:46" hidden="1" x14ac:dyDescent="0.45">
      <c r="A458" s="556"/>
      <c r="B458" s="556"/>
      <c r="C458" s="556"/>
      <c r="D458" s="556"/>
      <c r="E458" s="556"/>
      <c r="F458" s="564"/>
      <c r="G458" s="564"/>
      <c r="H458" s="564"/>
      <c r="I458" s="564"/>
      <c r="J458" s="564"/>
      <c r="K458" s="564"/>
      <c r="L458" s="564"/>
      <c r="M458" s="564"/>
      <c r="N458" s="564"/>
      <c r="O458" s="564"/>
      <c r="P458" s="564"/>
      <c r="Q458" s="564"/>
      <c r="R458" s="564"/>
      <c r="S458" s="564"/>
      <c r="T458" s="564"/>
      <c r="U458" s="564"/>
      <c r="V458" s="564"/>
      <c r="W458" s="564"/>
      <c r="X458" s="564"/>
      <c r="Y458" s="564"/>
      <c r="Z458" s="564"/>
      <c r="AA458" s="564"/>
      <c r="AB458" s="556"/>
      <c r="AC458" s="556"/>
      <c r="AD458" s="74"/>
      <c r="AE458" s="74"/>
      <c r="AF458" s="74"/>
      <c r="AG458" s="74"/>
      <c r="AH458" s="74"/>
      <c r="AI458" s="74"/>
      <c r="AJ458" s="74"/>
      <c r="AK458" s="74"/>
      <c r="AL458" s="74"/>
      <c r="AM458" s="74"/>
      <c r="AN458" s="74"/>
      <c r="AO458" s="74"/>
      <c r="AP458" s="74"/>
      <c r="AQ458" s="74"/>
      <c r="AR458" s="74"/>
      <c r="AS458" s="565"/>
      <c r="AT458" s="556"/>
    </row>
    <row r="459" spans="1:46" hidden="1" x14ac:dyDescent="0.45">
      <c r="A459" s="556"/>
      <c r="B459" s="556"/>
      <c r="C459" s="556"/>
      <c r="D459" s="556"/>
      <c r="E459" s="556"/>
      <c r="F459" s="564"/>
      <c r="G459" s="564"/>
      <c r="H459" s="564"/>
      <c r="I459" s="564"/>
      <c r="J459" s="564"/>
      <c r="K459" s="564"/>
      <c r="L459" s="564"/>
      <c r="M459" s="564"/>
      <c r="N459" s="564"/>
      <c r="O459" s="564"/>
      <c r="P459" s="564"/>
      <c r="Q459" s="564"/>
      <c r="R459" s="564"/>
      <c r="S459" s="564"/>
      <c r="T459" s="564"/>
      <c r="U459" s="564"/>
      <c r="V459" s="564"/>
      <c r="W459" s="564"/>
      <c r="X459" s="564"/>
      <c r="Y459" s="564"/>
      <c r="Z459" s="564"/>
      <c r="AA459" s="564"/>
      <c r="AB459" s="556"/>
      <c r="AC459" s="556"/>
      <c r="AD459" s="74"/>
      <c r="AE459" s="74"/>
      <c r="AF459" s="74"/>
      <c r="AG459" s="74"/>
      <c r="AH459" s="74"/>
      <c r="AI459" s="74"/>
      <c r="AJ459" s="74"/>
      <c r="AK459" s="74"/>
      <c r="AL459" s="74"/>
      <c r="AM459" s="74"/>
      <c r="AN459" s="74"/>
      <c r="AO459" s="74"/>
      <c r="AP459" s="74"/>
      <c r="AQ459" s="74"/>
      <c r="AR459" s="74"/>
      <c r="AS459" s="565"/>
      <c r="AT459" s="556"/>
    </row>
    <row r="460" spans="1:46" hidden="1" x14ac:dyDescent="0.45">
      <c r="A460" s="556"/>
      <c r="B460" s="556"/>
      <c r="C460" s="556"/>
      <c r="D460" s="556"/>
      <c r="E460" s="556"/>
      <c r="F460" s="564"/>
      <c r="G460" s="564"/>
      <c r="H460" s="564"/>
      <c r="I460" s="564"/>
      <c r="J460" s="564"/>
      <c r="K460" s="564"/>
      <c r="L460" s="564"/>
      <c r="M460" s="564"/>
      <c r="N460" s="564"/>
      <c r="O460" s="564"/>
      <c r="P460" s="564"/>
      <c r="Q460" s="564"/>
      <c r="R460" s="564"/>
      <c r="S460" s="564"/>
      <c r="T460" s="564"/>
      <c r="U460" s="564"/>
      <c r="V460" s="564"/>
      <c r="W460" s="564"/>
      <c r="X460" s="564"/>
      <c r="Y460" s="564"/>
      <c r="Z460" s="564"/>
      <c r="AA460" s="564"/>
      <c r="AB460" s="556"/>
      <c r="AC460" s="556"/>
      <c r="AD460" s="74"/>
      <c r="AE460" s="74"/>
      <c r="AF460" s="74"/>
      <c r="AG460" s="74"/>
      <c r="AH460" s="74"/>
      <c r="AI460" s="74"/>
      <c r="AJ460" s="74"/>
      <c r="AK460" s="74"/>
      <c r="AL460" s="74"/>
      <c r="AM460" s="74"/>
      <c r="AN460" s="74"/>
      <c r="AO460" s="74"/>
      <c r="AP460" s="74"/>
      <c r="AQ460" s="74"/>
      <c r="AR460" s="74"/>
      <c r="AS460" s="565"/>
      <c r="AT460" s="556"/>
    </row>
    <row r="461" spans="1:46" hidden="1" x14ac:dyDescent="0.45">
      <c r="A461" s="556"/>
      <c r="B461" s="556"/>
      <c r="C461" s="556"/>
      <c r="D461" s="556"/>
      <c r="E461" s="556"/>
      <c r="F461" s="564"/>
      <c r="G461" s="564"/>
      <c r="H461" s="564"/>
      <c r="I461" s="564"/>
      <c r="J461" s="564"/>
      <c r="K461" s="564"/>
      <c r="L461" s="564"/>
      <c r="M461" s="564"/>
      <c r="N461" s="564"/>
      <c r="O461" s="564"/>
      <c r="P461" s="564"/>
      <c r="Q461" s="564"/>
      <c r="R461" s="564"/>
      <c r="S461" s="564"/>
      <c r="T461" s="564"/>
      <c r="U461" s="564"/>
      <c r="V461" s="564"/>
      <c r="W461" s="564"/>
      <c r="X461" s="564"/>
      <c r="Y461" s="564"/>
      <c r="Z461" s="564"/>
      <c r="AA461" s="564"/>
      <c r="AB461" s="556"/>
      <c r="AC461" s="556"/>
      <c r="AD461" s="74"/>
      <c r="AE461" s="74"/>
      <c r="AF461" s="74"/>
      <c r="AG461" s="74"/>
      <c r="AH461" s="74"/>
      <c r="AI461" s="74"/>
      <c r="AJ461" s="74"/>
      <c r="AK461" s="74"/>
      <c r="AL461" s="74"/>
      <c r="AM461" s="74"/>
      <c r="AN461" s="74"/>
      <c r="AO461" s="74"/>
      <c r="AP461" s="74"/>
      <c r="AQ461" s="74"/>
      <c r="AR461" s="74"/>
      <c r="AS461" s="565"/>
      <c r="AT461" s="556"/>
    </row>
    <row r="462" spans="1:46" hidden="1" x14ac:dyDescent="0.45">
      <c r="A462" s="556"/>
      <c r="B462" s="556"/>
      <c r="C462" s="556"/>
      <c r="D462" s="556"/>
      <c r="E462" s="556"/>
      <c r="F462" s="564"/>
      <c r="G462" s="564"/>
      <c r="H462" s="564"/>
      <c r="I462" s="564"/>
      <c r="J462" s="564"/>
      <c r="K462" s="564"/>
      <c r="L462" s="564"/>
      <c r="M462" s="564"/>
      <c r="N462" s="564"/>
      <c r="O462" s="564"/>
      <c r="P462" s="564"/>
      <c r="Q462" s="564"/>
      <c r="R462" s="564"/>
      <c r="S462" s="564"/>
      <c r="T462" s="564"/>
      <c r="U462" s="564"/>
      <c r="V462" s="564"/>
      <c r="W462" s="564"/>
      <c r="X462" s="564"/>
      <c r="Y462" s="564"/>
      <c r="Z462" s="564"/>
      <c r="AA462" s="564"/>
      <c r="AB462" s="556"/>
      <c r="AC462" s="556"/>
      <c r="AD462" s="74"/>
      <c r="AE462" s="74"/>
      <c r="AF462" s="74"/>
      <c r="AG462" s="74"/>
      <c r="AH462" s="74"/>
      <c r="AI462" s="74"/>
      <c r="AJ462" s="74"/>
      <c r="AK462" s="74"/>
      <c r="AL462" s="74"/>
      <c r="AM462" s="74"/>
      <c r="AN462" s="74"/>
      <c r="AO462" s="74"/>
      <c r="AP462" s="74"/>
      <c r="AQ462" s="74"/>
      <c r="AR462" s="74"/>
      <c r="AS462" s="565"/>
      <c r="AT462" s="556"/>
    </row>
    <row r="463" spans="1:46" hidden="1" x14ac:dyDescent="0.45">
      <c r="A463" s="556"/>
      <c r="B463" s="556"/>
      <c r="C463" s="556"/>
      <c r="D463" s="556"/>
      <c r="E463" s="556"/>
      <c r="F463" s="564"/>
      <c r="G463" s="564"/>
      <c r="H463" s="564"/>
      <c r="I463" s="564"/>
      <c r="J463" s="564"/>
      <c r="K463" s="564"/>
      <c r="L463" s="564"/>
      <c r="M463" s="564"/>
      <c r="N463" s="564"/>
      <c r="O463" s="564"/>
      <c r="P463" s="564"/>
      <c r="Q463" s="564"/>
      <c r="R463" s="564"/>
      <c r="S463" s="564"/>
      <c r="T463" s="564"/>
      <c r="U463" s="564"/>
      <c r="V463" s="564"/>
      <c r="W463" s="564"/>
      <c r="X463" s="564"/>
      <c r="Y463" s="564"/>
      <c r="Z463" s="564"/>
      <c r="AA463" s="564"/>
      <c r="AB463" s="556"/>
      <c r="AC463" s="556"/>
      <c r="AD463" s="74"/>
      <c r="AE463" s="74"/>
      <c r="AF463" s="74"/>
      <c r="AG463" s="74"/>
      <c r="AH463" s="74"/>
      <c r="AI463" s="74"/>
      <c r="AJ463" s="74"/>
      <c r="AK463" s="74"/>
      <c r="AL463" s="74"/>
      <c r="AM463" s="74"/>
      <c r="AN463" s="74"/>
      <c r="AO463" s="74"/>
      <c r="AP463" s="74"/>
      <c r="AQ463" s="74"/>
      <c r="AR463" s="74"/>
      <c r="AS463" s="565"/>
      <c r="AT463" s="556"/>
    </row>
    <row r="464" spans="1:46" hidden="1" x14ac:dyDescent="0.45">
      <c r="A464" s="556"/>
      <c r="B464" s="556"/>
      <c r="C464" s="556"/>
      <c r="D464" s="556"/>
      <c r="E464" s="556"/>
      <c r="F464" s="564"/>
      <c r="G464" s="564"/>
      <c r="H464" s="564"/>
      <c r="I464" s="564"/>
      <c r="J464" s="564"/>
      <c r="K464" s="564"/>
      <c r="L464" s="564"/>
      <c r="M464" s="564"/>
      <c r="N464" s="564"/>
      <c r="O464" s="564"/>
      <c r="P464" s="564"/>
      <c r="Q464" s="564"/>
      <c r="R464" s="564"/>
      <c r="S464" s="564"/>
      <c r="T464" s="564"/>
      <c r="U464" s="564"/>
      <c r="V464" s="564"/>
      <c r="W464" s="564"/>
      <c r="X464" s="564"/>
      <c r="Y464" s="564"/>
      <c r="Z464" s="564"/>
      <c r="AA464" s="564"/>
      <c r="AB464" s="556"/>
      <c r="AC464" s="556"/>
      <c r="AD464" s="74"/>
      <c r="AE464" s="74"/>
      <c r="AF464" s="74"/>
      <c r="AG464" s="74"/>
      <c r="AH464" s="74"/>
      <c r="AI464" s="74"/>
      <c r="AJ464" s="74"/>
      <c r="AK464" s="74"/>
      <c r="AL464" s="74"/>
      <c r="AM464" s="74"/>
      <c r="AN464" s="74"/>
      <c r="AO464" s="74"/>
      <c r="AP464" s="74"/>
      <c r="AQ464" s="74"/>
      <c r="AR464" s="74"/>
      <c r="AS464" s="565"/>
      <c r="AT464" s="556"/>
    </row>
    <row r="465" spans="1:48" hidden="1" x14ac:dyDescent="0.45">
      <c r="A465" s="556"/>
      <c r="B465" s="556"/>
      <c r="C465" s="556"/>
      <c r="D465" s="556"/>
      <c r="E465" s="556"/>
      <c r="F465" s="564"/>
      <c r="G465" s="564"/>
      <c r="H465" s="564"/>
      <c r="I465" s="564"/>
      <c r="J465" s="564"/>
      <c r="K465" s="564"/>
      <c r="L465" s="564"/>
      <c r="M465" s="564"/>
      <c r="N465" s="564"/>
      <c r="O465" s="564"/>
      <c r="P465" s="564"/>
      <c r="Q465" s="564"/>
      <c r="R465" s="564"/>
      <c r="S465" s="564"/>
      <c r="T465" s="564"/>
      <c r="U465" s="564"/>
      <c r="V465" s="564"/>
      <c r="W465" s="564"/>
      <c r="X465" s="564"/>
      <c r="Y465" s="564"/>
      <c r="Z465" s="564"/>
      <c r="AA465" s="564"/>
      <c r="AB465" s="556"/>
      <c r="AC465" s="556"/>
      <c r="AD465" s="74"/>
      <c r="AE465" s="74"/>
      <c r="AF465" s="74"/>
      <c r="AG465" s="74"/>
      <c r="AH465" s="74"/>
      <c r="AI465" s="74"/>
      <c r="AJ465" s="74"/>
      <c r="AK465" s="74"/>
      <c r="AL465" s="74"/>
      <c r="AM465" s="74"/>
      <c r="AN465" s="74"/>
      <c r="AO465" s="74"/>
      <c r="AP465" s="74"/>
      <c r="AQ465" s="74"/>
      <c r="AR465" s="74"/>
      <c r="AS465" s="565"/>
      <c r="AT465" s="556"/>
    </row>
    <row r="466" spans="1:48" hidden="1" x14ac:dyDescent="0.45">
      <c r="A466" s="556"/>
      <c r="B466" s="556"/>
      <c r="C466" s="556"/>
      <c r="D466" s="556"/>
      <c r="E466" s="556"/>
      <c r="F466" s="564"/>
      <c r="G466" s="564"/>
      <c r="H466" s="564"/>
      <c r="I466" s="564"/>
      <c r="J466" s="564"/>
      <c r="K466" s="564"/>
      <c r="L466" s="564"/>
      <c r="M466" s="564"/>
      <c r="N466" s="564"/>
      <c r="O466" s="564"/>
      <c r="P466" s="564"/>
      <c r="Q466" s="564"/>
      <c r="R466" s="564"/>
      <c r="S466" s="564"/>
      <c r="T466" s="564"/>
      <c r="U466" s="564"/>
      <c r="V466" s="564"/>
      <c r="W466" s="564"/>
      <c r="X466" s="564"/>
      <c r="Y466" s="564"/>
      <c r="Z466" s="564"/>
      <c r="AA466" s="564"/>
      <c r="AB466" s="556"/>
      <c r="AC466" s="556"/>
      <c r="AD466" s="74"/>
      <c r="AE466" s="74"/>
      <c r="AF466" s="74"/>
      <c r="AG466" s="74"/>
      <c r="AH466" s="74"/>
      <c r="AI466" s="74"/>
      <c r="AJ466" s="74"/>
      <c r="AK466" s="74"/>
      <c r="AL466" s="74"/>
      <c r="AM466" s="74"/>
      <c r="AN466" s="74"/>
      <c r="AO466" s="74"/>
      <c r="AP466" s="74"/>
      <c r="AQ466" s="74"/>
      <c r="AR466" s="74"/>
      <c r="AS466" s="565"/>
      <c r="AT466" s="556"/>
    </row>
    <row r="467" spans="1:48" hidden="1" x14ac:dyDescent="0.45">
      <c r="A467" s="556"/>
      <c r="B467" s="556"/>
      <c r="C467" s="556"/>
      <c r="D467" s="556"/>
      <c r="E467" s="556"/>
      <c r="F467" s="564"/>
      <c r="G467" s="564"/>
      <c r="H467" s="564"/>
      <c r="I467" s="564"/>
      <c r="J467" s="564"/>
      <c r="K467" s="564"/>
      <c r="L467" s="564"/>
      <c r="M467" s="564"/>
      <c r="N467" s="564"/>
      <c r="O467" s="564"/>
      <c r="P467" s="564"/>
      <c r="Q467" s="564"/>
      <c r="R467" s="564"/>
      <c r="S467" s="564"/>
      <c r="T467" s="564"/>
      <c r="U467" s="564"/>
      <c r="V467" s="564"/>
      <c r="W467" s="564"/>
      <c r="X467" s="564"/>
      <c r="Y467" s="564"/>
      <c r="Z467" s="564"/>
      <c r="AA467" s="564"/>
      <c r="AB467" s="556"/>
      <c r="AC467" s="556"/>
      <c r="AD467" s="74"/>
      <c r="AE467" s="74"/>
      <c r="AF467" s="74"/>
      <c r="AG467" s="74"/>
      <c r="AH467" s="74"/>
      <c r="AI467" s="74"/>
      <c r="AJ467" s="74"/>
      <c r="AK467" s="74"/>
      <c r="AL467" s="74"/>
      <c r="AM467" s="74"/>
      <c r="AN467" s="74"/>
      <c r="AO467" s="74"/>
      <c r="AP467" s="74"/>
      <c r="AQ467" s="74"/>
      <c r="AR467" s="74"/>
      <c r="AS467" s="565"/>
      <c r="AT467" s="556"/>
    </row>
    <row r="468" spans="1:48" hidden="1" x14ac:dyDescent="0.45">
      <c r="A468" s="556"/>
      <c r="B468" s="556"/>
      <c r="C468" s="556"/>
      <c r="D468" s="556"/>
      <c r="E468" s="556"/>
      <c r="F468" s="564"/>
      <c r="G468" s="564"/>
      <c r="H468" s="564"/>
      <c r="I468" s="564"/>
      <c r="J468" s="564"/>
      <c r="K468" s="564"/>
      <c r="L468" s="564"/>
      <c r="M468" s="564"/>
      <c r="N468" s="564"/>
      <c r="O468" s="564"/>
      <c r="P468" s="564"/>
      <c r="Q468" s="564"/>
      <c r="R468" s="564"/>
      <c r="S468" s="564"/>
      <c r="T468" s="564"/>
      <c r="U468" s="564"/>
      <c r="V468" s="564"/>
      <c r="W468" s="564"/>
      <c r="X468" s="564"/>
      <c r="Y468" s="564"/>
      <c r="Z468" s="564"/>
      <c r="AA468" s="564"/>
      <c r="AB468" s="556"/>
      <c r="AC468" s="556"/>
      <c r="AD468" s="74"/>
      <c r="AE468" s="74"/>
      <c r="AF468" s="74"/>
      <c r="AG468" s="74"/>
      <c r="AH468" s="74"/>
      <c r="AI468" s="74"/>
      <c r="AJ468" s="74"/>
      <c r="AK468" s="74"/>
      <c r="AL468" s="74"/>
      <c r="AM468" s="74"/>
      <c r="AN468" s="74"/>
      <c r="AO468" s="74"/>
      <c r="AP468" s="74"/>
      <c r="AQ468" s="74"/>
      <c r="AR468" s="74"/>
      <c r="AS468" s="565"/>
      <c r="AT468" s="556"/>
    </row>
    <row r="469" spans="1:48" hidden="1" x14ac:dyDescent="0.45">
      <c r="A469" s="556"/>
      <c r="B469" s="556"/>
      <c r="C469" s="556"/>
      <c r="D469" s="556"/>
      <c r="E469" s="556"/>
      <c r="F469" s="564"/>
      <c r="G469" s="564"/>
      <c r="H469" s="564"/>
      <c r="I469" s="564"/>
      <c r="J469" s="564"/>
      <c r="K469" s="564"/>
      <c r="L469" s="564"/>
      <c r="M469" s="564"/>
      <c r="N469" s="564"/>
      <c r="O469" s="564"/>
      <c r="P469" s="564"/>
      <c r="Q469" s="564"/>
      <c r="R469" s="564"/>
      <c r="S469" s="564"/>
      <c r="T469" s="564"/>
      <c r="U469" s="564"/>
      <c r="V469" s="564"/>
      <c r="W469" s="564"/>
      <c r="X469" s="564"/>
      <c r="Y469" s="564"/>
      <c r="Z469" s="564"/>
      <c r="AA469" s="564"/>
      <c r="AB469" s="556"/>
      <c r="AC469" s="556"/>
      <c r="AD469" s="74"/>
      <c r="AE469" s="74"/>
      <c r="AF469" s="74"/>
      <c r="AG469" s="74"/>
      <c r="AH469" s="74"/>
      <c r="AI469" s="74"/>
      <c r="AJ469" s="74"/>
      <c r="AK469" s="74"/>
      <c r="AL469" s="74"/>
      <c r="AM469" s="74"/>
      <c r="AN469" s="74"/>
      <c r="AO469" s="74"/>
      <c r="AP469" s="74"/>
      <c r="AQ469" s="74"/>
      <c r="AR469" s="74"/>
      <c r="AS469" s="565"/>
      <c r="AT469" s="556"/>
    </row>
    <row r="470" spans="1:48" hidden="1" x14ac:dyDescent="0.45">
      <c r="A470" s="556"/>
      <c r="B470" s="556"/>
      <c r="C470" s="556"/>
      <c r="D470" s="556"/>
      <c r="E470" s="556"/>
      <c r="F470" s="564"/>
      <c r="G470" s="564"/>
      <c r="H470" s="564"/>
      <c r="I470" s="564"/>
      <c r="J470" s="564"/>
      <c r="K470" s="564"/>
      <c r="L470" s="564"/>
      <c r="M470" s="564"/>
      <c r="N470" s="564"/>
      <c r="O470" s="564"/>
      <c r="P470" s="564"/>
      <c r="Q470" s="564"/>
      <c r="R470" s="564"/>
      <c r="S470" s="564"/>
      <c r="T470" s="564"/>
      <c r="U470" s="564"/>
      <c r="V470" s="564"/>
      <c r="W470" s="564"/>
      <c r="X470" s="564"/>
      <c r="Y470" s="564"/>
      <c r="Z470" s="564"/>
      <c r="AA470" s="564"/>
      <c r="AB470" s="556"/>
      <c r="AC470" s="556"/>
      <c r="AD470" s="74"/>
      <c r="AE470" s="74"/>
      <c r="AF470" s="74"/>
      <c r="AG470" s="74"/>
      <c r="AH470" s="74"/>
      <c r="AI470" s="74"/>
      <c r="AJ470" s="74"/>
      <c r="AK470" s="74"/>
      <c r="AL470" s="74"/>
      <c r="AM470" s="74"/>
      <c r="AN470" s="74"/>
      <c r="AO470" s="74"/>
      <c r="AP470" s="74"/>
      <c r="AQ470" s="74"/>
      <c r="AR470" s="74"/>
      <c r="AS470" s="565"/>
      <c r="AT470" s="556"/>
    </row>
    <row r="471" spans="1:48" hidden="1" x14ac:dyDescent="0.45">
      <c r="A471" s="556"/>
      <c r="B471" s="556"/>
      <c r="C471" s="556"/>
      <c r="D471" s="556"/>
      <c r="E471" s="556"/>
      <c r="F471" s="564"/>
      <c r="G471" s="564"/>
      <c r="H471" s="564"/>
      <c r="I471" s="564"/>
      <c r="J471" s="564"/>
      <c r="K471" s="564"/>
      <c r="L471" s="564"/>
      <c r="M471" s="564"/>
      <c r="N471" s="564"/>
      <c r="O471" s="564"/>
      <c r="P471" s="564"/>
      <c r="Q471" s="564"/>
      <c r="R471" s="564"/>
      <c r="S471" s="564"/>
      <c r="T471" s="564"/>
      <c r="U471" s="564"/>
      <c r="V471" s="564"/>
      <c r="W471" s="564"/>
      <c r="X471" s="564"/>
      <c r="Y471" s="564"/>
      <c r="Z471" s="564"/>
      <c r="AA471" s="564"/>
      <c r="AB471" s="556"/>
      <c r="AC471" s="556"/>
      <c r="AD471" s="74"/>
      <c r="AE471" s="74"/>
      <c r="AF471" s="74"/>
      <c r="AG471" s="74"/>
      <c r="AH471" s="74"/>
      <c r="AI471" s="74"/>
      <c r="AJ471" s="74"/>
      <c r="AK471" s="74"/>
      <c r="AL471" s="74"/>
      <c r="AM471" s="74"/>
      <c r="AN471" s="74"/>
      <c r="AO471" s="74"/>
      <c r="AP471" s="74"/>
      <c r="AQ471" s="74"/>
      <c r="AR471" s="74"/>
      <c r="AS471" s="565"/>
      <c r="AT471" s="556"/>
    </row>
    <row r="472" spans="1:48" hidden="1" x14ac:dyDescent="0.45">
      <c r="A472" s="556"/>
      <c r="B472" s="556"/>
      <c r="C472" s="556"/>
      <c r="D472" s="556"/>
      <c r="E472" s="556"/>
      <c r="F472" s="564"/>
      <c r="G472" s="564"/>
      <c r="H472" s="564"/>
      <c r="I472" s="564"/>
      <c r="J472" s="564"/>
      <c r="K472" s="564"/>
      <c r="L472" s="564"/>
      <c r="M472" s="564"/>
      <c r="N472" s="564"/>
      <c r="O472" s="564"/>
      <c r="P472" s="564"/>
      <c r="Q472" s="564"/>
      <c r="R472" s="564"/>
      <c r="S472" s="564"/>
      <c r="T472" s="564"/>
      <c r="U472" s="564"/>
      <c r="V472" s="564"/>
      <c r="W472" s="564"/>
      <c r="X472" s="564"/>
      <c r="Y472" s="564"/>
      <c r="Z472" s="564"/>
      <c r="AA472" s="564"/>
      <c r="AB472" s="556"/>
      <c r="AC472" s="556"/>
      <c r="AD472" s="74"/>
      <c r="AE472" s="74"/>
      <c r="AF472" s="74"/>
      <c r="AG472" s="74"/>
      <c r="AH472" s="74"/>
      <c r="AI472" s="74"/>
      <c r="AJ472" s="74"/>
      <c r="AK472" s="74"/>
      <c r="AL472" s="74"/>
      <c r="AM472" s="74"/>
      <c r="AN472" s="74"/>
      <c r="AO472" s="74"/>
      <c r="AP472" s="74"/>
      <c r="AQ472" s="74"/>
      <c r="AR472" s="74"/>
      <c r="AS472" s="565"/>
      <c r="AT472" s="556"/>
    </row>
    <row r="473" spans="1:48" hidden="1" x14ac:dyDescent="0.45">
      <c r="A473" s="556"/>
      <c r="B473" s="556"/>
      <c r="C473" s="556"/>
      <c r="D473" s="556"/>
      <c r="E473" s="556"/>
      <c r="F473" s="564"/>
      <c r="G473" s="564"/>
      <c r="H473" s="564"/>
      <c r="I473" s="564"/>
      <c r="J473" s="564"/>
      <c r="K473" s="564"/>
      <c r="L473" s="564"/>
      <c r="M473" s="564"/>
      <c r="N473" s="564"/>
      <c r="O473" s="564"/>
      <c r="P473" s="564"/>
      <c r="Q473" s="564"/>
      <c r="R473" s="564"/>
      <c r="S473" s="564"/>
      <c r="T473" s="564"/>
      <c r="U473" s="564"/>
      <c r="V473" s="564"/>
      <c r="W473" s="564"/>
      <c r="X473" s="564"/>
      <c r="Y473" s="564"/>
      <c r="Z473" s="564"/>
      <c r="AA473" s="564"/>
      <c r="AB473" s="556"/>
      <c r="AC473" s="556"/>
      <c r="AD473" s="74"/>
      <c r="AE473" s="74"/>
      <c r="AF473" s="74"/>
      <c r="AG473" s="74"/>
      <c r="AH473" s="74"/>
      <c r="AI473" s="74"/>
      <c r="AJ473" s="74"/>
      <c r="AK473" s="74"/>
      <c r="AL473" s="74"/>
      <c r="AM473" s="74"/>
      <c r="AN473" s="74"/>
      <c r="AO473" s="74"/>
      <c r="AP473" s="74"/>
      <c r="AQ473" s="74"/>
      <c r="AR473" s="74"/>
      <c r="AS473" s="565"/>
      <c r="AT473" s="556"/>
      <c r="AV473" s="700"/>
    </row>
    <row r="474" spans="1:48" hidden="1" x14ac:dyDescent="0.45">
      <c r="A474" s="556"/>
      <c r="B474" s="556"/>
      <c r="C474" s="556"/>
      <c r="D474" s="556"/>
      <c r="E474" s="556"/>
      <c r="F474" s="564"/>
      <c r="G474" s="564"/>
      <c r="H474" s="564"/>
      <c r="I474" s="564"/>
      <c r="J474" s="564"/>
      <c r="K474" s="564"/>
      <c r="L474" s="564"/>
      <c r="M474" s="564"/>
      <c r="N474" s="564"/>
      <c r="O474" s="564"/>
      <c r="P474" s="564"/>
      <c r="Q474" s="564"/>
      <c r="R474" s="564"/>
      <c r="S474" s="564"/>
      <c r="T474" s="564"/>
      <c r="U474" s="564"/>
      <c r="V474" s="564"/>
      <c r="W474" s="564"/>
      <c r="X474" s="564"/>
      <c r="Y474" s="564"/>
      <c r="Z474" s="564"/>
      <c r="AA474" s="564"/>
      <c r="AB474" s="556"/>
      <c r="AC474" s="556"/>
      <c r="AD474" s="74"/>
      <c r="AE474" s="74"/>
      <c r="AF474" s="74"/>
      <c r="AG474" s="74"/>
      <c r="AH474" s="74"/>
      <c r="AI474" s="74"/>
      <c r="AJ474" s="74"/>
      <c r="AK474" s="74"/>
      <c r="AL474" s="74"/>
      <c r="AM474" s="74"/>
      <c r="AN474" s="74"/>
      <c r="AO474" s="74"/>
      <c r="AP474" s="74"/>
      <c r="AQ474" s="74"/>
      <c r="AR474" s="74"/>
      <c r="AS474" s="565"/>
      <c r="AT474" s="556"/>
      <c r="AV474" s="700"/>
    </row>
    <row r="475" spans="1:48" hidden="1" x14ac:dyDescent="0.45">
      <c r="A475" s="556"/>
      <c r="B475" s="556"/>
      <c r="C475" s="556"/>
      <c r="D475" s="556"/>
      <c r="E475" s="556"/>
      <c r="F475" s="564"/>
      <c r="G475" s="564"/>
      <c r="H475" s="564"/>
      <c r="I475" s="564"/>
      <c r="J475" s="564"/>
      <c r="K475" s="564"/>
      <c r="L475" s="564"/>
      <c r="M475" s="564"/>
      <c r="N475" s="564"/>
      <c r="O475" s="564"/>
      <c r="P475" s="564"/>
      <c r="Q475" s="564"/>
      <c r="R475" s="564"/>
      <c r="S475" s="564"/>
      <c r="T475" s="564"/>
      <c r="U475" s="564"/>
      <c r="V475" s="564"/>
      <c r="W475" s="564"/>
      <c r="X475" s="564"/>
      <c r="Y475" s="564"/>
      <c r="Z475" s="564"/>
      <c r="AA475" s="564"/>
      <c r="AB475" s="556"/>
      <c r="AC475" s="556"/>
      <c r="AD475" s="74"/>
      <c r="AE475" s="74"/>
      <c r="AF475" s="74"/>
      <c r="AG475" s="74"/>
      <c r="AH475" s="74"/>
      <c r="AI475" s="74"/>
      <c r="AJ475" s="74"/>
      <c r="AK475" s="74"/>
      <c r="AL475" s="74"/>
      <c r="AM475" s="74"/>
      <c r="AN475" s="74"/>
      <c r="AO475" s="74"/>
      <c r="AP475" s="74"/>
      <c r="AQ475" s="74"/>
      <c r="AR475" s="74"/>
      <c r="AS475" s="565"/>
      <c r="AT475" s="556"/>
      <c r="AV475" s="700"/>
    </row>
    <row r="476" spans="1:48" hidden="1" x14ac:dyDescent="0.45">
      <c r="A476" s="556"/>
      <c r="B476" s="556"/>
      <c r="C476" s="556"/>
      <c r="D476" s="556"/>
      <c r="E476" s="556"/>
      <c r="F476" s="564"/>
      <c r="G476" s="564"/>
      <c r="H476" s="564"/>
      <c r="I476" s="564"/>
      <c r="J476" s="564"/>
      <c r="K476" s="564"/>
      <c r="L476" s="564"/>
      <c r="M476" s="564"/>
      <c r="N476" s="564"/>
      <c r="O476" s="564"/>
      <c r="P476" s="564"/>
      <c r="Q476" s="564"/>
      <c r="R476" s="564"/>
      <c r="S476" s="564"/>
      <c r="T476" s="564"/>
      <c r="U476" s="564"/>
      <c r="V476" s="564"/>
      <c r="W476" s="564"/>
      <c r="X476" s="564"/>
      <c r="Y476" s="564"/>
      <c r="Z476" s="564"/>
      <c r="AA476" s="564"/>
      <c r="AB476" s="556"/>
      <c r="AC476" s="556"/>
      <c r="AD476" s="74"/>
      <c r="AE476" s="74"/>
      <c r="AF476" s="74"/>
      <c r="AG476" s="74"/>
      <c r="AH476" s="74"/>
      <c r="AI476" s="74"/>
      <c r="AJ476" s="74"/>
      <c r="AK476" s="74"/>
      <c r="AL476" s="74"/>
      <c r="AM476" s="74"/>
      <c r="AN476" s="74"/>
      <c r="AO476" s="74"/>
      <c r="AP476" s="74"/>
      <c r="AQ476" s="74"/>
      <c r="AR476" s="74"/>
      <c r="AS476" s="565"/>
      <c r="AT476" s="556"/>
      <c r="AV476" s="700"/>
    </row>
    <row r="477" spans="1:48" hidden="1" x14ac:dyDescent="0.45">
      <c r="A477" s="556"/>
      <c r="B477" s="556"/>
      <c r="C477" s="556"/>
      <c r="D477" s="556"/>
      <c r="E477" s="556"/>
      <c r="F477" s="564"/>
      <c r="G477" s="564"/>
      <c r="H477" s="564"/>
      <c r="I477" s="564"/>
      <c r="J477" s="564"/>
      <c r="K477" s="564"/>
      <c r="L477" s="564"/>
      <c r="M477" s="564"/>
      <c r="N477" s="564"/>
      <c r="O477" s="564"/>
      <c r="P477" s="564"/>
      <c r="Q477" s="564"/>
      <c r="R477" s="564"/>
      <c r="S477" s="564"/>
      <c r="T477" s="564"/>
      <c r="U477" s="564"/>
      <c r="V477" s="564"/>
      <c r="W477" s="564"/>
      <c r="X477" s="564"/>
      <c r="Y477" s="564"/>
      <c r="Z477" s="564"/>
      <c r="AA477" s="564"/>
      <c r="AB477" s="556"/>
      <c r="AC477" s="556"/>
      <c r="AD477" s="74"/>
      <c r="AE477" s="74"/>
      <c r="AF477" s="74"/>
      <c r="AG477" s="74"/>
      <c r="AH477" s="74"/>
      <c r="AI477" s="74"/>
      <c r="AJ477" s="74"/>
      <c r="AK477" s="74"/>
      <c r="AL477" s="74"/>
      <c r="AM477" s="74"/>
      <c r="AN477" s="74"/>
      <c r="AO477" s="74"/>
      <c r="AP477" s="74"/>
      <c r="AQ477" s="74"/>
      <c r="AR477" s="74"/>
      <c r="AS477" s="565"/>
      <c r="AT477" s="556"/>
      <c r="AV477" s="700"/>
    </row>
    <row r="478" spans="1:48" hidden="1" x14ac:dyDescent="0.45">
      <c r="A478" s="556"/>
      <c r="B478" s="556"/>
      <c r="C478" s="556"/>
      <c r="D478" s="556"/>
      <c r="E478" s="556"/>
      <c r="F478" s="564"/>
      <c r="G478" s="564"/>
      <c r="H478" s="564"/>
      <c r="I478" s="564"/>
      <c r="J478" s="564"/>
      <c r="K478" s="564"/>
      <c r="L478" s="564"/>
      <c r="M478" s="564"/>
      <c r="N478" s="564"/>
      <c r="O478" s="564"/>
      <c r="P478" s="564"/>
      <c r="Q478" s="564"/>
      <c r="R478" s="564"/>
      <c r="S478" s="564"/>
      <c r="T478" s="564"/>
      <c r="U478" s="564"/>
      <c r="V478" s="564"/>
      <c r="W478" s="564"/>
      <c r="X478" s="564"/>
      <c r="Y478" s="564"/>
      <c r="Z478" s="564"/>
      <c r="AA478" s="564"/>
      <c r="AB478" s="556"/>
      <c r="AC478" s="556"/>
      <c r="AD478" s="74"/>
      <c r="AE478" s="74"/>
      <c r="AF478" s="74"/>
      <c r="AG478" s="74"/>
      <c r="AH478" s="74"/>
      <c r="AI478" s="74"/>
      <c r="AJ478" s="74"/>
      <c r="AK478" s="74"/>
      <c r="AL478" s="74"/>
      <c r="AM478" s="74"/>
      <c r="AN478" s="74"/>
      <c r="AO478" s="74"/>
      <c r="AP478" s="74"/>
      <c r="AQ478" s="74"/>
      <c r="AR478" s="74"/>
      <c r="AS478" s="565"/>
      <c r="AT478" s="556"/>
      <c r="AU478" s="700"/>
      <c r="AV478" s="700"/>
    </row>
    <row r="479" spans="1:48" hidden="1" x14ac:dyDescent="0.45">
      <c r="A479" s="556"/>
      <c r="B479" s="556"/>
      <c r="C479" s="556"/>
      <c r="D479" s="556"/>
      <c r="E479" s="556"/>
      <c r="F479" s="564"/>
      <c r="G479" s="564"/>
      <c r="H479" s="564"/>
      <c r="I479" s="564"/>
      <c r="J479" s="564"/>
      <c r="K479" s="564"/>
      <c r="L479" s="564"/>
      <c r="M479" s="564"/>
      <c r="N479" s="564"/>
      <c r="O479" s="564"/>
      <c r="P479" s="564"/>
      <c r="Q479" s="564"/>
      <c r="R479" s="564"/>
      <c r="S479" s="564"/>
      <c r="T479" s="564"/>
      <c r="U479" s="564"/>
      <c r="V479" s="564"/>
      <c r="W479" s="564"/>
      <c r="X479" s="564"/>
      <c r="Y479" s="564"/>
      <c r="Z479" s="564"/>
      <c r="AA479" s="564"/>
      <c r="AB479" s="556"/>
      <c r="AC479" s="556"/>
      <c r="AD479" s="74"/>
      <c r="AE479" s="74"/>
      <c r="AF479" s="74"/>
      <c r="AG479" s="74"/>
      <c r="AH479" s="74"/>
      <c r="AI479" s="74"/>
      <c r="AJ479" s="74"/>
      <c r="AK479" s="74"/>
      <c r="AL479" s="74"/>
      <c r="AM479" s="74"/>
      <c r="AN479" s="74"/>
      <c r="AO479" s="74"/>
      <c r="AP479" s="74"/>
      <c r="AQ479" s="74"/>
      <c r="AR479" s="74"/>
      <c r="AS479" s="565"/>
      <c r="AT479" s="556"/>
      <c r="AU479" s="700"/>
      <c r="AV479" s="700"/>
    </row>
    <row r="480" spans="1:48" hidden="1" x14ac:dyDescent="0.45">
      <c r="A480" s="556"/>
      <c r="B480" s="556"/>
      <c r="C480" s="556"/>
      <c r="D480" s="556"/>
      <c r="E480" s="556"/>
      <c r="F480" s="564"/>
      <c r="G480" s="564"/>
      <c r="H480" s="564"/>
      <c r="I480" s="564"/>
      <c r="J480" s="564"/>
      <c r="K480" s="564"/>
      <c r="L480" s="564"/>
      <c r="M480" s="564"/>
      <c r="N480" s="564"/>
      <c r="O480" s="564"/>
      <c r="P480" s="564"/>
      <c r="Q480" s="564"/>
      <c r="R480" s="564"/>
      <c r="S480" s="564"/>
      <c r="T480" s="564"/>
      <c r="U480" s="564"/>
      <c r="V480" s="564"/>
      <c r="W480" s="564"/>
      <c r="X480" s="564"/>
      <c r="Y480" s="564"/>
      <c r="Z480" s="564"/>
      <c r="AA480" s="564"/>
      <c r="AB480" s="556"/>
      <c r="AC480" s="556"/>
      <c r="AD480" s="74"/>
      <c r="AE480" s="74"/>
      <c r="AF480" s="74"/>
      <c r="AG480" s="74"/>
      <c r="AH480" s="74"/>
      <c r="AI480" s="74"/>
      <c r="AJ480" s="74"/>
      <c r="AK480" s="74"/>
      <c r="AL480" s="74"/>
      <c r="AM480" s="74"/>
      <c r="AN480" s="74"/>
      <c r="AO480" s="74"/>
      <c r="AP480" s="74"/>
      <c r="AQ480" s="74"/>
      <c r="AR480" s="74"/>
      <c r="AS480" s="565"/>
      <c r="AT480" s="556"/>
      <c r="AU480" s="700"/>
      <c r="AV480" s="700"/>
    </row>
    <row r="481" spans="1:48" hidden="1" x14ac:dyDescent="0.45">
      <c r="A481" s="556"/>
      <c r="B481" s="556"/>
      <c r="C481" s="556"/>
      <c r="D481" s="556"/>
      <c r="E481" s="556"/>
      <c r="F481" s="564"/>
      <c r="G481" s="564"/>
      <c r="H481" s="564"/>
      <c r="I481" s="564"/>
      <c r="J481" s="564"/>
      <c r="K481" s="564"/>
      <c r="L481" s="564"/>
      <c r="M481" s="564"/>
      <c r="N481" s="564"/>
      <c r="O481" s="564"/>
      <c r="P481" s="564"/>
      <c r="Q481" s="564"/>
      <c r="R481" s="564"/>
      <c r="S481" s="564"/>
      <c r="T481" s="564"/>
      <c r="U481" s="564"/>
      <c r="V481" s="564"/>
      <c r="W481" s="564"/>
      <c r="X481" s="564"/>
      <c r="Y481" s="564"/>
      <c r="Z481" s="564"/>
      <c r="AA481" s="564"/>
      <c r="AB481" s="556"/>
      <c r="AC481" s="556"/>
      <c r="AD481" s="74"/>
      <c r="AE481" s="74"/>
      <c r="AF481" s="74"/>
      <c r="AG481" s="74"/>
      <c r="AH481" s="74"/>
      <c r="AI481" s="74"/>
      <c r="AJ481" s="74"/>
      <c r="AK481" s="74"/>
      <c r="AL481" s="74"/>
      <c r="AM481" s="74"/>
      <c r="AN481" s="74"/>
      <c r="AO481" s="74"/>
      <c r="AP481" s="74"/>
      <c r="AQ481" s="74"/>
      <c r="AR481" s="74"/>
      <c r="AS481" s="565"/>
      <c r="AT481" s="556"/>
      <c r="AU481" s="700"/>
      <c r="AV481" s="700"/>
    </row>
    <row r="482" spans="1:48" hidden="1" x14ac:dyDescent="0.45">
      <c r="A482" s="556"/>
      <c r="B482" s="556"/>
      <c r="C482" s="556"/>
      <c r="D482" s="556"/>
      <c r="E482" s="556"/>
      <c r="F482" s="564"/>
      <c r="G482" s="564"/>
      <c r="H482" s="564"/>
      <c r="I482" s="564"/>
      <c r="J482" s="564"/>
      <c r="K482" s="564"/>
      <c r="L482" s="564"/>
      <c r="M482" s="564"/>
      <c r="N482" s="564"/>
      <c r="O482" s="564"/>
      <c r="P482" s="564"/>
      <c r="Q482" s="564"/>
      <c r="R482" s="564"/>
      <c r="S482" s="564"/>
      <c r="T482" s="564"/>
      <c r="U482" s="564"/>
      <c r="V482" s="564"/>
      <c r="W482" s="564"/>
      <c r="X482" s="564"/>
      <c r="Y482" s="564"/>
      <c r="Z482" s="564"/>
      <c r="AA482" s="564"/>
      <c r="AB482" s="556"/>
      <c r="AC482" s="556"/>
      <c r="AD482" s="74"/>
      <c r="AE482" s="74"/>
      <c r="AF482" s="74"/>
      <c r="AG482" s="74"/>
      <c r="AH482" s="74"/>
      <c r="AI482" s="74"/>
      <c r="AJ482" s="74"/>
      <c r="AK482" s="74"/>
      <c r="AL482" s="74"/>
      <c r="AM482" s="74"/>
      <c r="AN482" s="74"/>
      <c r="AO482" s="74"/>
      <c r="AP482" s="74"/>
      <c r="AQ482" s="74"/>
      <c r="AR482" s="74"/>
      <c r="AS482" s="565"/>
      <c r="AT482" s="556"/>
      <c r="AU482" s="700"/>
    </row>
    <row r="483" spans="1:48" hidden="1" x14ac:dyDescent="0.45">
      <c r="A483" s="556"/>
      <c r="B483" s="556"/>
      <c r="C483" s="556"/>
      <c r="D483" s="556"/>
      <c r="E483" s="556"/>
      <c r="F483" s="564"/>
      <c r="G483" s="564"/>
      <c r="H483" s="564"/>
      <c r="I483" s="564"/>
      <c r="J483" s="564"/>
      <c r="K483" s="564"/>
      <c r="L483" s="564"/>
      <c r="M483" s="564"/>
      <c r="N483" s="564"/>
      <c r="O483" s="564"/>
      <c r="P483" s="564"/>
      <c r="Q483" s="564"/>
      <c r="R483" s="564"/>
      <c r="S483" s="564"/>
      <c r="T483" s="564"/>
      <c r="U483" s="564"/>
      <c r="V483" s="564"/>
      <c r="W483" s="564"/>
      <c r="X483" s="564"/>
      <c r="Y483" s="564"/>
      <c r="Z483" s="564"/>
      <c r="AA483" s="564"/>
      <c r="AB483" s="556"/>
      <c r="AC483" s="556"/>
      <c r="AD483" s="74"/>
      <c r="AE483" s="74"/>
      <c r="AF483" s="74"/>
      <c r="AG483" s="74"/>
      <c r="AH483" s="74"/>
      <c r="AI483" s="74"/>
      <c r="AJ483" s="74"/>
      <c r="AK483" s="74"/>
      <c r="AL483" s="74"/>
      <c r="AM483" s="74"/>
      <c r="AN483" s="74"/>
      <c r="AO483" s="74"/>
      <c r="AP483" s="74"/>
      <c r="AQ483" s="74"/>
      <c r="AR483" s="74"/>
      <c r="AS483" s="565"/>
      <c r="AT483" s="556"/>
      <c r="AU483" s="700"/>
    </row>
    <row r="484" spans="1:48" hidden="1" x14ac:dyDescent="0.45">
      <c r="A484" s="556"/>
      <c r="B484" s="556"/>
      <c r="C484" s="556"/>
      <c r="D484" s="556"/>
      <c r="E484" s="556"/>
      <c r="F484" s="564"/>
      <c r="G484" s="564"/>
      <c r="H484" s="564"/>
      <c r="I484" s="564"/>
      <c r="J484" s="564"/>
      <c r="K484" s="564"/>
      <c r="L484" s="564"/>
      <c r="M484" s="564"/>
      <c r="N484" s="564"/>
      <c r="O484" s="564"/>
      <c r="P484" s="564"/>
      <c r="Q484" s="564"/>
      <c r="R484" s="564"/>
      <c r="S484" s="564"/>
      <c r="T484" s="564"/>
      <c r="U484" s="564"/>
      <c r="V484" s="564"/>
      <c r="W484" s="564"/>
      <c r="X484" s="564"/>
      <c r="Y484" s="564"/>
      <c r="Z484" s="564"/>
      <c r="AA484" s="564"/>
      <c r="AB484" s="556"/>
      <c r="AC484" s="556"/>
      <c r="AD484" s="74"/>
      <c r="AE484" s="74"/>
      <c r="AF484" s="74"/>
      <c r="AG484" s="74"/>
      <c r="AH484" s="74"/>
      <c r="AI484" s="74"/>
      <c r="AJ484" s="74"/>
      <c r="AK484" s="74"/>
      <c r="AL484" s="74"/>
      <c r="AM484" s="74"/>
      <c r="AN484" s="74"/>
      <c r="AO484" s="74"/>
      <c r="AP484" s="74"/>
      <c r="AQ484" s="74"/>
      <c r="AR484" s="74"/>
      <c r="AS484" s="565"/>
      <c r="AT484" s="556"/>
      <c r="AU484" s="700"/>
    </row>
    <row r="485" spans="1:48" hidden="1" x14ac:dyDescent="0.45">
      <c r="A485" s="556"/>
      <c r="B485" s="556"/>
      <c r="C485" s="556"/>
      <c r="D485" s="556"/>
      <c r="E485" s="556"/>
      <c r="F485" s="564"/>
      <c r="G485" s="564"/>
      <c r="H485" s="564"/>
      <c r="I485" s="564"/>
      <c r="J485" s="564"/>
      <c r="K485" s="564"/>
      <c r="L485" s="564"/>
      <c r="M485" s="564"/>
      <c r="N485" s="564"/>
      <c r="O485" s="564"/>
      <c r="P485" s="564"/>
      <c r="Q485" s="564"/>
      <c r="R485" s="564"/>
      <c r="S485" s="564"/>
      <c r="T485" s="564"/>
      <c r="U485" s="564"/>
      <c r="V485" s="564"/>
      <c r="W485" s="564"/>
      <c r="X485" s="564"/>
      <c r="Y485" s="564"/>
      <c r="Z485" s="564"/>
      <c r="AA485" s="564"/>
      <c r="AB485" s="556"/>
      <c r="AC485" s="556"/>
      <c r="AD485" s="74"/>
      <c r="AE485" s="74"/>
      <c r="AF485" s="74"/>
      <c r="AG485" s="74"/>
      <c r="AH485" s="74"/>
      <c r="AI485" s="74"/>
      <c r="AJ485" s="74"/>
      <c r="AK485" s="74"/>
      <c r="AL485" s="74"/>
      <c r="AM485" s="74"/>
      <c r="AN485" s="74"/>
      <c r="AO485" s="74"/>
      <c r="AP485" s="74"/>
      <c r="AQ485" s="74"/>
      <c r="AR485" s="74"/>
      <c r="AS485" s="565"/>
      <c r="AT485" s="556"/>
      <c r="AU485" s="700"/>
    </row>
    <row r="486" spans="1:48" hidden="1" x14ac:dyDescent="0.45">
      <c r="A486" s="556"/>
      <c r="B486" s="556"/>
      <c r="C486" s="556"/>
      <c r="D486" s="556"/>
      <c r="E486" s="556"/>
      <c r="F486" s="564"/>
      <c r="G486" s="564"/>
      <c r="H486" s="564"/>
      <c r="I486" s="564"/>
      <c r="J486" s="564"/>
      <c r="K486" s="564"/>
      <c r="L486" s="564"/>
      <c r="M486" s="564"/>
      <c r="N486" s="564"/>
      <c r="O486" s="564"/>
      <c r="P486" s="564"/>
      <c r="Q486" s="564"/>
      <c r="R486" s="564"/>
      <c r="S486" s="564"/>
      <c r="T486" s="564"/>
      <c r="U486" s="564"/>
      <c r="V486" s="564"/>
      <c r="W486" s="564"/>
      <c r="X486" s="564"/>
      <c r="Y486" s="564"/>
      <c r="Z486" s="564"/>
      <c r="AA486" s="564"/>
      <c r="AB486" s="556"/>
      <c r="AC486" s="556"/>
      <c r="AD486" s="74"/>
      <c r="AE486" s="74"/>
      <c r="AF486" s="74"/>
      <c r="AG486" s="74"/>
      <c r="AH486" s="74"/>
      <c r="AI486" s="74"/>
      <c r="AJ486" s="74"/>
      <c r="AK486" s="74"/>
      <c r="AL486" s="74"/>
      <c r="AM486" s="74"/>
      <c r="AN486" s="74"/>
      <c r="AO486" s="74"/>
      <c r="AP486" s="74"/>
      <c r="AQ486" s="74"/>
      <c r="AR486" s="74"/>
      <c r="AS486" s="565"/>
      <c r="AT486" s="556"/>
      <c r="AU486" s="700"/>
    </row>
    <row r="487" spans="1:48" hidden="1" x14ac:dyDescent="0.45">
      <c r="A487" s="556"/>
      <c r="B487" s="556"/>
      <c r="C487" s="556"/>
      <c r="D487" s="556"/>
      <c r="E487" s="556"/>
      <c r="F487" s="564"/>
      <c r="G487" s="564"/>
      <c r="H487" s="564"/>
      <c r="I487" s="564"/>
      <c r="J487" s="564"/>
      <c r="K487" s="564"/>
      <c r="L487" s="564"/>
      <c r="M487" s="564"/>
      <c r="N487" s="564"/>
      <c r="O487" s="564"/>
      <c r="P487" s="564"/>
      <c r="Q487" s="564"/>
      <c r="R487" s="564"/>
      <c r="S487" s="564"/>
      <c r="T487" s="564"/>
      <c r="U487" s="564"/>
      <c r="V487" s="564"/>
      <c r="W487" s="564"/>
      <c r="X487" s="564"/>
      <c r="Y487" s="564"/>
      <c r="Z487" s="564"/>
      <c r="AA487" s="564"/>
      <c r="AB487" s="556"/>
      <c r="AC487" s="556"/>
      <c r="AD487" s="74"/>
      <c r="AE487" s="74"/>
      <c r="AF487" s="74"/>
      <c r="AG487" s="74"/>
      <c r="AH487" s="74"/>
      <c r="AI487" s="74"/>
      <c r="AJ487" s="74"/>
      <c r="AK487" s="74"/>
      <c r="AL487" s="74"/>
      <c r="AM487" s="74"/>
      <c r="AN487" s="74"/>
      <c r="AO487" s="74"/>
      <c r="AP487" s="74"/>
      <c r="AQ487" s="74"/>
      <c r="AR487" s="74"/>
      <c r="AS487" s="565"/>
      <c r="AT487" s="556"/>
      <c r="AU487" s="700"/>
    </row>
    <row r="488" spans="1:48" hidden="1" x14ac:dyDescent="0.45">
      <c r="A488" s="556"/>
      <c r="B488" s="556"/>
      <c r="C488" s="556"/>
      <c r="D488" s="556"/>
      <c r="E488" s="556"/>
      <c r="F488" s="564"/>
      <c r="G488" s="564"/>
      <c r="H488" s="564"/>
      <c r="I488" s="564"/>
      <c r="J488" s="564"/>
      <c r="K488" s="564"/>
      <c r="L488" s="564"/>
      <c r="M488" s="564"/>
      <c r="N488" s="564"/>
      <c r="O488" s="564"/>
      <c r="P488" s="564"/>
      <c r="Q488" s="564"/>
      <c r="R488" s="564"/>
      <c r="S488" s="564"/>
      <c r="T488" s="564"/>
      <c r="U488" s="564"/>
      <c r="V488" s="564"/>
      <c r="W488" s="564"/>
      <c r="X488" s="564"/>
      <c r="Y488" s="564"/>
      <c r="Z488" s="564"/>
      <c r="AA488" s="564"/>
      <c r="AB488" s="556"/>
      <c r="AC488" s="556"/>
      <c r="AD488" s="74"/>
      <c r="AE488" s="74"/>
      <c r="AF488" s="74"/>
      <c r="AG488" s="74"/>
      <c r="AH488" s="74"/>
      <c r="AI488" s="74"/>
      <c r="AJ488" s="74"/>
      <c r="AK488" s="74"/>
      <c r="AL488" s="74"/>
      <c r="AM488" s="74"/>
      <c r="AN488" s="74"/>
      <c r="AO488" s="74"/>
      <c r="AP488" s="74"/>
      <c r="AQ488" s="74"/>
      <c r="AR488" s="74"/>
      <c r="AS488" s="565"/>
      <c r="AT488" s="556"/>
      <c r="AU488" s="700"/>
    </row>
    <row r="489" spans="1:48" hidden="1" x14ac:dyDescent="0.45">
      <c r="A489" s="556"/>
      <c r="B489" s="556"/>
      <c r="C489" s="556"/>
      <c r="D489" s="556"/>
      <c r="E489" s="556"/>
      <c r="F489" s="564"/>
      <c r="G489" s="564"/>
      <c r="H489" s="564"/>
      <c r="I489" s="564"/>
      <c r="J489" s="564"/>
      <c r="K489" s="564"/>
      <c r="L489" s="564"/>
      <c r="M489" s="564"/>
      <c r="N489" s="564"/>
      <c r="O489" s="564"/>
      <c r="P489" s="564"/>
      <c r="Q489" s="564"/>
      <c r="R489" s="564"/>
      <c r="S489" s="564"/>
      <c r="T489" s="564"/>
      <c r="U489" s="564"/>
      <c r="V489" s="564"/>
      <c r="W489" s="564"/>
      <c r="X489" s="564"/>
      <c r="Y489" s="564"/>
      <c r="Z489" s="564"/>
      <c r="AA489" s="564"/>
      <c r="AB489" s="556"/>
      <c r="AC489" s="556"/>
      <c r="AD489" s="74"/>
      <c r="AE489" s="74"/>
      <c r="AF489" s="74"/>
      <c r="AG489" s="74"/>
      <c r="AH489" s="74"/>
      <c r="AI489" s="74"/>
      <c r="AJ489" s="74"/>
      <c r="AK489" s="74"/>
      <c r="AL489" s="74"/>
      <c r="AM489" s="74"/>
      <c r="AN489" s="74"/>
      <c r="AO489" s="74"/>
      <c r="AP489" s="74"/>
      <c r="AQ489" s="74"/>
      <c r="AR489" s="74"/>
      <c r="AS489" s="565"/>
      <c r="AT489" s="556"/>
      <c r="AU489" s="700"/>
    </row>
    <row r="490" spans="1:48" hidden="1" x14ac:dyDescent="0.45">
      <c r="A490" s="556"/>
      <c r="B490" s="556"/>
      <c r="C490" s="556"/>
      <c r="D490" s="556"/>
      <c r="E490" s="556"/>
      <c r="F490" s="564"/>
      <c r="G490" s="564"/>
      <c r="H490" s="564"/>
      <c r="I490" s="564"/>
      <c r="J490" s="564"/>
      <c r="K490" s="564"/>
      <c r="L490" s="564"/>
      <c r="M490" s="564"/>
      <c r="N490" s="564"/>
      <c r="O490" s="564"/>
      <c r="P490" s="564"/>
      <c r="Q490" s="564"/>
      <c r="R490" s="564"/>
      <c r="S490" s="564"/>
      <c r="T490" s="564"/>
      <c r="U490" s="564"/>
      <c r="V490" s="564"/>
      <c r="W490" s="564"/>
      <c r="X490" s="564"/>
      <c r="Y490" s="564"/>
      <c r="Z490" s="564"/>
      <c r="AA490" s="564"/>
      <c r="AB490" s="556"/>
      <c r="AC490" s="556"/>
      <c r="AD490" s="74"/>
      <c r="AE490" s="74"/>
      <c r="AF490" s="74"/>
      <c r="AG490" s="74"/>
      <c r="AH490" s="74"/>
      <c r="AI490" s="74"/>
      <c r="AJ490" s="74"/>
      <c r="AK490" s="74"/>
      <c r="AL490" s="74"/>
      <c r="AM490" s="74"/>
      <c r="AN490" s="74"/>
      <c r="AO490" s="74"/>
      <c r="AP490" s="74"/>
      <c r="AQ490" s="74"/>
      <c r="AR490" s="74"/>
      <c r="AS490" s="565"/>
      <c r="AT490" s="556"/>
      <c r="AU490" s="700"/>
    </row>
    <row r="491" spans="1:48" hidden="1" x14ac:dyDescent="0.45">
      <c r="A491" s="556"/>
      <c r="B491" s="556"/>
      <c r="C491" s="556"/>
      <c r="D491" s="556"/>
      <c r="E491" s="556"/>
      <c r="F491" s="564"/>
      <c r="G491" s="564"/>
      <c r="H491" s="564"/>
      <c r="I491" s="564"/>
      <c r="J491" s="564"/>
      <c r="K491" s="564"/>
      <c r="L491" s="564"/>
      <c r="M491" s="564"/>
      <c r="N491" s="564"/>
      <c r="O491" s="564"/>
      <c r="P491" s="564"/>
      <c r="Q491" s="564"/>
      <c r="R491" s="564"/>
      <c r="S491" s="564"/>
      <c r="T491" s="564"/>
      <c r="U491" s="564"/>
      <c r="V491" s="564"/>
      <c r="W491" s="564"/>
      <c r="X491" s="564"/>
      <c r="Y491" s="564"/>
      <c r="Z491" s="564"/>
      <c r="AA491" s="564"/>
      <c r="AB491" s="556"/>
      <c r="AC491" s="556"/>
      <c r="AD491" s="74"/>
      <c r="AE491" s="74"/>
      <c r="AF491" s="74"/>
      <c r="AG491" s="74"/>
      <c r="AH491" s="74"/>
      <c r="AI491" s="74"/>
      <c r="AJ491" s="74"/>
      <c r="AK491" s="74"/>
      <c r="AL491" s="74"/>
      <c r="AM491" s="74"/>
      <c r="AN491" s="74"/>
      <c r="AO491" s="74"/>
      <c r="AP491" s="74"/>
      <c r="AQ491" s="74"/>
      <c r="AR491" s="74"/>
      <c r="AS491" s="565"/>
      <c r="AT491" s="556"/>
      <c r="AU491" s="700"/>
    </row>
    <row r="492" spans="1:48" hidden="1" x14ac:dyDescent="0.45">
      <c r="A492" s="556"/>
      <c r="B492" s="556"/>
      <c r="C492" s="556"/>
      <c r="D492" s="556"/>
      <c r="E492" s="556"/>
      <c r="F492" s="564"/>
      <c r="G492" s="564"/>
      <c r="H492" s="564"/>
      <c r="I492" s="564"/>
      <c r="J492" s="564"/>
      <c r="K492" s="564"/>
      <c r="L492" s="564"/>
      <c r="M492" s="564"/>
      <c r="N492" s="564"/>
      <c r="O492" s="564"/>
      <c r="P492" s="564"/>
      <c r="Q492" s="564"/>
      <c r="R492" s="564"/>
      <c r="S492" s="564"/>
      <c r="T492" s="564"/>
      <c r="U492" s="564"/>
      <c r="V492" s="564"/>
      <c r="W492" s="564"/>
      <c r="X492" s="564"/>
      <c r="Y492" s="564"/>
      <c r="Z492" s="564"/>
      <c r="AA492" s="564"/>
      <c r="AB492" s="556"/>
      <c r="AC492" s="556"/>
      <c r="AD492" s="74"/>
      <c r="AE492" s="74"/>
      <c r="AF492" s="74"/>
      <c r="AG492" s="74"/>
      <c r="AH492" s="74"/>
      <c r="AI492" s="74"/>
      <c r="AJ492" s="74"/>
      <c r="AK492" s="74"/>
      <c r="AL492" s="74"/>
      <c r="AM492" s="74"/>
      <c r="AN492" s="74"/>
      <c r="AO492" s="74"/>
      <c r="AP492" s="74"/>
      <c r="AQ492" s="74"/>
      <c r="AR492" s="74"/>
      <c r="AS492" s="565"/>
      <c r="AT492" s="556"/>
      <c r="AU492" s="700"/>
    </row>
    <row r="493" spans="1:48" hidden="1" x14ac:dyDescent="0.45">
      <c r="A493" s="556"/>
      <c r="B493" s="556"/>
      <c r="C493" s="556"/>
      <c r="D493" s="556"/>
      <c r="E493" s="556"/>
      <c r="F493" s="564"/>
      <c r="G493" s="564"/>
      <c r="H493" s="564"/>
      <c r="I493" s="564"/>
      <c r="J493" s="564"/>
      <c r="K493" s="564"/>
      <c r="L493" s="564"/>
      <c r="M493" s="564"/>
      <c r="N493" s="564"/>
      <c r="O493" s="564"/>
      <c r="P493" s="564"/>
      <c r="Q493" s="564"/>
      <c r="R493" s="564"/>
      <c r="S493" s="564"/>
      <c r="T493" s="564"/>
      <c r="U493" s="564"/>
      <c r="V493" s="564"/>
      <c r="W493" s="564"/>
      <c r="X493" s="564"/>
      <c r="Y493" s="564"/>
      <c r="Z493" s="564"/>
      <c r="AA493" s="564"/>
      <c r="AB493" s="556"/>
      <c r="AC493" s="556"/>
      <c r="AD493" s="74"/>
      <c r="AE493" s="74"/>
      <c r="AF493" s="74"/>
      <c r="AG493" s="74"/>
      <c r="AH493" s="74"/>
      <c r="AI493" s="74"/>
      <c r="AJ493" s="74"/>
      <c r="AK493" s="74"/>
      <c r="AL493" s="74"/>
      <c r="AM493" s="74"/>
      <c r="AN493" s="74"/>
      <c r="AO493" s="74"/>
      <c r="AP493" s="74"/>
      <c r="AQ493" s="74"/>
      <c r="AR493" s="74"/>
      <c r="AS493" s="565"/>
      <c r="AT493" s="556"/>
      <c r="AU493" s="700"/>
    </row>
    <row r="494" spans="1:48" hidden="1" x14ac:dyDescent="0.45">
      <c r="A494" s="556"/>
      <c r="B494" s="556"/>
      <c r="C494" s="556"/>
      <c r="D494" s="556"/>
      <c r="E494" s="556"/>
      <c r="F494" s="564"/>
      <c r="G494" s="564"/>
      <c r="H494" s="564"/>
      <c r="I494" s="564"/>
      <c r="J494" s="564"/>
      <c r="K494" s="564"/>
      <c r="L494" s="564"/>
      <c r="M494" s="564"/>
      <c r="N494" s="564"/>
      <c r="O494" s="564"/>
      <c r="P494" s="564"/>
      <c r="Q494" s="564"/>
      <c r="R494" s="564"/>
      <c r="S494" s="564"/>
      <c r="T494" s="564"/>
      <c r="U494" s="564"/>
      <c r="V494" s="564"/>
      <c r="W494" s="564"/>
      <c r="X494" s="564"/>
      <c r="Y494" s="564"/>
      <c r="Z494" s="564"/>
      <c r="AA494" s="564"/>
      <c r="AB494" s="556"/>
      <c r="AC494" s="556"/>
      <c r="AD494" s="74"/>
      <c r="AE494" s="74"/>
      <c r="AF494" s="74"/>
      <c r="AG494" s="74"/>
      <c r="AH494" s="74"/>
      <c r="AI494" s="74"/>
      <c r="AJ494" s="74"/>
      <c r="AK494" s="74"/>
      <c r="AL494" s="74"/>
      <c r="AM494" s="74"/>
      <c r="AN494" s="74"/>
      <c r="AO494" s="74"/>
      <c r="AP494" s="74"/>
      <c r="AQ494" s="74"/>
      <c r="AR494" s="74"/>
      <c r="AS494" s="565"/>
      <c r="AT494" s="556"/>
      <c r="AU494" s="700"/>
    </row>
    <row r="495" spans="1:48" hidden="1" x14ac:dyDescent="0.45">
      <c r="A495" s="556"/>
      <c r="B495" s="556"/>
      <c r="C495" s="556"/>
      <c r="D495" s="556"/>
      <c r="E495" s="556"/>
      <c r="F495" s="564"/>
      <c r="G495" s="564"/>
      <c r="H495" s="564"/>
      <c r="I495" s="564"/>
      <c r="J495" s="564"/>
      <c r="K495" s="564"/>
      <c r="L495" s="564"/>
      <c r="M495" s="564"/>
      <c r="N495" s="564"/>
      <c r="O495" s="564"/>
      <c r="P495" s="564"/>
      <c r="Q495" s="564"/>
      <c r="R495" s="564"/>
      <c r="S495" s="564"/>
      <c r="T495" s="564"/>
      <c r="U495" s="564"/>
      <c r="V495" s="564"/>
      <c r="W495" s="564"/>
      <c r="X495" s="564"/>
      <c r="Y495" s="564"/>
      <c r="Z495" s="564"/>
      <c r="AA495" s="564"/>
      <c r="AB495" s="556"/>
      <c r="AC495" s="556"/>
      <c r="AD495" s="74"/>
      <c r="AE495" s="74"/>
      <c r="AF495" s="74"/>
      <c r="AG495" s="74"/>
      <c r="AH495" s="74"/>
      <c r="AI495" s="74"/>
      <c r="AJ495" s="74"/>
      <c r="AK495" s="74"/>
      <c r="AL495" s="74"/>
      <c r="AM495" s="74"/>
      <c r="AN495" s="74"/>
      <c r="AO495" s="74"/>
      <c r="AP495" s="74"/>
      <c r="AQ495" s="74"/>
      <c r="AR495" s="74"/>
      <c r="AS495" s="565"/>
      <c r="AT495" s="556"/>
      <c r="AU495" s="700"/>
    </row>
    <row r="496" spans="1:48" hidden="1" x14ac:dyDescent="0.45">
      <c r="A496" s="556"/>
      <c r="B496" s="556"/>
      <c r="C496" s="556"/>
      <c r="D496" s="556"/>
      <c r="E496" s="556"/>
      <c r="F496" s="564"/>
      <c r="G496" s="564"/>
      <c r="H496" s="564"/>
      <c r="I496" s="564"/>
      <c r="J496" s="564"/>
      <c r="K496" s="564"/>
      <c r="L496" s="564"/>
      <c r="M496" s="564"/>
      <c r="N496" s="564"/>
      <c r="O496" s="564"/>
      <c r="P496" s="564"/>
      <c r="Q496" s="564"/>
      <c r="R496" s="564"/>
      <c r="S496" s="564"/>
      <c r="T496" s="564"/>
      <c r="U496" s="564"/>
      <c r="V496" s="564"/>
      <c r="W496" s="564"/>
      <c r="X496" s="564"/>
      <c r="Y496" s="564"/>
      <c r="Z496" s="564"/>
      <c r="AA496" s="564"/>
      <c r="AB496" s="556"/>
      <c r="AC496" s="556"/>
      <c r="AD496" s="74"/>
      <c r="AE496" s="74"/>
      <c r="AF496" s="74"/>
      <c r="AG496" s="74"/>
      <c r="AH496" s="74"/>
      <c r="AI496" s="74"/>
      <c r="AJ496" s="74"/>
      <c r="AK496" s="74"/>
      <c r="AL496" s="74"/>
      <c r="AM496" s="74"/>
      <c r="AN496" s="74"/>
      <c r="AO496" s="74"/>
      <c r="AP496" s="74"/>
      <c r="AQ496" s="74"/>
      <c r="AR496" s="74"/>
      <c r="AS496" s="565"/>
      <c r="AT496" s="556"/>
      <c r="AU496" s="700"/>
    </row>
    <row r="497" spans="1:47" hidden="1" x14ac:dyDescent="0.45">
      <c r="A497" s="556"/>
      <c r="B497" s="556"/>
      <c r="C497" s="556"/>
      <c r="D497" s="556"/>
      <c r="E497" s="556"/>
      <c r="F497" s="564"/>
      <c r="G497" s="564"/>
      <c r="H497" s="564"/>
      <c r="I497" s="564"/>
      <c r="J497" s="564"/>
      <c r="K497" s="564"/>
      <c r="L497" s="564"/>
      <c r="M497" s="564"/>
      <c r="N497" s="564"/>
      <c r="O497" s="564"/>
      <c r="P497" s="564"/>
      <c r="Q497" s="564"/>
      <c r="R497" s="564"/>
      <c r="S497" s="564"/>
      <c r="T497" s="564"/>
      <c r="U497" s="564"/>
      <c r="V497" s="564"/>
      <c r="W497" s="564"/>
      <c r="X497" s="564"/>
      <c r="Y497" s="564"/>
      <c r="Z497" s="564"/>
      <c r="AA497" s="564"/>
      <c r="AB497" s="556"/>
      <c r="AC497" s="556"/>
      <c r="AD497" s="74"/>
      <c r="AE497" s="74"/>
      <c r="AF497" s="74"/>
      <c r="AG497" s="74"/>
      <c r="AH497" s="74"/>
      <c r="AI497" s="74"/>
      <c r="AJ497" s="74"/>
      <c r="AK497" s="74"/>
      <c r="AL497" s="74"/>
      <c r="AM497" s="74"/>
      <c r="AN497" s="74"/>
      <c r="AO497" s="74"/>
      <c r="AP497" s="74"/>
      <c r="AQ497" s="74"/>
      <c r="AR497" s="74"/>
      <c r="AS497" s="565"/>
      <c r="AT497" s="556"/>
      <c r="AU497" s="700"/>
    </row>
    <row r="498" spans="1:47" hidden="1" x14ac:dyDescent="0.45">
      <c r="A498" s="556"/>
      <c r="B498" s="556"/>
      <c r="C498" s="556"/>
      <c r="D498" s="556"/>
      <c r="E498" s="556"/>
      <c r="F498" s="564"/>
      <c r="G498" s="564"/>
      <c r="H498" s="564"/>
      <c r="I498" s="564"/>
      <c r="J498" s="564"/>
      <c r="K498" s="564"/>
      <c r="L498" s="564"/>
      <c r="M498" s="564"/>
      <c r="N498" s="564"/>
      <c r="O498" s="564"/>
      <c r="P498" s="564"/>
      <c r="Q498" s="564"/>
      <c r="R498" s="564"/>
      <c r="S498" s="564"/>
      <c r="T498" s="564"/>
      <c r="U498" s="564"/>
      <c r="V498" s="564"/>
      <c r="W498" s="564"/>
      <c r="X498" s="564"/>
      <c r="Y498" s="564"/>
      <c r="Z498" s="564"/>
      <c r="AA498" s="564"/>
      <c r="AB498" s="556"/>
      <c r="AC498" s="556"/>
      <c r="AD498" s="74"/>
      <c r="AE498" s="74"/>
      <c r="AF498" s="74"/>
      <c r="AG498" s="74"/>
      <c r="AH498" s="74"/>
      <c r="AI498" s="74"/>
      <c r="AJ498" s="74"/>
      <c r="AK498" s="74"/>
      <c r="AL498" s="74"/>
      <c r="AM498" s="74"/>
      <c r="AN498" s="74"/>
      <c r="AO498" s="74"/>
      <c r="AP498" s="74"/>
      <c r="AQ498" s="74"/>
      <c r="AR498" s="74"/>
      <c r="AS498" s="565"/>
      <c r="AT498" s="556"/>
      <c r="AU498" s="700"/>
    </row>
    <row r="499" spans="1:47" hidden="1" x14ac:dyDescent="0.45">
      <c r="A499" s="556"/>
      <c r="B499" s="556"/>
      <c r="C499" s="556"/>
      <c r="D499" s="556"/>
      <c r="E499" s="556"/>
      <c r="F499" s="564"/>
      <c r="G499" s="564"/>
      <c r="H499" s="564"/>
      <c r="I499" s="564"/>
      <c r="J499" s="564"/>
      <c r="K499" s="564"/>
      <c r="L499" s="564"/>
      <c r="M499" s="564"/>
      <c r="N499" s="564"/>
      <c r="O499" s="564"/>
      <c r="P499" s="564"/>
      <c r="Q499" s="564"/>
      <c r="R499" s="564"/>
      <c r="S499" s="564"/>
      <c r="T499" s="564"/>
      <c r="U499" s="564"/>
      <c r="V499" s="564"/>
      <c r="W499" s="564"/>
      <c r="X499" s="564"/>
      <c r="Y499" s="564"/>
      <c r="Z499" s="564"/>
      <c r="AA499" s="564"/>
      <c r="AB499" s="556"/>
      <c r="AC499" s="556"/>
      <c r="AD499" s="74"/>
      <c r="AE499" s="74"/>
      <c r="AF499" s="74"/>
      <c r="AG499" s="74"/>
      <c r="AH499" s="74"/>
      <c r="AI499" s="74"/>
      <c r="AJ499" s="74"/>
      <c r="AK499" s="74"/>
      <c r="AL499" s="74"/>
      <c r="AM499" s="74"/>
      <c r="AN499" s="74"/>
      <c r="AO499" s="74"/>
      <c r="AP499" s="74"/>
      <c r="AQ499" s="74"/>
      <c r="AR499" s="74"/>
      <c r="AS499" s="565"/>
      <c r="AT499" s="556"/>
      <c r="AU499" s="700"/>
    </row>
    <row r="500" spans="1:47" hidden="1" x14ac:dyDescent="0.45">
      <c r="A500" s="556"/>
      <c r="B500" s="556"/>
      <c r="C500" s="556"/>
      <c r="D500" s="556"/>
      <c r="E500" s="556"/>
      <c r="F500" s="564"/>
      <c r="G500" s="564"/>
      <c r="H500" s="564"/>
      <c r="I500" s="564"/>
      <c r="J500" s="564"/>
      <c r="K500" s="564"/>
      <c r="L500" s="564"/>
      <c r="M500" s="564"/>
      <c r="N500" s="564"/>
      <c r="O500" s="564"/>
      <c r="P500" s="564"/>
      <c r="Q500" s="564"/>
      <c r="R500" s="564"/>
      <c r="S500" s="564"/>
      <c r="T500" s="564"/>
      <c r="U500" s="564"/>
      <c r="V500" s="564"/>
      <c r="W500" s="564"/>
      <c r="X500" s="564"/>
      <c r="Y500" s="564"/>
      <c r="Z500" s="564"/>
      <c r="AA500" s="564"/>
      <c r="AB500" s="556"/>
      <c r="AC500" s="556"/>
      <c r="AD500" s="74"/>
      <c r="AE500" s="74"/>
      <c r="AF500" s="74"/>
      <c r="AG500" s="74"/>
      <c r="AH500" s="74"/>
      <c r="AI500" s="74"/>
      <c r="AJ500" s="74"/>
      <c r="AK500" s="74"/>
      <c r="AL500" s="74"/>
      <c r="AM500" s="74"/>
      <c r="AN500" s="74"/>
      <c r="AO500" s="74"/>
      <c r="AP500" s="74"/>
      <c r="AQ500" s="74"/>
      <c r="AR500" s="74"/>
      <c r="AS500" s="565"/>
      <c r="AT500" s="556"/>
      <c r="AU500" s="700"/>
    </row>
    <row r="501" spans="1:47" hidden="1" x14ac:dyDescent="0.45">
      <c r="A501" s="556"/>
      <c r="B501" s="556"/>
      <c r="C501" s="556"/>
      <c r="D501" s="556"/>
      <c r="E501" s="556"/>
      <c r="F501" s="564"/>
      <c r="G501" s="564"/>
      <c r="H501" s="564"/>
      <c r="I501" s="564"/>
      <c r="J501" s="564"/>
      <c r="K501" s="564"/>
      <c r="L501" s="564"/>
      <c r="M501" s="564"/>
      <c r="N501" s="564"/>
      <c r="O501" s="564"/>
      <c r="P501" s="564"/>
      <c r="Q501" s="564"/>
      <c r="R501" s="564"/>
      <c r="S501" s="564"/>
      <c r="T501" s="564"/>
      <c r="U501" s="564"/>
      <c r="V501" s="564"/>
      <c r="W501" s="564"/>
      <c r="X501" s="564"/>
      <c r="Y501" s="564"/>
      <c r="Z501" s="564"/>
      <c r="AA501" s="564"/>
      <c r="AB501" s="556"/>
      <c r="AC501" s="556"/>
      <c r="AD501" s="74"/>
      <c r="AE501" s="74"/>
      <c r="AF501" s="74"/>
      <c r="AG501" s="74"/>
      <c r="AH501" s="74"/>
      <c r="AI501" s="74"/>
      <c r="AJ501" s="74"/>
      <c r="AK501" s="74"/>
      <c r="AL501" s="74"/>
      <c r="AM501" s="74"/>
      <c r="AN501" s="74"/>
      <c r="AO501" s="74"/>
      <c r="AP501" s="74"/>
      <c r="AQ501" s="74"/>
      <c r="AR501" s="74"/>
      <c r="AS501" s="565"/>
      <c r="AT501" s="556"/>
      <c r="AU501" s="700"/>
    </row>
    <row r="502" spans="1:47" hidden="1" x14ac:dyDescent="0.45">
      <c r="A502" s="556"/>
      <c r="B502" s="556"/>
      <c r="C502" s="556"/>
      <c r="D502" s="556"/>
      <c r="E502" s="556"/>
      <c r="F502" s="564"/>
      <c r="G502" s="564"/>
      <c r="H502" s="564"/>
      <c r="I502" s="564"/>
      <c r="J502" s="564"/>
      <c r="K502" s="564"/>
      <c r="L502" s="564"/>
      <c r="M502" s="564"/>
      <c r="N502" s="564"/>
      <c r="O502" s="564"/>
      <c r="P502" s="564"/>
      <c r="Q502" s="564"/>
      <c r="R502" s="564"/>
      <c r="S502" s="564"/>
      <c r="T502" s="564"/>
      <c r="U502" s="564"/>
      <c r="V502" s="564"/>
      <c r="W502" s="564"/>
      <c r="X502" s="564"/>
      <c r="Y502" s="564"/>
      <c r="Z502" s="564"/>
      <c r="AA502" s="564"/>
      <c r="AB502" s="556"/>
      <c r="AC502" s="556"/>
      <c r="AD502" s="74"/>
      <c r="AE502" s="74"/>
      <c r="AF502" s="74"/>
      <c r="AG502" s="74"/>
      <c r="AH502" s="74"/>
      <c r="AI502" s="74"/>
      <c r="AJ502" s="74"/>
      <c r="AK502" s="74"/>
      <c r="AL502" s="74"/>
      <c r="AM502" s="74"/>
      <c r="AN502" s="74"/>
      <c r="AO502" s="74"/>
      <c r="AP502" s="74"/>
      <c r="AQ502" s="74"/>
      <c r="AR502" s="74"/>
      <c r="AS502" s="565"/>
      <c r="AT502" s="556"/>
      <c r="AU502" s="700"/>
    </row>
    <row r="503" spans="1:47" hidden="1" x14ac:dyDescent="0.45">
      <c r="A503" s="556"/>
      <c r="B503" s="556"/>
      <c r="C503" s="556"/>
      <c r="D503" s="556"/>
      <c r="E503" s="556"/>
      <c r="F503" s="564"/>
      <c r="G503" s="564"/>
      <c r="H503" s="564"/>
      <c r="I503" s="564"/>
      <c r="J503" s="564"/>
      <c r="K503" s="564"/>
      <c r="L503" s="564"/>
      <c r="M503" s="564"/>
      <c r="N503" s="564"/>
      <c r="O503" s="564"/>
      <c r="P503" s="564"/>
      <c r="Q503" s="564"/>
      <c r="R503" s="564"/>
      <c r="S503" s="564"/>
      <c r="T503" s="564"/>
      <c r="U503" s="564"/>
      <c r="V503" s="564"/>
      <c r="W503" s="564"/>
      <c r="X503" s="564"/>
      <c r="Y503" s="564"/>
      <c r="Z503" s="564"/>
      <c r="AA503" s="564"/>
      <c r="AB503" s="556"/>
      <c r="AC503" s="556"/>
      <c r="AD503" s="74"/>
      <c r="AE503" s="74"/>
      <c r="AF503" s="74"/>
      <c r="AG503" s="74"/>
      <c r="AH503" s="74"/>
      <c r="AI503" s="74"/>
      <c r="AJ503" s="74"/>
      <c r="AK503" s="74"/>
      <c r="AL503" s="74"/>
      <c r="AM503" s="74"/>
      <c r="AN503" s="74"/>
      <c r="AO503" s="74"/>
      <c r="AP503" s="74"/>
      <c r="AQ503" s="74"/>
      <c r="AR503" s="74"/>
      <c r="AS503" s="565"/>
      <c r="AT503" s="556"/>
      <c r="AU503" s="700"/>
    </row>
    <row r="504" spans="1:47" hidden="1" x14ac:dyDescent="0.45">
      <c r="A504" s="556"/>
      <c r="B504" s="556"/>
      <c r="C504" s="556"/>
      <c r="D504" s="556"/>
      <c r="E504" s="556"/>
      <c r="F504" s="564"/>
      <c r="G504" s="564"/>
      <c r="H504" s="564"/>
      <c r="I504" s="564"/>
      <c r="J504" s="564"/>
      <c r="K504" s="564"/>
      <c r="L504" s="564"/>
      <c r="M504" s="564"/>
      <c r="N504" s="564"/>
      <c r="O504" s="564"/>
      <c r="P504" s="564"/>
      <c r="Q504" s="564"/>
      <c r="R504" s="564"/>
      <c r="S504" s="564"/>
      <c r="T504" s="564"/>
      <c r="U504" s="564"/>
      <c r="V504" s="564"/>
      <c r="W504" s="564"/>
      <c r="X504" s="564"/>
      <c r="Y504" s="564"/>
      <c r="Z504" s="564"/>
      <c r="AA504" s="564"/>
      <c r="AB504" s="556"/>
      <c r="AC504" s="556"/>
      <c r="AD504" s="74"/>
      <c r="AE504" s="74"/>
      <c r="AF504" s="74"/>
      <c r="AG504" s="74"/>
      <c r="AH504" s="74"/>
      <c r="AI504" s="74"/>
      <c r="AJ504" s="74"/>
      <c r="AK504" s="74"/>
      <c r="AL504" s="74"/>
      <c r="AM504" s="74"/>
      <c r="AN504" s="74"/>
      <c r="AO504" s="74"/>
      <c r="AP504" s="74"/>
      <c r="AQ504" s="74"/>
      <c r="AR504" s="74"/>
      <c r="AS504" s="565"/>
      <c r="AT504" s="556"/>
      <c r="AU504" s="700"/>
    </row>
    <row r="505" spans="1:47" hidden="1" x14ac:dyDescent="0.45">
      <c r="A505" s="556"/>
      <c r="B505" s="556"/>
      <c r="C505" s="556"/>
      <c r="D505" s="556"/>
      <c r="E505" s="556"/>
      <c r="F505" s="564"/>
      <c r="G505" s="564"/>
      <c r="H505" s="564"/>
      <c r="I505" s="564"/>
      <c r="J505" s="564"/>
      <c r="K505" s="564"/>
      <c r="L505" s="564"/>
      <c r="M505" s="564"/>
      <c r="N505" s="564"/>
      <c r="O505" s="564"/>
      <c r="P505" s="564"/>
      <c r="Q505" s="564"/>
      <c r="R505" s="564"/>
      <c r="S505" s="564"/>
      <c r="T505" s="564"/>
      <c r="U505" s="564"/>
      <c r="V505" s="564"/>
      <c r="W505" s="564"/>
      <c r="X505" s="564"/>
      <c r="Y505" s="564"/>
      <c r="Z505" s="564"/>
      <c r="AA505" s="564"/>
      <c r="AB505" s="556"/>
      <c r="AC505" s="556"/>
      <c r="AD505" s="74"/>
      <c r="AE505" s="74"/>
      <c r="AF505" s="74"/>
      <c r="AG505" s="74"/>
      <c r="AH505" s="74"/>
      <c r="AI505" s="74"/>
      <c r="AJ505" s="74"/>
      <c r="AK505" s="74"/>
      <c r="AL505" s="74"/>
      <c r="AM505" s="74"/>
      <c r="AN505" s="74"/>
      <c r="AO505" s="74"/>
      <c r="AP505" s="74"/>
      <c r="AQ505" s="74"/>
      <c r="AR505" s="74"/>
      <c r="AS505" s="565"/>
      <c r="AT505" s="556"/>
      <c r="AU505" s="700"/>
    </row>
    <row r="506" spans="1:47" hidden="1" x14ac:dyDescent="0.45">
      <c r="A506" s="556"/>
      <c r="B506" s="556"/>
      <c r="C506" s="556"/>
      <c r="D506" s="556"/>
      <c r="E506" s="556"/>
      <c r="F506" s="564"/>
      <c r="G506" s="564"/>
      <c r="H506" s="564"/>
      <c r="I506" s="564"/>
      <c r="J506" s="564"/>
      <c r="K506" s="564"/>
      <c r="L506" s="564"/>
      <c r="M506" s="564"/>
      <c r="N506" s="564"/>
      <c r="O506" s="564"/>
      <c r="P506" s="564"/>
      <c r="Q506" s="564"/>
      <c r="R506" s="564"/>
      <c r="S506" s="564"/>
      <c r="T506" s="564"/>
      <c r="U506" s="564"/>
      <c r="V506" s="564"/>
      <c r="W506" s="564"/>
      <c r="X506" s="564"/>
      <c r="Y506" s="564"/>
      <c r="Z506" s="564"/>
      <c r="AA506" s="564"/>
      <c r="AB506" s="556"/>
      <c r="AC506" s="556"/>
      <c r="AD506" s="74"/>
      <c r="AE506" s="74"/>
      <c r="AF506" s="74"/>
      <c r="AG506" s="74"/>
      <c r="AH506" s="74"/>
      <c r="AI506" s="74"/>
      <c r="AJ506" s="74"/>
      <c r="AK506" s="74"/>
      <c r="AL506" s="74"/>
      <c r="AM506" s="74"/>
      <c r="AN506" s="74"/>
      <c r="AO506" s="74"/>
      <c r="AP506" s="74"/>
      <c r="AQ506" s="74"/>
      <c r="AR506" s="74"/>
      <c r="AS506" s="565"/>
      <c r="AT506" s="556"/>
      <c r="AU506" s="700"/>
    </row>
    <row r="507" spans="1:47" hidden="1" x14ac:dyDescent="0.45">
      <c r="A507" s="556"/>
      <c r="B507" s="556"/>
      <c r="C507" s="556"/>
      <c r="D507" s="556"/>
      <c r="E507" s="556"/>
      <c r="F507" s="564"/>
      <c r="G507" s="564"/>
      <c r="H507" s="564"/>
      <c r="I507" s="564"/>
      <c r="J507" s="564"/>
      <c r="K507" s="564"/>
      <c r="L507" s="564"/>
      <c r="M507" s="564"/>
      <c r="N507" s="564"/>
      <c r="O507" s="564"/>
      <c r="P507" s="564"/>
      <c r="Q507" s="564"/>
      <c r="R507" s="564"/>
      <c r="S507" s="564"/>
      <c r="T507" s="564"/>
      <c r="U507" s="564"/>
      <c r="V507" s="564"/>
      <c r="W507" s="564"/>
      <c r="X507" s="564"/>
      <c r="Y507" s="564"/>
      <c r="Z507" s="564"/>
      <c r="AA507" s="564"/>
      <c r="AB507" s="556"/>
      <c r="AC507" s="556"/>
      <c r="AD507" s="74"/>
      <c r="AE507" s="74"/>
      <c r="AF507" s="74"/>
      <c r="AG507" s="74"/>
      <c r="AH507" s="74"/>
      <c r="AI507" s="74"/>
      <c r="AJ507" s="74"/>
      <c r="AK507" s="74"/>
      <c r="AL507" s="74"/>
      <c r="AM507" s="74"/>
      <c r="AN507" s="74"/>
      <c r="AO507" s="74"/>
      <c r="AP507" s="74"/>
      <c r="AQ507" s="74"/>
      <c r="AR507" s="74"/>
      <c r="AS507" s="565"/>
      <c r="AT507" s="556"/>
      <c r="AU507" s="700"/>
    </row>
    <row r="508" spans="1:47" hidden="1" x14ac:dyDescent="0.45">
      <c r="A508" s="556"/>
      <c r="B508" s="556"/>
      <c r="C508" s="556"/>
      <c r="D508" s="556"/>
      <c r="E508" s="556"/>
      <c r="F508" s="564"/>
      <c r="G508" s="564"/>
      <c r="H508" s="564"/>
      <c r="I508" s="564"/>
      <c r="J508" s="564"/>
      <c r="K508" s="564"/>
      <c r="L508" s="564"/>
      <c r="M508" s="564"/>
      <c r="N508" s="564"/>
      <c r="O508" s="564"/>
      <c r="P508" s="564"/>
      <c r="Q508" s="564"/>
      <c r="R508" s="564"/>
      <c r="S508" s="564"/>
      <c r="T508" s="564"/>
      <c r="U508" s="564"/>
      <c r="V508" s="564"/>
      <c r="W508" s="564"/>
      <c r="X508" s="564"/>
      <c r="Y508" s="564"/>
      <c r="Z508" s="564"/>
      <c r="AA508" s="564"/>
      <c r="AB508" s="556"/>
      <c r="AC508" s="556"/>
      <c r="AD508" s="74"/>
      <c r="AE508" s="74"/>
      <c r="AF508" s="74"/>
      <c r="AG508" s="74"/>
      <c r="AH508" s="74"/>
      <c r="AI508" s="74"/>
      <c r="AJ508" s="74"/>
      <c r="AK508" s="74"/>
      <c r="AL508" s="74"/>
      <c r="AM508" s="74"/>
      <c r="AN508" s="74"/>
      <c r="AO508" s="74"/>
      <c r="AP508" s="74"/>
      <c r="AQ508" s="74"/>
      <c r="AR508" s="74"/>
      <c r="AS508" s="565"/>
      <c r="AT508" s="556"/>
      <c r="AU508" s="700"/>
    </row>
    <row r="509" spans="1:47" hidden="1" x14ac:dyDescent="0.45">
      <c r="A509" s="556"/>
      <c r="B509" s="556"/>
      <c r="C509" s="556"/>
      <c r="D509" s="556"/>
      <c r="E509" s="556"/>
      <c r="F509" s="564"/>
      <c r="G509" s="564"/>
      <c r="H509" s="564"/>
      <c r="I509" s="564"/>
      <c r="J509" s="564"/>
      <c r="K509" s="564"/>
      <c r="L509" s="564"/>
      <c r="M509" s="564"/>
      <c r="N509" s="564"/>
      <c r="O509" s="564"/>
      <c r="P509" s="564"/>
      <c r="Q509" s="564"/>
      <c r="R509" s="564"/>
      <c r="S509" s="564"/>
      <c r="T509" s="564"/>
      <c r="U509" s="564"/>
      <c r="V509" s="564"/>
      <c r="W509" s="564"/>
      <c r="X509" s="564"/>
      <c r="Y509" s="564"/>
      <c r="Z509" s="564"/>
      <c r="AA509" s="564"/>
      <c r="AB509" s="556"/>
      <c r="AC509" s="556"/>
      <c r="AD509" s="74"/>
      <c r="AE509" s="74"/>
      <c r="AF509" s="74"/>
      <c r="AG509" s="74"/>
      <c r="AH509" s="74"/>
      <c r="AI509" s="74"/>
      <c r="AJ509" s="74"/>
      <c r="AK509" s="74"/>
      <c r="AL509" s="74"/>
      <c r="AM509" s="74"/>
      <c r="AN509" s="74"/>
      <c r="AO509" s="74"/>
      <c r="AP509" s="74"/>
      <c r="AQ509" s="74"/>
      <c r="AR509" s="74"/>
      <c r="AS509" s="565"/>
      <c r="AT509" s="556"/>
      <c r="AU509" s="700"/>
    </row>
    <row r="510" spans="1:47" hidden="1" x14ac:dyDescent="0.45">
      <c r="A510" s="556"/>
      <c r="B510" s="556"/>
      <c r="C510" s="556"/>
      <c r="D510" s="556"/>
      <c r="E510" s="556"/>
      <c r="F510" s="564"/>
      <c r="G510" s="564"/>
      <c r="H510" s="564"/>
      <c r="I510" s="564"/>
      <c r="J510" s="564"/>
      <c r="K510" s="564"/>
      <c r="L510" s="564"/>
      <c r="M510" s="564"/>
      <c r="N510" s="564"/>
      <c r="O510" s="564"/>
      <c r="P510" s="564"/>
      <c r="Q510" s="564"/>
      <c r="R510" s="564"/>
      <c r="S510" s="564"/>
      <c r="T510" s="564"/>
      <c r="U510" s="564"/>
      <c r="V510" s="564"/>
      <c r="W510" s="564"/>
      <c r="X510" s="564"/>
      <c r="Y510" s="564"/>
      <c r="Z510" s="564"/>
      <c r="AA510" s="564"/>
      <c r="AB510" s="556"/>
      <c r="AC510" s="556"/>
      <c r="AD510" s="74"/>
      <c r="AE510" s="74"/>
      <c r="AF510" s="74"/>
      <c r="AG510" s="74"/>
      <c r="AH510" s="74"/>
      <c r="AI510" s="74"/>
      <c r="AJ510" s="74"/>
      <c r="AK510" s="74"/>
      <c r="AL510" s="74"/>
      <c r="AM510" s="74"/>
      <c r="AN510" s="74"/>
      <c r="AO510" s="74"/>
      <c r="AP510" s="74"/>
      <c r="AQ510" s="74"/>
      <c r="AR510" s="74"/>
      <c r="AS510" s="565"/>
      <c r="AT510" s="556"/>
      <c r="AU510" s="700"/>
    </row>
    <row r="511" spans="1:47" hidden="1" x14ac:dyDescent="0.45">
      <c r="A511" s="556"/>
      <c r="B511" s="556"/>
      <c r="C511" s="556"/>
      <c r="D511" s="556"/>
      <c r="E511" s="556"/>
      <c r="F511" s="564"/>
      <c r="G511" s="564"/>
      <c r="H511" s="564"/>
      <c r="I511" s="564"/>
      <c r="J511" s="564"/>
      <c r="K511" s="564"/>
      <c r="L511" s="564"/>
      <c r="M511" s="564"/>
      <c r="N511" s="564"/>
      <c r="O511" s="564"/>
      <c r="P511" s="564"/>
      <c r="Q511" s="564"/>
      <c r="R511" s="564"/>
      <c r="S511" s="564"/>
      <c r="T511" s="564"/>
      <c r="U511" s="564"/>
      <c r="V511" s="564"/>
      <c r="W511" s="564"/>
      <c r="X511" s="564"/>
      <c r="Y511" s="564"/>
      <c r="Z511" s="564"/>
      <c r="AA511" s="564"/>
      <c r="AB511" s="556"/>
      <c r="AC511" s="556"/>
      <c r="AD511" s="74"/>
      <c r="AE511" s="74"/>
      <c r="AF511" s="74"/>
      <c r="AG511" s="74"/>
      <c r="AH511" s="74"/>
      <c r="AI511" s="74"/>
      <c r="AJ511" s="74"/>
      <c r="AK511" s="74"/>
      <c r="AL511" s="74"/>
      <c r="AM511" s="74"/>
      <c r="AN511" s="74"/>
      <c r="AO511" s="74"/>
      <c r="AP511" s="74"/>
      <c r="AQ511" s="74"/>
      <c r="AR511" s="74"/>
      <c r="AS511" s="565"/>
      <c r="AT511" s="556"/>
      <c r="AU511" s="700"/>
    </row>
    <row r="512" spans="1:47" hidden="1" x14ac:dyDescent="0.45">
      <c r="A512" s="556"/>
      <c r="B512" s="556"/>
      <c r="C512" s="556"/>
      <c r="D512" s="556"/>
      <c r="E512" s="556"/>
      <c r="F512" s="564"/>
      <c r="G512" s="564"/>
      <c r="H512" s="564"/>
      <c r="I512" s="564"/>
      <c r="J512" s="564"/>
      <c r="K512" s="564"/>
      <c r="L512" s="564"/>
      <c r="M512" s="564"/>
      <c r="N512" s="564"/>
      <c r="O512" s="564"/>
      <c r="P512" s="564"/>
      <c r="Q512" s="564"/>
      <c r="R512" s="564"/>
      <c r="S512" s="564"/>
      <c r="T512" s="564"/>
      <c r="U512" s="564"/>
      <c r="V512" s="564"/>
      <c r="W512" s="564"/>
      <c r="X512" s="564"/>
      <c r="Y512" s="564"/>
      <c r="Z512" s="564"/>
      <c r="AA512" s="564"/>
      <c r="AB512" s="556"/>
      <c r="AC512" s="556"/>
      <c r="AD512" s="74"/>
      <c r="AE512" s="74"/>
      <c r="AF512" s="74"/>
      <c r="AG512" s="74"/>
      <c r="AH512" s="74"/>
      <c r="AI512" s="74"/>
      <c r="AJ512" s="74"/>
      <c r="AK512" s="74"/>
      <c r="AL512" s="74"/>
      <c r="AM512" s="74"/>
      <c r="AN512" s="74"/>
      <c r="AO512" s="74"/>
      <c r="AP512" s="74"/>
      <c r="AQ512" s="74"/>
      <c r="AR512" s="74"/>
      <c r="AS512" s="565"/>
      <c r="AT512" s="556"/>
      <c r="AU512" s="700"/>
    </row>
    <row r="513" spans="1:47" hidden="1" x14ac:dyDescent="0.45">
      <c r="A513" s="556"/>
      <c r="B513" s="556"/>
      <c r="C513" s="556"/>
      <c r="D513" s="556"/>
      <c r="E513" s="556"/>
      <c r="F513" s="564"/>
      <c r="G513" s="564"/>
      <c r="H513" s="564"/>
      <c r="I513" s="564"/>
      <c r="J513" s="564"/>
      <c r="K513" s="564"/>
      <c r="L513" s="564"/>
      <c r="M513" s="564"/>
      <c r="N513" s="564"/>
      <c r="O513" s="564"/>
      <c r="P513" s="564"/>
      <c r="Q513" s="564"/>
      <c r="R513" s="564"/>
      <c r="S513" s="564"/>
      <c r="T513" s="564"/>
      <c r="U513" s="564"/>
      <c r="V513" s="564"/>
      <c r="W513" s="564"/>
      <c r="X513" s="564"/>
      <c r="Y513" s="564"/>
      <c r="Z513" s="564"/>
      <c r="AA513" s="564"/>
      <c r="AB513" s="556"/>
      <c r="AC513" s="556"/>
      <c r="AD513" s="74"/>
      <c r="AE513" s="74"/>
      <c r="AF513" s="74"/>
      <c r="AG513" s="74"/>
      <c r="AH513" s="74"/>
      <c r="AI513" s="74"/>
      <c r="AJ513" s="74"/>
      <c r="AK513" s="74"/>
      <c r="AL513" s="74"/>
      <c r="AM513" s="74"/>
      <c r="AN513" s="74"/>
      <c r="AO513" s="74"/>
      <c r="AP513" s="74"/>
      <c r="AQ513" s="74"/>
      <c r="AR513" s="74"/>
      <c r="AS513" s="565"/>
      <c r="AT513" s="556"/>
      <c r="AU513" s="700"/>
    </row>
    <row r="514" spans="1:47" hidden="1" x14ac:dyDescent="0.45">
      <c r="A514" s="556"/>
      <c r="B514" s="556"/>
      <c r="C514" s="556"/>
      <c r="D514" s="556"/>
      <c r="E514" s="556"/>
      <c r="F514" s="564"/>
      <c r="G514" s="564"/>
      <c r="H514" s="564"/>
      <c r="I514" s="564"/>
      <c r="J514" s="564"/>
      <c r="K514" s="564"/>
      <c r="L514" s="564"/>
      <c r="M514" s="564"/>
      <c r="N514" s="564"/>
      <c r="O514" s="564"/>
      <c r="P514" s="564"/>
      <c r="Q514" s="564"/>
      <c r="R514" s="564"/>
      <c r="S514" s="564"/>
      <c r="T514" s="564"/>
      <c r="U514" s="564"/>
      <c r="V514" s="564"/>
      <c r="W514" s="564"/>
      <c r="X514" s="564"/>
      <c r="Y514" s="564"/>
      <c r="Z514" s="564"/>
      <c r="AA514" s="564"/>
      <c r="AB514" s="556"/>
      <c r="AC514" s="556"/>
      <c r="AD514" s="74"/>
      <c r="AE514" s="74"/>
      <c r="AF514" s="74"/>
      <c r="AG514" s="74"/>
      <c r="AH514" s="74"/>
      <c r="AI514" s="74"/>
      <c r="AJ514" s="74"/>
      <c r="AK514" s="74"/>
      <c r="AL514" s="74"/>
      <c r="AM514" s="74"/>
      <c r="AN514" s="74"/>
      <c r="AO514" s="74"/>
      <c r="AP514" s="74"/>
      <c r="AQ514" s="74"/>
      <c r="AR514" s="74"/>
      <c r="AS514" s="565"/>
      <c r="AT514" s="556"/>
      <c r="AU514" s="700"/>
    </row>
    <row r="515" spans="1:47" hidden="1" x14ac:dyDescent="0.45">
      <c r="A515" s="556"/>
      <c r="B515" s="556"/>
      <c r="C515" s="556"/>
      <c r="D515" s="556"/>
      <c r="E515" s="556"/>
      <c r="F515" s="564"/>
      <c r="G515" s="564"/>
      <c r="H515" s="564"/>
      <c r="I515" s="564"/>
      <c r="J515" s="564"/>
      <c r="K515" s="564"/>
      <c r="L515" s="564"/>
      <c r="M515" s="564"/>
      <c r="N515" s="564"/>
      <c r="O515" s="564"/>
      <c r="P515" s="564"/>
      <c r="Q515" s="564"/>
      <c r="R515" s="564"/>
      <c r="S515" s="564"/>
      <c r="T515" s="564"/>
      <c r="U515" s="564"/>
      <c r="V515" s="564"/>
      <c r="W515" s="564"/>
      <c r="X515" s="564"/>
      <c r="Y515" s="564"/>
      <c r="Z515" s="564"/>
      <c r="AA515" s="564"/>
      <c r="AB515" s="556"/>
      <c r="AC515" s="556"/>
      <c r="AD515" s="74"/>
      <c r="AE515" s="74"/>
      <c r="AF515" s="74"/>
      <c r="AG515" s="74"/>
      <c r="AH515" s="74"/>
      <c r="AI515" s="74"/>
      <c r="AJ515" s="74"/>
      <c r="AK515" s="74"/>
      <c r="AL515" s="74"/>
      <c r="AM515" s="74"/>
      <c r="AN515" s="74"/>
      <c r="AO515" s="74"/>
      <c r="AP515" s="74"/>
      <c r="AQ515" s="74"/>
      <c r="AR515" s="74"/>
      <c r="AS515" s="565"/>
      <c r="AT515" s="556"/>
      <c r="AU515" s="700"/>
    </row>
    <row r="516" spans="1:47" hidden="1" x14ac:dyDescent="0.45">
      <c r="A516" s="556"/>
      <c r="B516" s="556"/>
      <c r="C516" s="556"/>
      <c r="D516" s="556"/>
      <c r="E516" s="556"/>
      <c r="F516" s="564"/>
      <c r="G516" s="564"/>
      <c r="H516" s="564"/>
      <c r="I516" s="564"/>
      <c r="J516" s="564"/>
      <c r="K516" s="564"/>
      <c r="L516" s="564"/>
      <c r="M516" s="564"/>
      <c r="N516" s="564"/>
      <c r="O516" s="564"/>
      <c r="P516" s="564"/>
      <c r="Q516" s="564"/>
      <c r="R516" s="564"/>
      <c r="S516" s="564"/>
      <c r="T516" s="564"/>
      <c r="U516" s="564"/>
      <c r="V516" s="564"/>
      <c r="W516" s="564"/>
      <c r="X516" s="564"/>
      <c r="Y516" s="564"/>
      <c r="Z516" s="564"/>
      <c r="AA516" s="564"/>
      <c r="AB516" s="556"/>
      <c r="AC516" s="556"/>
      <c r="AD516" s="74"/>
      <c r="AE516" s="74"/>
      <c r="AF516" s="74"/>
      <c r="AG516" s="74"/>
      <c r="AH516" s="74"/>
      <c r="AI516" s="74"/>
      <c r="AJ516" s="74"/>
      <c r="AK516" s="74"/>
      <c r="AL516" s="74"/>
      <c r="AM516" s="74"/>
      <c r="AN516" s="74"/>
      <c r="AO516" s="74"/>
      <c r="AP516" s="74"/>
      <c r="AQ516" s="74"/>
      <c r="AR516" s="74"/>
      <c r="AS516" s="565"/>
      <c r="AT516" s="556"/>
      <c r="AU516" s="700"/>
    </row>
    <row r="517" spans="1:47" hidden="1" x14ac:dyDescent="0.45">
      <c r="A517" s="556"/>
      <c r="B517" s="556"/>
      <c r="C517" s="556"/>
      <c r="D517" s="556"/>
      <c r="E517" s="556"/>
      <c r="F517" s="564"/>
      <c r="G517" s="564"/>
      <c r="H517" s="564"/>
      <c r="I517" s="564"/>
      <c r="J517" s="564"/>
      <c r="K517" s="564"/>
      <c r="L517" s="564"/>
      <c r="M517" s="564"/>
      <c r="N517" s="564"/>
      <c r="O517" s="564"/>
      <c r="P517" s="564"/>
      <c r="Q517" s="564"/>
      <c r="R517" s="564"/>
      <c r="S517" s="564"/>
      <c r="T517" s="564"/>
      <c r="U517" s="564"/>
      <c r="V517" s="564"/>
      <c r="W517" s="564"/>
      <c r="X517" s="564"/>
      <c r="Y517" s="564"/>
      <c r="Z517" s="564"/>
      <c r="AA517" s="564"/>
      <c r="AB517" s="556"/>
      <c r="AC517" s="556"/>
      <c r="AD517" s="74"/>
      <c r="AE517" s="74"/>
      <c r="AF517" s="74"/>
      <c r="AG517" s="74"/>
      <c r="AH517" s="74"/>
      <c r="AI517" s="74"/>
      <c r="AJ517" s="74"/>
      <c r="AK517" s="74"/>
      <c r="AL517" s="74"/>
      <c r="AM517" s="74"/>
      <c r="AN517" s="74"/>
      <c r="AO517" s="74"/>
      <c r="AP517" s="74"/>
      <c r="AQ517" s="74"/>
      <c r="AR517" s="74"/>
      <c r="AS517" s="565"/>
      <c r="AT517" s="556"/>
      <c r="AU517" s="700"/>
    </row>
    <row r="518" spans="1:47" hidden="1" x14ac:dyDescent="0.45">
      <c r="A518" s="556"/>
      <c r="B518" s="556"/>
      <c r="C518" s="556"/>
      <c r="D518" s="556"/>
      <c r="E518" s="556"/>
      <c r="F518" s="564"/>
      <c r="G518" s="564"/>
      <c r="H518" s="564"/>
      <c r="I518" s="564"/>
      <c r="J518" s="564"/>
      <c r="K518" s="564"/>
      <c r="L518" s="564"/>
      <c r="M518" s="564"/>
      <c r="N518" s="564"/>
      <c r="O518" s="564"/>
      <c r="P518" s="564"/>
      <c r="Q518" s="564"/>
      <c r="R518" s="564"/>
      <c r="S518" s="564"/>
      <c r="T518" s="564"/>
      <c r="U518" s="564"/>
      <c r="V518" s="564"/>
      <c r="W518" s="564"/>
      <c r="X518" s="564"/>
      <c r="Y518" s="564"/>
      <c r="Z518" s="564"/>
      <c r="AA518" s="564"/>
      <c r="AB518" s="556"/>
      <c r="AC518" s="556"/>
      <c r="AD518" s="74"/>
      <c r="AE518" s="74"/>
      <c r="AF518" s="74"/>
      <c r="AG518" s="74"/>
      <c r="AH518" s="74"/>
      <c r="AI518" s="74"/>
      <c r="AJ518" s="74"/>
      <c r="AK518" s="74"/>
      <c r="AL518" s="74"/>
      <c r="AM518" s="74"/>
      <c r="AN518" s="74"/>
      <c r="AO518" s="74"/>
      <c r="AP518" s="74"/>
      <c r="AQ518" s="74"/>
      <c r="AR518" s="74"/>
      <c r="AS518" s="565"/>
      <c r="AT518" s="556"/>
      <c r="AU518" s="700"/>
    </row>
    <row r="519" spans="1:47" hidden="1" x14ac:dyDescent="0.45">
      <c r="A519" s="556"/>
      <c r="B519" s="556"/>
      <c r="C519" s="556"/>
      <c r="D519" s="556"/>
      <c r="E519" s="556"/>
      <c r="F519" s="564"/>
      <c r="G519" s="564"/>
      <c r="H519" s="564"/>
      <c r="I519" s="564"/>
      <c r="J519" s="564"/>
      <c r="K519" s="564"/>
      <c r="L519" s="564"/>
      <c r="M519" s="564"/>
      <c r="N519" s="564"/>
      <c r="O519" s="564"/>
      <c r="P519" s="564"/>
      <c r="Q519" s="564"/>
      <c r="R519" s="564"/>
      <c r="S519" s="564"/>
      <c r="T519" s="564"/>
      <c r="U519" s="564"/>
      <c r="V519" s="564"/>
      <c r="W519" s="564"/>
      <c r="X519" s="564"/>
      <c r="Y519" s="564"/>
      <c r="Z519" s="564"/>
      <c r="AA519" s="564"/>
      <c r="AB519" s="556"/>
      <c r="AC519" s="556"/>
      <c r="AD519" s="74"/>
      <c r="AE519" s="74"/>
      <c r="AF519" s="74"/>
      <c r="AG519" s="74"/>
      <c r="AH519" s="74"/>
      <c r="AI519" s="74"/>
      <c r="AJ519" s="74"/>
      <c r="AK519" s="74"/>
      <c r="AL519" s="74"/>
      <c r="AM519" s="74"/>
      <c r="AN519" s="74"/>
      <c r="AO519" s="74"/>
      <c r="AP519" s="74"/>
      <c r="AQ519" s="74"/>
      <c r="AR519" s="74"/>
      <c r="AS519" s="565"/>
      <c r="AT519" s="556"/>
      <c r="AU519" s="700"/>
    </row>
    <row r="520" spans="1:47" hidden="1" x14ac:dyDescent="0.45">
      <c r="A520" s="556"/>
      <c r="B520" s="556"/>
      <c r="C520" s="556"/>
      <c r="D520" s="556"/>
      <c r="E520" s="556"/>
      <c r="F520" s="564"/>
      <c r="G520" s="564"/>
      <c r="H520" s="564"/>
      <c r="I520" s="564"/>
      <c r="J520" s="564"/>
      <c r="K520" s="564"/>
      <c r="L520" s="564"/>
      <c r="M520" s="564"/>
      <c r="N520" s="564"/>
      <c r="O520" s="564"/>
      <c r="P520" s="564"/>
      <c r="Q520" s="564"/>
      <c r="R520" s="564"/>
      <c r="S520" s="564"/>
      <c r="T520" s="564"/>
      <c r="U520" s="564"/>
      <c r="V520" s="564"/>
      <c r="W520" s="564"/>
      <c r="X520" s="564"/>
      <c r="Y520" s="564"/>
      <c r="Z520" s="564"/>
      <c r="AA520" s="564"/>
      <c r="AB520" s="556"/>
      <c r="AC520" s="556"/>
      <c r="AD520" s="74"/>
      <c r="AE520" s="74"/>
      <c r="AF520" s="74"/>
      <c r="AG520" s="74"/>
      <c r="AH520" s="74"/>
      <c r="AI520" s="74"/>
      <c r="AJ520" s="74"/>
      <c r="AK520" s="74"/>
      <c r="AL520" s="74"/>
      <c r="AM520" s="74"/>
      <c r="AN520" s="74"/>
      <c r="AO520" s="74"/>
      <c r="AP520" s="74"/>
      <c r="AQ520" s="74"/>
      <c r="AR520" s="74"/>
      <c r="AS520" s="565"/>
      <c r="AT520" s="556"/>
      <c r="AU520" s="700"/>
    </row>
    <row r="521" spans="1:47" hidden="1" x14ac:dyDescent="0.45">
      <c r="A521" s="556"/>
      <c r="B521" s="556"/>
      <c r="C521" s="556"/>
      <c r="D521" s="556"/>
      <c r="E521" s="556"/>
      <c r="F521" s="564"/>
      <c r="G521" s="564"/>
      <c r="H521" s="564"/>
      <c r="I521" s="564"/>
      <c r="J521" s="564"/>
      <c r="K521" s="564"/>
      <c r="L521" s="564"/>
      <c r="M521" s="564"/>
      <c r="N521" s="564"/>
      <c r="O521" s="564"/>
      <c r="P521" s="564"/>
      <c r="Q521" s="564"/>
      <c r="R521" s="564"/>
      <c r="S521" s="564"/>
      <c r="T521" s="564"/>
      <c r="U521" s="564"/>
      <c r="V521" s="564"/>
      <c r="W521" s="564"/>
      <c r="X521" s="564"/>
      <c r="Y521" s="564"/>
      <c r="Z521" s="564"/>
      <c r="AA521" s="564"/>
      <c r="AB521" s="556"/>
      <c r="AC521" s="556"/>
      <c r="AD521" s="74"/>
      <c r="AE521" s="74"/>
      <c r="AF521" s="74"/>
      <c r="AG521" s="74"/>
      <c r="AH521" s="74"/>
      <c r="AI521" s="74"/>
      <c r="AJ521" s="74"/>
      <c r="AK521" s="74"/>
      <c r="AL521" s="74"/>
      <c r="AM521" s="74"/>
      <c r="AN521" s="74"/>
      <c r="AO521" s="74"/>
      <c r="AP521" s="74"/>
      <c r="AQ521" s="74"/>
      <c r="AR521" s="74"/>
      <c r="AS521" s="565"/>
      <c r="AT521" s="556"/>
      <c r="AU521" s="700"/>
    </row>
    <row r="522" spans="1:47" hidden="1" x14ac:dyDescent="0.45">
      <c r="A522" s="556"/>
      <c r="B522" s="556"/>
      <c r="C522" s="556"/>
      <c r="D522" s="556"/>
      <c r="E522" s="556"/>
      <c r="F522" s="564"/>
      <c r="G522" s="564"/>
      <c r="H522" s="564"/>
      <c r="I522" s="564"/>
      <c r="J522" s="564"/>
      <c r="K522" s="564"/>
      <c r="L522" s="564"/>
      <c r="M522" s="564"/>
      <c r="N522" s="564"/>
      <c r="O522" s="564"/>
      <c r="P522" s="564"/>
      <c r="Q522" s="564"/>
      <c r="R522" s="564"/>
      <c r="S522" s="564"/>
      <c r="T522" s="564"/>
      <c r="U522" s="564"/>
      <c r="V522" s="564"/>
      <c r="W522" s="564"/>
      <c r="X522" s="564"/>
      <c r="Y522" s="564"/>
      <c r="Z522" s="564"/>
      <c r="AA522" s="564"/>
      <c r="AB522" s="556"/>
      <c r="AC522" s="556"/>
      <c r="AD522" s="74"/>
      <c r="AE522" s="74"/>
      <c r="AF522" s="74"/>
      <c r="AG522" s="74"/>
      <c r="AH522" s="74"/>
      <c r="AI522" s="74"/>
      <c r="AJ522" s="74"/>
      <c r="AK522" s="74"/>
      <c r="AL522" s="74"/>
      <c r="AM522" s="74"/>
      <c r="AN522" s="74"/>
      <c r="AO522" s="74"/>
      <c r="AP522" s="74"/>
      <c r="AQ522" s="74"/>
      <c r="AR522" s="74"/>
      <c r="AS522" s="565"/>
      <c r="AT522" s="556"/>
      <c r="AU522" s="700"/>
    </row>
    <row r="523" spans="1:47" hidden="1" x14ac:dyDescent="0.45">
      <c r="A523" s="556"/>
      <c r="B523" s="556"/>
      <c r="C523" s="556"/>
      <c r="D523" s="556"/>
      <c r="E523" s="556"/>
      <c r="F523" s="564"/>
      <c r="G523" s="564"/>
      <c r="H523" s="564"/>
      <c r="I523" s="564"/>
      <c r="J523" s="564"/>
      <c r="K523" s="564"/>
      <c r="L523" s="564"/>
      <c r="M523" s="564"/>
      <c r="N523" s="564"/>
      <c r="O523" s="564"/>
      <c r="P523" s="564"/>
      <c r="Q523" s="564"/>
      <c r="R523" s="564"/>
      <c r="S523" s="564"/>
      <c r="T523" s="564"/>
      <c r="U523" s="564"/>
      <c r="V523" s="564"/>
      <c r="W523" s="564"/>
      <c r="X523" s="564"/>
      <c r="Y523" s="564"/>
      <c r="Z523" s="564"/>
      <c r="AA523" s="564"/>
      <c r="AB523" s="556"/>
      <c r="AC523" s="556"/>
      <c r="AD523" s="74"/>
      <c r="AE523" s="74"/>
      <c r="AF523" s="74"/>
      <c r="AG523" s="74"/>
      <c r="AH523" s="74"/>
      <c r="AI523" s="74"/>
      <c r="AJ523" s="74"/>
      <c r="AK523" s="74"/>
      <c r="AL523" s="74"/>
      <c r="AM523" s="74"/>
      <c r="AN523" s="74"/>
      <c r="AO523" s="74"/>
      <c r="AP523" s="74"/>
      <c r="AQ523" s="74"/>
      <c r="AR523" s="74"/>
      <c r="AS523" s="565"/>
      <c r="AT523" s="556"/>
      <c r="AU523" s="700"/>
    </row>
    <row r="524" spans="1:47" hidden="1" x14ac:dyDescent="0.45">
      <c r="A524" s="556"/>
      <c r="B524" s="556"/>
      <c r="C524" s="556"/>
      <c r="D524" s="556"/>
      <c r="E524" s="556"/>
      <c r="F524" s="564"/>
      <c r="G524" s="564"/>
      <c r="H524" s="564"/>
      <c r="I524" s="564"/>
      <c r="J524" s="564"/>
      <c r="K524" s="564"/>
      <c r="L524" s="564"/>
      <c r="M524" s="564"/>
      <c r="N524" s="564"/>
      <c r="O524" s="564"/>
      <c r="P524" s="564"/>
      <c r="Q524" s="564"/>
      <c r="R524" s="564"/>
      <c r="S524" s="564"/>
      <c r="T524" s="564"/>
      <c r="U524" s="564"/>
      <c r="V524" s="564"/>
      <c r="W524" s="564"/>
      <c r="X524" s="564"/>
      <c r="Y524" s="564"/>
      <c r="Z524" s="564"/>
      <c r="AA524" s="564"/>
      <c r="AB524" s="556"/>
      <c r="AC524" s="556"/>
      <c r="AD524" s="74"/>
      <c r="AE524" s="74"/>
      <c r="AF524" s="74"/>
      <c r="AG524" s="74"/>
      <c r="AH524" s="74"/>
      <c r="AI524" s="74"/>
      <c r="AJ524" s="74"/>
      <c r="AK524" s="74"/>
      <c r="AL524" s="74"/>
      <c r="AM524" s="74"/>
      <c r="AN524" s="74"/>
      <c r="AO524" s="74"/>
      <c r="AP524" s="74"/>
      <c r="AQ524" s="74"/>
      <c r="AR524" s="74"/>
      <c r="AS524" s="565"/>
      <c r="AT524" s="556"/>
      <c r="AU524" s="700"/>
    </row>
    <row r="525" spans="1:47" hidden="1" x14ac:dyDescent="0.45">
      <c r="A525" s="556"/>
      <c r="B525" s="556"/>
      <c r="C525" s="556"/>
      <c r="D525" s="556"/>
      <c r="E525" s="556"/>
      <c r="F525" s="564"/>
      <c r="G525" s="564"/>
      <c r="H525" s="564"/>
      <c r="I525" s="564"/>
      <c r="J525" s="564"/>
      <c r="K525" s="564"/>
      <c r="L525" s="564"/>
      <c r="M525" s="564"/>
      <c r="N525" s="564"/>
      <c r="O525" s="564"/>
      <c r="P525" s="564"/>
      <c r="Q525" s="564"/>
      <c r="R525" s="564"/>
      <c r="S525" s="564"/>
      <c r="T525" s="564"/>
      <c r="U525" s="564"/>
      <c r="V525" s="564"/>
      <c r="W525" s="564"/>
      <c r="X525" s="564"/>
      <c r="Y525" s="564"/>
      <c r="Z525" s="564"/>
      <c r="AA525" s="564"/>
      <c r="AB525" s="556"/>
      <c r="AC525" s="556"/>
      <c r="AD525" s="74"/>
      <c r="AE525" s="74"/>
      <c r="AF525" s="74"/>
      <c r="AG525" s="74"/>
      <c r="AH525" s="74"/>
      <c r="AI525" s="74"/>
      <c r="AJ525" s="74"/>
      <c r="AK525" s="74"/>
      <c r="AL525" s="74"/>
      <c r="AM525" s="74"/>
      <c r="AN525" s="74"/>
      <c r="AO525" s="74"/>
      <c r="AP525" s="74"/>
      <c r="AQ525" s="74"/>
      <c r="AR525" s="74"/>
      <c r="AS525" s="565"/>
      <c r="AT525" s="556"/>
      <c r="AU525" s="700"/>
    </row>
    <row r="526" spans="1:47" hidden="1" x14ac:dyDescent="0.45">
      <c r="A526" s="556"/>
      <c r="B526" s="556"/>
      <c r="C526" s="556"/>
      <c r="D526" s="556"/>
      <c r="E526" s="556"/>
      <c r="F526" s="564"/>
      <c r="G526" s="564"/>
      <c r="H526" s="564"/>
      <c r="I526" s="564"/>
      <c r="J526" s="564"/>
      <c r="K526" s="564"/>
      <c r="L526" s="564"/>
      <c r="M526" s="564"/>
      <c r="N526" s="564"/>
      <c r="O526" s="564"/>
      <c r="P526" s="564"/>
      <c r="Q526" s="564"/>
      <c r="R526" s="564"/>
      <c r="S526" s="564"/>
      <c r="T526" s="564"/>
      <c r="U526" s="564"/>
      <c r="V526" s="564"/>
      <c r="W526" s="564"/>
      <c r="X526" s="564"/>
      <c r="Y526" s="564"/>
      <c r="Z526" s="564"/>
      <c r="AA526" s="564"/>
      <c r="AB526" s="556"/>
      <c r="AC526" s="556"/>
      <c r="AD526" s="74"/>
      <c r="AE526" s="74"/>
      <c r="AF526" s="74"/>
      <c r="AG526" s="74"/>
      <c r="AH526" s="74"/>
      <c r="AI526" s="74"/>
      <c r="AJ526" s="74"/>
      <c r="AK526" s="74"/>
      <c r="AL526" s="74"/>
      <c r="AM526" s="74"/>
      <c r="AN526" s="74"/>
      <c r="AO526" s="74"/>
      <c r="AP526" s="74"/>
      <c r="AQ526" s="74"/>
      <c r="AR526" s="74"/>
      <c r="AS526" s="565"/>
      <c r="AT526" s="556"/>
      <c r="AU526" s="700"/>
    </row>
    <row r="527" spans="1:47" hidden="1" x14ac:dyDescent="0.45">
      <c r="A527" s="556"/>
      <c r="B527" s="556"/>
      <c r="C527" s="556"/>
      <c r="D527" s="556"/>
      <c r="E527" s="556"/>
      <c r="F527" s="564"/>
      <c r="G527" s="564"/>
      <c r="H527" s="564"/>
      <c r="I527" s="564"/>
      <c r="J527" s="564"/>
      <c r="K527" s="564"/>
      <c r="L527" s="564"/>
      <c r="M527" s="564"/>
      <c r="N527" s="564"/>
      <c r="O527" s="564"/>
      <c r="P527" s="564"/>
      <c r="Q527" s="564"/>
      <c r="R527" s="564"/>
      <c r="S527" s="564"/>
      <c r="T527" s="564"/>
      <c r="U527" s="564"/>
      <c r="V527" s="564"/>
      <c r="W527" s="564"/>
      <c r="X527" s="564"/>
      <c r="Y527" s="564"/>
      <c r="Z527" s="564"/>
      <c r="AA527" s="564"/>
      <c r="AB527" s="556"/>
      <c r="AC527" s="556"/>
      <c r="AD527" s="74"/>
      <c r="AE527" s="74"/>
      <c r="AF527" s="74"/>
      <c r="AG527" s="74"/>
      <c r="AH527" s="74"/>
      <c r="AI527" s="74"/>
      <c r="AJ527" s="74"/>
      <c r="AK527" s="74"/>
      <c r="AL527" s="74"/>
      <c r="AM527" s="74"/>
      <c r="AN527" s="74"/>
      <c r="AO527" s="74"/>
      <c r="AP527" s="74"/>
      <c r="AQ527" s="74"/>
      <c r="AR527" s="74"/>
      <c r="AS527" s="565"/>
      <c r="AT527" s="556"/>
      <c r="AU527" s="700"/>
    </row>
    <row r="528" spans="1:47" hidden="1" x14ac:dyDescent="0.45">
      <c r="A528" s="556"/>
      <c r="B528" s="556"/>
      <c r="C528" s="556"/>
      <c r="D528" s="556"/>
      <c r="E528" s="556"/>
      <c r="F528" s="564"/>
      <c r="G528" s="564"/>
      <c r="H528" s="564"/>
      <c r="I528" s="564"/>
      <c r="J528" s="564"/>
      <c r="K528" s="564"/>
      <c r="L528" s="564"/>
      <c r="M528" s="564"/>
      <c r="N528" s="564"/>
      <c r="O528" s="564"/>
      <c r="P528" s="564"/>
      <c r="Q528" s="564"/>
      <c r="R528" s="564"/>
      <c r="S528" s="564"/>
      <c r="T528" s="564"/>
      <c r="U528" s="564"/>
      <c r="V528" s="564"/>
      <c r="W528" s="564"/>
      <c r="X528" s="564"/>
      <c r="Y528" s="564"/>
      <c r="Z528" s="564"/>
      <c r="AA528" s="564"/>
      <c r="AB528" s="556"/>
      <c r="AC528" s="556"/>
      <c r="AD528" s="74"/>
      <c r="AE528" s="74"/>
      <c r="AF528" s="74"/>
      <c r="AG528" s="74"/>
      <c r="AH528" s="74"/>
      <c r="AI528" s="74"/>
      <c r="AJ528" s="74"/>
      <c r="AK528" s="74"/>
      <c r="AL528" s="74"/>
      <c r="AM528" s="74"/>
      <c r="AN528" s="74"/>
      <c r="AO528" s="74"/>
      <c r="AP528" s="74"/>
      <c r="AQ528" s="74"/>
      <c r="AR528" s="74"/>
      <c r="AS528" s="565"/>
      <c r="AT528" s="556"/>
      <c r="AU528" s="700"/>
    </row>
    <row r="529" spans="1:47" hidden="1" x14ac:dyDescent="0.45">
      <c r="A529" s="556"/>
      <c r="B529" s="556"/>
      <c r="C529" s="556"/>
      <c r="D529" s="556"/>
      <c r="E529" s="556"/>
      <c r="F529" s="564"/>
      <c r="G529" s="564"/>
      <c r="H529" s="564"/>
      <c r="I529" s="564"/>
      <c r="J529" s="564"/>
      <c r="K529" s="564"/>
      <c r="L529" s="564"/>
      <c r="M529" s="564"/>
      <c r="N529" s="564"/>
      <c r="O529" s="564"/>
      <c r="P529" s="564"/>
      <c r="Q529" s="564"/>
      <c r="R529" s="564"/>
      <c r="S529" s="564"/>
      <c r="T529" s="564"/>
      <c r="U529" s="564"/>
      <c r="V529" s="564"/>
      <c r="W529" s="564"/>
      <c r="X529" s="564"/>
      <c r="Y529" s="564"/>
      <c r="Z529" s="564"/>
      <c r="AA529" s="564"/>
      <c r="AB529" s="556"/>
      <c r="AC529" s="556"/>
      <c r="AD529" s="74"/>
      <c r="AE529" s="74"/>
      <c r="AF529" s="74"/>
      <c r="AG529" s="74"/>
      <c r="AH529" s="74"/>
      <c r="AI529" s="74"/>
      <c r="AJ529" s="74"/>
      <c r="AK529" s="74"/>
      <c r="AL529" s="74"/>
      <c r="AM529" s="74"/>
      <c r="AN529" s="74"/>
      <c r="AO529" s="74"/>
      <c r="AP529" s="74"/>
      <c r="AQ529" s="74"/>
      <c r="AR529" s="74"/>
      <c r="AS529" s="565"/>
      <c r="AT529" s="556"/>
      <c r="AU529" s="700"/>
    </row>
    <row r="530" spans="1:47" hidden="1" x14ac:dyDescent="0.45">
      <c r="A530" s="556"/>
      <c r="B530" s="556"/>
      <c r="C530" s="556"/>
      <c r="D530" s="556"/>
      <c r="E530" s="556"/>
      <c r="F530" s="564"/>
      <c r="G530" s="564"/>
      <c r="H530" s="564"/>
      <c r="I530" s="564"/>
      <c r="J530" s="564"/>
      <c r="K530" s="564"/>
      <c r="L530" s="564"/>
      <c r="M530" s="564"/>
      <c r="N530" s="564"/>
      <c r="O530" s="564"/>
      <c r="P530" s="564"/>
      <c r="Q530" s="564"/>
      <c r="R530" s="564"/>
      <c r="S530" s="564"/>
      <c r="T530" s="564"/>
      <c r="U530" s="564"/>
      <c r="V530" s="564"/>
      <c r="W530" s="564"/>
      <c r="X530" s="564"/>
      <c r="Y530" s="564"/>
      <c r="Z530" s="564"/>
      <c r="AA530" s="564"/>
      <c r="AB530" s="556"/>
      <c r="AC530" s="556"/>
      <c r="AD530" s="74"/>
      <c r="AE530" s="74"/>
      <c r="AF530" s="74"/>
      <c r="AG530" s="74"/>
      <c r="AH530" s="74"/>
      <c r="AI530" s="74"/>
      <c r="AJ530" s="74"/>
      <c r="AK530" s="74"/>
      <c r="AL530" s="74"/>
      <c r="AM530" s="74"/>
      <c r="AN530" s="74"/>
      <c r="AO530" s="74"/>
      <c r="AP530" s="74"/>
      <c r="AQ530" s="74"/>
      <c r="AR530" s="74"/>
      <c r="AS530" s="565"/>
      <c r="AT530" s="556"/>
      <c r="AU530" s="700"/>
    </row>
    <row r="531" spans="1:47" hidden="1" x14ac:dyDescent="0.45">
      <c r="A531" s="556"/>
      <c r="B531" s="556"/>
      <c r="C531" s="556"/>
      <c r="D531" s="556"/>
      <c r="E531" s="556"/>
      <c r="F531" s="564"/>
      <c r="G531" s="564"/>
      <c r="H531" s="564"/>
      <c r="I531" s="564"/>
      <c r="J531" s="564"/>
      <c r="K531" s="564"/>
      <c r="L531" s="564"/>
      <c r="M531" s="564"/>
      <c r="N531" s="564"/>
      <c r="O531" s="564"/>
      <c r="P531" s="564"/>
      <c r="Q531" s="564"/>
      <c r="R531" s="564"/>
      <c r="S531" s="564"/>
      <c r="T531" s="564"/>
      <c r="U531" s="564"/>
      <c r="V531" s="564"/>
      <c r="W531" s="564"/>
      <c r="X531" s="564"/>
      <c r="Y531" s="564"/>
      <c r="Z531" s="564"/>
      <c r="AA531" s="564"/>
      <c r="AB531" s="556"/>
      <c r="AC531" s="556"/>
      <c r="AD531" s="74"/>
      <c r="AE531" s="74"/>
      <c r="AF531" s="74"/>
      <c r="AG531" s="74"/>
      <c r="AH531" s="74"/>
      <c r="AI531" s="74"/>
      <c r="AJ531" s="74"/>
      <c r="AK531" s="74"/>
      <c r="AL531" s="74"/>
      <c r="AM531" s="74"/>
      <c r="AN531" s="74"/>
      <c r="AO531" s="74"/>
      <c r="AP531" s="74"/>
      <c r="AQ531" s="74"/>
      <c r="AR531" s="74"/>
      <c r="AS531" s="565"/>
      <c r="AT531" s="556"/>
      <c r="AU531" s="700"/>
    </row>
    <row r="532" spans="1:47" hidden="1" x14ac:dyDescent="0.45">
      <c r="A532" s="556"/>
      <c r="B532" s="556"/>
      <c r="C532" s="556"/>
      <c r="D532" s="556"/>
      <c r="E532" s="556"/>
      <c r="F532" s="564"/>
      <c r="G532" s="564"/>
      <c r="H532" s="564"/>
      <c r="I532" s="564"/>
      <c r="J532" s="564"/>
      <c r="K532" s="564"/>
      <c r="L532" s="564"/>
      <c r="M532" s="564"/>
      <c r="N532" s="564"/>
      <c r="O532" s="564"/>
      <c r="P532" s="564"/>
      <c r="Q532" s="564"/>
      <c r="R532" s="564"/>
      <c r="S532" s="564"/>
      <c r="T532" s="564"/>
      <c r="U532" s="564"/>
      <c r="V532" s="564"/>
      <c r="W532" s="564"/>
      <c r="X532" s="564"/>
      <c r="Y532" s="564"/>
      <c r="Z532" s="564"/>
      <c r="AA532" s="564"/>
      <c r="AB532" s="556"/>
      <c r="AC532" s="556"/>
      <c r="AD532" s="74"/>
      <c r="AE532" s="74"/>
      <c r="AF532" s="74"/>
      <c r="AG532" s="74"/>
      <c r="AH532" s="74"/>
      <c r="AI532" s="74"/>
      <c r="AJ532" s="74"/>
      <c r="AK532" s="74"/>
      <c r="AL532" s="74"/>
      <c r="AM532" s="74"/>
      <c r="AN532" s="74"/>
      <c r="AO532" s="74"/>
      <c r="AP532" s="74"/>
      <c r="AQ532" s="74"/>
      <c r="AR532" s="74"/>
      <c r="AS532" s="565"/>
      <c r="AT532" s="556"/>
      <c r="AU532" s="700"/>
    </row>
    <row r="533" spans="1:47" hidden="1" x14ac:dyDescent="0.45">
      <c r="A533" s="556"/>
      <c r="B533" s="556"/>
      <c r="C533" s="556"/>
      <c r="D533" s="556"/>
      <c r="E533" s="556"/>
      <c r="F533" s="564"/>
      <c r="G533" s="564"/>
      <c r="H533" s="564"/>
      <c r="I533" s="564"/>
      <c r="J533" s="564"/>
      <c r="K533" s="564"/>
      <c r="L533" s="564"/>
      <c r="M533" s="564"/>
      <c r="N533" s="564"/>
      <c r="O533" s="564"/>
      <c r="P533" s="564"/>
      <c r="Q533" s="564"/>
      <c r="R533" s="564"/>
      <c r="S533" s="564"/>
      <c r="T533" s="564"/>
      <c r="U533" s="564"/>
      <c r="V533" s="564"/>
      <c r="W533" s="564"/>
      <c r="X533" s="564"/>
      <c r="Y533" s="564"/>
      <c r="Z533" s="564"/>
      <c r="AA533" s="564"/>
      <c r="AB533" s="556"/>
      <c r="AC533" s="556"/>
      <c r="AD533" s="74"/>
      <c r="AE533" s="74"/>
      <c r="AF533" s="74"/>
      <c r="AG533" s="74"/>
      <c r="AH533" s="74"/>
      <c r="AI533" s="74"/>
      <c r="AJ533" s="74"/>
      <c r="AK533" s="74"/>
      <c r="AL533" s="74"/>
      <c r="AM533" s="74"/>
      <c r="AN533" s="74"/>
      <c r="AO533" s="74"/>
      <c r="AP533" s="74"/>
      <c r="AQ533" s="74"/>
      <c r="AR533" s="74"/>
      <c r="AS533" s="565"/>
      <c r="AT533" s="556"/>
      <c r="AU533" s="700"/>
    </row>
    <row r="534" spans="1:47" hidden="1" x14ac:dyDescent="0.45">
      <c r="A534" s="556"/>
      <c r="B534" s="556"/>
      <c r="C534" s="556"/>
      <c r="D534" s="556"/>
      <c r="E534" s="556"/>
      <c r="F534" s="564"/>
      <c r="G534" s="564"/>
      <c r="H534" s="564"/>
      <c r="I534" s="564"/>
      <c r="J534" s="564"/>
      <c r="K534" s="564"/>
      <c r="L534" s="564"/>
      <c r="M534" s="564"/>
      <c r="N534" s="564"/>
      <c r="O534" s="564"/>
      <c r="P534" s="564"/>
      <c r="Q534" s="564"/>
      <c r="R534" s="564"/>
      <c r="S534" s="564"/>
      <c r="T534" s="564"/>
      <c r="U534" s="564"/>
      <c r="V534" s="564"/>
      <c r="W534" s="564"/>
      <c r="X534" s="564"/>
      <c r="Y534" s="564"/>
      <c r="Z534" s="564"/>
      <c r="AA534" s="564"/>
      <c r="AB534" s="556"/>
      <c r="AC534" s="556"/>
      <c r="AD534" s="74"/>
      <c r="AE534" s="74"/>
      <c r="AF534" s="74"/>
      <c r="AG534" s="74"/>
      <c r="AH534" s="74"/>
      <c r="AI534" s="74"/>
      <c r="AJ534" s="74"/>
      <c r="AK534" s="74"/>
      <c r="AL534" s="74"/>
      <c r="AM534" s="74"/>
      <c r="AN534" s="74"/>
      <c r="AO534" s="74"/>
      <c r="AP534" s="74"/>
      <c r="AQ534" s="74"/>
      <c r="AR534" s="74"/>
      <c r="AS534" s="565"/>
      <c r="AT534" s="556"/>
      <c r="AU534" s="700"/>
    </row>
    <row r="535" spans="1:47" hidden="1" x14ac:dyDescent="0.45">
      <c r="A535" s="556"/>
      <c r="B535" s="556"/>
      <c r="C535" s="556"/>
      <c r="D535" s="556"/>
      <c r="E535" s="556"/>
      <c r="F535" s="564"/>
      <c r="G535" s="564"/>
      <c r="H535" s="564"/>
      <c r="I535" s="564"/>
      <c r="J535" s="564"/>
      <c r="K535" s="564"/>
      <c r="L535" s="564"/>
      <c r="M535" s="564"/>
      <c r="N535" s="564"/>
      <c r="O535" s="564"/>
      <c r="P535" s="564"/>
      <c r="Q535" s="564"/>
      <c r="R535" s="564"/>
      <c r="S535" s="564"/>
      <c r="T535" s="564"/>
      <c r="U535" s="564"/>
      <c r="V535" s="564"/>
      <c r="W535" s="564"/>
      <c r="X535" s="564"/>
      <c r="Y535" s="564"/>
      <c r="Z535" s="564"/>
      <c r="AA535" s="564"/>
      <c r="AB535" s="556"/>
      <c r="AC535" s="556"/>
      <c r="AD535" s="74"/>
      <c r="AE535" s="74"/>
      <c r="AF535" s="74"/>
      <c r="AG535" s="74"/>
      <c r="AH535" s="74"/>
      <c r="AI535" s="74"/>
      <c r="AJ535" s="74"/>
      <c r="AK535" s="74"/>
      <c r="AL535" s="74"/>
      <c r="AM535" s="74"/>
      <c r="AN535" s="74"/>
      <c r="AO535" s="74"/>
      <c r="AP535" s="74"/>
      <c r="AQ535" s="74"/>
      <c r="AR535" s="74"/>
      <c r="AS535" s="565"/>
      <c r="AT535" s="556"/>
      <c r="AU535" s="700"/>
    </row>
    <row r="536" spans="1:47" hidden="1" x14ac:dyDescent="0.45">
      <c r="A536" s="556"/>
      <c r="B536" s="556"/>
      <c r="C536" s="556"/>
      <c r="D536" s="556"/>
      <c r="E536" s="556"/>
      <c r="F536" s="564"/>
      <c r="G536" s="564"/>
      <c r="H536" s="564"/>
      <c r="I536" s="564"/>
      <c r="J536" s="564"/>
      <c r="K536" s="564"/>
      <c r="L536" s="564"/>
      <c r="M536" s="564"/>
      <c r="N536" s="564"/>
      <c r="O536" s="564"/>
      <c r="P536" s="564"/>
      <c r="Q536" s="564"/>
      <c r="R536" s="564"/>
      <c r="S536" s="564"/>
      <c r="T536" s="564"/>
      <c r="U536" s="564"/>
      <c r="V536" s="564"/>
      <c r="W536" s="564"/>
      <c r="X536" s="564"/>
      <c r="Y536" s="564"/>
      <c r="Z536" s="564"/>
      <c r="AA536" s="564"/>
      <c r="AB536" s="556"/>
      <c r="AC536" s="556"/>
      <c r="AD536" s="74"/>
      <c r="AE536" s="74"/>
      <c r="AF536" s="74"/>
      <c r="AG536" s="74"/>
      <c r="AH536" s="74"/>
      <c r="AI536" s="74"/>
      <c r="AJ536" s="74"/>
      <c r="AK536" s="74"/>
      <c r="AL536" s="74"/>
      <c r="AM536" s="74"/>
      <c r="AN536" s="74"/>
      <c r="AO536" s="74"/>
      <c r="AP536" s="74"/>
      <c r="AQ536" s="74"/>
      <c r="AR536" s="74"/>
      <c r="AS536" s="565"/>
      <c r="AT536" s="556"/>
      <c r="AU536" s="700"/>
    </row>
    <row r="537" spans="1:47" hidden="1" x14ac:dyDescent="0.45">
      <c r="A537" s="556"/>
      <c r="B537" s="556"/>
      <c r="C537" s="556"/>
      <c r="D537" s="556"/>
      <c r="E537" s="556"/>
      <c r="F537" s="564"/>
      <c r="G537" s="564"/>
      <c r="H537" s="564"/>
      <c r="I537" s="564"/>
      <c r="J537" s="564"/>
      <c r="K537" s="564"/>
      <c r="L537" s="564"/>
      <c r="M537" s="564"/>
      <c r="N537" s="564"/>
      <c r="O537" s="564"/>
      <c r="P537" s="564"/>
      <c r="Q537" s="564"/>
      <c r="R537" s="564"/>
      <c r="S537" s="564"/>
      <c r="T537" s="564"/>
      <c r="U537" s="564"/>
      <c r="V537" s="564"/>
      <c r="W537" s="564"/>
      <c r="X537" s="564"/>
      <c r="Y537" s="564"/>
      <c r="Z537" s="564"/>
      <c r="AA537" s="564"/>
      <c r="AB537" s="556"/>
      <c r="AC537" s="556"/>
      <c r="AD537" s="74"/>
      <c r="AE537" s="74"/>
      <c r="AF537" s="74"/>
      <c r="AG537" s="74"/>
      <c r="AH537" s="74"/>
      <c r="AI537" s="74"/>
      <c r="AJ537" s="74"/>
      <c r="AK537" s="74"/>
      <c r="AL537" s="74"/>
      <c r="AM537" s="74"/>
      <c r="AN537" s="74"/>
      <c r="AO537" s="74"/>
      <c r="AP537" s="74"/>
      <c r="AQ537" s="74"/>
      <c r="AR537" s="74"/>
      <c r="AS537" s="565"/>
      <c r="AT537" s="556"/>
      <c r="AU537" s="700"/>
    </row>
    <row r="538" spans="1:47" hidden="1" x14ac:dyDescent="0.45">
      <c r="A538" s="556"/>
      <c r="B538" s="556"/>
      <c r="C538" s="556"/>
      <c r="D538" s="556"/>
      <c r="E538" s="556"/>
      <c r="F538" s="564"/>
      <c r="G538" s="564"/>
      <c r="H538" s="564"/>
      <c r="I538" s="564"/>
      <c r="J538" s="564"/>
      <c r="K538" s="564"/>
      <c r="L538" s="564"/>
      <c r="M538" s="564"/>
      <c r="N538" s="564"/>
      <c r="O538" s="564"/>
      <c r="P538" s="564"/>
      <c r="Q538" s="564"/>
      <c r="R538" s="564"/>
      <c r="S538" s="564"/>
      <c r="T538" s="564"/>
      <c r="U538" s="564"/>
      <c r="V538" s="564"/>
      <c r="W538" s="564"/>
      <c r="X538" s="564"/>
      <c r="Y538" s="564"/>
      <c r="Z538" s="564"/>
      <c r="AA538" s="564"/>
      <c r="AB538" s="556"/>
      <c r="AC538" s="556"/>
      <c r="AD538" s="74"/>
      <c r="AE538" s="74"/>
      <c r="AF538" s="74"/>
      <c r="AG538" s="74"/>
      <c r="AH538" s="74"/>
      <c r="AI538" s="74"/>
      <c r="AJ538" s="74"/>
      <c r="AK538" s="74"/>
      <c r="AL538" s="74"/>
      <c r="AM538" s="74"/>
      <c r="AN538" s="74"/>
      <c r="AO538" s="74"/>
      <c r="AP538" s="74"/>
      <c r="AQ538" s="74"/>
      <c r="AR538" s="74"/>
      <c r="AS538" s="565"/>
      <c r="AT538" s="556"/>
      <c r="AU538" s="700"/>
    </row>
    <row r="539" spans="1:47" hidden="1" x14ac:dyDescent="0.45">
      <c r="A539" s="556"/>
      <c r="B539" s="556"/>
      <c r="C539" s="556"/>
      <c r="D539" s="556"/>
      <c r="E539" s="556"/>
      <c r="F539" s="564"/>
      <c r="G539" s="564"/>
      <c r="H539" s="564"/>
      <c r="I539" s="564"/>
      <c r="J539" s="564"/>
      <c r="K539" s="564"/>
      <c r="L539" s="564"/>
      <c r="M539" s="564"/>
      <c r="N539" s="564"/>
      <c r="O539" s="564"/>
      <c r="P539" s="564"/>
      <c r="Q539" s="564"/>
      <c r="R539" s="564"/>
      <c r="S539" s="564"/>
      <c r="T539" s="564"/>
      <c r="U539" s="564"/>
      <c r="V539" s="564"/>
      <c r="W539" s="564"/>
      <c r="X539" s="564"/>
      <c r="Y539" s="564"/>
      <c r="Z539" s="564"/>
      <c r="AA539" s="564"/>
      <c r="AB539" s="556"/>
      <c r="AC539" s="556"/>
      <c r="AD539" s="74"/>
      <c r="AE539" s="74"/>
      <c r="AF539" s="74"/>
      <c r="AG539" s="74"/>
      <c r="AH539" s="74"/>
      <c r="AI539" s="74"/>
      <c r="AJ539" s="74"/>
      <c r="AK539" s="74"/>
      <c r="AL539" s="74"/>
      <c r="AM539" s="74"/>
      <c r="AN539" s="74"/>
      <c r="AO539" s="74"/>
      <c r="AP539" s="74"/>
      <c r="AQ539" s="74"/>
      <c r="AR539" s="74"/>
      <c r="AS539" s="565"/>
      <c r="AT539" s="556"/>
      <c r="AU539" s="700"/>
    </row>
    <row r="540" spans="1:47" hidden="1" x14ac:dyDescent="0.45">
      <c r="A540" s="556"/>
      <c r="B540" s="556"/>
      <c r="C540" s="556"/>
      <c r="D540" s="556"/>
      <c r="E540" s="556"/>
      <c r="F540" s="564"/>
      <c r="G540" s="564"/>
      <c r="H540" s="564"/>
      <c r="I540" s="564"/>
      <c r="J540" s="564"/>
      <c r="K540" s="564"/>
      <c r="L540" s="564"/>
      <c r="M540" s="564"/>
      <c r="N540" s="564"/>
      <c r="O540" s="564"/>
      <c r="P540" s="564"/>
      <c r="Q540" s="564"/>
      <c r="R540" s="564"/>
      <c r="S540" s="564"/>
      <c r="T540" s="564"/>
      <c r="U540" s="564"/>
      <c r="V540" s="564"/>
      <c r="W540" s="564"/>
      <c r="X540" s="564"/>
      <c r="Y540" s="564"/>
      <c r="Z540" s="564"/>
      <c r="AA540" s="564"/>
      <c r="AB540" s="556"/>
      <c r="AC540" s="556"/>
      <c r="AD540" s="74"/>
      <c r="AE540" s="74"/>
      <c r="AF540" s="74"/>
      <c r="AG540" s="74"/>
      <c r="AH540" s="74"/>
      <c r="AI540" s="74"/>
      <c r="AJ540" s="74"/>
      <c r="AK540" s="74"/>
      <c r="AL540" s="74"/>
      <c r="AM540" s="74"/>
      <c r="AN540" s="74"/>
      <c r="AO540" s="74"/>
      <c r="AP540" s="74"/>
      <c r="AQ540" s="74"/>
      <c r="AR540" s="74"/>
      <c r="AS540" s="565"/>
      <c r="AT540" s="556"/>
      <c r="AU540" s="700"/>
    </row>
    <row r="541" spans="1:47" hidden="1" x14ac:dyDescent="0.45">
      <c r="A541" s="556"/>
      <c r="B541" s="556"/>
      <c r="C541" s="556"/>
      <c r="D541" s="556"/>
      <c r="E541" s="556"/>
      <c r="F541" s="564"/>
      <c r="G541" s="564"/>
      <c r="H541" s="564"/>
      <c r="I541" s="564"/>
      <c r="J541" s="564"/>
      <c r="K541" s="564"/>
      <c r="L541" s="564"/>
      <c r="M541" s="564"/>
      <c r="N541" s="564"/>
      <c r="O541" s="564"/>
      <c r="P541" s="564"/>
      <c r="Q541" s="564"/>
      <c r="R541" s="564"/>
      <c r="S541" s="564"/>
      <c r="T541" s="564"/>
      <c r="U541" s="564"/>
      <c r="V541" s="564"/>
      <c r="W541" s="564"/>
      <c r="X541" s="564"/>
      <c r="Y541" s="564"/>
      <c r="Z541" s="564"/>
      <c r="AA541" s="564"/>
      <c r="AB541" s="556"/>
      <c r="AC541" s="556"/>
      <c r="AD541" s="74"/>
      <c r="AE541" s="74"/>
      <c r="AF541" s="74"/>
      <c r="AG541" s="74"/>
      <c r="AH541" s="74"/>
      <c r="AI541" s="74"/>
      <c r="AJ541" s="74"/>
      <c r="AK541" s="74"/>
      <c r="AL541" s="74"/>
      <c r="AM541" s="74"/>
      <c r="AN541" s="74"/>
      <c r="AO541" s="74"/>
      <c r="AP541" s="74"/>
      <c r="AQ541" s="74"/>
      <c r="AR541" s="74"/>
      <c r="AS541" s="565"/>
      <c r="AT541" s="556"/>
      <c r="AU541" s="700"/>
    </row>
    <row r="542" spans="1:47" hidden="1" x14ac:dyDescent="0.45">
      <c r="A542" s="556"/>
      <c r="B542" s="556"/>
      <c r="C542" s="556"/>
      <c r="D542" s="556"/>
      <c r="E542" s="556"/>
      <c r="F542" s="564"/>
      <c r="G542" s="564"/>
      <c r="H542" s="564"/>
      <c r="I542" s="564"/>
      <c r="J542" s="564"/>
      <c r="K542" s="564"/>
      <c r="L542" s="564"/>
      <c r="M542" s="564"/>
      <c r="N542" s="564"/>
      <c r="O542" s="564"/>
      <c r="P542" s="564"/>
      <c r="Q542" s="564"/>
      <c r="R542" s="564"/>
      <c r="S542" s="564"/>
      <c r="T542" s="564"/>
      <c r="U542" s="564"/>
      <c r="V542" s="564"/>
      <c r="W542" s="564"/>
      <c r="X542" s="564"/>
      <c r="Y542" s="564"/>
      <c r="Z542" s="564"/>
      <c r="AA542" s="564"/>
      <c r="AB542" s="556"/>
      <c r="AC542" s="556"/>
      <c r="AD542" s="74"/>
      <c r="AE542" s="74"/>
      <c r="AF542" s="74"/>
      <c r="AG542" s="74"/>
      <c r="AH542" s="74"/>
      <c r="AI542" s="74"/>
      <c r="AJ542" s="74"/>
      <c r="AK542" s="74"/>
      <c r="AL542" s="74"/>
      <c r="AM542" s="74"/>
      <c r="AN542" s="74"/>
      <c r="AO542" s="74"/>
      <c r="AP542" s="74"/>
      <c r="AQ542" s="74"/>
      <c r="AR542" s="74"/>
      <c r="AS542" s="565"/>
      <c r="AT542" s="556"/>
      <c r="AU542" s="700"/>
    </row>
    <row r="543" spans="1:47" hidden="1" x14ac:dyDescent="0.45">
      <c r="A543" s="556"/>
      <c r="B543" s="556"/>
      <c r="C543" s="556"/>
      <c r="D543" s="556"/>
      <c r="E543" s="556"/>
      <c r="F543" s="564"/>
      <c r="G543" s="564"/>
      <c r="H543" s="564"/>
      <c r="I543" s="564"/>
      <c r="J543" s="564"/>
      <c r="K543" s="564"/>
      <c r="L543" s="564"/>
      <c r="M543" s="564"/>
      <c r="N543" s="564"/>
      <c r="O543" s="564"/>
      <c r="P543" s="564"/>
      <c r="Q543" s="564"/>
      <c r="R543" s="564"/>
      <c r="S543" s="564"/>
      <c r="T543" s="564"/>
      <c r="U543" s="564"/>
      <c r="V543" s="564"/>
      <c r="W543" s="564"/>
      <c r="X543" s="564"/>
      <c r="Y543" s="564"/>
      <c r="Z543" s="564"/>
      <c r="AA543" s="564"/>
      <c r="AB543" s="556"/>
      <c r="AC543" s="556"/>
      <c r="AD543" s="74"/>
      <c r="AE543" s="74"/>
      <c r="AF543" s="74"/>
      <c r="AG543" s="74"/>
      <c r="AH543" s="74"/>
      <c r="AI543" s="74"/>
      <c r="AJ543" s="74"/>
      <c r="AK543" s="74"/>
      <c r="AL543" s="74"/>
      <c r="AM543" s="74"/>
      <c r="AN543" s="74"/>
      <c r="AO543" s="74"/>
      <c r="AP543" s="74"/>
      <c r="AQ543" s="74"/>
      <c r="AR543" s="74"/>
      <c r="AS543" s="565"/>
      <c r="AT543" s="556"/>
      <c r="AU543" s="700"/>
    </row>
    <row r="544" spans="1:47" hidden="1" x14ac:dyDescent="0.45">
      <c r="A544" s="556"/>
      <c r="B544" s="556"/>
      <c r="C544" s="556"/>
      <c r="D544" s="556"/>
      <c r="E544" s="556"/>
      <c r="F544" s="564"/>
      <c r="G544" s="564"/>
      <c r="H544" s="564"/>
      <c r="I544" s="564"/>
      <c r="J544" s="564"/>
      <c r="K544" s="564"/>
      <c r="L544" s="564"/>
      <c r="M544" s="564"/>
      <c r="N544" s="564"/>
      <c r="O544" s="564"/>
      <c r="P544" s="564"/>
      <c r="Q544" s="564"/>
      <c r="R544" s="564"/>
      <c r="S544" s="564"/>
      <c r="T544" s="564"/>
      <c r="U544" s="564"/>
      <c r="V544" s="564"/>
      <c r="W544" s="564"/>
      <c r="X544" s="564"/>
      <c r="Y544" s="564"/>
      <c r="Z544" s="564"/>
      <c r="AA544" s="564"/>
      <c r="AB544" s="556"/>
      <c r="AC544" s="556"/>
      <c r="AD544" s="74"/>
      <c r="AE544" s="74"/>
      <c r="AF544" s="74"/>
      <c r="AG544" s="74"/>
      <c r="AH544" s="74"/>
      <c r="AI544" s="74"/>
      <c r="AJ544" s="74"/>
      <c r="AK544" s="74"/>
      <c r="AL544" s="74"/>
      <c r="AM544" s="74"/>
      <c r="AN544" s="74"/>
      <c r="AO544" s="74"/>
      <c r="AP544" s="74"/>
      <c r="AQ544" s="74"/>
      <c r="AR544" s="74"/>
      <c r="AS544" s="565"/>
      <c r="AT544" s="556"/>
      <c r="AU544" s="700"/>
    </row>
    <row r="545" spans="1:47" hidden="1" x14ac:dyDescent="0.45">
      <c r="A545" s="556"/>
      <c r="B545" s="556"/>
      <c r="C545" s="556"/>
      <c r="D545" s="556"/>
      <c r="E545" s="556"/>
      <c r="F545" s="564"/>
      <c r="G545" s="564"/>
      <c r="H545" s="564"/>
      <c r="I545" s="564"/>
      <c r="J545" s="564"/>
      <c r="K545" s="564"/>
      <c r="L545" s="564"/>
      <c r="M545" s="564"/>
      <c r="N545" s="564"/>
      <c r="O545" s="564"/>
      <c r="P545" s="564"/>
      <c r="Q545" s="564"/>
      <c r="R545" s="564"/>
      <c r="S545" s="564"/>
      <c r="T545" s="564"/>
      <c r="U545" s="564"/>
      <c r="V545" s="564"/>
      <c r="W545" s="564"/>
      <c r="X545" s="564"/>
      <c r="Y545" s="564"/>
      <c r="Z545" s="564"/>
      <c r="AA545" s="564"/>
      <c r="AB545" s="556"/>
      <c r="AC545" s="556"/>
      <c r="AD545" s="74"/>
      <c r="AE545" s="74"/>
      <c r="AF545" s="74"/>
      <c r="AG545" s="74"/>
      <c r="AH545" s="74"/>
      <c r="AI545" s="74"/>
      <c r="AJ545" s="74"/>
      <c r="AK545" s="74"/>
      <c r="AL545" s="74"/>
      <c r="AM545" s="74"/>
      <c r="AN545" s="74"/>
      <c r="AO545" s="74"/>
      <c r="AP545" s="74"/>
      <c r="AQ545" s="74"/>
      <c r="AR545" s="74"/>
      <c r="AS545" s="565"/>
      <c r="AT545" s="556"/>
      <c r="AU545" s="700"/>
    </row>
    <row r="546" spans="1:47" hidden="1" x14ac:dyDescent="0.45">
      <c r="A546" s="556"/>
      <c r="B546" s="556"/>
      <c r="C546" s="556"/>
      <c r="D546" s="556"/>
      <c r="E546" s="556"/>
      <c r="F546" s="564"/>
      <c r="G546" s="564"/>
      <c r="H546" s="564"/>
      <c r="I546" s="564"/>
      <c r="J546" s="564"/>
      <c r="K546" s="564"/>
      <c r="L546" s="564"/>
      <c r="M546" s="564"/>
      <c r="N546" s="564"/>
      <c r="O546" s="564"/>
      <c r="P546" s="564"/>
      <c r="Q546" s="564"/>
      <c r="R546" s="564"/>
      <c r="S546" s="564"/>
      <c r="T546" s="564"/>
      <c r="U546" s="564"/>
      <c r="V546" s="564"/>
      <c r="W546" s="564"/>
      <c r="X546" s="564"/>
      <c r="Y546" s="564"/>
      <c r="Z546" s="564"/>
      <c r="AA546" s="564"/>
      <c r="AB546" s="556"/>
      <c r="AC546" s="556"/>
      <c r="AD546" s="74"/>
      <c r="AE546" s="74"/>
      <c r="AF546" s="74"/>
      <c r="AG546" s="74"/>
      <c r="AH546" s="74"/>
      <c r="AI546" s="74"/>
      <c r="AJ546" s="74"/>
      <c r="AK546" s="74"/>
      <c r="AL546" s="74"/>
      <c r="AM546" s="74"/>
      <c r="AN546" s="74"/>
      <c r="AO546" s="74"/>
      <c r="AP546" s="74"/>
      <c r="AQ546" s="74"/>
      <c r="AR546" s="74"/>
      <c r="AS546" s="565"/>
      <c r="AT546" s="556"/>
      <c r="AU546" s="700"/>
    </row>
    <row r="547" spans="1:47" hidden="1" x14ac:dyDescent="0.45">
      <c r="A547" s="556"/>
      <c r="B547" s="556"/>
      <c r="C547" s="556"/>
      <c r="D547" s="556"/>
      <c r="E547" s="556"/>
      <c r="F547" s="564"/>
      <c r="G547" s="564"/>
      <c r="H547" s="564"/>
      <c r="I547" s="564"/>
      <c r="J547" s="564"/>
      <c r="K547" s="564"/>
      <c r="L547" s="564"/>
      <c r="M547" s="564"/>
      <c r="N547" s="564"/>
      <c r="O547" s="564"/>
      <c r="P547" s="564"/>
      <c r="Q547" s="564"/>
      <c r="R547" s="564"/>
      <c r="S547" s="564"/>
      <c r="T547" s="564"/>
      <c r="U547" s="564"/>
      <c r="V547" s="564"/>
      <c r="W547" s="564"/>
      <c r="X547" s="564"/>
      <c r="Y547" s="564"/>
      <c r="Z547" s="564"/>
      <c r="AA547" s="564"/>
      <c r="AB547" s="556"/>
      <c r="AC547" s="556"/>
      <c r="AD547" s="74"/>
      <c r="AE547" s="74"/>
      <c r="AF547" s="74"/>
      <c r="AG547" s="74"/>
      <c r="AH547" s="74"/>
      <c r="AI547" s="74"/>
      <c r="AJ547" s="74"/>
      <c r="AK547" s="74"/>
      <c r="AL547" s="74"/>
      <c r="AM547" s="74"/>
      <c r="AN547" s="74"/>
      <c r="AO547" s="74"/>
      <c r="AP547" s="74"/>
      <c r="AQ547" s="74"/>
      <c r="AR547" s="74"/>
      <c r="AS547" s="565"/>
      <c r="AT547" s="556"/>
      <c r="AU547" s="700"/>
    </row>
    <row r="548" spans="1:47" hidden="1" x14ac:dyDescent="0.45">
      <c r="A548" s="556"/>
      <c r="B548" s="556"/>
      <c r="C548" s="556"/>
      <c r="D548" s="556"/>
      <c r="E548" s="556"/>
      <c r="F548" s="564"/>
      <c r="G548" s="564"/>
      <c r="H548" s="564"/>
      <c r="I548" s="564"/>
      <c r="J548" s="564"/>
      <c r="K548" s="564"/>
      <c r="L548" s="564"/>
      <c r="M548" s="564"/>
      <c r="N548" s="564"/>
      <c r="O548" s="564"/>
      <c r="P548" s="564"/>
      <c r="Q548" s="564"/>
      <c r="R548" s="564"/>
      <c r="S548" s="564"/>
      <c r="T548" s="564"/>
      <c r="U548" s="564"/>
      <c r="V548" s="564"/>
      <c r="W548" s="564"/>
      <c r="X548" s="564"/>
      <c r="Y548" s="564"/>
      <c r="Z548" s="564"/>
      <c r="AA548" s="564"/>
      <c r="AB548" s="556"/>
      <c r="AC548" s="556"/>
      <c r="AD548" s="74"/>
      <c r="AE548" s="74"/>
      <c r="AF548" s="74"/>
      <c r="AG548" s="74"/>
      <c r="AH548" s="74"/>
      <c r="AI548" s="74"/>
      <c r="AJ548" s="74"/>
      <c r="AK548" s="74"/>
      <c r="AL548" s="74"/>
      <c r="AM548" s="74"/>
      <c r="AN548" s="74"/>
      <c r="AO548" s="74"/>
      <c r="AP548" s="74"/>
      <c r="AQ548" s="74"/>
      <c r="AR548" s="74"/>
      <c r="AS548" s="565"/>
      <c r="AT548" s="556"/>
      <c r="AU548" s="700"/>
    </row>
    <row r="549" spans="1:47" hidden="1" x14ac:dyDescent="0.45">
      <c r="A549" s="556"/>
      <c r="B549" s="556"/>
      <c r="C549" s="556"/>
      <c r="D549" s="556"/>
      <c r="E549" s="556"/>
      <c r="F549" s="564"/>
      <c r="G549" s="564"/>
      <c r="H549" s="564"/>
      <c r="I549" s="564"/>
      <c r="J549" s="564"/>
      <c r="K549" s="564"/>
      <c r="L549" s="564"/>
      <c r="M549" s="564"/>
      <c r="N549" s="564"/>
      <c r="O549" s="564"/>
      <c r="P549" s="564"/>
      <c r="Q549" s="564"/>
      <c r="R549" s="564"/>
      <c r="S549" s="564"/>
      <c r="T549" s="564"/>
      <c r="U549" s="564"/>
      <c r="V549" s="564"/>
      <c r="W549" s="564"/>
      <c r="X549" s="564"/>
      <c r="Y549" s="564"/>
      <c r="Z549" s="564"/>
      <c r="AA549" s="564"/>
      <c r="AB549" s="556"/>
      <c r="AC549" s="556"/>
      <c r="AD549" s="74"/>
      <c r="AE549" s="74"/>
      <c r="AF549" s="74"/>
      <c r="AG549" s="74"/>
      <c r="AH549" s="74"/>
      <c r="AI549" s="74"/>
      <c r="AJ549" s="74"/>
      <c r="AK549" s="74"/>
      <c r="AL549" s="74"/>
      <c r="AM549" s="74"/>
      <c r="AN549" s="74"/>
      <c r="AO549" s="74"/>
      <c r="AP549" s="74"/>
      <c r="AQ549" s="74"/>
      <c r="AR549" s="74"/>
      <c r="AS549" s="565"/>
      <c r="AT549" s="556"/>
      <c r="AU549" s="700"/>
    </row>
    <row r="550" spans="1:47" hidden="1" x14ac:dyDescent="0.45">
      <c r="A550" s="556"/>
      <c r="B550" s="556"/>
      <c r="C550" s="556"/>
      <c r="D550" s="556"/>
      <c r="E550" s="556"/>
      <c r="F550" s="564"/>
      <c r="G550" s="564"/>
      <c r="H550" s="564"/>
      <c r="I550" s="564"/>
      <c r="J550" s="564"/>
      <c r="K550" s="564"/>
      <c r="L550" s="564"/>
      <c r="M550" s="564"/>
      <c r="N550" s="564"/>
      <c r="O550" s="564"/>
      <c r="P550" s="564"/>
      <c r="Q550" s="564"/>
      <c r="R550" s="564"/>
      <c r="S550" s="564"/>
      <c r="T550" s="564"/>
      <c r="U550" s="564"/>
      <c r="V550" s="564"/>
      <c r="W550" s="564"/>
      <c r="X550" s="564"/>
      <c r="Y550" s="564"/>
      <c r="Z550" s="564"/>
      <c r="AA550" s="564"/>
      <c r="AB550" s="556"/>
      <c r="AC550" s="556"/>
      <c r="AD550" s="74"/>
      <c r="AE550" s="74"/>
      <c r="AF550" s="74"/>
      <c r="AG550" s="74"/>
      <c r="AH550" s="74"/>
      <c r="AI550" s="74"/>
      <c r="AJ550" s="74"/>
      <c r="AK550" s="74"/>
      <c r="AL550" s="74"/>
      <c r="AM550" s="74"/>
      <c r="AN550" s="74"/>
      <c r="AO550" s="74"/>
      <c r="AP550" s="74"/>
      <c r="AQ550" s="74"/>
      <c r="AR550" s="74"/>
      <c r="AS550" s="565"/>
      <c r="AT550" s="556"/>
      <c r="AU550" s="700"/>
    </row>
    <row r="551" spans="1:47" hidden="1" x14ac:dyDescent="0.45">
      <c r="A551" s="556"/>
      <c r="B551" s="556"/>
      <c r="C551" s="556"/>
      <c r="D551" s="556"/>
      <c r="E551" s="556"/>
      <c r="F551" s="564"/>
      <c r="G551" s="564"/>
      <c r="H551" s="564"/>
      <c r="I551" s="564"/>
      <c r="J551" s="564"/>
      <c r="K551" s="564"/>
      <c r="L551" s="564"/>
      <c r="M551" s="564"/>
      <c r="N551" s="564"/>
      <c r="O551" s="564"/>
      <c r="P551" s="564"/>
      <c r="Q551" s="564"/>
      <c r="R551" s="564"/>
      <c r="S551" s="564"/>
      <c r="T551" s="564"/>
      <c r="U551" s="564"/>
      <c r="V551" s="564"/>
      <c r="W551" s="564"/>
      <c r="X551" s="564"/>
      <c r="Y551" s="564"/>
      <c r="Z551" s="564"/>
      <c r="AA551" s="564"/>
      <c r="AB551" s="556"/>
      <c r="AC551" s="556"/>
      <c r="AD551" s="74"/>
      <c r="AE551" s="74"/>
      <c r="AF551" s="74"/>
      <c r="AG551" s="74"/>
      <c r="AH551" s="74"/>
      <c r="AI551" s="74"/>
      <c r="AJ551" s="74"/>
      <c r="AK551" s="74"/>
      <c r="AL551" s="74"/>
      <c r="AM551" s="74"/>
      <c r="AN551" s="74"/>
      <c r="AO551" s="74"/>
      <c r="AP551" s="74"/>
      <c r="AQ551" s="74"/>
      <c r="AR551" s="74"/>
      <c r="AS551" s="565"/>
      <c r="AT551" s="556"/>
      <c r="AU551" s="700"/>
    </row>
    <row r="552" spans="1:47" hidden="1" x14ac:dyDescent="0.45">
      <c r="A552" s="556"/>
      <c r="B552" s="556"/>
      <c r="C552" s="556"/>
      <c r="D552" s="556"/>
      <c r="E552" s="556"/>
      <c r="F552" s="564"/>
      <c r="G552" s="564"/>
      <c r="H552" s="564"/>
      <c r="I552" s="564"/>
      <c r="J552" s="564"/>
      <c r="K552" s="564"/>
      <c r="L552" s="564"/>
      <c r="M552" s="564"/>
      <c r="N552" s="564"/>
      <c r="O552" s="564"/>
      <c r="P552" s="564"/>
      <c r="Q552" s="564"/>
      <c r="R552" s="564"/>
      <c r="S552" s="564"/>
      <c r="T552" s="564"/>
      <c r="U552" s="564"/>
      <c r="V552" s="564"/>
      <c r="W552" s="564"/>
      <c r="X552" s="564"/>
      <c r="Y552" s="564"/>
      <c r="Z552" s="564"/>
      <c r="AA552" s="564"/>
      <c r="AB552" s="556"/>
      <c r="AC552" s="556"/>
      <c r="AD552" s="74"/>
      <c r="AE552" s="74"/>
      <c r="AF552" s="74"/>
      <c r="AG552" s="74"/>
      <c r="AH552" s="74"/>
      <c r="AI552" s="74"/>
      <c r="AJ552" s="74"/>
      <c r="AK552" s="74"/>
      <c r="AL552" s="74"/>
      <c r="AM552" s="74"/>
      <c r="AN552" s="74"/>
      <c r="AO552" s="74"/>
      <c r="AP552" s="74"/>
      <c r="AQ552" s="74"/>
      <c r="AR552" s="74"/>
      <c r="AS552" s="565"/>
      <c r="AT552" s="556"/>
      <c r="AU552" s="700"/>
    </row>
    <row r="553" spans="1:47" hidden="1" x14ac:dyDescent="0.45">
      <c r="A553" s="556"/>
      <c r="B553" s="556"/>
      <c r="C553" s="556"/>
      <c r="D553" s="556"/>
      <c r="E553" s="556"/>
      <c r="F553" s="564"/>
      <c r="G553" s="564"/>
      <c r="H553" s="564"/>
      <c r="I553" s="564"/>
      <c r="J553" s="564"/>
      <c r="K553" s="564"/>
      <c r="L553" s="564"/>
      <c r="M553" s="564"/>
      <c r="N553" s="564"/>
      <c r="O553" s="564"/>
      <c r="P553" s="564"/>
      <c r="Q553" s="564"/>
      <c r="R553" s="564"/>
      <c r="S553" s="564"/>
      <c r="T553" s="564"/>
      <c r="U553" s="564"/>
      <c r="V553" s="564"/>
      <c r="W553" s="564"/>
      <c r="X553" s="564"/>
      <c r="Y553" s="564"/>
      <c r="Z553" s="564"/>
      <c r="AA553" s="564"/>
      <c r="AB553" s="556"/>
      <c r="AC553" s="556"/>
      <c r="AD553" s="74"/>
      <c r="AE553" s="74"/>
      <c r="AF553" s="74"/>
      <c r="AG553" s="74"/>
      <c r="AH553" s="74"/>
      <c r="AI553" s="74"/>
      <c r="AJ553" s="74"/>
      <c r="AK553" s="74"/>
      <c r="AL553" s="74"/>
      <c r="AM553" s="74"/>
      <c r="AN553" s="74"/>
      <c r="AO553" s="74"/>
      <c r="AP553" s="74"/>
      <c r="AQ553" s="74"/>
      <c r="AR553" s="74"/>
      <c r="AS553" s="565"/>
      <c r="AT553" s="556"/>
      <c r="AU553" s="700"/>
    </row>
    <row r="554" spans="1:47" hidden="1" x14ac:dyDescent="0.45">
      <c r="A554" s="556"/>
      <c r="B554" s="556"/>
      <c r="C554" s="556"/>
      <c r="D554" s="556"/>
      <c r="E554" s="556"/>
      <c r="F554" s="564"/>
      <c r="G554" s="564"/>
      <c r="H554" s="564"/>
      <c r="I554" s="564"/>
      <c r="J554" s="564"/>
      <c r="K554" s="564"/>
      <c r="L554" s="564"/>
      <c r="M554" s="564"/>
      <c r="N554" s="564"/>
      <c r="O554" s="564"/>
      <c r="P554" s="564"/>
      <c r="Q554" s="564"/>
      <c r="R554" s="564"/>
      <c r="S554" s="564"/>
      <c r="T554" s="564"/>
      <c r="U554" s="564"/>
      <c r="V554" s="564"/>
      <c r="W554" s="564"/>
      <c r="X554" s="564"/>
      <c r="Y554" s="564"/>
      <c r="Z554" s="564"/>
      <c r="AA554" s="564"/>
      <c r="AB554" s="556"/>
      <c r="AC554" s="556"/>
      <c r="AD554" s="74"/>
      <c r="AE554" s="74"/>
      <c r="AF554" s="74"/>
      <c r="AG554" s="74"/>
      <c r="AH554" s="74"/>
      <c r="AI554" s="74"/>
      <c r="AJ554" s="74"/>
      <c r="AK554" s="74"/>
      <c r="AL554" s="74"/>
      <c r="AM554" s="74"/>
      <c r="AN554" s="74"/>
      <c r="AO554" s="74"/>
      <c r="AP554" s="74"/>
      <c r="AQ554" s="74"/>
      <c r="AR554" s="74"/>
      <c r="AS554" s="565"/>
      <c r="AT554" s="556"/>
      <c r="AU554" s="700"/>
    </row>
    <row r="555" spans="1:47" hidden="1" x14ac:dyDescent="0.45">
      <c r="A555" s="556"/>
      <c r="B555" s="556"/>
      <c r="C555" s="556"/>
      <c r="D555" s="556"/>
      <c r="E555" s="556"/>
      <c r="F555" s="564"/>
      <c r="G555" s="564"/>
      <c r="H555" s="564"/>
      <c r="I555" s="564"/>
      <c r="J555" s="564"/>
      <c r="K555" s="564"/>
      <c r="L555" s="564"/>
      <c r="M555" s="564"/>
      <c r="N555" s="564"/>
      <c r="O555" s="564"/>
      <c r="P555" s="564"/>
      <c r="Q555" s="564"/>
      <c r="R555" s="564"/>
      <c r="S555" s="564"/>
      <c r="T555" s="564"/>
      <c r="U555" s="564"/>
      <c r="V555" s="564"/>
      <c r="W555" s="564"/>
      <c r="X555" s="564"/>
      <c r="Y555" s="564"/>
      <c r="Z555" s="564"/>
      <c r="AA555" s="564"/>
      <c r="AB555" s="556"/>
      <c r="AC555" s="556"/>
      <c r="AD555" s="74"/>
      <c r="AE555" s="74"/>
      <c r="AF555" s="74"/>
      <c r="AG555" s="74"/>
      <c r="AH555" s="74"/>
      <c r="AI555" s="74"/>
      <c r="AJ555" s="74"/>
      <c r="AK555" s="74"/>
      <c r="AL555" s="74"/>
      <c r="AM555" s="74"/>
      <c r="AN555" s="74"/>
      <c r="AO555" s="74"/>
      <c r="AP555" s="74"/>
      <c r="AQ555" s="74"/>
      <c r="AR555" s="74"/>
      <c r="AS555" s="565"/>
      <c r="AT555" s="556"/>
      <c r="AU555" s="700"/>
    </row>
    <row r="556" spans="1:47" hidden="1" x14ac:dyDescent="0.45">
      <c r="A556" s="556"/>
      <c r="B556" s="556"/>
      <c r="C556" s="556"/>
      <c r="D556" s="556"/>
      <c r="E556" s="556"/>
      <c r="F556" s="564"/>
      <c r="G556" s="564"/>
      <c r="H556" s="564"/>
      <c r="I556" s="564"/>
      <c r="J556" s="564"/>
      <c r="K556" s="564"/>
      <c r="L556" s="564"/>
      <c r="M556" s="564"/>
      <c r="N556" s="564"/>
      <c r="O556" s="564"/>
      <c r="P556" s="564"/>
      <c r="Q556" s="564"/>
      <c r="R556" s="564"/>
      <c r="S556" s="564"/>
      <c r="T556" s="564"/>
      <c r="U556" s="564"/>
      <c r="V556" s="564"/>
      <c r="W556" s="564"/>
      <c r="X556" s="564"/>
      <c r="Y556" s="564"/>
      <c r="Z556" s="564"/>
      <c r="AA556" s="564"/>
      <c r="AB556" s="556"/>
      <c r="AC556" s="556"/>
      <c r="AD556" s="74"/>
      <c r="AE556" s="74"/>
      <c r="AF556" s="74"/>
      <c r="AG556" s="74"/>
      <c r="AH556" s="74"/>
      <c r="AI556" s="74"/>
      <c r="AJ556" s="74"/>
      <c r="AK556" s="74"/>
      <c r="AL556" s="74"/>
      <c r="AM556" s="74"/>
      <c r="AN556" s="74"/>
      <c r="AO556" s="74"/>
      <c r="AP556" s="74"/>
      <c r="AQ556" s="74"/>
      <c r="AR556" s="74"/>
      <c r="AS556" s="565"/>
      <c r="AT556" s="556"/>
      <c r="AU556" s="700"/>
    </row>
    <row r="557" spans="1:47" hidden="1" x14ac:dyDescent="0.45">
      <c r="A557" s="556"/>
      <c r="B557" s="556"/>
      <c r="C557" s="556"/>
      <c r="D557" s="556"/>
      <c r="E557" s="556"/>
      <c r="F557" s="564"/>
      <c r="G557" s="564"/>
      <c r="H557" s="564"/>
      <c r="I557" s="564"/>
      <c r="J557" s="564"/>
      <c r="K557" s="564"/>
      <c r="L557" s="564"/>
      <c r="M557" s="564"/>
      <c r="N557" s="564"/>
      <c r="O557" s="564"/>
      <c r="P557" s="564"/>
      <c r="Q557" s="564"/>
      <c r="R557" s="564"/>
      <c r="S557" s="564"/>
      <c r="T557" s="564"/>
      <c r="U557" s="564"/>
      <c r="V557" s="564"/>
      <c r="W557" s="564"/>
      <c r="X557" s="564"/>
      <c r="Y557" s="564"/>
      <c r="Z557" s="564"/>
      <c r="AA557" s="564"/>
      <c r="AB557" s="556"/>
      <c r="AC557" s="556"/>
      <c r="AD557" s="74"/>
      <c r="AE557" s="74"/>
      <c r="AF557" s="74"/>
      <c r="AG557" s="74"/>
      <c r="AH557" s="74"/>
      <c r="AI557" s="74"/>
      <c r="AJ557" s="74"/>
      <c r="AK557" s="74"/>
      <c r="AL557" s="74"/>
      <c r="AM557" s="74"/>
      <c r="AN557" s="74"/>
      <c r="AO557" s="74"/>
      <c r="AP557" s="74"/>
      <c r="AQ557" s="74"/>
      <c r="AR557" s="74"/>
      <c r="AS557" s="565"/>
      <c r="AT557" s="556"/>
      <c r="AU557" s="700"/>
    </row>
    <row r="558" spans="1:47" hidden="1" x14ac:dyDescent="0.45">
      <c r="A558" s="556"/>
      <c r="B558" s="556"/>
      <c r="C558" s="556"/>
      <c r="D558" s="556"/>
      <c r="E558" s="556"/>
      <c r="F558" s="564"/>
      <c r="G558" s="564"/>
      <c r="H558" s="564"/>
      <c r="I558" s="564"/>
      <c r="J558" s="564"/>
      <c r="K558" s="564"/>
      <c r="L558" s="564"/>
      <c r="M558" s="564"/>
      <c r="N558" s="564"/>
      <c r="O558" s="564"/>
      <c r="P558" s="564"/>
      <c r="Q558" s="564"/>
      <c r="R558" s="564"/>
      <c r="S558" s="564"/>
      <c r="T558" s="564"/>
      <c r="U558" s="564"/>
      <c r="V558" s="564"/>
      <c r="W558" s="564"/>
      <c r="X558" s="564"/>
      <c r="Y558" s="564"/>
      <c r="Z558" s="564"/>
      <c r="AA558" s="564"/>
      <c r="AB558" s="556"/>
      <c r="AC558" s="556"/>
      <c r="AD558" s="74"/>
      <c r="AE558" s="74"/>
      <c r="AF558" s="74"/>
      <c r="AG558" s="74"/>
      <c r="AH558" s="74"/>
      <c r="AI558" s="74"/>
      <c r="AJ558" s="74"/>
      <c r="AK558" s="74"/>
      <c r="AL558" s="74"/>
      <c r="AM558" s="74"/>
      <c r="AN558" s="74"/>
      <c r="AO558" s="74"/>
      <c r="AP558" s="74"/>
      <c r="AQ558" s="74"/>
      <c r="AR558" s="74"/>
      <c r="AS558" s="565"/>
      <c r="AT558" s="556"/>
      <c r="AU558" s="700"/>
    </row>
    <row r="559" spans="1:47" hidden="1" x14ac:dyDescent="0.45">
      <c r="A559" s="556"/>
      <c r="B559" s="556"/>
      <c r="C559" s="556"/>
      <c r="D559" s="556"/>
      <c r="E559" s="556"/>
      <c r="F559" s="564"/>
      <c r="G559" s="564"/>
      <c r="H559" s="564"/>
      <c r="I559" s="564"/>
      <c r="J559" s="564"/>
      <c r="K559" s="564"/>
      <c r="L559" s="564"/>
      <c r="M559" s="564"/>
      <c r="N559" s="564"/>
      <c r="O559" s="564"/>
      <c r="P559" s="564"/>
      <c r="Q559" s="564"/>
      <c r="R559" s="564"/>
      <c r="S559" s="564"/>
      <c r="T559" s="564"/>
      <c r="U559" s="564"/>
      <c r="V559" s="564"/>
      <c r="W559" s="564"/>
      <c r="X559" s="564"/>
      <c r="Y559" s="564"/>
      <c r="Z559" s="564"/>
      <c r="AA559" s="564"/>
      <c r="AB559" s="556"/>
      <c r="AC559" s="556"/>
      <c r="AD559" s="74"/>
      <c r="AE559" s="74"/>
      <c r="AF559" s="74"/>
      <c r="AG559" s="74"/>
      <c r="AH559" s="74"/>
      <c r="AI559" s="74"/>
      <c r="AJ559" s="74"/>
      <c r="AK559" s="74"/>
      <c r="AL559" s="74"/>
      <c r="AM559" s="74"/>
      <c r="AN559" s="74"/>
      <c r="AO559" s="74"/>
      <c r="AP559" s="74"/>
      <c r="AQ559" s="74"/>
      <c r="AR559" s="74"/>
      <c r="AS559" s="565"/>
      <c r="AT559" s="556"/>
      <c r="AU559" s="700"/>
    </row>
    <row r="560" spans="1:47" hidden="1" x14ac:dyDescent="0.45">
      <c r="A560" s="556"/>
      <c r="B560" s="556"/>
      <c r="C560" s="556"/>
      <c r="D560" s="556"/>
      <c r="E560" s="556"/>
      <c r="F560" s="564"/>
      <c r="G560" s="564"/>
      <c r="H560" s="564"/>
      <c r="I560" s="564"/>
      <c r="J560" s="564"/>
      <c r="K560" s="564"/>
      <c r="L560" s="564"/>
      <c r="M560" s="564"/>
      <c r="N560" s="564"/>
      <c r="O560" s="564"/>
      <c r="P560" s="564"/>
      <c r="Q560" s="564"/>
      <c r="R560" s="564"/>
      <c r="S560" s="564"/>
      <c r="T560" s="564"/>
      <c r="U560" s="564"/>
      <c r="V560" s="564"/>
      <c r="W560" s="564"/>
      <c r="X560" s="564"/>
      <c r="Y560" s="564"/>
      <c r="Z560" s="564"/>
      <c r="AA560" s="564"/>
      <c r="AB560" s="556"/>
      <c r="AC560" s="556"/>
      <c r="AD560" s="74"/>
      <c r="AE560" s="74"/>
      <c r="AF560" s="74"/>
      <c r="AG560" s="74"/>
      <c r="AH560" s="74"/>
      <c r="AI560" s="74"/>
      <c r="AJ560" s="74"/>
      <c r="AK560" s="74"/>
      <c r="AL560" s="74"/>
      <c r="AM560" s="74"/>
      <c r="AN560" s="74"/>
      <c r="AO560" s="74"/>
      <c r="AP560" s="74"/>
      <c r="AQ560" s="74"/>
      <c r="AR560" s="74"/>
      <c r="AS560" s="565"/>
      <c r="AT560" s="556"/>
      <c r="AU560" s="700"/>
    </row>
    <row r="561" spans="1:47" hidden="1" x14ac:dyDescent="0.45">
      <c r="A561" s="556"/>
      <c r="B561" s="556"/>
      <c r="C561" s="556"/>
      <c r="D561" s="556"/>
      <c r="E561" s="556"/>
      <c r="F561" s="564"/>
      <c r="G561" s="564"/>
      <c r="H561" s="564"/>
      <c r="I561" s="564"/>
      <c r="J561" s="564"/>
      <c r="K561" s="564"/>
      <c r="L561" s="564"/>
      <c r="M561" s="564"/>
      <c r="N561" s="564"/>
      <c r="O561" s="564"/>
      <c r="P561" s="564"/>
      <c r="Q561" s="564"/>
      <c r="R561" s="564"/>
      <c r="S561" s="564"/>
      <c r="T561" s="564"/>
      <c r="U561" s="564"/>
      <c r="V561" s="564"/>
      <c r="W561" s="564"/>
      <c r="X561" s="564"/>
      <c r="Y561" s="564"/>
      <c r="Z561" s="564"/>
      <c r="AA561" s="564"/>
      <c r="AB561" s="556"/>
      <c r="AC561" s="556"/>
      <c r="AD561" s="74"/>
      <c r="AE561" s="74"/>
      <c r="AF561" s="74"/>
      <c r="AG561" s="74"/>
      <c r="AH561" s="74"/>
      <c r="AI561" s="74"/>
      <c r="AJ561" s="74"/>
      <c r="AK561" s="74"/>
      <c r="AL561" s="74"/>
      <c r="AM561" s="74"/>
      <c r="AN561" s="74"/>
      <c r="AO561" s="74"/>
      <c r="AP561" s="74"/>
      <c r="AQ561" s="74"/>
      <c r="AR561" s="74"/>
      <c r="AS561" s="565"/>
      <c r="AT561" s="556"/>
      <c r="AU561" s="700"/>
    </row>
    <row r="562" spans="1:47" hidden="1" x14ac:dyDescent="0.45">
      <c r="A562" s="556"/>
      <c r="B562" s="556"/>
      <c r="C562" s="556"/>
      <c r="D562" s="556"/>
      <c r="E562" s="556"/>
      <c r="F562" s="564"/>
      <c r="G562" s="564"/>
      <c r="H562" s="564"/>
      <c r="I562" s="564"/>
      <c r="J562" s="564"/>
      <c r="K562" s="564"/>
      <c r="L562" s="564"/>
      <c r="M562" s="564"/>
      <c r="N562" s="564"/>
      <c r="O562" s="564"/>
      <c r="P562" s="564"/>
      <c r="Q562" s="564"/>
      <c r="R562" s="564"/>
      <c r="S562" s="564"/>
      <c r="T562" s="564"/>
      <c r="U562" s="564"/>
      <c r="V562" s="564"/>
      <c r="W562" s="564"/>
      <c r="X562" s="564"/>
      <c r="Y562" s="564"/>
      <c r="Z562" s="564"/>
      <c r="AA562" s="564"/>
      <c r="AB562" s="556"/>
      <c r="AC562" s="556"/>
      <c r="AD562" s="74"/>
      <c r="AE562" s="74"/>
      <c r="AF562" s="74"/>
      <c r="AG562" s="74"/>
      <c r="AH562" s="74"/>
      <c r="AI562" s="74"/>
      <c r="AJ562" s="74"/>
      <c r="AK562" s="74"/>
      <c r="AL562" s="74"/>
      <c r="AM562" s="74"/>
      <c r="AN562" s="74"/>
      <c r="AO562" s="74"/>
      <c r="AP562" s="74"/>
      <c r="AQ562" s="74"/>
      <c r="AR562" s="74"/>
      <c r="AS562" s="565"/>
      <c r="AT562" s="556"/>
      <c r="AU562" s="700"/>
    </row>
    <row r="563" spans="1:47" hidden="1" x14ac:dyDescent="0.45">
      <c r="A563" s="556"/>
      <c r="B563" s="556"/>
      <c r="C563" s="556"/>
      <c r="D563" s="556"/>
      <c r="E563" s="556"/>
      <c r="F563" s="564"/>
      <c r="G563" s="564"/>
      <c r="H563" s="564"/>
      <c r="I563" s="564"/>
      <c r="J563" s="564"/>
      <c r="K563" s="564"/>
      <c r="L563" s="564"/>
      <c r="M563" s="564"/>
      <c r="N563" s="564"/>
      <c r="O563" s="564"/>
      <c r="P563" s="564"/>
      <c r="Q563" s="564"/>
      <c r="R563" s="564"/>
      <c r="S563" s="564"/>
      <c r="T563" s="564"/>
      <c r="U563" s="564"/>
      <c r="V563" s="564"/>
      <c r="W563" s="564"/>
      <c r="X563" s="564"/>
      <c r="Y563" s="564"/>
      <c r="Z563" s="564"/>
      <c r="AA563" s="564"/>
      <c r="AB563" s="556"/>
      <c r="AC563" s="556"/>
      <c r="AD563" s="74"/>
      <c r="AE563" s="74"/>
      <c r="AF563" s="74"/>
      <c r="AG563" s="74"/>
      <c r="AH563" s="74"/>
      <c r="AI563" s="74"/>
      <c r="AJ563" s="74"/>
      <c r="AK563" s="74"/>
      <c r="AL563" s="74"/>
      <c r="AM563" s="74"/>
      <c r="AN563" s="74"/>
      <c r="AO563" s="74"/>
      <c r="AP563" s="74"/>
      <c r="AQ563" s="74"/>
      <c r="AR563" s="74"/>
      <c r="AS563" s="565"/>
      <c r="AT563" s="556"/>
      <c r="AU563" s="700"/>
    </row>
    <row r="564" spans="1:47" hidden="1" x14ac:dyDescent="0.45">
      <c r="A564" s="556"/>
      <c r="B564" s="556"/>
      <c r="C564" s="556"/>
      <c r="D564" s="556"/>
      <c r="E564" s="556"/>
      <c r="F564" s="564"/>
      <c r="G564" s="564"/>
      <c r="H564" s="564"/>
      <c r="I564" s="564"/>
      <c r="J564" s="564"/>
      <c r="K564" s="564"/>
      <c r="L564" s="564"/>
      <c r="M564" s="564"/>
      <c r="N564" s="564"/>
      <c r="O564" s="564"/>
      <c r="P564" s="564"/>
      <c r="Q564" s="564"/>
      <c r="R564" s="564"/>
      <c r="S564" s="564"/>
      <c r="T564" s="564"/>
      <c r="U564" s="564"/>
      <c r="V564" s="564"/>
      <c r="W564" s="564"/>
      <c r="X564" s="564"/>
      <c r="Y564" s="564"/>
      <c r="Z564" s="564"/>
      <c r="AA564" s="564"/>
      <c r="AB564" s="556"/>
      <c r="AC564" s="556"/>
      <c r="AD564" s="74"/>
      <c r="AE564" s="74"/>
      <c r="AF564" s="74"/>
      <c r="AG564" s="74"/>
      <c r="AH564" s="74"/>
      <c r="AI564" s="74"/>
      <c r="AJ564" s="74"/>
      <c r="AK564" s="74"/>
      <c r="AL564" s="74"/>
      <c r="AM564" s="74"/>
      <c r="AN564" s="74"/>
      <c r="AO564" s="74"/>
      <c r="AP564" s="74"/>
      <c r="AQ564" s="74"/>
      <c r="AR564" s="74"/>
      <c r="AS564" s="565"/>
      <c r="AT564" s="556"/>
      <c r="AU564" s="700"/>
    </row>
    <row r="565" spans="1:47" hidden="1" x14ac:dyDescent="0.45">
      <c r="A565" s="556"/>
      <c r="B565" s="556"/>
      <c r="C565" s="556"/>
      <c r="D565" s="556"/>
      <c r="E565" s="556"/>
      <c r="F565" s="564"/>
      <c r="G565" s="564"/>
      <c r="H565" s="564"/>
      <c r="I565" s="564"/>
      <c r="J565" s="564"/>
      <c r="K565" s="564"/>
      <c r="L565" s="564"/>
      <c r="M565" s="564"/>
      <c r="N565" s="564"/>
      <c r="O565" s="564"/>
      <c r="P565" s="564"/>
      <c r="Q565" s="564"/>
      <c r="R565" s="564"/>
      <c r="S565" s="564"/>
      <c r="T565" s="564"/>
      <c r="U565" s="564"/>
      <c r="V565" s="564"/>
      <c r="W565" s="564"/>
      <c r="X565" s="564"/>
      <c r="Y565" s="564"/>
      <c r="Z565" s="564"/>
      <c r="AA565" s="564"/>
      <c r="AB565" s="556"/>
      <c r="AC565" s="556"/>
      <c r="AD565" s="74"/>
      <c r="AE565" s="74"/>
      <c r="AF565" s="74"/>
      <c r="AG565" s="74"/>
      <c r="AH565" s="74"/>
      <c r="AI565" s="74"/>
      <c r="AJ565" s="74"/>
      <c r="AK565" s="74"/>
      <c r="AL565" s="74"/>
      <c r="AM565" s="74"/>
      <c r="AN565" s="74"/>
      <c r="AO565" s="74"/>
      <c r="AP565" s="74"/>
      <c r="AQ565" s="74"/>
      <c r="AR565" s="74"/>
      <c r="AS565" s="565"/>
      <c r="AT565" s="556"/>
      <c r="AU565" s="700"/>
    </row>
    <row r="566" spans="1:47" hidden="1" x14ac:dyDescent="0.45">
      <c r="A566" s="556"/>
      <c r="B566" s="556"/>
      <c r="C566" s="556"/>
      <c r="D566" s="556"/>
      <c r="E566" s="556"/>
      <c r="F566" s="564"/>
      <c r="G566" s="564"/>
      <c r="H566" s="564"/>
      <c r="I566" s="564"/>
      <c r="J566" s="564"/>
      <c r="K566" s="564"/>
      <c r="L566" s="564"/>
      <c r="M566" s="564"/>
      <c r="N566" s="564"/>
      <c r="O566" s="564"/>
      <c r="P566" s="564"/>
      <c r="Q566" s="564"/>
      <c r="R566" s="564"/>
      <c r="S566" s="564"/>
      <c r="T566" s="564"/>
      <c r="U566" s="564"/>
      <c r="V566" s="564"/>
      <c r="W566" s="564"/>
      <c r="X566" s="564"/>
      <c r="Y566" s="564"/>
      <c r="Z566" s="564"/>
      <c r="AA566" s="564"/>
      <c r="AB566" s="556"/>
      <c r="AC566" s="556"/>
      <c r="AD566" s="74"/>
      <c r="AE566" s="74"/>
      <c r="AF566" s="74"/>
      <c r="AG566" s="74"/>
      <c r="AH566" s="74"/>
      <c r="AI566" s="74"/>
      <c r="AJ566" s="74"/>
      <c r="AK566" s="74"/>
      <c r="AL566" s="74"/>
      <c r="AM566" s="74"/>
      <c r="AN566" s="74"/>
      <c r="AO566" s="74"/>
      <c r="AP566" s="74"/>
      <c r="AQ566" s="74"/>
      <c r="AR566" s="74"/>
      <c r="AS566" s="565"/>
      <c r="AT566" s="556"/>
      <c r="AU566" s="700"/>
    </row>
    <row r="567" spans="1:47" hidden="1" x14ac:dyDescent="0.45">
      <c r="A567" s="556"/>
      <c r="B567" s="556"/>
      <c r="C567" s="556"/>
      <c r="D567" s="556"/>
      <c r="E567" s="556"/>
      <c r="F567" s="564"/>
      <c r="G567" s="564"/>
      <c r="H567" s="564"/>
      <c r="I567" s="564"/>
      <c r="J567" s="564"/>
      <c r="K567" s="564"/>
      <c r="L567" s="564"/>
      <c r="M567" s="564"/>
      <c r="N567" s="564"/>
      <c r="O567" s="564"/>
      <c r="P567" s="564"/>
      <c r="Q567" s="564"/>
      <c r="R567" s="564"/>
      <c r="S567" s="564"/>
      <c r="T567" s="564"/>
      <c r="U567" s="564"/>
      <c r="V567" s="564"/>
      <c r="W567" s="564"/>
      <c r="X567" s="564"/>
      <c r="Y567" s="564"/>
      <c r="Z567" s="564"/>
      <c r="AA567" s="564"/>
      <c r="AB567" s="556"/>
      <c r="AC567" s="556"/>
      <c r="AD567" s="74"/>
      <c r="AE567" s="74"/>
      <c r="AF567" s="74"/>
      <c r="AG567" s="74"/>
      <c r="AH567" s="74"/>
      <c r="AI567" s="74"/>
      <c r="AJ567" s="74"/>
      <c r="AK567" s="74"/>
      <c r="AL567" s="74"/>
      <c r="AM567" s="74"/>
      <c r="AN567" s="74"/>
      <c r="AO567" s="74"/>
      <c r="AP567" s="74"/>
      <c r="AQ567" s="74"/>
      <c r="AR567" s="74"/>
      <c r="AS567" s="565"/>
      <c r="AT567" s="556"/>
      <c r="AU567" s="700"/>
    </row>
    <row r="568" spans="1:47" hidden="1" x14ac:dyDescent="0.45">
      <c r="A568" s="556"/>
      <c r="B568" s="556"/>
      <c r="C568" s="556"/>
      <c r="D568" s="556"/>
      <c r="E568" s="556"/>
      <c r="F568" s="564"/>
      <c r="G568" s="564"/>
      <c r="H568" s="564"/>
      <c r="I568" s="564"/>
      <c r="J568" s="564"/>
      <c r="K568" s="564"/>
      <c r="L568" s="564"/>
      <c r="M568" s="564"/>
      <c r="N568" s="564"/>
      <c r="O568" s="564"/>
      <c r="P568" s="564"/>
      <c r="Q568" s="564"/>
      <c r="R568" s="564"/>
      <c r="S568" s="564"/>
      <c r="T568" s="564"/>
      <c r="U568" s="564"/>
      <c r="V568" s="564"/>
      <c r="W568" s="564"/>
      <c r="X568" s="564"/>
      <c r="Y568" s="564"/>
      <c r="Z568" s="564"/>
      <c r="AA568" s="564"/>
      <c r="AB568" s="556"/>
      <c r="AC568" s="556"/>
      <c r="AD568" s="74"/>
      <c r="AE568" s="74"/>
      <c r="AF568" s="74"/>
      <c r="AG568" s="74"/>
      <c r="AH568" s="74"/>
      <c r="AI568" s="74"/>
      <c r="AJ568" s="74"/>
      <c r="AK568" s="74"/>
      <c r="AL568" s="74"/>
      <c r="AM568" s="74"/>
      <c r="AN568" s="74"/>
      <c r="AO568" s="74"/>
      <c r="AP568" s="74"/>
      <c r="AQ568" s="74"/>
      <c r="AR568" s="74"/>
      <c r="AS568" s="565"/>
      <c r="AT568" s="556"/>
      <c r="AU568" s="700"/>
    </row>
    <row r="569" spans="1:47" hidden="1" x14ac:dyDescent="0.45">
      <c r="A569" s="556"/>
      <c r="B569" s="556"/>
      <c r="C569" s="556"/>
      <c r="D569" s="556"/>
      <c r="E569" s="556"/>
      <c r="F569" s="564"/>
      <c r="G569" s="564"/>
      <c r="H569" s="564"/>
      <c r="I569" s="564"/>
      <c r="J569" s="564"/>
      <c r="K569" s="564"/>
      <c r="L569" s="564"/>
      <c r="M569" s="564"/>
      <c r="N569" s="564"/>
      <c r="O569" s="564"/>
      <c r="P569" s="564"/>
      <c r="Q569" s="564"/>
      <c r="R569" s="564"/>
      <c r="S569" s="564"/>
      <c r="T569" s="564"/>
      <c r="U569" s="564"/>
      <c r="V569" s="564"/>
      <c r="W569" s="564"/>
      <c r="X569" s="564"/>
      <c r="Y569" s="564"/>
      <c r="Z569" s="564"/>
      <c r="AA569" s="564"/>
      <c r="AB569" s="556"/>
      <c r="AC569" s="556"/>
      <c r="AD569" s="74"/>
      <c r="AE569" s="74"/>
      <c r="AF569" s="74"/>
      <c r="AG569" s="74"/>
      <c r="AH569" s="74"/>
      <c r="AI569" s="74"/>
      <c r="AJ569" s="74"/>
      <c r="AK569" s="74"/>
      <c r="AL569" s="74"/>
      <c r="AM569" s="74"/>
      <c r="AN569" s="74"/>
      <c r="AO569" s="74"/>
      <c r="AP569" s="74"/>
      <c r="AQ569" s="74"/>
      <c r="AR569" s="74"/>
      <c r="AS569" s="565"/>
      <c r="AT569" s="556"/>
      <c r="AU569" s="700"/>
    </row>
    <row r="570" spans="1:47" hidden="1" x14ac:dyDescent="0.45">
      <c r="A570" s="556"/>
      <c r="B570" s="556"/>
      <c r="C570" s="556"/>
      <c r="D570" s="556"/>
      <c r="E570" s="556"/>
      <c r="F570" s="564"/>
      <c r="G570" s="564"/>
      <c r="H570" s="564"/>
      <c r="I570" s="564"/>
      <c r="J570" s="564"/>
      <c r="K570" s="564"/>
      <c r="L570" s="564"/>
      <c r="M570" s="564"/>
      <c r="N570" s="564"/>
      <c r="O570" s="564"/>
      <c r="P570" s="564"/>
      <c r="Q570" s="564"/>
      <c r="R570" s="564"/>
      <c r="S570" s="564"/>
      <c r="T570" s="564"/>
      <c r="U570" s="564"/>
      <c r="V570" s="564"/>
      <c r="W570" s="564"/>
      <c r="X570" s="564"/>
      <c r="Y570" s="564"/>
      <c r="Z570" s="564"/>
      <c r="AA570" s="564"/>
      <c r="AB570" s="556"/>
      <c r="AC570" s="556"/>
      <c r="AD570" s="74"/>
      <c r="AE570" s="74"/>
      <c r="AF570" s="74"/>
      <c r="AG570" s="74"/>
      <c r="AH570" s="74"/>
      <c r="AI570" s="74"/>
      <c r="AJ570" s="74"/>
      <c r="AK570" s="74"/>
      <c r="AL570" s="74"/>
      <c r="AM570" s="74"/>
      <c r="AN570" s="74"/>
      <c r="AO570" s="74"/>
      <c r="AP570" s="74"/>
      <c r="AQ570" s="74"/>
      <c r="AR570" s="74"/>
      <c r="AS570" s="565"/>
      <c r="AT570" s="556"/>
      <c r="AU570" s="700"/>
    </row>
    <row r="571" spans="1:47" hidden="1" x14ac:dyDescent="0.45">
      <c r="A571" s="556"/>
      <c r="B571" s="556"/>
      <c r="C571" s="556"/>
      <c r="D571" s="556"/>
      <c r="E571" s="556"/>
      <c r="F571" s="564"/>
      <c r="G571" s="564"/>
      <c r="H571" s="564"/>
      <c r="I571" s="564"/>
      <c r="J571" s="564"/>
      <c r="K571" s="564"/>
      <c r="L571" s="564"/>
      <c r="M571" s="564"/>
      <c r="N571" s="564"/>
      <c r="O571" s="564"/>
      <c r="P571" s="564"/>
      <c r="Q571" s="564"/>
      <c r="R571" s="564"/>
      <c r="S571" s="564"/>
      <c r="T571" s="564"/>
      <c r="U571" s="564"/>
      <c r="V571" s="564"/>
      <c r="W571" s="564"/>
      <c r="X571" s="564"/>
      <c r="Y571" s="564"/>
      <c r="Z571" s="564"/>
      <c r="AA571" s="564"/>
      <c r="AB571" s="556"/>
      <c r="AC571" s="556"/>
      <c r="AD571" s="74"/>
      <c r="AE571" s="74"/>
      <c r="AF571" s="74"/>
      <c r="AG571" s="74"/>
      <c r="AH571" s="74"/>
      <c r="AI571" s="74"/>
      <c r="AJ571" s="74"/>
      <c r="AK571" s="74"/>
      <c r="AL571" s="74"/>
      <c r="AM571" s="74"/>
      <c r="AN571" s="74"/>
      <c r="AO571" s="74"/>
      <c r="AP571" s="74"/>
      <c r="AQ571" s="74"/>
      <c r="AR571" s="74"/>
      <c r="AS571" s="565"/>
      <c r="AT571" s="556"/>
      <c r="AU571" s="700"/>
    </row>
    <row r="572" spans="1:47" hidden="1" x14ac:dyDescent="0.45">
      <c r="A572" s="556"/>
      <c r="B572" s="556"/>
      <c r="C572" s="556"/>
      <c r="D572" s="556"/>
      <c r="E572" s="556"/>
      <c r="F572" s="564"/>
      <c r="G572" s="564"/>
      <c r="H572" s="564"/>
      <c r="I572" s="564"/>
      <c r="J572" s="564"/>
      <c r="K572" s="564"/>
      <c r="L572" s="564"/>
      <c r="M572" s="564"/>
      <c r="N572" s="564"/>
      <c r="O572" s="564"/>
      <c r="P572" s="564"/>
      <c r="Q572" s="564"/>
      <c r="R572" s="564"/>
      <c r="S572" s="564"/>
      <c r="T572" s="564"/>
      <c r="U572" s="564"/>
      <c r="V572" s="564"/>
      <c r="W572" s="564"/>
      <c r="X572" s="564"/>
      <c r="Y572" s="564"/>
      <c r="Z572" s="564"/>
      <c r="AA572" s="564"/>
      <c r="AB572" s="556"/>
      <c r="AC572" s="556"/>
      <c r="AD572" s="74"/>
      <c r="AE572" s="74"/>
      <c r="AF572" s="74"/>
      <c r="AG572" s="74"/>
      <c r="AH572" s="74"/>
      <c r="AI572" s="74"/>
      <c r="AJ572" s="74"/>
      <c r="AK572" s="74"/>
      <c r="AL572" s="74"/>
      <c r="AM572" s="74"/>
      <c r="AN572" s="74"/>
      <c r="AO572" s="74"/>
      <c r="AP572" s="74"/>
      <c r="AQ572" s="74"/>
      <c r="AR572" s="74"/>
      <c r="AS572" s="565"/>
      <c r="AT572" s="556"/>
      <c r="AU572" s="700"/>
    </row>
    <row r="573" spans="1:47" hidden="1" x14ac:dyDescent="0.45">
      <c r="A573" s="556"/>
      <c r="B573" s="556"/>
      <c r="C573" s="556"/>
      <c r="D573" s="556"/>
      <c r="E573" s="556"/>
      <c r="F573" s="564"/>
      <c r="G573" s="564"/>
      <c r="H573" s="564"/>
      <c r="I573" s="564"/>
      <c r="J573" s="564"/>
      <c r="K573" s="564"/>
      <c r="L573" s="564"/>
      <c r="M573" s="564"/>
      <c r="N573" s="564"/>
      <c r="O573" s="564"/>
      <c r="P573" s="564"/>
      <c r="Q573" s="564"/>
      <c r="R573" s="564"/>
      <c r="S573" s="564"/>
      <c r="T573" s="564"/>
      <c r="U573" s="564"/>
      <c r="V573" s="564"/>
      <c r="W573" s="564"/>
      <c r="X573" s="564"/>
      <c r="Y573" s="564"/>
      <c r="Z573" s="564"/>
      <c r="AA573" s="564"/>
      <c r="AB573" s="556"/>
      <c r="AC573" s="556"/>
      <c r="AD573" s="74"/>
      <c r="AE573" s="74"/>
      <c r="AF573" s="74"/>
      <c r="AG573" s="74"/>
      <c r="AH573" s="74"/>
      <c r="AI573" s="74"/>
      <c r="AJ573" s="74"/>
      <c r="AK573" s="74"/>
      <c r="AL573" s="74"/>
      <c r="AM573" s="74"/>
      <c r="AN573" s="74"/>
      <c r="AO573" s="74"/>
      <c r="AP573" s="74"/>
      <c r="AQ573" s="74"/>
      <c r="AR573" s="74"/>
      <c r="AS573" s="565"/>
      <c r="AT573" s="556"/>
      <c r="AU573" s="700"/>
    </row>
    <row r="574" spans="1:47" hidden="1" x14ac:dyDescent="0.45">
      <c r="A574" s="556"/>
      <c r="B574" s="556"/>
      <c r="C574" s="556"/>
      <c r="D574" s="556"/>
      <c r="E574" s="556"/>
      <c r="F574" s="564"/>
      <c r="G574" s="564"/>
      <c r="H574" s="564"/>
      <c r="I574" s="564"/>
      <c r="J574" s="564"/>
      <c r="K574" s="564"/>
      <c r="L574" s="564"/>
      <c r="M574" s="564"/>
      <c r="N574" s="564"/>
      <c r="O574" s="564"/>
      <c r="P574" s="564"/>
      <c r="Q574" s="564"/>
      <c r="R574" s="564"/>
      <c r="S574" s="564"/>
      <c r="T574" s="564"/>
      <c r="U574" s="564"/>
      <c r="V574" s="564"/>
      <c r="W574" s="564"/>
      <c r="X574" s="564"/>
      <c r="Y574" s="564"/>
      <c r="Z574" s="564"/>
      <c r="AA574" s="564"/>
      <c r="AB574" s="556"/>
      <c r="AC574" s="556"/>
      <c r="AD574" s="74"/>
      <c r="AE574" s="74"/>
      <c r="AF574" s="74"/>
      <c r="AG574" s="74"/>
      <c r="AH574" s="74"/>
      <c r="AI574" s="74"/>
      <c r="AJ574" s="74"/>
      <c r="AK574" s="74"/>
      <c r="AL574" s="74"/>
      <c r="AM574" s="74"/>
      <c r="AN574" s="74"/>
      <c r="AO574" s="74"/>
      <c r="AP574" s="74"/>
      <c r="AQ574" s="74"/>
      <c r="AR574" s="74"/>
      <c r="AS574" s="565"/>
      <c r="AT574" s="556"/>
      <c r="AU574" s="700"/>
    </row>
    <row r="575" spans="1:47" hidden="1" x14ac:dyDescent="0.45">
      <c r="A575" s="556"/>
      <c r="B575" s="556"/>
      <c r="C575" s="556"/>
      <c r="D575" s="556"/>
      <c r="E575" s="556"/>
      <c r="F575" s="564"/>
      <c r="G575" s="564"/>
      <c r="H575" s="564"/>
      <c r="I575" s="564"/>
      <c r="J575" s="564"/>
      <c r="K575" s="564"/>
      <c r="L575" s="564"/>
      <c r="M575" s="564"/>
      <c r="N575" s="564"/>
      <c r="O575" s="564"/>
      <c r="P575" s="564"/>
      <c r="Q575" s="564"/>
      <c r="R575" s="564"/>
      <c r="S575" s="564"/>
      <c r="T575" s="564"/>
      <c r="U575" s="564"/>
      <c r="V575" s="564"/>
      <c r="W575" s="564"/>
      <c r="X575" s="564"/>
      <c r="Y575" s="564"/>
      <c r="Z575" s="564"/>
      <c r="AA575" s="564"/>
      <c r="AB575" s="556"/>
      <c r="AC575" s="556"/>
      <c r="AD575" s="74"/>
      <c r="AE575" s="74"/>
      <c r="AF575" s="74"/>
      <c r="AG575" s="74"/>
      <c r="AH575" s="74"/>
      <c r="AI575" s="74"/>
      <c r="AJ575" s="74"/>
      <c r="AK575" s="74"/>
      <c r="AL575" s="74"/>
      <c r="AM575" s="74"/>
      <c r="AN575" s="74"/>
      <c r="AO575" s="74"/>
      <c r="AP575" s="74"/>
      <c r="AQ575" s="74"/>
      <c r="AR575" s="74"/>
      <c r="AS575" s="565"/>
      <c r="AT575" s="556"/>
      <c r="AU575" s="700"/>
    </row>
    <row r="576" spans="1:47" hidden="1" x14ac:dyDescent="0.45">
      <c r="A576" s="556"/>
      <c r="B576" s="556"/>
      <c r="C576" s="556"/>
      <c r="D576" s="556"/>
      <c r="E576" s="556"/>
      <c r="F576" s="564"/>
      <c r="G576" s="564"/>
      <c r="H576" s="564"/>
      <c r="I576" s="564"/>
      <c r="J576" s="564"/>
      <c r="K576" s="564"/>
      <c r="L576" s="564"/>
      <c r="M576" s="564"/>
      <c r="N576" s="564"/>
      <c r="O576" s="564"/>
      <c r="P576" s="564"/>
      <c r="Q576" s="564"/>
      <c r="R576" s="564"/>
      <c r="S576" s="564"/>
      <c r="T576" s="564"/>
      <c r="U576" s="564"/>
      <c r="V576" s="564"/>
      <c r="W576" s="564"/>
      <c r="X576" s="564"/>
      <c r="Y576" s="564"/>
      <c r="Z576" s="564"/>
      <c r="AA576" s="564"/>
      <c r="AB576" s="556"/>
      <c r="AC576" s="556"/>
      <c r="AD576" s="74"/>
      <c r="AE576" s="74"/>
      <c r="AF576" s="74"/>
      <c r="AG576" s="74"/>
      <c r="AH576" s="74"/>
      <c r="AI576" s="74"/>
      <c r="AJ576" s="74"/>
      <c r="AK576" s="74"/>
      <c r="AL576" s="74"/>
      <c r="AM576" s="74"/>
      <c r="AN576" s="74"/>
      <c r="AO576" s="74"/>
      <c r="AP576" s="74"/>
      <c r="AQ576" s="74"/>
      <c r="AR576" s="74"/>
      <c r="AS576" s="565"/>
      <c r="AT576" s="556"/>
      <c r="AU576" s="700"/>
    </row>
    <row r="577" spans="1:47" hidden="1" x14ac:dyDescent="0.45">
      <c r="A577" s="556"/>
      <c r="B577" s="556"/>
      <c r="C577" s="556"/>
      <c r="D577" s="556"/>
      <c r="E577" s="556"/>
      <c r="F577" s="564"/>
      <c r="G577" s="564"/>
      <c r="H577" s="564"/>
      <c r="I577" s="564"/>
      <c r="J577" s="564"/>
      <c r="K577" s="564"/>
      <c r="L577" s="564"/>
      <c r="M577" s="564"/>
      <c r="N577" s="564"/>
      <c r="O577" s="564"/>
      <c r="P577" s="564"/>
      <c r="Q577" s="564"/>
      <c r="R577" s="564"/>
      <c r="S577" s="564"/>
      <c r="T577" s="564"/>
      <c r="U577" s="564"/>
      <c r="V577" s="564"/>
      <c r="W577" s="564"/>
      <c r="X577" s="564"/>
      <c r="Y577" s="564"/>
      <c r="Z577" s="564"/>
      <c r="AA577" s="564"/>
      <c r="AB577" s="556"/>
      <c r="AC577" s="556"/>
      <c r="AD577" s="74"/>
      <c r="AE577" s="74"/>
      <c r="AF577" s="74"/>
      <c r="AG577" s="74"/>
      <c r="AH577" s="74"/>
      <c r="AI577" s="74"/>
      <c r="AJ577" s="74"/>
      <c r="AK577" s="74"/>
      <c r="AL577" s="74"/>
      <c r="AM577" s="74"/>
      <c r="AN577" s="74"/>
      <c r="AO577" s="74"/>
      <c r="AP577" s="74"/>
      <c r="AQ577" s="74"/>
      <c r="AR577" s="74"/>
      <c r="AS577" s="565"/>
      <c r="AT577" s="556"/>
      <c r="AU577" s="700"/>
    </row>
    <row r="578" spans="1:47" hidden="1" x14ac:dyDescent="0.45">
      <c r="A578" s="556"/>
      <c r="B578" s="556"/>
      <c r="C578" s="556"/>
      <c r="D578" s="556"/>
      <c r="E578" s="556"/>
      <c r="F578" s="564"/>
      <c r="G578" s="564"/>
      <c r="H578" s="564"/>
      <c r="I578" s="564"/>
      <c r="J578" s="564"/>
      <c r="K578" s="564"/>
      <c r="L578" s="564"/>
      <c r="M578" s="564"/>
      <c r="N578" s="564"/>
      <c r="O578" s="564"/>
      <c r="P578" s="564"/>
      <c r="Q578" s="564"/>
      <c r="R578" s="564"/>
      <c r="S578" s="564"/>
      <c r="T578" s="564"/>
      <c r="U578" s="564"/>
      <c r="V578" s="564"/>
      <c r="W578" s="564"/>
      <c r="X578" s="564"/>
      <c r="Y578" s="564"/>
      <c r="Z578" s="564"/>
      <c r="AA578" s="564"/>
      <c r="AB578" s="556"/>
      <c r="AC578" s="556"/>
      <c r="AD578" s="74"/>
      <c r="AE578" s="74"/>
      <c r="AF578" s="74"/>
      <c r="AG578" s="74"/>
      <c r="AH578" s="74"/>
      <c r="AI578" s="74"/>
      <c r="AJ578" s="74"/>
      <c r="AK578" s="74"/>
      <c r="AL578" s="74"/>
      <c r="AM578" s="74"/>
      <c r="AN578" s="74"/>
      <c r="AO578" s="74"/>
      <c r="AP578" s="74"/>
      <c r="AQ578" s="74"/>
      <c r="AR578" s="74"/>
      <c r="AS578" s="565"/>
      <c r="AT578" s="556"/>
      <c r="AU578" s="700"/>
    </row>
    <row r="579" spans="1:47" hidden="1" x14ac:dyDescent="0.45">
      <c r="A579" s="556"/>
      <c r="B579" s="556"/>
      <c r="C579" s="556"/>
      <c r="D579" s="556"/>
      <c r="E579" s="556"/>
      <c r="F579" s="564"/>
      <c r="G579" s="564"/>
      <c r="H579" s="564"/>
      <c r="I579" s="564"/>
      <c r="J579" s="564"/>
      <c r="K579" s="564"/>
      <c r="L579" s="564"/>
      <c r="M579" s="564"/>
      <c r="N579" s="564"/>
      <c r="O579" s="564"/>
      <c r="P579" s="564"/>
      <c r="Q579" s="564"/>
      <c r="R579" s="564"/>
      <c r="S579" s="564"/>
      <c r="T579" s="564"/>
      <c r="U579" s="564"/>
      <c r="V579" s="564"/>
      <c r="W579" s="564"/>
      <c r="X579" s="564"/>
      <c r="Y579" s="564"/>
      <c r="Z579" s="564"/>
      <c r="AA579" s="564"/>
      <c r="AB579" s="556"/>
      <c r="AC579" s="556"/>
      <c r="AD579" s="74"/>
      <c r="AE579" s="74"/>
      <c r="AF579" s="74"/>
      <c r="AG579" s="74"/>
      <c r="AH579" s="74"/>
      <c r="AI579" s="74"/>
      <c r="AJ579" s="74"/>
      <c r="AK579" s="74"/>
      <c r="AL579" s="74"/>
      <c r="AM579" s="74"/>
      <c r="AN579" s="74"/>
      <c r="AO579" s="74"/>
      <c r="AP579" s="74"/>
      <c r="AQ579" s="74"/>
      <c r="AR579" s="74"/>
      <c r="AS579" s="565"/>
      <c r="AT579" s="556"/>
      <c r="AU579" s="700"/>
    </row>
    <row r="580" spans="1:47" hidden="1" x14ac:dyDescent="0.45">
      <c r="A580" s="556"/>
      <c r="B580" s="556"/>
      <c r="C580" s="556"/>
      <c r="D580" s="556"/>
      <c r="E580" s="556"/>
      <c r="F580" s="564"/>
      <c r="G580" s="564"/>
      <c r="H580" s="564"/>
      <c r="I580" s="564"/>
      <c r="J580" s="564"/>
      <c r="K580" s="564"/>
      <c r="L580" s="564"/>
      <c r="M580" s="564"/>
      <c r="N580" s="564"/>
      <c r="O580" s="564"/>
      <c r="P580" s="564"/>
      <c r="Q580" s="564"/>
      <c r="R580" s="564"/>
      <c r="S580" s="564"/>
      <c r="T580" s="564"/>
      <c r="U580" s="564"/>
      <c r="V580" s="564"/>
      <c r="W580" s="564"/>
      <c r="X580" s="564"/>
      <c r="Y580" s="564"/>
      <c r="Z580" s="564"/>
      <c r="AA580" s="564"/>
      <c r="AB580" s="556"/>
      <c r="AC580" s="556"/>
      <c r="AD580" s="74"/>
      <c r="AE580" s="74"/>
      <c r="AF580" s="74"/>
      <c r="AG580" s="74"/>
      <c r="AH580" s="74"/>
      <c r="AI580" s="74"/>
      <c r="AJ580" s="74"/>
      <c r="AK580" s="74"/>
      <c r="AL580" s="74"/>
      <c r="AM580" s="74"/>
      <c r="AN580" s="74"/>
      <c r="AO580" s="74"/>
      <c r="AP580" s="74"/>
      <c r="AQ580" s="74"/>
      <c r="AR580" s="74"/>
      <c r="AS580" s="565"/>
      <c r="AT580" s="556"/>
      <c r="AU580" s="700"/>
    </row>
    <row r="581" spans="1:47" hidden="1" x14ac:dyDescent="0.45">
      <c r="A581" s="556"/>
      <c r="B581" s="556"/>
      <c r="C581" s="556"/>
      <c r="D581" s="556"/>
      <c r="E581" s="556"/>
      <c r="F581" s="564"/>
      <c r="G581" s="564"/>
      <c r="H581" s="564"/>
      <c r="I581" s="564"/>
      <c r="J581" s="564"/>
      <c r="K581" s="564"/>
      <c r="L581" s="564"/>
      <c r="M581" s="564"/>
      <c r="N581" s="564"/>
      <c r="O581" s="564"/>
      <c r="P581" s="564"/>
      <c r="Q581" s="564"/>
      <c r="R581" s="564"/>
      <c r="S581" s="564"/>
      <c r="T581" s="564"/>
      <c r="U581" s="564"/>
      <c r="V581" s="564"/>
      <c r="W581" s="564"/>
      <c r="X581" s="564"/>
      <c r="Y581" s="564"/>
      <c r="Z581" s="564"/>
      <c r="AA581" s="564"/>
      <c r="AB581" s="556"/>
      <c r="AC581" s="556"/>
      <c r="AD581" s="74"/>
      <c r="AE581" s="74"/>
      <c r="AF581" s="74"/>
      <c r="AG581" s="74"/>
      <c r="AH581" s="74"/>
      <c r="AI581" s="74"/>
      <c r="AJ581" s="74"/>
      <c r="AK581" s="74"/>
      <c r="AL581" s="74"/>
      <c r="AM581" s="74"/>
      <c r="AN581" s="74"/>
      <c r="AO581" s="74"/>
      <c r="AP581" s="74"/>
      <c r="AQ581" s="74"/>
      <c r="AR581" s="74"/>
      <c r="AS581" s="565"/>
      <c r="AT581" s="556"/>
      <c r="AU581" s="700"/>
    </row>
    <row r="582" spans="1:47" hidden="1" x14ac:dyDescent="0.45">
      <c r="A582" s="556"/>
      <c r="B582" s="556"/>
      <c r="C582" s="556"/>
      <c r="D582" s="556"/>
      <c r="E582" s="556"/>
      <c r="F582" s="564"/>
      <c r="G582" s="564"/>
      <c r="H582" s="564"/>
      <c r="I582" s="564"/>
      <c r="J582" s="564"/>
      <c r="K582" s="564"/>
      <c r="L582" s="564"/>
      <c r="M582" s="564"/>
      <c r="N582" s="564"/>
      <c r="O582" s="564"/>
      <c r="P582" s="564"/>
      <c r="Q582" s="564"/>
      <c r="R582" s="564"/>
      <c r="S582" s="564"/>
      <c r="T582" s="564"/>
      <c r="U582" s="564"/>
      <c r="V582" s="564"/>
      <c r="W582" s="564"/>
      <c r="X582" s="564"/>
      <c r="Y582" s="564"/>
      <c r="Z582" s="564"/>
      <c r="AA582" s="564"/>
      <c r="AB582" s="556"/>
      <c r="AC582" s="556"/>
      <c r="AD582" s="74"/>
      <c r="AE582" s="74"/>
      <c r="AF582" s="74"/>
      <c r="AG582" s="74"/>
      <c r="AH582" s="74"/>
      <c r="AI582" s="74"/>
      <c r="AJ582" s="74"/>
      <c r="AK582" s="74"/>
      <c r="AL582" s="74"/>
      <c r="AM582" s="74"/>
      <c r="AN582" s="74"/>
      <c r="AO582" s="74"/>
      <c r="AP582" s="74"/>
      <c r="AQ582" s="74"/>
      <c r="AR582" s="74"/>
      <c r="AS582" s="565"/>
      <c r="AT582" s="556"/>
      <c r="AU582" s="700"/>
    </row>
    <row r="583" spans="1:47" hidden="1" x14ac:dyDescent="0.45">
      <c r="A583" s="556"/>
      <c r="B583" s="556"/>
      <c r="C583" s="556"/>
      <c r="D583" s="556"/>
      <c r="E583" s="556"/>
      <c r="F583" s="564"/>
      <c r="G583" s="564"/>
      <c r="H583" s="564"/>
      <c r="I583" s="564"/>
      <c r="J583" s="564"/>
      <c r="K583" s="564"/>
      <c r="L583" s="564"/>
      <c r="M583" s="564"/>
      <c r="N583" s="564"/>
      <c r="O583" s="564"/>
      <c r="P583" s="564"/>
      <c r="Q583" s="564"/>
      <c r="R583" s="564"/>
      <c r="S583" s="564"/>
      <c r="T583" s="564"/>
      <c r="U583" s="564"/>
      <c r="V583" s="564"/>
      <c r="W583" s="564"/>
      <c r="X583" s="564"/>
      <c r="Y583" s="564"/>
      <c r="Z583" s="564"/>
      <c r="AA583" s="564"/>
      <c r="AB583" s="556"/>
      <c r="AC583" s="556"/>
      <c r="AD583" s="74"/>
      <c r="AE583" s="74"/>
      <c r="AF583" s="74"/>
      <c r="AG583" s="74"/>
      <c r="AH583" s="74"/>
      <c r="AI583" s="74"/>
      <c r="AJ583" s="74"/>
      <c r="AK583" s="74"/>
      <c r="AL583" s="74"/>
      <c r="AM583" s="74"/>
      <c r="AN583" s="74"/>
      <c r="AO583" s="74"/>
      <c r="AP583" s="74"/>
      <c r="AQ583" s="74"/>
      <c r="AR583" s="74"/>
      <c r="AS583" s="565"/>
      <c r="AT583" s="556"/>
      <c r="AU583" s="700"/>
    </row>
    <row r="584" spans="1:47" hidden="1" x14ac:dyDescent="0.45">
      <c r="A584" s="556"/>
      <c r="B584" s="556"/>
      <c r="C584" s="556"/>
      <c r="D584" s="556"/>
      <c r="E584" s="556"/>
      <c r="F584" s="564"/>
      <c r="G584" s="564"/>
      <c r="H584" s="564"/>
      <c r="I584" s="564"/>
      <c r="J584" s="564"/>
      <c r="K584" s="564"/>
      <c r="L584" s="564"/>
      <c r="M584" s="564"/>
      <c r="N584" s="564"/>
      <c r="O584" s="564"/>
      <c r="P584" s="564"/>
      <c r="Q584" s="564"/>
      <c r="R584" s="564"/>
      <c r="S584" s="564"/>
      <c r="T584" s="564"/>
      <c r="U584" s="564"/>
      <c r="V584" s="564"/>
      <c r="W584" s="564"/>
      <c r="X584" s="564"/>
      <c r="Y584" s="564"/>
      <c r="Z584" s="564"/>
      <c r="AA584" s="564"/>
      <c r="AB584" s="556"/>
      <c r="AC584" s="556"/>
      <c r="AD584" s="74"/>
      <c r="AE584" s="74"/>
      <c r="AF584" s="74"/>
      <c r="AG584" s="74"/>
      <c r="AH584" s="74"/>
      <c r="AI584" s="74"/>
      <c r="AJ584" s="74"/>
      <c r="AK584" s="74"/>
      <c r="AL584" s="74"/>
      <c r="AM584" s="74"/>
      <c r="AN584" s="74"/>
      <c r="AO584" s="74"/>
      <c r="AP584" s="74"/>
      <c r="AQ584" s="74"/>
      <c r="AR584" s="74"/>
      <c r="AS584" s="565"/>
      <c r="AT584" s="556"/>
      <c r="AU584" s="700"/>
    </row>
    <row r="585" spans="1:47" hidden="1" x14ac:dyDescent="0.45">
      <c r="A585" s="556"/>
      <c r="B585" s="556"/>
      <c r="C585" s="556"/>
      <c r="D585" s="556"/>
      <c r="E585" s="556"/>
      <c r="F585" s="564"/>
      <c r="G585" s="564"/>
      <c r="H585" s="564"/>
      <c r="I585" s="564"/>
      <c r="J585" s="564"/>
      <c r="K585" s="564"/>
      <c r="L585" s="564"/>
      <c r="M585" s="564"/>
      <c r="N585" s="564"/>
      <c r="O585" s="564"/>
      <c r="P585" s="564"/>
      <c r="Q585" s="564"/>
      <c r="R585" s="564"/>
      <c r="S585" s="564"/>
      <c r="T585" s="564"/>
      <c r="U585" s="564"/>
      <c r="V585" s="564"/>
      <c r="W585" s="564"/>
      <c r="X585" s="564"/>
      <c r="Y585" s="564"/>
      <c r="Z585" s="564"/>
      <c r="AA585" s="564"/>
      <c r="AB585" s="556"/>
      <c r="AC585" s="556"/>
      <c r="AD585" s="74"/>
      <c r="AE585" s="74"/>
      <c r="AF585" s="74"/>
      <c r="AG585" s="74"/>
      <c r="AH585" s="74"/>
      <c r="AI585" s="74"/>
      <c r="AJ585" s="74"/>
      <c r="AK585" s="74"/>
      <c r="AL585" s="74"/>
      <c r="AM585" s="74"/>
      <c r="AN585" s="74"/>
      <c r="AO585" s="74"/>
      <c r="AP585" s="74"/>
      <c r="AQ585" s="74"/>
      <c r="AR585" s="74"/>
      <c r="AS585" s="565"/>
      <c r="AT585" s="556"/>
      <c r="AU585" s="700"/>
    </row>
    <row r="586" spans="1:47" hidden="1" x14ac:dyDescent="0.45">
      <c r="A586" s="556"/>
      <c r="B586" s="556"/>
      <c r="C586" s="556"/>
      <c r="D586" s="556"/>
      <c r="E586" s="556"/>
      <c r="F586" s="564"/>
      <c r="G586" s="564"/>
      <c r="H586" s="564"/>
      <c r="I586" s="564"/>
      <c r="J586" s="564"/>
      <c r="K586" s="564"/>
      <c r="L586" s="564"/>
      <c r="M586" s="564"/>
      <c r="N586" s="564"/>
      <c r="O586" s="564"/>
      <c r="P586" s="564"/>
      <c r="Q586" s="564"/>
      <c r="R586" s="564"/>
      <c r="S586" s="564"/>
      <c r="T586" s="564"/>
      <c r="U586" s="564"/>
      <c r="V586" s="564"/>
      <c r="W586" s="564"/>
      <c r="X586" s="564"/>
      <c r="Y586" s="564"/>
      <c r="Z586" s="564"/>
      <c r="AA586" s="564"/>
      <c r="AB586" s="556"/>
      <c r="AC586" s="556"/>
      <c r="AD586" s="74"/>
      <c r="AE586" s="74"/>
      <c r="AF586" s="74"/>
      <c r="AG586" s="74"/>
      <c r="AH586" s="74"/>
      <c r="AI586" s="74"/>
      <c r="AJ586" s="74"/>
      <c r="AK586" s="74"/>
      <c r="AL586" s="74"/>
      <c r="AM586" s="74"/>
      <c r="AN586" s="74"/>
      <c r="AO586" s="74"/>
      <c r="AP586" s="74"/>
      <c r="AQ586" s="74"/>
      <c r="AR586" s="74"/>
      <c r="AS586" s="565"/>
      <c r="AT586" s="556"/>
      <c r="AU586" s="700"/>
    </row>
    <row r="587" spans="1:47" hidden="1" x14ac:dyDescent="0.45">
      <c r="A587" s="556"/>
      <c r="B587" s="556"/>
      <c r="C587" s="556"/>
      <c r="D587" s="556"/>
      <c r="E587" s="556"/>
      <c r="F587" s="564"/>
      <c r="G587" s="564"/>
      <c r="H587" s="564"/>
      <c r="I587" s="564"/>
      <c r="J587" s="564"/>
      <c r="K587" s="564"/>
      <c r="L587" s="564"/>
      <c r="M587" s="564"/>
      <c r="N587" s="564"/>
      <c r="O587" s="564"/>
      <c r="P587" s="564"/>
      <c r="Q587" s="564"/>
      <c r="R587" s="564"/>
      <c r="S587" s="564"/>
      <c r="T587" s="564"/>
      <c r="U587" s="564"/>
      <c r="V587" s="564"/>
      <c r="W587" s="564"/>
      <c r="X587" s="564"/>
      <c r="Y587" s="564"/>
      <c r="Z587" s="564"/>
      <c r="AA587" s="564"/>
      <c r="AB587" s="556"/>
      <c r="AC587" s="556"/>
      <c r="AD587" s="74"/>
      <c r="AE587" s="74"/>
      <c r="AF587" s="74"/>
      <c r="AG587" s="74"/>
      <c r="AH587" s="74"/>
      <c r="AI587" s="74"/>
      <c r="AJ587" s="74"/>
      <c r="AK587" s="74"/>
      <c r="AL587" s="74"/>
      <c r="AM587" s="74"/>
      <c r="AN587" s="74"/>
      <c r="AO587" s="74"/>
      <c r="AP587" s="74"/>
      <c r="AQ587" s="74"/>
      <c r="AR587" s="74"/>
      <c r="AS587" s="565"/>
      <c r="AT587" s="556"/>
      <c r="AU587" s="700"/>
    </row>
    <row r="588" spans="1:47" hidden="1" x14ac:dyDescent="0.45">
      <c r="A588" s="556"/>
      <c r="B588" s="556"/>
      <c r="C588" s="556"/>
      <c r="D588" s="556"/>
      <c r="E588" s="556"/>
      <c r="F588" s="564"/>
      <c r="G588" s="564"/>
      <c r="H588" s="564"/>
      <c r="I588" s="564"/>
      <c r="J588" s="564"/>
      <c r="K588" s="564"/>
      <c r="L588" s="564"/>
      <c r="M588" s="564"/>
      <c r="N588" s="564"/>
      <c r="O588" s="564"/>
      <c r="P588" s="564"/>
      <c r="Q588" s="564"/>
      <c r="R588" s="564"/>
      <c r="S588" s="564"/>
      <c r="T588" s="564"/>
      <c r="U588" s="564"/>
      <c r="V588" s="564"/>
      <c r="W588" s="564"/>
      <c r="X588" s="564"/>
      <c r="Y588" s="564"/>
      <c r="Z588" s="564"/>
      <c r="AA588" s="564"/>
      <c r="AB588" s="556"/>
      <c r="AC588" s="556"/>
      <c r="AD588" s="74"/>
      <c r="AE588" s="74"/>
      <c r="AF588" s="74"/>
      <c r="AG588" s="74"/>
      <c r="AH588" s="74"/>
      <c r="AI588" s="74"/>
      <c r="AJ588" s="74"/>
      <c r="AK588" s="74"/>
      <c r="AL588" s="74"/>
      <c r="AM588" s="74"/>
      <c r="AN588" s="74"/>
      <c r="AO588" s="74"/>
      <c r="AP588" s="74"/>
      <c r="AQ588" s="74"/>
      <c r="AR588" s="74"/>
      <c r="AS588" s="565"/>
      <c r="AT588" s="556"/>
      <c r="AU588" s="700"/>
    </row>
    <row r="589" spans="1:47" hidden="1" x14ac:dyDescent="0.45">
      <c r="A589" s="556"/>
      <c r="B589" s="556"/>
      <c r="C589" s="556"/>
      <c r="D589" s="556"/>
      <c r="E589" s="556"/>
      <c r="F589" s="564"/>
      <c r="G589" s="564"/>
      <c r="H589" s="564"/>
      <c r="I589" s="564"/>
      <c r="J589" s="564"/>
      <c r="K589" s="564"/>
      <c r="L589" s="564"/>
      <c r="M589" s="564"/>
      <c r="N589" s="564"/>
      <c r="O589" s="564"/>
      <c r="P589" s="564"/>
      <c r="Q589" s="564"/>
      <c r="R589" s="564"/>
      <c r="S589" s="564"/>
      <c r="T589" s="564"/>
      <c r="U589" s="564"/>
      <c r="V589" s="564"/>
      <c r="W589" s="564"/>
      <c r="X589" s="564"/>
      <c r="Y589" s="564"/>
      <c r="Z589" s="564"/>
      <c r="AA589" s="564"/>
      <c r="AB589" s="556"/>
      <c r="AC589" s="556"/>
      <c r="AD589" s="74"/>
      <c r="AE589" s="74"/>
      <c r="AF589" s="74"/>
      <c r="AG589" s="74"/>
      <c r="AH589" s="74"/>
      <c r="AI589" s="74"/>
      <c r="AJ589" s="74"/>
      <c r="AK589" s="74"/>
      <c r="AL589" s="74"/>
      <c r="AM589" s="74"/>
      <c r="AN589" s="74"/>
      <c r="AO589" s="74"/>
      <c r="AP589" s="74"/>
      <c r="AQ589" s="74"/>
      <c r="AR589" s="74"/>
      <c r="AS589" s="565"/>
      <c r="AT589" s="556"/>
      <c r="AU589" s="700"/>
    </row>
    <row r="590" spans="1:47" hidden="1" x14ac:dyDescent="0.45">
      <c r="A590" s="556"/>
      <c r="B590" s="556"/>
      <c r="C590" s="556"/>
      <c r="D590" s="556"/>
      <c r="E590" s="556"/>
      <c r="F590" s="564"/>
      <c r="G590" s="564"/>
      <c r="H590" s="564"/>
      <c r="I590" s="564"/>
      <c r="J590" s="564"/>
      <c r="K590" s="564"/>
      <c r="L590" s="564"/>
      <c r="M590" s="564"/>
      <c r="N590" s="564"/>
      <c r="O590" s="564"/>
      <c r="P590" s="564"/>
      <c r="Q590" s="564"/>
      <c r="R590" s="564"/>
      <c r="S590" s="564"/>
      <c r="T590" s="564"/>
      <c r="U590" s="564"/>
      <c r="V590" s="564"/>
      <c r="W590" s="564"/>
      <c r="X590" s="564"/>
      <c r="Y590" s="564"/>
      <c r="Z590" s="564"/>
      <c r="AA590" s="564"/>
      <c r="AB590" s="556"/>
      <c r="AC590" s="556"/>
      <c r="AD590" s="74"/>
      <c r="AE590" s="74"/>
      <c r="AF590" s="74"/>
      <c r="AG590" s="74"/>
      <c r="AH590" s="74"/>
      <c r="AI590" s="74"/>
      <c r="AJ590" s="74"/>
      <c r="AK590" s="74"/>
      <c r="AL590" s="74"/>
      <c r="AM590" s="74"/>
      <c r="AN590" s="74"/>
      <c r="AO590" s="74"/>
      <c r="AP590" s="74"/>
      <c r="AQ590" s="74"/>
      <c r="AR590" s="74"/>
      <c r="AS590" s="565"/>
      <c r="AT590" s="556"/>
      <c r="AU590" s="700"/>
    </row>
    <row r="591" spans="1:47" hidden="1" x14ac:dyDescent="0.45">
      <c r="A591" s="556"/>
      <c r="B591" s="556"/>
      <c r="C591" s="556"/>
      <c r="D591" s="556"/>
      <c r="E591" s="556"/>
      <c r="F591" s="564"/>
      <c r="G591" s="564"/>
      <c r="H591" s="564"/>
      <c r="I591" s="564"/>
      <c r="J591" s="564"/>
      <c r="K591" s="564"/>
      <c r="L591" s="564"/>
      <c r="M591" s="564"/>
      <c r="N591" s="564"/>
      <c r="O591" s="564"/>
      <c r="P591" s="564"/>
      <c r="Q591" s="564"/>
      <c r="R591" s="564"/>
      <c r="S591" s="564"/>
      <c r="T591" s="564"/>
      <c r="U591" s="564"/>
      <c r="V591" s="564"/>
      <c r="W591" s="564"/>
      <c r="X591" s="564"/>
      <c r="Y591" s="564"/>
      <c r="Z591" s="564"/>
      <c r="AA591" s="564"/>
      <c r="AB591" s="556"/>
      <c r="AC591" s="556"/>
      <c r="AD591" s="74"/>
      <c r="AE591" s="74"/>
      <c r="AF591" s="74"/>
      <c r="AG591" s="74"/>
      <c r="AH591" s="74"/>
      <c r="AI591" s="74"/>
      <c r="AJ591" s="74"/>
      <c r="AK591" s="74"/>
      <c r="AL591" s="74"/>
      <c r="AM591" s="74"/>
      <c r="AN591" s="74"/>
      <c r="AO591" s="74"/>
      <c r="AP591" s="74"/>
      <c r="AQ591" s="74"/>
      <c r="AR591" s="74"/>
      <c r="AS591" s="565"/>
      <c r="AT591" s="556"/>
      <c r="AU591" s="700"/>
    </row>
    <row r="592" spans="1:47" hidden="1" x14ac:dyDescent="0.45">
      <c r="A592" s="556"/>
      <c r="B592" s="556"/>
      <c r="C592" s="556"/>
      <c r="D592" s="556"/>
      <c r="E592" s="556"/>
      <c r="F592" s="564"/>
      <c r="G592" s="564"/>
      <c r="H592" s="564"/>
      <c r="I592" s="564"/>
      <c r="J592" s="564"/>
      <c r="K592" s="564"/>
      <c r="L592" s="564"/>
      <c r="M592" s="564"/>
      <c r="N592" s="564"/>
      <c r="O592" s="564"/>
      <c r="P592" s="564"/>
      <c r="Q592" s="564"/>
      <c r="R592" s="564"/>
      <c r="S592" s="564"/>
      <c r="T592" s="564"/>
      <c r="U592" s="564"/>
      <c r="V592" s="564"/>
      <c r="W592" s="564"/>
      <c r="X592" s="564"/>
      <c r="Y592" s="564"/>
      <c r="Z592" s="564"/>
      <c r="AA592" s="564"/>
      <c r="AB592" s="556"/>
      <c r="AC592" s="556"/>
      <c r="AD592" s="74"/>
      <c r="AE592" s="74"/>
      <c r="AF592" s="74"/>
      <c r="AG592" s="74"/>
      <c r="AH592" s="74"/>
      <c r="AI592" s="74"/>
      <c r="AJ592" s="74"/>
      <c r="AK592" s="74"/>
      <c r="AL592" s="74"/>
      <c r="AM592" s="74"/>
      <c r="AN592" s="74"/>
      <c r="AO592" s="74"/>
      <c r="AP592" s="74"/>
      <c r="AQ592" s="74"/>
      <c r="AR592" s="74"/>
      <c r="AS592" s="565"/>
      <c r="AT592" s="556"/>
      <c r="AU592" s="700"/>
    </row>
    <row r="593" spans="1:47" hidden="1" x14ac:dyDescent="0.45">
      <c r="A593" s="556"/>
      <c r="B593" s="556"/>
      <c r="C593" s="556"/>
      <c r="D593" s="556"/>
      <c r="E593" s="556"/>
      <c r="F593" s="564"/>
      <c r="G593" s="564"/>
      <c r="H593" s="564"/>
      <c r="I593" s="564"/>
      <c r="J593" s="564"/>
      <c r="K593" s="564"/>
      <c r="L593" s="564"/>
      <c r="M593" s="564"/>
      <c r="N593" s="564"/>
      <c r="O593" s="564"/>
      <c r="P593" s="564"/>
      <c r="Q593" s="564"/>
      <c r="R593" s="564"/>
      <c r="S593" s="564"/>
      <c r="T593" s="564"/>
      <c r="U593" s="564"/>
      <c r="V593" s="564"/>
      <c r="W593" s="564"/>
      <c r="X593" s="564"/>
      <c r="Y593" s="564"/>
      <c r="Z593" s="564"/>
      <c r="AA593" s="564"/>
      <c r="AB593" s="556"/>
      <c r="AC593" s="556"/>
      <c r="AD593" s="74"/>
      <c r="AE593" s="74"/>
      <c r="AF593" s="74"/>
      <c r="AG593" s="74"/>
      <c r="AH593" s="74"/>
      <c r="AI593" s="74"/>
      <c r="AJ593" s="74"/>
      <c r="AK593" s="74"/>
      <c r="AL593" s="74"/>
      <c r="AM593" s="74"/>
      <c r="AN593" s="74"/>
      <c r="AO593" s="74"/>
      <c r="AP593" s="74"/>
      <c r="AQ593" s="74"/>
      <c r="AR593" s="74"/>
      <c r="AS593" s="565"/>
      <c r="AT593" s="556"/>
      <c r="AU593" s="700"/>
    </row>
    <row r="594" spans="1:47" hidden="1" x14ac:dyDescent="0.45">
      <c r="A594" s="556"/>
      <c r="B594" s="556"/>
      <c r="C594" s="556"/>
      <c r="D594" s="556"/>
      <c r="E594" s="556"/>
      <c r="F594" s="564"/>
      <c r="G594" s="564"/>
      <c r="H594" s="564"/>
      <c r="I594" s="564"/>
      <c r="J594" s="564"/>
      <c r="K594" s="564"/>
      <c r="L594" s="564"/>
      <c r="M594" s="564"/>
      <c r="N594" s="564"/>
      <c r="O594" s="564"/>
      <c r="P594" s="564"/>
      <c r="Q594" s="564"/>
      <c r="R594" s="564"/>
      <c r="S594" s="564"/>
      <c r="T594" s="564"/>
      <c r="U594" s="564"/>
      <c r="V594" s="564"/>
      <c r="W594" s="564"/>
      <c r="X594" s="564"/>
      <c r="Y594" s="564"/>
      <c r="Z594" s="564"/>
      <c r="AA594" s="564"/>
      <c r="AB594" s="556"/>
      <c r="AC594" s="556"/>
      <c r="AD594" s="74"/>
      <c r="AE594" s="74"/>
      <c r="AF594" s="74"/>
      <c r="AG594" s="74"/>
      <c r="AH594" s="74"/>
      <c r="AI594" s="74"/>
      <c r="AJ594" s="74"/>
      <c r="AK594" s="74"/>
      <c r="AL594" s="74"/>
      <c r="AM594" s="74"/>
      <c r="AN594" s="74"/>
      <c r="AO594" s="74"/>
      <c r="AP594" s="74"/>
      <c r="AQ594" s="74"/>
      <c r="AR594" s="74"/>
      <c r="AS594" s="565"/>
      <c r="AT594" s="556"/>
      <c r="AU594" s="700"/>
    </row>
    <row r="595" spans="1:47" hidden="1" x14ac:dyDescent="0.45">
      <c r="A595" s="556"/>
      <c r="B595" s="556"/>
      <c r="C595" s="556"/>
      <c r="D595" s="556"/>
      <c r="E595" s="556"/>
      <c r="F595" s="564"/>
      <c r="G595" s="564"/>
      <c r="H595" s="564"/>
      <c r="I595" s="564"/>
      <c r="J595" s="564"/>
      <c r="K595" s="564"/>
      <c r="L595" s="564"/>
      <c r="M595" s="564"/>
      <c r="N595" s="564"/>
      <c r="O595" s="564"/>
      <c r="P595" s="564"/>
      <c r="Q595" s="564"/>
      <c r="R595" s="564"/>
      <c r="S595" s="564"/>
      <c r="T595" s="564"/>
      <c r="U595" s="564"/>
      <c r="V595" s="564"/>
      <c r="W595" s="564"/>
      <c r="X595" s="564"/>
      <c r="Y595" s="564"/>
      <c r="Z595" s="564"/>
      <c r="AA595" s="564"/>
      <c r="AB595" s="556"/>
      <c r="AC595" s="556"/>
      <c r="AD595" s="74"/>
      <c r="AE595" s="74"/>
      <c r="AF595" s="74"/>
      <c r="AG595" s="74"/>
      <c r="AH595" s="74"/>
      <c r="AI595" s="74"/>
      <c r="AJ595" s="74"/>
      <c r="AK595" s="74"/>
      <c r="AL595" s="74"/>
      <c r="AM595" s="74"/>
      <c r="AN595" s="74"/>
      <c r="AO595" s="74"/>
      <c r="AP595" s="74"/>
      <c r="AQ595" s="74"/>
      <c r="AR595" s="74"/>
      <c r="AS595" s="565"/>
      <c r="AT595" s="556"/>
      <c r="AU595" s="700"/>
    </row>
    <row r="596" spans="1:47" hidden="1" x14ac:dyDescent="0.45">
      <c r="A596" s="556"/>
      <c r="B596" s="556"/>
      <c r="C596" s="556"/>
      <c r="D596" s="556"/>
      <c r="E596" s="556"/>
      <c r="F596" s="564"/>
      <c r="G596" s="564"/>
      <c r="H596" s="564"/>
      <c r="I596" s="564"/>
      <c r="J596" s="564"/>
      <c r="K596" s="564"/>
      <c r="L596" s="564"/>
      <c r="M596" s="564"/>
      <c r="N596" s="564"/>
      <c r="O596" s="564"/>
      <c r="P596" s="564"/>
      <c r="Q596" s="564"/>
      <c r="R596" s="564"/>
      <c r="S596" s="564"/>
      <c r="T596" s="564"/>
      <c r="U596" s="564"/>
      <c r="V596" s="564"/>
      <c r="W596" s="564"/>
      <c r="X596" s="564"/>
      <c r="Y596" s="564"/>
      <c r="Z596" s="564"/>
      <c r="AA596" s="564"/>
      <c r="AB596" s="556"/>
      <c r="AC596" s="556"/>
      <c r="AD596" s="74"/>
      <c r="AE596" s="74"/>
      <c r="AF596" s="74"/>
      <c r="AG596" s="74"/>
      <c r="AH596" s="74"/>
      <c r="AI596" s="74"/>
      <c r="AJ596" s="74"/>
      <c r="AK596" s="74"/>
      <c r="AL596" s="74"/>
      <c r="AM596" s="74"/>
      <c r="AN596" s="74"/>
      <c r="AO596" s="74"/>
      <c r="AP596" s="74"/>
      <c r="AQ596" s="74"/>
      <c r="AR596" s="74"/>
      <c r="AS596" s="565"/>
      <c r="AT596" s="556"/>
      <c r="AU596" s="700"/>
    </row>
    <row r="597" spans="1:47" hidden="1" x14ac:dyDescent="0.45">
      <c r="A597" s="556"/>
      <c r="B597" s="556"/>
      <c r="C597" s="556"/>
      <c r="D597" s="556"/>
      <c r="E597" s="556"/>
      <c r="F597" s="564"/>
      <c r="G597" s="564"/>
      <c r="H597" s="564"/>
      <c r="I597" s="564"/>
      <c r="J597" s="564"/>
      <c r="K597" s="564"/>
      <c r="L597" s="564"/>
      <c r="M597" s="564"/>
      <c r="N597" s="564"/>
      <c r="O597" s="564"/>
      <c r="P597" s="564"/>
      <c r="Q597" s="564"/>
      <c r="R597" s="564"/>
      <c r="S597" s="564"/>
      <c r="T597" s="564"/>
      <c r="U597" s="564"/>
      <c r="V597" s="564"/>
      <c r="W597" s="564"/>
      <c r="X597" s="564"/>
      <c r="Y597" s="564"/>
      <c r="Z597" s="564"/>
      <c r="AA597" s="564"/>
      <c r="AB597" s="556"/>
      <c r="AC597" s="556"/>
      <c r="AD597" s="74"/>
      <c r="AE597" s="74"/>
      <c r="AF597" s="74"/>
      <c r="AG597" s="74"/>
      <c r="AH597" s="74"/>
      <c r="AI597" s="74"/>
      <c r="AJ597" s="74"/>
      <c r="AK597" s="74"/>
      <c r="AL597" s="74"/>
      <c r="AM597" s="74"/>
      <c r="AN597" s="74"/>
      <c r="AO597" s="74"/>
      <c r="AP597" s="74"/>
      <c r="AQ597" s="74"/>
      <c r="AR597" s="74"/>
      <c r="AS597" s="565"/>
      <c r="AT597" s="556"/>
      <c r="AU597" s="700"/>
    </row>
    <row r="598" spans="1:47" hidden="1" x14ac:dyDescent="0.45">
      <c r="A598" s="556"/>
      <c r="B598" s="556"/>
      <c r="C598" s="556"/>
      <c r="D598" s="556"/>
      <c r="E598" s="556"/>
      <c r="F598" s="564"/>
      <c r="G598" s="564"/>
      <c r="H598" s="564"/>
      <c r="I598" s="564"/>
      <c r="J598" s="564"/>
      <c r="K598" s="564"/>
      <c r="L598" s="564"/>
      <c r="M598" s="564"/>
      <c r="N598" s="564"/>
      <c r="O598" s="564"/>
      <c r="P598" s="564"/>
      <c r="Q598" s="564"/>
      <c r="R598" s="564"/>
      <c r="S598" s="564"/>
      <c r="T598" s="564"/>
      <c r="U598" s="564"/>
      <c r="V598" s="564"/>
      <c r="W598" s="564"/>
      <c r="X598" s="564"/>
      <c r="Y598" s="564"/>
      <c r="Z598" s="564"/>
      <c r="AA598" s="564"/>
      <c r="AB598" s="556"/>
      <c r="AC598" s="556"/>
      <c r="AD598" s="74"/>
      <c r="AE598" s="74"/>
      <c r="AF598" s="74"/>
      <c r="AG598" s="74"/>
      <c r="AH598" s="74"/>
      <c r="AI598" s="74"/>
      <c r="AJ598" s="74"/>
      <c r="AK598" s="74"/>
      <c r="AL598" s="74"/>
      <c r="AM598" s="74"/>
      <c r="AN598" s="74"/>
      <c r="AO598" s="74"/>
      <c r="AP598" s="74"/>
      <c r="AQ598" s="74"/>
      <c r="AR598" s="74"/>
      <c r="AS598" s="565"/>
      <c r="AT598" s="556"/>
      <c r="AU598" s="700"/>
    </row>
    <row r="599" spans="1:47" hidden="1" x14ac:dyDescent="0.45">
      <c r="A599" s="556"/>
      <c r="B599" s="556"/>
      <c r="C599" s="556"/>
      <c r="D599" s="556"/>
      <c r="E599" s="556"/>
      <c r="F599" s="564"/>
      <c r="G599" s="564"/>
      <c r="H599" s="564"/>
      <c r="I599" s="564"/>
      <c r="J599" s="564"/>
      <c r="K599" s="564"/>
      <c r="L599" s="564"/>
      <c r="M599" s="564"/>
      <c r="N599" s="564"/>
      <c r="O599" s="564"/>
      <c r="P599" s="564"/>
      <c r="Q599" s="564"/>
      <c r="R599" s="564"/>
      <c r="S599" s="564"/>
      <c r="T599" s="564"/>
      <c r="U599" s="564"/>
      <c r="V599" s="564"/>
      <c r="W599" s="564"/>
      <c r="X599" s="564"/>
      <c r="Y599" s="564"/>
      <c r="Z599" s="564"/>
      <c r="AA599" s="564"/>
      <c r="AB599" s="556"/>
      <c r="AC599" s="556"/>
      <c r="AD599" s="74"/>
      <c r="AE599" s="74"/>
      <c r="AF599" s="74"/>
      <c r="AG599" s="74"/>
      <c r="AH599" s="74"/>
      <c r="AI599" s="74"/>
      <c r="AJ599" s="74"/>
      <c r="AK599" s="74"/>
      <c r="AL599" s="74"/>
      <c r="AM599" s="74"/>
      <c r="AN599" s="74"/>
      <c r="AO599" s="74"/>
      <c r="AP599" s="74"/>
      <c r="AQ599" s="74"/>
      <c r="AR599" s="74"/>
      <c r="AS599" s="565"/>
      <c r="AT599" s="556"/>
      <c r="AU599" s="700"/>
    </row>
    <row r="600" spans="1:47" hidden="1" x14ac:dyDescent="0.45">
      <c r="A600" s="556"/>
      <c r="B600" s="556"/>
      <c r="C600" s="556"/>
      <c r="D600" s="556"/>
      <c r="E600" s="556"/>
      <c r="F600" s="564"/>
      <c r="G600" s="564"/>
      <c r="H600" s="564"/>
      <c r="I600" s="564"/>
      <c r="J600" s="564"/>
      <c r="K600" s="564"/>
      <c r="L600" s="564"/>
      <c r="M600" s="564"/>
      <c r="N600" s="564"/>
      <c r="O600" s="564"/>
      <c r="P600" s="564"/>
      <c r="Q600" s="564"/>
      <c r="R600" s="564"/>
      <c r="S600" s="564"/>
      <c r="T600" s="564"/>
      <c r="U600" s="564"/>
      <c r="V600" s="564"/>
      <c r="W600" s="564"/>
      <c r="X600" s="564"/>
      <c r="Y600" s="564"/>
      <c r="Z600" s="564"/>
      <c r="AA600" s="564"/>
      <c r="AB600" s="556"/>
      <c r="AC600" s="556"/>
      <c r="AD600" s="74"/>
      <c r="AE600" s="74"/>
      <c r="AF600" s="74"/>
      <c r="AG600" s="74"/>
      <c r="AH600" s="74"/>
      <c r="AI600" s="74"/>
      <c r="AJ600" s="74"/>
      <c r="AK600" s="74"/>
      <c r="AL600" s="74"/>
      <c r="AM600" s="74"/>
      <c r="AN600" s="74"/>
      <c r="AO600" s="74"/>
      <c r="AP600" s="74"/>
      <c r="AQ600" s="74"/>
      <c r="AR600" s="74"/>
      <c r="AS600" s="565"/>
      <c r="AT600" s="556"/>
      <c r="AU600" s="700"/>
    </row>
    <row r="601" spans="1:47" hidden="1" x14ac:dyDescent="0.45">
      <c r="A601" s="556"/>
      <c r="B601" s="556"/>
      <c r="C601" s="556"/>
      <c r="D601" s="556"/>
      <c r="E601" s="556"/>
      <c r="F601" s="564"/>
      <c r="G601" s="564"/>
      <c r="H601" s="564"/>
      <c r="I601" s="564"/>
      <c r="J601" s="564"/>
      <c r="K601" s="564"/>
      <c r="L601" s="564"/>
      <c r="M601" s="564"/>
      <c r="N601" s="564"/>
      <c r="O601" s="564"/>
      <c r="P601" s="564"/>
      <c r="Q601" s="564"/>
      <c r="R601" s="564"/>
      <c r="S601" s="564"/>
      <c r="T601" s="564"/>
      <c r="U601" s="564"/>
      <c r="V601" s="564"/>
      <c r="W601" s="564"/>
      <c r="X601" s="564"/>
      <c r="Y601" s="564"/>
      <c r="Z601" s="564"/>
      <c r="AA601" s="564"/>
      <c r="AB601" s="556"/>
      <c r="AC601" s="556"/>
      <c r="AD601" s="74"/>
      <c r="AE601" s="74"/>
      <c r="AF601" s="74"/>
      <c r="AG601" s="74"/>
      <c r="AH601" s="74"/>
      <c r="AI601" s="74"/>
      <c r="AJ601" s="74"/>
      <c r="AK601" s="74"/>
      <c r="AL601" s="74"/>
      <c r="AM601" s="74"/>
      <c r="AN601" s="74"/>
      <c r="AO601" s="74"/>
      <c r="AP601" s="74"/>
      <c r="AQ601" s="74"/>
      <c r="AR601" s="74"/>
      <c r="AS601" s="565"/>
      <c r="AT601" s="556"/>
      <c r="AU601" s="700"/>
    </row>
    <row r="602" spans="1:47" hidden="1" x14ac:dyDescent="0.45">
      <c r="A602" s="556"/>
      <c r="B602" s="556"/>
      <c r="C602" s="556"/>
      <c r="D602" s="556"/>
      <c r="E602" s="556"/>
      <c r="F602" s="564"/>
      <c r="G602" s="564"/>
      <c r="H602" s="564"/>
      <c r="I602" s="564"/>
      <c r="J602" s="564"/>
      <c r="K602" s="564"/>
      <c r="L602" s="564"/>
      <c r="M602" s="564"/>
      <c r="N602" s="564"/>
      <c r="O602" s="564"/>
      <c r="P602" s="564"/>
      <c r="Q602" s="564"/>
      <c r="R602" s="564"/>
      <c r="S602" s="564"/>
      <c r="T602" s="564"/>
      <c r="U602" s="564"/>
      <c r="V602" s="564"/>
      <c r="W602" s="564"/>
      <c r="X602" s="564"/>
      <c r="Y602" s="564"/>
      <c r="Z602" s="564"/>
      <c r="AA602" s="564"/>
      <c r="AB602" s="556"/>
      <c r="AC602" s="556"/>
      <c r="AD602" s="74"/>
      <c r="AE602" s="74"/>
      <c r="AF602" s="74"/>
      <c r="AG602" s="74"/>
      <c r="AH602" s="74"/>
      <c r="AI602" s="74"/>
      <c r="AJ602" s="74"/>
      <c r="AK602" s="74"/>
      <c r="AL602" s="74"/>
      <c r="AM602" s="74"/>
      <c r="AN602" s="74"/>
      <c r="AO602" s="74"/>
      <c r="AP602" s="74"/>
      <c r="AQ602" s="74"/>
      <c r="AR602" s="74"/>
      <c r="AS602" s="565"/>
      <c r="AT602" s="556"/>
      <c r="AU602" s="700"/>
    </row>
    <row r="603" spans="1:47" hidden="1" x14ac:dyDescent="0.45">
      <c r="A603" s="556"/>
      <c r="B603" s="556"/>
      <c r="C603" s="556"/>
      <c r="D603" s="556"/>
      <c r="E603" s="556"/>
      <c r="F603" s="564"/>
      <c r="G603" s="564"/>
      <c r="H603" s="564"/>
      <c r="I603" s="564"/>
      <c r="J603" s="564"/>
      <c r="K603" s="564"/>
      <c r="L603" s="564"/>
      <c r="M603" s="564"/>
      <c r="N603" s="564"/>
      <c r="O603" s="564"/>
      <c r="P603" s="564"/>
      <c r="Q603" s="564"/>
      <c r="R603" s="564"/>
      <c r="S603" s="564"/>
      <c r="T603" s="564"/>
      <c r="U603" s="564"/>
      <c r="V603" s="564"/>
      <c r="W603" s="564"/>
      <c r="X603" s="564"/>
      <c r="Y603" s="564"/>
      <c r="Z603" s="564"/>
      <c r="AA603" s="564"/>
      <c r="AB603" s="556"/>
      <c r="AC603" s="556"/>
      <c r="AD603" s="74"/>
      <c r="AE603" s="74"/>
      <c r="AF603" s="74"/>
      <c r="AG603" s="74"/>
      <c r="AH603" s="74"/>
      <c r="AI603" s="74"/>
      <c r="AJ603" s="74"/>
      <c r="AK603" s="74"/>
      <c r="AL603" s="74"/>
      <c r="AM603" s="74"/>
      <c r="AN603" s="74"/>
      <c r="AO603" s="74"/>
      <c r="AP603" s="74"/>
      <c r="AQ603" s="74"/>
      <c r="AR603" s="74"/>
      <c r="AS603" s="565"/>
      <c r="AT603" s="556"/>
      <c r="AU603" s="700"/>
    </row>
    <row r="604" spans="1:47" hidden="1" x14ac:dyDescent="0.45">
      <c r="A604" s="556"/>
      <c r="B604" s="556"/>
      <c r="C604" s="556"/>
      <c r="D604" s="556"/>
      <c r="E604" s="556"/>
      <c r="F604" s="564"/>
      <c r="G604" s="564"/>
      <c r="H604" s="564"/>
      <c r="I604" s="564"/>
      <c r="J604" s="564"/>
      <c r="K604" s="564"/>
      <c r="L604" s="564"/>
      <c r="M604" s="564"/>
      <c r="N604" s="564"/>
      <c r="O604" s="564"/>
      <c r="P604" s="564"/>
      <c r="Q604" s="564"/>
      <c r="R604" s="564"/>
      <c r="S604" s="564"/>
      <c r="T604" s="564"/>
      <c r="U604" s="564"/>
      <c r="V604" s="564"/>
      <c r="W604" s="564"/>
      <c r="X604" s="564"/>
      <c r="Y604" s="564"/>
      <c r="Z604" s="564"/>
      <c r="AA604" s="564"/>
      <c r="AB604" s="556"/>
      <c r="AC604" s="556"/>
      <c r="AD604" s="74"/>
      <c r="AE604" s="74"/>
      <c r="AF604" s="74"/>
      <c r="AG604" s="74"/>
      <c r="AH604" s="74"/>
      <c r="AI604" s="74"/>
      <c r="AJ604" s="74"/>
      <c r="AK604" s="74"/>
      <c r="AL604" s="74"/>
      <c r="AM604" s="74"/>
      <c r="AN604" s="74"/>
      <c r="AO604" s="74"/>
      <c r="AP604" s="74"/>
      <c r="AQ604" s="74"/>
      <c r="AR604" s="74"/>
      <c r="AS604" s="565"/>
      <c r="AT604" s="556"/>
      <c r="AU604" s="700"/>
    </row>
    <row r="605" spans="1:47" hidden="1" x14ac:dyDescent="0.45">
      <c r="A605" s="556"/>
      <c r="B605" s="556"/>
      <c r="C605" s="556"/>
      <c r="D605" s="556"/>
      <c r="E605" s="556"/>
      <c r="F605" s="564"/>
      <c r="G605" s="564"/>
      <c r="H605" s="564"/>
      <c r="I605" s="564"/>
      <c r="J605" s="564"/>
      <c r="K605" s="564"/>
      <c r="L605" s="564"/>
      <c r="M605" s="564"/>
      <c r="N605" s="564"/>
      <c r="O605" s="564"/>
      <c r="P605" s="564"/>
      <c r="Q605" s="564"/>
      <c r="R605" s="564"/>
      <c r="S605" s="564"/>
      <c r="T605" s="564"/>
      <c r="U605" s="564"/>
      <c r="V605" s="564"/>
      <c r="W605" s="564"/>
      <c r="X605" s="564"/>
      <c r="Y605" s="564"/>
      <c r="Z605" s="564"/>
      <c r="AA605" s="564"/>
      <c r="AB605" s="556"/>
      <c r="AC605" s="556"/>
      <c r="AD605" s="74"/>
      <c r="AE605" s="74"/>
      <c r="AF605" s="74"/>
      <c r="AG605" s="74"/>
      <c r="AH605" s="74"/>
      <c r="AI605" s="74"/>
      <c r="AJ605" s="74"/>
      <c r="AK605" s="74"/>
      <c r="AL605" s="74"/>
      <c r="AM605" s="74"/>
      <c r="AN605" s="74"/>
      <c r="AO605" s="74"/>
      <c r="AP605" s="74"/>
      <c r="AQ605" s="74"/>
      <c r="AR605" s="74"/>
      <c r="AS605" s="565"/>
      <c r="AT605" s="556"/>
      <c r="AU605" s="700"/>
    </row>
    <row r="606" spans="1:47" hidden="1" x14ac:dyDescent="0.45">
      <c r="A606" s="556"/>
      <c r="B606" s="556"/>
      <c r="C606" s="556"/>
      <c r="D606" s="556"/>
      <c r="E606" s="556"/>
      <c r="F606" s="564"/>
      <c r="G606" s="564"/>
      <c r="H606" s="564"/>
      <c r="I606" s="564"/>
      <c r="J606" s="564"/>
      <c r="K606" s="564"/>
      <c r="L606" s="564"/>
      <c r="M606" s="564"/>
      <c r="N606" s="564"/>
      <c r="O606" s="564"/>
      <c r="P606" s="564"/>
      <c r="Q606" s="564"/>
      <c r="R606" s="564"/>
      <c r="S606" s="564"/>
      <c r="T606" s="564"/>
      <c r="U606" s="564"/>
      <c r="V606" s="564"/>
      <c r="W606" s="564"/>
      <c r="X606" s="564"/>
      <c r="Y606" s="564"/>
      <c r="Z606" s="564"/>
      <c r="AA606" s="564"/>
      <c r="AB606" s="556"/>
      <c r="AC606" s="556"/>
      <c r="AD606" s="74"/>
      <c r="AE606" s="74"/>
      <c r="AF606" s="74"/>
      <c r="AG606" s="74"/>
      <c r="AH606" s="74"/>
      <c r="AI606" s="74"/>
      <c r="AJ606" s="74"/>
      <c r="AK606" s="74"/>
      <c r="AL606" s="74"/>
      <c r="AM606" s="74"/>
      <c r="AN606" s="74"/>
      <c r="AO606" s="74"/>
      <c r="AP606" s="74"/>
      <c r="AQ606" s="74"/>
      <c r="AR606" s="74"/>
      <c r="AS606" s="565"/>
      <c r="AT606" s="556"/>
      <c r="AU606" s="700"/>
    </row>
    <row r="607" spans="1:47" hidden="1" x14ac:dyDescent="0.45">
      <c r="A607" s="556"/>
      <c r="B607" s="556"/>
      <c r="C607" s="556"/>
      <c r="D607" s="556"/>
      <c r="E607" s="556"/>
      <c r="F607" s="564"/>
      <c r="G607" s="564"/>
      <c r="H607" s="564"/>
      <c r="I607" s="564"/>
      <c r="J607" s="564"/>
      <c r="K607" s="564"/>
      <c r="L607" s="564"/>
      <c r="M607" s="564"/>
      <c r="N607" s="564"/>
      <c r="O607" s="564"/>
      <c r="P607" s="564"/>
      <c r="Q607" s="564"/>
      <c r="R607" s="564"/>
      <c r="S607" s="564"/>
      <c r="T607" s="564"/>
      <c r="U607" s="564"/>
      <c r="V607" s="564"/>
      <c r="W607" s="564"/>
      <c r="X607" s="564"/>
      <c r="Y607" s="564"/>
      <c r="Z607" s="564"/>
      <c r="AA607" s="564"/>
      <c r="AB607" s="556"/>
      <c r="AC607" s="556"/>
      <c r="AD607" s="74"/>
      <c r="AE607" s="74"/>
      <c r="AF607" s="74"/>
      <c r="AG607" s="74"/>
      <c r="AH607" s="74"/>
      <c r="AI607" s="74"/>
      <c r="AJ607" s="74"/>
      <c r="AK607" s="74"/>
      <c r="AL607" s="74"/>
      <c r="AM607" s="74"/>
      <c r="AN607" s="74"/>
      <c r="AO607" s="74"/>
      <c r="AP607" s="74"/>
      <c r="AQ607" s="74"/>
      <c r="AR607" s="74"/>
      <c r="AS607" s="565"/>
      <c r="AT607" s="556"/>
      <c r="AU607" s="700"/>
    </row>
    <row r="608" spans="1:47" hidden="1" x14ac:dyDescent="0.45">
      <c r="A608" s="556"/>
      <c r="B608" s="556"/>
      <c r="C608" s="556"/>
      <c r="D608" s="556"/>
      <c r="E608" s="556"/>
      <c r="F608" s="564"/>
      <c r="G608" s="564"/>
      <c r="H608" s="564"/>
      <c r="I608" s="564"/>
      <c r="J608" s="564"/>
      <c r="K608" s="564"/>
      <c r="L608" s="564"/>
      <c r="M608" s="564"/>
      <c r="N608" s="564"/>
      <c r="O608" s="564"/>
      <c r="P608" s="564"/>
      <c r="Q608" s="564"/>
      <c r="R608" s="564"/>
      <c r="S608" s="564"/>
      <c r="T608" s="564"/>
      <c r="U608" s="564"/>
      <c r="V608" s="564"/>
      <c r="W608" s="564"/>
      <c r="X608" s="564"/>
      <c r="Y608" s="564"/>
      <c r="Z608" s="564"/>
      <c r="AA608" s="564"/>
      <c r="AB608" s="556"/>
      <c r="AC608" s="556"/>
      <c r="AD608" s="74"/>
      <c r="AE608" s="74"/>
      <c r="AF608" s="74"/>
      <c r="AG608" s="74"/>
      <c r="AH608" s="74"/>
      <c r="AI608" s="74"/>
      <c r="AJ608" s="74"/>
      <c r="AK608" s="74"/>
      <c r="AL608" s="74"/>
      <c r="AM608" s="74"/>
      <c r="AN608" s="74"/>
      <c r="AO608" s="74"/>
      <c r="AP608" s="74"/>
      <c r="AQ608" s="74"/>
      <c r="AR608" s="74"/>
      <c r="AS608" s="565"/>
      <c r="AT608" s="556"/>
      <c r="AU608" s="700"/>
    </row>
    <row r="609" spans="1:47" hidden="1" x14ac:dyDescent="0.45">
      <c r="A609" s="556"/>
      <c r="B609" s="556"/>
      <c r="C609" s="556"/>
      <c r="D609" s="556"/>
      <c r="E609" s="556"/>
      <c r="F609" s="564"/>
      <c r="G609" s="564"/>
      <c r="H609" s="564"/>
      <c r="I609" s="564"/>
      <c r="J609" s="564"/>
      <c r="K609" s="564"/>
      <c r="L609" s="564"/>
      <c r="M609" s="564"/>
      <c r="N609" s="564"/>
      <c r="O609" s="564"/>
      <c r="P609" s="564"/>
      <c r="Q609" s="564"/>
      <c r="R609" s="564"/>
      <c r="S609" s="564"/>
      <c r="T609" s="564"/>
      <c r="U609" s="564"/>
      <c r="V609" s="564"/>
      <c r="W609" s="564"/>
      <c r="X609" s="564"/>
      <c r="Y609" s="564"/>
      <c r="Z609" s="564"/>
      <c r="AA609" s="564"/>
      <c r="AB609" s="556"/>
      <c r="AC609" s="556"/>
      <c r="AD609" s="74"/>
      <c r="AE609" s="74"/>
      <c r="AF609" s="74"/>
      <c r="AG609" s="74"/>
      <c r="AH609" s="74"/>
      <c r="AI609" s="74"/>
      <c r="AJ609" s="74"/>
      <c r="AK609" s="74"/>
      <c r="AL609" s="74"/>
      <c r="AM609" s="74"/>
      <c r="AN609" s="74"/>
      <c r="AO609" s="74"/>
      <c r="AP609" s="74"/>
      <c r="AQ609" s="74"/>
      <c r="AR609" s="74"/>
      <c r="AS609" s="565"/>
      <c r="AT609" s="556"/>
      <c r="AU609" s="700"/>
    </row>
    <row r="610" spans="1:47" hidden="1" x14ac:dyDescent="0.45">
      <c r="A610" s="556"/>
      <c r="B610" s="556"/>
      <c r="C610" s="556"/>
      <c r="D610" s="556"/>
      <c r="E610" s="556"/>
      <c r="F610" s="564"/>
      <c r="G610" s="564"/>
      <c r="H610" s="564"/>
      <c r="I610" s="564"/>
      <c r="J610" s="564"/>
      <c r="K610" s="564"/>
      <c r="L610" s="564"/>
      <c r="M610" s="564"/>
      <c r="N610" s="564"/>
      <c r="O610" s="564"/>
      <c r="P610" s="564"/>
      <c r="Q610" s="564"/>
      <c r="R610" s="564"/>
      <c r="S610" s="564"/>
      <c r="T610" s="564"/>
      <c r="U610" s="564"/>
      <c r="V610" s="564"/>
      <c r="W610" s="564"/>
      <c r="X610" s="564"/>
      <c r="Y610" s="564"/>
      <c r="Z610" s="564"/>
      <c r="AA610" s="564"/>
      <c r="AB610" s="556"/>
      <c r="AC610" s="556"/>
      <c r="AD610" s="74"/>
      <c r="AE610" s="74"/>
      <c r="AF610" s="74"/>
      <c r="AG610" s="74"/>
      <c r="AH610" s="74"/>
      <c r="AI610" s="74"/>
      <c r="AJ610" s="74"/>
      <c r="AK610" s="74"/>
      <c r="AL610" s="74"/>
      <c r="AM610" s="74"/>
      <c r="AN610" s="74"/>
      <c r="AO610" s="74"/>
      <c r="AP610" s="74"/>
      <c r="AQ610" s="74"/>
      <c r="AR610" s="74"/>
      <c r="AS610" s="565"/>
      <c r="AT610" s="556"/>
      <c r="AU610" s="700"/>
    </row>
    <row r="611" spans="1:47" hidden="1" x14ac:dyDescent="0.45">
      <c r="A611" s="556"/>
      <c r="B611" s="556"/>
      <c r="C611" s="556"/>
      <c r="D611" s="556"/>
      <c r="E611" s="556"/>
      <c r="F611" s="564"/>
      <c r="G611" s="564"/>
      <c r="H611" s="564"/>
      <c r="I611" s="564"/>
      <c r="J611" s="564"/>
      <c r="K611" s="564"/>
      <c r="L611" s="564"/>
      <c r="M611" s="564"/>
      <c r="N611" s="564"/>
      <c r="O611" s="564"/>
      <c r="P611" s="564"/>
      <c r="Q611" s="564"/>
      <c r="R611" s="564"/>
      <c r="S611" s="564"/>
      <c r="T611" s="564"/>
      <c r="U611" s="564"/>
      <c r="V611" s="564"/>
      <c r="W611" s="564"/>
      <c r="X611" s="564"/>
      <c r="Y611" s="564"/>
      <c r="Z611" s="564"/>
      <c r="AA611" s="564"/>
      <c r="AB611" s="556"/>
      <c r="AC611" s="556"/>
      <c r="AD611" s="74"/>
      <c r="AE611" s="74"/>
      <c r="AF611" s="74"/>
      <c r="AG611" s="74"/>
      <c r="AH611" s="74"/>
      <c r="AI611" s="74"/>
      <c r="AJ611" s="74"/>
      <c r="AK611" s="74"/>
      <c r="AL611" s="74"/>
      <c r="AM611" s="74"/>
      <c r="AN611" s="74"/>
      <c r="AO611" s="74"/>
      <c r="AP611" s="74"/>
      <c r="AQ611" s="74"/>
      <c r="AR611" s="74"/>
      <c r="AS611" s="565"/>
      <c r="AT611" s="556"/>
      <c r="AU611" s="700"/>
    </row>
    <row r="612" spans="1:47" hidden="1" x14ac:dyDescent="0.45">
      <c r="A612" s="556"/>
      <c r="B612" s="556"/>
      <c r="C612" s="556"/>
      <c r="D612" s="556"/>
      <c r="E612" s="556"/>
      <c r="F612" s="564"/>
      <c r="G612" s="564"/>
      <c r="H612" s="564"/>
      <c r="I612" s="564"/>
      <c r="J612" s="564"/>
      <c r="K612" s="564"/>
      <c r="L612" s="564"/>
      <c r="M612" s="564"/>
      <c r="N612" s="564"/>
      <c r="O612" s="564"/>
      <c r="P612" s="564"/>
      <c r="Q612" s="564"/>
      <c r="R612" s="564"/>
      <c r="S612" s="564"/>
      <c r="T612" s="564"/>
      <c r="U612" s="564"/>
      <c r="V612" s="564"/>
      <c r="W612" s="564"/>
      <c r="X612" s="564"/>
      <c r="Y612" s="564"/>
      <c r="Z612" s="564"/>
      <c r="AA612" s="564"/>
      <c r="AB612" s="556"/>
      <c r="AC612" s="556"/>
      <c r="AD612" s="74"/>
      <c r="AE612" s="74"/>
      <c r="AF612" s="74"/>
      <c r="AG612" s="74"/>
      <c r="AH612" s="74"/>
      <c r="AI612" s="74"/>
      <c r="AJ612" s="74"/>
      <c r="AK612" s="74"/>
      <c r="AL612" s="74"/>
      <c r="AM612" s="74"/>
      <c r="AN612" s="74"/>
      <c r="AO612" s="74"/>
      <c r="AP612" s="74"/>
      <c r="AQ612" s="74"/>
      <c r="AR612" s="74"/>
      <c r="AS612" s="565"/>
      <c r="AT612" s="556"/>
      <c r="AU612" s="700"/>
    </row>
    <row r="613" spans="1:47" hidden="1" x14ac:dyDescent="0.45">
      <c r="A613" s="556"/>
      <c r="B613" s="556"/>
      <c r="C613" s="556"/>
      <c r="D613" s="556"/>
      <c r="E613" s="556"/>
      <c r="F613" s="564"/>
      <c r="G613" s="564"/>
      <c r="H613" s="564"/>
      <c r="I613" s="564"/>
      <c r="J613" s="564"/>
      <c r="K613" s="564"/>
      <c r="L613" s="564"/>
      <c r="M613" s="564"/>
      <c r="N613" s="564"/>
      <c r="O613" s="564"/>
      <c r="P613" s="564"/>
      <c r="Q613" s="564"/>
      <c r="R613" s="564"/>
      <c r="S613" s="564"/>
      <c r="T613" s="564"/>
      <c r="U613" s="564"/>
      <c r="V613" s="564"/>
      <c r="W613" s="564"/>
      <c r="X613" s="564"/>
      <c r="Y613" s="564"/>
      <c r="Z613" s="564"/>
      <c r="AA613" s="564"/>
      <c r="AB613" s="556"/>
      <c r="AC613" s="556"/>
      <c r="AD613" s="74"/>
      <c r="AE613" s="74"/>
      <c r="AF613" s="74"/>
      <c r="AG613" s="74"/>
      <c r="AH613" s="74"/>
      <c r="AI613" s="74"/>
      <c r="AJ613" s="74"/>
      <c r="AK613" s="74"/>
      <c r="AL613" s="74"/>
      <c r="AM613" s="74"/>
      <c r="AN613" s="74"/>
      <c r="AO613" s="74"/>
      <c r="AP613" s="74"/>
      <c r="AQ613" s="74"/>
      <c r="AR613" s="74"/>
      <c r="AS613" s="565"/>
      <c r="AT613" s="556"/>
      <c r="AU613" s="700"/>
    </row>
    <row r="614" spans="1:47" hidden="1" x14ac:dyDescent="0.45">
      <c r="A614" s="556"/>
      <c r="B614" s="556"/>
      <c r="C614" s="556"/>
      <c r="D614" s="556"/>
      <c r="E614" s="556"/>
      <c r="F614" s="564"/>
      <c r="G614" s="564"/>
      <c r="H614" s="564"/>
      <c r="I614" s="564"/>
      <c r="J614" s="564"/>
      <c r="K614" s="564"/>
      <c r="L614" s="564"/>
      <c r="M614" s="564"/>
      <c r="N614" s="564"/>
      <c r="O614" s="564"/>
      <c r="P614" s="564"/>
      <c r="Q614" s="564"/>
      <c r="R614" s="564"/>
      <c r="S614" s="564"/>
      <c r="T614" s="564"/>
      <c r="U614" s="564"/>
      <c r="V614" s="564"/>
      <c r="W614" s="564"/>
      <c r="X614" s="564"/>
      <c r="Y614" s="564"/>
      <c r="Z614" s="564"/>
      <c r="AA614" s="564"/>
      <c r="AB614" s="556"/>
      <c r="AC614" s="556"/>
      <c r="AD614" s="74"/>
      <c r="AE614" s="74"/>
      <c r="AF614" s="74"/>
      <c r="AG614" s="74"/>
      <c r="AH614" s="74"/>
      <c r="AI614" s="74"/>
      <c r="AJ614" s="74"/>
      <c r="AK614" s="74"/>
      <c r="AL614" s="74"/>
      <c r="AM614" s="74"/>
      <c r="AN614" s="74"/>
      <c r="AO614" s="74"/>
      <c r="AP614" s="74"/>
      <c r="AQ614" s="74"/>
      <c r="AR614" s="74"/>
      <c r="AS614" s="565"/>
      <c r="AT614" s="556"/>
      <c r="AU614" s="700"/>
    </row>
    <row r="615" spans="1:47" hidden="1" x14ac:dyDescent="0.45">
      <c r="A615" s="556"/>
      <c r="B615" s="556"/>
      <c r="C615" s="556"/>
      <c r="D615" s="556"/>
      <c r="E615" s="556"/>
      <c r="F615" s="564"/>
      <c r="G615" s="564"/>
      <c r="H615" s="564"/>
      <c r="I615" s="564"/>
      <c r="J615" s="564"/>
      <c r="K615" s="564"/>
      <c r="L615" s="564"/>
      <c r="M615" s="564"/>
      <c r="N615" s="564"/>
      <c r="O615" s="564"/>
      <c r="P615" s="564"/>
      <c r="Q615" s="564"/>
      <c r="R615" s="564"/>
      <c r="S615" s="564"/>
      <c r="T615" s="564"/>
      <c r="U615" s="564"/>
      <c r="V615" s="564"/>
      <c r="W615" s="564"/>
      <c r="X615" s="564"/>
      <c r="Y615" s="564"/>
      <c r="Z615" s="564"/>
      <c r="AA615" s="564"/>
      <c r="AB615" s="556"/>
      <c r="AC615" s="556"/>
      <c r="AD615" s="74"/>
      <c r="AE615" s="74"/>
      <c r="AF615" s="74"/>
      <c r="AG615" s="74"/>
      <c r="AH615" s="74"/>
      <c r="AI615" s="74"/>
      <c r="AJ615" s="74"/>
      <c r="AK615" s="74"/>
      <c r="AL615" s="74"/>
      <c r="AM615" s="74"/>
      <c r="AN615" s="74"/>
      <c r="AO615" s="74"/>
      <c r="AP615" s="74"/>
      <c r="AQ615" s="74"/>
      <c r="AR615" s="74"/>
      <c r="AS615" s="565"/>
      <c r="AT615" s="556"/>
      <c r="AU615" s="700"/>
    </row>
    <row r="616" spans="1:47" hidden="1" x14ac:dyDescent="0.45">
      <c r="A616" s="556"/>
      <c r="B616" s="556"/>
      <c r="C616" s="556"/>
      <c r="D616" s="556"/>
      <c r="E616" s="556"/>
      <c r="F616" s="564"/>
      <c r="G616" s="564"/>
      <c r="H616" s="564"/>
      <c r="I616" s="564"/>
      <c r="J616" s="564"/>
      <c r="K616" s="564"/>
      <c r="L616" s="564"/>
      <c r="M616" s="564"/>
      <c r="N616" s="564"/>
      <c r="O616" s="564"/>
      <c r="P616" s="564"/>
      <c r="Q616" s="564"/>
      <c r="R616" s="564"/>
      <c r="S616" s="564"/>
      <c r="T616" s="564"/>
      <c r="U616" s="564"/>
      <c r="V616" s="564"/>
      <c r="W616" s="564"/>
      <c r="X616" s="564"/>
      <c r="Y616" s="564"/>
      <c r="Z616" s="564"/>
      <c r="AA616" s="564"/>
      <c r="AB616" s="556"/>
      <c r="AC616" s="556"/>
      <c r="AD616" s="74"/>
      <c r="AE616" s="74"/>
      <c r="AF616" s="74"/>
      <c r="AG616" s="74"/>
      <c r="AH616" s="74"/>
      <c r="AI616" s="74"/>
      <c r="AJ616" s="74"/>
      <c r="AK616" s="74"/>
      <c r="AL616" s="74"/>
      <c r="AM616" s="74"/>
      <c r="AN616" s="74"/>
      <c r="AO616" s="74"/>
      <c r="AP616" s="74"/>
      <c r="AQ616" s="74"/>
      <c r="AR616" s="74"/>
      <c r="AS616" s="565"/>
      <c r="AT616" s="556"/>
      <c r="AU616" s="700"/>
    </row>
    <row r="617" spans="1:47" hidden="1" x14ac:dyDescent="0.45">
      <c r="A617" s="556"/>
      <c r="B617" s="556"/>
      <c r="C617" s="556"/>
      <c r="D617" s="556"/>
      <c r="E617" s="556"/>
      <c r="F617" s="564"/>
      <c r="G617" s="564"/>
      <c r="H617" s="564"/>
      <c r="I617" s="564"/>
      <c r="J617" s="564"/>
      <c r="K617" s="564"/>
      <c r="L617" s="564"/>
      <c r="M617" s="564"/>
      <c r="N617" s="564"/>
      <c r="O617" s="564"/>
      <c r="P617" s="564"/>
      <c r="Q617" s="564"/>
      <c r="R617" s="564"/>
      <c r="S617" s="564"/>
      <c r="T617" s="564"/>
      <c r="U617" s="564"/>
      <c r="V617" s="564"/>
      <c r="W617" s="564"/>
      <c r="X617" s="564"/>
      <c r="Y617" s="564"/>
      <c r="Z617" s="564"/>
      <c r="AA617" s="564"/>
      <c r="AB617" s="556"/>
      <c r="AC617" s="556"/>
      <c r="AD617" s="74"/>
      <c r="AE617" s="74"/>
      <c r="AF617" s="74"/>
      <c r="AG617" s="74"/>
      <c r="AH617" s="74"/>
      <c r="AI617" s="74"/>
      <c r="AJ617" s="74"/>
      <c r="AK617" s="74"/>
      <c r="AL617" s="74"/>
      <c r="AM617" s="74"/>
      <c r="AN617" s="74"/>
      <c r="AO617" s="74"/>
      <c r="AP617" s="74"/>
      <c r="AQ617" s="74"/>
      <c r="AR617" s="74"/>
      <c r="AS617" s="565"/>
      <c r="AT617" s="556"/>
      <c r="AU617" s="700"/>
    </row>
    <row r="618" spans="1:47" hidden="1" x14ac:dyDescent="0.45">
      <c r="A618" s="556"/>
      <c r="B618" s="556"/>
      <c r="C618" s="556"/>
      <c r="D618" s="556"/>
      <c r="E618" s="556"/>
      <c r="F618" s="564"/>
      <c r="G618" s="564"/>
      <c r="H618" s="564"/>
      <c r="I618" s="564"/>
      <c r="J618" s="564"/>
      <c r="K618" s="564"/>
      <c r="L618" s="564"/>
      <c r="M618" s="564"/>
      <c r="N618" s="564"/>
      <c r="O618" s="564"/>
      <c r="P618" s="564"/>
      <c r="Q618" s="564"/>
      <c r="R618" s="564"/>
      <c r="S618" s="564"/>
      <c r="T618" s="564"/>
      <c r="U618" s="564"/>
      <c r="V618" s="564"/>
      <c r="W618" s="564"/>
      <c r="X618" s="564"/>
      <c r="Y618" s="564"/>
      <c r="Z618" s="564"/>
      <c r="AA618" s="564"/>
      <c r="AB618" s="556"/>
      <c r="AC618" s="556"/>
      <c r="AD618" s="74"/>
      <c r="AE618" s="74"/>
      <c r="AF618" s="74"/>
      <c r="AG618" s="74"/>
      <c r="AH618" s="74"/>
      <c r="AI618" s="74"/>
      <c r="AJ618" s="74"/>
      <c r="AK618" s="74"/>
      <c r="AL618" s="74"/>
      <c r="AM618" s="74"/>
      <c r="AN618" s="74"/>
      <c r="AO618" s="74"/>
      <c r="AP618" s="74"/>
      <c r="AQ618" s="74"/>
      <c r="AR618" s="74"/>
      <c r="AS618" s="565"/>
      <c r="AT618" s="556"/>
      <c r="AU618" s="700"/>
    </row>
    <row r="619" spans="1:47" hidden="1" x14ac:dyDescent="0.45">
      <c r="A619" s="556"/>
      <c r="B619" s="556"/>
      <c r="C619" s="556"/>
      <c r="D619" s="556"/>
      <c r="E619" s="556"/>
      <c r="F619" s="564"/>
      <c r="G619" s="564"/>
      <c r="H619" s="564"/>
      <c r="I619" s="564"/>
      <c r="J619" s="564"/>
      <c r="K619" s="564"/>
      <c r="L619" s="564"/>
      <c r="M619" s="564"/>
      <c r="N619" s="564"/>
      <c r="O619" s="564"/>
      <c r="P619" s="564"/>
      <c r="Q619" s="564"/>
      <c r="R619" s="564"/>
      <c r="S619" s="564"/>
      <c r="T619" s="564"/>
      <c r="U619" s="564"/>
      <c r="V619" s="564"/>
      <c r="W619" s="564"/>
      <c r="X619" s="564"/>
      <c r="Y619" s="564"/>
      <c r="Z619" s="564"/>
      <c r="AA619" s="564"/>
      <c r="AB619" s="556"/>
      <c r="AC619" s="556"/>
      <c r="AD619" s="74"/>
      <c r="AE619" s="74"/>
      <c r="AF619" s="74"/>
      <c r="AG619" s="74"/>
      <c r="AH619" s="74"/>
      <c r="AI619" s="74"/>
      <c r="AJ619" s="74"/>
      <c r="AK619" s="74"/>
      <c r="AL619" s="74"/>
      <c r="AM619" s="74"/>
      <c r="AN619" s="74"/>
      <c r="AO619" s="74"/>
      <c r="AP619" s="74"/>
      <c r="AQ619" s="74"/>
      <c r="AR619" s="74"/>
      <c r="AS619" s="565"/>
      <c r="AT619" s="556"/>
      <c r="AU619" s="700"/>
    </row>
    <row r="620" spans="1:47" hidden="1" x14ac:dyDescent="0.45">
      <c r="A620" s="556"/>
      <c r="B620" s="556"/>
      <c r="C620" s="556"/>
      <c r="D620" s="556"/>
      <c r="E620" s="556"/>
      <c r="F620" s="564"/>
      <c r="G620" s="564"/>
      <c r="H620" s="564"/>
      <c r="I620" s="564"/>
      <c r="J620" s="564"/>
      <c r="K620" s="564"/>
      <c r="L620" s="564"/>
      <c r="M620" s="564"/>
      <c r="N620" s="564"/>
      <c r="O620" s="564"/>
      <c r="P620" s="564"/>
      <c r="Q620" s="564"/>
      <c r="R620" s="564"/>
      <c r="S620" s="564"/>
      <c r="T620" s="564"/>
      <c r="U620" s="564"/>
      <c r="V620" s="564"/>
      <c r="W620" s="564"/>
      <c r="X620" s="564"/>
      <c r="Y620" s="564"/>
      <c r="Z620" s="564"/>
      <c r="AA620" s="564"/>
      <c r="AB620" s="556"/>
      <c r="AC620" s="556"/>
      <c r="AD620" s="74"/>
      <c r="AE620" s="74"/>
      <c r="AF620" s="74"/>
      <c r="AG620" s="74"/>
      <c r="AH620" s="74"/>
      <c r="AI620" s="74"/>
      <c r="AJ620" s="74"/>
      <c r="AK620" s="74"/>
      <c r="AL620" s="74"/>
      <c r="AM620" s="74"/>
      <c r="AN620" s="74"/>
      <c r="AO620" s="74"/>
      <c r="AP620" s="74"/>
      <c r="AQ620" s="74"/>
      <c r="AR620" s="74"/>
      <c r="AS620" s="565"/>
      <c r="AT620" s="556"/>
      <c r="AU620" s="700"/>
    </row>
    <row r="621" spans="1:47" hidden="1" x14ac:dyDescent="0.45">
      <c r="A621" s="556"/>
      <c r="B621" s="556"/>
      <c r="C621" s="556"/>
      <c r="D621" s="556"/>
      <c r="E621" s="556"/>
      <c r="F621" s="564"/>
      <c r="G621" s="564"/>
      <c r="H621" s="564"/>
      <c r="I621" s="564"/>
      <c r="J621" s="564"/>
      <c r="K621" s="564"/>
      <c r="L621" s="564"/>
      <c r="M621" s="564"/>
      <c r="N621" s="564"/>
      <c r="O621" s="564"/>
      <c r="P621" s="564"/>
      <c r="Q621" s="564"/>
      <c r="R621" s="564"/>
      <c r="S621" s="564"/>
      <c r="T621" s="564"/>
      <c r="U621" s="564"/>
      <c r="V621" s="564"/>
      <c r="W621" s="564"/>
      <c r="X621" s="564"/>
      <c r="Y621" s="564"/>
      <c r="Z621" s="564"/>
      <c r="AA621" s="564"/>
      <c r="AB621" s="556"/>
      <c r="AC621" s="556"/>
      <c r="AD621" s="74"/>
      <c r="AE621" s="74"/>
      <c r="AF621" s="74"/>
      <c r="AG621" s="74"/>
      <c r="AH621" s="74"/>
      <c r="AI621" s="74"/>
      <c r="AJ621" s="74"/>
      <c r="AK621" s="74"/>
      <c r="AL621" s="74"/>
      <c r="AM621" s="74"/>
      <c r="AN621" s="74"/>
      <c r="AO621" s="74"/>
      <c r="AP621" s="74"/>
      <c r="AQ621" s="74"/>
      <c r="AR621" s="74"/>
      <c r="AS621" s="565"/>
      <c r="AT621" s="556"/>
      <c r="AU621" s="700"/>
    </row>
    <row r="622" spans="1:47" hidden="1" x14ac:dyDescent="0.45">
      <c r="A622" s="556"/>
      <c r="B622" s="556"/>
      <c r="C622" s="556"/>
      <c r="D622" s="556"/>
      <c r="E622" s="556"/>
      <c r="F622" s="564"/>
      <c r="G622" s="564"/>
      <c r="H622" s="564"/>
      <c r="I622" s="564"/>
      <c r="J622" s="564"/>
      <c r="K622" s="564"/>
      <c r="L622" s="564"/>
      <c r="M622" s="564"/>
      <c r="N622" s="564"/>
      <c r="O622" s="564"/>
      <c r="P622" s="564"/>
      <c r="Q622" s="564"/>
      <c r="R622" s="564"/>
      <c r="S622" s="564"/>
      <c r="T622" s="564"/>
      <c r="U622" s="564"/>
      <c r="V622" s="564"/>
      <c r="W622" s="564"/>
      <c r="X622" s="564"/>
      <c r="Y622" s="564"/>
      <c r="Z622" s="564"/>
      <c r="AA622" s="564"/>
      <c r="AB622" s="556"/>
      <c r="AC622" s="556"/>
      <c r="AD622" s="74"/>
      <c r="AE622" s="74"/>
      <c r="AF622" s="74"/>
      <c r="AG622" s="74"/>
      <c r="AH622" s="74"/>
      <c r="AI622" s="74"/>
      <c r="AJ622" s="74"/>
      <c r="AK622" s="74"/>
      <c r="AL622" s="74"/>
      <c r="AM622" s="74"/>
      <c r="AN622" s="74"/>
      <c r="AO622" s="74"/>
      <c r="AP622" s="74"/>
      <c r="AQ622" s="74"/>
      <c r="AR622" s="74"/>
      <c r="AS622" s="565"/>
      <c r="AT622" s="556"/>
      <c r="AU622" s="700"/>
    </row>
    <row r="623" spans="1:47" hidden="1" x14ac:dyDescent="0.45">
      <c r="A623" s="556"/>
      <c r="B623" s="556"/>
      <c r="C623" s="556"/>
      <c r="D623" s="556"/>
      <c r="E623" s="556"/>
      <c r="F623" s="564"/>
      <c r="G623" s="564"/>
      <c r="H623" s="564"/>
      <c r="I623" s="564"/>
      <c r="J623" s="564"/>
      <c r="K623" s="564"/>
      <c r="L623" s="564"/>
      <c r="M623" s="564"/>
      <c r="N623" s="564"/>
      <c r="O623" s="564"/>
      <c r="P623" s="564"/>
      <c r="Q623" s="564"/>
      <c r="R623" s="564"/>
      <c r="S623" s="564"/>
      <c r="T623" s="564"/>
      <c r="U623" s="564"/>
      <c r="V623" s="564"/>
      <c r="W623" s="564"/>
      <c r="X623" s="564"/>
      <c r="Y623" s="564"/>
      <c r="Z623" s="564"/>
      <c r="AA623" s="564"/>
      <c r="AB623" s="556"/>
      <c r="AC623" s="556"/>
      <c r="AD623" s="74"/>
      <c r="AE623" s="74"/>
      <c r="AF623" s="74"/>
      <c r="AG623" s="74"/>
      <c r="AH623" s="74"/>
      <c r="AI623" s="74"/>
      <c r="AJ623" s="74"/>
      <c r="AK623" s="74"/>
      <c r="AL623" s="74"/>
      <c r="AM623" s="74"/>
      <c r="AN623" s="74"/>
      <c r="AO623" s="74"/>
      <c r="AP623" s="74"/>
      <c r="AQ623" s="74"/>
      <c r="AR623" s="74"/>
      <c r="AS623" s="565"/>
      <c r="AT623" s="556"/>
      <c r="AU623" s="700"/>
    </row>
    <row r="624" spans="1:47" hidden="1" x14ac:dyDescent="0.45">
      <c r="A624" s="556"/>
      <c r="B624" s="556"/>
      <c r="C624" s="556"/>
      <c r="D624" s="556"/>
      <c r="E624" s="556"/>
      <c r="F624" s="564"/>
      <c r="G624" s="564"/>
      <c r="H624" s="564"/>
      <c r="I624" s="564"/>
      <c r="J624" s="564"/>
      <c r="K624" s="564"/>
      <c r="L624" s="564"/>
      <c r="M624" s="564"/>
      <c r="N624" s="564"/>
      <c r="O624" s="564"/>
      <c r="P624" s="564"/>
      <c r="Q624" s="564"/>
      <c r="R624" s="564"/>
      <c r="S624" s="564"/>
      <c r="T624" s="564"/>
      <c r="U624" s="564"/>
      <c r="V624" s="564"/>
      <c r="W624" s="564"/>
      <c r="X624" s="564"/>
      <c r="Y624" s="564"/>
      <c r="Z624" s="564"/>
      <c r="AA624" s="564"/>
      <c r="AB624" s="556"/>
      <c r="AC624" s="556"/>
      <c r="AD624" s="74"/>
      <c r="AE624" s="74"/>
      <c r="AF624" s="74"/>
      <c r="AG624" s="74"/>
      <c r="AH624" s="74"/>
      <c r="AI624" s="74"/>
      <c r="AJ624" s="74"/>
      <c r="AK624" s="74"/>
      <c r="AL624" s="74"/>
      <c r="AM624" s="74"/>
      <c r="AN624" s="74"/>
      <c r="AO624" s="74"/>
      <c r="AP624" s="74"/>
      <c r="AQ624" s="74"/>
      <c r="AR624" s="74"/>
      <c r="AS624" s="565"/>
      <c r="AT624" s="556"/>
      <c r="AU624" s="700"/>
    </row>
    <row r="625" spans="1:47" hidden="1" x14ac:dyDescent="0.45">
      <c r="A625" s="556"/>
      <c r="B625" s="556"/>
      <c r="C625" s="556"/>
      <c r="D625" s="556"/>
      <c r="E625" s="556"/>
      <c r="F625" s="564"/>
      <c r="G625" s="564"/>
      <c r="H625" s="564"/>
      <c r="I625" s="564"/>
      <c r="J625" s="564"/>
      <c r="K625" s="564"/>
      <c r="L625" s="564"/>
      <c r="M625" s="564"/>
      <c r="N625" s="564"/>
      <c r="O625" s="564"/>
      <c r="P625" s="564"/>
      <c r="Q625" s="564"/>
      <c r="R625" s="564"/>
      <c r="S625" s="564"/>
      <c r="T625" s="564"/>
      <c r="U625" s="564"/>
      <c r="V625" s="564"/>
      <c r="W625" s="564"/>
      <c r="X625" s="564"/>
      <c r="Y625" s="564"/>
      <c r="Z625" s="564"/>
      <c r="AA625" s="564"/>
      <c r="AB625" s="556"/>
      <c r="AC625" s="556"/>
      <c r="AD625" s="74"/>
      <c r="AE625" s="74"/>
      <c r="AF625" s="74"/>
      <c r="AG625" s="74"/>
      <c r="AH625" s="74"/>
      <c r="AI625" s="74"/>
      <c r="AJ625" s="74"/>
      <c r="AK625" s="74"/>
      <c r="AL625" s="74"/>
      <c r="AM625" s="74"/>
      <c r="AN625" s="74"/>
      <c r="AO625" s="74"/>
      <c r="AP625" s="74"/>
      <c r="AQ625" s="74"/>
      <c r="AR625" s="74"/>
      <c r="AS625" s="565"/>
      <c r="AT625" s="556"/>
      <c r="AU625" s="700"/>
    </row>
    <row r="626" spans="1:47" hidden="1" x14ac:dyDescent="0.45">
      <c r="A626" s="556"/>
      <c r="B626" s="556"/>
      <c r="C626" s="556"/>
      <c r="D626" s="556"/>
      <c r="E626" s="556"/>
      <c r="F626" s="564"/>
      <c r="G626" s="564"/>
      <c r="H626" s="564"/>
      <c r="I626" s="564"/>
      <c r="J626" s="564"/>
      <c r="K626" s="564"/>
      <c r="L626" s="564"/>
      <c r="M626" s="564"/>
      <c r="N626" s="564"/>
      <c r="O626" s="564"/>
      <c r="P626" s="564"/>
      <c r="Q626" s="564"/>
      <c r="R626" s="564"/>
      <c r="S626" s="564"/>
      <c r="T626" s="564"/>
      <c r="U626" s="564"/>
      <c r="V626" s="564"/>
      <c r="W626" s="564"/>
      <c r="X626" s="564"/>
      <c r="Y626" s="564"/>
      <c r="Z626" s="564"/>
      <c r="AA626" s="564"/>
      <c r="AB626" s="556"/>
      <c r="AC626" s="556"/>
      <c r="AD626" s="74"/>
      <c r="AE626" s="74"/>
      <c r="AF626" s="74"/>
      <c r="AG626" s="74"/>
      <c r="AH626" s="74"/>
      <c r="AI626" s="74"/>
      <c r="AJ626" s="74"/>
      <c r="AK626" s="74"/>
      <c r="AL626" s="74"/>
      <c r="AM626" s="74"/>
      <c r="AN626" s="74"/>
      <c r="AO626" s="74"/>
      <c r="AP626" s="74"/>
      <c r="AQ626" s="74"/>
      <c r="AR626" s="74"/>
      <c r="AS626" s="565"/>
      <c r="AT626" s="556"/>
      <c r="AU626" s="700"/>
    </row>
    <row r="627" spans="1:47" hidden="1" x14ac:dyDescent="0.45">
      <c r="A627" s="556"/>
      <c r="B627" s="556"/>
      <c r="C627" s="556"/>
      <c r="D627" s="556"/>
      <c r="E627" s="556"/>
      <c r="F627" s="564"/>
      <c r="G627" s="564"/>
      <c r="H627" s="564"/>
      <c r="I627" s="564"/>
      <c r="J627" s="564"/>
      <c r="K627" s="564"/>
      <c r="L627" s="564"/>
      <c r="M627" s="564"/>
      <c r="N627" s="564"/>
      <c r="O627" s="564"/>
      <c r="P627" s="564"/>
      <c r="Q627" s="564"/>
      <c r="R627" s="564"/>
      <c r="S627" s="564"/>
      <c r="T627" s="564"/>
      <c r="U627" s="564"/>
      <c r="V627" s="564"/>
      <c r="W627" s="564"/>
      <c r="X627" s="564"/>
      <c r="Y627" s="564"/>
      <c r="Z627" s="564"/>
      <c r="AA627" s="564"/>
      <c r="AB627" s="556"/>
      <c r="AC627" s="556"/>
      <c r="AD627" s="74"/>
      <c r="AE627" s="74"/>
      <c r="AF627" s="74"/>
      <c r="AG627" s="74"/>
      <c r="AH627" s="74"/>
      <c r="AI627" s="74"/>
      <c r="AJ627" s="74"/>
      <c r="AK627" s="74"/>
      <c r="AL627" s="74"/>
      <c r="AM627" s="74"/>
      <c r="AN627" s="74"/>
      <c r="AO627" s="74"/>
      <c r="AP627" s="74"/>
      <c r="AQ627" s="74"/>
      <c r="AR627" s="74"/>
      <c r="AS627" s="565"/>
      <c r="AT627" s="556"/>
      <c r="AU627" s="700"/>
    </row>
    <row r="628" spans="1:47" hidden="1" x14ac:dyDescent="0.45">
      <c r="A628" s="556"/>
      <c r="B628" s="556"/>
      <c r="C628" s="556"/>
      <c r="D628" s="556"/>
      <c r="E628" s="556"/>
      <c r="F628" s="564"/>
      <c r="G628" s="564"/>
      <c r="H628" s="564"/>
      <c r="I628" s="564"/>
      <c r="J628" s="564"/>
      <c r="K628" s="564"/>
      <c r="L628" s="564"/>
      <c r="M628" s="564"/>
      <c r="N628" s="564"/>
      <c r="O628" s="564"/>
      <c r="P628" s="564"/>
      <c r="Q628" s="564"/>
      <c r="R628" s="564"/>
      <c r="S628" s="564"/>
      <c r="T628" s="564"/>
      <c r="U628" s="564"/>
      <c r="V628" s="564"/>
      <c r="W628" s="564"/>
      <c r="X628" s="564"/>
      <c r="Y628" s="564"/>
      <c r="Z628" s="564"/>
      <c r="AA628" s="564"/>
      <c r="AB628" s="556"/>
      <c r="AC628" s="556"/>
      <c r="AD628" s="74"/>
      <c r="AE628" s="74"/>
      <c r="AF628" s="74"/>
      <c r="AG628" s="74"/>
      <c r="AH628" s="74"/>
      <c r="AI628" s="74"/>
      <c r="AJ628" s="74"/>
      <c r="AK628" s="74"/>
      <c r="AL628" s="74"/>
      <c r="AM628" s="74"/>
      <c r="AN628" s="74"/>
      <c r="AO628" s="74"/>
      <c r="AP628" s="74"/>
      <c r="AQ628" s="74"/>
      <c r="AR628" s="74"/>
      <c r="AS628" s="565"/>
      <c r="AT628" s="556"/>
      <c r="AU628" s="700"/>
    </row>
    <row r="629" spans="1:47" hidden="1" x14ac:dyDescent="0.45">
      <c r="A629" s="556"/>
      <c r="B629" s="556"/>
      <c r="C629" s="556"/>
      <c r="D629" s="556"/>
      <c r="E629" s="556"/>
      <c r="F629" s="564"/>
      <c r="G629" s="564"/>
      <c r="H629" s="564"/>
      <c r="I629" s="564"/>
      <c r="J629" s="564"/>
      <c r="K629" s="564"/>
      <c r="L629" s="564"/>
      <c r="M629" s="564"/>
      <c r="N629" s="564"/>
      <c r="O629" s="564"/>
      <c r="P629" s="564"/>
      <c r="Q629" s="564"/>
      <c r="R629" s="564"/>
      <c r="S629" s="564"/>
      <c r="T629" s="564"/>
      <c r="U629" s="564"/>
      <c r="V629" s="564"/>
      <c r="W629" s="564"/>
      <c r="X629" s="564"/>
      <c r="Y629" s="564"/>
      <c r="Z629" s="564"/>
      <c r="AA629" s="564"/>
      <c r="AB629" s="556"/>
      <c r="AC629" s="556"/>
      <c r="AD629" s="74"/>
      <c r="AE629" s="74"/>
      <c r="AF629" s="74"/>
      <c r="AG629" s="74"/>
      <c r="AH629" s="74"/>
      <c r="AI629" s="74"/>
      <c r="AJ629" s="74"/>
      <c r="AK629" s="74"/>
      <c r="AL629" s="74"/>
      <c r="AM629" s="74"/>
      <c r="AN629" s="74"/>
      <c r="AO629" s="74"/>
      <c r="AP629" s="74"/>
      <c r="AQ629" s="74"/>
      <c r="AR629" s="74"/>
      <c r="AS629" s="565"/>
      <c r="AT629" s="556"/>
      <c r="AU629" s="700"/>
    </row>
    <row r="630" spans="1:47" hidden="1" x14ac:dyDescent="0.45">
      <c r="A630" s="556"/>
      <c r="B630" s="556"/>
      <c r="C630" s="556"/>
      <c r="D630" s="556"/>
      <c r="E630" s="556"/>
      <c r="F630" s="564"/>
      <c r="G630" s="564"/>
      <c r="H630" s="564"/>
      <c r="I630" s="564"/>
      <c r="J630" s="564"/>
      <c r="K630" s="564"/>
      <c r="L630" s="564"/>
      <c r="M630" s="564"/>
      <c r="N630" s="564"/>
      <c r="O630" s="564"/>
      <c r="P630" s="564"/>
      <c r="Q630" s="564"/>
      <c r="R630" s="564"/>
      <c r="S630" s="564"/>
      <c r="T630" s="564"/>
      <c r="U630" s="564"/>
      <c r="V630" s="564"/>
      <c r="W630" s="564"/>
      <c r="X630" s="564"/>
      <c r="Y630" s="564"/>
      <c r="Z630" s="564"/>
      <c r="AA630" s="564"/>
      <c r="AB630" s="556"/>
      <c r="AC630" s="556"/>
      <c r="AD630" s="74"/>
      <c r="AE630" s="74"/>
      <c r="AF630" s="74"/>
      <c r="AG630" s="74"/>
      <c r="AH630" s="74"/>
      <c r="AI630" s="74"/>
      <c r="AJ630" s="74"/>
      <c r="AK630" s="74"/>
      <c r="AL630" s="74"/>
      <c r="AM630" s="74"/>
      <c r="AN630" s="74"/>
      <c r="AO630" s="74"/>
      <c r="AP630" s="74"/>
      <c r="AQ630" s="74"/>
      <c r="AR630" s="74"/>
      <c r="AS630" s="565"/>
      <c r="AT630" s="556"/>
      <c r="AU630" s="700"/>
    </row>
    <row r="631" spans="1:47" hidden="1" x14ac:dyDescent="0.45">
      <c r="A631" s="556"/>
      <c r="B631" s="556"/>
      <c r="C631" s="556"/>
      <c r="D631" s="556"/>
      <c r="E631" s="556"/>
      <c r="F631" s="564"/>
      <c r="G631" s="564"/>
      <c r="H631" s="564"/>
      <c r="I631" s="564"/>
      <c r="J631" s="564"/>
      <c r="K631" s="564"/>
      <c r="L631" s="564"/>
      <c r="M631" s="564"/>
      <c r="N631" s="564"/>
      <c r="O631" s="564"/>
      <c r="P631" s="564"/>
      <c r="Q631" s="564"/>
      <c r="R631" s="564"/>
      <c r="S631" s="564"/>
      <c r="T631" s="564"/>
      <c r="U631" s="564"/>
      <c r="V631" s="564"/>
      <c r="W631" s="564"/>
      <c r="X631" s="564"/>
      <c r="Y631" s="564"/>
      <c r="Z631" s="564"/>
      <c r="AA631" s="564"/>
      <c r="AB631" s="556"/>
      <c r="AC631" s="556"/>
      <c r="AD631" s="74"/>
      <c r="AE631" s="74"/>
      <c r="AF631" s="74"/>
      <c r="AG631" s="74"/>
      <c r="AH631" s="74"/>
      <c r="AI631" s="74"/>
      <c r="AJ631" s="74"/>
      <c r="AK631" s="74"/>
      <c r="AL631" s="74"/>
      <c r="AM631" s="74"/>
      <c r="AN631" s="74"/>
      <c r="AO631" s="74"/>
      <c r="AP631" s="74"/>
      <c r="AQ631" s="74"/>
      <c r="AR631" s="74"/>
      <c r="AS631" s="565"/>
      <c r="AT631" s="556"/>
      <c r="AU631" s="700"/>
    </row>
    <row r="632" spans="1:47" hidden="1" x14ac:dyDescent="0.45">
      <c r="A632" s="556"/>
      <c r="B632" s="556"/>
      <c r="C632" s="556"/>
      <c r="D632" s="556"/>
      <c r="E632" s="556"/>
      <c r="F632" s="564"/>
      <c r="G632" s="564"/>
      <c r="H632" s="564"/>
      <c r="I632" s="564"/>
      <c r="J632" s="564"/>
      <c r="K632" s="564"/>
      <c r="L632" s="564"/>
      <c r="M632" s="564"/>
      <c r="N632" s="564"/>
      <c r="O632" s="564"/>
      <c r="P632" s="564"/>
      <c r="Q632" s="564"/>
      <c r="R632" s="564"/>
      <c r="S632" s="564"/>
      <c r="T632" s="564"/>
      <c r="U632" s="564"/>
      <c r="V632" s="564"/>
      <c r="W632" s="564"/>
      <c r="X632" s="564"/>
      <c r="Y632" s="564"/>
      <c r="Z632" s="564"/>
      <c r="AA632" s="564"/>
      <c r="AB632" s="556"/>
      <c r="AC632" s="556"/>
      <c r="AD632" s="74"/>
      <c r="AE632" s="74"/>
      <c r="AF632" s="74"/>
      <c r="AG632" s="74"/>
      <c r="AH632" s="74"/>
      <c r="AI632" s="74"/>
      <c r="AJ632" s="74"/>
      <c r="AK632" s="74"/>
      <c r="AL632" s="74"/>
      <c r="AM632" s="74"/>
      <c r="AN632" s="74"/>
      <c r="AO632" s="74"/>
      <c r="AP632" s="74"/>
      <c r="AQ632" s="74"/>
      <c r="AR632" s="74"/>
      <c r="AS632" s="565"/>
      <c r="AT632" s="556"/>
      <c r="AU632" s="700"/>
    </row>
    <row r="633" spans="1:47" hidden="1" x14ac:dyDescent="0.45">
      <c r="A633" s="556"/>
      <c r="B633" s="556"/>
      <c r="C633" s="556"/>
      <c r="D633" s="556"/>
      <c r="E633" s="556"/>
      <c r="F633" s="564"/>
      <c r="G633" s="564"/>
      <c r="H633" s="564"/>
      <c r="I633" s="564"/>
      <c r="J633" s="564"/>
      <c r="K633" s="564"/>
      <c r="L633" s="564"/>
      <c r="M633" s="564"/>
      <c r="N633" s="564"/>
      <c r="O633" s="564"/>
      <c r="P633" s="564"/>
      <c r="Q633" s="564"/>
      <c r="R633" s="564"/>
      <c r="S633" s="564"/>
      <c r="T633" s="564"/>
      <c r="U633" s="564"/>
      <c r="V633" s="564"/>
      <c r="W633" s="564"/>
      <c r="X633" s="564"/>
      <c r="Y633" s="564"/>
      <c r="Z633" s="564"/>
      <c r="AA633" s="564"/>
      <c r="AB633" s="556"/>
      <c r="AC633" s="556"/>
      <c r="AD633" s="74"/>
      <c r="AE633" s="74"/>
      <c r="AF633" s="74"/>
      <c r="AG633" s="74"/>
      <c r="AH633" s="74"/>
      <c r="AI633" s="74"/>
      <c r="AJ633" s="74"/>
      <c r="AK633" s="74"/>
      <c r="AL633" s="74"/>
      <c r="AM633" s="74"/>
      <c r="AN633" s="74"/>
      <c r="AO633" s="74"/>
      <c r="AP633" s="74"/>
      <c r="AQ633" s="74"/>
      <c r="AR633" s="74"/>
      <c r="AS633" s="565"/>
      <c r="AT633" s="556"/>
      <c r="AU633" s="700"/>
    </row>
    <row r="634" spans="1:47" hidden="1" x14ac:dyDescent="0.45">
      <c r="A634" s="556"/>
      <c r="B634" s="556"/>
      <c r="C634" s="556"/>
      <c r="D634" s="556"/>
      <c r="E634" s="556"/>
      <c r="F634" s="564"/>
      <c r="G634" s="564"/>
      <c r="H634" s="564"/>
      <c r="I634" s="564"/>
      <c r="J634" s="564"/>
      <c r="K634" s="564"/>
      <c r="L634" s="564"/>
      <c r="M634" s="564"/>
      <c r="N634" s="564"/>
      <c r="O634" s="564"/>
      <c r="P634" s="564"/>
      <c r="Q634" s="564"/>
      <c r="R634" s="564"/>
      <c r="S634" s="564"/>
      <c r="T634" s="564"/>
      <c r="U634" s="564"/>
      <c r="V634" s="564"/>
      <c r="W634" s="564"/>
      <c r="X634" s="564"/>
      <c r="Y634" s="564"/>
      <c r="Z634" s="564"/>
      <c r="AA634" s="564"/>
      <c r="AB634" s="556"/>
      <c r="AC634" s="556"/>
      <c r="AD634" s="74"/>
      <c r="AE634" s="74"/>
      <c r="AF634" s="74"/>
      <c r="AG634" s="74"/>
      <c r="AH634" s="74"/>
      <c r="AI634" s="74"/>
      <c r="AJ634" s="74"/>
      <c r="AK634" s="74"/>
      <c r="AL634" s="74"/>
      <c r="AM634" s="74"/>
      <c r="AN634" s="74"/>
      <c r="AO634" s="74"/>
      <c r="AP634" s="74"/>
      <c r="AQ634" s="74"/>
      <c r="AR634" s="74"/>
      <c r="AS634" s="565"/>
      <c r="AT634" s="556"/>
      <c r="AU634" s="700"/>
    </row>
    <row r="635" spans="1:47" hidden="1" x14ac:dyDescent="0.45">
      <c r="A635" s="556"/>
      <c r="B635" s="556"/>
      <c r="C635" s="556"/>
      <c r="D635" s="556"/>
      <c r="E635" s="556"/>
      <c r="F635" s="564"/>
      <c r="G635" s="564"/>
      <c r="H635" s="564"/>
      <c r="I635" s="564"/>
      <c r="J635" s="564"/>
      <c r="K635" s="564"/>
      <c r="L635" s="564"/>
      <c r="M635" s="564"/>
      <c r="N635" s="564"/>
      <c r="O635" s="564"/>
      <c r="P635" s="564"/>
      <c r="Q635" s="564"/>
      <c r="R635" s="564"/>
      <c r="S635" s="564"/>
      <c r="T635" s="564"/>
      <c r="U635" s="564"/>
      <c r="V635" s="564"/>
      <c r="W635" s="564"/>
      <c r="X635" s="564"/>
      <c r="Y635" s="564"/>
      <c r="Z635" s="564"/>
      <c r="AA635" s="564"/>
      <c r="AB635" s="556"/>
      <c r="AC635" s="556"/>
      <c r="AD635" s="74"/>
      <c r="AE635" s="74"/>
      <c r="AF635" s="74"/>
      <c r="AG635" s="74"/>
      <c r="AH635" s="74"/>
      <c r="AI635" s="74"/>
      <c r="AJ635" s="74"/>
      <c r="AK635" s="74"/>
      <c r="AL635" s="74"/>
      <c r="AM635" s="74"/>
      <c r="AN635" s="74"/>
      <c r="AO635" s="74"/>
      <c r="AP635" s="74"/>
      <c r="AQ635" s="74"/>
      <c r="AR635" s="74"/>
      <c r="AS635" s="565"/>
      <c r="AT635" s="556"/>
      <c r="AU635" s="700"/>
    </row>
    <row r="636" spans="1:47" hidden="1" x14ac:dyDescent="0.45">
      <c r="A636" s="556"/>
      <c r="B636" s="556"/>
      <c r="C636" s="556"/>
      <c r="D636" s="556"/>
      <c r="E636" s="556"/>
      <c r="F636" s="564"/>
      <c r="G636" s="564"/>
      <c r="H636" s="564"/>
      <c r="I636" s="564"/>
      <c r="J636" s="564"/>
      <c r="K636" s="564"/>
      <c r="L636" s="564"/>
      <c r="M636" s="564"/>
      <c r="N636" s="564"/>
      <c r="O636" s="564"/>
      <c r="P636" s="564"/>
      <c r="Q636" s="564"/>
      <c r="R636" s="564"/>
      <c r="S636" s="564"/>
      <c r="T636" s="564"/>
      <c r="U636" s="564"/>
      <c r="V636" s="564"/>
      <c r="W636" s="564"/>
      <c r="X636" s="564"/>
      <c r="Y636" s="564"/>
      <c r="Z636" s="564"/>
      <c r="AA636" s="564"/>
      <c r="AB636" s="556"/>
      <c r="AC636" s="556"/>
      <c r="AD636" s="74"/>
      <c r="AE636" s="74"/>
      <c r="AF636" s="74"/>
      <c r="AG636" s="74"/>
      <c r="AH636" s="74"/>
      <c r="AI636" s="74"/>
      <c r="AJ636" s="74"/>
      <c r="AK636" s="74"/>
      <c r="AL636" s="74"/>
      <c r="AM636" s="74"/>
      <c r="AN636" s="74"/>
      <c r="AO636" s="74"/>
      <c r="AP636" s="74"/>
      <c r="AQ636" s="74"/>
      <c r="AR636" s="74"/>
      <c r="AS636" s="565"/>
      <c r="AT636" s="556"/>
      <c r="AU636" s="700"/>
    </row>
    <row r="637" spans="1:47" hidden="1" x14ac:dyDescent="0.45">
      <c r="A637" s="556"/>
      <c r="B637" s="556"/>
      <c r="C637" s="556"/>
      <c r="D637" s="556"/>
      <c r="E637" s="556"/>
      <c r="F637" s="564"/>
      <c r="G637" s="564"/>
      <c r="H637" s="564"/>
      <c r="I637" s="564"/>
      <c r="J637" s="564"/>
      <c r="K637" s="564"/>
      <c r="L637" s="564"/>
      <c r="M637" s="564"/>
      <c r="N637" s="564"/>
      <c r="O637" s="564"/>
      <c r="P637" s="564"/>
      <c r="Q637" s="564"/>
      <c r="R637" s="564"/>
      <c r="S637" s="564"/>
      <c r="T637" s="564"/>
      <c r="U637" s="564"/>
      <c r="V637" s="564"/>
      <c r="W637" s="564"/>
      <c r="X637" s="564"/>
      <c r="Y637" s="564"/>
      <c r="Z637" s="564"/>
      <c r="AA637" s="564"/>
      <c r="AB637" s="556"/>
      <c r="AC637" s="556"/>
      <c r="AD637" s="74"/>
      <c r="AE637" s="74"/>
      <c r="AF637" s="74"/>
      <c r="AG637" s="74"/>
      <c r="AH637" s="74"/>
      <c r="AI637" s="74"/>
      <c r="AJ637" s="74"/>
      <c r="AK637" s="74"/>
      <c r="AL637" s="74"/>
      <c r="AM637" s="74"/>
      <c r="AN637" s="74"/>
      <c r="AO637" s="74"/>
      <c r="AP637" s="74"/>
      <c r="AQ637" s="74"/>
      <c r="AR637" s="74"/>
      <c r="AS637" s="565"/>
      <c r="AT637" s="556"/>
      <c r="AU637" s="700"/>
    </row>
    <row r="638" spans="1:47" hidden="1" x14ac:dyDescent="0.45">
      <c r="A638" s="556"/>
      <c r="B638" s="556"/>
      <c r="C638" s="556"/>
      <c r="D638" s="556"/>
      <c r="E638" s="556"/>
      <c r="F638" s="564"/>
      <c r="G638" s="564"/>
      <c r="H638" s="564"/>
      <c r="I638" s="564"/>
      <c r="J638" s="564"/>
      <c r="K638" s="564"/>
      <c r="L638" s="564"/>
      <c r="M638" s="564"/>
      <c r="N638" s="564"/>
      <c r="O638" s="564"/>
      <c r="P638" s="564"/>
      <c r="Q638" s="564"/>
      <c r="R638" s="564"/>
      <c r="S638" s="564"/>
      <c r="T638" s="564"/>
      <c r="U638" s="564"/>
      <c r="V638" s="564"/>
      <c r="W638" s="564"/>
      <c r="X638" s="564"/>
      <c r="Y638" s="564"/>
      <c r="Z638" s="564"/>
      <c r="AA638" s="564"/>
      <c r="AB638" s="556"/>
      <c r="AC638" s="556"/>
      <c r="AD638" s="74"/>
      <c r="AE638" s="74"/>
      <c r="AF638" s="74"/>
      <c r="AG638" s="74"/>
      <c r="AH638" s="74"/>
      <c r="AI638" s="74"/>
      <c r="AJ638" s="74"/>
      <c r="AK638" s="74"/>
      <c r="AL638" s="74"/>
      <c r="AM638" s="74"/>
      <c r="AN638" s="74"/>
      <c r="AO638" s="74"/>
      <c r="AP638" s="74"/>
      <c r="AQ638" s="74"/>
      <c r="AR638" s="74"/>
      <c r="AS638" s="565"/>
      <c r="AT638" s="556"/>
      <c r="AU638" s="700"/>
    </row>
    <row r="639" spans="1:47" hidden="1" x14ac:dyDescent="0.45">
      <c r="A639" s="556"/>
      <c r="B639" s="556"/>
      <c r="C639" s="556"/>
      <c r="D639" s="556"/>
      <c r="E639" s="556"/>
      <c r="F639" s="564"/>
      <c r="G639" s="564"/>
      <c r="H639" s="564"/>
      <c r="I639" s="564"/>
      <c r="J639" s="564"/>
      <c r="K639" s="564"/>
      <c r="L639" s="564"/>
      <c r="M639" s="564"/>
      <c r="N639" s="564"/>
      <c r="O639" s="564"/>
      <c r="P639" s="564"/>
      <c r="Q639" s="564"/>
      <c r="R639" s="564"/>
      <c r="S639" s="564"/>
      <c r="T639" s="564"/>
      <c r="U639" s="564"/>
      <c r="V639" s="564"/>
      <c r="W639" s="564"/>
      <c r="X639" s="564"/>
      <c r="Y639" s="564"/>
      <c r="Z639" s="564"/>
      <c r="AA639" s="564"/>
      <c r="AB639" s="556"/>
      <c r="AC639" s="556"/>
      <c r="AD639" s="74"/>
      <c r="AE639" s="74"/>
      <c r="AF639" s="74"/>
      <c r="AG639" s="74"/>
      <c r="AH639" s="74"/>
      <c r="AI639" s="74"/>
      <c r="AJ639" s="74"/>
      <c r="AK639" s="74"/>
      <c r="AL639" s="74"/>
      <c r="AM639" s="74"/>
      <c r="AN639" s="74"/>
      <c r="AO639" s="74"/>
      <c r="AP639" s="74"/>
      <c r="AQ639" s="74"/>
      <c r="AR639" s="74"/>
      <c r="AS639" s="565"/>
      <c r="AT639" s="556"/>
      <c r="AU639" s="700"/>
    </row>
    <row r="640" spans="1:47" hidden="1" x14ac:dyDescent="0.45">
      <c r="A640" s="556"/>
      <c r="B640" s="556"/>
      <c r="C640" s="556"/>
      <c r="D640" s="556"/>
      <c r="E640" s="556"/>
      <c r="F640" s="564"/>
      <c r="G640" s="564"/>
      <c r="H640" s="564"/>
      <c r="I640" s="564"/>
      <c r="J640" s="564"/>
      <c r="K640" s="564"/>
      <c r="L640" s="564"/>
      <c r="M640" s="564"/>
      <c r="N640" s="564"/>
      <c r="O640" s="564"/>
      <c r="P640" s="564"/>
      <c r="Q640" s="564"/>
      <c r="R640" s="564"/>
      <c r="S640" s="564"/>
      <c r="T640" s="564"/>
      <c r="U640" s="564"/>
      <c r="V640" s="564"/>
      <c r="W640" s="564"/>
      <c r="X640" s="564"/>
      <c r="Y640" s="564"/>
      <c r="Z640" s="564"/>
      <c r="AA640" s="564"/>
      <c r="AB640" s="556"/>
      <c r="AC640" s="556"/>
      <c r="AD640" s="74"/>
      <c r="AE640" s="74"/>
      <c r="AF640" s="74"/>
      <c r="AG640" s="74"/>
      <c r="AH640" s="74"/>
      <c r="AI640" s="74"/>
      <c r="AJ640" s="74"/>
      <c r="AK640" s="74"/>
      <c r="AL640" s="74"/>
      <c r="AM640" s="74"/>
      <c r="AN640" s="74"/>
      <c r="AO640" s="74"/>
      <c r="AP640" s="74"/>
      <c r="AQ640" s="74"/>
      <c r="AR640" s="74"/>
      <c r="AS640" s="565"/>
      <c r="AT640" s="556"/>
      <c r="AU640" s="700"/>
    </row>
    <row r="641" spans="1:47" hidden="1" x14ac:dyDescent="0.45">
      <c r="A641" s="556"/>
      <c r="B641" s="556"/>
      <c r="C641" s="556"/>
      <c r="D641" s="556"/>
      <c r="E641" s="556"/>
      <c r="F641" s="564"/>
      <c r="G641" s="564"/>
      <c r="H641" s="564"/>
      <c r="I641" s="564"/>
      <c r="J641" s="564"/>
      <c r="K641" s="564"/>
      <c r="L641" s="564"/>
      <c r="M641" s="564"/>
      <c r="N641" s="564"/>
      <c r="O641" s="564"/>
      <c r="P641" s="564"/>
      <c r="Q641" s="564"/>
      <c r="R641" s="564"/>
      <c r="S641" s="564"/>
      <c r="T641" s="564"/>
      <c r="U641" s="564"/>
      <c r="V641" s="564"/>
      <c r="W641" s="564"/>
      <c r="X641" s="564"/>
      <c r="Y641" s="564"/>
      <c r="Z641" s="564"/>
      <c r="AA641" s="564"/>
      <c r="AB641" s="556"/>
      <c r="AC641" s="556"/>
      <c r="AD641" s="74"/>
      <c r="AE641" s="74"/>
      <c r="AF641" s="74"/>
      <c r="AG641" s="74"/>
      <c r="AH641" s="74"/>
      <c r="AI641" s="74"/>
      <c r="AJ641" s="74"/>
      <c r="AK641" s="74"/>
      <c r="AL641" s="74"/>
      <c r="AM641" s="74"/>
      <c r="AN641" s="74"/>
      <c r="AO641" s="74"/>
      <c r="AP641" s="74"/>
      <c r="AQ641" s="74"/>
      <c r="AR641" s="74"/>
      <c r="AS641" s="565"/>
      <c r="AT641" s="556"/>
      <c r="AU641" s="700"/>
    </row>
    <row r="642" spans="1:47" hidden="1" x14ac:dyDescent="0.45">
      <c r="A642" s="556"/>
      <c r="B642" s="556"/>
      <c r="C642" s="556"/>
      <c r="D642" s="556"/>
      <c r="E642" s="556"/>
      <c r="F642" s="564"/>
      <c r="G642" s="564"/>
      <c r="H642" s="564"/>
      <c r="I642" s="564"/>
      <c r="J642" s="564"/>
      <c r="K642" s="564"/>
      <c r="L642" s="564"/>
      <c r="M642" s="564"/>
      <c r="N642" s="564"/>
      <c r="O642" s="564"/>
      <c r="P642" s="564"/>
      <c r="Q642" s="564"/>
      <c r="R642" s="564"/>
      <c r="S642" s="564"/>
      <c r="T642" s="564"/>
      <c r="U642" s="564"/>
      <c r="V642" s="564"/>
      <c r="W642" s="564"/>
      <c r="X642" s="564"/>
      <c r="Y642" s="564"/>
      <c r="Z642" s="564"/>
      <c r="AA642" s="564"/>
      <c r="AB642" s="556"/>
      <c r="AC642" s="556"/>
      <c r="AD642" s="74"/>
      <c r="AE642" s="74"/>
      <c r="AF642" s="74"/>
      <c r="AG642" s="74"/>
      <c r="AH642" s="74"/>
      <c r="AI642" s="74"/>
      <c r="AJ642" s="74"/>
      <c r="AK642" s="74"/>
      <c r="AL642" s="74"/>
      <c r="AM642" s="74"/>
      <c r="AN642" s="74"/>
      <c r="AO642" s="74"/>
      <c r="AP642" s="74"/>
      <c r="AQ642" s="74"/>
      <c r="AR642" s="74"/>
      <c r="AS642" s="565"/>
      <c r="AT642" s="556"/>
      <c r="AU642" s="700"/>
    </row>
    <row r="643" spans="1:47" hidden="1" x14ac:dyDescent="0.45">
      <c r="A643" s="556"/>
      <c r="B643" s="556"/>
      <c r="C643" s="556"/>
      <c r="D643" s="556"/>
      <c r="E643" s="556"/>
      <c r="F643" s="564"/>
      <c r="G643" s="564"/>
      <c r="H643" s="564"/>
      <c r="I643" s="564"/>
      <c r="J643" s="564"/>
      <c r="K643" s="564"/>
      <c r="L643" s="564"/>
      <c r="M643" s="564"/>
      <c r="N643" s="564"/>
      <c r="O643" s="564"/>
      <c r="P643" s="564"/>
      <c r="Q643" s="564"/>
      <c r="R643" s="564"/>
      <c r="S643" s="564"/>
      <c r="T643" s="564"/>
      <c r="U643" s="564"/>
      <c r="V643" s="564"/>
      <c r="W643" s="564"/>
      <c r="X643" s="564"/>
      <c r="Y643" s="564"/>
      <c r="Z643" s="564"/>
      <c r="AA643" s="564"/>
      <c r="AB643" s="556"/>
      <c r="AC643" s="556"/>
      <c r="AD643" s="74"/>
      <c r="AE643" s="74"/>
      <c r="AF643" s="74"/>
      <c r="AG643" s="74"/>
      <c r="AH643" s="74"/>
      <c r="AI643" s="74"/>
      <c r="AJ643" s="74"/>
      <c r="AK643" s="74"/>
      <c r="AL643" s="74"/>
      <c r="AM643" s="74"/>
      <c r="AN643" s="74"/>
      <c r="AO643" s="74"/>
      <c r="AP643" s="74"/>
      <c r="AQ643" s="74"/>
      <c r="AR643" s="74"/>
      <c r="AS643" s="565"/>
      <c r="AT643" s="556"/>
      <c r="AU643" s="700"/>
    </row>
    <row r="644" spans="1:47" hidden="1" x14ac:dyDescent="0.45">
      <c r="A644" s="556"/>
      <c r="B644" s="556"/>
      <c r="C644" s="556"/>
      <c r="D644" s="556"/>
      <c r="E644" s="556"/>
      <c r="F644" s="564"/>
      <c r="G644" s="564"/>
      <c r="H644" s="564"/>
      <c r="I644" s="564"/>
      <c r="J644" s="564"/>
      <c r="K644" s="564"/>
      <c r="L644" s="564"/>
      <c r="M644" s="564"/>
      <c r="N644" s="564"/>
      <c r="O644" s="564"/>
      <c r="P644" s="564"/>
      <c r="Q644" s="564"/>
      <c r="R644" s="564"/>
      <c r="S644" s="564"/>
      <c r="T644" s="564"/>
      <c r="U644" s="564"/>
      <c r="V644" s="564"/>
      <c r="W644" s="564"/>
      <c r="X644" s="564"/>
      <c r="Y644" s="564"/>
      <c r="Z644" s="564"/>
      <c r="AA644" s="564"/>
      <c r="AB644" s="556"/>
      <c r="AC644" s="556"/>
      <c r="AD644" s="74"/>
      <c r="AE644" s="74"/>
      <c r="AF644" s="74"/>
      <c r="AG644" s="74"/>
      <c r="AH644" s="74"/>
      <c r="AI644" s="74"/>
      <c r="AJ644" s="74"/>
      <c r="AK644" s="74"/>
      <c r="AL644" s="74"/>
      <c r="AM644" s="74"/>
      <c r="AN644" s="74"/>
      <c r="AO644" s="74"/>
      <c r="AP644" s="74"/>
      <c r="AQ644" s="74"/>
      <c r="AR644" s="74"/>
      <c r="AS644" s="565"/>
      <c r="AT644" s="556"/>
      <c r="AU644" s="700"/>
    </row>
    <row r="645" spans="1:47" hidden="1" x14ac:dyDescent="0.45">
      <c r="A645" s="556"/>
      <c r="B645" s="556"/>
      <c r="C645" s="556"/>
      <c r="D645" s="556"/>
      <c r="E645" s="556"/>
      <c r="F645" s="564"/>
      <c r="G645" s="564"/>
      <c r="H645" s="564"/>
      <c r="I645" s="564"/>
      <c r="J645" s="564"/>
      <c r="K645" s="564"/>
      <c r="L645" s="564"/>
      <c r="M645" s="564"/>
      <c r="N645" s="564"/>
      <c r="O645" s="564"/>
      <c r="P645" s="564"/>
      <c r="Q645" s="564"/>
      <c r="R645" s="564"/>
      <c r="S645" s="564"/>
      <c r="T645" s="564"/>
      <c r="U645" s="564"/>
      <c r="V645" s="564"/>
      <c r="W645" s="564"/>
      <c r="X645" s="564"/>
      <c r="Y645" s="564"/>
      <c r="Z645" s="564"/>
      <c r="AA645" s="564"/>
      <c r="AB645" s="556"/>
      <c r="AC645" s="556"/>
      <c r="AD645" s="74"/>
      <c r="AE645" s="74"/>
      <c r="AF645" s="74"/>
      <c r="AG645" s="74"/>
      <c r="AH645" s="74"/>
      <c r="AI645" s="74"/>
      <c r="AJ645" s="74"/>
      <c r="AK645" s="74"/>
      <c r="AL645" s="74"/>
      <c r="AM645" s="74"/>
      <c r="AN645" s="74"/>
      <c r="AO645" s="74"/>
      <c r="AP645" s="74"/>
      <c r="AQ645" s="74"/>
      <c r="AR645" s="74"/>
      <c r="AS645" s="565"/>
      <c r="AT645" s="556"/>
      <c r="AU645" s="700"/>
    </row>
    <row r="646" spans="1:47" hidden="1" x14ac:dyDescent="0.45">
      <c r="A646" s="556"/>
      <c r="B646" s="556"/>
      <c r="C646" s="556"/>
      <c r="D646" s="556"/>
      <c r="E646" s="556"/>
      <c r="F646" s="564"/>
      <c r="G646" s="564"/>
      <c r="H646" s="564"/>
      <c r="I646" s="564"/>
      <c r="J646" s="564"/>
      <c r="K646" s="564"/>
      <c r="L646" s="564"/>
      <c r="M646" s="564"/>
      <c r="N646" s="564"/>
      <c r="O646" s="564"/>
      <c r="P646" s="564"/>
      <c r="Q646" s="564"/>
      <c r="R646" s="564"/>
      <c r="S646" s="564"/>
      <c r="T646" s="564"/>
      <c r="U646" s="564"/>
      <c r="V646" s="564"/>
      <c r="W646" s="564"/>
      <c r="X646" s="564"/>
      <c r="Y646" s="564"/>
      <c r="Z646" s="564"/>
      <c r="AA646" s="564"/>
      <c r="AB646" s="556"/>
      <c r="AC646" s="556"/>
      <c r="AD646" s="74"/>
      <c r="AE646" s="74"/>
      <c r="AF646" s="74"/>
      <c r="AG646" s="74"/>
      <c r="AH646" s="74"/>
      <c r="AI646" s="74"/>
      <c r="AJ646" s="74"/>
      <c r="AK646" s="74"/>
      <c r="AL646" s="74"/>
      <c r="AM646" s="74"/>
      <c r="AN646" s="74"/>
      <c r="AO646" s="74"/>
      <c r="AP646" s="74"/>
      <c r="AQ646" s="74"/>
      <c r="AR646" s="74"/>
      <c r="AS646" s="565"/>
      <c r="AT646" s="556"/>
    </row>
    <row r="647" spans="1:47" hidden="1" x14ac:dyDescent="0.45">
      <c r="A647" s="556"/>
      <c r="B647" s="556"/>
      <c r="C647" s="556"/>
      <c r="D647" s="556"/>
      <c r="E647" s="556"/>
      <c r="F647" s="564"/>
      <c r="G647" s="564"/>
      <c r="H647" s="564"/>
      <c r="I647" s="564"/>
      <c r="J647" s="564"/>
      <c r="K647" s="564"/>
      <c r="L647" s="564"/>
      <c r="M647" s="564"/>
      <c r="N647" s="564"/>
      <c r="O647" s="564"/>
      <c r="P647" s="564"/>
      <c r="Q647" s="564"/>
      <c r="R647" s="564"/>
      <c r="S647" s="564"/>
      <c r="T647" s="564"/>
      <c r="U647" s="564"/>
      <c r="V647" s="564"/>
      <c r="W647" s="564"/>
      <c r="X647" s="564"/>
      <c r="Y647" s="564"/>
      <c r="Z647" s="564"/>
      <c r="AA647" s="564"/>
      <c r="AB647" s="556"/>
      <c r="AC647" s="556"/>
      <c r="AD647" s="74"/>
      <c r="AE647" s="74"/>
      <c r="AF647" s="74"/>
      <c r="AG647" s="74"/>
      <c r="AH647" s="74"/>
      <c r="AI647" s="74"/>
      <c r="AJ647" s="74"/>
      <c r="AK647" s="74"/>
      <c r="AL647" s="74"/>
      <c r="AM647" s="74"/>
      <c r="AN647" s="74"/>
      <c r="AO647" s="74"/>
      <c r="AP647" s="74"/>
      <c r="AQ647" s="74"/>
      <c r="AR647" s="74"/>
      <c r="AS647" s="565"/>
      <c r="AT647" s="556"/>
    </row>
    <row r="648" spans="1:47" hidden="1" x14ac:dyDescent="0.45">
      <c r="A648" s="556"/>
      <c r="B648" s="556"/>
      <c r="C648" s="556"/>
      <c r="D648" s="556"/>
      <c r="E648" s="556"/>
      <c r="F648" s="564"/>
      <c r="G648" s="564"/>
      <c r="H648" s="564"/>
      <c r="I648" s="564"/>
      <c r="J648" s="564"/>
      <c r="K648" s="564"/>
      <c r="L648" s="564"/>
      <c r="M648" s="564"/>
      <c r="N648" s="564"/>
      <c r="O648" s="564"/>
      <c r="P648" s="564"/>
      <c r="Q648" s="564"/>
      <c r="R648" s="564"/>
      <c r="S648" s="564"/>
      <c r="T648" s="564"/>
      <c r="U648" s="564"/>
      <c r="V648" s="564"/>
      <c r="W648" s="564"/>
      <c r="X648" s="564"/>
      <c r="Y648" s="564"/>
      <c r="Z648" s="564"/>
      <c r="AA648" s="564"/>
      <c r="AB648" s="556"/>
      <c r="AC648" s="556"/>
      <c r="AD648" s="74"/>
      <c r="AE648" s="74"/>
      <c r="AF648" s="74"/>
      <c r="AG648" s="74"/>
      <c r="AH648" s="74"/>
      <c r="AI648" s="74"/>
      <c r="AJ648" s="74"/>
      <c r="AK648" s="74"/>
      <c r="AL648" s="74"/>
      <c r="AM648" s="74"/>
      <c r="AN648" s="74"/>
      <c r="AO648" s="74"/>
      <c r="AP648" s="74"/>
      <c r="AQ648" s="74"/>
      <c r="AR648" s="74"/>
      <c r="AS648" s="565"/>
      <c r="AT648" s="556"/>
    </row>
    <row r="649" spans="1:47" hidden="1" x14ac:dyDescent="0.45">
      <c r="A649" s="556"/>
      <c r="B649" s="556"/>
      <c r="C649" s="556"/>
      <c r="D649" s="556"/>
      <c r="E649" s="556"/>
      <c r="F649" s="564"/>
      <c r="G649" s="564"/>
      <c r="H649" s="564"/>
      <c r="I649" s="564"/>
      <c r="J649" s="564"/>
      <c r="K649" s="564"/>
      <c r="L649" s="564"/>
      <c r="M649" s="564"/>
      <c r="N649" s="564"/>
      <c r="O649" s="564"/>
      <c r="P649" s="564"/>
      <c r="Q649" s="564"/>
      <c r="R649" s="564"/>
      <c r="S649" s="564"/>
      <c r="T649" s="564"/>
      <c r="U649" s="564"/>
      <c r="V649" s="564"/>
      <c r="W649" s="564"/>
      <c r="X649" s="564"/>
      <c r="Y649" s="564"/>
      <c r="Z649" s="564"/>
      <c r="AA649" s="564"/>
      <c r="AB649" s="556"/>
      <c r="AC649" s="556"/>
      <c r="AD649" s="74"/>
      <c r="AE649" s="74"/>
      <c r="AF649" s="74"/>
      <c r="AG649" s="74"/>
      <c r="AH649" s="74"/>
      <c r="AI649" s="74"/>
      <c r="AJ649" s="74"/>
      <c r="AK649" s="74"/>
      <c r="AL649" s="74"/>
      <c r="AM649" s="74"/>
      <c r="AN649" s="74"/>
      <c r="AO649" s="74"/>
      <c r="AP649" s="74"/>
      <c r="AQ649" s="74"/>
      <c r="AR649" s="74"/>
      <c r="AS649" s="565"/>
      <c r="AT649" s="556"/>
    </row>
    <row r="650" spans="1:47" hidden="1" x14ac:dyDescent="0.45">
      <c r="A650" s="556"/>
      <c r="B650" s="556"/>
      <c r="C650" s="556"/>
      <c r="D650" s="556"/>
      <c r="E650" s="556"/>
      <c r="F650" s="564"/>
      <c r="G650" s="564"/>
      <c r="H650" s="564"/>
      <c r="I650" s="564"/>
      <c r="J650" s="564"/>
      <c r="K650" s="564"/>
      <c r="L650" s="564"/>
      <c r="M650" s="564"/>
      <c r="N650" s="564"/>
      <c r="O650" s="564"/>
      <c r="P650" s="564"/>
      <c r="Q650" s="564"/>
      <c r="R650" s="564"/>
      <c r="S650" s="564"/>
      <c r="T650" s="564"/>
      <c r="U650" s="564"/>
      <c r="V650" s="564"/>
      <c r="W650" s="564"/>
      <c r="X650" s="564"/>
      <c r="Y650" s="564"/>
      <c r="Z650" s="564"/>
      <c r="AA650" s="564"/>
      <c r="AB650" s="556"/>
      <c r="AC650" s="556"/>
      <c r="AD650" s="74"/>
      <c r="AE650" s="74"/>
      <c r="AF650" s="74"/>
      <c r="AG650" s="74"/>
      <c r="AH650" s="74"/>
      <c r="AI650" s="74"/>
      <c r="AJ650" s="74"/>
      <c r="AK650" s="74"/>
      <c r="AL650" s="74"/>
      <c r="AM650" s="74"/>
      <c r="AN650" s="74"/>
      <c r="AO650" s="74"/>
      <c r="AP650" s="74"/>
      <c r="AQ650" s="74"/>
      <c r="AR650" s="74"/>
      <c r="AS650" s="565"/>
      <c r="AT650" s="556"/>
    </row>
    <row r="651" spans="1:47" hidden="1" x14ac:dyDescent="0.45">
      <c r="A651" s="556"/>
      <c r="B651" s="556"/>
      <c r="C651" s="556"/>
      <c r="D651" s="556"/>
      <c r="E651" s="556"/>
      <c r="F651" s="564"/>
      <c r="G651" s="564"/>
      <c r="H651" s="564"/>
      <c r="I651" s="564"/>
      <c r="J651" s="564"/>
      <c r="K651" s="564"/>
      <c r="L651" s="564"/>
      <c r="M651" s="564"/>
      <c r="N651" s="564"/>
      <c r="O651" s="564"/>
      <c r="P651" s="564"/>
      <c r="Q651" s="564"/>
      <c r="R651" s="564"/>
      <c r="S651" s="564"/>
      <c r="T651" s="564"/>
      <c r="U651" s="564"/>
      <c r="V651" s="564"/>
      <c r="W651" s="564"/>
      <c r="X651" s="564"/>
      <c r="Y651" s="564"/>
      <c r="Z651" s="564"/>
      <c r="AA651" s="564"/>
      <c r="AB651" s="556"/>
      <c r="AC651" s="556"/>
      <c r="AD651" s="74"/>
      <c r="AE651" s="74"/>
      <c r="AF651" s="74"/>
      <c r="AG651" s="74"/>
      <c r="AH651" s="74"/>
      <c r="AI651" s="74"/>
      <c r="AJ651" s="74"/>
      <c r="AK651" s="74"/>
      <c r="AL651" s="74"/>
      <c r="AM651" s="74"/>
      <c r="AN651" s="74"/>
      <c r="AO651" s="74"/>
      <c r="AP651" s="74"/>
      <c r="AQ651" s="74"/>
      <c r="AR651" s="74"/>
      <c r="AS651" s="565"/>
      <c r="AT651" s="556"/>
    </row>
    <row r="652" spans="1:47" hidden="1" x14ac:dyDescent="0.45">
      <c r="A652" s="556"/>
      <c r="B652" s="556"/>
      <c r="C652" s="556"/>
      <c r="D652" s="556"/>
      <c r="E652" s="556"/>
      <c r="F652" s="564"/>
      <c r="G652" s="564"/>
      <c r="H652" s="564"/>
      <c r="I652" s="564"/>
      <c r="J652" s="564"/>
      <c r="K652" s="564"/>
      <c r="L652" s="564"/>
      <c r="M652" s="564"/>
      <c r="N652" s="564"/>
      <c r="O652" s="564"/>
      <c r="P652" s="564"/>
      <c r="Q652" s="564"/>
      <c r="R652" s="564"/>
      <c r="S652" s="564"/>
      <c r="T652" s="564"/>
      <c r="U652" s="564"/>
      <c r="V652" s="564"/>
      <c r="W652" s="564"/>
      <c r="X652" s="564"/>
      <c r="Y652" s="564"/>
      <c r="Z652" s="564"/>
      <c r="AA652" s="564"/>
      <c r="AB652" s="556"/>
      <c r="AC652" s="556"/>
      <c r="AD652" s="74"/>
      <c r="AE652" s="74"/>
      <c r="AF652" s="74"/>
      <c r="AG652" s="74"/>
      <c r="AH652" s="74"/>
      <c r="AI652" s="74"/>
      <c r="AJ652" s="74"/>
      <c r="AK652" s="74"/>
      <c r="AL652" s="74"/>
      <c r="AM652" s="74"/>
      <c r="AN652" s="74"/>
      <c r="AO652" s="74"/>
      <c r="AP652" s="74"/>
      <c r="AQ652" s="74"/>
      <c r="AR652" s="74"/>
      <c r="AS652" s="565"/>
      <c r="AT652" s="556"/>
    </row>
    <row r="653" spans="1:47" hidden="1" x14ac:dyDescent="0.45">
      <c r="A653" s="556"/>
      <c r="B653" s="556"/>
      <c r="C653" s="556"/>
      <c r="D653" s="556"/>
      <c r="E653" s="556"/>
      <c r="F653" s="564"/>
      <c r="G653" s="564"/>
      <c r="H653" s="564"/>
      <c r="I653" s="564"/>
      <c r="J653" s="564"/>
      <c r="K653" s="564"/>
      <c r="L653" s="564"/>
      <c r="M653" s="564"/>
      <c r="N653" s="564"/>
      <c r="O653" s="564"/>
      <c r="P653" s="564"/>
      <c r="Q653" s="564"/>
      <c r="R653" s="564"/>
      <c r="S653" s="564"/>
      <c r="T653" s="564"/>
      <c r="U653" s="564"/>
      <c r="V653" s="564"/>
      <c r="W653" s="564"/>
      <c r="X653" s="564"/>
      <c r="Y653" s="564"/>
      <c r="Z653" s="564"/>
      <c r="AA653" s="564"/>
      <c r="AB653" s="556"/>
      <c r="AC653" s="556"/>
      <c r="AD653" s="74"/>
      <c r="AE653" s="74"/>
      <c r="AF653" s="74"/>
      <c r="AG653" s="74"/>
      <c r="AH653" s="74"/>
      <c r="AI653" s="74"/>
      <c r="AJ653" s="74"/>
      <c r="AK653" s="74"/>
      <c r="AL653" s="74"/>
      <c r="AM653" s="74"/>
      <c r="AN653" s="74"/>
      <c r="AO653" s="74"/>
      <c r="AP653" s="74"/>
      <c r="AQ653" s="74"/>
      <c r="AR653" s="74"/>
      <c r="AS653" s="565"/>
      <c r="AT653" s="556"/>
    </row>
    <row r="654" spans="1:47" hidden="1" x14ac:dyDescent="0.45">
      <c r="A654" s="556"/>
      <c r="B654" s="556"/>
      <c r="C654" s="556"/>
      <c r="D654" s="556"/>
      <c r="E654" s="556"/>
      <c r="F654" s="564"/>
      <c r="G654" s="564"/>
      <c r="H654" s="564"/>
      <c r="I654" s="564"/>
      <c r="J654" s="564"/>
      <c r="K654" s="564"/>
      <c r="L654" s="564"/>
      <c r="M654" s="564"/>
      <c r="N654" s="564"/>
      <c r="O654" s="564"/>
      <c r="P654" s="564"/>
      <c r="Q654" s="564"/>
      <c r="R654" s="564"/>
      <c r="S654" s="564"/>
      <c r="T654" s="564"/>
      <c r="U654" s="564"/>
      <c r="V654" s="564"/>
      <c r="W654" s="564"/>
      <c r="X654" s="564"/>
      <c r="Y654" s="564"/>
      <c r="Z654" s="564"/>
      <c r="AA654" s="564"/>
      <c r="AB654" s="556"/>
      <c r="AC654" s="556"/>
      <c r="AD654" s="74"/>
      <c r="AE654" s="74"/>
      <c r="AF654" s="74"/>
      <c r="AG654" s="74"/>
      <c r="AH654" s="74"/>
      <c r="AI654" s="74"/>
      <c r="AJ654" s="74"/>
      <c r="AK654" s="74"/>
      <c r="AL654" s="74"/>
      <c r="AM654" s="74"/>
      <c r="AN654" s="74"/>
      <c r="AO654" s="74"/>
      <c r="AP654" s="74"/>
      <c r="AQ654" s="74"/>
      <c r="AR654" s="74"/>
      <c r="AS654" s="565"/>
      <c r="AT654" s="556"/>
    </row>
    <row r="655" spans="1:47" hidden="1" x14ac:dyDescent="0.45">
      <c r="A655" s="556"/>
      <c r="B655" s="556"/>
      <c r="C655" s="556"/>
      <c r="D655" s="556"/>
      <c r="E655" s="556"/>
      <c r="F655" s="564"/>
      <c r="G655" s="564"/>
      <c r="H655" s="564"/>
      <c r="I655" s="564"/>
      <c r="J655" s="564"/>
      <c r="K655" s="564"/>
      <c r="L655" s="564"/>
      <c r="M655" s="564"/>
      <c r="N655" s="564"/>
      <c r="O655" s="564"/>
      <c r="P655" s="564"/>
      <c r="Q655" s="564"/>
      <c r="R655" s="564"/>
      <c r="S655" s="564"/>
      <c r="T655" s="564"/>
      <c r="U655" s="564"/>
      <c r="V655" s="564"/>
      <c r="W655" s="564"/>
      <c r="X655" s="564"/>
      <c r="Y655" s="564"/>
      <c r="Z655" s="564"/>
      <c r="AA655" s="564"/>
      <c r="AB655" s="556"/>
      <c r="AC655" s="556"/>
      <c r="AD655" s="74"/>
      <c r="AE655" s="74"/>
      <c r="AF655" s="74"/>
      <c r="AG655" s="74"/>
      <c r="AH655" s="74"/>
      <c r="AI655" s="74"/>
      <c r="AJ655" s="74"/>
      <c r="AK655" s="74"/>
      <c r="AL655" s="74"/>
      <c r="AM655" s="74"/>
      <c r="AN655" s="74"/>
      <c r="AO655" s="74"/>
      <c r="AP655" s="74"/>
      <c r="AQ655" s="74"/>
      <c r="AR655" s="74"/>
      <c r="AS655" s="565"/>
      <c r="AT655" s="556"/>
    </row>
    <row r="656" spans="1:47" hidden="1" x14ac:dyDescent="0.45">
      <c r="A656" s="556"/>
      <c r="B656" s="556"/>
      <c r="C656" s="556"/>
      <c r="D656" s="556"/>
      <c r="E656" s="556"/>
      <c r="F656" s="564"/>
      <c r="G656" s="564"/>
      <c r="H656" s="564"/>
      <c r="I656" s="564"/>
      <c r="J656" s="564"/>
      <c r="K656" s="564"/>
      <c r="L656" s="564"/>
      <c r="M656" s="564"/>
      <c r="N656" s="564"/>
      <c r="O656" s="564"/>
      <c r="P656" s="564"/>
      <c r="Q656" s="564"/>
      <c r="R656" s="564"/>
      <c r="S656" s="564"/>
      <c r="T656" s="564"/>
      <c r="U656" s="564"/>
      <c r="V656" s="564"/>
      <c r="W656" s="564"/>
      <c r="X656" s="564"/>
      <c r="Y656" s="564"/>
      <c r="Z656" s="564"/>
      <c r="AA656" s="564"/>
      <c r="AB656" s="556"/>
      <c r="AC656" s="556"/>
      <c r="AD656" s="74"/>
      <c r="AE656" s="74"/>
      <c r="AF656" s="74"/>
      <c r="AG656" s="74"/>
      <c r="AH656" s="74"/>
      <c r="AI656" s="74"/>
      <c r="AJ656" s="74"/>
      <c r="AK656" s="74"/>
      <c r="AL656" s="74"/>
      <c r="AM656" s="74"/>
      <c r="AN656" s="74"/>
      <c r="AO656" s="74"/>
      <c r="AP656" s="74"/>
      <c r="AQ656" s="74"/>
      <c r="AR656" s="74"/>
      <c r="AS656" s="565"/>
      <c r="AT656" s="556"/>
    </row>
    <row r="657" spans="1:46" hidden="1" x14ac:dyDescent="0.45">
      <c r="A657" s="556"/>
      <c r="B657" s="556"/>
      <c r="C657" s="556"/>
      <c r="D657" s="556"/>
      <c r="E657" s="556"/>
      <c r="F657" s="564"/>
      <c r="G657" s="564"/>
      <c r="H657" s="564"/>
      <c r="I657" s="564"/>
      <c r="J657" s="564"/>
      <c r="K657" s="564"/>
      <c r="L657" s="564"/>
      <c r="M657" s="564"/>
      <c r="N657" s="564"/>
      <c r="O657" s="564"/>
      <c r="P657" s="564"/>
      <c r="Q657" s="564"/>
      <c r="R657" s="564"/>
      <c r="S657" s="564"/>
      <c r="T657" s="564"/>
      <c r="U657" s="564"/>
      <c r="V657" s="564"/>
      <c r="W657" s="564"/>
      <c r="X657" s="564"/>
      <c r="Y657" s="564"/>
      <c r="Z657" s="564"/>
      <c r="AA657" s="564"/>
      <c r="AB657" s="556"/>
      <c r="AC657" s="556"/>
      <c r="AD657" s="74"/>
      <c r="AE657" s="74"/>
      <c r="AF657" s="74"/>
      <c r="AG657" s="74"/>
      <c r="AH657" s="74"/>
      <c r="AI657" s="74"/>
      <c r="AJ657" s="74"/>
      <c r="AK657" s="74"/>
      <c r="AL657" s="74"/>
      <c r="AM657" s="74"/>
      <c r="AN657" s="74"/>
      <c r="AO657" s="74"/>
      <c r="AP657" s="74"/>
      <c r="AQ657" s="74"/>
      <c r="AR657" s="74"/>
      <c r="AS657" s="565"/>
      <c r="AT657" s="556"/>
    </row>
    <row r="658" spans="1:46" hidden="1" x14ac:dyDescent="0.45">
      <c r="A658" s="556"/>
      <c r="B658" s="556"/>
      <c r="C658" s="556"/>
      <c r="D658" s="556"/>
      <c r="E658" s="556"/>
      <c r="F658" s="564"/>
      <c r="G658" s="564"/>
      <c r="H658" s="564"/>
      <c r="I658" s="564"/>
      <c r="J658" s="564"/>
      <c r="K658" s="564"/>
      <c r="L658" s="564"/>
      <c r="M658" s="564"/>
      <c r="N658" s="564"/>
      <c r="O658" s="564"/>
      <c r="P658" s="564"/>
      <c r="Q658" s="564"/>
      <c r="R658" s="564"/>
      <c r="S658" s="564"/>
      <c r="T658" s="564"/>
      <c r="U658" s="564"/>
      <c r="V658" s="564"/>
      <c r="W658" s="564"/>
      <c r="X658" s="564"/>
      <c r="Y658" s="564"/>
      <c r="Z658" s="564"/>
      <c r="AA658" s="564"/>
      <c r="AB658" s="556"/>
      <c r="AC658" s="556"/>
      <c r="AD658" s="74"/>
      <c r="AE658" s="74"/>
      <c r="AF658" s="74"/>
      <c r="AG658" s="74"/>
      <c r="AH658" s="74"/>
      <c r="AI658" s="74"/>
      <c r="AJ658" s="74"/>
      <c r="AK658" s="74"/>
      <c r="AL658" s="74"/>
      <c r="AM658" s="74"/>
      <c r="AN658" s="74"/>
      <c r="AO658" s="74"/>
      <c r="AP658" s="74"/>
      <c r="AQ658" s="74"/>
      <c r="AR658" s="74"/>
      <c r="AS658" s="565"/>
      <c r="AT658" s="556"/>
    </row>
    <row r="659" spans="1:46" hidden="1" x14ac:dyDescent="0.45">
      <c r="A659" s="556"/>
      <c r="B659" s="556"/>
      <c r="C659" s="556"/>
      <c r="D659" s="556"/>
      <c r="E659" s="556"/>
      <c r="F659" s="564"/>
      <c r="G659" s="564"/>
      <c r="H659" s="564"/>
      <c r="I659" s="564"/>
      <c r="J659" s="564"/>
      <c r="K659" s="564"/>
      <c r="L659" s="564"/>
      <c r="M659" s="564"/>
      <c r="N659" s="564"/>
      <c r="O659" s="564"/>
      <c r="P659" s="564"/>
      <c r="Q659" s="564"/>
      <c r="R659" s="564"/>
      <c r="S659" s="564"/>
      <c r="T659" s="564"/>
      <c r="U659" s="564"/>
      <c r="V659" s="564"/>
      <c r="W659" s="564"/>
      <c r="X659" s="564"/>
      <c r="Y659" s="564"/>
      <c r="Z659" s="564"/>
      <c r="AA659" s="564"/>
      <c r="AB659" s="556"/>
      <c r="AC659" s="556"/>
      <c r="AD659" s="74"/>
      <c r="AE659" s="74"/>
      <c r="AF659" s="74"/>
      <c r="AG659" s="74"/>
      <c r="AH659" s="74"/>
      <c r="AI659" s="74"/>
      <c r="AJ659" s="74"/>
      <c r="AK659" s="74"/>
      <c r="AL659" s="74"/>
      <c r="AM659" s="74"/>
      <c r="AN659" s="74"/>
      <c r="AO659" s="74"/>
      <c r="AP659" s="74"/>
      <c r="AQ659" s="74"/>
      <c r="AR659" s="74"/>
      <c r="AS659" s="565"/>
      <c r="AT659" s="556"/>
    </row>
    <row r="660" spans="1:46" hidden="1" x14ac:dyDescent="0.45">
      <c r="A660" s="556"/>
      <c r="B660" s="556"/>
      <c r="C660" s="556"/>
      <c r="D660" s="556"/>
      <c r="E660" s="556"/>
      <c r="F660" s="564"/>
      <c r="G660" s="564"/>
      <c r="H660" s="564"/>
      <c r="I660" s="564"/>
      <c r="J660" s="564"/>
      <c r="K660" s="564"/>
      <c r="L660" s="564"/>
      <c r="M660" s="564"/>
      <c r="N660" s="564"/>
      <c r="O660" s="564"/>
      <c r="P660" s="564"/>
      <c r="Q660" s="564"/>
      <c r="R660" s="564"/>
      <c r="S660" s="564"/>
      <c r="T660" s="564"/>
      <c r="U660" s="564"/>
      <c r="V660" s="564"/>
      <c r="W660" s="564"/>
      <c r="X660" s="564"/>
      <c r="Y660" s="564"/>
      <c r="Z660" s="564"/>
      <c r="AA660" s="564"/>
      <c r="AB660" s="556"/>
      <c r="AC660" s="556"/>
      <c r="AD660" s="74"/>
      <c r="AE660" s="74"/>
      <c r="AF660" s="74"/>
      <c r="AG660" s="74"/>
      <c r="AH660" s="74"/>
      <c r="AI660" s="74"/>
      <c r="AJ660" s="74"/>
      <c r="AK660" s="74"/>
      <c r="AL660" s="74"/>
      <c r="AM660" s="74"/>
      <c r="AN660" s="74"/>
      <c r="AO660" s="74"/>
      <c r="AP660" s="74"/>
      <c r="AQ660" s="74"/>
      <c r="AR660" s="74"/>
      <c r="AS660" s="565"/>
      <c r="AT660" s="556"/>
    </row>
    <row r="661" spans="1:46" hidden="1" x14ac:dyDescent="0.45">
      <c r="A661" s="556"/>
      <c r="B661" s="556"/>
      <c r="C661" s="556"/>
      <c r="D661" s="556"/>
      <c r="E661" s="556"/>
      <c r="F661" s="564"/>
      <c r="G661" s="564"/>
      <c r="H661" s="564"/>
      <c r="I661" s="564"/>
      <c r="J661" s="564"/>
      <c r="K661" s="564"/>
      <c r="L661" s="564"/>
      <c r="M661" s="564"/>
      <c r="N661" s="564"/>
      <c r="O661" s="564"/>
      <c r="P661" s="564"/>
      <c r="Q661" s="564"/>
      <c r="R661" s="564"/>
      <c r="S661" s="564"/>
      <c r="T661" s="564"/>
      <c r="U661" s="564"/>
      <c r="V661" s="564"/>
      <c r="W661" s="564"/>
      <c r="X661" s="564"/>
      <c r="Y661" s="564"/>
      <c r="Z661" s="564"/>
      <c r="AA661" s="564"/>
      <c r="AB661" s="556"/>
      <c r="AC661" s="556"/>
      <c r="AD661" s="74"/>
      <c r="AE661" s="74"/>
      <c r="AF661" s="74"/>
      <c r="AG661" s="74"/>
      <c r="AH661" s="74"/>
      <c r="AI661" s="74"/>
      <c r="AJ661" s="74"/>
      <c r="AK661" s="74"/>
      <c r="AL661" s="74"/>
      <c r="AM661" s="74"/>
      <c r="AN661" s="74"/>
      <c r="AO661" s="74"/>
      <c r="AP661" s="74"/>
      <c r="AQ661" s="74"/>
      <c r="AR661" s="74"/>
      <c r="AS661" s="565"/>
      <c r="AT661" s="556"/>
    </row>
    <row r="662" spans="1:46" hidden="1" x14ac:dyDescent="0.45">
      <c r="A662" s="556"/>
      <c r="B662" s="556"/>
      <c r="C662" s="556"/>
      <c r="D662" s="556"/>
      <c r="E662" s="556"/>
      <c r="F662" s="564"/>
      <c r="G662" s="564"/>
      <c r="H662" s="564"/>
      <c r="I662" s="564"/>
      <c r="J662" s="564"/>
      <c r="K662" s="564"/>
      <c r="L662" s="564"/>
      <c r="M662" s="564"/>
      <c r="N662" s="564"/>
      <c r="O662" s="564"/>
      <c r="P662" s="564"/>
      <c r="Q662" s="564"/>
      <c r="R662" s="564"/>
      <c r="S662" s="564"/>
      <c r="T662" s="564"/>
      <c r="U662" s="564"/>
      <c r="V662" s="564"/>
      <c r="W662" s="564"/>
      <c r="X662" s="564"/>
      <c r="Y662" s="564"/>
      <c r="Z662" s="564"/>
      <c r="AA662" s="564"/>
      <c r="AB662" s="556"/>
      <c r="AC662" s="556"/>
      <c r="AD662" s="74"/>
      <c r="AE662" s="74"/>
      <c r="AF662" s="74"/>
      <c r="AG662" s="74"/>
      <c r="AH662" s="74"/>
      <c r="AI662" s="74"/>
      <c r="AJ662" s="74"/>
      <c r="AK662" s="74"/>
      <c r="AL662" s="74"/>
      <c r="AM662" s="74"/>
      <c r="AN662" s="74"/>
      <c r="AO662" s="74"/>
      <c r="AP662" s="74"/>
      <c r="AQ662" s="74"/>
      <c r="AR662" s="74"/>
      <c r="AS662" s="565"/>
      <c r="AT662" s="556"/>
    </row>
    <row r="663" spans="1:46" hidden="1" x14ac:dyDescent="0.45">
      <c r="A663" s="556"/>
      <c r="B663" s="556"/>
      <c r="C663" s="556"/>
      <c r="D663" s="556"/>
      <c r="E663" s="556"/>
      <c r="F663" s="564"/>
      <c r="G663" s="564"/>
      <c r="H663" s="564"/>
      <c r="I663" s="564"/>
      <c r="J663" s="564"/>
      <c r="K663" s="564"/>
      <c r="L663" s="564"/>
      <c r="M663" s="564"/>
      <c r="N663" s="564"/>
      <c r="O663" s="564"/>
      <c r="P663" s="564"/>
      <c r="Q663" s="564"/>
      <c r="R663" s="564"/>
      <c r="S663" s="564"/>
      <c r="T663" s="564"/>
      <c r="U663" s="564"/>
      <c r="V663" s="564"/>
      <c r="W663" s="564"/>
      <c r="X663" s="564"/>
      <c r="Y663" s="564"/>
      <c r="Z663" s="564"/>
      <c r="AA663" s="564"/>
      <c r="AB663" s="556"/>
      <c r="AC663" s="556"/>
      <c r="AD663" s="74"/>
      <c r="AE663" s="74"/>
      <c r="AF663" s="74"/>
      <c r="AG663" s="74"/>
      <c r="AH663" s="74"/>
      <c r="AI663" s="74"/>
      <c r="AJ663" s="74"/>
      <c r="AK663" s="74"/>
      <c r="AL663" s="74"/>
      <c r="AM663" s="74"/>
      <c r="AN663" s="74"/>
      <c r="AO663" s="74"/>
      <c r="AP663" s="74"/>
      <c r="AQ663" s="74"/>
      <c r="AR663" s="74"/>
      <c r="AS663" s="565"/>
      <c r="AT663" s="556"/>
    </row>
    <row r="664" spans="1:46" hidden="1" x14ac:dyDescent="0.45">
      <c r="A664" s="556"/>
      <c r="B664" s="556"/>
      <c r="C664" s="556"/>
      <c r="D664" s="556"/>
      <c r="E664" s="556"/>
      <c r="F664" s="564"/>
      <c r="G664" s="564"/>
      <c r="H664" s="564"/>
      <c r="I664" s="564"/>
      <c r="J664" s="564"/>
      <c r="K664" s="564"/>
      <c r="L664" s="564"/>
      <c r="M664" s="564"/>
      <c r="N664" s="564"/>
      <c r="O664" s="564"/>
      <c r="P664" s="564"/>
      <c r="Q664" s="564"/>
      <c r="R664" s="564"/>
      <c r="S664" s="564"/>
      <c r="T664" s="564"/>
      <c r="U664" s="564"/>
      <c r="V664" s="564"/>
      <c r="W664" s="564"/>
      <c r="X664" s="564"/>
      <c r="Y664" s="564"/>
      <c r="Z664" s="564"/>
      <c r="AA664" s="564"/>
      <c r="AB664" s="556"/>
      <c r="AC664" s="556"/>
      <c r="AD664" s="74"/>
      <c r="AE664" s="74"/>
      <c r="AF664" s="74"/>
      <c r="AG664" s="74"/>
      <c r="AH664" s="74"/>
      <c r="AI664" s="74"/>
      <c r="AJ664" s="74"/>
      <c r="AK664" s="74"/>
      <c r="AL664" s="74"/>
      <c r="AM664" s="74"/>
      <c r="AN664" s="74"/>
      <c r="AO664" s="74"/>
      <c r="AP664" s="74"/>
      <c r="AQ664" s="74"/>
      <c r="AR664" s="74"/>
      <c r="AS664" s="565"/>
      <c r="AT664" s="556"/>
    </row>
    <row r="665" spans="1:46" hidden="1" x14ac:dyDescent="0.45">
      <c r="A665" s="556"/>
      <c r="B665" s="556"/>
      <c r="C665" s="556"/>
      <c r="D665" s="556"/>
      <c r="E665" s="556"/>
      <c r="F665" s="564"/>
      <c r="G665" s="564"/>
      <c r="H665" s="564"/>
      <c r="I665" s="564"/>
      <c r="J665" s="564"/>
      <c r="K665" s="564"/>
      <c r="L665" s="564"/>
      <c r="M665" s="564"/>
      <c r="N665" s="564"/>
      <c r="O665" s="564"/>
      <c r="P665" s="564"/>
      <c r="Q665" s="564"/>
      <c r="R665" s="564"/>
      <c r="S665" s="564"/>
      <c r="T665" s="564"/>
      <c r="U665" s="564"/>
      <c r="V665" s="564"/>
      <c r="W665" s="564"/>
      <c r="X665" s="564"/>
      <c r="Y665" s="564"/>
      <c r="Z665" s="564"/>
      <c r="AA665" s="564"/>
      <c r="AB665" s="556"/>
      <c r="AC665" s="556"/>
      <c r="AD665" s="74"/>
      <c r="AE665" s="74"/>
      <c r="AF665" s="74"/>
      <c r="AG665" s="74"/>
      <c r="AH665" s="74"/>
      <c r="AI665" s="74"/>
      <c r="AJ665" s="74"/>
      <c r="AK665" s="74"/>
      <c r="AL665" s="74"/>
      <c r="AM665" s="74"/>
      <c r="AN665" s="74"/>
      <c r="AO665" s="74"/>
      <c r="AP665" s="74"/>
      <c r="AQ665" s="74"/>
      <c r="AR665" s="74"/>
      <c r="AS665" s="565"/>
      <c r="AT665" s="556"/>
    </row>
    <row r="666" spans="1:46" hidden="1" x14ac:dyDescent="0.45">
      <c r="A666" s="556"/>
      <c r="B666" s="556"/>
      <c r="C666" s="556"/>
      <c r="D666" s="556"/>
      <c r="E666" s="556"/>
      <c r="F666" s="564"/>
      <c r="G666" s="564"/>
      <c r="H666" s="564"/>
      <c r="I666" s="564"/>
      <c r="J666" s="564"/>
      <c r="K666" s="564"/>
      <c r="L666" s="564"/>
      <c r="M666" s="564"/>
      <c r="N666" s="564"/>
      <c r="O666" s="564"/>
      <c r="P666" s="564"/>
      <c r="Q666" s="564"/>
      <c r="R666" s="564"/>
      <c r="S666" s="564"/>
      <c r="T666" s="564"/>
      <c r="U666" s="564"/>
      <c r="V666" s="564"/>
      <c r="W666" s="564"/>
      <c r="X666" s="564"/>
      <c r="Y666" s="564"/>
      <c r="Z666" s="564"/>
      <c r="AA666" s="564"/>
      <c r="AB666" s="556"/>
      <c r="AC666" s="556"/>
      <c r="AD666" s="74"/>
      <c r="AE666" s="74"/>
      <c r="AF666" s="74"/>
      <c r="AG666" s="74"/>
      <c r="AH666" s="74"/>
      <c r="AI666" s="74"/>
      <c r="AJ666" s="74"/>
      <c r="AK666" s="74"/>
      <c r="AL666" s="74"/>
      <c r="AM666" s="74"/>
      <c r="AN666" s="74"/>
      <c r="AO666" s="74"/>
      <c r="AP666" s="74"/>
      <c r="AQ666" s="74"/>
      <c r="AR666" s="74"/>
      <c r="AS666" s="565"/>
      <c r="AT666" s="556"/>
    </row>
    <row r="667" spans="1:46" hidden="1" x14ac:dyDescent="0.45">
      <c r="A667" s="556"/>
      <c r="B667" s="556"/>
      <c r="C667" s="556"/>
      <c r="D667" s="556"/>
      <c r="E667" s="556"/>
      <c r="F667" s="564"/>
      <c r="G667" s="564"/>
      <c r="H667" s="564"/>
      <c r="I667" s="564"/>
      <c r="J667" s="564"/>
      <c r="K667" s="564"/>
      <c r="L667" s="564"/>
      <c r="M667" s="564"/>
      <c r="N667" s="564"/>
      <c r="O667" s="564"/>
      <c r="P667" s="564"/>
      <c r="Q667" s="564"/>
      <c r="R667" s="564"/>
      <c r="S667" s="564"/>
      <c r="T667" s="564"/>
      <c r="U667" s="564"/>
      <c r="V667" s="564"/>
      <c r="W667" s="564"/>
      <c r="X667" s="564"/>
      <c r="Y667" s="564"/>
      <c r="Z667" s="564"/>
      <c r="AA667" s="564"/>
      <c r="AB667" s="556"/>
      <c r="AC667" s="556"/>
      <c r="AD667" s="74"/>
      <c r="AE667" s="74"/>
      <c r="AF667" s="74"/>
      <c r="AG667" s="74"/>
      <c r="AH667" s="74"/>
      <c r="AI667" s="74"/>
      <c r="AJ667" s="74"/>
      <c r="AK667" s="74"/>
      <c r="AL667" s="74"/>
      <c r="AM667" s="74"/>
      <c r="AN667" s="74"/>
      <c r="AO667" s="74"/>
      <c r="AP667" s="74"/>
      <c r="AQ667" s="74"/>
      <c r="AR667" s="74"/>
      <c r="AS667" s="565"/>
      <c r="AT667" s="556"/>
    </row>
    <row r="668" spans="1:46" hidden="1" x14ac:dyDescent="0.45">
      <c r="A668" s="556"/>
      <c r="B668" s="556"/>
      <c r="C668" s="556"/>
      <c r="D668" s="556"/>
      <c r="E668" s="556"/>
      <c r="F668" s="564"/>
      <c r="G668" s="564"/>
      <c r="H668" s="564"/>
      <c r="I668" s="564"/>
      <c r="J668" s="564"/>
      <c r="K668" s="564"/>
      <c r="L668" s="564"/>
      <c r="M668" s="564"/>
      <c r="N668" s="564"/>
      <c r="O668" s="564"/>
      <c r="P668" s="564"/>
      <c r="Q668" s="564"/>
      <c r="R668" s="564"/>
      <c r="S668" s="564"/>
      <c r="T668" s="564"/>
      <c r="U668" s="564"/>
      <c r="V668" s="564"/>
      <c r="W668" s="564"/>
      <c r="X668" s="564"/>
      <c r="Y668" s="564"/>
      <c r="Z668" s="564"/>
      <c r="AA668" s="564"/>
      <c r="AB668" s="556"/>
      <c r="AC668" s="556"/>
      <c r="AD668" s="74"/>
      <c r="AE668" s="74"/>
      <c r="AF668" s="74"/>
      <c r="AG668" s="74"/>
      <c r="AH668" s="74"/>
      <c r="AI668" s="74"/>
      <c r="AJ668" s="74"/>
      <c r="AK668" s="74"/>
      <c r="AL668" s="74"/>
      <c r="AM668" s="74"/>
      <c r="AN668" s="74"/>
      <c r="AO668" s="74"/>
      <c r="AP668" s="74"/>
      <c r="AQ668" s="74"/>
      <c r="AR668" s="74"/>
      <c r="AS668" s="565"/>
      <c r="AT668" s="556"/>
    </row>
    <row r="669" spans="1:46" hidden="1" x14ac:dyDescent="0.45">
      <c r="A669" s="556"/>
      <c r="B669" s="556"/>
      <c r="C669" s="556"/>
      <c r="D669" s="556"/>
      <c r="E669" s="556"/>
      <c r="F669" s="564"/>
      <c r="G669" s="564"/>
      <c r="H669" s="564"/>
      <c r="I669" s="564"/>
      <c r="J669" s="564"/>
      <c r="K669" s="564"/>
      <c r="L669" s="564"/>
      <c r="M669" s="564"/>
      <c r="N669" s="564"/>
      <c r="O669" s="564"/>
      <c r="P669" s="564"/>
      <c r="Q669" s="564"/>
      <c r="R669" s="564"/>
      <c r="S669" s="564"/>
      <c r="T669" s="564"/>
      <c r="U669" s="564"/>
      <c r="V669" s="564"/>
      <c r="W669" s="564"/>
      <c r="X669" s="564"/>
      <c r="Y669" s="564"/>
      <c r="Z669" s="564"/>
      <c r="AA669" s="564"/>
      <c r="AB669" s="556"/>
      <c r="AC669" s="556"/>
      <c r="AD669" s="74"/>
      <c r="AE669" s="74"/>
      <c r="AF669" s="74"/>
      <c r="AG669" s="74"/>
      <c r="AH669" s="74"/>
      <c r="AI669" s="74"/>
      <c r="AJ669" s="74"/>
      <c r="AK669" s="74"/>
      <c r="AL669" s="74"/>
      <c r="AM669" s="74"/>
      <c r="AN669" s="74"/>
      <c r="AO669" s="74"/>
      <c r="AP669" s="74"/>
      <c r="AQ669" s="74"/>
      <c r="AR669" s="74"/>
      <c r="AS669" s="565"/>
      <c r="AT669" s="556"/>
    </row>
    <row r="670" spans="1:46" hidden="1" x14ac:dyDescent="0.45">
      <c r="A670" s="556"/>
      <c r="B670" s="556"/>
      <c r="C670" s="556"/>
      <c r="D670" s="556"/>
      <c r="E670" s="556"/>
      <c r="F670" s="564"/>
      <c r="G670" s="564"/>
      <c r="H670" s="564"/>
      <c r="I670" s="564"/>
      <c r="J670" s="564"/>
      <c r="K670" s="564"/>
      <c r="L670" s="564"/>
      <c r="M670" s="564"/>
      <c r="N670" s="564"/>
      <c r="O670" s="564"/>
      <c r="P670" s="564"/>
      <c r="Q670" s="564"/>
      <c r="R670" s="564"/>
      <c r="S670" s="564"/>
      <c r="T670" s="564"/>
      <c r="U670" s="564"/>
      <c r="V670" s="564"/>
      <c r="W670" s="564"/>
      <c r="X670" s="564"/>
      <c r="Y670" s="564"/>
      <c r="Z670" s="564"/>
      <c r="AA670" s="564"/>
      <c r="AB670" s="556"/>
      <c r="AC670" s="556"/>
      <c r="AD670" s="74"/>
      <c r="AE670" s="74"/>
      <c r="AF670" s="74"/>
      <c r="AG670" s="74"/>
      <c r="AH670" s="74"/>
      <c r="AI670" s="74"/>
      <c r="AJ670" s="74"/>
      <c r="AK670" s="74"/>
      <c r="AL670" s="74"/>
      <c r="AM670" s="74"/>
      <c r="AN670" s="74"/>
      <c r="AO670" s="74"/>
      <c r="AP670" s="74"/>
      <c r="AQ670" s="74"/>
      <c r="AR670" s="74"/>
      <c r="AS670" s="565"/>
      <c r="AT670" s="556"/>
    </row>
    <row r="671" spans="1:46" hidden="1" x14ac:dyDescent="0.45">
      <c r="A671" s="556"/>
      <c r="B671" s="556"/>
      <c r="C671" s="556"/>
      <c r="D671" s="556"/>
      <c r="E671" s="556"/>
      <c r="F671" s="564"/>
      <c r="G671" s="564"/>
      <c r="H671" s="564"/>
      <c r="I671" s="564"/>
      <c r="J671" s="564"/>
      <c r="K671" s="564"/>
      <c r="L671" s="564"/>
      <c r="M671" s="564"/>
      <c r="N671" s="564"/>
      <c r="O671" s="564"/>
      <c r="P671" s="564"/>
      <c r="Q671" s="564"/>
      <c r="R671" s="564"/>
      <c r="S671" s="564"/>
      <c r="T671" s="564"/>
      <c r="U671" s="564"/>
      <c r="V671" s="564"/>
      <c r="W671" s="564"/>
      <c r="X671" s="564"/>
      <c r="Y671" s="564"/>
      <c r="Z671" s="564"/>
      <c r="AA671" s="564"/>
      <c r="AB671" s="556"/>
      <c r="AC671" s="556"/>
      <c r="AD671" s="74"/>
      <c r="AE671" s="74"/>
      <c r="AF671" s="74"/>
      <c r="AG671" s="74"/>
      <c r="AH671" s="74"/>
      <c r="AI671" s="74"/>
      <c r="AJ671" s="74"/>
      <c r="AK671" s="74"/>
      <c r="AL671" s="74"/>
      <c r="AM671" s="74"/>
      <c r="AN671" s="74"/>
      <c r="AO671" s="74"/>
      <c r="AP671" s="74"/>
      <c r="AQ671" s="74"/>
      <c r="AR671" s="74"/>
      <c r="AS671" s="565"/>
      <c r="AT671" s="556"/>
    </row>
    <row r="672" spans="1:46" hidden="1" x14ac:dyDescent="0.45">
      <c r="A672" s="556"/>
      <c r="B672" s="556"/>
      <c r="C672" s="556"/>
      <c r="D672" s="556"/>
      <c r="E672" s="556"/>
      <c r="F672" s="564"/>
      <c r="G672" s="564"/>
      <c r="H672" s="564"/>
      <c r="I672" s="564"/>
      <c r="J672" s="564"/>
      <c r="K672" s="564"/>
      <c r="L672" s="564"/>
      <c r="M672" s="564"/>
      <c r="N672" s="564"/>
      <c r="O672" s="564"/>
      <c r="P672" s="564"/>
      <c r="Q672" s="564"/>
      <c r="R672" s="564"/>
      <c r="S672" s="564"/>
      <c r="T672" s="564"/>
      <c r="U672" s="564"/>
      <c r="V672" s="564"/>
      <c r="W672" s="564"/>
      <c r="X672" s="564"/>
      <c r="Y672" s="564"/>
      <c r="Z672" s="564"/>
      <c r="AA672" s="564"/>
      <c r="AB672" s="556"/>
      <c r="AC672" s="556"/>
      <c r="AD672" s="74"/>
      <c r="AE672" s="74"/>
      <c r="AF672" s="74"/>
      <c r="AG672" s="74"/>
      <c r="AH672" s="74"/>
      <c r="AI672" s="74"/>
      <c r="AJ672" s="74"/>
      <c r="AK672" s="74"/>
      <c r="AL672" s="74"/>
      <c r="AM672" s="74"/>
      <c r="AN672" s="74"/>
      <c r="AO672" s="74"/>
      <c r="AP672" s="74"/>
      <c r="AQ672" s="74"/>
      <c r="AR672" s="74"/>
      <c r="AS672" s="565"/>
      <c r="AT672" s="556"/>
    </row>
    <row r="673" spans="1:46" hidden="1" x14ac:dyDescent="0.45">
      <c r="A673" s="556"/>
      <c r="B673" s="556"/>
      <c r="C673" s="556"/>
      <c r="D673" s="556"/>
      <c r="E673" s="556"/>
      <c r="F673" s="564"/>
      <c r="G673" s="564"/>
      <c r="H673" s="564"/>
      <c r="I673" s="564"/>
      <c r="J673" s="564"/>
      <c r="K673" s="564"/>
      <c r="L673" s="564"/>
      <c r="M673" s="564"/>
      <c r="N673" s="564"/>
      <c r="O673" s="564"/>
      <c r="P673" s="564"/>
      <c r="Q673" s="564"/>
      <c r="R673" s="564"/>
      <c r="S673" s="564"/>
      <c r="T673" s="564"/>
      <c r="U673" s="564"/>
      <c r="V673" s="564"/>
      <c r="W673" s="564"/>
      <c r="X673" s="564"/>
      <c r="Y673" s="564"/>
      <c r="Z673" s="564"/>
      <c r="AA673" s="564"/>
      <c r="AB673" s="556"/>
      <c r="AC673" s="556"/>
      <c r="AD673" s="74"/>
      <c r="AE673" s="74"/>
      <c r="AF673" s="74"/>
      <c r="AG673" s="74"/>
      <c r="AH673" s="74"/>
      <c r="AI673" s="74"/>
      <c r="AJ673" s="74"/>
      <c r="AK673" s="74"/>
      <c r="AL673" s="74"/>
      <c r="AM673" s="74"/>
      <c r="AN673" s="74"/>
      <c r="AO673" s="74"/>
      <c r="AP673" s="74"/>
      <c r="AQ673" s="74"/>
      <c r="AR673" s="74"/>
      <c r="AS673" s="565"/>
      <c r="AT673" s="556"/>
    </row>
    <row r="674" spans="1:46" hidden="1" x14ac:dyDescent="0.45">
      <c r="A674" s="556"/>
      <c r="B674" s="556"/>
      <c r="C674" s="556"/>
      <c r="D674" s="556"/>
      <c r="E674" s="556"/>
      <c r="F674" s="564"/>
      <c r="G674" s="564"/>
      <c r="H674" s="564"/>
      <c r="I674" s="564"/>
      <c r="J674" s="564"/>
      <c r="K674" s="564"/>
      <c r="L674" s="564"/>
      <c r="M674" s="564"/>
      <c r="N674" s="564"/>
      <c r="O674" s="564"/>
      <c r="P674" s="564"/>
      <c r="Q674" s="564"/>
      <c r="R674" s="564"/>
      <c r="S674" s="564"/>
      <c r="T674" s="564"/>
      <c r="U674" s="564"/>
      <c r="V674" s="564"/>
      <c r="W674" s="564"/>
      <c r="X674" s="564"/>
      <c r="Y674" s="564"/>
      <c r="Z674" s="564"/>
      <c r="AA674" s="564"/>
      <c r="AB674" s="556"/>
      <c r="AC674" s="556"/>
      <c r="AD674" s="74"/>
      <c r="AE674" s="74"/>
      <c r="AF674" s="74"/>
      <c r="AG674" s="74"/>
      <c r="AH674" s="74"/>
      <c r="AI674" s="74"/>
      <c r="AJ674" s="74"/>
      <c r="AK674" s="74"/>
      <c r="AL674" s="74"/>
      <c r="AM674" s="74"/>
      <c r="AN674" s="74"/>
      <c r="AO674" s="74"/>
      <c r="AP674" s="74"/>
      <c r="AQ674" s="74"/>
      <c r="AR674" s="74"/>
      <c r="AS674" s="565"/>
      <c r="AT674" s="556"/>
    </row>
    <row r="675" spans="1:46" hidden="1" x14ac:dyDescent="0.45">
      <c r="A675" s="556"/>
      <c r="B675" s="556"/>
      <c r="C675" s="556"/>
      <c r="D675" s="556"/>
      <c r="E675" s="556"/>
      <c r="F675" s="564"/>
      <c r="G675" s="564"/>
      <c r="H675" s="564"/>
      <c r="I675" s="564"/>
      <c r="J675" s="564"/>
      <c r="K675" s="564"/>
      <c r="L675" s="564"/>
      <c r="M675" s="564"/>
      <c r="N675" s="564"/>
      <c r="O675" s="564"/>
      <c r="P675" s="564"/>
      <c r="Q675" s="564"/>
      <c r="R675" s="564"/>
      <c r="S675" s="564"/>
      <c r="T675" s="564"/>
      <c r="U675" s="564"/>
      <c r="V675" s="564"/>
      <c r="W675" s="564"/>
      <c r="X675" s="564"/>
      <c r="Y675" s="564"/>
      <c r="Z675" s="564"/>
      <c r="AA675" s="564"/>
      <c r="AB675" s="556"/>
      <c r="AC675" s="556"/>
      <c r="AD675" s="74"/>
      <c r="AE675" s="74"/>
      <c r="AF675" s="74"/>
      <c r="AG675" s="74"/>
      <c r="AH675" s="74"/>
      <c r="AI675" s="74"/>
      <c r="AJ675" s="74"/>
      <c r="AK675" s="74"/>
      <c r="AL675" s="74"/>
      <c r="AM675" s="74"/>
      <c r="AN675" s="74"/>
      <c r="AO675" s="74"/>
      <c r="AP675" s="74"/>
      <c r="AQ675" s="74"/>
      <c r="AR675" s="74"/>
      <c r="AS675" s="565"/>
      <c r="AT675" s="556"/>
    </row>
    <row r="676" spans="1:46" hidden="1" x14ac:dyDescent="0.45">
      <c r="A676" s="556"/>
      <c r="B676" s="556"/>
      <c r="C676" s="556"/>
      <c r="D676" s="556"/>
      <c r="E676" s="556"/>
      <c r="F676" s="564"/>
      <c r="G676" s="564"/>
      <c r="H676" s="564"/>
      <c r="I676" s="564"/>
      <c r="J676" s="564"/>
      <c r="K676" s="564"/>
      <c r="L676" s="564"/>
      <c r="M676" s="564"/>
      <c r="N676" s="564"/>
      <c r="O676" s="564"/>
      <c r="P676" s="564"/>
      <c r="Q676" s="564"/>
      <c r="R676" s="564"/>
      <c r="S676" s="564"/>
      <c r="T676" s="564"/>
      <c r="U676" s="564"/>
      <c r="V676" s="564"/>
      <c r="W676" s="564"/>
      <c r="X676" s="564"/>
      <c r="Y676" s="564"/>
      <c r="Z676" s="564"/>
      <c r="AA676" s="564"/>
      <c r="AB676" s="556"/>
      <c r="AC676" s="556"/>
      <c r="AD676" s="74"/>
      <c r="AE676" s="74"/>
      <c r="AF676" s="74"/>
      <c r="AG676" s="74"/>
      <c r="AH676" s="74"/>
      <c r="AI676" s="74"/>
      <c r="AJ676" s="74"/>
      <c r="AK676" s="74"/>
      <c r="AL676" s="74"/>
      <c r="AM676" s="74"/>
      <c r="AN676" s="74"/>
      <c r="AO676" s="74"/>
      <c r="AP676" s="74"/>
      <c r="AQ676" s="74"/>
      <c r="AR676" s="74"/>
      <c r="AS676" s="565"/>
      <c r="AT676" s="556"/>
    </row>
    <row r="677" spans="1:46" hidden="1" x14ac:dyDescent="0.45">
      <c r="A677" s="556"/>
      <c r="B677" s="556"/>
      <c r="C677" s="556"/>
      <c r="D677" s="556"/>
      <c r="E677" s="556"/>
      <c r="F677" s="564"/>
      <c r="G677" s="564"/>
      <c r="H677" s="564"/>
      <c r="I677" s="564"/>
      <c r="J677" s="564"/>
      <c r="K677" s="564"/>
      <c r="L677" s="564"/>
      <c r="M677" s="564"/>
      <c r="N677" s="564"/>
      <c r="O677" s="564"/>
      <c r="P677" s="564"/>
      <c r="Q677" s="564"/>
      <c r="R677" s="564"/>
      <c r="S677" s="564"/>
      <c r="T677" s="564"/>
      <c r="U677" s="564"/>
      <c r="V677" s="564"/>
      <c r="W677" s="564"/>
      <c r="X677" s="564"/>
      <c r="Y677" s="564"/>
      <c r="Z677" s="564"/>
      <c r="AA677" s="564"/>
      <c r="AB677" s="556"/>
      <c r="AC677" s="556"/>
      <c r="AD677" s="74"/>
      <c r="AE677" s="74"/>
      <c r="AF677" s="74"/>
      <c r="AG677" s="74"/>
      <c r="AH677" s="74"/>
      <c r="AI677" s="74"/>
      <c r="AJ677" s="74"/>
      <c r="AK677" s="74"/>
      <c r="AL677" s="74"/>
      <c r="AM677" s="74"/>
      <c r="AN677" s="74"/>
      <c r="AO677" s="74"/>
      <c r="AP677" s="74"/>
      <c r="AQ677" s="74"/>
      <c r="AR677" s="74"/>
      <c r="AS677" s="565"/>
      <c r="AT677" s="556"/>
    </row>
    <row r="678" spans="1:46" hidden="1" x14ac:dyDescent="0.45">
      <c r="A678" s="556"/>
      <c r="B678" s="556"/>
      <c r="C678" s="556"/>
      <c r="D678" s="556"/>
      <c r="E678" s="556"/>
      <c r="F678" s="564"/>
      <c r="G678" s="564"/>
      <c r="H678" s="564"/>
      <c r="I678" s="564"/>
      <c r="J678" s="564"/>
      <c r="K678" s="564"/>
      <c r="L678" s="564"/>
      <c r="M678" s="564"/>
      <c r="N678" s="564"/>
      <c r="O678" s="564"/>
      <c r="P678" s="564"/>
      <c r="Q678" s="564"/>
      <c r="R678" s="564"/>
      <c r="S678" s="564"/>
      <c r="T678" s="564"/>
      <c r="U678" s="564"/>
      <c r="V678" s="564"/>
      <c r="W678" s="564"/>
      <c r="X678" s="564"/>
      <c r="Y678" s="564"/>
      <c r="Z678" s="564"/>
      <c r="AA678" s="564"/>
      <c r="AB678" s="556"/>
      <c r="AC678" s="556"/>
      <c r="AD678" s="74"/>
      <c r="AE678" s="74"/>
      <c r="AF678" s="74"/>
      <c r="AG678" s="74"/>
      <c r="AH678" s="74"/>
      <c r="AI678" s="74"/>
      <c r="AJ678" s="74"/>
      <c r="AK678" s="74"/>
      <c r="AL678" s="74"/>
      <c r="AM678" s="74"/>
      <c r="AN678" s="74"/>
      <c r="AO678" s="74"/>
      <c r="AP678" s="74"/>
      <c r="AQ678" s="74"/>
      <c r="AR678" s="74"/>
      <c r="AS678" s="565"/>
      <c r="AT678" s="556"/>
    </row>
    <row r="679" spans="1:46" hidden="1" x14ac:dyDescent="0.45">
      <c r="A679" s="556"/>
      <c r="B679" s="556"/>
      <c r="C679" s="556"/>
      <c r="D679" s="556"/>
      <c r="E679" s="556"/>
      <c r="F679" s="564"/>
      <c r="G679" s="564"/>
      <c r="H679" s="564"/>
      <c r="I679" s="564"/>
      <c r="J679" s="564"/>
      <c r="K679" s="564"/>
      <c r="L679" s="564"/>
      <c r="M679" s="564"/>
      <c r="N679" s="564"/>
      <c r="O679" s="564"/>
      <c r="P679" s="564"/>
      <c r="Q679" s="564"/>
      <c r="R679" s="564"/>
      <c r="S679" s="564"/>
      <c r="T679" s="564"/>
      <c r="U679" s="564"/>
      <c r="V679" s="564"/>
      <c r="W679" s="564"/>
      <c r="X679" s="564"/>
      <c r="Y679" s="564"/>
      <c r="Z679" s="564"/>
      <c r="AA679" s="564"/>
      <c r="AB679" s="556"/>
      <c r="AC679" s="556"/>
      <c r="AD679" s="74"/>
      <c r="AE679" s="74"/>
      <c r="AF679" s="74"/>
      <c r="AG679" s="74"/>
      <c r="AH679" s="74"/>
      <c r="AI679" s="74"/>
      <c r="AJ679" s="74"/>
      <c r="AK679" s="74"/>
      <c r="AL679" s="74"/>
      <c r="AM679" s="74"/>
      <c r="AN679" s="74"/>
      <c r="AO679" s="74"/>
      <c r="AP679" s="74"/>
      <c r="AQ679" s="74"/>
      <c r="AR679" s="74"/>
      <c r="AS679" s="565"/>
      <c r="AT679" s="556"/>
    </row>
    <row r="680" spans="1:46" hidden="1" x14ac:dyDescent="0.45">
      <c r="A680" s="556"/>
      <c r="B680" s="556"/>
      <c r="C680" s="556"/>
      <c r="D680" s="556"/>
      <c r="E680" s="556"/>
      <c r="F680" s="564"/>
      <c r="G680" s="564"/>
      <c r="H680" s="564"/>
      <c r="I680" s="564"/>
      <c r="J680" s="564"/>
      <c r="K680" s="564"/>
      <c r="L680" s="564"/>
      <c r="M680" s="564"/>
      <c r="N680" s="564"/>
      <c r="O680" s="564"/>
      <c r="P680" s="564"/>
      <c r="Q680" s="564"/>
      <c r="R680" s="564"/>
      <c r="S680" s="564"/>
      <c r="T680" s="564"/>
      <c r="U680" s="564"/>
      <c r="V680" s="564"/>
      <c r="W680" s="564"/>
      <c r="X680" s="564"/>
      <c r="Y680" s="564"/>
      <c r="Z680" s="564"/>
      <c r="AA680" s="564"/>
      <c r="AB680" s="556"/>
      <c r="AC680" s="556"/>
      <c r="AD680" s="74"/>
      <c r="AE680" s="74"/>
      <c r="AF680" s="74"/>
      <c r="AG680" s="74"/>
      <c r="AH680" s="74"/>
      <c r="AI680" s="74"/>
      <c r="AJ680" s="74"/>
      <c r="AK680" s="74"/>
      <c r="AL680" s="74"/>
      <c r="AM680" s="74"/>
      <c r="AN680" s="74"/>
      <c r="AO680" s="74"/>
      <c r="AP680" s="74"/>
      <c r="AQ680" s="74"/>
      <c r="AR680" s="74"/>
      <c r="AS680" s="565"/>
      <c r="AT680" s="556"/>
    </row>
    <row r="681" spans="1:46" hidden="1" x14ac:dyDescent="0.45">
      <c r="A681" s="556"/>
      <c r="B681" s="556"/>
      <c r="C681" s="556"/>
      <c r="D681" s="556"/>
      <c r="E681" s="556"/>
      <c r="F681" s="564"/>
      <c r="G681" s="564"/>
      <c r="H681" s="564"/>
      <c r="I681" s="564"/>
      <c r="J681" s="564"/>
      <c r="K681" s="564"/>
      <c r="L681" s="564"/>
      <c r="M681" s="564"/>
      <c r="N681" s="564"/>
      <c r="O681" s="564"/>
      <c r="P681" s="564"/>
      <c r="Q681" s="564"/>
      <c r="R681" s="564"/>
      <c r="S681" s="564"/>
      <c r="T681" s="564"/>
      <c r="U681" s="564"/>
      <c r="V681" s="564"/>
      <c r="W681" s="564"/>
      <c r="X681" s="564"/>
      <c r="Y681" s="564"/>
      <c r="Z681" s="564"/>
      <c r="AA681" s="564"/>
      <c r="AB681" s="556"/>
      <c r="AC681" s="556"/>
      <c r="AD681" s="74"/>
      <c r="AE681" s="74"/>
      <c r="AF681" s="74"/>
      <c r="AG681" s="74"/>
      <c r="AH681" s="74"/>
      <c r="AI681" s="74"/>
      <c r="AJ681" s="74"/>
      <c r="AK681" s="74"/>
      <c r="AL681" s="74"/>
      <c r="AM681" s="74"/>
      <c r="AN681" s="74"/>
      <c r="AO681" s="74"/>
      <c r="AP681" s="74"/>
      <c r="AQ681" s="74"/>
      <c r="AR681" s="74"/>
      <c r="AS681" s="565"/>
      <c r="AT681" s="556"/>
    </row>
    <row r="682" spans="1:46" hidden="1" x14ac:dyDescent="0.45">
      <c r="A682" s="556"/>
      <c r="B682" s="556"/>
      <c r="C682" s="556"/>
      <c r="D682" s="556"/>
      <c r="E682" s="556"/>
      <c r="F682" s="564"/>
      <c r="G682" s="564"/>
      <c r="H682" s="564"/>
      <c r="I682" s="564"/>
      <c r="J682" s="564"/>
      <c r="K682" s="564"/>
      <c r="L682" s="564"/>
      <c r="M682" s="564"/>
      <c r="N682" s="564"/>
      <c r="O682" s="564"/>
      <c r="P682" s="564"/>
      <c r="Q682" s="564"/>
      <c r="R682" s="564"/>
      <c r="S682" s="564"/>
      <c r="T682" s="564"/>
      <c r="U682" s="564"/>
      <c r="V682" s="564"/>
      <c r="W682" s="564"/>
      <c r="X682" s="564"/>
      <c r="Y682" s="564"/>
      <c r="Z682" s="564"/>
      <c r="AA682" s="564"/>
      <c r="AB682" s="556"/>
      <c r="AC682" s="556"/>
      <c r="AD682" s="74"/>
      <c r="AE682" s="74"/>
      <c r="AF682" s="74"/>
      <c r="AG682" s="74"/>
      <c r="AH682" s="74"/>
      <c r="AI682" s="74"/>
      <c r="AJ682" s="74"/>
      <c r="AK682" s="74"/>
      <c r="AL682" s="74"/>
      <c r="AM682" s="74"/>
      <c r="AN682" s="74"/>
      <c r="AO682" s="74"/>
      <c r="AP682" s="74"/>
      <c r="AQ682" s="74"/>
      <c r="AR682" s="74"/>
      <c r="AS682" s="565"/>
      <c r="AT682" s="556"/>
    </row>
    <row r="683" spans="1:46" hidden="1" x14ac:dyDescent="0.45">
      <c r="A683" s="556"/>
      <c r="B683" s="556"/>
      <c r="C683" s="556"/>
      <c r="D683" s="556"/>
      <c r="E683" s="556"/>
      <c r="F683" s="564"/>
      <c r="G683" s="564"/>
      <c r="H683" s="564"/>
      <c r="I683" s="564"/>
      <c r="J683" s="564"/>
      <c r="K683" s="564"/>
      <c r="L683" s="564"/>
      <c r="M683" s="564"/>
      <c r="N683" s="564"/>
      <c r="O683" s="564"/>
      <c r="P683" s="564"/>
      <c r="Q683" s="564"/>
      <c r="R683" s="564"/>
      <c r="S683" s="564"/>
      <c r="T683" s="564"/>
      <c r="U683" s="564"/>
      <c r="V683" s="564"/>
      <c r="W683" s="564"/>
      <c r="X683" s="564"/>
      <c r="Y683" s="564"/>
      <c r="Z683" s="564"/>
      <c r="AA683" s="564"/>
      <c r="AB683" s="556"/>
      <c r="AC683" s="556"/>
      <c r="AD683" s="74"/>
      <c r="AE683" s="74"/>
      <c r="AF683" s="74"/>
      <c r="AG683" s="74"/>
      <c r="AH683" s="74"/>
      <c r="AI683" s="74"/>
      <c r="AJ683" s="74"/>
      <c r="AK683" s="74"/>
      <c r="AL683" s="74"/>
      <c r="AM683" s="74"/>
      <c r="AN683" s="74"/>
      <c r="AO683" s="74"/>
      <c r="AP683" s="74"/>
      <c r="AQ683" s="74"/>
      <c r="AR683" s="74"/>
      <c r="AS683" s="565"/>
      <c r="AT683" s="556"/>
    </row>
    <row r="684" spans="1:46" hidden="1" x14ac:dyDescent="0.45">
      <c r="A684" s="556"/>
      <c r="B684" s="556"/>
      <c r="C684" s="556"/>
      <c r="D684" s="556"/>
      <c r="E684" s="556"/>
      <c r="F684" s="564"/>
      <c r="G684" s="564"/>
      <c r="H684" s="564"/>
      <c r="I684" s="564"/>
      <c r="J684" s="564"/>
      <c r="K684" s="564"/>
      <c r="L684" s="564"/>
      <c r="M684" s="564"/>
      <c r="N684" s="564"/>
      <c r="O684" s="564"/>
      <c r="P684" s="564"/>
      <c r="Q684" s="564"/>
      <c r="R684" s="564"/>
      <c r="S684" s="564"/>
      <c r="T684" s="564"/>
      <c r="U684" s="564"/>
      <c r="V684" s="564"/>
      <c r="W684" s="564"/>
      <c r="X684" s="564"/>
      <c r="Y684" s="564"/>
      <c r="Z684" s="564"/>
      <c r="AA684" s="564"/>
      <c r="AB684" s="556"/>
      <c r="AC684" s="556"/>
      <c r="AD684" s="74"/>
      <c r="AE684" s="74"/>
      <c r="AF684" s="74"/>
      <c r="AG684" s="74"/>
      <c r="AH684" s="74"/>
      <c r="AI684" s="74"/>
      <c r="AJ684" s="74"/>
      <c r="AK684" s="74"/>
      <c r="AL684" s="74"/>
      <c r="AM684" s="74"/>
      <c r="AN684" s="74"/>
      <c r="AO684" s="74"/>
      <c r="AP684" s="74"/>
      <c r="AQ684" s="74"/>
      <c r="AR684" s="74"/>
      <c r="AS684" s="565"/>
      <c r="AT684" s="556"/>
    </row>
    <row r="685" spans="1:46" hidden="1" x14ac:dyDescent="0.45">
      <c r="A685" s="556"/>
      <c r="B685" s="556"/>
      <c r="C685" s="556"/>
      <c r="D685" s="556"/>
      <c r="E685" s="556"/>
      <c r="F685" s="564"/>
      <c r="G685" s="564"/>
      <c r="H685" s="564"/>
      <c r="I685" s="564"/>
      <c r="J685" s="564"/>
      <c r="K685" s="564"/>
      <c r="L685" s="564"/>
      <c r="M685" s="564"/>
      <c r="N685" s="564"/>
      <c r="O685" s="564"/>
      <c r="P685" s="564"/>
      <c r="Q685" s="564"/>
      <c r="R685" s="564"/>
      <c r="S685" s="564"/>
      <c r="T685" s="564"/>
      <c r="U685" s="564"/>
      <c r="V685" s="564"/>
      <c r="W685" s="564"/>
      <c r="X685" s="564"/>
      <c r="Y685" s="564"/>
      <c r="Z685" s="564"/>
      <c r="AA685" s="564"/>
      <c r="AB685" s="556"/>
      <c r="AC685" s="556"/>
      <c r="AD685" s="74"/>
      <c r="AE685" s="74"/>
      <c r="AF685" s="74"/>
      <c r="AG685" s="74"/>
      <c r="AH685" s="74"/>
      <c r="AI685" s="74"/>
      <c r="AJ685" s="74"/>
      <c r="AK685" s="74"/>
      <c r="AL685" s="74"/>
      <c r="AM685" s="74"/>
      <c r="AN685" s="74"/>
      <c r="AO685" s="74"/>
      <c r="AP685" s="74"/>
      <c r="AQ685" s="74"/>
      <c r="AR685" s="74"/>
      <c r="AS685" s="565"/>
      <c r="AT685" s="556"/>
    </row>
    <row r="686" spans="1:46" hidden="1" x14ac:dyDescent="0.45">
      <c r="A686" s="556"/>
      <c r="B686" s="556"/>
      <c r="C686" s="556"/>
      <c r="D686" s="556"/>
      <c r="E686" s="556"/>
      <c r="F686" s="564"/>
      <c r="G686" s="564"/>
      <c r="H686" s="564"/>
      <c r="I686" s="564"/>
      <c r="J686" s="564"/>
      <c r="K686" s="564"/>
      <c r="L686" s="564"/>
      <c r="M686" s="564"/>
      <c r="N686" s="564"/>
      <c r="O686" s="564"/>
      <c r="P686" s="564"/>
      <c r="Q686" s="564"/>
      <c r="R686" s="564"/>
      <c r="S686" s="564"/>
      <c r="T686" s="564"/>
      <c r="U686" s="564"/>
      <c r="V686" s="564"/>
      <c r="W686" s="564"/>
      <c r="X686" s="564"/>
      <c r="Y686" s="564"/>
      <c r="Z686" s="564"/>
      <c r="AA686" s="564"/>
      <c r="AB686" s="556"/>
      <c r="AC686" s="556"/>
      <c r="AD686" s="74"/>
      <c r="AE686" s="74"/>
      <c r="AF686" s="74"/>
      <c r="AG686" s="74"/>
      <c r="AH686" s="74"/>
      <c r="AI686" s="74"/>
      <c r="AJ686" s="74"/>
      <c r="AK686" s="74"/>
      <c r="AL686" s="74"/>
      <c r="AM686" s="74"/>
      <c r="AN686" s="74"/>
      <c r="AO686" s="74"/>
      <c r="AP686" s="74"/>
      <c r="AQ686" s="74"/>
      <c r="AR686" s="74"/>
      <c r="AS686" s="565"/>
      <c r="AT686" s="556"/>
    </row>
    <row r="687" spans="1:46" hidden="1" x14ac:dyDescent="0.45">
      <c r="A687" s="556"/>
      <c r="B687" s="556"/>
      <c r="C687" s="556"/>
      <c r="D687" s="556"/>
      <c r="E687" s="556"/>
      <c r="F687" s="564"/>
      <c r="G687" s="564"/>
      <c r="H687" s="564"/>
      <c r="I687" s="564"/>
      <c r="J687" s="564"/>
      <c r="K687" s="564"/>
      <c r="L687" s="564"/>
      <c r="M687" s="564"/>
      <c r="N687" s="564"/>
      <c r="O687" s="564"/>
      <c r="P687" s="564"/>
      <c r="Q687" s="564"/>
      <c r="R687" s="564"/>
      <c r="S687" s="564"/>
      <c r="T687" s="564"/>
      <c r="U687" s="564"/>
      <c r="V687" s="564"/>
      <c r="W687" s="564"/>
      <c r="X687" s="564"/>
      <c r="Y687" s="564"/>
      <c r="Z687" s="564"/>
      <c r="AA687" s="564"/>
      <c r="AB687" s="556"/>
      <c r="AC687" s="556"/>
      <c r="AD687" s="74"/>
      <c r="AE687" s="74"/>
      <c r="AF687" s="74"/>
      <c r="AG687" s="74"/>
      <c r="AH687" s="74"/>
      <c r="AI687" s="74"/>
      <c r="AJ687" s="74"/>
      <c r="AK687" s="74"/>
      <c r="AL687" s="74"/>
      <c r="AM687" s="74"/>
      <c r="AN687" s="74"/>
      <c r="AO687" s="74"/>
      <c r="AP687" s="74"/>
      <c r="AQ687" s="74"/>
      <c r="AR687" s="74"/>
      <c r="AS687" s="565"/>
      <c r="AT687" s="556"/>
    </row>
    <row r="688" spans="1:46" hidden="1" x14ac:dyDescent="0.45">
      <c r="A688" s="556"/>
      <c r="B688" s="556"/>
      <c r="C688" s="556"/>
      <c r="D688" s="556"/>
      <c r="E688" s="556"/>
      <c r="F688" s="564"/>
      <c r="G688" s="564"/>
      <c r="H688" s="564"/>
      <c r="I688" s="564"/>
      <c r="J688" s="564"/>
      <c r="K688" s="564"/>
      <c r="L688" s="564"/>
      <c r="M688" s="564"/>
      <c r="N688" s="564"/>
      <c r="O688" s="564"/>
      <c r="P688" s="564"/>
      <c r="Q688" s="564"/>
      <c r="R688" s="564"/>
      <c r="S688" s="564"/>
      <c r="T688" s="564"/>
      <c r="U688" s="564"/>
      <c r="V688" s="564"/>
      <c r="W688" s="564"/>
      <c r="X688" s="564"/>
      <c r="Y688" s="564"/>
      <c r="Z688" s="564"/>
      <c r="AA688" s="564"/>
      <c r="AB688" s="556"/>
      <c r="AC688" s="556"/>
      <c r="AD688" s="74"/>
      <c r="AE688" s="74"/>
      <c r="AF688" s="74"/>
      <c r="AG688" s="74"/>
      <c r="AH688" s="74"/>
      <c r="AI688" s="74"/>
      <c r="AJ688" s="74"/>
      <c r="AK688" s="74"/>
      <c r="AL688" s="74"/>
      <c r="AM688" s="74"/>
      <c r="AN688" s="74"/>
      <c r="AO688" s="74"/>
      <c r="AP688" s="74"/>
      <c r="AQ688" s="74"/>
      <c r="AR688" s="74"/>
      <c r="AS688" s="565"/>
      <c r="AT688" s="556"/>
    </row>
    <row r="689" spans="1:46" hidden="1" x14ac:dyDescent="0.45">
      <c r="A689" s="556"/>
      <c r="B689" s="556"/>
      <c r="C689" s="556"/>
      <c r="D689" s="556"/>
      <c r="E689" s="556"/>
      <c r="F689" s="564"/>
      <c r="G689" s="564"/>
      <c r="H689" s="564"/>
      <c r="I689" s="564"/>
      <c r="J689" s="564"/>
      <c r="K689" s="564"/>
      <c r="L689" s="564"/>
      <c r="M689" s="564"/>
      <c r="N689" s="564"/>
      <c r="O689" s="564"/>
      <c r="P689" s="564"/>
      <c r="Q689" s="564"/>
      <c r="R689" s="564"/>
      <c r="S689" s="564"/>
      <c r="T689" s="564"/>
      <c r="U689" s="564"/>
      <c r="V689" s="564"/>
      <c r="W689" s="564"/>
      <c r="X689" s="564"/>
      <c r="Y689" s="564"/>
      <c r="Z689" s="564"/>
      <c r="AA689" s="564"/>
      <c r="AB689" s="556"/>
      <c r="AC689" s="556"/>
      <c r="AD689" s="74"/>
      <c r="AE689" s="74"/>
      <c r="AF689" s="74"/>
      <c r="AG689" s="74"/>
      <c r="AH689" s="74"/>
      <c r="AI689" s="74"/>
      <c r="AJ689" s="74"/>
      <c r="AK689" s="74"/>
      <c r="AL689" s="74"/>
      <c r="AM689" s="74"/>
      <c r="AN689" s="74"/>
      <c r="AO689" s="74"/>
      <c r="AP689" s="74"/>
      <c r="AQ689" s="74"/>
      <c r="AR689" s="74"/>
      <c r="AS689" s="565"/>
      <c r="AT689" s="556"/>
    </row>
    <row r="690" spans="1:46" hidden="1" x14ac:dyDescent="0.45">
      <c r="A690" s="556"/>
      <c r="B690" s="556"/>
      <c r="C690" s="556"/>
      <c r="D690" s="556"/>
      <c r="E690" s="556"/>
      <c r="F690" s="564"/>
      <c r="G690" s="564"/>
      <c r="H690" s="564"/>
      <c r="I690" s="564"/>
      <c r="J690" s="564"/>
      <c r="K690" s="564"/>
      <c r="L690" s="564"/>
      <c r="M690" s="564"/>
      <c r="N690" s="564"/>
      <c r="O690" s="564"/>
      <c r="P690" s="564"/>
      <c r="Q690" s="564"/>
      <c r="R690" s="564"/>
      <c r="S690" s="564"/>
      <c r="T690" s="564"/>
      <c r="U690" s="564"/>
      <c r="V690" s="564"/>
      <c r="W690" s="564"/>
      <c r="X690" s="564"/>
      <c r="Y690" s="564"/>
      <c r="Z690" s="564"/>
      <c r="AA690" s="564"/>
      <c r="AB690" s="556"/>
      <c r="AC690" s="556"/>
      <c r="AD690" s="74"/>
      <c r="AE690" s="74"/>
      <c r="AF690" s="74"/>
      <c r="AG690" s="74"/>
      <c r="AH690" s="74"/>
      <c r="AI690" s="74"/>
      <c r="AJ690" s="74"/>
      <c r="AK690" s="74"/>
      <c r="AL690" s="74"/>
      <c r="AM690" s="74"/>
      <c r="AN690" s="74"/>
      <c r="AO690" s="74"/>
      <c r="AP690" s="74"/>
      <c r="AQ690" s="74"/>
      <c r="AR690" s="74"/>
      <c r="AS690" s="565"/>
      <c r="AT690" s="556"/>
    </row>
    <row r="691" spans="1:46" hidden="1" x14ac:dyDescent="0.45">
      <c r="A691" s="556"/>
      <c r="B691" s="556"/>
      <c r="C691" s="556"/>
      <c r="D691" s="556"/>
      <c r="E691" s="556"/>
      <c r="F691" s="564"/>
      <c r="G691" s="564"/>
      <c r="H691" s="564"/>
      <c r="I691" s="564"/>
      <c r="J691" s="564"/>
      <c r="K691" s="564"/>
      <c r="L691" s="564"/>
      <c r="M691" s="564"/>
      <c r="N691" s="564"/>
      <c r="O691" s="564"/>
      <c r="P691" s="564"/>
      <c r="Q691" s="564"/>
      <c r="R691" s="564"/>
      <c r="S691" s="564"/>
      <c r="T691" s="564"/>
      <c r="U691" s="564"/>
      <c r="V691" s="564"/>
      <c r="W691" s="564"/>
      <c r="X691" s="564"/>
      <c r="Y691" s="564"/>
      <c r="Z691" s="564"/>
      <c r="AA691" s="564"/>
      <c r="AB691" s="556"/>
      <c r="AC691" s="556"/>
      <c r="AD691" s="74"/>
      <c r="AE691" s="74"/>
      <c r="AF691" s="74"/>
      <c r="AG691" s="74"/>
      <c r="AH691" s="74"/>
      <c r="AI691" s="74"/>
      <c r="AJ691" s="74"/>
      <c r="AK691" s="74"/>
      <c r="AL691" s="74"/>
      <c r="AM691" s="74"/>
      <c r="AN691" s="74"/>
      <c r="AO691" s="74"/>
      <c r="AP691" s="74"/>
      <c r="AQ691" s="74"/>
      <c r="AR691" s="74"/>
      <c r="AS691" s="565"/>
      <c r="AT691" s="556"/>
    </row>
    <row r="692" spans="1:46" hidden="1" x14ac:dyDescent="0.45">
      <c r="A692" s="556"/>
      <c r="B692" s="556"/>
      <c r="C692" s="556"/>
      <c r="D692" s="556"/>
      <c r="E692" s="556"/>
      <c r="F692" s="564"/>
      <c r="G692" s="564"/>
      <c r="H692" s="564"/>
      <c r="I692" s="564"/>
      <c r="J692" s="564"/>
      <c r="K692" s="564"/>
      <c r="L692" s="564"/>
      <c r="M692" s="564"/>
      <c r="N692" s="564"/>
      <c r="O692" s="564"/>
      <c r="P692" s="564"/>
      <c r="Q692" s="564"/>
      <c r="R692" s="564"/>
      <c r="S692" s="564"/>
      <c r="T692" s="564"/>
      <c r="U692" s="564"/>
      <c r="V692" s="564"/>
      <c r="W692" s="564"/>
      <c r="X692" s="564"/>
      <c r="Y692" s="564"/>
      <c r="Z692" s="564"/>
      <c r="AA692" s="564"/>
      <c r="AB692" s="556"/>
      <c r="AC692" s="556"/>
      <c r="AD692" s="74"/>
      <c r="AE692" s="74"/>
      <c r="AF692" s="74"/>
      <c r="AG692" s="74"/>
      <c r="AH692" s="74"/>
      <c r="AI692" s="74"/>
      <c r="AJ692" s="74"/>
      <c r="AK692" s="74"/>
      <c r="AL692" s="74"/>
      <c r="AM692" s="74"/>
      <c r="AN692" s="74"/>
      <c r="AO692" s="74"/>
      <c r="AP692" s="74"/>
      <c r="AQ692" s="74"/>
      <c r="AR692" s="74"/>
      <c r="AS692" s="565"/>
      <c r="AT692" s="556"/>
    </row>
    <row r="693" spans="1:46" hidden="1" x14ac:dyDescent="0.45">
      <c r="A693" s="556"/>
      <c r="B693" s="556"/>
      <c r="C693" s="556"/>
      <c r="D693" s="556"/>
      <c r="E693" s="556"/>
      <c r="F693" s="564"/>
      <c r="G693" s="564"/>
      <c r="H693" s="564"/>
      <c r="I693" s="564"/>
      <c r="J693" s="564"/>
      <c r="K693" s="564"/>
      <c r="L693" s="564"/>
      <c r="M693" s="564"/>
      <c r="N693" s="564"/>
      <c r="O693" s="564"/>
      <c r="P693" s="564"/>
      <c r="Q693" s="564"/>
      <c r="R693" s="564"/>
      <c r="S693" s="564"/>
      <c r="T693" s="564"/>
      <c r="U693" s="564"/>
      <c r="V693" s="564"/>
      <c r="W693" s="564"/>
      <c r="X693" s="564"/>
      <c r="Y693" s="564"/>
      <c r="Z693" s="564"/>
      <c r="AA693" s="564"/>
      <c r="AB693" s="556"/>
      <c r="AC693" s="556"/>
      <c r="AD693" s="74"/>
      <c r="AE693" s="74"/>
      <c r="AF693" s="74"/>
      <c r="AG693" s="74"/>
      <c r="AH693" s="74"/>
      <c r="AI693" s="74"/>
      <c r="AJ693" s="74"/>
      <c r="AK693" s="74"/>
      <c r="AL693" s="74"/>
      <c r="AM693" s="74"/>
      <c r="AN693" s="74"/>
      <c r="AO693" s="74"/>
      <c r="AP693" s="74"/>
      <c r="AQ693" s="74"/>
      <c r="AR693" s="74"/>
      <c r="AS693" s="565"/>
      <c r="AT693" s="556"/>
    </row>
    <row r="694" spans="1:46" hidden="1" x14ac:dyDescent="0.45">
      <c r="A694" s="556"/>
      <c r="B694" s="556"/>
      <c r="C694" s="556"/>
      <c r="D694" s="556"/>
      <c r="E694" s="556"/>
      <c r="F694" s="564"/>
      <c r="G694" s="564"/>
      <c r="H694" s="564"/>
      <c r="I694" s="564"/>
      <c r="J694" s="564"/>
      <c r="K694" s="564"/>
      <c r="L694" s="564"/>
      <c r="M694" s="564"/>
      <c r="N694" s="564"/>
      <c r="O694" s="564"/>
      <c r="P694" s="564"/>
      <c r="Q694" s="564"/>
      <c r="R694" s="564"/>
      <c r="S694" s="564"/>
      <c r="T694" s="564"/>
      <c r="U694" s="564"/>
      <c r="V694" s="564"/>
      <c r="W694" s="564"/>
      <c r="X694" s="564"/>
      <c r="Y694" s="564"/>
      <c r="Z694" s="564"/>
      <c r="AA694" s="564"/>
      <c r="AB694" s="556"/>
      <c r="AC694" s="556"/>
      <c r="AD694" s="74"/>
      <c r="AE694" s="74"/>
      <c r="AF694" s="74"/>
      <c r="AG694" s="74"/>
      <c r="AH694" s="74"/>
      <c r="AI694" s="74"/>
      <c r="AJ694" s="74"/>
      <c r="AK694" s="74"/>
      <c r="AL694" s="74"/>
      <c r="AM694" s="74"/>
      <c r="AN694" s="74"/>
      <c r="AO694" s="74"/>
      <c r="AP694" s="74"/>
      <c r="AQ694" s="74"/>
      <c r="AR694" s="74"/>
      <c r="AS694" s="565"/>
      <c r="AT694" s="556"/>
    </row>
    <row r="695" spans="1:46" hidden="1" x14ac:dyDescent="0.45">
      <c r="A695" s="556"/>
      <c r="B695" s="556"/>
      <c r="C695" s="556"/>
      <c r="D695" s="556"/>
      <c r="E695" s="556"/>
      <c r="F695" s="564"/>
      <c r="G695" s="564"/>
      <c r="H695" s="564"/>
      <c r="I695" s="564"/>
      <c r="J695" s="564"/>
      <c r="K695" s="564"/>
      <c r="L695" s="564"/>
      <c r="M695" s="564"/>
      <c r="N695" s="564"/>
      <c r="O695" s="564"/>
      <c r="P695" s="564"/>
      <c r="Q695" s="564"/>
      <c r="R695" s="564"/>
      <c r="S695" s="564"/>
      <c r="T695" s="564"/>
      <c r="U695" s="564"/>
      <c r="V695" s="564"/>
      <c r="W695" s="564"/>
      <c r="X695" s="564"/>
      <c r="Y695" s="564"/>
      <c r="Z695" s="564"/>
      <c r="AA695" s="564"/>
      <c r="AB695" s="556"/>
      <c r="AC695" s="556"/>
      <c r="AD695" s="74"/>
      <c r="AE695" s="74"/>
      <c r="AF695" s="74"/>
      <c r="AG695" s="74"/>
      <c r="AH695" s="74"/>
      <c r="AI695" s="74"/>
      <c r="AJ695" s="74"/>
      <c r="AK695" s="74"/>
      <c r="AL695" s="74"/>
      <c r="AM695" s="74"/>
      <c r="AN695" s="74"/>
      <c r="AO695" s="74"/>
      <c r="AP695" s="74"/>
      <c r="AQ695" s="74"/>
      <c r="AR695" s="74"/>
      <c r="AS695" s="565"/>
      <c r="AT695" s="556"/>
    </row>
    <row r="696" spans="1:46" hidden="1" x14ac:dyDescent="0.45">
      <c r="A696" s="556"/>
      <c r="B696" s="556"/>
      <c r="C696" s="556"/>
      <c r="D696" s="556"/>
      <c r="E696" s="556"/>
      <c r="F696" s="564"/>
      <c r="G696" s="564"/>
      <c r="H696" s="564"/>
      <c r="I696" s="564"/>
      <c r="J696" s="564"/>
      <c r="K696" s="564"/>
      <c r="L696" s="564"/>
      <c r="M696" s="564"/>
      <c r="N696" s="564"/>
      <c r="O696" s="564"/>
      <c r="P696" s="564"/>
      <c r="Q696" s="564"/>
      <c r="R696" s="564"/>
      <c r="S696" s="564"/>
      <c r="T696" s="564"/>
      <c r="U696" s="564"/>
      <c r="V696" s="564"/>
      <c r="W696" s="564"/>
      <c r="X696" s="564"/>
      <c r="Y696" s="564"/>
      <c r="Z696" s="564"/>
      <c r="AA696" s="564"/>
      <c r="AB696" s="556"/>
      <c r="AC696" s="556"/>
      <c r="AD696" s="74"/>
      <c r="AE696" s="74"/>
      <c r="AF696" s="74"/>
      <c r="AG696" s="74"/>
      <c r="AH696" s="74"/>
      <c r="AI696" s="74"/>
      <c r="AJ696" s="74"/>
      <c r="AK696" s="74"/>
      <c r="AL696" s="74"/>
      <c r="AM696" s="74"/>
      <c r="AN696" s="74"/>
      <c r="AO696" s="74"/>
      <c r="AP696" s="74"/>
      <c r="AQ696" s="74"/>
      <c r="AR696" s="74"/>
      <c r="AS696" s="565"/>
      <c r="AT696" s="556"/>
    </row>
    <row r="697" spans="1:46" hidden="1" x14ac:dyDescent="0.45">
      <c r="A697" s="556"/>
      <c r="B697" s="556"/>
      <c r="C697" s="556"/>
      <c r="D697" s="556"/>
      <c r="E697" s="556"/>
      <c r="F697" s="564"/>
      <c r="G697" s="564"/>
      <c r="H697" s="564"/>
      <c r="I697" s="564"/>
      <c r="J697" s="564"/>
      <c r="K697" s="564"/>
      <c r="L697" s="564"/>
      <c r="M697" s="564"/>
      <c r="N697" s="564"/>
      <c r="O697" s="564"/>
      <c r="P697" s="564"/>
      <c r="Q697" s="564"/>
      <c r="R697" s="564"/>
      <c r="S697" s="564"/>
      <c r="T697" s="564"/>
      <c r="U697" s="564"/>
      <c r="V697" s="564"/>
      <c r="W697" s="564"/>
      <c r="X697" s="564"/>
      <c r="Y697" s="564"/>
      <c r="Z697" s="564"/>
      <c r="AA697" s="564"/>
      <c r="AB697" s="556"/>
      <c r="AC697" s="556"/>
      <c r="AD697" s="74"/>
      <c r="AE697" s="74"/>
      <c r="AF697" s="74"/>
      <c r="AG697" s="74"/>
      <c r="AH697" s="74"/>
      <c r="AI697" s="74"/>
      <c r="AJ697" s="74"/>
      <c r="AK697" s="74"/>
      <c r="AL697" s="74"/>
      <c r="AM697" s="74"/>
      <c r="AN697" s="74"/>
      <c r="AO697" s="74"/>
      <c r="AP697" s="74"/>
      <c r="AQ697" s="74"/>
      <c r="AR697" s="74"/>
      <c r="AS697" s="565"/>
      <c r="AT697" s="556"/>
    </row>
    <row r="698" spans="1:46" hidden="1" x14ac:dyDescent="0.45">
      <c r="A698" s="556"/>
      <c r="B698" s="556"/>
      <c r="C698" s="556"/>
      <c r="D698" s="556"/>
      <c r="E698" s="556"/>
      <c r="F698" s="564"/>
      <c r="G698" s="564"/>
      <c r="H698" s="564"/>
      <c r="I698" s="564"/>
      <c r="J698" s="564"/>
      <c r="K698" s="564"/>
      <c r="L698" s="564"/>
      <c r="M698" s="564"/>
      <c r="N698" s="564"/>
      <c r="O698" s="564"/>
      <c r="P698" s="564"/>
      <c r="Q698" s="564"/>
      <c r="R698" s="564"/>
      <c r="S698" s="564"/>
      <c r="T698" s="564"/>
      <c r="U698" s="564"/>
      <c r="V698" s="564"/>
      <c r="W698" s="564"/>
      <c r="X698" s="564"/>
      <c r="Y698" s="564"/>
      <c r="Z698" s="564"/>
      <c r="AA698" s="564"/>
      <c r="AB698" s="556"/>
      <c r="AC698" s="556"/>
      <c r="AD698" s="74"/>
      <c r="AE698" s="74"/>
      <c r="AF698" s="74"/>
      <c r="AG698" s="74"/>
      <c r="AH698" s="74"/>
      <c r="AI698" s="74"/>
      <c r="AJ698" s="74"/>
      <c r="AK698" s="74"/>
      <c r="AL698" s="74"/>
      <c r="AM698" s="74"/>
      <c r="AN698" s="74"/>
      <c r="AO698" s="74"/>
      <c r="AP698" s="74"/>
      <c r="AQ698" s="74"/>
      <c r="AR698" s="74"/>
      <c r="AS698" s="565"/>
      <c r="AT698" s="556"/>
    </row>
    <row r="699" spans="1:46" hidden="1" x14ac:dyDescent="0.45">
      <c r="A699" s="556"/>
      <c r="B699" s="556"/>
      <c r="C699" s="556"/>
      <c r="D699" s="556"/>
      <c r="E699" s="556"/>
      <c r="F699" s="564"/>
      <c r="G699" s="564"/>
      <c r="H699" s="564"/>
      <c r="I699" s="564"/>
      <c r="J699" s="564"/>
      <c r="K699" s="564"/>
      <c r="L699" s="564"/>
      <c r="M699" s="564"/>
      <c r="N699" s="564"/>
      <c r="O699" s="564"/>
      <c r="P699" s="564"/>
      <c r="Q699" s="564"/>
      <c r="R699" s="564"/>
      <c r="S699" s="564"/>
      <c r="T699" s="564"/>
      <c r="U699" s="564"/>
      <c r="V699" s="564"/>
      <c r="W699" s="564"/>
      <c r="X699" s="564"/>
      <c r="Y699" s="564"/>
      <c r="Z699" s="564"/>
      <c r="AA699" s="564"/>
      <c r="AB699" s="556"/>
      <c r="AC699" s="556"/>
      <c r="AD699" s="74"/>
      <c r="AE699" s="74"/>
      <c r="AF699" s="74"/>
      <c r="AG699" s="74"/>
      <c r="AH699" s="74"/>
      <c r="AI699" s="74"/>
      <c r="AJ699" s="74"/>
      <c r="AK699" s="74"/>
      <c r="AL699" s="74"/>
      <c r="AM699" s="74"/>
      <c r="AN699" s="74"/>
      <c r="AO699" s="74"/>
      <c r="AP699" s="74"/>
      <c r="AQ699" s="74"/>
      <c r="AR699" s="74"/>
      <c r="AS699" s="565"/>
      <c r="AT699" s="556"/>
    </row>
    <row r="700" spans="1:46" hidden="1" x14ac:dyDescent="0.45">
      <c r="A700" s="556"/>
      <c r="B700" s="556"/>
      <c r="C700" s="556"/>
      <c r="D700" s="556"/>
      <c r="E700" s="556"/>
      <c r="F700" s="564"/>
      <c r="G700" s="564"/>
      <c r="H700" s="564"/>
      <c r="I700" s="564"/>
      <c r="J700" s="564"/>
      <c r="K700" s="564"/>
      <c r="L700" s="564"/>
      <c r="M700" s="564"/>
      <c r="N700" s="564"/>
      <c r="O700" s="564"/>
      <c r="P700" s="564"/>
      <c r="Q700" s="564"/>
      <c r="R700" s="564"/>
      <c r="S700" s="564"/>
      <c r="T700" s="564"/>
      <c r="U700" s="564"/>
      <c r="V700" s="564"/>
      <c r="W700" s="564"/>
      <c r="X700" s="564"/>
      <c r="Y700" s="564"/>
      <c r="Z700" s="564"/>
      <c r="AA700" s="564"/>
      <c r="AB700" s="556"/>
      <c r="AC700" s="556"/>
      <c r="AD700" s="74"/>
      <c r="AE700" s="74"/>
      <c r="AF700" s="74"/>
      <c r="AG700" s="74"/>
      <c r="AH700" s="74"/>
      <c r="AI700" s="74"/>
      <c r="AJ700" s="74"/>
      <c r="AK700" s="74"/>
      <c r="AL700" s="74"/>
      <c r="AM700" s="74"/>
      <c r="AN700" s="74"/>
      <c r="AO700" s="74"/>
      <c r="AP700" s="74"/>
      <c r="AQ700" s="74"/>
      <c r="AR700" s="74"/>
      <c r="AS700" s="565"/>
      <c r="AT700" s="556"/>
    </row>
    <row r="701" spans="1:46" hidden="1" x14ac:dyDescent="0.45">
      <c r="A701" s="556"/>
      <c r="B701" s="556"/>
      <c r="C701" s="556"/>
      <c r="D701" s="556"/>
      <c r="E701" s="556"/>
      <c r="F701" s="564"/>
      <c r="G701" s="564"/>
      <c r="H701" s="564"/>
      <c r="I701" s="564"/>
      <c r="J701" s="564"/>
      <c r="K701" s="564"/>
      <c r="L701" s="564"/>
      <c r="M701" s="564"/>
      <c r="N701" s="564"/>
      <c r="O701" s="564"/>
      <c r="P701" s="564"/>
      <c r="Q701" s="564"/>
      <c r="R701" s="564"/>
      <c r="S701" s="564"/>
      <c r="T701" s="564"/>
      <c r="U701" s="564"/>
      <c r="V701" s="564"/>
      <c r="W701" s="564"/>
      <c r="X701" s="564"/>
      <c r="Y701" s="564"/>
      <c r="Z701" s="564"/>
      <c r="AA701" s="564"/>
      <c r="AB701" s="556"/>
      <c r="AC701" s="556"/>
      <c r="AD701" s="74"/>
      <c r="AE701" s="74"/>
      <c r="AF701" s="74"/>
      <c r="AG701" s="74"/>
      <c r="AH701" s="74"/>
      <c r="AI701" s="74"/>
      <c r="AJ701" s="74"/>
      <c r="AK701" s="74"/>
      <c r="AL701" s="74"/>
      <c r="AM701" s="74"/>
      <c r="AN701" s="74"/>
      <c r="AO701" s="74"/>
      <c r="AP701" s="74"/>
      <c r="AQ701" s="74"/>
      <c r="AR701" s="74"/>
      <c r="AS701" s="565"/>
      <c r="AT701" s="556"/>
    </row>
    <row r="702" spans="1:46" hidden="1" x14ac:dyDescent="0.45">
      <c r="A702" s="556"/>
      <c r="B702" s="556"/>
      <c r="C702" s="556"/>
      <c r="D702" s="556"/>
      <c r="E702" s="556"/>
      <c r="F702" s="564"/>
      <c r="G702" s="564"/>
      <c r="H702" s="564"/>
      <c r="I702" s="564"/>
      <c r="J702" s="564"/>
      <c r="K702" s="564"/>
      <c r="L702" s="564"/>
      <c r="M702" s="564"/>
      <c r="N702" s="564"/>
      <c r="O702" s="564"/>
      <c r="P702" s="564"/>
      <c r="Q702" s="564"/>
      <c r="R702" s="564"/>
      <c r="S702" s="564"/>
      <c r="T702" s="564"/>
      <c r="U702" s="564"/>
      <c r="V702" s="564"/>
      <c r="W702" s="564"/>
      <c r="X702" s="564"/>
      <c r="Y702" s="564"/>
      <c r="Z702" s="564"/>
      <c r="AA702" s="564"/>
      <c r="AB702" s="556"/>
      <c r="AC702" s="556"/>
      <c r="AD702" s="74"/>
      <c r="AE702" s="74"/>
      <c r="AF702" s="74"/>
      <c r="AG702" s="74"/>
      <c r="AH702" s="74"/>
      <c r="AI702" s="74"/>
      <c r="AJ702" s="74"/>
      <c r="AK702" s="74"/>
      <c r="AL702" s="74"/>
      <c r="AM702" s="74"/>
      <c r="AN702" s="74"/>
      <c r="AO702" s="74"/>
      <c r="AP702" s="74"/>
      <c r="AQ702" s="74"/>
      <c r="AR702" s="74"/>
      <c r="AS702" s="565"/>
      <c r="AT702" s="556"/>
    </row>
    <row r="703" spans="1:46" hidden="1" x14ac:dyDescent="0.45">
      <c r="A703" s="556"/>
      <c r="B703" s="556"/>
      <c r="C703" s="556"/>
      <c r="D703" s="556"/>
      <c r="E703" s="556"/>
      <c r="F703" s="564"/>
      <c r="G703" s="564"/>
      <c r="H703" s="564"/>
      <c r="I703" s="564"/>
      <c r="J703" s="564"/>
      <c r="K703" s="564"/>
      <c r="L703" s="564"/>
      <c r="M703" s="564"/>
      <c r="N703" s="564"/>
      <c r="O703" s="564"/>
      <c r="P703" s="564"/>
      <c r="Q703" s="564"/>
      <c r="R703" s="564"/>
      <c r="S703" s="564"/>
      <c r="T703" s="564"/>
      <c r="U703" s="564"/>
      <c r="V703" s="564"/>
      <c r="W703" s="564"/>
      <c r="X703" s="564"/>
      <c r="Y703" s="564"/>
      <c r="Z703" s="564"/>
      <c r="AA703" s="564"/>
      <c r="AB703" s="556"/>
      <c r="AC703" s="556"/>
      <c r="AD703" s="74"/>
      <c r="AE703" s="74"/>
      <c r="AF703" s="74"/>
      <c r="AG703" s="74"/>
      <c r="AH703" s="74"/>
      <c r="AI703" s="74"/>
      <c r="AJ703" s="74"/>
      <c r="AK703" s="74"/>
      <c r="AL703" s="74"/>
      <c r="AM703" s="74"/>
      <c r="AN703" s="74"/>
      <c r="AO703" s="74"/>
      <c r="AP703" s="74"/>
      <c r="AQ703" s="74"/>
      <c r="AR703" s="74"/>
      <c r="AS703" s="565"/>
      <c r="AT703" s="556"/>
    </row>
    <row r="704" spans="1:46" hidden="1" x14ac:dyDescent="0.45">
      <c r="A704" s="556"/>
      <c r="B704" s="556"/>
      <c r="C704" s="556"/>
      <c r="D704" s="556"/>
      <c r="E704" s="556"/>
      <c r="F704" s="564"/>
      <c r="G704" s="564"/>
      <c r="H704" s="564"/>
      <c r="I704" s="564"/>
      <c r="J704" s="564"/>
      <c r="K704" s="564"/>
      <c r="L704" s="564"/>
      <c r="M704" s="564"/>
      <c r="N704" s="564"/>
      <c r="O704" s="564"/>
      <c r="P704" s="564"/>
      <c r="Q704" s="564"/>
      <c r="R704" s="564"/>
      <c r="S704" s="564"/>
      <c r="T704" s="564"/>
      <c r="U704" s="564"/>
      <c r="V704" s="564"/>
      <c r="W704" s="564"/>
      <c r="X704" s="564"/>
      <c r="Y704" s="564"/>
      <c r="Z704" s="564"/>
      <c r="AA704" s="564"/>
      <c r="AB704" s="556"/>
      <c r="AC704" s="556"/>
      <c r="AD704" s="74"/>
      <c r="AE704" s="74"/>
      <c r="AF704" s="74"/>
      <c r="AG704" s="74"/>
      <c r="AH704" s="74"/>
      <c r="AI704" s="74"/>
      <c r="AJ704" s="74"/>
      <c r="AK704" s="74"/>
      <c r="AL704" s="74"/>
      <c r="AM704" s="74"/>
      <c r="AN704" s="74"/>
      <c r="AO704" s="74"/>
      <c r="AP704" s="74"/>
      <c r="AQ704" s="74"/>
      <c r="AR704" s="74"/>
      <c r="AS704" s="565"/>
      <c r="AT704" s="556"/>
    </row>
    <row r="705" spans="1:46" hidden="1" x14ac:dyDescent="0.45">
      <c r="A705" s="556"/>
      <c r="B705" s="556"/>
      <c r="C705" s="556"/>
      <c r="D705" s="556"/>
      <c r="E705" s="556"/>
      <c r="F705" s="564"/>
      <c r="G705" s="564"/>
      <c r="H705" s="564"/>
      <c r="I705" s="564"/>
      <c r="J705" s="564"/>
      <c r="K705" s="564"/>
      <c r="L705" s="564"/>
      <c r="M705" s="564"/>
      <c r="N705" s="564"/>
      <c r="O705" s="564"/>
      <c r="P705" s="564"/>
      <c r="Q705" s="564"/>
      <c r="R705" s="564"/>
      <c r="S705" s="564"/>
      <c r="T705" s="564"/>
      <c r="U705" s="564"/>
      <c r="V705" s="564"/>
      <c r="W705" s="564"/>
      <c r="X705" s="564"/>
      <c r="Y705" s="564"/>
      <c r="Z705" s="564"/>
      <c r="AA705" s="564"/>
      <c r="AB705" s="556"/>
      <c r="AC705" s="556"/>
      <c r="AD705" s="74"/>
      <c r="AE705" s="74"/>
      <c r="AF705" s="74"/>
      <c r="AG705" s="74"/>
      <c r="AH705" s="74"/>
      <c r="AI705" s="74"/>
      <c r="AJ705" s="74"/>
      <c r="AK705" s="74"/>
      <c r="AL705" s="74"/>
      <c r="AM705" s="74"/>
      <c r="AN705" s="74"/>
      <c r="AO705" s="74"/>
      <c r="AP705" s="74"/>
      <c r="AQ705" s="74"/>
      <c r="AR705" s="74"/>
      <c r="AS705" s="565"/>
      <c r="AT705" s="556"/>
    </row>
    <row r="706" spans="1:46" hidden="1" x14ac:dyDescent="0.45">
      <c r="A706" s="556"/>
      <c r="B706" s="556"/>
      <c r="C706" s="556"/>
      <c r="D706" s="556"/>
      <c r="E706" s="556"/>
      <c r="F706" s="564"/>
      <c r="G706" s="564"/>
      <c r="H706" s="564"/>
      <c r="I706" s="564"/>
      <c r="J706" s="564"/>
      <c r="K706" s="564"/>
      <c r="L706" s="564"/>
      <c r="M706" s="564"/>
      <c r="N706" s="564"/>
      <c r="O706" s="564"/>
      <c r="P706" s="564"/>
      <c r="Q706" s="564"/>
      <c r="R706" s="564"/>
      <c r="S706" s="564"/>
      <c r="T706" s="564"/>
      <c r="U706" s="564"/>
      <c r="V706" s="564"/>
      <c r="W706" s="564"/>
      <c r="X706" s="564"/>
      <c r="Y706" s="564"/>
      <c r="Z706" s="564"/>
      <c r="AA706" s="564"/>
      <c r="AB706" s="556"/>
      <c r="AC706" s="556"/>
      <c r="AD706" s="74"/>
      <c r="AE706" s="74"/>
      <c r="AF706" s="74"/>
      <c r="AG706" s="74"/>
      <c r="AH706" s="74"/>
      <c r="AI706" s="74"/>
      <c r="AJ706" s="74"/>
      <c r="AK706" s="74"/>
      <c r="AL706" s="74"/>
      <c r="AM706" s="74"/>
      <c r="AN706" s="74"/>
      <c r="AO706" s="74"/>
      <c r="AP706" s="74"/>
      <c r="AQ706" s="74"/>
      <c r="AR706" s="74"/>
      <c r="AS706" s="565"/>
      <c r="AT706" s="556"/>
    </row>
    <row r="707" spans="1:46" hidden="1" x14ac:dyDescent="0.45">
      <c r="A707" s="556"/>
      <c r="B707" s="556"/>
      <c r="C707" s="556"/>
      <c r="D707" s="556"/>
      <c r="E707" s="556"/>
      <c r="F707" s="564"/>
      <c r="G707" s="564"/>
      <c r="H707" s="564"/>
      <c r="I707" s="564"/>
      <c r="J707" s="564"/>
      <c r="K707" s="564"/>
      <c r="L707" s="564"/>
      <c r="M707" s="564"/>
      <c r="N707" s="564"/>
      <c r="O707" s="564"/>
      <c r="P707" s="564"/>
      <c r="Q707" s="564"/>
      <c r="R707" s="564"/>
      <c r="S707" s="564"/>
      <c r="T707" s="564"/>
      <c r="U707" s="564"/>
      <c r="V707" s="564"/>
      <c r="W707" s="564"/>
      <c r="X707" s="564"/>
      <c r="Y707" s="564"/>
      <c r="Z707" s="564"/>
      <c r="AA707" s="564"/>
      <c r="AB707" s="556"/>
      <c r="AC707" s="556"/>
      <c r="AD707" s="74"/>
      <c r="AE707" s="74"/>
      <c r="AF707" s="74"/>
      <c r="AG707" s="74"/>
      <c r="AH707" s="74"/>
      <c r="AI707" s="74"/>
      <c r="AJ707" s="74"/>
      <c r="AK707" s="74"/>
      <c r="AL707" s="74"/>
      <c r="AM707" s="74"/>
      <c r="AN707" s="74"/>
      <c r="AO707" s="74"/>
      <c r="AP707" s="74"/>
      <c r="AQ707" s="74"/>
      <c r="AR707" s="74"/>
      <c r="AS707" s="565"/>
      <c r="AT707" s="556"/>
    </row>
    <row r="708" spans="1:46" hidden="1" x14ac:dyDescent="0.45">
      <c r="A708" s="556"/>
      <c r="B708" s="556"/>
      <c r="C708" s="556"/>
      <c r="D708" s="556"/>
      <c r="E708" s="556"/>
      <c r="F708" s="564"/>
      <c r="G708" s="564"/>
      <c r="H708" s="564"/>
      <c r="I708" s="564"/>
      <c r="J708" s="564"/>
      <c r="K708" s="564"/>
      <c r="L708" s="564"/>
      <c r="M708" s="564"/>
      <c r="N708" s="564"/>
      <c r="O708" s="564"/>
      <c r="P708" s="564"/>
      <c r="Q708" s="564"/>
      <c r="R708" s="564"/>
      <c r="S708" s="564"/>
      <c r="T708" s="564"/>
      <c r="U708" s="564"/>
      <c r="V708" s="564"/>
      <c r="W708" s="564"/>
      <c r="X708" s="564"/>
      <c r="Y708" s="564"/>
      <c r="Z708" s="564"/>
      <c r="AA708" s="564"/>
      <c r="AB708" s="556"/>
      <c r="AC708" s="556"/>
      <c r="AD708" s="74"/>
      <c r="AE708" s="74"/>
      <c r="AF708" s="74"/>
      <c r="AG708" s="74"/>
      <c r="AH708" s="74"/>
      <c r="AI708" s="74"/>
      <c r="AJ708" s="74"/>
      <c r="AK708" s="74"/>
      <c r="AL708" s="74"/>
      <c r="AM708" s="74"/>
      <c r="AN708" s="74"/>
      <c r="AO708" s="74"/>
      <c r="AP708" s="74"/>
      <c r="AQ708" s="74"/>
      <c r="AR708" s="74"/>
      <c r="AS708" s="565"/>
      <c r="AT708" s="556"/>
    </row>
    <row r="709" spans="1:46" hidden="1" x14ac:dyDescent="0.45">
      <c r="A709" s="556"/>
      <c r="B709" s="556"/>
      <c r="C709" s="556"/>
      <c r="D709" s="556"/>
      <c r="E709" s="556"/>
      <c r="F709" s="564"/>
      <c r="G709" s="564"/>
      <c r="H709" s="564"/>
      <c r="I709" s="564"/>
      <c r="J709" s="564"/>
      <c r="K709" s="564"/>
      <c r="L709" s="564"/>
      <c r="M709" s="564"/>
      <c r="N709" s="564"/>
      <c r="O709" s="564"/>
      <c r="P709" s="564"/>
      <c r="Q709" s="564"/>
      <c r="R709" s="564"/>
      <c r="S709" s="564"/>
      <c r="T709" s="564"/>
      <c r="U709" s="564"/>
      <c r="V709" s="564"/>
      <c r="W709" s="564"/>
      <c r="X709" s="564"/>
      <c r="Y709" s="564"/>
      <c r="Z709" s="564"/>
      <c r="AA709" s="564"/>
      <c r="AB709" s="556"/>
      <c r="AC709" s="556"/>
      <c r="AD709" s="74"/>
      <c r="AE709" s="74"/>
      <c r="AF709" s="74"/>
      <c r="AG709" s="74"/>
      <c r="AH709" s="74"/>
      <c r="AI709" s="74"/>
      <c r="AJ709" s="74"/>
      <c r="AK709" s="74"/>
      <c r="AL709" s="74"/>
      <c r="AM709" s="74"/>
      <c r="AN709" s="74"/>
      <c r="AO709" s="74"/>
      <c r="AP709" s="74"/>
      <c r="AQ709" s="74"/>
      <c r="AR709" s="74"/>
      <c r="AS709" s="565"/>
      <c r="AT709" s="556"/>
    </row>
    <row r="710" spans="1:46" hidden="1" x14ac:dyDescent="0.45">
      <c r="A710" s="556"/>
      <c r="B710" s="556"/>
      <c r="C710" s="556"/>
      <c r="D710" s="556"/>
      <c r="E710" s="556"/>
      <c r="F710" s="564"/>
      <c r="G710" s="564"/>
      <c r="H710" s="564"/>
      <c r="I710" s="564"/>
      <c r="J710" s="564"/>
      <c r="K710" s="564"/>
      <c r="L710" s="564"/>
      <c r="M710" s="564"/>
      <c r="N710" s="564"/>
      <c r="O710" s="564"/>
      <c r="P710" s="564"/>
      <c r="Q710" s="564"/>
      <c r="R710" s="564"/>
      <c r="S710" s="564"/>
      <c r="T710" s="564"/>
      <c r="U710" s="564"/>
      <c r="V710" s="564"/>
      <c r="W710" s="564"/>
      <c r="X710" s="564"/>
      <c r="Y710" s="564"/>
      <c r="Z710" s="564"/>
      <c r="AA710" s="564"/>
      <c r="AB710" s="556"/>
      <c r="AC710" s="556"/>
      <c r="AD710" s="74"/>
      <c r="AE710" s="74"/>
      <c r="AF710" s="74"/>
      <c r="AG710" s="74"/>
      <c r="AH710" s="74"/>
      <c r="AI710" s="74"/>
      <c r="AJ710" s="74"/>
      <c r="AK710" s="74"/>
      <c r="AL710" s="74"/>
      <c r="AM710" s="74"/>
      <c r="AN710" s="74"/>
      <c r="AO710" s="74"/>
      <c r="AP710" s="74"/>
      <c r="AQ710" s="74"/>
      <c r="AR710" s="74"/>
      <c r="AS710" s="565"/>
      <c r="AT710" s="556"/>
    </row>
    <row r="711" spans="1:46" hidden="1" x14ac:dyDescent="0.45">
      <c r="A711" s="556"/>
      <c r="B711" s="556"/>
      <c r="C711" s="556"/>
      <c r="D711" s="556"/>
      <c r="E711" s="556"/>
      <c r="F711" s="564"/>
      <c r="G711" s="564"/>
      <c r="H711" s="564"/>
      <c r="I711" s="564"/>
      <c r="J711" s="564"/>
      <c r="K711" s="564"/>
      <c r="L711" s="564"/>
      <c r="M711" s="564"/>
      <c r="N711" s="564"/>
      <c r="O711" s="564"/>
      <c r="P711" s="564"/>
      <c r="Q711" s="564"/>
      <c r="R711" s="564"/>
      <c r="S711" s="564"/>
      <c r="T711" s="564"/>
      <c r="U711" s="564"/>
      <c r="V711" s="564"/>
      <c r="W711" s="564"/>
      <c r="X711" s="564"/>
      <c r="Y711" s="564"/>
      <c r="Z711" s="564"/>
      <c r="AA711" s="564"/>
      <c r="AB711" s="556"/>
      <c r="AC711" s="556"/>
      <c r="AD711" s="74"/>
      <c r="AE711" s="74"/>
      <c r="AF711" s="74"/>
      <c r="AG711" s="74"/>
      <c r="AH711" s="74"/>
      <c r="AI711" s="74"/>
      <c r="AJ711" s="74"/>
      <c r="AK711" s="74"/>
      <c r="AL711" s="74"/>
      <c r="AM711" s="74"/>
      <c r="AN711" s="74"/>
      <c r="AO711" s="74"/>
      <c r="AP711" s="74"/>
      <c r="AQ711" s="74"/>
      <c r="AR711" s="74"/>
      <c r="AS711" s="565"/>
      <c r="AT711" s="556"/>
    </row>
    <row r="712" spans="1:46" hidden="1" x14ac:dyDescent="0.45">
      <c r="A712" s="556"/>
      <c r="B712" s="556"/>
      <c r="C712" s="556"/>
      <c r="D712" s="556"/>
      <c r="E712" s="556"/>
      <c r="F712" s="564"/>
      <c r="G712" s="564"/>
      <c r="H712" s="564"/>
      <c r="I712" s="564"/>
      <c r="J712" s="564"/>
      <c r="K712" s="564"/>
      <c r="L712" s="564"/>
      <c r="M712" s="564"/>
      <c r="N712" s="564"/>
      <c r="O712" s="564"/>
      <c r="P712" s="564"/>
      <c r="Q712" s="564"/>
      <c r="R712" s="564"/>
      <c r="S712" s="564"/>
      <c r="T712" s="564"/>
      <c r="U712" s="564"/>
      <c r="V712" s="564"/>
      <c r="W712" s="564"/>
      <c r="X712" s="564"/>
      <c r="Y712" s="564"/>
      <c r="Z712" s="564"/>
      <c r="AA712" s="564"/>
      <c r="AB712" s="556"/>
      <c r="AC712" s="556"/>
      <c r="AD712" s="74"/>
      <c r="AE712" s="74"/>
      <c r="AF712" s="74"/>
      <c r="AG712" s="74"/>
      <c r="AH712" s="74"/>
      <c r="AI712" s="74"/>
      <c r="AJ712" s="74"/>
      <c r="AK712" s="74"/>
      <c r="AL712" s="74"/>
      <c r="AM712" s="74"/>
      <c r="AN712" s="74"/>
      <c r="AO712" s="74"/>
      <c r="AP712" s="74"/>
      <c r="AQ712" s="74"/>
      <c r="AR712" s="74"/>
      <c r="AS712" s="565"/>
      <c r="AT712" s="556"/>
    </row>
    <row r="713" spans="1:46" hidden="1" x14ac:dyDescent="0.45">
      <c r="A713" s="556"/>
      <c r="B713" s="556"/>
      <c r="C713" s="556"/>
      <c r="D713" s="556"/>
      <c r="E713" s="556"/>
      <c r="F713" s="564"/>
      <c r="G713" s="564"/>
      <c r="H713" s="564"/>
      <c r="I713" s="564"/>
      <c r="J713" s="564"/>
      <c r="K713" s="564"/>
      <c r="L713" s="564"/>
      <c r="M713" s="564"/>
      <c r="N713" s="564"/>
      <c r="O713" s="564"/>
      <c r="P713" s="564"/>
      <c r="Q713" s="564"/>
      <c r="R713" s="564"/>
      <c r="S713" s="564"/>
      <c r="T713" s="564"/>
      <c r="U713" s="564"/>
      <c r="V713" s="564"/>
      <c r="W713" s="564"/>
      <c r="X713" s="564"/>
      <c r="Y713" s="564"/>
      <c r="Z713" s="564"/>
      <c r="AA713" s="564"/>
      <c r="AB713" s="556"/>
      <c r="AC713" s="556"/>
      <c r="AD713" s="74"/>
      <c r="AE713" s="74"/>
      <c r="AF713" s="74"/>
      <c r="AG713" s="74"/>
      <c r="AH713" s="74"/>
      <c r="AI713" s="74"/>
      <c r="AJ713" s="74"/>
      <c r="AK713" s="74"/>
      <c r="AL713" s="74"/>
      <c r="AM713" s="74"/>
      <c r="AN713" s="74"/>
      <c r="AO713" s="74"/>
      <c r="AP713" s="74"/>
      <c r="AQ713" s="74"/>
      <c r="AR713" s="74"/>
      <c r="AS713" s="565"/>
      <c r="AT713" s="556"/>
    </row>
    <row r="714" spans="1:46" hidden="1" x14ac:dyDescent="0.45">
      <c r="A714" s="556"/>
      <c r="B714" s="556"/>
      <c r="C714" s="556"/>
      <c r="D714" s="556"/>
      <c r="E714" s="556"/>
      <c r="F714" s="564"/>
      <c r="G714" s="564"/>
      <c r="H714" s="564"/>
      <c r="I714" s="564"/>
      <c r="J714" s="564"/>
      <c r="K714" s="564"/>
      <c r="L714" s="564"/>
      <c r="M714" s="564"/>
      <c r="N714" s="564"/>
      <c r="O714" s="564"/>
      <c r="P714" s="564"/>
      <c r="Q714" s="564"/>
      <c r="R714" s="564"/>
      <c r="S714" s="564"/>
      <c r="T714" s="564"/>
      <c r="U714" s="564"/>
      <c r="V714" s="564"/>
      <c r="W714" s="564"/>
      <c r="X714" s="564"/>
      <c r="Y714" s="564"/>
      <c r="Z714" s="564"/>
      <c r="AA714" s="564"/>
      <c r="AB714" s="556"/>
      <c r="AC714" s="556"/>
      <c r="AD714" s="74"/>
      <c r="AE714" s="74"/>
      <c r="AF714" s="74"/>
      <c r="AG714" s="74"/>
      <c r="AH714" s="74"/>
      <c r="AI714" s="74"/>
      <c r="AJ714" s="74"/>
      <c r="AK714" s="74"/>
      <c r="AL714" s="74"/>
      <c r="AM714" s="74"/>
      <c r="AN714" s="74"/>
      <c r="AO714" s="74"/>
      <c r="AP714" s="74"/>
      <c r="AQ714" s="74"/>
      <c r="AR714" s="74"/>
      <c r="AS714" s="565"/>
      <c r="AT714" s="556"/>
    </row>
    <row r="715" spans="1:46" hidden="1" x14ac:dyDescent="0.45">
      <c r="A715" s="556"/>
      <c r="B715" s="556"/>
      <c r="C715" s="556"/>
      <c r="D715" s="556"/>
      <c r="E715" s="556"/>
      <c r="F715" s="564"/>
      <c r="G715" s="564"/>
      <c r="H715" s="564"/>
      <c r="I715" s="564"/>
      <c r="J715" s="564"/>
      <c r="K715" s="564"/>
      <c r="L715" s="564"/>
      <c r="M715" s="564"/>
      <c r="N715" s="564"/>
      <c r="O715" s="564"/>
      <c r="P715" s="564"/>
      <c r="Q715" s="564"/>
      <c r="R715" s="564"/>
      <c r="S715" s="564"/>
      <c r="T715" s="564"/>
      <c r="U715" s="564"/>
      <c r="V715" s="564"/>
      <c r="W715" s="564"/>
      <c r="X715" s="564"/>
      <c r="Y715" s="564"/>
      <c r="Z715" s="564"/>
      <c r="AA715" s="564"/>
      <c r="AB715" s="556"/>
      <c r="AC715" s="556"/>
      <c r="AD715" s="74"/>
      <c r="AE715" s="74"/>
      <c r="AF715" s="74"/>
      <c r="AG715" s="74"/>
      <c r="AH715" s="74"/>
      <c r="AI715" s="74"/>
      <c r="AJ715" s="74"/>
      <c r="AK715" s="74"/>
      <c r="AL715" s="74"/>
      <c r="AM715" s="74"/>
      <c r="AN715" s="74"/>
      <c r="AO715" s="74"/>
      <c r="AP715" s="74"/>
      <c r="AQ715" s="74"/>
      <c r="AR715" s="74"/>
      <c r="AS715" s="565"/>
      <c r="AT715" s="556"/>
    </row>
    <row r="716" spans="1:46" hidden="1" x14ac:dyDescent="0.45">
      <c r="A716" s="556"/>
      <c r="B716" s="556"/>
      <c r="C716" s="556"/>
      <c r="D716" s="556"/>
      <c r="E716" s="556"/>
      <c r="F716" s="564"/>
      <c r="G716" s="564"/>
      <c r="H716" s="564"/>
      <c r="I716" s="564"/>
      <c r="J716" s="564"/>
      <c r="K716" s="564"/>
      <c r="L716" s="564"/>
      <c r="M716" s="564"/>
      <c r="N716" s="564"/>
      <c r="O716" s="564"/>
      <c r="P716" s="564"/>
      <c r="Q716" s="564"/>
      <c r="R716" s="564"/>
      <c r="S716" s="564"/>
      <c r="T716" s="564"/>
      <c r="U716" s="564"/>
      <c r="V716" s="564"/>
      <c r="W716" s="564"/>
      <c r="X716" s="564"/>
      <c r="Y716" s="564"/>
      <c r="Z716" s="564"/>
      <c r="AA716" s="564"/>
      <c r="AB716" s="556"/>
      <c r="AC716" s="556"/>
      <c r="AD716" s="74"/>
      <c r="AE716" s="74"/>
      <c r="AF716" s="74"/>
      <c r="AG716" s="74"/>
      <c r="AH716" s="74"/>
      <c r="AI716" s="74"/>
      <c r="AJ716" s="74"/>
      <c r="AK716" s="74"/>
      <c r="AL716" s="74"/>
      <c r="AM716" s="74"/>
      <c r="AN716" s="74"/>
      <c r="AO716" s="74"/>
      <c r="AP716" s="74"/>
      <c r="AQ716" s="74"/>
      <c r="AR716" s="74"/>
      <c r="AS716" s="565"/>
      <c r="AT716" s="556"/>
    </row>
    <row r="717" spans="1:46" hidden="1" x14ac:dyDescent="0.45">
      <c r="A717" s="556"/>
      <c r="B717" s="556"/>
      <c r="C717" s="556"/>
      <c r="D717" s="556"/>
      <c r="E717" s="556"/>
      <c r="F717" s="564"/>
      <c r="G717" s="564"/>
      <c r="H717" s="564"/>
      <c r="I717" s="564"/>
      <c r="J717" s="564"/>
      <c r="K717" s="564"/>
      <c r="L717" s="564"/>
      <c r="M717" s="564"/>
      <c r="N717" s="564"/>
      <c r="O717" s="564"/>
      <c r="P717" s="564"/>
      <c r="Q717" s="564"/>
      <c r="R717" s="564"/>
      <c r="S717" s="564"/>
      <c r="T717" s="564"/>
      <c r="U717" s="564"/>
      <c r="V717" s="564"/>
      <c r="W717" s="564"/>
      <c r="X717" s="564"/>
      <c r="Y717" s="564"/>
      <c r="Z717" s="564"/>
      <c r="AA717" s="564"/>
      <c r="AB717" s="556"/>
      <c r="AC717" s="556"/>
      <c r="AD717" s="74"/>
      <c r="AE717" s="74"/>
      <c r="AF717" s="74"/>
      <c r="AG717" s="74"/>
      <c r="AH717" s="74"/>
      <c r="AI717" s="74"/>
      <c r="AJ717" s="74"/>
      <c r="AK717" s="74"/>
      <c r="AL717" s="74"/>
      <c r="AM717" s="74"/>
      <c r="AN717" s="74"/>
      <c r="AO717" s="74"/>
      <c r="AP717" s="74"/>
      <c r="AQ717" s="74"/>
      <c r="AR717" s="74"/>
      <c r="AS717" s="565"/>
      <c r="AT717" s="556"/>
    </row>
    <row r="718" spans="1:46" hidden="1" x14ac:dyDescent="0.45">
      <c r="A718" s="556"/>
      <c r="B718" s="556"/>
      <c r="C718" s="556"/>
      <c r="D718" s="556"/>
      <c r="E718" s="556"/>
      <c r="F718" s="564"/>
      <c r="G718" s="564"/>
      <c r="H718" s="564"/>
      <c r="I718" s="564"/>
      <c r="J718" s="564"/>
      <c r="K718" s="564"/>
      <c r="L718" s="564"/>
      <c r="M718" s="564"/>
      <c r="N718" s="564"/>
      <c r="O718" s="564"/>
      <c r="P718" s="564"/>
      <c r="Q718" s="564"/>
      <c r="R718" s="564"/>
      <c r="S718" s="564"/>
      <c r="T718" s="564"/>
      <c r="U718" s="564"/>
      <c r="V718" s="564"/>
      <c r="W718" s="564"/>
      <c r="X718" s="564"/>
      <c r="Y718" s="564"/>
      <c r="Z718" s="564"/>
      <c r="AA718" s="564"/>
      <c r="AB718" s="556"/>
      <c r="AC718" s="556"/>
      <c r="AD718" s="74"/>
      <c r="AE718" s="74"/>
      <c r="AF718" s="74"/>
      <c r="AG718" s="74"/>
      <c r="AH718" s="74"/>
      <c r="AI718" s="74"/>
      <c r="AJ718" s="74"/>
      <c r="AK718" s="74"/>
      <c r="AL718" s="74"/>
      <c r="AM718" s="74"/>
      <c r="AN718" s="74"/>
      <c r="AO718" s="74"/>
      <c r="AP718" s="74"/>
      <c r="AQ718" s="74"/>
      <c r="AR718" s="74"/>
      <c r="AS718" s="565"/>
      <c r="AT718" s="556"/>
    </row>
    <row r="719" spans="1:46" hidden="1" x14ac:dyDescent="0.45">
      <c r="A719" s="556"/>
      <c r="B719" s="556"/>
      <c r="C719" s="556"/>
      <c r="D719" s="556"/>
      <c r="E719" s="556"/>
      <c r="F719" s="564"/>
      <c r="G719" s="564"/>
      <c r="H719" s="564"/>
      <c r="I719" s="564"/>
      <c r="J719" s="564"/>
      <c r="K719" s="564"/>
      <c r="L719" s="564"/>
      <c r="M719" s="564"/>
      <c r="N719" s="564"/>
      <c r="O719" s="564"/>
      <c r="P719" s="564"/>
      <c r="Q719" s="564"/>
      <c r="R719" s="564"/>
      <c r="S719" s="564"/>
      <c r="T719" s="564"/>
      <c r="U719" s="564"/>
      <c r="V719" s="564"/>
      <c r="W719" s="564"/>
      <c r="X719" s="564"/>
      <c r="Y719" s="564"/>
      <c r="Z719" s="564"/>
      <c r="AA719" s="564"/>
      <c r="AB719" s="556"/>
      <c r="AC719" s="556"/>
      <c r="AD719" s="74"/>
      <c r="AE719" s="74"/>
      <c r="AF719" s="74"/>
      <c r="AG719" s="74"/>
      <c r="AH719" s="74"/>
      <c r="AI719" s="74"/>
      <c r="AJ719" s="74"/>
      <c r="AK719" s="74"/>
      <c r="AL719" s="74"/>
      <c r="AM719" s="74"/>
      <c r="AN719" s="74"/>
      <c r="AO719" s="74"/>
      <c r="AP719" s="74"/>
      <c r="AQ719" s="74"/>
      <c r="AR719" s="74"/>
      <c r="AS719" s="565"/>
      <c r="AT719" s="556"/>
    </row>
    <row r="720" spans="1:46" hidden="1" x14ac:dyDescent="0.45">
      <c r="A720" s="556"/>
      <c r="B720" s="556"/>
      <c r="C720" s="556"/>
      <c r="D720" s="556"/>
      <c r="E720" s="556"/>
      <c r="F720" s="564"/>
      <c r="G720" s="564"/>
      <c r="H720" s="564"/>
      <c r="I720" s="564"/>
      <c r="J720" s="564"/>
      <c r="K720" s="564"/>
      <c r="L720" s="564"/>
      <c r="M720" s="564"/>
      <c r="N720" s="564"/>
      <c r="O720" s="564"/>
      <c r="P720" s="564"/>
      <c r="Q720" s="564"/>
      <c r="R720" s="564"/>
      <c r="S720" s="564"/>
      <c r="T720" s="564"/>
      <c r="U720" s="564"/>
      <c r="V720" s="564"/>
      <c r="W720" s="564"/>
      <c r="X720" s="564"/>
      <c r="Y720" s="564"/>
      <c r="Z720" s="564"/>
      <c r="AA720" s="564"/>
      <c r="AB720" s="556"/>
      <c r="AC720" s="556"/>
      <c r="AD720" s="74"/>
      <c r="AE720" s="74"/>
      <c r="AF720" s="74"/>
      <c r="AG720" s="74"/>
      <c r="AH720" s="74"/>
      <c r="AI720" s="74"/>
      <c r="AJ720" s="74"/>
      <c r="AK720" s="74"/>
      <c r="AL720" s="74"/>
      <c r="AM720" s="74"/>
      <c r="AN720" s="74"/>
      <c r="AO720" s="74"/>
      <c r="AP720" s="74"/>
      <c r="AQ720" s="74"/>
      <c r="AR720" s="74"/>
      <c r="AS720" s="565"/>
      <c r="AT720" s="556"/>
    </row>
    <row r="721" spans="1:46" hidden="1" x14ac:dyDescent="0.45">
      <c r="A721" s="556"/>
      <c r="B721" s="556"/>
      <c r="C721" s="556"/>
      <c r="D721" s="556"/>
      <c r="E721" s="556"/>
      <c r="F721" s="564"/>
      <c r="G721" s="564"/>
      <c r="H721" s="564"/>
      <c r="I721" s="564"/>
      <c r="J721" s="564"/>
      <c r="K721" s="564"/>
      <c r="L721" s="564"/>
      <c r="M721" s="564"/>
      <c r="N721" s="564"/>
      <c r="O721" s="564"/>
      <c r="P721" s="564"/>
      <c r="Q721" s="564"/>
      <c r="R721" s="564"/>
      <c r="S721" s="564"/>
      <c r="T721" s="564"/>
      <c r="U721" s="564"/>
      <c r="V721" s="564"/>
      <c r="W721" s="564"/>
      <c r="X721" s="564"/>
      <c r="Y721" s="564"/>
      <c r="Z721" s="564"/>
      <c r="AA721" s="564"/>
      <c r="AB721" s="556"/>
      <c r="AC721" s="556"/>
      <c r="AD721" s="74"/>
      <c r="AE721" s="74"/>
      <c r="AF721" s="74"/>
      <c r="AG721" s="74"/>
      <c r="AH721" s="74"/>
      <c r="AI721" s="74"/>
      <c r="AJ721" s="74"/>
      <c r="AK721" s="74"/>
      <c r="AL721" s="74"/>
      <c r="AM721" s="74"/>
      <c r="AN721" s="74"/>
      <c r="AO721" s="74"/>
      <c r="AP721" s="74"/>
      <c r="AQ721" s="74"/>
      <c r="AR721" s="74"/>
      <c r="AS721" s="565"/>
      <c r="AT721" s="556"/>
    </row>
    <row r="722" spans="1:46" hidden="1" x14ac:dyDescent="0.45">
      <c r="A722" s="556"/>
      <c r="B722" s="556"/>
      <c r="C722" s="556"/>
      <c r="D722" s="556"/>
      <c r="E722" s="556"/>
      <c r="F722" s="564"/>
      <c r="G722" s="564"/>
      <c r="H722" s="564"/>
      <c r="I722" s="564"/>
      <c r="J722" s="564"/>
      <c r="K722" s="564"/>
      <c r="L722" s="564"/>
      <c r="M722" s="564"/>
      <c r="N722" s="564"/>
      <c r="O722" s="564"/>
      <c r="P722" s="564"/>
      <c r="Q722" s="564"/>
      <c r="R722" s="564"/>
      <c r="S722" s="564"/>
      <c r="T722" s="564"/>
      <c r="U722" s="564"/>
      <c r="V722" s="564"/>
      <c r="W722" s="564"/>
      <c r="X722" s="564"/>
      <c r="Y722" s="564"/>
      <c r="Z722" s="564"/>
      <c r="AA722" s="564"/>
      <c r="AB722" s="556"/>
      <c r="AC722" s="556"/>
      <c r="AD722" s="74"/>
      <c r="AE722" s="74"/>
      <c r="AF722" s="74"/>
      <c r="AG722" s="74"/>
      <c r="AH722" s="74"/>
      <c r="AI722" s="74"/>
      <c r="AJ722" s="74"/>
      <c r="AK722" s="74"/>
      <c r="AL722" s="74"/>
      <c r="AM722" s="74"/>
      <c r="AN722" s="74"/>
      <c r="AO722" s="74"/>
      <c r="AP722" s="74"/>
      <c r="AQ722" s="74"/>
      <c r="AR722" s="74"/>
      <c r="AS722" s="565"/>
      <c r="AT722" s="556"/>
    </row>
    <row r="723" spans="1:46" hidden="1" x14ac:dyDescent="0.45">
      <c r="A723" s="556"/>
      <c r="B723" s="556"/>
      <c r="C723" s="556"/>
      <c r="D723" s="556"/>
      <c r="E723" s="556"/>
      <c r="F723" s="564"/>
      <c r="G723" s="564"/>
      <c r="H723" s="564"/>
      <c r="I723" s="564"/>
      <c r="J723" s="564"/>
      <c r="K723" s="564"/>
      <c r="L723" s="564"/>
      <c r="M723" s="564"/>
      <c r="N723" s="564"/>
      <c r="O723" s="564"/>
      <c r="P723" s="564"/>
      <c r="Q723" s="564"/>
      <c r="R723" s="564"/>
      <c r="S723" s="564"/>
      <c r="T723" s="564"/>
      <c r="U723" s="564"/>
      <c r="V723" s="564"/>
      <c r="W723" s="564"/>
      <c r="X723" s="564"/>
      <c r="Y723" s="564"/>
      <c r="Z723" s="564"/>
      <c r="AA723" s="564"/>
      <c r="AB723" s="556"/>
      <c r="AC723" s="556"/>
      <c r="AD723" s="74"/>
      <c r="AE723" s="74"/>
      <c r="AF723" s="74"/>
      <c r="AG723" s="74"/>
      <c r="AH723" s="74"/>
      <c r="AI723" s="74"/>
      <c r="AJ723" s="74"/>
      <c r="AK723" s="74"/>
      <c r="AL723" s="74"/>
      <c r="AM723" s="74"/>
      <c r="AN723" s="74"/>
      <c r="AO723" s="74"/>
      <c r="AP723" s="74"/>
      <c r="AQ723" s="74"/>
      <c r="AR723" s="74"/>
      <c r="AS723" s="565"/>
      <c r="AT723" s="556"/>
    </row>
    <row r="724" spans="1:46" hidden="1" x14ac:dyDescent="0.45">
      <c r="A724" s="556"/>
      <c r="B724" s="556"/>
      <c r="C724" s="556"/>
      <c r="D724" s="556"/>
      <c r="E724" s="556"/>
      <c r="F724" s="564"/>
      <c r="G724" s="564"/>
      <c r="H724" s="564"/>
      <c r="I724" s="564"/>
      <c r="J724" s="564"/>
      <c r="K724" s="564"/>
      <c r="L724" s="564"/>
      <c r="M724" s="564"/>
      <c r="N724" s="564"/>
      <c r="O724" s="564"/>
      <c r="P724" s="564"/>
      <c r="Q724" s="564"/>
      <c r="R724" s="564"/>
      <c r="S724" s="564"/>
      <c r="T724" s="564"/>
      <c r="U724" s="564"/>
      <c r="V724" s="564"/>
      <c r="W724" s="564"/>
      <c r="X724" s="564"/>
      <c r="Y724" s="564"/>
      <c r="Z724" s="564"/>
      <c r="AA724" s="564"/>
      <c r="AB724" s="556"/>
      <c r="AC724" s="556"/>
      <c r="AD724" s="74"/>
      <c r="AE724" s="74"/>
      <c r="AF724" s="74"/>
      <c r="AG724" s="74"/>
      <c r="AH724" s="74"/>
      <c r="AI724" s="74"/>
      <c r="AJ724" s="74"/>
      <c r="AK724" s="74"/>
      <c r="AL724" s="74"/>
      <c r="AM724" s="74"/>
      <c r="AN724" s="74"/>
      <c r="AO724" s="74"/>
      <c r="AP724" s="74"/>
      <c r="AQ724" s="74"/>
      <c r="AR724" s="74"/>
      <c r="AS724" s="565"/>
      <c r="AT724" s="556"/>
    </row>
    <row r="725" spans="1:46" hidden="1" x14ac:dyDescent="0.45">
      <c r="A725" s="556"/>
      <c r="B725" s="556"/>
      <c r="C725" s="556"/>
      <c r="D725" s="556"/>
      <c r="E725" s="556"/>
      <c r="F725" s="564"/>
      <c r="G725" s="564"/>
      <c r="H725" s="564"/>
      <c r="I725" s="564"/>
      <c r="J725" s="564"/>
      <c r="K725" s="564"/>
      <c r="L725" s="564"/>
      <c r="M725" s="564"/>
      <c r="N725" s="564"/>
      <c r="O725" s="564"/>
      <c r="P725" s="564"/>
      <c r="Q725" s="564"/>
      <c r="R725" s="564"/>
      <c r="S725" s="564"/>
      <c r="T725" s="564"/>
      <c r="U725" s="564"/>
      <c r="V725" s="564"/>
      <c r="W725" s="564"/>
      <c r="X725" s="564"/>
      <c r="Y725" s="564"/>
      <c r="Z725" s="564"/>
      <c r="AA725" s="564"/>
      <c r="AB725" s="556"/>
      <c r="AC725" s="556"/>
      <c r="AD725" s="74"/>
      <c r="AE725" s="74"/>
      <c r="AF725" s="74"/>
      <c r="AG725" s="74"/>
      <c r="AH725" s="74"/>
      <c r="AI725" s="74"/>
      <c r="AJ725" s="74"/>
      <c r="AK725" s="74"/>
      <c r="AL725" s="74"/>
      <c r="AM725" s="74"/>
      <c r="AN725" s="74"/>
      <c r="AO725" s="74"/>
      <c r="AP725" s="74"/>
      <c r="AQ725" s="74"/>
      <c r="AR725" s="74"/>
      <c r="AS725" s="565"/>
      <c r="AT725" s="556"/>
    </row>
    <row r="726" spans="1:46" hidden="1" x14ac:dyDescent="0.45">
      <c r="A726" s="556"/>
      <c r="B726" s="556"/>
      <c r="C726" s="556"/>
      <c r="D726" s="556"/>
      <c r="E726" s="556"/>
      <c r="F726" s="564"/>
      <c r="G726" s="564"/>
      <c r="H726" s="564"/>
      <c r="I726" s="564"/>
      <c r="J726" s="564"/>
      <c r="K726" s="564"/>
      <c r="L726" s="564"/>
      <c r="M726" s="564"/>
      <c r="N726" s="564"/>
      <c r="O726" s="564"/>
      <c r="P726" s="564"/>
      <c r="Q726" s="564"/>
      <c r="R726" s="564"/>
      <c r="S726" s="564"/>
      <c r="T726" s="564"/>
      <c r="U726" s="564"/>
      <c r="V726" s="564"/>
      <c r="W726" s="564"/>
      <c r="X726" s="564"/>
      <c r="Y726" s="564"/>
      <c r="Z726" s="564"/>
      <c r="AA726" s="564"/>
      <c r="AB726" s="556"/>
      <c r="AC726" s="556"/>
      <c r="AD726" s="74"/>
      <c r="AE726" s="74"/>
      <c r="AF726" s="74"/>
      <c r="AG726" s="74"/>
      <c r="AH726" s="74"/>
      <c r="AI726" s="74"/>
      <c r="AJ726" s="74"/>
      <c r="AK726" s="74"/>
      <c r="AL726" s="74"/>
      <c r="AM726" s="74"/>
      <c r="AN726" s="74"/>
      <c r="AO726" s="74"/>
      <c r="AP726" s="74"/>
      <c r="AQ726" s="74"/>
      <c r="AR726" s="74"/>
      <c r="AS726" s="565"/>
      <c r="AT726" s="556"/>
    </row>
    <row r="727" spans="1:46" hidden="1" x14ac:dyDescent="0.45">
      <c r="A727" s="556"/>
      <c r="B727" s="556"/>
      <c r="C727" s="556"/>
      <c r="D727" s="556"/>
      <c r="E727" s="556"/>
      <c r="F727" s="564"/>
      <c r="G727" s="564"/>
      <c r="H727" s="564"/>
      <c r="I727" s="564"/>
      <c r="J727" s="564"/>
      <c r="K727" s="564"/>
      <c r="L727" s="564"/>
      <c r="M727" s="564"/>
      <c r="N727" s="564"/>
      <c r="O727" s="564"/>
      <c r="P727" s="564"/>
      <c r="Q727" s="564"/>
      <c r="R727" s="564"/>
      <c r="S727" s="564"/>
      <c r="T727" s="564"/>
      <c r="U727" s="564"/>
      <c r="V727" s="564"/>
      <c r="W727" s="564"/>
      <c r="X727" s="564"/>
      <c r="Y727" s="564"/>
      <c r="Z727" s="564"/>
      <c r="AA727" s="564"/>
      <c r="AB727" s="556"/>
      <c r="AC727" s="556"/>
      <c r="AD727" s="74"/>
      <c r="AE727" s="74"/>
      <c r="AF727" s="74"/>
      <c r="AG727" s="74"/>
      <c r="AH727" s="74"/>
      <c r="AI727" s="74"/>
      <c r="AJ727" s="74"/>
      <c r="AK727" s="74"/>
      <c r="AL727" s="74"/>
      <c r="AM727" s="74"/>
      <c r="AN727" s="74"/>
      <c r="AO727" s="74"/>
      <c r="AP727" s="74"/>
      <c r="AQ727" s="74"/>
      <c r="AR727" s="74"/>
      <c r="AS727" s="565"/>
      <c r="AT727" s="556"/>
    </row>
    <row r="728" spans="1:46" hidden="1" x14ac:dyDescent="0.45">
      <c r="A728" s="556"/>
      <c r="B728" s="556"/>
      <c r="C728" s="556"/>
      <c r="D728" s="556"/>
      <c r="E728" s="556"/>
      <c r="F728" s="564"/>
      <c r="G728" s="564"/>
      <c r="H728" s="564"/>
      <c r="I728" s="564"/>
      <c r="J728" s="564"/>
      <c r="K728" s="564"/>
      <c r="L728" s="564"/>
      <c r="M728" s="564"/>
      <c r="N728" s="564"/>
      <c r="O728" s="564"/>
      <c r="P728" s="564"/>
      <c r="Q728" s="564"/>
      <c r="R728" s="564"/>
      <c r="S728" s="564"/>
      <c r="T728" s="564"/>
      <c r="U728" s="564"/>
      <c r="V728" s="564"/>
      <c r="W728" s="564"/>
      <c r="X728" s="564"/>
      <c r="Y728" s="564"/>
      <c r="Z728" s="564"/>
      <c r="AA728" s="564"/>
      <c r="AB728" s="556"/>
      <c r="AC728" s="556"/>
      <c r="AD728" s="74"/>
      <c r="AE728" s="74"/>
      <c r="AF728" s="74"/>
      <c r="AG728" s="74"/>
      <c r="AH728" s="74"/>
      <c r="AI728" s="74"/>
      <c r="AJ728" s="74"/>
      <c r="AK728" s="74"/>
      <c r="AL728" s="74"/>
      <c r="AM728" s="74"/>
      <c r="AN728" s="74"/>
      <c r="AO728" s="74"/>
      <c r="AP728" s="74"/>
      <c r="AQ728" s="74"/>
      <c r="AR728" s="74"/>
      <c r="AS728" s="565"/>
      <c r="AT728" s="556"/>
    </row>
    <row r="729" spans="1:46" hidden="1" x14ac:dyDescent="0.45">
      <c r="A729" s="556"/>
      <c r="B729" s="556"/>
      <c r="C729" s="556"/>
      <c r="D729" s="556"/>
      <c r="E729" s="556"/>
      <c r="F729" s="564"/>
      <c r="G729" s="564"/>
      <c r="H729" s="564"/>
      <c r="I729" s="564"/>
      <c r="J729" s="564"/>
      <c r="K729" s="564"/>
      <c r="L729" s="564"/>
      <c r="M729" s="564"/>
      <c r="N729" s="564"/>
      <c r="O729" s="564"/>
      <c r="P729" s="564"/>
      <c r="Q729" s="564"/>
      <c r="R729" s="564"/>
      <c r="S729" s="564"/>
      <c r="T729" s="564"/>
      <c r="U729" s="564"/>
      <c r="V729" s="564"/>
      <c r="W729" s="564"/>
      <c r="X729" s="564"/>
      <c r="Y729" s="564"/>
      <c r="Z729" s="564"/>
      <c r="AA729" s="564"/>
      <c r="AB729" s="556"/>
      <c r="AC729" s="556"/>
      <c r="AD729" s="74"/>
      <c r="AE729" s="74"/>
      <c r="AF729" s="74"/>
      <c r="AG729" s="74"/>
      <c r="AH729" s="74"/>
      <c r="AI729" s="74"/>
      <c r="AJ729" s="74"/>
      <c r="AK729" s="74"/>
      <c r="AL729" s="74"/>
      <c r="AM729" s="74"/>
      <c r="AN729" s="74"/>
      <c r="AO729" s="74"/>
      <c r="AP729" s="74"/>
      <c r="AQ729" s="74"/>
      <c r="AR729" s="74"/>
      <c r="AS729" s="565"/>
      <c r="AT729" s="556"/>
    </row>
    <row r="730" spans="1:46" hidden="1" x14ac:dyDescent="0.45">
      <c r="A730" s="556"/>
      <c r="B730" s="556"/>
      <c r="C730" s="556"/>
      <c r="D730" s="556"/>
      <c r="E730" s="556"/>
      <c r="F730" s="564"/>
      <c r="G730" s="564"/>
      <c r="H730" s="564"/>
      <c r="I730" s="564"/>
      <c r="J730" s="564"/>
      <c r="K730" s="564"/>
      <c r="L730" s="564"/>
      <c r="M730" s="564"/>
      <c r="N730" s="564"/>
      <c r="O730" s="564"/>
      <c r="P730" s="564"/>
      <c r="Q730" s="564"/>
      <c r="R730" s="564"/>
      <c r="S730" s="564"/>
      <c r="T730" s="564"/>
      <c r="U730" s="564"/>
      <c r="V730" s="564"/>
      <c r="W730" s="564"/>
      <c r="X730" s="564"/>
      <c r="Y730" s="564"/>
      <c r="Z730" s="564"/>
      <c r="AA730" s="564"/>
      <c r="AB730" s="556"/>
      <c r="AC730" s="556"/>
      <c r="AD730" s="74"/>
      <c r="AE730" s="74"/>
      <c r="AF730" s="74"/>
      <c r="AG730" s="74"/>
      <c r="AH730" s="74"/>
      <c r="AI730" s="74"/>
      <c r="AJ730" s="74"/>
      <c r="AK730" s="74"/>
      <c r="AL730" s="74"/>
      <c r="AM730" s="74"/>
      <c r="AN730" s="74"/>
      <c r="AO730" s="74"/>
      <c r="AP730" s="74"/>
      <c r="AQ730" s="74"/>
      <c r="AR730" s="74"/>
      <c r="AS730" s="565"/>
      <c r="AT730" s="556"/>
    </row>
    <row r="731" spans="1:46" hidden="1" x14ac:dyDescent="0.45">
      <c r="A731" s="556"/>
      <c r="B731" s="556"/>
      <c r="C731" s="556"/>
      <c r="D731" s="556"/>
      <c r="E731" s="556"/>
      <c r="F731" s="564"/>
      <c r="G731" s="564"/>
      <c r="H731" s="564"/>
      <c r="I731" s="564"/>
      <c r="J731" s="564"/>
      <c r="K731" s="564"/>
      <c r="L731" s="564"/>
      <c r="M731" s="564"/>
      <c r="N731" s="564"/>
      <c r="O731" s="564"/>
      <c r="P731" s="564"/>
      <c r="Q731" s="564"/>
      <c r="R731" s="564"/>
      <c r="S731" s="564"/>
      <c r="T731" s="564"/>
      <c r="U731" s="564"/>
      <c r="V731" s="564"/>
      <c r="W731" s="564"/>
      <c r="X731" s="564"/>
      <c r="Y731" s="564"/>
      <c r="Z731" s="564"/>
      <c r="AA731" s="564"/>
      <c r="AB731" s="556"/>
      <c r="AC731" s="556"/>
      <c r="AD731" s="74"/>
      <c r="AE731" s="74"/>
      <c r="AF731" s="74"/>
      <c r="AG731" s="74"/>
      <c r="AH731" s="74"/>
      <c r="AI731" s="74"/>
      <c r="AJ731" s="74"/>
      <c r="AK731" s="74"/>
      <c r="AL731" s="74"/>
      <c r="AM731" s="74"/>
      <c r="AN731" s="74"/>
      <c r="AO731" s="74"/>
      <c r="AP731" s="74"/>
      <c r="AQ731" s="74"/>
      <c r="AR731" s="74"/>
      <c r="AS731" s="565"/>
      <c r="AT731" s="556"/>
    </row>
    <row r="732" spans="1:46" hidden="1" x14ac:dyDescent="0.45">
      <c r="A732" s="556"/>
      <c r="B732" s="556"/>
      <c r="C732" s="556"/>
      <c r="D732" s="556"/>
      <c r="E732" s="556"/>
      <c r="F732" s="564"/>
      <c r="G732" s="564"/>
      <c r="H732" s="564"/>
      <c r="I732" s="564"/>
      <c r="J732" s="564"/>
      <c r="K732" s="564"/>
      <c r="L732" s="564"/>
      <c r="M732" s="564"/>
      <c r="N732" s="564"/>
      <c r="O732" s="564"/>
      <c r="P732" s="564"/>
      <c r="Q732" s="564"/>
      <c r="R732" s="564"/>
      <c r="S732" s="564"/>
      <c r="T732" s="564"/>
      <c r="U732" s="564"/>
      <c r="V732" s="564"/>
      <c r="W732" s="564"/>
      <c r="X732" s="564"/>
      <c r="Y732" s="564"/>
      <c r="Z732" s="564"/>
      <c r="AA732" s="564"/>
      <c r="AB732" s="556"/>
      <c r="AC732" s="556"/>
      <c r="AD732" s="74"/>
      <c r="AE732" s="74"/>
      <c r="AF732" s="74"/>
      <c r="AG732" s="74"/>
      <c r="AH732" s="74"/>
      <c r="AI732" s="74"/>
      <c r="AJ732" s="74"/>
      <c r="AK732" s="74"/>
      <c r="AL732" s="74"/>
      <c r="AM732" s="74"/>
      <c r="AN732" s="74"/>
      <c r="AO732" s="74"/>
      <c r="AP732" s="74"/>
      <c r="AQ732" s="74"/>
      <c r="AR732" s="74"/>
      <c r="AS732" s="565"/>
      <c r="AT732" s="556"/>
    </row>
    <row r="733" spans="1:46" hidden="1" x14ac:dyDescent="0.45">
      <c r="A733" s="556"/>
      <c r="B733" s="556"/>
      <c r="C733" s="556"/>
      <c r="D733" s="556"/>
      <c r="E733" s="556"/>
      <c r="F733" s="564"/>
      <c r="G733" s="564"/>
      <c r="H733" s="564"/>
      <c r="I733" s="564"/>
      <c r="J733" s="564"/>
      <c r="K733" s="564"/>
      <c r="L733" s="564"/>
      <c r="M733" s="564"/>
      <c r="N733" s="564"/>
      <c r="O733" s="564"/>
      <c r="P733" s="564"/>
      <c r="Q733" s="564"/>
      <c r="R733" s="564"/>
      <c r="S733" s="564"/>
      <c r="T733" s="564"/>
      <c r="U733" s="564"/>
      <c r="V733" s="564"/>
      <c r="W733" s="564"/>
      <c r="X733" s="564"/>
      <c r="Y733" s="564"/>
      <c r="Z733" s="564"/>
      <c r="AA733" s="564"/>
      <c r="AB733" s="556"/>
      <c r="AC733" s="556"/>
      <c r="AD733" s="74"/>
      <c r="AE733" s="74"/>
      <c r="AF733" s="74"/>
      <c r="AG733" s="74"/>
      <c r="AH733" s="74"/>
      <c r="AI733" s="74"/>
      <c r="AJ733" s="74"/>
      <c r="AK733" s="74"/>
      <c r="AL733" s="74"/>
      <c r="AM733" s="74"/>
      <c r="AN733" s="74"/>
      <c r="AO733" s="74"/>
      <c r="AP733" s="74"/>
      <c r="AQ733" s="74"/>
      <c r="AR733" s="74"/>
      <c r="AS733" s="565"/>
      <c r="AT733" s="556"/>
    </row>
    <row r="734" spans="1:46" hidden="1" x14ac:dyDescent="0.45">
      <c r="A734" s="556"/>
      <c r="B734" s="556"/>
      <c r="C734" s="556"/>
      <c r="D734" s="556"/>
      <c r="E734" s="556"/>
      <c r="F734" s="564"/>
      <c r="G734" s="564"/>
      <c r="H734" s="564"/>
      <c r="I734" s="564"/>
      <c r="J734" s="564"/>
      <c r="K734" s="564"/>
      <c r="L734" s="564"/>
      <c r="M734" s="564"/>
      <c r="N734" s="564"/>
      <c r="O734" s="564"/>
      <c r="P734" s="564"/>
      <c r="Q734" s="564"/>
      <c r="R734" s="564"/>
      <c r="S734" s="564"/>
      <c r="T734" s="564"/>
      <c r="U734" s="564"/>
      <c r="V734" s="564"/>
      <c r="W734" s="564"/>
      <c r="X734" s="564"/>
      <c r="Y734" s="564"/>
      <c r="Z734" s="564"/>
      <c r="AA734" s="564"/>
      <c r="AB734" s="556"/>
      <c r="AC734" s="556"/>
      <c r="AD734" s="74"/>
      <c r="AE734" s="74"/>
      <c r="AF734" s="74"/>
      <c r="AG734" s="74"/>
      <c r="AH734" s="74"/>
      <c r="AI734" s="74"/>
      <c r="AJ734" s="74"/>
      <c r="AK734" s="74"/>
      <c r="AL734" s="74"/>
      <c r="AM734" s="74"/>
      <c r="AN734" s="74"/>
      <c r="AO734" s="74"/>
      <c r="AP734" s="74"/>
      <c r="AQ734" s="74"/>
      <c r="AR734" s="74"/>
      <c r="AS734" s="565"/>
      <c r="AT734" s="556"/>
    </row>
    <row r="735" spans="1:46" hidden="1" x14ac:dyDescent="0.45">
      <c r="A735" s="556"/>
      <c r="B735" s="556"/>
      <c r="C735" s="556"/>
      <c r="D735" s="556"/>
      <c r="E735" s="556"/>
      <c r="F735" s="564"/>
      <c r="G735" s="564"/>
      <c r="H735" s="564"/>
      <c r="I735" s="564"/>
      <c r="J735" s="564"/>
      <c r="K735" s="564"/>
      <c r="L735" s="564"/>
      <c r="M735" s="564"/>
      <c r="N735" s="564"/>
      <c r="O735" s="564"/>
      <c r="P735" s="564"/>
      <c r="Q735" s="564"/>
      <c r="R735" s="564"/>
      <c r="S735" s="564"/>
      <c r="T735" s="564"/>
      <c r="U735" s="564"/>
      <c r="V735" s="564"/>
      <c r="W735" s="564"/>
      <c r="X735" s="564"/>
      <c r="Y735" s="564"/>
      <c r="Z735" s="564"/>
      <c r="AA735" s="564"/>
      <c r="AB735" s="556"/>
      <c r="AC735" s="556"/>
      <c r="AD735" s="74"/>
      <c r="AE735" s="74"/>
      <c r="AF735" s="74"/>
      <c r="AG735" s="74"/>
      <c r="AH735" s="74"/>
      <c r="AI735" s="74"/>
      <c r="AJ735" s="74"/>
      <c r="AK735" s="74"/>
      <c r="AL735" s="74"/>
      <c r="AM735" s="74"/>
      <c r="AN735" s="74"/>
      <c r="AO735" s="74"/>
      <c r="AP735" s="74"/>
      <c r="AQ735" s="74"/>
      <c r="AR735" s="74"/>
      <c r="AS735" s="565"/>
      <c r="AT735" s="556"/>
    </row>
    <row r="736" spans="1:46" hidden="1" x14ac:dyDescent="0.45">
      <c r="A736" s="556"/>
      <c r="B736" s="556"/>
      <c r="C736" s="556"/>
      <c r="D736" s="556"/>
      <c r="E736" s="556"/>
      <c r="F736" s="564"/>
      <c r="G736" s="564"/>
      <c r="H736" s="564"/>
      <c r="I736" s="564"/>
      <c r="J736" s="564"/>
      <c r="K736" s="564"/>
      <c r="L736" s="564"/>
      <c r="M736" s="564"/>
      <c r="N736" s="564"/>
      <c r="O736" s="564"/>
      <c r="P736" s="564"/>
      <c r="Q736" s="564"/>
      <c r="R736" s="564"/>
      <c r="S736" s="564"/>
      <c r="T736" s="564"/>
      <c r="U736" s="564"/>
      <c r="V736" s="564"/>
      <c r="W736" s="564"/>
      <c r="X736" s="564"/>
      <c r="Y736" s="564"/>
      <c r="Z736" s="564"/>
      <c r="AA736" s="564"/>
      <c r="AB736" s="556"/>
      <c r="AC736" s="556"/>
      <c r="AD736" s="74"/>
      <c r="AE736" s="74"/>
      <c r="AF736" s="74"/>
      <c r="AG736" s="74"/>
      <c r="AH736" s="74"/>
      <c r="AI736" s="74"/>
      <c r="AJ736" s="74"/>
      <c r="AK736" s="74"/>
      <c r="AL736" s="74"/>
      <c r="AM736" s="74"/>
      <c r="AN736" s="74"/>
      <c r="AO736" s="74"/>
      <c r="AP736" s="74"/>
      <c r="AQ736" s="74"/>
      <c r="AR736" s="74"/>
      <c r="AS736" s="565"/>
      <c r="AT736" s="556"/>
    </row>
    <row r="737" spans="1:46" hidden="1" x14ac:dyDescent="0.45">
      <c r="A737" s="556"/>
      <c r="B737" s="556"/>
      <c r="C737" s="556"/>
      <c r="D737" s="556"/>
      <c r="E737" s="556"/>
      <c r="F737" s="564"/>
      <c r="G737" s="564"/>
      <c r="H737" s="564"/>
      <c r="I737" s="564"/>
      <c r="J737" s="564"/>
      <c r="K737" s="564"/>
      <c r="L737" s="564"/>
      <c r="M737" s="564"/>
      <c r="N737" s="564"/>
      <c r="O737" s="564"/>
      <c r="P737" s="564"/>
      <c r="Q737" s="564"/>
      <c r="R737" s="564"/>
      <c r="S737" s="564"/>
      <c r="T737" s="564"/>
      <c r="U737" s="564"/>
      <c r="V737" s="564"/>
      <c r="W737" s="564"/>
      <c r="X737" s="564"/>
      <c r="Y737" s="564"/>
      <c r="Z737" s="564"/>
      <c r="AA737" s="564"/>
      <c r="AB737" s="556"/>
      <c r="AC737" s="556"/>
      <c r="AD737" s="74"/>
      <c r="AE737" s="74"/>
      <c r="AF737" s="74"/>
      <c r="AG737" s="74"/>
      <c r="AH737" s="74"/>
      <c r="AI737" s="74"/>
      <c r="AJ737" s="74"/>
      <c r="AK737" s="74"/>
      <c r="AL737" s="74"/>
      <c r="AM737" s="74"/>
      <c r="AN737" s="74"/>
      <c r="AO737" s="74"/>
      <c r="AP737" s="74"/>
      <c r="AQ737" s="74"/>
      <c r="AR737" s="74"/>
      <c r="AS737" s="565"/>
      <c r="AT737" s="556"/>
    </row>
    <row r="738" spans="1:46" hidden="1" x14ac:dyDescent="0.45">
      <c r="A738" s="556"/>
      <c r="B738" s="556"/>
      <c r="C738" s="556"/>
      <c r="D738" s="556"/>
      <c r="E738" s="556"/>
      <c r="F738" s="564"/>
      <c r="G738" s="564"/>
      <c r="H738" s="564"/>
      <c r="I738" s="564"/>
      <c r="J738" s="564"/>
      <c r="K738" s="564"/>
      <c r="L738" s="564"/>
      <c r="M738" s="564"/>
      <c r="N738" s="564"/>
      <c r="O738" s="564"/>
      <c r="P738" s="564"/>
      <c r="Q738" s="564"/>
      <c r="R738" s="564"/>
      <c r="S738" s="564"/>
      <c r="T738" s="564"/>
      <c r="U738" s="564"/>
      <c r="V738" s="564"/>
      <c r="W738" s="564"/>
      <c r="X738" s="564"/>
      <c r="Y738" s="564"/>
      <c r="Z738" s="564"/>
      <c r="AA738" s="564"/>
      <c r="AB738" s="556"/>
      <c r="AC738" s="556"/>
      <c r="AD738" s="74"/>
      <c r="AE738" s="74"/>
      <c r="AF738" s="74"/>
      <c r="AG738" s="74"/>
      <c r="AH738" s="74"/>
      <c r="AI738" s="74"/>
      <c r="AJ738" s="74"/>
      <c r="AK738" s="74"/>
      <c r="AL738" s="74"/>
      <c r="AM738" s="74"/>
      <c r="AN738" s="74"/>
      <c r="AO738" s="74"/>
      <c r="AP738" s="74"/>
      <c r="AQ738" s="74"/>
      <c r="AR738" s="74"/>
      <c r="AS738" s="565"/>
      <c r="AT738" s="556"/>
    </row>
    <row r="739" spans="1:46" hidden="1" x14ac:dyDescent="0.45">
      <c r="A739" s="556"/>
      <c r="B739" s="556"/>
      <c r="C739" s="556"/>
      <c r="D739" s="556"/>
      <c r="E739" s="556"/>
      <c r="F739" s="564"/>
      <c r="G739" s="564"/>
      <c r="H739" s="564"/>
      <c r="I739" s="564"/>
      <c r="J739" s="564"/>
      <c r="K739" s="564"/>
      <c r="L739" s="564"/>
      <c r="M739" s="564"/>
      <c r="N739" s="564"/>
      <c r="O739" s="564"/>
      <c r="P739" s="564"/>
      <c r="Q739" s="564"/>
      <c r="R739" s="564"/>
      <c r="S739" s="564"/>
      <c r="T739" s="564"/>
      <c r="U739" s="564"/>
      <c r="V739" s="564"/>
      <c r="W739" s="564"/>
      <c r="X739" s="564"/>
      <c r="Y739" s="564"/>
      <c r="Z739" s="564"/>
      <c r="AA739" s="564"/>
      <c r="AB739" s="556"/>
      <c r="AC739" s="556"/>
      <c r="AD739" s="74"/>
      <c r="AE739" s="74"/>
      <c r="AF739" s="74"/>
      <c r="AG739" s="74"/>
      <c r="AH739" s="74"/>
      <c r="AI739" s="74"/>
      <c r="AJ739" s="74"/>
      <c r="AK739" s="74"/>
      <c r="AL739" s="74"/>
      <c r="AM739" s="74"/>
      <c r="AN739" s="74"/>
      <c r="AO739" s="74"/>
      <c r="AP739" s="74"/>
      <c r="AQ739" s="74"/>
      <c r="AR739" s="74"/>
      <c r="AS739" s="565"/>
      <c r="AT739" s="556"/>
    </row>
    <row r="740" spans="1:46" hidden="1" x14ac:dyDescent="0.45">
      <c r="A740" s="556"/>
      <c r="B740" s="556"/>
      <c r="C740" s="556"/>
      <c r="D740" s="556"/>
      <c r="E740" s="556"/>
      <c r="F740" s="564"/>
      <c r="G740" s="564"/>
      <c r="H740" s="564"/>
      <c r="I740" s="564"/>
      <c r="J740" s="564"/>
      <c r="K740" s="564"/>
      <c r="L740" s="564"/>
      <c r="M740" s="564"/>
      <c r="N740" s="564"/>
      <c r="O740" s="564"/>
      <c r="P740" s="564"/>
      <c r="Q740" s="564"/>
      <c r="R740" s="564"/>
      <c r="S740" s="564"/>
      <c r="T740" s="564"/>
      <c r="U740" s="564"/>
      <c r="V740" s="564"/>
      <c r="W740" s="564"/>
      <c r="X740" s="564"/>
      <c r="Y740" s="564"/>
      <c r="Z740" s="564"/>
      <c r="AA740" s="564"/>
      <c r="AB740" s="556"/>
      <c r="AC740" s="556"/>
      <c r="AD740" s="74"/>
      <c r="AE740" s="74"/>
      <c r="AF740" s="74"/>
      <c r="AG740" s="74"/>
      <c r="AH740" s="74"/>
      <c r="AI740" s="74"/>
      <c r="AJ740" s="74"/>
      <c r="AK740" s="74"/>
      <c r="AL740" s="74"/>
      <c r="AM740" s="74"/>
      <c r="AN740" s="74"/>
      <c r="AO740" s="74"/>
      <c r="AP740" s="74"/>
      <c r="AQ740" s="74"/>
      <c r="AR740" s="74"/>
      <c r="AS740" s="565"/>
      <c r="AT740" s="556"/>
    </row>
    <row r="741" spans="1:46" hidden="1" x14ac:dyDescent="0.45">
      <c r="A741" s="556"/>
      <c r="B741" s="556"/>
      <c r="C741" s="556"/>
      <c r="D741" s="556"/>
      <c r="E741" s="556"/>
      <c r="F741" s="564"/>
      <c r="G741" s="564"/>
      <c r="H741" s="564"/>
      <c r="I741" s="564"/>
      <c r="J741" s="564"/>
      <c r="K741" s="564"/>
      <c r="L741" s="564"/>
      <c r="M741" s="564"/>
      <c r="N741" s="564"/>
      <c r="O741" s="564"/>
      <c r="P741" s="564"/>
      <c r="Q741" s="564"/>
      <c r="R741" s="564"/>
      <c r="S741" s="564"/>
      <c r="T741" s="564"/>
      <c r="U741" s="564"/>
      <c r="V741" s="564"/>
      <c r="W741" s="564"/>
      <c r="X741" s="564"/>
      <c r="Y741" s="564"/>
      <c r="Z741" s="564"/>
      <c r="AA741" s="564"/>
      <c r="AB741" s="556"/>
      <c r="AC741" s="556"/>
      <c r="AD741" s="74"/>
      <c r="AE741" s="74"/>
      <c r="AF741" s="74"/>
      <c r="AG741" s="74"/>
      <c r="AH741" s="74"/>
      <c r="AI741" s="74"/>
      <c r="AJ741" s="74"/>
      <c r="AK741" s="74"/>
      <c r="AL741" s="74"/>
      <c r="AM741" s="74"/>
      <c r="AN741" s="74"/>
      <c r="AO741" s="74"/>
      <c r="AP741" s="74"/>
      <c r="AQ741" s="74"/>
      <c r="AR741" s="74"/>
      <c r="AS741" s="565"/>
      <c r="AT741" s="556"/>
    </row>
    <row r="742" spans="1:46" hidden="1" x14ac:dyDescent="0.45">
      <c r="A742" s="556"/>
      <c r="B742" s="556"/>
      <c r="C742" s="556"/>
      <c r="D742" s="556"/>
      <c r="E742" s="556"/>
      <c r="F742" s="564"/>
      <c r="G742" s="564"/>
      <c r="H742" s="564"/>
      <c r="I742" s="564"/>
      <c r="J742" s="564"/>
      <c r="K742" s="564"/>
      <c r="L742" s="564"/>
      <c r="M742" s="564"/>
      <c r="N742" s="564"/>
      <c r="O742" s="564"/>
      <c r="P742" s="564"/>
      <c r="Q742" s="564"/>
      <c r="R742" s="564"/>
      <c r="S742" s="564"/>
      <c r="T742" s="564"/>
      <c r="U742" s="564"/>
      <c r="V742" s="564"/>
      <c r="W742" s="564"/>
      <c r="X742" s="564"/>
      <c r="Y742" s="564"/>
      <c r="Z742" s="564"/>
      <c r="AA742" s="564"/>
      <c r="AB742" s="556"/>
      <c r="AC742" s="556"/>
      <c r="AD742" s="74"/>
      <c r="AE742" s="74"/>
      <c r="AF742" s="74"/>
      <c r="AG742" s="74"/>
      <c r="AH742" s="74"/>
      <c r="AI742" s="74"/>
      <c r="AJ742" s="74"/>
      <c r="AK742" s="74"/>
      <c r="AL742" s="74"/>
      <c r="AM742" s="74"/>
      <c r="AN742" s="74"/>
      <c r="AO742" s="74"/>
      <c r="AP742" s="74"/>
      <c r="AQ742" s="74"/>
      <c r="AR742" s="74"/>
      <c r="AS742" s="565"/>
      <c r="AT742" s="556"/>
    </row>
    <row r="743" spans="1:46" hidden="1" x14ac:dyDescent="0.45">
      <c r="A743" s="556"/>
      <c r="B743" s="556"/>
      <c r="C743" s="556"/>
      <c r="D743" s="556"/>
      <c r="E743" s="556"/>
      <c r="F743" s="564"/>
      <c r="G743" s="564"/>
      <c r="H743" s="564"/>
      <c r="I743" s="564"/>
      <c r="J743" s="564"/>
      <c r="K743" s="564"/>
      <c r="L743" s="564"/>
      <c r="M743" s="564"/>
      <c r="N743" s="564"/>
      <c r="O743" s="564"/>
      <c r="P743" s="564"/>
      <c r="Q743" s="564"/>
      <c r="R743" s="564"/>
      <c r="S743" s="564"/>
      <c r="T743" s="564"/>
      <c r="U743" s="564"/>
      <c r="V743" s="564"/>
      <c r="W743" s="564"/>
      <c r="X743" s="564"/>
      <c r="Y743" s="564"/>
      <c r="Z743" s="564"/>
      <c r="AA743" s="564"/>
      <c r="AB743" s="556"/>
      <c r="AC743" s="556"/>
      <c r="AD743" s="74"/>
      <c r="AE743" s="74"/>
      <c r="AF743" s="74"/>
      <c r="AG743" s="74"/>
      <c r="AH743" s="74"/>
      <c r="AI743" s="74"/>
      <c r="AJ743" s="74"/>
      <c r="AK743" s="74"/>
      <c r="AL743" s="74"/>
      <c r="AM743" s="74"/>
      <c r="AN743" s="74"/>
      <c r="AO743" s="74"/>
      <c r="AP743" s="74"/>
      <c r="AQ743" s="74"/>
      <c r="AR743" s="74"/>
      <c r="AS743" s="565"/>
      <c r="AT743" s="556"/>
    </row>
    <row r="744" spans="1:46" hidden="1" x14ac:dyDescent="0.45">
      <c r="A744" s="556"/>
      <c r="B744" s="556"/>
      <c r="C744" s="556"/>
      <c r="D744" s="556"/>
      <c r="E744" s="556"/>
      <c r="F744" s="564"/>
      <c r="G744" s="564"/>
      <c r="H744" s="564"/>
      <c r="I744" s="564"/>
      <c r="J744" s="564"/>
      <c r="K744" s="564"/>
      <c r="L744" s="564"/>
      <c r="M744" s="564"/>
      <c r="N744" s="564"/>
      <c r="O744" s="564"/>
      <c r="P744" s="564"/>
      <c r="Q744" s="564"/>
      <c r="R744" s="564"/>
      <c r="S744" s="564"/>
      <c r="T744" s="564"/>
      <c r="U744" s="564"/>
      <c r="V744" s="564"/>
      <c r="W744" s="564"/>
      <c r="X744" s="564"/>
      <c r="Y744" s="564"/>
      <c r="Z744" s="564"/>
      <c r="AA744" s="564"/>
      <c r="AB744" s="556"/>
      <c r="AC744" s="556"/>
      <c r="AD744" s="74"/>
      <c r="AE744" s="74"/>
      <c r="AF744" s="74"/>
      <c r="AG744" s="74"/>
      <c r="AH744" s="74"/>
      <c r="AI744" s="74"/>
      <c r="AJ744" s="74"/>
      <c r="AK744" s="74"/>
      <c r="AL744" s="74"/>
      <c r="AM744" s="74"/>
      <c r="AN744" s="74"/>
      <c r="AO744" s="74"/>
      <c r="AP744" s="74"/>
      <c r="AQ744" s="74"/>
      <c r="AR744" s="74"/>
      <c r="AS744" s="565"/>
      <c r="AT744" s="556"/>
    </row>
    <row r="745" spans="1:46" hidden="1" x14ac:dyDescent="0.45">
      <c r="A745" s="556"/>
      <c r="B745" s="556"/>
      <c r="C745" s="556"/>
      <c r="D745" s="556"/>
      <c r="E745" s="556"/>
      <c r="F745" s="564"/>
      <c r="G745" s="564"/>
      <c r="H745" s="564"/>
      <c r="I745" s="564"/>
      <c r="J745" s="564"/>
      <c r="K745" s="564"/>
      <c r="L745" s="564"/>
      <c r="M745" s="564"/>
      <c r="N745" s="564"/>
      <c r="O745" s="564"/>
      <c r="P745" s="564"/>
      <c r="Q745" s="564"/>
      <c r="R745" s="564"/>
      <c r="S745" s="564"/>
      <c r="T745" s="564"/>
      <c r="U745" s="564"/>
      <c r="V745" s="564"/>
      <c r="W745" s="564"/>
      <c r="X745" s="564"/>
      <c r="Y745" s="564"/>
      <c r="Z745" s="564"/>
      <c r="AA745" s="564"/>
      <c r="AB745" s="556"/>
      <c r="AC745" s="556"/>
      <c r="AD745" s="74"/>
      <c r="AE745" s="74"/>
      <c r="AF745" s="74"/>
      <c r="AG745" s="74"/>
      <c r="AH745" s="74"/>
      <c r="AI745" s="74"/>
      <c r="AJ745" s="74"/>
      <c r="AK745" s="74"/>
      <c r="AL745" s="74"/>
      <c r="AM745" s="74"/>
      <c r="AN745" s="74"/>
      <c r="AO745" s="74"/>
      <c r="AP745" s="74"/>
      <c r="AQ745" s="74"/>
      <c r="AR745" s="74"/>
      <c r="AS745" s="565"/>
      <c r="AT745" s="556"/>
    </row>
    <row r="746" spans="1:46" hidden="1" x14ac:dyDescent="0.45">
      <c r="A746" s="556"/>
      <c r="B746" s="556"/>
      <c r="C746" s="556"/>
      <c r="D746" s="556"/>
      <c r="E746" s="556"/>
      <c r="F746" s="564"/>
      <c r="G746" s="564"/>
      <c r="H746" s="564"/>
      <c r="I746" s="564"/>
      <c r="J746" s="564"/>
      <c r="K746" s="564"/>
      <c r="L746" s="564"/>
      <c r="M746" s="564"/>
      <c r="N746" s="564"/>
      <c r="O746" s="564"/>
      <c r="P746" s="564"/>
      <c r="Q746" s="564"/>
      <c r="R746" s="564"/>
      <c r="S746" s="564"/>
      <c r="T746" s="564"/>
      <c r="U746" s="564"/>
      <c r="V746" s="564"/>
      <c r="W746" s="564"/>
      <c r="X746" s="564"/>
      <c r="Y746" s="564"/>
      <c r="Z746" s="564"/>
      <c r="AA746" s="564"/>
      <c r="AB746" s="556"/>
      <c r="AC746" s="556"/>
      <c r="AD746" s="74"/>
      <c r="AE746" s="74"/>
      <c r="AF746" s="74"/>
      <c r="AG746" s="74"/>
      <c r="AH746" s="74"/>
      <c r="AI746" s="74"/>
      <c r="AJ746" s="74"/>
      <c r="AK746" s="74"/>
      <c r="AL746" s="74"/>
      <c r="AM746" s="74"/>
      <c r="AN746" s="74"/>
      <c r="AO746" s="74"/>
      <c r="AP746" s="74"/>
      <c r="AQ746" s="74"/>
      <c r="AR746" s="74"/>
      <c r="AS746" s="565"/>
      <c r="AT746" s="556"/>
    </row>
    <row r="747" spans="1:46" hidden="1" x14ac:dyDescent="0.45">
      <c r="A747" s="556"/>
      <c r="B747" s="556"/>
      <c r="C747" s="556"/>
      <c r="D747" s="556"/>
      <c r="E747" s="556"/>
      <c r="F747" s="564"/>
      <c r="G747" s="564"/>
      <c r="H747" s="564"/>
      <c r="I747" s="564"/>
      <c r="J747" s="564"/>
      <c r="K747" s="564"/>
      <c r="L747" s="564"/>
      <c r="M747" s="564"/>
      <c r="N747" s="564"/>
      <c r="O747" s="564"/>
      <c r="P747" s="564"/>
      <c r="Q747" s="564"/>
      <c r="R747" s="564"/>
      <c r="S747" s="564"/>
      <c r="T747" s="564"/>
      <c r="U747" s="564"/>
      <c r="V747" s="564"/>
      <c r="W747" s="564"/>
      <c r="X747" s="564"/>
      <c r="Y747" s="564"/>
      <c r="Z747" s="564"/>
      <c r="AA747" s="564"/>
      <c r="AB747" s="556"/>
      <c r="AC747" s="556"/>
      <c r="AD747" s="74"/>
      <c r="AE747" s="74"/>
      <c r="AF747" s="74"/>
      <c r="AG747" s="74"/>
      <c r="AH747" s="74"/>
      <c r="AI747" s="74"/>
      <c r="AJ747" s="74"/>
      <c r="AK747" s="74"/>
      <c r="AL747" s="74"/>
      <c r="AM747" s="74"/>
      <c r="AN747" s="74"/>
      <c r="AO747" s="74"/>
      <c r="AP747" s="74"/>
      <c r="AQ747" s="74"/>
      <c r="AR747" s="74"/>
      <c r="AS747" s="565"/>
      <c r="AT747" s="556"/>
    </row>
    <row r="748" spans="1:46" hidden="1" x14ac:dyDescent="0.45">
      <c r="A748" s="556"/>
      <c r="B748" s="556"/>
      <c r="C748" s="556"/>
      <c r="D748" s="556"/>
      <c r="E748" s="556"/>
      <c r="F748" s="564"/>
      <c r="G748" s="564"/>
      <c r="H748" s="564"/>
      <c r="I748" s="564"/>
      <c r="J748" s="564"/>
      <c r="K748" s="564"/>
      <c r="L748" s="564"/>
      <c r="M748" s="564"/>
      <c r="N748" s="564"/>
      <c r="O748" s="564"/>
      <c r="P748" s="564"/>
      <c r="Q748" s="564"/>
      <c r="R748" s="564"/>
      <c r="S748" s="564"/>
      <c r="T748" s="564"/>
      <c r="U748" s="564"/>
      <c r="V748" s="564"/>
      <c r="W748" s="564"/>
      <c r="X748" s="564"/>
      <c r="Y748" s="564"/>
      <c r="Z748" s="564"/>
      <c r="AA748" s="564"/>
      <c r="AB748" s="556"/>
      <c r="AC748" s="556"/>
      <c r="AD748" s="74"/>
      <c r="AE748" s="74"/>
      <c r="AF748" s="74"/>
      <c r="AG748" s="74"/>
      <c r="AH748" s="74"/>
      <c r="AI748" s="74"/>
      <c r="AJ748" s="74"/>
      <c r="AK748" s="74"/>
      <c r="AL748" s="74"/>
      <c r="AM748" s="74"/>
      <c r="AN748" s="74"/>
      <c r="AO748" s="74"/>
      <c r="AP748" s="74"/>
      <c r="AQ748" s="74"/>
      <c r="AR748" s="74"/>
      <c r="AS748" s="565"/>
      <c r="AT748" s="556"/>
    </row>
    <row r="749" spans="1:46" hidden="1" x14ac:dyDescent="0.45">
      <c r="A749" s="556"/>
      <c r="B749" s="556"/>
      <c r="C749" s="556"/>
      <c r="D749" s="556"/>
      <c r="E749" s="556"/>
      <c r="F749" s="564"/>
      <c r="G749" s="564"/>
      <c r="H749" s="564"/>
      <c r="I749" s="564"/>
      <c r="J749" s="564"/>
      <c r="K749" s="564"/>
      <c r="L749" s="564"/>
      <c r="M749" s="564"/>
      <c r="N749" s="564"/>
      <c r="O749" s="564"/>
      <c r="P749" s="564"/>
      <c r="Q749" s="564"/>
      <c r="R749" s="564"/>
      <c r="S749" s="564"/>
      <c r="T749" s="564"/>
      <c r="U749" s="564"/>
      <c r="V749" s="564"/>
      <c r="W749" s="564"/>
      <c r="X749" s="564"/>
      <c r="Y749" s="564"/>
      <c r="Z749" s="564"/>
      <c r="AA749" s="564"/>
      <c r="AB749" s="556"/>
      <c r="AC749" s="556"/>
      <c r="AD749" s="74"/>
      <c r="AE749" s="74"/>
      <c r="AF749" s="74"/>
      <c r="AG749" s="74"/>
      <c r="AH749" s="74"/>
      <c r="AI749" s="74"/>
      <c r="AJ749" s="74"/>
      <c r="AK749" s="74"/>
      <c r="AL749" s="74"/>
      <c r="AM749" s="74"/>
      <c r="AN749" s="74"/>
      <c r="AO749" s="74"/>
      <c r="AP749" s="74"/>
      <c r="AQ749" s="74"/>
      <c r="AR749" s="74"/>
      <c r="AS749" s="565"/>
      <c r="AT749" s="556"/>
    </row>
    <row r="750" spans="1:46" hidden="1" x14ac:dyDescent="0.45">
      <c r="A750" s="556"/>
      <c r="B750" s="556"/>
      <c r="C750" s="556"/>
      <c r="D750" s="556"/>
      <c r="E750" s="556"/>
      <c r="F750" s="564"/>
      <c r="G750" s="564"/>
      <c r="H750" s="564"/>
      <c r="I750" s="564"/>
      <c r="J750" s="564"/>
      <c r="K750" s="564"/>
      <c r="L750" s="564"/>
      <c r="M750" s="564"/>
      <c r="N750" s="564"/>
      <c r="O750" s="564"/>
      <c r="P750" s="564"/>
      <c r="Q750" s="564"/>
      <c r="R750" s="564"/>
      <c r="S750" s="564"/>
      <c r="T750" s="564"/>
      <c r="U750" s="564"/>
      <c r="V750" s="564"/>
      <c r="W750" s="564"/>
      <c r="X750" s="564"/>
      <c r="Y750" s="564"/>
      <c r="Z750" s="564"/>
      <c r="AA750" s="564"/>
      <c r="AB750" s="556"/>
      <c r="AC750" s="556"/>
      <c r="AD750" s="74"/>
      <c r="AE750" s="74"/>
      <c r="AF750" s="74"/>
      <c r="AG750" s="74"/>
      <c r="AH750" s="74"/>
      <c r="AI750" s="74"/>
      <c r="AJ750" s="74"/>
      <c r="AK750" s="74"/>
      <c r="AL750" s="74"/>
      <c r="AM750" s="74"/>
      <c r="AN750" s="74"/>
      <c r="AO750" s="74"/>
      <c r="AP750" s="74"/>
      <c r="AQ750" s="74"/>
      <c r="AR750" s="74"/>
      <c r="AS750" s="565"/>
      <c r="AT750" s="556"/>
    </row>
    <row r="751" spans="1:46" hidden="1" x14ac:dyDescent="0.45">
      <c r="A751" s="556"/>
      <c r="B751" s="556"/>
      <c r="C751" s="556"/>
      <c r="D751" s="556"/>
      <c r="E751" s="556"/>
      <c r="F751" s="564"/>
      <c r="G751" s="564"/>
      <c r="H751" s="564"/>
      <c r="I751" s="564"/>
      <c r="J751" s="564"/>
      <c r="K751" s="564"/>
      <c r="L751" s="564"/>
      <c r="M751" s="564"/>
      <c r="N751" s="564"/>
      <c r="O751" s="564"/>
      <c r="P751" s="564"/>
      <c r="Q751" s="564"/>
      <c r="R751" s="564"/>
      <c r="S751" s="564"/>
      <c r="T751" s="564"/>
      <c r="U751" s="564"/>
      <c r="V751" s="564"/>
      <c r="W751" s="564"/>
      <c r="X751" s="564"/>
      <c r="Y751" s="564"/>
      <c r="Z751" s="564"/>
      <c r="AA751" s="564"/>
      <c r="AB751" s="556"/>
      <c r="AC751" s="556"/>
      <c r="AD751" s="74"/>
      <c r="AE751" s="74"/>
      <c r="AF751" s="74"/>
      <c r="AG751" s="74"/>
      <c r="AH751" s="74"/>
      <c r="AI751" s="74"/>
      <c r="AJ751" s="74"/>
      <c r="AK751" s="74"/>
      <c r="AL751" s="74"/>
      <c r="AM751" s="74"/>
      <c r="AN751" s="74"/>
      <c r="AO751" s="74"/>
      <c r="AP751" s="74"/>
      <c r="AQ751" s="74"/>
      <c r="AR751" s="74"/>
      <c r="AS751" s="565"/>
      <c r="AT751" s="556"/>
    </row>
    <row r="752" spans="1:46" hidden="1" x14ac:dyDescent="0.45">
      <c r="A752" s="556"/>
      <c r="B752" s="556"/>
      <c r="C752" s="556"/>
      <c r="D752" s="556"/>
      <c r="E752" s="556"/>
      <c r="F752" s="564"/>
      <c r="G752" s="564"/>
      <c r="H752" s="564"/>
      <c r="I752" s="564"/>
      <c r="J752" s="564"/>
      <c r="K752" s="564"/>
      <c r="L752" s="564"/>
      <c r="M752" s="564"/>
      <c r="N752" s="564"/>
      <c r="O752" s="564"/>
      <c r="P752" s="564"/>
      <c r="Q752" s="564"/>
      <c r="R752" s="564"/>
      <c r="S752" s="564"/>
      <c r="T752" s="564"/>
      <c r="U752" s="564"/>
      <c r="V752" s="564"/>
      <c r="W752" s="564"/>
      <c r="X752" s="564"/>
      <c r="Y752" s="564"/>
      <c r="Z752" s="564"/>
      <c r="AA752" s="564"/>
      <c r="AB752" s="556"/>
      <c r="AC752" s="556"/>
      <c r="AD752" s="74"/>
      <c r="AE752" s="74"/>
      <c r="AF752" s="74"/>
      <c r="AG752" s="74"/>
      <c r="AH752" s="74"/>
      <c r="AI752" s="74"/>
      <c r="AJ752" s="74"/>
      <c r="AK752" s="74"/>
      <c r="AL752" s="74"/>
      <c r="AM752" s="74"/>
      <c r="AN752" s="74"/>
      <c r="AO752" s="74"/>
      <c r="AP752" s="74"/>
      <c r="AQ752" s="74"/>
      <c r="AR752" s="74"/>
      <c r="AS752" s="565"/>
      <c r="AT752" s="556"/>
    </row>
    <row r="753" spans="1:46" hidden="1" x14ac:dyDescent="0.45">
      <c r="A753" s="556"/>
      <c r="B753" s="556"/>
      <c r="C753" s="556"/>
      <c r="D753" s="556"/>
      <c r="E753" s="556"/>
      <c r="F753" s="564"/>
      <c r="G753" s="564"/>
      <c r="H753" s="564"/>
      <c r="I753" s="564"/>
      <c r="J753" s="564"/>
      <c r="K753" s="564"/>
      <c r="L753" s="564"/>
      <c r="M753" s="564"/>
      <c r="N753" s="564"/>
      <c r="O753" s="564"/>
      <c r="P753" s="564"/>
      <c r="Q753" s="564"/>
      <c r="R753" s="564"/>
      <c r="S753" s="564"/>
      <c r="T753" s="564"/>
      <c r="U753" s="564"/>
      <c r="V753" s="564"/>
      <c r="W753" s="564"/>
      <c r="X753" s="564"/>
      <c r="Y753" s="564"/>
      <c r="Z753" s="564"/>
      <c r="AA753" s="564"/>
      <c r="AB753" s="556"/>
      <c r="AC753" s="556"/>
      <c r="AD753" s="74"/>
      <c r="AE753" s="74"/>
      <c r="AF753" s="74"/>
      <c r="AG753" s="74"/>
      <c r="AH753" s="74"/>
      <c r="AI753" s="74"/>
      <c r="AJ753" s="74"/>
      <c r="AK753" s="74"/>
      <c r="AL753" s="74"/>
      <c r="AM753" s="74"/>
      <c r="AN753" s="74"/>
      <c r="AO753" s="74"/>
      <c r="AP753" s="74"/>
      <c r="AQ753" s="74"/>
      <c r="AR753" s="74"/>
      <c r="AS753" s="565"/>
      <c r="AT753" s="556"/>
    </row>
    <row r="754" spans="1:46" hidden="1" x14ac:dyDescent="0.45">
      <c r="A754" s="556"/>
      <c r="B754" s="556"/>
      <c r="C754" s="556"/>
      <c r="D754" s="556"/>
      <c r="E754" s="556"/>
      <c r="F754" s="564"/>
      <c r="G754" s="564"/>
      <c r="H754" s="564"/>
      <c r="I754" s="564"/>
      <c r="J754" s="564"/>
      <c r="K754" s="564"/>
      <c r="L754" s="564"/>
      <c r="M754" s="564"/>
      <c r="N754" s="564"/>
      <c r="O754" s="564"/>
      <c r="P754" s="564"/>
      <c r="Q754" s="564"/>
      <c r="R754" s="564"/>
      <c r="S754" s="564"/>
      <c r="T754" s="564"/>
      <c r="U754" s="564"/>
      <c r="V754" s="564"/>
      <c r="W754" s="564"/>
      <c r="X754" s="564"/>
      <c r="Y754" s="564"/>
      <c r="Z754" s="564"/>
      <c r="AA754" s="564"/>
      <c r="AB754" s="556"/>
      <c r="AC754" s="556"/>
      <c r="AD754" s="74"/>
      <c r="AE754" s="74"/>
      <c r="AF754" s="74"/>
      <c r="AG754" s="74"/>
      <c r="AH754" s="74"/>
      <c r="AI754" s="74"/>
      <c r="AJ754" s="74"/>
      <c r="AK754" s="74"/>
      <c r="AL754" s="74"/>
      <c r="AM754" s="74"/>
      <c r="AN754" s="74"/>
      <c r="AO754" s="74"/>
      <c r="AP754" s="74"/>
      <c r="AQ754" s="74"/>
      <c r="AR754" s="74"/>
      <c r="AS754" s="565"/>
      <c r="AT754" s="556"/>
    </row>
    <row r="755" spans="1:46" hidden="1" x14ac:dyDescent="0.45">
      <c r="A755" s="556"/>
      <c r="B755" s="556"/>
      <c r="C755" s="556"/>
      <c r="D755" s="556"/>
      <c r="E755" s="556"/>
      <c r="F755" s="564"/>
      <c r="G755" s="564"/>
      <c r="H755" s="564"/>
      <c r="I755" s="564"/>
      <c r="J755" s="564"/>
      <c r="K755" s="564"/>
      <c r="L755" s="564"/>
      <c r="M755" s="564"/>
      <c r="N755" s="564"/>
      <c r="O755" s="564"/>
      <c r="P755" s="564"/>
      <c r="Q755" s="564"/>
      <c r="R755" s="564"/>
      <c r="S755" s="564"/>
      <c r="T755" s="564"/>
      <c r="U755" s="564"/>
      <c r="V755" s="564"/>
      <c r="W755" s="564"/>
      <c r="X755" s="564"/>
      <c r="Y755" s="564"/>
      <c r="Z755" s="564"/>
      <c r="AA755" s="564"/>
      <c r="AB755" s="556"/>
      <c r="AC755" s="556"/>
      <c r="AD755" s="74"/>
      <c r="AE755" s="74"/>
      <c r="AF755" s="74"/>
      <c r="AG755" s="74"/>
      <c r="AH755" s="74"/>
      <c r="AI755" s="74"/>
      <c r="AJ755" s="74"/>
      <c r="AK755" s="74"/>
      <c r="AL755" s="74"/>
      <c r="AM755" s="74"/>
      <c r="AN755" s="74"/>
      <c r="AO755" s="74"/>
      <c r="AP755" s="74"/>
      <c r="AQ755" s="74"/>
      <c r="AR755" s="74"/>
      <c r="AS755" s="565"/>
      <c r="AT755" s="556"/>
    </row>
    <row r="756" spans="1:46" hidden="1" x14ac:dyDescent="0.45">
      <c r="A756" s="556"/>
      <c r="B756" s="556"/>
      <c r="C756" s="556"/>
      <c r="D756" s="556"/>
      <c r="E756" s="556"/>
      <c r="F756" s="564"/>
      <c r="G756" s="564"/>
      <c r="H756" s="564"/>
      <c r="I756" s="564"/>
      <c r="J756" s="564"/>
      <c r="K756" s="564"/>
      <c r="L756" s="564"/>
      <c r="M756" s="564"/>
      <c r="N756" s="564"/>
      <c r="O756" s="564"/>
      <c r="P756" s="564"/>
      <c r="Q756" s="564"/>
      <c r="R756" s="564"/>
      <c r="S756" s="564"/>
      <c r="T756" s="564"/>
      <c r="U756" s="564"/>
      <c r="V756" s="564"/>
      <c r="W756" s="564"/>
      <c r="X756" s="564"/>
      <c r="Y756" s="564"/>
      <c r="Z756" s="564"/>
      <c r="AA756" s="564"/>
      <c r="AB756" s="556"/>
      <c r="AC756" s="556"/>
      <c r="AD756" s="74"/>
      <c r="AE756" s="74"/>
      <c r="AF756" s="74"/>
      <c r="AG756" s="74"/>
      <c r="AH756" s="74"/>
      <c r="AI756" s="74"/>
      <c r="AJ756" s="74"/>
      <c r="AK756" s="74"/>
      <c r="AL756" s="74"/>
      <c r="AM756" s="74"/>
      <c r="AN756" s="74"/>
      <c r="AO756" s="74"/>
      <c r="AP756" s="74"/>
      <c r="AQ756" s="74"/>
      <c r="AR756" s="74"/>
      <c r="AS756" s="565"/>
      <c r="AT756" s="556"/>
    </row>
    <row r="757" spans="1:46" hidden="1" x14ac:dyDescent="0.45">
      <c r="A757" s="556"/>
      <c r="B757" s="556"/>
      <c r="C757" s="556"/>
      <c r="D757" s="556"/>
      <c r="E757" s="556"/>
      <c r="F757" s="564"/>
      <c r="G757" s="564"/>
      <c r="H757" s="564"/>
      <c r="I757" s="564"/>
      <c r="J757" s="564"/>
      <c r="K757" s="564"/>
      <c r="L757" s="564"/>
      <c r="M757" s="564"/>
      <c r="N757" s="564"/>
      <c r="O757" s="564"/>
      <c r="P757" s="564"/>
      <c r="Q757" s="564"/>
      <c r="R757" s="564"/>
      <c r="S757" s="564"/>
      <c r="T757" s="564"/>
      <c r="U757" s="564"/>
      <c r="V757" s="564"/>
      <c r="W757" s="564"/>
      <c r="X757" s="564"/>
      <c r="Y757" s="564"/>
      <c r="Z757" s="564"/>
      <c r="AA757" s="564"/>
      <c r="AB757" s="556"/>
      <c r="AC757" s="556"/>
      <c r="AD757" s="74"/>
      <c r="AE757" s="74"/>
      <c r="AF757" s="74"/>
      <c r="AG757" s="74"/>
      <c r="AH757" s="74"/>
      <c r="AI757" s="74"/>
      <c r="AJ757" s="74"/>
      <c r="AK757" s="74"/>
      <c r="AL757" s="74"/>
      <c r="AM757" s="74"/>
      <c r="AN757" s="74"/>
      <c r="AO757" s="74"/>
      <c r="AP757" s="74"/>
      <c r="AQ757" s="74"/>
      <c r="AR757" s="74"/>
      <c r="AS757" s="565"/>
      <c r="AT757" s="556"/>
    </row>
    <row r="758" spans="1:46" hidden="1" x14ac:dyDescent="0.45">
      <c r="A758" s="556"/>
      <c r="B758" s="556"/>
      <c r="C758" s="556"/>
      <c r="D758" s="556"/>
      <c r="E758" s="556"/>
      <c r="F758" s="564"/>
      <c r="G758" s="564"/>
      <c r="H758" s="564"/>
      <c r="I758" s="564"/>
      <c r="J758" s="564"/>
      <c r="K758" s="564"/>
      <c r="L758" s="564"/>
      <c r="M758" s="564"/>
      <c r="N758" s="564"/>
      <c r="O758" s="564"/>
      <c r="P758" s="564"/>
      <c r="Q758" s="564"/>
      <c r="R758" s="564"/>
      <c r="S758" s="564"/>
      <c r="T758" s="564"/>
      <c r="U758" s="564"/>
      <c r="V758" s="564"/>
      <c r="W758" s="564"/>
      <c r="X758" s="564"/>
      <c r="Y758" s="564"/>
      <c r="Z758" s="564"/>
      <c r="AA758" s="564"/>
      <c r="AB758" s="556"/>
      <c r="AC758" s="556"/>
      <c r="AD758" s="74"/>
      <c r="AE758" s="74"/>
      <c r="AF758" s="74"/>
      <c r="AG758" s="74"/>
      <c r="AH758" s="74"/>
      <c r="AI758" s="74"/>
      <c r="AJ758" s="74"/>
      <c r="AK758" s="74"/>
      <c r="AL758" s="74"/>
      <c r="AM758" s="74"/>
      <c r="AN758" s="74"/>
      <c r="AO758" s="74"/>
      <c r="AP758" s="74"/>
      <c r="AQ758" s="74"/>
      <c r="AR758" s="74"/>
      <c r="AS758" s="565"/>
      <c r="AT758" s="556"/>
    </row>
    <row r="759" spans="1:46" hidden="1" x14ac:dyDescent="0.45">
      <c r="A759" s="556"/>
      <c r="B759" s="556"/>
      <c r="C759" s="556"/>
      <c r="D759" s="556"/>
      <c r="E759" s="556"/>
      <c r="F759" s="564"/>
      <c r="G759" s="564"/>
      <c r="H759" s="564"/>
      <c r="I759" s="564"/>
      <c r="J759" s="564"/>
      <c r="K759" s="564"/>
      <c r="L759" s="564"/>
      <c r="M759" s="564"/>
      <c r="N759" s="564"/>
      <c r="O759" s="564"/>
      <c r="P759" s="564"/>
      <c r="Q759" s="564"/>
      <c r="R759" s="564"/>
      <c r="S759" s="564"/>
      <c r="T759" s="564"/>
      <c r="U759" s="564"/>
      <c r="V759" s="564"/>
      <c r="W759" s="564"/>
      <c r="X759" s="564"/>
      <c r="Y759" s="564"/>
      <c r="Z759" s="564"/>
      <c r="AA759" s="564"/>
      <c r="AB759" s="556"/>
      <c r="AC759" s="556"/>
      <c r="AD759" s="74"/>
      <c r="AE759" s="74"/>
      <c r="AF759" s="74"/>
      <c r="AG759" s="74"/>
      <c r="AH759" s="74"/>
      <c r="AI759" s="74"/>
      <c r="AJ759" s="74"/>
      <c r="AK759" s="74"/>
      <c r="AL759" s="74"/>
      <c r="AM759" s="74"/>
      <c r="AN759" s="74"/>
      <c r="AO759" s="74"/>
      <c r="AP759" s="74"/>
      <c r="AQ759" s="74"/>
      <c r="AR759" s="74"/>
      <c r="AS759" s="565"/>
      <c r="AT759" s="556"/>
    </row>
    <row r="760" spans="1:46" hidden="1" x14ac:dyDescent="0.45">
      <c r="A760" s="556"/>
      <c r="B760" s="556"/>
      <c r="C760" s="556"/>
      <c r="D760" s="556"/>
      <c r="E760" s="556"/>
      <c r="F760" s="564"/>
      <c r="G760" s="564"/>
      <c r="H760" s="564"/>
      <c r="I760" s="564"/>
      <c r="J760" s="564"/>
      <c r="K760" s="564"/>
      <c r="L760" s="564"/>
      <c r="M760" s="564"/>
      <c r="N760" s="564"/>
      <c r="O760" s="564"/>
      <c r="P760" s="564"/>
      <c r="Q760" s="564"/>
      <c r="R760" s="564"/>
      <c r="S760" s="564"/>
      <c r="T760" s="564"/>
      <c r="U760" s="564"/>
      <c r="V760" s="564"/>
      <c r="W760" s="564"/>
      <c r="X760" s="564"/>
      <c r="Y760" s="564"/>
      <c r="Z760" s="564"/>
      <c r="AA760" s="564"/>
      <c r="AB760" s="556"/>
      <c r="AC760" s="556"/>
      <c r="AD760" s="74"/>
      <c r="AE760" s="74"/>
      <c r="AF760" s="74"/>
      <c r="AG760" s="74"/>
      <c r="AH760" s="74"/>
      <c r="AI760" s="74"/>
      <c r="AJ760" s="74"/>
      <c r="AK760" s="74"/>
      <c r="AL760" s="74"/>
      <c r="AM760" s="74"/>
      <c r="AN760" s="74"/>
      <c r="AO760" s="74"/>
      <c r="AP760" s="74"/>
      <c r="AQ760" s="74"/>
      <c r="AR760" s="74"/>
      <c r="AS760" s="565"/>
      <c r="AT760" s="556"/>
    </row>
    <row r="761" spans="1:46" hidden="1" x14ac:dyDescent="0.45">
      <c r="A761" s="556"/>
      <c r="B761" s="556"/>
      <c r="C761" s="556"/>
      <c r="D761" s="556"/>
      <c r="E761" s="556"/>
      <c r="F761" s="564"/>
      <c r="G761" s="564"/>
      <c r="H761" s="564"/>
      <c r="I761" s="564"/>
      <c r="J761" s="564"/>
      <c r="K761" s="564"/>
      <c r="L761" s="564"/>
      <c r="M761" s="564"/>
      <c r="N761" s="564"/>
      <c r="O761" s="564"/>
      <c r="P761" s="564"/>
      <c r="Q761" s="564"/>
      <c r="R761" s="564"/>
      <c r="S761" s="564"/>
      <c r="T761" s="564"/>
      <c r="U761" s="564"/>
      <c r="V761" s="564"/>
      <c r="W761" s="564"/>
      <c r="X761" s="564"/>
      <c r="Y761" s="564"/>
      <c r="Z761" s="564"/>
      <c r="AA761" s="564"/>
      <c r="AB761" s="556"/>
      <c r="AC761" s="556"/>
      <c r="AD761" s="74"/>
      <c r="AE761" s="74"/>
      <c r="AF761" s="74"/>
      <c r="AG761" s="74"/>
      <c r="AH761" s="74"/>
      <c r="AI761" s="74"/>
      <c r="AJ761" s="74"/>
      <c r="AK761" s="74"/>
      <c r="AL761" s="74"/>
      <c r="AM761" s="74"/>
      <c r="AN761" s="74"/>
      <c r="AO761" s="74"/>
      <c r="AP761" s="74"/>
      <c r="AQ761" s="74"/>
      <c r="AR761" s="74"/>
      <c r="AS761" s="565"/>
      <c r="AT761" s="556"/>
    </row>
    <row r="762" spans="1:46" hidden="1" x14ac:dyDescent="0.45">
      <c r="A762" s="556"/>
      <c r="B762" s="556"/>
      <c r="C762" s="556"/>
      <c r="D762" s="556"/>
      <c r="E762" s="556"/>
      <c r="F762" s="564"/>
      <c r="G762" s="564"/>
      <c r="H762" s="564"/>
      <c r="I762" s="564"/>
      <c r="J762" s="564"/>
      <c r="K762" s="564"/>
      <c r="L762" s="564"/>
      <c r="M762" s="564"/>
      <c r="N762" s="564"/>
      <c r="O762" s="564"/>
      <c r="P762" s="564"/>
      <c r="Q762" s="564"/>
      <c r="R762" s="564"/>
      <c r="S762" s="564"/>
      <c r="T762" s="564"/>
      <c r="U762" s="564"/>
      <c r="V762" s="564"/>
      <c r="W762" s="564"/>
      <c r="X762" s="564"/>
      <c r="Y762" s="564"/>
      <c r="Z762" s="564"/>
      <c r="AA762" s="564"/>
      <c r="AB762" s="556"/>
      <c r="AC762" s="556"/>
      <c r="AD762" s="74"/>
      <c r="AE762" s="74"/>
      <c r="AF762" s="74"/>
      <c r="AG762" s="74"/>
      <c r="AH762" s="74"/>
      <c r="AI762" s="74"/>
      <c r="AJ762" s="74"/>
      <c r="AK762" s="74"/>
      <c r="AL762" s="74"/>
      <c r="AM762" s="74"/>
      <c r="AN762" s="74"/>
      <c r="AO762" s="74"/>
      <c r="AP762" s="74"/>
      <c r="AQ762" s="74"/>
      <c r="AR762" s="74"/>
      <c r="AS762" s="565"/>
      <c r="AT762" s="556"/>
    </row>
    <row r="763" spans="1:46" hidden="1" x14ac:dyDescent="0.45">
      <c r="A763" s="556"/>
      <c r="B763" s="556"/>
      <c r="C763" s="556"/>
      <c r="D763" s="556"/>
      <c r="E763" s="556"/>
      <c r="F763" s="564"/>
      <c r="G763" s="564"/>
      <c r="H763" s="564"/>
      <c r="I763" s="564"/>
      <c r="J763" s="564"/>
      <c r="K763" s="564"/>
      <c r="L763" s="564"/>
      <c r="M763" s="564"/>
      <c r="N763" s="564"/>
      <c r="O763" s="564"/>
      <c r="P763" s="564"/>
      <c r="Q763" s="564"/>
      <c r="R763" s="564"/>
      <c r="S763" s="564"/>
      <c r="T763" s="564"/>
      <c r="U763" s="564"/>
      <c r="V763" s="564"/>
      <c r="W763" s="564"/>
      <c r="X763" s="564"/>
      <c r="Y763" s="564"/>
      <c r="Z763" s="564"/>
      <c r="AA763" s="564"/>
      <c r="AB763" s="556"/>
      <c r="AC763" s="556"/>
      <c r="AD763" s="74"/>
      <c r="AE763" s="74"/>
      <c r="AF763" s="74"/>
      <c r="AG763" s="74"/>
      <c r="AH763" s="74"/>
      <c r="AI763" s="74"/>
      <c r="AJ763" s="74"/>
      <c r="AK763" s="74"/>
      <c r="AL763" s="74"/>
      <c r="AM763" s="74"/>
      <c r="AN763" s="74"/>
      <c r="AO763" s="74"/>
      <c r="AP763" s="74"/>
      <c r="AQ763" s="74"/>
      <c r="AR763" s="74"/>
      <c r="AS763" s="565"/>
      <c r="AT763" s="556"/>
    </row>
    <row r="764" spans="1:46" hidden="1" x14ac:dyDescent="0.45">
      <c r="A764" s="556"/>
      <c r="B764" s="556"/>
      <c r="C764" s="556"/>
      <c r="D764" s="556"/>
      <c r="E764" s="556"/>
      <c r="F764" s="564"/>
      <c r="G764" s="564"/>
      <c r="H764" s="564"/>
      <c r="I764" s="564"/>
      <c r="J764" s="564"/>
      <c r="K764" s="564"/>
      <c r="L764" s="564"/>
      <c r="M764" s="564"/>
      <c r="N764" s="564"/>
      <c r="O764" s="564"/>
      <c r="P764" s="564"/>
      <c r="Q764" s="564"/>
      <c r="R764" s="564"/>
      <c r="S764" s="564"/>
      <c r="T764" s="564"/>
      <c r="U764" s="564"/>
      <c r="V764" s="564"/>
      <c r="W764" s="564"/>
      <c r="X764" s="564"/>
      <c r="Y764" s="564"/>
      <c r="Z764" s="564"/>
      <c r="AA764" s="564"/>
      <c r="AB764" s="556"/>
      <c r="AC764" s="556"/>
      <c r="AD764" s="74"/>
      <c r="AE764" s="74"/>
      <c r="AF764" s="74"/>
      <c r="AG764" s="74"/>
      <c r="AH764" s="74"/>
      <c r="AI764" s="74"/>
      <c r="AJ764" s="74"/>
      <c r="AK764" s="74"/>
      <c r="AL764" s="74"/>
      <c r="AM764" s="74"/>
      <c r="AN764" s="74"/>
      <c r="AO764" s="74"/>
      <c r="AP764" s="74"/>
      <c r="AQ764" s="74"/>
      <c r="AR764" s="74"/>
      <c r="AS764" s="565"/>
      <c r="AT764" s="556"/>
    </row>
    <row r="765" spans="1:46" hidden="1" x14ac:dyDescent="0.45">
      <c r="A765" s="556"/>
      <c r="B765" s="556"/>
      <c r="C765" s="556"/>
      <c r="D765" s="556"/>
      <c r="E765" s="556"/>
      <c r="F765" s="564"/>
      <c r="G765" s="564"/>
      <c r="H765" s="564"/>
      <c r="I765" s="564"/>
      <c r="J765" s="564"/>
      <c r="K765" s="564"/>
      <c r="L765" s="564"/>
      <c r="M765" s="564"/>
      <c r="N765" s="564"/>
      <c r="O765" s="564"/>
      <c r="P765" s="564"/>
      <c r="Q765" s="564"/>
      <c r="R765" s="564"/>
      <c r="S765" s="564"/>
      <c r="T765" s="564"/>
      <c r="U765" s="564"/>
      <c r="V765" s="564"/>
      <c r="W765" s="564"/>
      <c r="X765" s="564"/>
      <c r="Y765" s="564"/>
      <c r="Z765" s="564"/>
      <c r="AA765" s="564"/>
      <c r="AB765" s="556"/>
      <c r="AC765" s="556"/>
      <c r="AD765" s="74"/>
      <c r="AE765" s="74"/>
      <c r="AF765" s="74"/>
      <c r="AG765" s="74"/>
      <c r="AH765" s="74"/>
      <c r="AI765" s="74"/>
      <c r="AJ765" s="74"/>
      <c r="AK765" s="74"/>
      <c r="AL765" s="74"/>
      <c r="AM765" s="74"/>
      <c r="AN765" s="74"/>
      <c r="AO765" s="74"/>
      <c r="AP765" s="74"/>
      <c r="AQ765" s="74"/>
      <c r="AR765" s="74"/>
      <c r="AS765" s="565"/>
      <c r="AT765" s="556"/>
    </row>
    <row r="766" spans="1:46" hidden="1" x14ac:dyDescent="0.45">
      <c r="A766" s="556"/>
      <c r="B766" s="556"/>
      <c r="C766" s="556"/>
      <c r="D766" s="556"/>
      <c r="E766" s="556"/>
      <c r="F766" s="564"/>
      <c r="G766" s="564"/>
      <c r="H766" s="564"/>
      <c r="I766" s="564"/>
      <c r="J766" s="564"/>
      <c r="K766" s="564"/>
      <c r="L766" s="564"/>
      <c r="M766" s="564"/>
      <c r="N766" s="564"/>
      <c r="O766" s="564"/>
      <c r="P766" s="564"/>
      <c r="Q766" s="564"/>
      <c r="R766" s="564"/>
      <c r="S766" s="564"/>
      <c r="T766" s="564"/>
      <c r="U766" s="564"/>
      <c r="V766" s="564"/>
      <c r="W766" s="564"/>
      <c r="X766" s="564"/>
      <c r="Y766" s="564"/>
      <c r="Z766" s="564"/>
      <c r="AA766" s="564"/>
      <c r="AB766" s="556"/>
      <c r="AC766" s="556"/>
      <c r="AD766" s="74"/>
      <c r="AE766" s="74"/>
      <c r="AF766" s="74"/>
      <c r="AG766" s="74"/>
      <c r="AH766" s="74"/>
      <c r="AI766" s="74"/>
      <c r="AJ766" s="74"/>
      <c r="AK766" s="74"/>
      <c r="AL766" s="74"/>
      <c r="AM766" s="74"/>
      <c r="AN766" s="74"/>
      <c r="AO766" s="74"/>
      <c r="AP766" s="74"/>
      <c r="AQ766" s="74"/>
      <c r="AR766" s="74"/>
      <c r="AS766" s="565"/>
      <c r="AT766" s="556"/>
    </row>
    <row r="767" spans="1:46" hidden="1" x14ac:dyDescent="0.45">
      <c r="A767" s="556"/>
      <c r="B767" s="556"/>
      <c r="C767" s="556"/>
      <c r="D767" s="556"/>
      <c r="E767" s="556"/>
      <c r="F767" s="564"/>
      <c r="G767" s="564"/>
      <c r="H767" s="564"/>
      <c r="I767" s="564"/>
      <c r="J767" s="564"/>
      <c r="K767" s="564"/>
      <c r="L767" s="564"/>
      <c r="M767" s="564"/>
      <c r="N767" s="564"/>
      <c r="O767" s="564"/>
      <c r="P767" s="564"/>
      <c r="Q767" s="564"/>
      <c r="R767" s="564"/>
      <c r="S767" s="564"/>
      <c r="T767" s="564"/>
      <c r="U767" s="564"/>
      <c r="V767" s="564"/>
      <c r="W767" s="564"/>
      <c r="X767" s="564"/>
      <c r="Y767" s="564"/>
      <c r="Z767" s="564"/>
      <c r="AA767" s="564"/>
      <c r="AB767" s="556"/>
      <c r="AC767" s="556"/>
      <c r="AD767" s="74"/>
      <c r="AE767" s="74"/>
      <c r="AF767" s="74"/>
      <c r="AG767" s="74"/>
      <c r="AH767" s="74"/>
      <c r="AI767" s="74"/>
      <c r="AJ767" s="74"/>
      <c r="AK767" s="74"/>
      <c r="AL767" s="74"/>
      <c r="AM767" s="74"/>
      <c r="AN767" s="74"/>
      <c r="AO767" s="74"/>
      <c r="AP767" s="74"/>
      <c r="AQ767" s="74"/>
      <c r="AR767" s="74"/>
      <c r="AS767" s="565"/>
      <c r="AT767" s="556"/>
    </row>
    <row r="768" spans="1:46" hidden="1" x14ac:dyDescent="0.45">
      <c r="A768" s="556"/>
      <c r="B768" s="556"/>
      <c r="C768" s="556"/>
      <c r="D768" s="556"/>
      <c r="E768" s="556"/>
      <c r="F768" s="564"/>
      <c r="G768" s="564"/>
      <c r="H768" s="564"/>
      <c r="I768" s="564"/>
      <c r="J768" s="564"/>
      <c r="K768" s="564"/>
      <c r="L768" s="564"/>
      <c r="M768" s="564"/>
      <c r="N768" s="564"/>
      <c r="O768" s="564"/>
      <c r="P768" s="564"/>
      <c r="Q768" s="564"/>
      <c r="R768" s="564"/>
      <c r="S768" s="564"/>
      <c r="T768" s="564"/>
      <c r="U768" s="564"/>
      <c r="V768" s="564"/>
      <c r="W768" s="564"/>
      <c r="X768" s="564"/>
      <c r="Y768" s="564"/>
      <c r="Z768" s="564"/>
      <c r="AA768" s="564"/>
      <c r="AB768" s="556"/>
      <c r="AC768" s="556"/>
      <c r="AD768" s="74"/>
      <c r="AE768" s="74"/>
      <c r="AF768" s="74"/>
      <c r="AG768" s="74"/>
      <c r="AH768" s="74"/>
      <c r="AI768" s="74"/>
      <c r="AJ768" s="74"/>
      <c r="AK768" s="74"/>
      <c r="AL768" s="74"/>
      <c r="AM768" s="74"/>
      <c r="AN768" s="74"/>
      <c r="AO768" s="74"/>
      <c r="AP768" s="74"/>
      <c r="AQ768" s="74"/>
      <c r="AR768" s="74"/>
      <c r="AS768" s="565"/>
      <c r="AT768" s="556"/>
    </row>
    <row r="769" spans="1:46" hidden="1" x14ac:dyDescent="0.45">
      <c r="A769" s="556"/>
      <c r="B769" s="556"/>
      <c r="C769" s="556"/>
      <c r="D769" s="556"/>
      <c r="E769" s="556"/>
      <c r="F769" s="564"/>
      <c r="G769" s="564"/>
      <c r="H769" s="564"/>
      <c r="I769" s="564"/>
      <c r="J769" s="564"/>
      <c r="K769" s="564"/>
      <c r="L769" s="564"/>
      <c r="M769" s="564"/>
      <c r="N769" s="564"/>
      <c r="O769" s="564"/>
      <c r="P769" s="564"/>
      <c r="Q769" s="564"/>
      <c r="R769" s="564"/>
      <c r="S769" s="564"/>
      <c r="T769" s="564"/>
      <c r="U769" s="564"/>
      <c r="V769" s="564"/>
      <c r="W769" s="564"/>
      <c r="X769" s="564"/>
      <c r="Y769" s="564"/>
      <c r="Z769" s="564"/>
      <c r="AA769" s="564"/>
      <c r="AB769" s="556"/>
      <c r="AC769" s="556"/>
      <c r="AD769" s="74"/>
      <c r="AE769" s="74"/>
      <c r="AF769" s="74"/>
      <c r="AG769" s="74"/>
      <c r="AH769" s="74"/>
      <c r="AI769" s="74"/>
      <c r="AJ769" s="74"/>
      <c r="AK769" s="74"/>
      <c r="AL769" s="74"/>
      <c r="AM769" s="74"/>
      <c r="AN769" s="74"/>
      <c r="AO769" s="74"/>
      <c r="AP769" s="74"/>
      <c r="AQ769" s="74"/>
      <c r="AR769" s="74"/>
      <c r="AS769" s="565"/>
      <c r="AT769" s="556"/>
    </row>
    <row r="770" spans="1:46" hidden="1" x14ac:dyDescent="0.45">
      <c r="A770" s="556"/>
      <c r="B770" s="556"/>
      <c r="C770" s="556"/>
      <c r="D770" s="556"/>
      <c r="E770" s="556"/>
      <c r="F770" s="564"/>
      <c r="G770" s="564"/>
      <c r="H770" s="564"/>
      <c r="I770" s="564"/>
      <c r="J770" s="564"/>
      <c r="K770" s="564"/>
      <c r="L770" s="564"/>
      <c r="M770" s="564"/>
      <c r="N770" s="564"/>
      <c r="O770" s="564"/>
      <c r="P770" s="564"/>
      <c r="Q770" s="564"/>
      <c r="R770" s="564"/>
      <c r="S770" s="564"/>
      <c r="T770" s="564"/>
      <c r="U770" s="564"/>
      <c r="V770" s="564"/>
      <c r="W770" s="564"/>
      <c r="X770" s="564"/>
      <c r="Y770" s="564"/>
      <c r="Z770" s="564"/>
      <c r="AA770" s="564"/>
      <c r="AB770" s="556"/>
      <c r="AC770" s="556"/>
      <c r="AD770" s="74"/>
      <c r="AE770" s="74"/>
      <c r="AF770" s="74"/>
      <c r="AG770" s="74"/>
      <c r="AH770" s="74"/>
      <c r="AI770" s="74"/>
      <c r="AJ770" s="74"/>
      <c r="AK770" s="74"/>
      <c r="AL770" s="74"/>
      <c r="AM770" s="74"/>
      <c r="AN770" s="74"/>
      <c r="AO770" s="74"/>
      <c r="AP770" s="74"/>
      <c r="AQ770" s="74"/>
      <c r="AR770" s="74"/>
      <c r="AS770" s="565"/>
      <c r="AT770" s="556"/>
    </row>
    <row r="771" spans="1:46" hidden="1" x14ac:dyDescent="0.45">
      <c r="A771" s="556"/>
      <c r="B771" s="556"/>
      <c r="C771" s="556"/>
      <c r="D771" s="556"/>
      <c r="E771" s="556"/>
      <c r="F771" s="564"/>
      <c r="G771" s="564"/>
      <c r="H771" s="564"/>
      <c r="I771" s="564"/>
      <c r="J771" s="564"/>
      <c r="K771" s="564"/>
      <c r="L771" s="564"/>
      <c r="M771" s="564"/>
      <c r="N771" s="564"/>
      <c r="O771" s="564"/>
      <c r="P771" s="564"/>
      <c r="Q771" s="564"/>
      <c r="R771" s="564"/>
      <c r="S771" s="564"/>
      <c r="T771" s="564"/>
      <c r="U771" s="564"/>
      <c r="V771" s="564"/>
      <c r="W771" s="564"/>
      <c r="X771" s="564"/>
      <c r="Y771" s="564"/>
      <c r="Z771" s="564"/>
      <c r="AA771" s="564"/>
      <c r="AB771" s="556"/>
      <c r="AC771" s="556"/>
      <c r="AD771" s="74"/>
      <c r="AE771" s="74"/>
      <c r="AF771" s="74"/>
      <c r="AG771" s="74"/>
      <c r="AH771" s="74"/>
      <c r="AI771" s="74"/>
      <c r="AJ771" s="74"/>
      <c r="AK771" s="74"/>
      <c r="AL771" s="74"/>
      <c r="AM771" s="74"/>
      <c r="AN771" s="74"/>
      <c r="AO771" s="74"/>
      <c r="AP771" s="74"/>
      <c r="AQ771" s="74"/>
      <c r="AR771" s="74"/>
      <c r="AS771" s="565"/>
      <c r="AT771" s="556"/>
    </row>
    <row r="772" spans="1:46" hidden="1" x14ac:dyDescent="0.45">
      <c r="A772" s="556"/>
      <c r="B772" s="556"/>
      <c r="C772" s="556"/>
      <c r="D772" s="556"/>
      <c r="E772" s="556"/>
      <c r="F772" s="564"/>
      <c r="G772" s="564"/>
      <c r="H772" s="564"/>
      <c r="I772" s="564"/>
      <c r="J772" s="564"/>
      <c r="K772" s="564"/>
      <c r="L772" s="564"/>
      <c r="M772" s="564"/>
      <c r="N772" s="564"/>
      <c r="O772" s="564"/>
      <c r="P772" s="564"/>
      <c r="Q772" s="564"/>
      <c r="R772" s="564"/>
      <c r="S772" s="564"/>
      <c r="T772" s="564"/>
      <c r="U772" s="564"/>
      <c r="V772" s="564"/>
      <c r="W772" s="564"/>
      <c r="X772" s="564"/>
      <c r="Y772" s="564"/>
      <c r="Z772" s="564"/>
      <c r="AA772" s="564"/>
      <c r="AB772" s="556"/>
      <c r="AC772" s="556"/>
      <c r="AD772" s="74"/>
      <c r="AE772" s="74"/>
      <c r="AF772" s="74"/>
      <c r="AG772" s="74"/>
      <c r="AH772" s="74"/>
      <c r="AI772" s="74"/>
      <c r="AJ772" s="74"/>
      <c r="AK772" s="74"/>
      <c r="AL772" s="74"/>
      <c r="AM772" s="74"/>
      <c r="AN772" s="74"/>
      <c r="AO772" s="74"/>
      <c r="AP772" s="74"/>
      <c r="AQ772" s="74"/>
      <c r="AR772" s="74"/>
      <c r="AS772" s="565"/>
      <c r="AT772" s="556"/>
    </row>
    <row r="773" spans="1:46" hidden="1" x14ac:dyDescent="0.45">
      <c r="A773" s="556"/>
      <c r="B773" s="556"/>
      <c r="C773" s="556"/>
      <c r="D773" s="556"/>
      <c r="E773" s="556"/>
      <c r="F773" s="564"/>
      <c r="G773" s="564"/>
      <c r="H773" s="564"/>
      <c r="I773" s="564"/>
      <c r="J773" s="564"/>
      <c r="K773" s="564"/>
      <c r="L773" s="564"/>
      <c r="M773" s="564"/>
      <c r="N773" s="564"/>
      <c r="O773" s="564"/>
      <c r="P773" s="564"/>
      <c r="Q773" s="564"/>
      <c r="R773" s="564"/>
      <c r="S773" s="564"/>
      <c r="T773" s="564"/>
      <c r="U773" s="564"/>
      <c r="V773" s="564"/>
      <c r="W773" s="564"/>
      <c r="X773" s="564"/>
      <c r="Y773" s="564"/>
      <c r="Z773" s="564"/>
      <c r="AA773" s="564"/>
      <c r="AB773" s="556"/>
      <c r="AC773" s="556"/>
      <c r="AD773" s="74"/>
      <c r="AE773" s="74"/>
      <c r="AF773" s="74"/>
      <c r="AG773" s="74"/>
      <c r="AH773" s="74"/>
      <c r="AI773" s="74"/>
      <c r="AJ773" s="74"/>
      <c r="AK773" s="74"/>
      <c r="AL773" s="74"/>
      <c r="AM773" s="74"/>
      <c r="AN773" s="74"/>
      <c r="AO773" s="74"/>
      <c r="AP773" s="74"/>
      <c r="AQ773" s="74"/>
      <c r="AR773" s="74"/>
      <c r="AS773" s="565"/>
      <c r="AT773" s="556"/>
    </row>
    <row r="774" spans="1:46" hidden="1" x14ac:dyDescent="0.45">
      <c r="A774" s="556"/>
      <c r="B774" s="556"/>
      <c r="C774" s="556"/>
      <c r="D774" s="556"/>
      <c r="E774" s="556"/>
      <c r="F774" s="564"/>
      <c r="G774" s="564"/>
      <c r="H774" s="564"/>
      <c r="I774" s="564"/>
      <c r="J774" s="564"/>
      <c r="K774" s="564"/>
      <c r="L774" s="564"/>
      <c r="M774" s="564"/>
      <c r="N774" s="564"/>
      <c r="O774" s="564"/>
      <c r="P774" s="564"/>
      <c r="Q774" s="564"/>
      <c r="R774" s="564"/>
      <c r="S774" s="564"/>
      <c r="T774" s="564"/>
      <c r="U774" s="564"/>
      <c r="V774" s="564"/>
      <c r="W774" s="564"/>
      <c r="X774" s="564"/>
      <c r="Y774" s="564"/>
      <c r="Z774" s="564"/>
      <c r="AA774" s="564"/>
      <c r="AB774" s="556"/>
      <c r="AC774" s="556"/>
      <c r="AD774" s="74"/>
      <c r="AE774" s="74"/>
      <c r="AF774" s="74"/>
      <c r="AG774" s="74"/>
      <c r="AH774" s="74"/>
      <c r="AI774" s="74"/>
      <c r="AJ774" s="74"/>
      <c r="AK774" s="74"/>
      <c r="AL774" s="74"/>
      <c r="AM774" s="74"/>
      <c r="AN774" s="74"/>
      <c r="AO774" s="74"/>
      <c r="AP774" s="74"/>
      <c r="AQ774" s="74"/>
      <c r="AR774" s="74"/>
      <c r="AS774" s="565"/>
      <c r="AT774" s="556"/>
    </row>
    <row r="775" spans="1:46" hidden="1" x14ac:dyDescent="0.45">
      <c r="A775" s="556"/>
      <c r="B775" s="556"/>
      <c r="C775" s="556"/>
      <c r="D775" s="556"/>
      <c r="E775" s="556"/>
      <c r="F775" s="564"/>
      <c r="G775" s="564"/>
      <c r="H775" s="564"/>
      <c r="I775" s="564"/>
      <c r="J775" s="564"/>
      <c r="K775" s="564"/>
      <c r="L775" s="564"/>
      <c r="M775" s="564"/>
      <c r="N775" s="564"/>
      <c r="O775" s="564"/>
      <c r="P775" s="564"/>
      <c r="Q775" s="564"/>
      <c r="R775" s="564"/>
      <c r="S775" s="564"/>
      <c r="T775" s="564"/>
      <c r="U775" s="564"/>
      <c r="V775" s="564"/>
      <c r="W775" s="564"/>
      <c r="X775" s="564"/>
      <c r="Y775" s="564"/>
      <c r="Z775" s="564"/>
      <c r="AA775" s="564"/>
      <c r="AB775" s="556"/>
      <c r="AC775" s="556"/>
      <c r="AD775" s="74"/>
      <c r="AE775" s="74"/>
      <c r="AF775" s="74"/>
      <c r="AG775" s="74"/>
      <c r="AH775" s="74"/>
      <c r="AI775" s="74"/>
      <c r="AJ775" s="74"/>
      <c r="AK775" s="74"/>
      <c r="AL775" s="74"/>
      <c r="AM775" s="74"/>
      <c r="AN775" s="74"/>
      <c r="AO775" s="74"/>
      <c r="AP775" s="74"/>
      <c r="AQ775" s="74"/>
      <c r="AR775" s="74"/>
      <c r="AS775" s="565"/>
      <c r="AT775" s="556"/>
    </row>
    <row r="776" spans="1:46" hidden="1" x14ac:dyDescent="0.45">
      <c r="A776" s="556"/>
      <c r="B776" s="556"/>
      <c r="C776" s="556"/>
      <c r="D776" s="556"/>
      <c r="E776" s="556"/>
      <c r="F776" s="564"/>
      <c r="G776" s="564"/>
      <c r="H776" s="564"/>
      <c r="I776" s="564"/>
      <c r="J776" s="564"/>
      <c r="K776" s="564"/>
      <c r="L776" s="564"/>
      <c r="M776" s="564"/>
      <c r="N776" s="564"/>
      <c r="O776" s="564"/>
      <c r="P776" s="564"/>
      <c r="Q776" s="564"/>
      <c r="R776" s="564"/>
      <c r="S776" s="564"/>
      <c r="T776" s="564"/>
      <c r="U776" s="564"/>
      <c r="V776" s="564"/>
      <c r="W776" s="564"/>
      <c r="X776" s="564"/>
      <c r="Y776" s="564"/>
      <c r="Z776" s="564"/>
      <c r="AA776" s="564"/>
      <c r="AB776" s="556"/>
      <c r="AC776" s="556"/>
      <c r="AD776" s="74"/>
      <c r="AE776" s="74"/>
      <c r="AF776" s="74"/>
      <c r="AG776" s="74"/>
      <c r="AH776" s="74"/>
      <c r="AI776" s="74"/>
      <c r="AJ776" s="74"/>
      <c r="AK776" s="74"/>
      <c r="AL776" s="74"/>
      <c r="AM776" s="74"/>
      <c r="AN776" s="74"/>
      <c r="AO776" s="74"/>
      <c r="AP776" s="74"/>
      <c r="AQ776" s="74"/>
      <c r="AR776" s="74"/>
      <c r="AS776" s="565"/>
      <c r="AT776" s="556"/>
    </row>
    <row r="777" spans="1:46" hidden="1" x14ac:dyDescent="0.45">
      <c r="A777" s="556"/>
      <c r="B777" s="556"/>
      <c r="C777" s="556"/>
      <c r="D777" s="556"/>
      <c r="E777" s="556"/>
      <c r="F777" s="564"/>
      <c r="G777" s="564"/>
      <c r="H777" s="564"/>
      <c r="I777" s="564"/>
      <c r="J777" s="564"/>
      <c r="K777" s="564"/>
      <c r="L777" s="564"/>
      <c r="M777" s="564"/>
      <c r="N777" s="564"/>
      <c r="O777" s="564"/>
      <c r="P777" s="564"/>
      <c r="Q777" s="564"/>
      <c r="R777" s="564"/>
      <c r="S777" s="564"/>
      <c r="T777" s="564"/>
      <c r="U777" s="564"/>
      <c r="V777" s="564"/>
      <c r="W777" s="564"/>
      <c r="X777" s="564"/>
      <c r="Y777" s="564"/>
      <c r="Z777" s="564"/>
      <c r="AA777" s="564"/>
      <c r="AB777" s="556"/>
      <c r="AC777" s="556"/>
      <c r="AD777" s="74"/>
      <c r="AE777" s="74"/>
      <c r="AF777" s="74"/>
      <c r="AG777" s="74"/>
      <c r="AH777" s="74"/>
      <c r="AI777" s="74"/>
      <c r="AJ777" s="74"/>
      <c r="AK777" s="74"/>
      <c r="AL777" s="74"/>
      <c r="AM777" s="74"/>
      <c r="AN777" s="74"/>
      <c r="AO777" s="74"/>
      <c r="AP777" s="74"/>
      <c r="AQ777" s="74"/>
      <c r="AR777" s="74"/>
      <c r="AS777" s="565"/>
      <c r="AT777" s="556"/>
    </row>
    <row r="778" spans="1:46" hidden="1" x14ac:dyDescent="0.45">
      <c r="A778" s="556"/>
      <c r="B778" s="556"/>
      <c r="C778" s="556"/>
      <c r="D778" s="556"/>
      <c r="E778" s="556"/>
      <c r="F778" s="564"/>
      <c r="G778" s="564"/>
      <c r="H778" s="564"/>
      <c r="I778" s="564"/>
      <c r="J778" s="564"/>
      <c r="K778" s="564"/>
      <c r="L778" s="564"/>
      <c r="M778" s="564"/>
      <c r="N778" s="564"/>
      <c r="O778" s="564"/>
      <c r="P778" s="564"/>
      <c r="Q778" s="564"/>
      <c r="R778" s="564"/>
      <c r="S778" s="564"/>
      <c r="T778" s="564"/>
      <c r="U778" s="564"/>
      <c r="V778" s="564"/>
      <c r="W778" s="564"/>
      <c r="X778" s="564"/>
      <c r="Y778" s="564"/>
      <c r="Z778" s="564"/>
      <c r="AA778" s="564"/>
      <c r="AB778" s="556"/>
      <c r="AC778" s="556"/>
      <c r="AD778" s="74"/>
      <c r="AE778" s="74"/>
      <c r="AF778" s="74"/>
      <c r="AG778" s="74"/>
      <c r="AH778" s="74"/>
      <c r="AI778" s="74"/>
      <c r="AJ778" s="74"/>
      <c r="AK778" s="74"/>
      <c r="AL778" s="74"/>
      <c r="AM778" s="74"/>
      <c r="AN778" s="74"/>
      <c r="AO778" s="74"/>
      <c r="AP778" s="74"/>
      <c r="AQ778" s="74"/>
      <c r="AR778" s="74"/>
      <c r="AS778" s="565"/>
      <c r="AT778" s="556"/>
    </row>
    <row r="779" spans="1:46" hidden="1" x14ac:dyDescent="0.45">
      <c r="A779" s="556"/>
      <c r="B779" s="556"/>
      <c r="C779" s="556"/>
      <c r="D779" s="556"/>
      <c r="E779" s="556"/>
      <c r="F779" s="564"/>
      <c r="G779" s="564"/>
      <c r="H779" s="564"/>
      <c r="I779" s="564"/>
      <c r="J779" s="564"/>
      <c r="K779" s="564"/>
      <c r="L779" s="564"/>
      <c r="M779" s="564"/>
      <c r="N779" s="564"/>
      <c r="O779" s="564"/>
      <c r="P779" s="564"/>
      <c r="Q779" s="564"/>
      <c r="R779" s="564"/>
      <c r="S779" s="564"/>
      <c r="T779" s="564"/>
      <c r="U779" s="564"/>
      <c r="V779" s="564"/>
      <c r="W779" s="564"/>
      <c r="X779" s="564"/>
      <c r="Y779" s="564"/>
      <c r="Z779" s="564"/>
      <c r="AA779" s="564"/>
      <c r="AB779" s="556"/>
      <c r="AC779" s="556"/>
      <c r="AD779" s="74"/>
      <c r="AE779" s="74"/>
      <c r="AF779" s="74"/>
      <c r="AG779" s="74"/>
      <c r="AH779" s="74"/>
      <c r="AI779" s="74"/>
      <c r="AJ779" s="74"/>
      <c r="AK779" s="74"/>
      <c r="AL779" s="74"/>
      <c r="AM779" s="74"/>
      <c r="AN779" s="74"/>
      <c r="AO779" s="74"/>
      <c r="AP779" s="74"/>
      <c r="AQ779" s="74"/>
      <c r="AR779" s="74"/>
      <c r="AS779" s="565"/>
      <c r="AT779" s="556"/>
    </row>
    <row r="780" spans="1:46" hidden="1" x14ac:dyDescent="0.45">
      <c r="A780" s="556"/>
      <c r="B780" s="556"/>
      <c r="C780" s="556"/>
      <c r="D780" s="556"/>
      <c r="E780" s="556"/>
      <c r="F780" s="564"/>
      <c r="G780" s="564"/>
      <c r="H780" s="564"/>
      <c r="I780" s="564"/>
      <c r="J780" s="564"/>
      <c r="K780" s="564"/>
      <c r="L780" s="564"/>
      <c r="M780" s="564"/>
      <c r="N780" s="564"/>
      <c r="O780" s="564"/>
      <c r="P780" s="564"/>
      <c r="Q780" s="564"/>
      <c r="R780" s="564"/>
      <c r="S780" s="564"/>
      <c r="T780" s="564"/>
      <c r="U780" s="564"/>
      <c r="V780" s="564"/>
      <c r="W780" s="564"/>
      <c r="X780" s="564"/>
      <c r="Y780" s="564"/>
      <c r="Z780" s="564"/>
      <c r="AA780" s="564"/>
      <c r="AB780" s="556"/>
      <c r="AC780" s="556"/>
      <c r="AD780" s="74"/>
      <c r="AE780" s="74"/>
      <c r="AF780" s="74"/>
      <c r="AG780" s="74"/>
      <c r="AH780" s="74"/>
      <c r="AI780" s="74"/>
      <c r="AJ780" s="74"/>
      <c r="AK780" s="74"/>
      <c r="AL780" s="74"/>
      <c r="AM780" s="74"/>
      <c r="AN780" s="74"/>
      <c r="AO780" s="74"/>
      <c r="AP780" s="74"/>
      <c r="AQ780" s="74"/>
      <c r="AR780" s="74"/>
      <c r="AS780" s="565"/>
      <c r="AT780" s="556"/>
    </row>
    <row r="781" spans="1:46" hidden="1" x14ac:dyDescent="0.45">
      <c r="A781" s="556"/>
      <c r="B781" s="556"/>
      <c r="C781" s="556"/>
      <c r="D781" s="556"/>
      <c r="E781" s="556"/>
      <c r="F781" s="564"/>
      <c r="G781" s="564"/>
      <c r="H781" s="564"/>
      <c r="I781" s="564"/>
      <c r="J781" s="564"/>
      <c r="K781" s="564"/>
      <c r="L781" s="564"/>
      <c r="M781" s="564"/>
      <c r="N781" s="564"/>
      <c r="O781" s="564"/>
      <c r="P781" s="564"/>
      <c r="Q781" s="564"/>
      <c r="R781" s="564"/>
      <c r="S781" s="564"/>
      <c r="T781" s="564"/>
      <c r="U781" s="564"/>
      <c r="V781" s="564"/>
      <c r="W781" s="564"/>
      <c r="X781" s="564"/>
      <c r="Y781" s="564"/>
      <c r="Z781" s="564"/>
      <c r="AA781" s="564"/>
      <c r="AB781" s="556"/>
      <c r="AC781" s="556"/>
      <c r="AD781" s="74"/>
      <c r="AE781" s="74"/>
      <c r="AF781" s="74"/>
      <c r="AG781" s="74"/>
      <c r="AH781" s="74"/>
      <c r="AI781" s="74"/>
      <c r="AJ781" s="74"/>
      <c r="AK781" s="74"/>
      <c r="AL781" s="74"/>
      <c r="AM781" s="74"/>
      <c r="AN781" s="74"/>
      <c r="AO781" s="74"/>
      <c r="AP781" s="74"/>
      <c r="AQ781" s="74"/>
      <c r="AR781" s="74"/>
      <c r="AS781" s="565"/>
      <c r="AT781" s="556"/>
    </row>
    <row r="782" spans="1:46" hidden="1" x14ac:dyDescent="0.45">
      <c r="A782" s="556"/>
      <c r="B782" s="556"/>
      <c r="C782" s="556"/>
      <c r="D782" s="556"/>
      <c r="E782" s="556"/>
      <c r="F782" s="564"/>
      <c r="G782" s="564"/>
      <c r="H782" s="564"/>
      <c r="I782" s="564"/>
      <c r="J782" s="564"/>
      <c r="K782" s="564"/>
      <c r="L782" s="564"/>
      <c r="M782" s="564"/>
      <c r="N782" s="564"/>
      <c r="O782" s="564"/>
      <c r="P782" s="564"/>
      <c r="Q782" s="564"/>
      <c r="R782" s="564"/>
      <c r="S782" s="564"/>
      <c r="T782" s="564"/>
      <c r="U782" s="564"/>
      <c r="V782" s="564"/>
      <c r="W782" s="564"/>
      <c r="X782" s="564"/>
      <c r="Y782" s="564"/>
      <c r="Z782" s="564"/>
      <c r="AA782" s="564"/>
      <c r="AB782" s="556"/>
      <c r="AC782" s="556"/>
      <c r="AD782" s="74"/>
      <c r="AE782" s="74"/>
      <c r="AF782" s="74"/>
      <c r="AG782" s="74"/>
      <c r="AH782" s="74"/>
      <c r="AI782" s="74"/>
      <c r="AJ782" s="74"/>
      <c r="AK782" s="74"/>
      <c r="AL782" s="74"/>
      <c r="AM782" s="74"/>
      <c r="AN782" s="74"/>
      <c r="AO782" s="74"/>
      <c r="AP782" s="74"/>
      <c r="AQ782" s="74"/>
      <c r="AR782" s="74"/>
      <c r="AS782" s="565"/>
      <c r="AT782" s="556"/>
    </row>
    <row r="783" spans="1:46" hidden="1" x14ac:dyDescent="0.45">
      <c r="A783" s="556"/>
      <c r="B783" s="556"/>
      <c r="C783" s="556"/>
      <c r="D783" s="556"/>
      <c r="E783" s="556"/>
      <c r="F783" s="564"/>
      <c r="G783" s="564"/>
      <c r="H783" s="564"/>
      <c r="I783" s="564"/>
      <c r="J783" s="564"/>
      <c r="K783" s="564"/>
      <c r="L783" s="564"/>
      <c r="M783" s="564"/>
      <c r="N783" s="564"/>
      <c r="O783" s="564"/>
      <c r="P783" s="564"/>
      <c r="Q783" s="564"/>
      <c r="R783" s="564"/>
      <c r="S783" s="564"/>
      <c r="T783" s="564"/>
      <c r="U783" s="564"/>
      <c r="V783" s="564"/>
      <c r="W783" s="564"/>
      <c r="X783" s="564"/>
      <c r="Y783" s="564"/>
      <c r="Z783" s="564"/>
      <c r="AA783" s="564"/>
      <c r="AB783" s="556"/>
      <c r="AC783" s="556"/>
      <c r="AD783" s="74"/>
      <c r="AE783" s="74"/>
      <c r="AF783" s="74"/>
      <c r="AG783" s="74"/>
      <c r="AH783" s="74"/>
      <c r="AI783" s="74"/>
      <c r="AJ783" s="74"/>
      <c r="AK783" s="74"/>
      <c r="AL783" s="74"/>
      <c r="AM783" s="74"/>
      <c r="AN783" s="74"/>
      <c r="AO783" s="74"/>
      <c r="AP783" s="74"/>
      <c r="AQ783" s="74"/>
      <c r="AR783" s="74"/>
      <c r="AS783" s="565"/>
      <c r="AT783" s="556"/>
    </row>
    <row r="784" spans="1:46" hidden="1" x14ac:dyDescent="0.45">
      <c r="A784" s="556"/>
      <c r="B784" s="556"/>
      <c r="C784" s="556"/>
      <c r="D784" s="556"/>
      <c r="E784" s="556"/>
      <c r="F784" s="564"/>
      <c r="G784" s="564"/>
      <c r="H784" s="564"/>
      <c r="I784" s="564"/>
      <c r="J784" s="564"/>
      <c r="K784" s="564"/>
      <c r="L784" s="564"/>
      <c r="M784" s="564"/>
      <c r="N784" s="564"/>
      <c r="O784" s="564"/>
      <c r="P784" s="564"/>
      <c r="Q784" s="564"/>
      <c r="R784" s="564"/>
      <c r="S784" s="564"/>
      <c r="T784" s="564"/>
      <c r="U784" s="564"/>
      <c r="V784" s="564"/>
      <c r="W784" s="564"/>
      <c r="X784" s="564"/>
      <c r="Y784" s="564"/>
      <c r="Z784" s="564"/>
      <c r="AA784" s="564"/>
      <c r="AB784" s="556"/>
      <c r="AC784" s="556"/>
      <c r="AD784" s="74"/>
      <c r="AE784" s="74"/>
      <c r="AF784" s="74"/>
      <c r="AG784" s="74"/>
      <c r="AH784" s="74"/>
      <c r="AI784" s="74"/>
      <c r="AJ784" s="74"/>
      <c r="AK784" s="74"/>
      <c r="AL784" s="74"/>
      <c r="AM784" s="74"/>
      <c r="AN784" s="74"/>
      <c r="AO784" s="74"/>
      <c r="AP784" s="74"/>
      <c r="AQ784" s="74"/>
      <c r="AR784" s="74"/>
      <c r="AS784" s="565"/>
      <c r="AT784" s="556"/>
    </row>
    <row r="785" spans="1:46" hidden="1" x14ac:dyDescent="0.45">
      <c r="A785" s="556"/>
      <c r="B785" s="556"/>
      <c r="C785" s="556"/>
      <c r="D785" s="556"/>
      <c r="E785" s="556"/>
      <c r="F785" s="564"/>
      <c r="G785" s="564"/>
      <c r="H785" s="564"/>
      <c r="I785" s="564"/>
      <c r="J785" s="564"/>
      <c r="K785" s="564"/>
      <c r="L785" s="564"/>
      <c r="M785" s="564"/>
      <c r="N785" s="564"/>
      <c r="O785" s="564"/>
      <c r="P785" s="564"/>
      <c r="Q785" s="564"/>
      <c r="R785" s="564"/>
      <c r="S785" s="564"/>
      <c r="T785" s="564"/>
      <c r="U785" s="564"/>
      <c r="V785" s="564"/>
      <c r="W785" s="564"/>
      <c r="X785" s="564"/>
      <c r="Y785" s="564"/>
      <c r="Z785" s="564"/>
      <c r="AA785" s="564"/>
      <c r="AB785" s="556"/>
      <c r="AC785" s="556"/>
      <c r="AD785" s="74"/>
      <c r="AE785" s="74"/>
      <c r="AF785" s="74"/>
      <c r="AG785" s="74"/>
      <c r="AH785" s="74"/>
      <c r="AI785" s="74"/>
      <c r="AJ785" s="74"/>
      <c r="AK785" s="74"/>
      <c r="AL785" s="74"/>
      <c r="AM785" s="74"/>
      <c r="AN785" s="74"/>
      <c r="AO785" s="74"/>
      <c r="AP785" s="74"/>
      <c r="AQ785" s="74"/>
      <c r="AR785" s="74"/>
      <c r="AS785" s="565"/>
      <c r="AT785" s="556"/>
    </row>
    <row r="786" spans="1:46" hidden="1" x14ac:dyDescent="0.45">
      <c r="A786" s="556"/>
      <c r="B786" s="556"/>
      <c r="C786" s="556"/>
      <c r="D786" s="556"/>
      <c r="E786" s="556"/>
      <c r="F786" s="564"/>
      <c r="G786" s="564"/>
      <c r="H786" s="564"/>
      <c r="I786" s="564"/>
      <c r="J786" s="564"/>
      <c r="K786" s="564"/>
      <c r="L786" s="564"/>
      <c r="M786" s="564"/>
      <c r="N786" s="564"/>
      <c r="O786" s="564"/>
      <c r="P786" s="564"/>
      <c r="Q786" s="564"/>
      <c r="R786" s="564"/>
      <c r="S786" s="564"/>
      <c r="T786" s="564"/>
      <c r="U786" s="564"/>
      <c r="V786" s="564"/>
      <c r="W786" s="564"/>
      <c r="X786" s="564"/>
      <c r="Y786" s="564"/>
      <c r="Z786" s="564"/>
      <c r="AA786" s="564"/>
      <c r="AB786" s="556"/>
      <c r="AC786" s="556"/>
      <c r="AD786" s="74"/>
      <c r="AE786" s="74"/>
      <c r="AF786" s="74"/>
      <c r="AG786" s="74"/>
      <c r="AH786" s="74"/>
      <c r="AI786" s="74"/>
      <c r="AJ786" s="74"/>
      <c r="AK786" s="74"/>
      <c r="AL786" s="74"/>
      <c r="AM786" s="74"/>
      <c r="AN786" s="74"/>
      <c r="AO786" s="74"/>
      <c r="AP786" s="74"/>
      <c r="AQ786" s="74"/>
      <c r="AR786" s="74"/>
      <c r="AS786" s="565"/>
      <c r="AT786" s="556"/>
    </row>
    <row r="787" spans="1:46" hidden="1" x14ac:dyDescent="0.45">
      <c r="A787" s="556"/>
      <c r="B787" s="556"/>
      <c r="C787" s="556"/>
      <c r="D787" s="556"/>
      <c r="E787" s="556"/>
      <c r="F787" s="564"/>
      <c r="G787" s="564"/>
      <c r="H787" s="564"/>
      <c r="I787" s="564"/>
      <c r="J787" s="564"/>
      <c r="K787" s="564"/>
      <c r="L787" s="564"/>
      <c r="M787" s="564"/>
      <c r="N787" s="564"/>
      <c r="O787" s="564"/>
      <c r="P787" s="564"/>
      <c r="Q787" s="564"/>
      <c r="R787" s="564"/>
      <c r="S787" s="564"/>
      <c r="T787" s="564"/>
      <c r="U787" s="564"/>
      <c r="V787" s="564"/>
      <c r="W787" s="564"/>
      <c r="X787" s="564"/>
      <c r="Y787" s="564"/>
      <c r="Z787" s="564"/>
      <c r="AA787" s="564"/>
      <c r="AB787" s="556"/>
      <c r="AC787" s="556"/>
      <c r="AD787" s="74"/>
      <c r="AE787" s="74"/>
      <c r="AF787" s="74"/>
      <c r="AG787" s="74"/>
      <c r="AH787" s="74"/>
      <c r="AI787" s="74"/>
      <c r="AJ787" s="74"/>
      <c r="AK787" s="74"/>
      <c r="AL787" s="74"/>
      <c r="AM787" s="74"/>
      <c r="AN787" s="74"/>
      <c r="AO787" s="74"/>
      <c r="AP787" s="74"/>
      <c r="AQ787" s="74"/>
      <c r="AR787" s="74"/>
      <c r="AS787" s="565"/>
      <c r="AT787" s="556"/>
    </row>
    <row r="788" spans="1:46" hidden="1" x14ac:dyDescent="0.45">
      <c r="A788" s="556"/>
      <c r="B788" s="556"/>
      <c r="C788" s="556"/>
      <c r="D788" s="556"/>
      <c r="E788" s="556"/>
      <c r="F788" s="564"/>
      <c r="G788" s="564"/>
      <c r="H788" s="564"/>
      <c r="I788" s="564"/>
      <c r="J788" s="564"/>
      <c r="K788" s="564"/>
      <c r="L788" s="564"/>
      <c r="M788" s="564"/>
      <c r="N788" s="564"/>
      <c r="O788" s="564"/>
      <c r="P788" s="564"/>
      <c r="Q788" s="564"/>
      <c r="R788" s="564"/>
      <c r="S788" s="564"/>
      <c r="T788" s="564"/>
      <c r="U788" s="564"/>
      <c r="V788" s="564"/>
      <c r="W788" s="564"/>
      <c r="X788" s="564"/>
      <c r="Y788" s="564"/>
      <c r="Z788" s="564"/>
      <c r="AA788" s="564"/>
      <c r="AB788" s="556"/>
      <c r="AC788" s="556"/>
      <c r="AD788" s="74"/>
      <c r="AE788" s="74"/>
      <c r="AF788" s="74"/>
      <c r="AG788" s="74"/>
      <c r="AH788" s="74"/>
      <c r="AI788" s="74"/>
      <c r="AJ788" s="74"/>
      <c r="AK788" s="74"/>
      <c r="AL788" s="74"/>
      <c r="AM788" s="74"/>
      <c r="AN788" s="74"/>
      <c r="AO788" s="74"/>
      <c r="AP788" s="74"/>
      <c r="AQ788" s="74"/>
      <c r="AR788" s="74"/>
      <c r="AS788" s="565"/>
      <c r="AT788" s="556"/>
    </row>
    <row r="789" spans="1:46" hidden="1" x14ac:dyDescent="0.45">
      <c r="A789" s="556"/>
      <c r="B789" s="556"/>
      <c r="C789" s="556"/>
      <c r="D789" s="556"/>
      <c r="E789" s="556"/>
      <c r="F789" s="564"/>
      <c r="G789" s="564"/>
      <c r="H789" s="564"/>
      <c r="I789" s="564"/>
      <c r="J789" s="564"/>
      <c r="K789" s="564"/>
      <c r="L789" s="564"/>
      <c r="M789" s="564"/>
      <c r="N789" s="564"/>
      <c r="O789" s="564"/>
      <c r="P789" s="564"/>
      <c r="Q789" s="564"/>
      <c r="R789" s="564"/>
      <c r="S789" s="564"/>
      <c r="T789" s="564"/>
      <c r="U789" s="564"/>
      <c r="V789" s="564"/>
      <c r="W789" s="564"/>
      <c r="X789" s="564"/>
      <c r="Y789" s="564"/>
      <c r="Z789" s="564"/>
      <c r="AA789" s="564"/>
      <c r="AB789" s="556"/>
      <c r="AC789" s="556"/>
      <c r="AD789" s="74"/>
      <c r="AE789" s="74"/>
      <c r="AF789" s="74"/>
      <c r="AG789" s="74"/>
      <c r="AH789" s="74"/>
      <c r="AI789" s="74"/>
      <c r="AJ789" s="74"/>
      <c r="AK789" s="74"/>
      <c r="AL789" s="74"/>
      <c r="AM789" s="74"/>
      <c r="AN789" s="74"/>
      <c r="AO789" s="74"/>
      <c r="AP789" s="74"/>
      <c r="AQ789" s="74"/>
      <c r="AR789" s="74"/>
      <c r="AS789" s="565"/>
      <c r="AT789" s="556"/>
    </row>
    <row r="790" spans="1:46" hidden="1" x14ac:dyDescent="0.45">
      <c r="A790" s="556"/>
      <c r="B790" s="556"/>
      <c r="C790" s="556"/>
      <c r="D790" s="556"/>
      <c r="E790" s="556"/>
      <c r="F790" s="564"/>
      <c r="G790" s="564"/>
      <c r="H790" s="564"/>
      <c r="I790" s="564"/>
      <c r="J790" s="564"/>
      <c r="K790" s="564"/>
      <c r="L790" s="564"/>
      <c r="M790" s="564"/>
      <c r="N790" s="564"/>
      <c r="O790" s="564"/>
      <c r="P790" s="564"/>
      <c r="Q790" s="564"/>
      <c r="R790" s="564"/>
      <c r="S790" s="564"/>
      <c r="T790" s="564"/>
      <c r="U790" s="564"/>
      <c r="V790" s="564"/>
      <c r="W790" s="564"/>
      <c r="X790" s="564"/>
      <c r="Y790" s="564"/>
      <c r="Z790" s="564"/>
      <c r="AA790" s="564"/>
      <c r="AB790" s="556"/>
      <c r="AC790" s="556"/>
      <c r="AD790" s="74"/>
      <c r="AE790" s="74"/>
      <c r="AF790" s="74"/>
      <c r="AG790" s="74"/>
      <c r="AH790" s="74"/>
      <c r="AI790" s="74"/>
      <c r="AJ790" s="74"/>
      <c r="AK790" s="74"/>
      <c r="AL790" s="74"/>
      <c r="AM790" s="74"/>
      <c r="AN790" s="74"/>
      <c r="AO790" s="74"/>
      <c r="AP790" s="74"/>
      <c r="AQ790" s="74"/>
      <c r="AR790" s="74"/>
      <c r="AS790" s="565"/>
      <c r="AT790" s="556"/>
    </row>
    <row r="791" spans="1:46" hidden="1" x14ac:dyDescent="0.45">
      <c r="A791" s="556"/>
      <c r="B791" s="556"/>
      <c r="C791" s="556"/>
      <c r="D791" s="556"/>
      <c r="E791" s="556"/>
      <c r="F791" s="564"/>
      <c r="G791" s="564"/>
      <c r="H791" s="564"/>
      <c r="I791" s="564"/>
      <c r="J791" s="564"/>
      <c r="K791" s="564"/>
      <c r="L791" s="564"/>
      <c r="M791" s="564"/>
      <c r="N791" s="564"/>
      <c r="O791" s="564"/>
      <c r="P791" s="564"/>
      <c r="Q791" s="564"/>
      <c r="R791" s="564"/>
      <c r="S791" s="564"/>
      <c r="T791" s="564"/>
      <c r="U791" s="564"/>
      <c r="V791" s="564"/>
      <c r="W791" s="564"/>
      <c r="X791" s="564"/>
      <c r="Y791" s="564"/>
      <c r="Z791" s="564"/>
      <c r="AA791" s="564"/>
      <c r="AB791" s="556"/>
      <c r="AC791" s="556"/>
      <c r="AD791" s="74"/>
      <c r="AE791" s="74"/>
      <c r="AF791" s="74"/>
      <c r="AG791" s="74"/>
      <c r="AH791" s="74"/>
      <c r="AI791" s="74"/>
      <c r="AJ791" s="74"/>
      <c r="AK791" s="74"/>
      <c r="AL791" s="74"/>
      <c r="AM791" s="74"/>
      <c r="AN791" s="74"/>
      <c r="AO791" s="74"/>
      <c r="AP791" s="74"/>
      <c r="AQ791" s="74"/>
      <c r="AR791" s="74"/>
      <c r="AS791" s="565"/>
      <c r="AT791" s="556"/>
    </row>
    <row r="792" spans="1:46" hidden="1" x14ac:dyDescent="0.45">
      <c r="A792" s="556"/>
      <c r="B792" s="556"/>
      <c r="C792" s="556"/>
      <c r="D792" s="556"/>
      <c r="E792" s="556"/>
      <c r="F792" s="564"/>
      <c r="G792" s="564"/>
      <c r="H792" s="564"/>
      <c r="I792" s="564"/>
      <c r="J792" s="564"/>
      <c r="K792" s="564"/>
      <c r="L792" s="564"/>
      <c r="M792" s="564"/>
      <c r="N792" s="564"/>
      <c r="O792" s="564"/>
      <c r="P792" s="564"/>
      <c r="Q792" s="564"/>
      <c r="R792" s="564"/>
      <c r="S792" s="564"/>
      <c r="T792" s="564"/>
      <c r="U792" s="564"/>
      <c r="V792" s="564"/>
      <c r="W792" s="564"/>
      <c r="X792" s="564"/>
      <c r="Y792" s="564"/>
      <c r="Z792" s="564"/>
      <c r="AA792" s="564"/>
      <c r="AB792" s="556"/>
      <c r="AC792" s="556"/>
      <c r="AD792" s="74"/>
      <c r="AE792" s="74"/>
      <c r="AF792" s="74"/>
      <c r="AG792" s="74"/>
      <c r="AH792" s="74"/>
      <c r="AI792" s="74"/>
      <c r="AJ792" s="74"/>
      <c r="AK792" s="74"/>
      <c r="AL792" s="74"/>
      <c r="AM792" s="74"/>
      <c r="AN792" s="74"/>
      <c r="AO792" s="74"/>
      <c r="AP792" s="74"/>
      <c r="AQ792" s="74"/>
      <c r="AR792" s="74"/>
      <c r="AS792" s="565"/>
      <c r="AT792" s="556"/>
    </row>
    <row r="793" spans="1:46" hidden="1" x14ac:dyDescent="0.45">
      <c r="A793" s="556"/>
      <c r="B793" s="556"/>
      <c r="C793" s="556"/>
      <c r="D793" s="556"/>
      <c r="E793" s="556"/>
      <c r="F793" s="564"/>
      <c r="G793" s="564"/>
      <c r="H793" s="564"/>
      <c r="I793" s="564"/>
      <c r="J793" s="564"/>
      <c r="K793" s="564"/>
      <c r="L793" s="564"/>
      <c r="M793" s="564"/>
      <c r="N793" s="564"/>
      <c r="O793" s="564"/>
      <c r="P793" s="564"/>
      <c r="Q793" s="564"/>
      <c r="R793" s="564"/>
      <c r="S793" s="564"/>
      <c r="T793" s="564"/>
      <c r="U793" s="564"/>
      <c r="V793" s="564"/>
      <c r="W793" s="564"/>
      <c r="X793" s="564"/>
      <c r="Y793" s="564"/>
      <c r="Z793" s="564"/>
      <c r="AA793" s="564"/>
      <c r="AB793" s="556"/>
      <c r="AC793" s="556"/>
      <c r="AD793" s="74"/>
      <c r="AE793" s="74"/>
      <c r="AF793" s="74"/>
      <c r="AG793" s="74"/>
      <c r="AH793" s="74"/>
      <c r="AI793" s="74"/>
      <c r="AJ793" s="74"/>
      <c r="AK793" s="74"/>
      <c r="AL793" s="74"/>
      <c r="AM793" s="74"/>
      <c r="AN793" s="74"/>
      <c r="AO793" s="74"/>
      <c r="AP793" s="74"/>
      <c r="AQ793" s="74"/>
      <c r="AR793" s="74"/>
      <c r="AS793" s="565"/>
      <c r="AT793" s="556"/>
    </row>
    <row r="794" spans="1:46" hidden="1" x14ac:dyDescent="0.45">
      <c r="A794" s="556"/>
      <c r="B794" s="556"/>
      <c r="C794" s="556"/>
      <c r="D794" s="556"/>
      <c r="E794" s="556"/>
      <c r="F794" s="564"/>
      <c r="G794" s="564"/>
      <c r="H794" s="564"/>
      <c r="I794" s="564"/>
      <c r="J794" s="564"/>
      <c r="K794" s="564"/>
      <c r="L794" s="564"/>
      <c r="M794" s="564"/>
      <c r="N794" s="564"/>
      <c r="O794" s="564"/>
      <c r="P794" s="564"/>
      <c r="Q794" s="564"/>
      <c r="R794" s="564"/>
      <c r="S794" s="564"/>
      <c r="T794" s="564"/>
      <c r="U794" s="564"/>
      <c r="V794" s="564"/>
      <c r="W794" s="564"/>
      <c r="X794" s="564"/>
      <c r="Y794" s="564"/>
      <c r="Z794" s="564"/>
      <c r="AA794" s="564"/>
      <c r="AB794" s="556"/>
      <c r="AC794" s="556"/>
      <c r="AD794" s="74"/>
      <c r="AE794" s="74"/>
      <c r="AF794" s="74"/>
      <c r="AG794" s="74"/>
      <c r="AH794" s="74"/>
      <c r="AI794" s="74"/>
      <c r="AJ794" s="74"/>
      <c r="AK794" s="74"/>
      <c r="AL794" s="74"/>
      <c r="AM794" s="74"/>
      <c r="AN794" s="74"/>
      <c r="AO794" s="74"/>
      <c r="AP794" s="74"/>
      <c r="AQ794" s="74"/>
      <c r="AR794" s="74"/>
      <c r="AS794" s="565"/>
      <c r="AT794" s="556"/>
    </row>
    <row r="795" spans="1:46" hidden="1" x14ac:dyDescent="0.45">
      <c r="A795" s="556"/>
      <c r="B795" s="556"/>
      <c r="C795" s="556"/>
      <c r="D795" s="556"/>
      <c r="E795" s="556"/>
      <c r="F795" s="564"/>
      <c r="G795" s="564"/>
      <c r="H795" s="564"/>
      <c r="I795" s="564"/>
      <c r="J795" s="564"/>
      <c r="K795" s="564"/>
      <c r="L795" s="564"/>
      <c r="M795" s="564"/>
      <c r="N795" s="564"/>
      <c r="O795" s="564"/>
      <c r="P795" s="564"/>
      <c r="Q795" s="564"/>
      <c r="R795" s="564"/>
      <c r="S795" s="564"/>
      <c r="T795" s="564"/>
      <c r="U795" s="564"/>
      <c r="V795" s="564"/>
      <c r="W795" s="564"/>
      <c r="X795" s="564"/>
      <c r="Y795" s="564"/>
      <c r="Z795" s="564"/>
      <c r="AA795" s="564"/>
      <c r="AB795" s="556"/>
      <c r="AC795" s="556"/>
      <c r="AD795" s="74"/>
      <c r="AE795" s="74"/>
      <c r="AF795" s="74"/>
      <c r="AG795" s="74"/>
      <c r="AH795" s="74"/>
      <c r="AI795" s="74"/>
      <c r="AJ795" s="74"/>
      <c r="AK795" s="74"/>
      <c r="AL795" s="74"/>
      <c r="AM795" s="74"/>
      <c r="AN795" s="74"/>
      <c r="AO795" s="74"/>
      <c r="AP795" s="74"/>
      <c r="AQ795" s="74"/>
      <c r="AR795" s="74"/>
      <c r="AS795" s="565"/>
      <c r="AT795" s="556"/>
    </row>
    <row r="796" spans="1:46" hidden="1" x14ac:dyDescent="0.45">
      <c r="A796" s="556"/>
      <c r="B796" s="556"/>
      <c r="C796" s="556"/>
      <c r="D796" s="556"/>
      <c r="E796" s="556"/>
      <c r="F796" s="564"/>
      <c r="G796" s="564"/>
      <c r="H796" s="564"/>
      <c r="I796" s="564"/>
      <c r="J796" s="564"/>
      <c r="K796" s="564"/>
      <c r="L796" s="564"/>
      <c r="M796" s="564"/>
      <c r="N796" s="564"/>
      <c r="O796" s="564"/>
      <c r="P796" s="564"/>
      <c r="Q796" s="564"/>
      <c r="R796" s="564"/>
      <c r="S796" s="564"/>
      <c r="T796" s="564"/>
      <c r="U796" s="564"/>
      <c r="V796" s="564"/>
      <c r="W796" s="564"/>
      <c r="X796" s="564"/>
      <c r="Y796" s="564"/>
      <c r="Z796" s="564"/>
      <c r="AA796" s="564"/>
      <c r="AB796" s="556"/>
      <c r="AC796" s="556"/>
      <c r="AD796" s="74"/>
      <c r="AE796" s="74"/>
      <c r="AF796" s="74"/>
      <c r="AG796" s="74"/>
      <c r="AH796" s="74"/>
      <c r="AI796" s="74"/>
      <c r="AJ796" s="74"/>
      <c r="AK796" s="74"/>
      <c r="AL796" s="74"/>
      <c r="AM796" s="74"/>
      <c r="AN796" s="74"/>
      <c r="AO796" s="74"/>
      <c r="AP796" s="74"/>
      <c r="AQ796" s="74"/>
      <c r="AR796" s="74"/>
      <c r="AS796" s="565"/>
      <c r="AT796" s="556"/>
    </row>
    <row r="797" spans="1:46" hidden="1" x14ac:dyDescent="0.45">
      <c r="A797" s="556"/>
      <c r="B797" s="556"/>
      <c r="C797" s="556"/>
      <c r="D797" s="556"/>
      <c r="E797" s="556"/>
      <c r="F797" s="564"/>
      <c r="G797" s="564"/>
      <c r="H797" s="564"/>
      <c r="I797" s="564"/>
      <c r="J797" s="564"/>
      <c r="K797" s="564"/>
      <c r="L797" s="564"/>
      <c r="M797" s="564"/>
      <c r="N797" s="564"/>
      <c r="O797" s="564"/>
      <c r="P797" s="564"/>
      <c r="Q797" s="564"/>
      <c r="R797" s="564"/>
      <c r="S797" s="564"/>
      <c r="T797" s="564"/>
      <c r="U797" s="564"/>
      <c r="V797" s="564"/>
      <c r="W797" s="564"/>
      <c r="X797" s="564"/>
      <c r="Y797" s="564"/>
      <c r="Z797" s="564"/>
      <c r="AA797" s="564"/>
      <c r="AB797" s="556"/>
      <c r="AC797" s="556"/>
      <c r="AD797" s="74"/>
      <c r="AE797" s="74"/>
      <c r="AF797" s="74"/>
      <c r="AG797" s="74"/>
      <c r="AH797" s="74"/>
      <c r="AI797" s="74"/>
      <c r="AJ797" s="74"/>
      <c r="AK797" s="74"/>
      <c r="AL797" s="74"/>
      <c r="AM797" s="74"/>
      <c r="AN797" s="74"/>
      <c r="AO797" s="74"/>
      <c r="AP797" s="74"/>
      <c r="AQ797" s="74"/>
      <c r="AR797" s="74"/>
      <c r="AS797" s="565"/>
      <c r="AT797" s="556"/>
    </row>
    <row r="798" spans="1:46" hidden="1" x14ac:dyDescent="0.45">
      <c r="A798" s="556"/>
      <c r="B798" s="556"/>
      <c r="C798" s="556"/>
      <c r="D798" s="556"/>
      <c r="E798" s="556"/>
      <c r="F798" s="564"/>
      <c r="G798" s="564"/>
      <c r="H798" s="564"/>
      <c r="I798" s="564"/>
      <c r="J798" s="564"/>
      <c r="K798" s="564"/>
      <c r="L798" s="564"/>
      <c r="M798" s="564"/>
      <c r="N798" s="564"/>
      <c r="O798" s="564"/>
      <c r="P798" s="564"/>
      <c r="Q798" s="564"/>
      <c r="R798" s="564"/>
      <c r="S798" s="564"/>
      <c r="T798" s="564"/>
      <c r="U798" s="564"/>
      <c r="V798" s="564"/>
      <c r="W798" s="564"/>
      <c r="X798" s="564"/>
      <c r="Y798" s="564"/>
      <c r="Z798" s="564"/>
      <c r="AA798" s="564"/>
      <c r="AB798" s="556"/>
      <c r="AC798" s="556"/>
      <c r="AD798" s="74"/>
      <c r="AE798" s="74"/>
      <c r="AF798" s="74"/>
      <c r="AG798" s="74"/>
      <c r="AH798" s="74"/>
      <c r="AI798" s="74"/>
      <c r="AJ798" s="74"/>
      <c r="AK798" s="74"/>
      <c r="AL798" s="74"/>
      <c r="AM798" s="74"/>
      <c r="AN798" s="74"/>
      <c r="AO798" s="74"/>
      <c r="AP798" s="74"/>
      <c r="AQ798" s="74"/>
      <c r="AR798" s="74"/>
      <c r="AS798" s="565"/>
      <c r="AT798" s="556"/>
    </row>
    <row r="799" spans="1:46" hidden="1" x14ac:dyDescent="0.45">
      <c r="A799" s="556"/>
      <c r="B799" s="556"/>
      <c r="C799" s="556"/>
      <c r="D799" s="556"/>
      <c r="E799" s="556"/>
      <c r="F799" s="564"/>
      <c r="G799" s="564"/>
      <c r="H799" s="564"/>
      <c r="I799" s="564"/>
      <c r="J799" s="564"/>
      <c r="K799" s="564"/>
      <c r="L799" s="564"/>
      <c r="M799" s="564"/>
      <c r="N799" s="564"/>
      <c r="O799" s="564"/>
      <c r="P799" s="564"/>
      <c r="Q799" s="564"/>
      <c r="R799" s="564"/>
      <c r="S799" s="564"/>
      <c r="T799" s="564"/>
      <c r="U799" s="564"/>
      <c r="V799" s="564"/>
      <c r="W799" s="564"/>
      <c r="X799" s="564"/>
      <c r="Y799" s="564"/>
      <c r="Z799" s="564"/>
      <c r="AA799" s="564"/>
      <c r="AB799" s="556"/>
      <c r="AC799" s="556"/>
      <c r="AD799" s="74"/>
      <c r="AE799" s="74"/>
      <c r="AF799" s="74"/>
      <c r="AG799" s="74"/>
      <c r="AH799" s="74"/>
      <c r="AI799" s="74"/>
      <c r="AJ799" s="74"/>
      <c r="AK799" s="74"/>
      <c r="AL799" s="74"/>
      <c r="AM799" s="74"/>
      <c r="AN799" s="74"/>
      <c r="AO799" s="74"/>
      <c r="AP799" s="74"/>
      <c r="AQ799" s="74"/>
      <c r="AR799" s="74"/>
      <c r="AS799" s="565"/>
      <c r="AT799" s="556"/>
    </row>
    <row r="800" spans="1:46" hidden="1" x14ac:dyDescent="0.45">
      <c r="A800" s="556"/>
      <c r="B800" s="556"/>
      <c r="C800" s="556"/>
      <c r="D800" s="556"/>
      <c r="E800" s="556"/>
      <c r="F800" s="564"/>
      <c r="G800" s="564"/>
      <c r="H800" s="564"/>
      <c r="I800" s="564"/>
      <c r="J800" s="564"/>
      <c r="K800" s="564"/>
      <c r="L800" s="564"/>
      <c r="M800" s="564"/>
      <c r="N800" s="564"/>
      <c r="O800" s="564"/>
      <c r="P800" s="564"/>
      <c r="Q800" s="564"/>
      <c r="R800" s="564"/>
      <c r="S800" s="564"/>
      <c r="T800" s="564"/>
      <c r="U800" s="564"/>
      <c r="V800" s="564"/>
      <c r="W800" s="564"/>
      <c r="X800" s="564"/>
      <c r="Y800" s="564"/>
      <c r="Z800" s="564"/>
      <c r="AA800" s="564"/>
      <c r="AB800" s="556"/>
      <c r="AC800" s="556"/>
      <c r="AD800" s="74"/>
      <c r="AE800" s="74"/>
      <c r="AF800" s="74"/>
      <c r="AG800" s="74"/>
      <c r="AH800" s="74"/>
      <c r="AI800" s="74"/>
      <c r="AJ800" s="74"/>
      <c r="AK800" s="74"/>
      <c r="AL800" s="74"/>
      <c r="AM800" s="74"/>
      <c r="AN800" s="74"/>
      <c r="AO800" s="74"/>
      <c r="AP800" s="74"/>
      <c r="AQ800" s="74"/>
      <c r="AR800" s="74"/>
      <c r="AS800" s="565"/>
      <c r="AT800" s="556"/>
    </row>
    <row r="801" spans="1:46" hidden="1" x14ac:dyDescent="0.45">
      <c r="A801" s="556"/>
      <c r="B801" s="556"/>
      <c r="C801" s="556"/>
      <c r="D801" s="556"/>
      <c r="E801" s="556"/>
      <c r="F801" s="564"/>
      <c r="G801" s="564"/>
      <c r="H801" s="564"/>
      <c r="I801" s="564"/>
      <c r="J801" s="564"/>
      <c r="K801" s="564"/>
      <c r="L801" s="564"/>
      <c r="M801" s="564"/>
      <c r="N801" s="564"/>
      <c r="O801" s="564"/>
      <c r="P801" s="564"/>
      <c r="Q801" s="564"/>
      <c r="R801" s="564"/>
      <c r="S801" s="564"/>
      <c r="T801" s="564"/>
      <c r="U801" s="564"/>
      <c r="V801" s="564"/>
      <c r="W801" s="564"/>
      <c r="X801" s="564"/>
      <c r="Y801" s="564"/>
      <c r="Z801" s="564"/>
      <c r="AA801" s="564"/>
      <c r="AB801" s="556"/>
      <c r="AC801" s="556"/>
      <c r="AD801" s="74"/>
      <c r="AE801" s="74"/>
      <c r="AF801" s="74"/>
      <c r="AG801" s="74"/>
      <c r="AH801" s="74"/>
      <c r="AI801" s="74"/>
      <c r="AJ801" s="74"/>
      <c r="AK801" s="74"/>
      <c r="AL801" s="74"/>
      <c r="AM801" s="74"/>
      <c r="AN801" s="74"/>
      <c r="AO801" s="74"/>
      <c r="AP801" s="74"/>
      <c r="AQ801" s="74"/>
      <c r="AR801" s="74"/>
      <c r="AS801" s="565"/>
      <c r="AT801" s="556"/>
    </row>
    <row r="802" spans="1:46" hidden="1" x14ac:dyDescent="0.45">
      <c r="A802" s="556"/>
      <c r="B802" s="556"/>
      <c r="C802" s="556"/>
      <c r="D802" s="556"/>
      <c r="E802" s="556"/>
      <c r="F802" s="564"/>
      <c r="G802" s="564"/>
      <c r="H802" s="564"/>
      <c r="I802" s="564"/>
      <c r="J802" s="564"/>
      <c r="K802" s="564"/>
      <c r="L802" s="564"/>
      <c r="M802" s="564"/>
      <c r="N802" s="564"/>
      <c r="O802" s="564"/>
      <c r="P802" s="564"/>
      <c r="Q802" s="564"/>
      <c r="R802" s="564"/>
      <c r="S802" s="564"/>
      <c r="T802" s="564"/>
      <c r="U802" s="564"/>
      <c r="V802" s="564"/>
      <c r="W802" s="564"/>
      <c r="X802" s="564"/>
      <c r="Y802" s="564"/>
      <c r="Z802" s="564"/>
      <c r="AA802" s="564"/>
      <c r="AB802" s="556"/>
      <c r="AC802" s="556"/>
      <c r="AD802" s="74"/>
      <c r="AE802" s="74"/>
      <c r="AF802" s="74"/>
      <c r="AG802" s="74"/>
      <c r="AH802" s="74"/>
      <c r="AI802" s="74"/>
      <c r="AJ802" s="74"/>
      <c r="AK802" s="74"/>
      <c r="AL802" s="74"/>
      <c r="AM802" s="74"/>
      <c r="AN802" s="74"/>
      <c r="AO802" s="74"/>
      <c r="AP802" s="74"/>
      <c r="AQ802" s="74"/>
      <c r="AR802" s="74"/>
      <c r="AS802" s="565"/>
      <c r="AT802" s="556"/>
    </row>
    <row r="803" spans="1:46" hidden="1" x14ac:dyDescent="0.45">
      <c r="A803" s="556"/>
      <c r="B803" s="556"/>
      <c r="C803" s="556"/>
      <c r="D803" s="556"/>
      <c r="E803" s="556"/>
      <c r="F803" s="564"/>
      <c r="G803" s="564"/>
      <c r="H803" s="564"/>
      <c r="I803" s="564"/>
      <c r="J803" s="564"/>
      <c r="K803" s="564"/>
      <c r="L803" s="564"/>
      <c r="M803" s="564"/>
      <c r="N803" s="564"/>
      <c r="O803" s="564"/>
      <c r="P803" s="564"/>
      <c r="Q803" s="564"/>
      <c r="R803" s="564"/>
      <c r="S803" s="564"/>
      <c r="T803" s="564"/>
      <c r="U803" s="564"/>
      <c r="V803" s="564"/>
      <c r="W803" s="564"/>
      <c r="X803" s="564"/>
      <c r="Y803" s="564"/>
      <c r="Z803" s="564"/>
      <c r="AA803" s="564"/>
      <c r="AB803" s="556"/>
      <c r="AC803" s="556"/>
      <c r="AD803" s="74"/>
      <c r="AE803" s="74"/>
      <c r="AF803" s="74"/>
      <c r="AG803" s="74"/>
      <c r="AH803" s="74"/>
      <c r="AI803" s="74"/>
      <c r="AJ803" s="74"/>
      <c r="AK803" s="74"/>
      <c r="AL803" s="74"/>
      <c r="AM803" s="74"/>
      <c r="AN803" s="74"/>
      <c r="AO803" s="74"/>
      <c r="AP803" s="74"/>
      <c r="AQ803" s="74"/>
      <c r="AR803" s="74"/>
      <c r="AS803" s="565"/>
      <c r="AT803" s="556"/>
    </row>
    <row r="804" spans="1:46" hidden="1" x14ac:dyDescent="0.45">
      <c r="A804" s="556"/>
      <c r="B804" s="556"/>
      <c r="C804" s="556"/>
      <c r="D804" s="556"/>
      <c r="E804" s="556"/>
      <c r="F804" s="564"/>
      <c r="G804" s="564"/>
      <c r="H804" s="564"/>
      <c r="I804" s="564"/>
      <c r="J804" s="564"/>
      <c r="K804" s="564"/>
      <c r="L804" s="564"/>
      <c r="M804" s="564"/>
      <c r="N804" s="564"/>
      <c r="O804" s="564"/>
      <c r="P804" s="564"/>
      <c r="Q804" s="564"/>
      <c r="R804" s="564"/>
      <c r="S804" s="564"/>
      <c r="T804" s="564"/>
      <c r="U804" s="564"/>
      <c r="V804" s="564"/>
      <c r="W804" s="564"/>
      <c r="X804" s="564"/>
      <c r="Y804" s="564"/>
      <c r="Z804" s="564"/>
      <c r="AA804" s="564"/>
      <c r="AB804" s="556"/>
      <c r="AC804" s="556"/>
      <c r="AD804" s="74"/>
      <c r="AE804" s="74"/>
      <c r="AF804" s="74"/>
      <c r="AG804" s="74"/>
      <c r="AH804" s="74"/>
      <c r="AI804" s="74"/>
      <c r="AJ804" s="74"/>
      <c r="AK804" s="74"/>
      <c r="AL804" s="74"/>
      <c r="AM804" s="74"/>
      <c r="AN804" s="74"/>
      <c r="AO804" s="74"/>
      <c r="AP804" s="74"/>
      <c r="AQ804" s="74"/>
      <c r="AR804" s="74"/>
      <c r="AS804" s="565"/>
      <c r="AT804" s="556"/>
    </row>
    <row r="805" spans="1:46" hidden="1" x14ac:dyDescent="0.45">
      <c r="A805" s="556"/>
      <c r="B805" s="556"/>
      <c r="C805" s="556"/>
      <c r="D805" s="556"/>
      <c r="E805" s="556"/>
      <c r="F805" s="564"/>
      <c r="G805" s="564"/>
      <c r="H805" s="564"/>
      <c r="I805" s="564"/>
      <c r="J805" s="564"/>
      <c r="K805" s="564"/>
      <c r="L805" s="564"/>
      <c r="M805" s="564"/>
      <c r="N805" s="564"/>
      <c r="O805" s="564"/>
      <c r="P805" s="564"/>
      <c r="Q805" s="564"/>
      <c r="R805" s="564"/>
      <c r="S805" s="564"/>
      <c r="T805" s="564"/>
      <c r="U805" s="564"/>
      <c r="V805" s="564"/>
      <c r="W805" s="564"/>
      <c r="X805" s="564"/>
      <c r="Y805" s="564"/>
      <c r="Z805" s="564"/>
      <c r="AA805" s="564"/>
      <c r="AB805" s="556"/>
      <c r="AC805" s="556"/>
      <c r="AD805" s="74"/>
      <c r="AE805" s="74"/>
      <c r="AF805" s="74"/>
      <c r="AG805" s="74"/>
      <c r="AH805" s="74"/>
      <c r="AI805" s="74"/>
      <c r="AJ805" s="74"/>
      <c r="AK805" s="74"/>
      <c r="AL805" s="74"/>
      <c r="AM805" s="74"/>
      <c r="AN805" s="74"/>
      <c r="AO805" s="74"/>
      <c r="AP805" s="74"/>
      <c r="AQ805" s="74"/>
      <c r="AR805" s="74"/>
      <c r="AS805" s="565"/>
      <c r="AT805" s="556"/>
    </row>
    <row r="806" spans="1:46" hidden="1" x14ac:dyDescent="0.45">
      <c r="A806" s="556"/>
      <c r="B806" s="556"/>
      <c r="C806" s="556"/>
      <c r="D806" s="556"/>
      <c r="E806" s="556"/>
      <c r="F806" s="564"/>
      <c r="G806" s="564"/>
      <c r="H806" s="564"/>
      <c r="I806" s="564"/>
      <c r="J806" s="564"/>
      <c r="K806" s="564"/>
      <c r="L806" s="564"/>
      <c r="M806" s="564"/>
      <c r="N806" s="564"/>
      <c r="O806" s="564"/>
      <c r="P806" s="564"/>
      <c r="Q806" s="564"/>
      <c r="R806" s="564"/>
      <c r="S806" s="564"/>
      <c r="T806" s="564"/>
      <c r="U806" s="564"/>
      <c r="V806" s="564"/>
      <c r="W806" s="564"/>
      <c r="X806" s="564"/>
      <c r="Y806" s="564"/>
      <c r="Z806" s="564"/>
      <c r="AA806" s="564"/>
      <c r="AB806" s="556"/>
      <c r="AC806" s="556"/>
      <c r="AD806" s="74"/>
      <c r="AE806" s="74"/>
      <c r="AF806" s="74"/>
      <c r="AG806" s="74"/>
      <c r="AH806" s="74"/>
      <c r="AI806" s="74"/>
      <c r="AJ806" s="74"/>
      <c r="AK806" s="74"/>
      <c r="AL806" s="74"/>
      <c r="AM806" s="74"/>
      <c r="AN806" s="74"/>
      <c r="AO806" s="74"/>
      <c r="AP806" s="74"/>
      <c r="AQ806" s="74"/>
      <c r="AR806" s="74"/>
      <c r="AS806" s="565"/>
      <c r="AT806" s="556"/>
    </row>
    <row r="807" spans="1:46" hidden="1" x14ac:dyDescent="0.45">
      <c r="A807" s="556"/>
      <c r="B807" s="556"/>
      <c r="C807" s="556"/>
      <c r="D807" s="556"/>
      <c r="E807" s="556"/>
      <c r="F807" s="564"/>
      <c r="G807" s="564"/>
      <c r="H807" s="564"/>
      <c r="I807" s="564"/>
      <c r="J807" s="564"/>
      <c r="K807" s="564"/>
      <c r="L807" s="564"/>
      <c r="M807" s="564"/>
      <c r="N807" s="564"/>
      <c r="O807" s="564"/>
      <c r="P807" s="564"/>
      <c r="Q807" s="564"/>
      <c r="R807" s="564"/>
      <c r="S807" s="564"/>
      <c r="T807" s="564"/>
      <c r="U807" s="564"/>
      <c r="V807" s="564"/>
      <c r="W807" s="564"/>
      <c r="X807" s="564"/>
      <c r="Y807" s="564"/>
      <c r="Z807" s="564"/>
      <c r="AA807" s="564"/>
      <c r="AB807" s="556"/>
      <c r="AC807" s="556"/>
      <c r="AD807" s="74"/>
      <c r="AE807" s="74"/>
      <c r="AF807" s="74"/>
      <c r="AG807" s="74"/>
      <c r="AH807" s="74"/>
      <c r="AI807" s="74"/>
      <c r="AJ807" s="74"/>
      <c r="AK807" s="74"/>
      <c r="AL807" s="74"/>
      <c r="AM807" s="74"/>
      <c r="AN807" s="74"/>
      <c r="AO807" s="74"/>
      <c r="AP807" s="74"/>
      <c r="AQ807" s="74"/>
      <c r="AR807" s="74"/>
      <c r="AS807" s="565"/>
      <c r="AT807" s="556"/>
    </row>
    <row r="808" spans="1:46" hidden="1" x14ac:dyDescent="0.45">
      <c r="A808" s="556"/>
      <c r="B808" s="556"/>
      <c r="C808" s="556"/>
      <c r="D808" s="556"/>
      <c r="E808" s="556"/>
      <c r="F808" s="564"/>
      <c r="G808" s="564"/>
      <c r="H808" s="564"/>
      <c r="I808" s="564"/>
      <c r="J808" s="564"/>
      <c r="K808" s="564"/>
      <c r="L808" s="564"/>
      <c r="M808" s="564"/>
      <c r="N808" s="564"/>
      <c r="O808" s="564"/>
      <c r="P808" s="564"/>
      <c r="Q808" s="564"/>
      <c r="R808" s="564"/>
      <c r="S808" s="564"/>
      <c r="T808" s="564"/>
      <c r="U808" s="564"/>
      <c r="V808" s="564"/>
      <c r="W808" s="564"/>
      <c r="X808" s="564"/>
      <c r="Y808" s="564"/>
      <c r="Z808" s="564"/>
      <c r="AA808" s="564"/>
      <c r="AB808" s="556"/>
      <c r="AC808" s="556"/>
      <c r="AD808" s="74"/>
      <c r="AE808" s="74"/>
      <c r="AF808" s="74"/>
      <c r="AG808" s="74"/>
      <c r="AH808" s="74"/>
      <c r="AI808" s="74"/>
      <c r="AJ808" s="74"/>
      <c r="AK808" s="74"/>
      <c r="AL808" s="74"/>
      <c r="AM808" s="74"/>
      <c r="AN808" s="74"/>
      <c r="AO808" s="74"/>
      <c r="AP808" s="74"/>
      <c r="AQ808" s="74"/>
      <c r="AR808" s="74"/>
      <c r="AS808" s="565"/>
      <c r="AT808" s="556"/>
    </row>
    <row r="809" spans="1:46" hidden="1" x14ac:dyDescent="0.45">
      <c r="A809" s="556"/>
      <c r="B809" s="556"/>
      <c r="C809" s="556"/>
      <c r="D809" s="556"/>
      <c r="E809" s="556"/>
      <c r="F809" s="564"/>
      <c r="G809" s="564"/>
      <c r="H809" s="564"/>
      <c r="I809" s="564"/>
      <c r="J809" s="564"/>
      <c r="K809" s="564"/>
      <c r="L809" s="564"/>
      <c r="M809" s="564"/>
      <c r="N809" s="564"/>
      <c r="O809" s="564"/>
      <c r="P809" s="564"/>
      <c r="Q809" s="564"/>
      <c r="R809" s="564"/>
      <c r="S809" s="564"/>
      <c r="T809" s="564"/>
      <c r="U809" s="564"/>
      <c r="V809" s="564"/>
      <c r="W809" s="564"/>
      <c r="X809" s="564"/>
      <c r="Y809" s="564"/>
      <c r="Z809" s="564"/>
      <c r="AA809" s="564"/>
      <c r="AB809" s="556"/>
      <c r="AC809" s="556"/>
      <c r="AD809" s="74"/>
      <c r="AE809" s="74"/>
      <c r="AF809" s="74"/>
      <c r="AG809" s="74"/>
      <c r="AH809" s="74"/>
      <c r="AI809" s="74"/>
      <c r="AJ809" s="74"/>
      <c r="AK809" s="74"/>
      <c r="AL809" s="74"/>
      <c r="AM809" s="74"/>
      <c r="AN809" s="74"/>
      <c r="AO809" s="74"/>
      <c r="AP809" s="74"/>
      <c r="AQ809" s="74"/>
      <c r="AR809" s="74"/>
      <c r="AS809" s="565"/>
      <c r="AT809" s="556"/>
    </row>
    <row r="810" spans="1:46" hidden="1" x14ac:dyDescent="0.45">
      <c r="A810" s="556"/>
      <c r="B810" s="556"/>
      <c r="C810" s="556"/>
      <c r="D810" s="556"/>
      <c r="E810" s="556"/>
      <c r="F810" s="564"/>
      <c r="G810" s="564"/>
      <c r="H810" s="564"/>
      <c r="I810" s="564"/>
      <c r="J810" s="564"/>
      <c r="K810" s="564"/>
      <c r="L810" s="564"/>
      <c r="M810" s="564"/>
      <c r="N810" s="564"/>
      <c r="O810" s="564"/>
      <c r="P810" s="564"/>
      <c r="Q810" s="564"/>
      <c r="R810" s="564"/>
      <c r="S810" s="564"/>
      <c r="T810" s="564"/>
      <c r="U810" s="564"/>
      <c r="V810" s="564"/>
      <c r="W810" s="564"/>
      <c r="X810" s="564"/>
      <c r="Y810" s="564"/>
      <c r="Z810" s="564"/>
      <c r="AA810" s="564"/>
      <c r="AB810" s="556"/>
      <c r="AC810" s="556"/>
      <c r="AD810" s="74"/>
      <c r="AE810" s="74"/>
      <c r="AF810" s="74"/>
      <c r="AG810" s="74"/>
      <c r="AH810" s="74"/>
      <c r="AI810" s="74"/>
      <c r="AJ810" s="74"/>
      <c r="AK810" s="74"/>
      <c r="AL810" s="74"/>
      <c r="AM810" s="74"/>
      <c r="AN810" s="74"/>
      <c r="AO810" s="74"/>
      <c r="AP810" s="74"/>
      <c r="AQ810" s="74"/>
      <c r="AR810" s="74"/>
      <c r="AS810" s="565"/>
      <c r="AT810" s="556"/>
    </row>
    <row r="811" spans="1:46" hidden="1" x14ac:dyDescent="0.45">
      <c r="A811" s="556"/>
      <c r="B811" s="556"/>
      <c r="C811" s="556"/>
      <c r="D811" s="556"/>
      <c r="E811" s="556"/>
      <c r="F811" s="564"/>
      <c r="G811" s="564"/>
      <c r="H811" s="564"/>
      <c r="I811" s="564"/>
      <c r="J811" s="564"/>
      <c r="K811" s="564"/>
      <c r="L811" s="564"/>
      <c r="M811" s="564"/>
      <c r="N811" s="564"/>
      <c r="O811" s="564"/>
      <c r="P811" s="564"/>
      <c r="Q811" s="564"/>
      <c r="R811" s="564"/>
      <c r="S811" s="564"/>
      <c r="T811" s="564"/>
      <c r="U811" s="564"/>
      <c r="V811" s="564"/>
      <c r="W811" s="564"/>
      <c r="X811" s="564"/>
      <c r="Y811" s="564"/>
      <c r="Z811" s="564"/>
      <c r="AA811" s="564"/>
      <c r="AB811" s="556"/>
      <c r="AC811" s="556"/>
      <c r="AD811" s="74"/>
      <c r="AE811" s="74"/>
      <c r="AF811" s="74"/>
      <c r="AG811" s="74"/>
      <c r="AH811" s="74"/>
      <c r="AI811" s="74"/>
      <c r="AJ811" s="74"/>
      <c r="AK811" s="74"/>
      <c r="AL811" s="74"/>
      <c r="AM811" s="74"/>
      <c r="AN811" s="74"/>
      <c r="AO811" s="74"/>
      <c r="AP811" s="74"/>
      <c r="AQ811" s="74"/>
      <c r="AR811" s="74"/>
      <c r="AS811" s="565"/>
      <c r="AT811" s="556"/>
    </row>
    <row r="812" spans="1:46" hidden="1" x14ac:dyDescent="0.45">
      <c r="A812" s="556"/>
      <c r="B812" s="556"/>
      <c r="C812" s="556"/>
      <c r="D812" s="556"/>
      <c r="E812" s="556"/>
      <c r="F812" s="564"/>
      <c r="G812" s="564"/>
      <c r="H812" s="564"/>
      <c r="I812" s="564"/>
      <c r="J812" s="564"/>
      <c r="K812" s="564"/>
      <c r="L812" s="564"/>
      <c r="M812" s="564"/>
      <c r="N812" s="564"/>
      <c r="O812" s="564"/>
      <c r="P812" s="564"/>
      <c r="Q812" s="564"/>
      <c r="R812" s="564"/>
      <c r="S812" s="564"/>
      <c r="T812" s="564"/>
      <c r="U812" s="564"/>
      <c r="V812" s="564"/>
      <c r="W812" s="564"/>
      <c r="X812" s="564"/>
      <c r="Y812" s="564"/>
      <c r="Z812" s="564"/>
      <c r="AA812" s="564"/>
      <c r="AB812" s="556"/>
      <c r="AC812" s="556"/>
      <c r="AD812" s="74"/>
      <c r="AE812" s="74"/>
      <c r="AF812" s="74"/>
      <c r="AG812" s="74"/>
      <c r="AH812" s="74"/>
      <c r="AI812" s="74"/>
      <c r="AJ812" s="74"/>
      <c r="AK812" s="74"/>
      <c r="AL812" s="74"/>
      <c r="AM812" s="74"/>
      <c r="AN812" s="74"/>
      <c r="AO812" s="74"/>
      <c r="AP812" s="74"/>
      <c r="AQ812" s="74"/>
      <c r="AR812" s="74"/>
      <c r="AS812" s="565"/>
      <c r="AT812" s="556"/>
    </row>
    <row r="813" spans="1:46" hidden="1" x14ac:dyDescent="0.45">
      <c r="A813" s="556"/>
      <c r="B813" s="556"/>
      <c r="C813" s="556"/>
      <c r="D813" s="556"/>
      <c r="E813" s="556"/>
      <c r="F813" s="564"/>
      <c r="G813" s="564"/>
      <c r="H813" s="564"/>
      <c r="I813" s="564"/>
      <c r="J813" s="564"/>
      <c r="K813" s="564"/>
      <c r="L813" s="564"/>
      <c r="M813" s="564"/>
      <c r="N813" s="564"/>
      <c r="O813" s="564"/>
      <c r="P813" s="564"/>
      <c r="Q813" s="564"/>
      <c r="R813" s="564"/>
      <c r="S813" s="564"/>
      <c r="T813" s="564"/>
      <c r="U813" s="564"/>
      <c r="V813" s="564"/>
      <c r="W813" s="564"/>
      <c r="X813" s="564"/>
      <c r="Y813" s="564"/>
      <c r="Z813" s="564"/>
      <c r="AA813" s="564"/>
      <c r="AB813" s="556"/>
      <c r="AC813" s="556"/>
      <c r="AD813" s="74"/>
      <c r="AE813" s="74"/>
      <c r="AF813" s="74"/>
      <c r="AG813" s="74"/>
      <c r="AH813" s="74"/>
      <c r="AI813" s="74"/>
      <c r="AJ813" s="74"/>
      <c r="AK813" s="74"/>
      <c r="AL813" s="74"/>
      <c r="AM813" s="74"/>
      <c r="AN813" s="74"/>
      <c r="AO813" s="74"/>
      <c r="AP813" s="74"/>
      <c r="AQ813" s="74"/>
      <c r="AR813" s="74"/>
      <c r="AS813" s="565"/>
      <c r="AT813" s="556"/>
    </row>
    <row r="814" spans="1:46" hidden="1" x14ac:dyDescent="0.45">
      <c r="A814" s="556"/>
      <c r="B814" s="556"/>
      <c r="C814" s="556"/>
      <c r="D814" s="556"/>
      <c r="E814" s="556"/>
      <c r="F814" s="564"/>
      <c r="G814" s="564"/>
      <c r="H814" s="564"/>
      <c r="I814" s="564"/>
      <c r="J814" s="564"/>
      <c r="K814" s="564"/>
      <c r="L814" s="564"/>
      <c r="M814" s="564"/>
      <c r="N814" s="564"/>
      <c r="O814" s="564"/>
      <c r="P814" s="564"/>
      <c r="Q814" s="564"/>
      <c r="R814" s="564"/>
      <c r="S814" s="564"/>
      <c r="T814" s="564"/>
      <c r="U814" s="564"/>
      <c r="V814" s="564"/>
      <c r="W814" s="564"/>
      <c r="X814" s="564"/>
      <c r="Y814" s="564"/>
      <c r="Z814" s="564"/>
      <c r="AA814" s="564"/>
      <c r="AB814" s="556"/>
      <c r="AC814" s="556"/>
      <c r="AD814" s="74"/>
      <c r="AE814" s="74"/>
      <c r="AF814" s="74"/>
      <c r="AG814" s="74"/>
      <c r="AH814" s="74"/>
      <c r="AI814" s="74"/>
      <c r="AJ814" s="74"/>
      <c r="AK814" s="74"/>
      <c r="AL814" s="74"/>
      <c r="AM814" s="74"/>
      <c r="AN814" s="74"/>
      <c r="AO814" s="74"/>
      <c r="AP814" s="74"/>
      <c r="AQ814" s="74"/>
      <c r="AR814" s="74"/>
      <c r="AS814" s="565"/>
      <c r="AT814" s="556"/>
    </row>
    <row r="815" spans="1:46" hidden="1" x14ac:dyDescent="0.45">
      <c r="A815" s="556"/>
      <c r="B815" s="556"/>
      <c r="C815" s="556"/>
      <c r="D815" s="556"/>
      <c r="E815" s="556"/>
      <c r="F815" s="564"/>
      <c r="G815" s="564"/>
      <c r="H815" s="564"/>
      <c r="I815" s="564"/>
      <c r="J815" s="564"/>
      <c r="K815" s="564"/>
      <c r="L815" s="564"/>
      <c r="M815" s="564"/>
      <c r="N815" s="564"/>
      <c r="O815" s="564"/>
      <c r="P815" s="564"/>
      <c r="Q815" s="564"/>
      <c r="R815" s="564"/>
      <c r="S815" s="564"/>
      <c r="T815" s="564"/>
      <c r="U815" s="564"/>
      <c r="V815" s="564"/>
      <c r="W815" s="564"/>
      <c r="X815" s="564"/>
      <c r="Y815" s="564"/>
      <c r="Z815" s="564"/>
      <c r="AA815" s="564"/>
      <c r="AB815" s="556"/>
      <c r="AC815" s="556"/>
      <c r="AD815" s="74"/>
      <c r="AE815" s="74"/>
      <c r="AF815" s="74"/>
      <c r="AG815" s="74"/>
      <c r="AH815" s="74"/>
      <c r="AI815" s="74"/>
      <c r="AJ815" s="74"/>
      <c r="AK815" s="74"/>
      <c r="AL815" s="74"/>
      <c r="AM815" s="74"/>
      <c r="AN815" s="74"/>
      <c r="AO815" s="74"/>
      <c r="AP815" s="74"/>
      <c r="AQ815" s="74"/>
      <c r="AR815" s="74"/>
      <c r="AS815" s="565"/>
      <c r="AT815" s="556"/>
    </row>
    <row r="816" spans="1:46" hidden="1" x14ac:dyDescent="0.45">
      <c r="A816" s="556"/>
      <c r="B816" s="556"/>
      <c r="C816" s="556"/>
      <c r="D816" s="556"/>
      <c r="E816" s="556"/>
      <c r="F816" s="564"/>
      <c r="G816" s="564"/>
      <c r="H816" s="564"/>
      <c r="I816" s="564"/>
      <c r="J816" s="564"/>
      <c r="K816" s="564"/>
      <c r="L816" s="564"/>
      <c r="M816" s="564"/>
      <c r="N816" s="564"/>
      <c r="O816" s="564"/>
      <c r="P816" s="564"/>
      <c r="Q816" s="564"/>
      <c r="R816" s="564"/>
      <c r="S816" s="564"/>
      <c r="T816" s="564"/>
      <c r="U816" s="564"/>
      <c r="V816" s="564"/>
      <c r="W816" s="564"/>
      <c r="X816" s="564"/>
      <c r="Y816" s="564"/>
      <c r="Z816" s="564"/>
      <c r="AA816" s="564"/>
      <c r="AB816" s="556"/>
      <c r="AC816" s="556"/>
      <c r="AD816" s="74"/>
      <c r="AE816" s="74"/>
      <c r="AF816" s="74"/>
      <c r="AG816" s="74"/>
      <c r="AH816" s="74"/>
      <c r="AI816" s="74"/>
      <c r="AJ816" s="74"/>
      <c r="AK816" s="74"/>
      <c r="AL816" s="74"/>
      <c r="AM816" s="74"/>
      <c r="AN816" s="74"/>
      <c r="AO816" s="74"/>
      <c r="AP816" s="74"/>
      <c r="AQ816" s="74"/>
      <c r="AR816" s="74"/>
      <c r="AS816" s="565"/>
      <c r="AT816" s="556"/>
    </row>
    <row r="817" spans="1:46" hidden="1" x14ac:dyDescent="0.45">
      <c r="A817" s="556"/>
      <c r="B817" s="556"/>
      <c r="C817" s="556"/>
      <c r="D817" s="556"/>
      <c r="E817" s="556"/>
      <c r="F817" s="564"/>
      <c r="G817" s="564"/>
      <c r="H817" s="564"/>
      <c r="I817" s="564"/>
      <c r="J817" s="564"/>
      <c r="K817" s="564"/>
      <c r="L817" s="564"/>
      <c r="M817" s="564"/>
      <c r="N817" s="564"/>
      <c r="O817" s="564"/>
      <c r="P817" s="564"/>
      <c r="Q817" s="564"/>
      <c r="R817" s="564"/>
      <c r="S817" s="564"/>
      <c r="T817" s="564"/>
      <c r="U817" s="564"/>
      <c r="V817" s="564"/>
      <c r="W817" s="564"/>
      <c r="X817" s="564"/>
      <c r="Y817" s="564"/>
      <c r="Z817" s="564"/>
      <c r="AA817" s="564"/>
      <c r="AB817" s="556"/>
      <c r="AC817" s="556"/>
      <c r="AD817" s="74"/>
      <c r="AE817" s="74"/>
      <c r="AF817" s="74"/>
      <c r="AG817" s="74"/>
      <c r="AH817" s="74"/>
      <c r="AI817" s="74"/>
      <c r="AJ817" s="74"/>
      <c r="AK817" s="74"/>
      <c r="AL817" s="74"/>
      <c r="AM817" s="74"/>
      <c r="AN817" s="74"/>
      <c r="AO817" s="74"/>
      <c r="AP817" s="74"/>
      <c r="AQ817" s="74"/>
      <c r="AR817" s="74"/>
      <c r="AS817" s="565"/>
      <c r="AT817" s="556"/>
    </row>
    <row r="818" spans="1:46" hidden="1" x14ac:dyDescent="0.45">
      <c r="A818" s="556"/>
      <c r="B818" s="556"/>
      <c r="C818" s="556"/>
      <c r="D818" s="556"/>
      <c r="E818" s="556"/>
      <c r="F818" s="564"/>
      <c r="G818" s="564"/>
      <c r="H818" s="564"/>
      <c r="I818" s="564"/>
      <c r="J818" s="564"/>
      <c r="K818" s="564"/>
      <c r="L818" s="564"/>
      <c r="M818" s="564"/>
      <c r="N818" s="564"/>
      <c r="O818" s="564"/>
      <c r="P818" s="564"/>
      <c r="Q818" s="564"/>
      <c r="R818" s="564"/>
      <c r="S818" s="564"/>
      <c r="T818" s="564"/>
      <c r="U818" s="564"/>
      <c r="V818" s="564"/>
      <c r="W818" s="564"/>
      <c r="X818" s="564"/>
      <c r="Y818" s="564"/>
      <c r="Z818" s="564"/>
      <c r="AA818" s="564"/>
      <c r="AB818" s="556"/>
      <c r="AC818" s="556"/>
      <c r="AD818" s="74"/>
      <c r="AE818" s="74"/>
      <c r="AF818" s="74"/>
      <c r="AG818" s="74"/>
      <c r="AH818" s="74"/>
      <c r="AI818" s="74"/>
      <c r="AJ818" s="74"/>
      <c r="AK818" s="74"/>
      <c r="AL818" s="74"/>
      <c r="AM818" s="74"/>
      <c r="AN818" s="74"/>
      <c r="AO818" s="74"/>
      <c r="AP818" s="74"/>
      <c r="AQ818" s="74"/>
      <c r="AR818" s="74"/>
      <c r="AS818" s="565"/>
      <c r="AT818" s="556"/>
    </row>
    <row r="819" spans="1:46" hidden="1" x14ac:dyDescent="0.45">
      <c r="A819" s="556"/>
      <c r="B819" s="556"/>
      <c r="C819" s="556"/>
      <c r="D819" s="556"/>
      <c r="E819" s="556"/>
      <c r="F819" s="564"/>
      <c r="G819" s="564"/>
      <c r="H819" s="564"/>
      <c r="I819" s="564"/>
      <c r="J819" s="564"/>
      <c r="K819" s="564"/>
      <c r="L819" s="564"/>
      <c r="M819" s="564"/>
      <c r="N819" s="564"/>
      <c r="O819" s="564"/>
      <c r="P819" s="564"/>
      <c r="Q819" s="564"/>
      <c r="R819" s="564"/>
      <c r="S819" s="564"/>
      <c r="T819" s="564"/>
      <c r="U819" s="564"/>
      <c r="V819" s="564"/>
      <c r="W819" s="564"/>
      <c r="X819" s="564"/>
      <c r="Y819" s="564"/>
      <c r="Z819" s="564"/>
      <c r="AA819" s="564"/>
      <c r="AB819" s="556"/>
      <c r="AC819" s="556"/>
      <c r="AD819" s="74"/>
      <c r="AE819" s="74"/>
      <c r="AF819" s="74"/>
      <c r="AG819" s="74"/>
      <c r="AH819" s="74"/>
      <c r="AI819" s="74"/>
      <c r="AJ819" s="74"/>
      <c r="AK819" s="74"/>
      <c r="AL819" s="74"/>
      <c r="AM819" s="74"/>
      <c r="AN819" s="74"/>
      <c r="AO819" s="74"/>
      <c r="AP819" s="74"/>
      <c r="AQ819" s="74"/>
      <c r="AR819" s="74"/>
      <c r="AS819" s="565"/>
      <c r="AT819" s="556"/>
    </row>
    <row r="820" spans="1:46" hidden="1" x14ac:dyDescent="0.45">
      <c r="A820" s="556"/>
      <c r="B820" s="556"/>
      <c r="C820" s="556"/>
      <c r="D820" s="556"/>
      <c r="E820" s="556"/>
      <c r="F820" s="564"/>
      <c r="G820" s="564"/>
      <c r="H820" s="564"/>
      <c r="I820" s="564"/>
      <c r="J820" s="564"/>
      <c r="K820" s="564"/>
      <c r="L820" s="564"/>
      <c r="M820" s="564"/>
      <c r="N820" s="564"/>
      <c r="O820" s="564"/>
      <c r="P820" s="564"/>
      <c r="Q820" s="564"/>
      <c r="R820" s="564"/>
      <c r="S820" s="564"/>
      <c r="T820" s="564"/>
      <c r="U820" s="564"/>
      <c r="V820" s="564"/>
      <c r="W820" s="564"/>
      <c r="X820" s="564"/>
      <c r="Y820" s="564"/>
      <c r="Z820" s="564"/>
      <c r="AA820" s="564"/>
      <c r="AB820" s="556"/>
      <c r="AC820" s="556"/>
      <c r="AD820" s="74"/>
      <c r="AE820" s="74"/>
      <c r="AF820" s="74"/>
      <c r="AG820" s="74"/>
      <c r="AH820" s="74"/>
      <c r="AI820" s="74"/>
      <c r="AJ820" s="74"/>
      <c r="AK820" s="74"/>
      <c r="AL820" s="74"/>
      <c r="AM820" s="74"/>
      <c r="AN820" s="74"/>
      <c r="AO820" s="74"/>
      <c r="AP820" s="74"/>
      <c r="AQ820" s="74"/>
      <c r="AR820" s="74"/>
      <c r="AS820" s="565"/>
      <c r="AT820" s="556"/>
    </row>
    <row r="821" spans="1:46" hidden="1" x14ac:dyDescent="0.45">
      <c r="A821" s="556"/>
      <c r="B821" s="556"/>
      <c r="C821" s="556"/>
      <c r="D821" s="556"/>
      <c r="E821" s="556"/>
      <c r="F821" s="564"/>
      <c r="G821" s="564"/>
      <c r="H821" s="564"/>
      <c r="I821" s="564"/>
      <c r="J821" s="564"/>
      <c r="K821" s="564"/>
      <c r="L821" s="564"/>
      <c r="M821" s="564"/>
      <c r="N821" s="564"/>
      <c r="O821" s="564"/>
      <c r="P821" s="564"/>
      <c r="Q821" s="564"/>
      <c r="R821" s="564"/>
      <c r="S821" s="564"/>
      <c r="T821" s="564"/>
      <c r="U821" s="564"/>
      <c r="V821" s="564"/>
      <c r="W821" s="564"/>
      <c r="X821" s="564"/>
      <c r="Y821" s="564"/>
      <c r="Z821" s="564"/>
      <c r="AA821" s="564"/>
      <c r="AB821" s="556"/>
      <c r="AC821" s="556"/>
      <c r="AD821" s="74"/>
      <c r="AE821" s="74"/>
      <c r="AF821" s="74"/>
      <c r="AG821" s="74"/>
      <c r="AH821" s="74"/>
      <c r="AI821" s="74"/>
      <c r="AJ821" s="74"/>
      <c r="AK821" s="74"/>
      <c r="AL821" s="74"/>
      <c r="AM821" s="74"/>
      <c r="AN821" s="74"/>
      <c r="AO821" s="74"/>
      <c r="AP821" s="74"/>
      <c r="AQ821" s="74"/>
      <c r="AR821" s="74"/>
      <c r="AS821" s="565"/>
      <c r="AT821" s="556"/>
    </row>
    <row r="822" spans="1:46" hidden="1" x14ac:dyDescent="0.45">
      <c r="A822" s="556"/>
      <c r="B822" s="556"/>
      <c r="C822" s="556"/>
      <c r="D822" s="556"/>
      <c r="E822" s="556"/>
      <c r="F822" s="564"/>
      <c r="G822" s="564"/>
      <c r="H822" s="564"/>
      <c r="I822" s="564"/>
      <c r="J822" s="564"/>
      <c r="K822" s="564"/>
      <c r="L822" s="564"/>
      <c r="M822" s="564"/>
      <c r="N822" s="564"/>
      <c r="O822" s="564"/>
      <c r="P822" s="564"/>
      <c r="Q822" s="564"/>
      <c r="R822" s="564"/>
      <c r="S822" s="564"/>
      <c r="T822" s="564"/>
      <c r="U822" s="564"/>
      <c r="V822" s="564"/>
      <c r="W822" s="564"/>
      <c r="X822" s="564"/>
      <c r="Y822" s="564"/>
      <c r="Z822" s="564"/>
      <c r="AA822" s="564"/>
      <c r="AB822" s="556"/>
      <c r="AC822" s="556"/>
      <c r="AD822" s="74"/>
      <c r="AE822" s="74"/>
      <c r="AF822" s="74"/>
      <c r="AG822" s="74"/>
      <c r="AH822" s="74"/>
      <c r="AI822" s="74"/>
      <c r="AJ822" s="74"/>
      <c r="AK822" s="74"/>
      <c r="AL822" s="74"/>
      <c r="AM822" s="74"/>
      <c r="AN822" s="74"/>
      <c r="AO822" s="74"/>
      <c r="AP822" s="74"/>
      <c r="AQ822" s="74"/>
      <c r="AR822" s="74"/>
      <c r="AS822" s="565"/>
      <c r="AT822" s="556"/>
    </row>
    <row r="823" spans="1:46" hidden="1" x14ac:dyDescent="0.45">
      <c r="A823" s="556"/>
      <c r="B823" s="556"/>
      <c r="C823" s="556"/>
      <c r="D823" s="556"/>
      <c r="E823" s="556"/>
      <c r="F823" s="564"/>
      <c r="G823" s="564"/>
      <c r="H823" s="564"/>
      <c r="I823" s="564"/>
      <c r="J823" s="564"/>
      <c r="K823" s="564"/>
      <c r="L823" s="564"/>
      <c r="M823" s="564"/>
      <c r="N823" s="564"/>
      <c r="O823" s="564"/>
      <c r="P823" s="564"/>
      <c r="Q823" s="564"/>
      <c r="R823" s="564"/>
      <c r="S823" s="564"/>
      <c r="T823" s="564"/>
      <c r="U823" s="564"/>
      <c r="V823" s="564"/>
      <c r="W823" s="564"/>
      <c r="X823" s="564"/>
      <c r="Y823" s="564"/>
      <c r="Z823" s="564"/>
      <c r="AA823" s="564"/>
      <c r="AB823" s="556"/>
      <c r="AC823" s="556"/>
      <c r="AD823" s="74"/>
      <c r="AE823" s="74"/>
      <c r="AF823" s="74"/>
      <c r="AG823" s="74"/>
      <c r="AH823" s="74"/>
      <c r="AI823" s="74"/>
      <c r="AJ823" s="74"/>
      <c r="AK823" s="74"/>
      <c r="AL823" s="74"/>
      <c r="AM823" s="74"/>
      <c r="AN823" s="74"/>
      <c r="AO823" s="74"/>
      <c r="AP823" s="74"/>
      <c r="AQ823" s="74"/>
      <c r="AR823" s="74"/>
      <c r="AS823" s="565"/>
      <c r="AT823" s="556"/>
    </row>
    <row r="824" spans="1:46" hidden="1" x14ac:dyDescent="0.45">
      <c r="A824" s="556"/>
      <c r="B824" s="556"/>
      <c r="C824" s="556"/>
      <c r="D824" s="556"/>
      <c r="E824" s="556"/>
      <c r="F824" s="564"/>
      <c r="G824" s="564"/>
      <c r="H824" s="564"/>
      <c r="I824" s="564"/>
      <c r="J824" s="564"/>
      <c r="K824" s="564"/>
      <c r="L824" s="564"/>
      <c r="M824" s="564"/>
      <c r="N824" s="564"/>
      <c r="O824" s="564"/>
      <c r="P824" s="564"/>
      <c r="Q824" s="564"/>
      <c r="R824" s="564"/>
      <c r="S824" s="564"/>
      <c r="T824" s="564"/>
      <c r="U824" s="564"/>
      <c r="V824" s="564"/>
      <c r="W824" s="564"/>
      <c r="X824" s="564"/>
      <c r="Y824" s="564"/>
      <c r="Z824" s="564"/>
      <c r="AA824" s="564"/>
      <c r="AB824" s="556"/>
      <c r="AC824" s="556"/>
      <c r="AD824" s="74"/>
      <c r="AE824" s="74"/>
      <c r="AF824" s="74"/>
      <c r="AG824" s="74"/>
      <c r="AH824" s="74"/>
      <c r="AI824" s="74"/>
      <c r="AJ824" s="74"/>
      <c r="AK824" s="74"/>
      <c r="AL824" s="74"/>
      <c r="AM824" s="74"/>
      <c r="AN824" s="74"/>
      <c r="AO824" s="74"/>
      <c r="AP824" s="74"/>
      <c r="AQ824" s="74"/>
      <c r="AR824" s="74"/>
      <c r="AS824" s="565"/>
      <c r="AT824" s="556"/>
    </row>
    <row r="825" spans="1:46" hidden="1" x14ac:dyDescent="0.45">
      <c r="A825" s="556"/>
      <c r="B825" s="556"/>
      <c r="C825" s="556"/>
      <c r="D825" s="556"/>
      <c r="E825" s="556"/>
      <c r="F825" s="564"/>
      <c r="G825" s="564"/>
      <c r="H825" s="564"/>
      <c r="I825" s="564"/>
      <c r="J825" s="564"/>
      <c r="K825" s="564"/>
      <c r="L825" s="564"/>
      <c r="M825" s="564"/>
      <c r="N825" s="564"/>
      <c r="O825" s="564"/>
      <c r="P825" s="564"/>
      <c r="Q825" s="564"/>
      <c r="R825" s="564"/>
      <c r="S825" s="564"/>
      <c r="T825" s="564"/>
      <c r="U825" s="564"/>
      <c r="V825" s="564"/>
      <c r="W825" s="564"/>
      <c r="X825" s="564"/>
      <c r="Y825" s="564"/>
      <c r="Z825" s="564"/>
      <c r="AA825" s="564"/>
      <c r="AB825" s="556"/>
      <c r="AC825" s="556"/>
      <c r="AD825" s="74"/>
      <c r="AE825" s="74"/>
      <c r="AF825" s="74"/>
      <c r="AG825" s="74"/>
      <c r="AH825" s="74"/>
      <c r="AI825" s="74"/>
      <c r="AJ825" s="74"/>
      <c r="AK825" s="74"/>
      <c r="AL825" s="74"/>
      <c r="AM825" s="74"/>
      <c r="AN825" s="74"/>
      <c r="AO825" s="74"/>
      <c r="AP825" s="74"/>
      <c r="AQ825" s="74"/>
      <c r="AR825" s="74"/>
      <c r="AS825" s="565"/>
      <c r="AT825" s="556"/>
    </row>
    <row r="826" spans="1:46" hidden="1" x14ac:dyDescent="0.45">
      <c r="A826" s="556"/>
      <c r="B826" s="556"/>
      <c r="C826" s="556"/>
      <c r="D826" s="556"/>
      <c r="E826" s="556"/>
      <c r="F826" s="564"/>
      <c r="G826" s="564"/>
      <c r="H826" s="564"/>
      <c r="I826" s="564"/>
      <c r="J826" s="564"/>
      <c r="K826" s="564"/>
      <c r="L826" s="564"/>
      <c r="M826" s="564"/>
      <c r="N826" s="564"/>
      <c r="O826" s="564"/>
      <c r="P826" s="564"/>
      <c r="Q826" s="564"/>
      <c r="R826" s="564"/>
      <c r="S826" s="564"/>
      <c r="T826" s="564"/>
      <c r="U826" s="564"/>
      <c r="V826" s="564"/>
      <c r="W826" s="564"/>
      <c r="X826" s="564"/>
      <c r="Y826" s="564"/>
      <c r="Z826" s="564"/>
      <c r="AA826" s="564"/>
      <c r="AB826" s="556"/>
      <c r="AC826" s="556"/>
      <c r="AD826" s="74"/>
      <c r="AE826" s="74"/>
      <c r="AF826" s="74"/>
      <c r="AG826" s="74"/>
      <c r="AH826" s="74"/>
      <c r="AI826" s="74"/>
      <c r="AJ826" s="74"/>
      <c r="AK826" s="74"/>
      <c r="AL826" s="74"/>
      <c r="AM826" s="74"/>
      <c r="AN826" s="74"/>
      <c r="AO826" s="74"/>
      <c r="AP826" s="74"/>
      <c r="AQ826" s="74"/>
      <c r="AR826" s="74"/>
      <c r="AS826" s="565"/>
      <c r="AT826" s="556"/>
    </row>
    <row r="827" spans="1:46" hidden="1" x14ac:dyDescent="0.45">
      <c r="A827" s="556"/>
      <c r="B827" s="556"/>
      <c r="C827" s="556"/>
      <c r="D827" s="556"/>
      <c r="E827" s="556"/>
      <c r="F827" s="564"/>
      <c r="G827" s="564"/>
      <c r="H827" s="564"/>
      <c r="I827" s="564"/>
      <c r="J827" s="564"/>
      <c r="K827" s="564"/>
      <c r="L827" s="564"/>
      <c r="M827" s="564"/>
      <c r="N827" s="564"/>
      <c r="O827" s="564"/>
      <c r="P827" s="564"/>
      <c r="Q827" s="564"/>
      <c r="R827" s="564"/>
      <c r="S827" s="564"/>
      <c r="T827" s="564"/>
      <c r="U827" s="564"/>
      <c r="V827" s="564"/>
      <c r="W827" s="564"/>
      <c r="X827" s="564"/>
      <c r="Y827" s="564"/>
      <c r="Z827" s="564"/>
      <c r="AA827" s="564"/>
      <c r="AB827" s="556"/>
      <c r="AC827" s="556"/>
      <c r="AD827" s="74"/>
      <c r="AE827" s="74"/>
      <c r="AF827" s="74"/>
      <c r="AG827" s="74"/>
      <c r="AH827" s="74"/>
      <c r="AI827" s="74"/>
      <c r="AJ827" s="74"/>
      <c r="AK827" s="74"/>
      <c r="AL827" s="74"/>
      <c r="AM827" s="74"/>
      <c r="AN827" s="74"/>
      <c r="AO827" s="74"/>
      <c r="AP827" s="74"/>
      <c r="AQ827" s="74"/>
      <c r="AR827" s="74"/>
      <c r="AS827" s="565"/>
      <c r="AT827" s="556"/>
    </row>
    <row r="828" spans="1:46" hidden="1" x14ac:dyDescent="0.45">
      <c r="A828" s="556"/>
      <c r="B828" s="556"/>
      <c r="C828" s="556"/>
      <c r="D828" s="556"/>
      <c r="E828" s="556"/>
      <c r="F828" s="564"/>
      <c r="G828" s="564"/>
      <c r="H828" s="564"/>
      <c r="I828" s="564"/>
      <c r="J828" s="564"/>
      <c r="K828" s="564"/>
      <c r="L828" s="564"/>
      <c r="M828" s="564"/>
      <c r="N828" s="564"/>
      <c r="O828" s="564"/>
      <c r="P828" s="564"/>
      <c r="Q828" s="564"/>
      <c r="R828" s="564"/>
      <c r="S828" s="564"/>
      <c r="T828" s="564"/>
      <c r="U828" s="564"/>
      <c r="V828" s="564"/>
      <c r="W828" s="564"/>
      <c r="X828" s="564"/>
      <c r="Y828" s="564"/>
      <c r="Z828" s="564"/>
      <c r="AA828" s="564"/>
      <c r="AB828" s="556"/>
      <c r="AC828" s="556"/>
      <c r="AD828" s="74"/>
      <c r="AE828" s="74"/>
      <c r="AF828" s="74"/>
      <c r="AG828" s="74"/>
      <c r="AH828" s="74"/>
      <c r="AI828" s="74"/>
      <c r="AJ828" s="74"/>
      <c r="AK828" s="74"/>
      <c r="AL828" s="74"/>
      <c r="AM828" s="74"/>
      <c r="AN828" s="74"/>
      <c r="AO828" s="74"/>
      <c r="AP828" s="74"/>
      <c r="AQ828" s="74"/>
      <c r="AR828" s="74"/>
      <c r="AS828" s="565"/>
      <c r="AT828" s="556"/>
    </row>
    <row r="829" spans="1:46" hidden="1" x14ac:dyDescent="0.45">
      <c r="A829" s="556"/>
      <c r="B829" s="556"/>
      <c r="C829" s="556"/>
      <c r="D829" s="556"/>
      <c r="E829" s="556"/>
      <c r="F829" s="564"/>
      <c r="G829" s="564"/>
      <c r="H829" s="564"/>
      <c r="I829" s="564"/>
      <c r="J829" s="564"/>
      <c r="K829" s="564"/>
      <c r="L829" s="564"/>
      <c r="M829" s="564"/>
      <c r="N829" s="564"/>
      <c r="O829" s="564"/>
      <c r="P829" s="564"/>
      <c r="Q829" s="564"/>
      <c r="R829" s="564"/>
      <c r="S829" s="564"/>
      <c r="T829" s="564"/>
      <c r="U829" s="564"/>
      <c r="V829" s="564"/>
      <c r="W829" s="564"/>
      <c r="X829" s="564"/>
      <c r="Y829" s="564"/>
      <c r="Z829" s="564"/>
      <c r="AA829" s="564"/>
      <c r="AB829" s="556"/>
      <c r="AC829" s="556"/>
      <c r="AD829" s="74"/>
      <c r="AE829" s="74"/>
      <c r="AF829" s="74"/>
      <c r="AG829" s="74"/>
      <c r="AH829" s="74"/>
      <c r="AI829" s="74"/>
      <c r="AJ829" s="74"/>
      <c r="AK829" s="74"/>
      <c r="AL829" s="74"/>
      <c r="AM829" s="74"/>
      <c r="AN829" s="74"/>
      <c r="AO829" s="74"/>
      <c r="AP829" s="74"/>
      <c r="AQ829" s="74"/>
      <c r="AR829" s="74"/>
      <c r="AS829" s="565"/>
      <c r="AT829" s="556"/>
    </row>
    <row r="830" spans="1:46" hidden="1" x14ac:dyDescent="0.45">
      <c r="A830" s="556"/>
      <c r="B830" s="556"/>
      <c r="C830" s="556"/>
      <c r="D830" s="556"/>
      <c r="E830" s="556"/>
      <c r="F830" s="564"/>
      <c r="G830" s="564"/>
      <c r="H830" s="564"/>
      <c r="I830" s="564"/>
      <c r="J830" s="564"/>
      <c r="K830" s="564"/>
      <c r="L830" s="564"/>
      <c r="M830" s="564"/>
      <c r="N830" s="564"/>
      <c r="O830" s="564"/>
      <c r="P830" s="564"/>
      <c r="Q830" s="564"/>
      <c r="R830" s="564"/>
      <c r="S830" s="564"/>
      <c r="T830" s="564"/>
      <c r="U830" s="564"/>
      <c r="V830" s="564"/>
      <c r="W830" s="564"/>
      <c r="X830" s="564"/>
      <c r="Y830" s="564"/>
      <c r="Z830" s="564"/>
      <c r="AA830" s="564"/>
      <c r="AB830" s="556"/>
      <c r="AC830" s="556"/>
      <c r="AD830" s="74"/>
      <c r="AE830" s="74"/>
      <c r="AF830" s="74"/>
      <c r="AG830" s="74"/>
      <c r="AH830" s="74"/>
      <c r="AI830" s="74"/>
      <c r="AJ830" s="74"/>
      <c r="AK830" s="74"/>
      <c r="AL830" s="74"/>
      <c r="AM830" s="74"/>
      <c r="AN830" s="74"/>
      <c r="AO830" s="74"/>
      <c r="AP830" s="74"/>
      <c r="AQ830" s="74"/>
      <c r="AR830" s="74"/>
      <c r="AS830" s="565"/>
      <c r="AT830" s="556"/>
    </row>
    <row r="831" spans="1:46" hidden="1" x14ac:dyDescent="0.45">
      <c r="A831" s="556"/>
      <c r="B831" s="556"/>
      <c r="C831" s="556"/>
      <c r="D831" s="556"/>
      <c r="E831" s="556"/>
      <c r="F831" s="564"/>
      <c r="G831" s="564"/>
      <c r="H831" s="564"/>
      <c r="I831" s="564"/>
      <c r="J831" s="564"/>
      <c r="K831" s="564"/>
      <c r="L831" s="564"/>
      <c r="M831" s="564"/>
      <c r="N831" s="564"/>
      <c r="O831" s="564"/>
      <c r="P831" s="564"/>
      <c r="Q831" s="564"/>
      <c r="R831" s="564"/>
      <c r="S831" s="564"/>
      <c r="T831" s="564"/>
      <c r="U831" s="564"/>
      <c r="V831" s="564"/>
      <c r="W831" s="564"/>
      <c r="X831" s="564"/>
      <c r="Y831" s="564"/>
      <c r="Z831" s="564"/>
      <c r="AA831" s="564"/>
      <c r="AB831" s="556"/>
      <c r="AC831" s="556"/>
      <c r="AD831" s="74"/>
      <c r="AE831" s="74"/>
      <c r="AF831" s="74"/>
      <c r="AG831" s="74"/>
      <c r="AH831" s="74"/>
      <c r="AI831" s="74"/>
      <c r="AJ831" s="74"/>
      <c r="AK831" s="74"/>
      <c r="AL831" s="74"/>
      <c r="AM831" s="74"/>
      <c r="AN831" s="74"/>
      <c r="AO831" s="74"/>
      <c r="AP831" s="74"/>
      <c r="AQ831" s="74"/>
      <c r="AR831" s="74"/>
      <c r="AS831" s="565"/>
      <c r="AT831" s="556"/>
    </row>
    <row r="832" spans="1:46" hidden="1" x14ac:dyDescent="0.45">
      <c r="A832" s="556"/>
      <c r="B832" s="556"/>
      <c r="C832" s="556"/>
      <c r="D832" s="556"/>
      <c r="E832" s="556"/>
      <c r="F832" s="564"/>
      <c r="G832" s="564"/>
      <c r="H832" s="564"/>
      <c r="I832" s="564"/>
      <c r="J832" s="564"/>
      <c r="K832" s="564"/>
      <c r="L832" s="564"/>
      <c r="M832" s="564"/>
      <c r="N832" s="564"/>
      <c r="O832" s="564"/>
      <c r="P832" s="564"/>
      <c r="Q832" s="564"/>
      <c r="R832" s="564"/>
      <c r="S832" s="564"/>
      <c r="T832" s="564"/>
      <c r="U832" s="564"/>
      <c r="V832" s="564"/>
      <c r="W832" s="564"/>
      <c r="X832" s="564"/>
      <c r="Y832" s="564"/>
      <c r="Z832" s="564"/>
      <c r="AA832" s="564"/>
      <c r="AB832" s="556"/>
      <c r="AC832" s="556"/>
      <c r="AD832" s="74"/>
      <c r="AE832" s="74"/>
      <c r="AF832" s="74"/>
      <c r="AG832" s="74"/>
      <c r="AH832" s="74"/>
      <c r="AI832" s="74"/>
      <c r="AJ832" s="74"/>
      <c r="AK832" s="74"/>
      <c r="AL832" s="74"/>
      <c r="AM832" s="74"/>
      <c r="AN832" s="74"/>
      <c r="AO832" s="74"/>
      <c r="AP832" s="74"/>
      <c r="AQ832" s="74"/>
      <c r="AR832" s="74"/>
      <c r="AS832" s="565"/>
      <c r="AT832" s="556"/>
    </row>
    <row r="833" spans="1:46" hidden="1" x14ac:dyDescent="0.45">
      <c r="A833" s="556"/>
      <c r="B833" s="556"/>
      <c r="C833" s="556"/>
      <c r="D833" s="556"/>
      <c r="E833" s="556"/>
      <c r="F833" s="564"/>
      <c r="G833" s="564"/>
      <c r="H833" s="564"/>
      <c r="I833" s="564"/>
      <c r="J833" s="564"/>
      <c r="K833" s="564"/>
      <c r="L833" s="564"/>
      <c r="M833" s="564"/>
      <c r="N833" s="564"/>
      <c r="O833" s="564"/>
      <c r="P833" s="564"/>
      <c r="Q833" s="564"/>
      <c r="R833" s="564"/>
      <c r="S833" s="564"/>
      <c r="T833" s="564"/>
      <c r="U833" s="564"/>
      <c r="V833" s="564"/>
      <c r="W833" s="564"/>
      <c r="X833" s="564"/>
      <c r="Y833" s="564"/>
      <c r="Z833" s="564"/>
      <c r="AA833" s="564"/>
      <c r="AB833" s="556"/>
      <c r="AC833" s="556"/>
      <c r="AD833" s="74"/>
      <c r="AE833" s="74"/>
      <c r="AF833" s="74"/>
      <c r="AG833" s="74"/>
      <c r="AH833" s="74"/>
      <c r="AI833" s="74"/>
      <c r="AJ833" s="74"/>
      <c r="AK833" s="74"/>
      <c r="AL833" s="74"/>
      <c r="AM833" s="74"/>
      <c r="AN833" s="74"/>
      <c r="AO833" s="74"/>
      <c r="AP833" s="74"/>
      <c r="AQ833" s="74"/>
      <c r="AR833" s="74"/>
      <c r="AS833" s="565"/>
      <c r="AT833" s="556"/>
    </row>
    <row r="834" spans="1:46" hidden="1" x14ac:dyDescent="0.45">
      <c r="A834" s="556"/>
      <c r="B834" s="556"/>
      <c r="C834" s="556"/>
      <c r="D834" s="556"/>
      <c r="E834" s="556"/>
      <c r="F834" s="564"/>
      <c r="G834" s="564"/>
      <c r="H834" s="564"/>
      <c r="I834" s="564"/>
      <c r="J834" s="564"/>
      <c r="K834" s="564"/>
      <c r="L834" s="564"/>
      <c r="M834" s="564"/>
      <c r="N834" s="564"/>
      <c r="O834" s="564"/>
      <c r="P834" s="564"/>
      <c r="Q834" s="564"/>
      <c r="R834" s="564"/>
      <c r="S834" s="564"/>
      <c r="T834" s="564"/>
      <c r="U834" s="564"/>
      <c r="V834" s="564"/>
      <c r="W834" s="564"/>
      <c r="X834" s="564"/>
      <c r="Y834" s="564"/>
      <c r="Z834" s="564"/>
      <c r="AA834" s="564"/>
      <c r="AB834" s="556"/>
      <c r="AC834" s="556"/>
      <c r="AD834" s="74"/>
      <c r="AE834" s="74"/>
      <c r="AF834" s="74"/>
      <c r="AG834" s="74"/>
      <c r="AH834" s="74"/>
      <c r="AI834" s="74"/>
      <c r="AJ834" s="74"/>
      <c r="AK834" s="74"/>
      <c r="AL834" s="74"/>
      <c r="AM834" s="74"/>
      <c r="AN834" s="74"/>
      <c r="AO834" s="74"/>
      <c r="AP834" s="74"/>
      <c r="AQ834" s="74"/>
      <c r="AR834" s="74"/>
      <c r="AS834" s="565"/>
      <c r="AT834" s="556"/>
    </row>
    <row r="835" spans="1:46" hidden="1" x14ac:dyDescent="0.45">
      <c r="A835" s="556"/>
      <c r="B835" s="556"/>
      <c r="C835" s="556"/>
      <c r="D835" s="556"/>
      <c r="E835" s="556"/>
      <c r="F835" s="564"/>
      <c r="G835" s="564"/>
      <c r="H835" s="564"/>
      <c r="I835" s="564"/>
      <c r="J835" s="564"/>
      <c r="K835" s="564"/>
      <c r="L835" s="564"/>
      <c r="M835" s="564"/>
      <c r="N835" s="564"/>
      <c r="O835" s="564"/>
      <c r="P835" s="564"/>
      <c r="Q835" s="564"/>
      <c r="R835" s="564"/>
      <c r="S835" s="564"/>
      <c r="T835" s="564"/>
      <c r="U835" s="564"/>
      <c r="V835" s="564"/>
      <c r="W835" s="564"/>
      <c r="X835" s="564"/>
      <c r="Y835" s="564"/>
      <c r="Z835" s="564"/>
      <c r="AA835" s="564"/>
      <c r="AB835" s="556"/>
      <c r="AC835" s="556"/>
      <c r="AD835" s="74"/>
      <c r="AE835" s="74"/>
      <c r="AF835" s="74"/>
      <c r="AG835" s="74"/>
      <c r="AH835" s="74"/>
      <c r="AI835" s="74"/>
      <c r="AJ835" s="74"/>
      <c r="AK835" s="74"/>
      <c r="AL835" s="74"/>
      <c r="AM835" s="74"/>
      <c r="AN835" s="74"/>
      <c r="AO835" s="74"/>
      <c r="AP835" s="74"/>
      <c r="AQ835" s="74"/>
      <c r="AR835" s="74"/>
      <c r="AS835" s="565"/>
      <c r="AT835" s="556"/>
    </row>
    <row r="836" spans="1:46" hidden="1" x14ac:dyDescent="0.45">
      <c r="A836" s="556"/>
      <c r="B836" s="556"/>
      <c r="C836" s="556"/>
      <c r="D836" s="556"/>
      <c r="E836" s="556"/>
      <c r="F836" s="564"/>
      <c r="G836" s="564"/>
      <c r="H836" s="564"/>
      <c r="I836" s="564"/>
      <c r="J836" s="564"/>
      <c r="K836" s="564"/>
      <c r="L836" s="564"/>
      <c r="M836" s="564"/>
      <c r="N836" s="564"/>
      <c r="O836" s="564"/>
      <c r="P836" s="564"/>
      <c r="Q836" s="564"/>
      <c r="R836" s="564"/>
      <c r="S836" s="564"/>
      <c r="T836" s="564"/>
      <c r="U836" s="564"/>
      <c r="V836" s="564"/>
      <c r="W836" s="564"/>
      <c r="X836" s="564"/>
      <c r="Y836" s="564"/>
      <c r="Z836" s="564"/>
      <c r="AA836" s="564"/>
      <c r="AB836" s="556"/>
      <c r="AC836" s="556"/>
      <c r="AD836" s="74"/>
      <c r="AE836" s="74"/>
      <c r="AF836" s="74"/>
      <c r="AG836" s="74"/>
      <c r="AH836" s="74"/>
      <c r="AI836" s="74"/>
      <c r="AJ836" s="74"/>
      <c r="AK836" s="74"/>
      <c r="AL836" s="74"/>
      <c r="AM836" s="74"/>
      <c r="AN836" s="74"/>
      <c r="AO836" s="74"/>
      <c r="AP836" s="74"/>
      <c r="AQ836" s="74"/>
      <c r="AR836" s="74"/>
      <c r="AS836" s="565"/>
      <c r="AT836" s="556"/>
    </row>
    <row r="837" spans="1:46" hidden="1" x14ac:dyDescent="0.45">
      <c r="A837" s="556"/>
      <c r="B837" s="556"/>
      <c r="C837" s="556"/>
      <c r="D837" s="556"/>
      <c r="E837" s="556"/>
      <c r="F837" s="564"/>
      <c r="G837" s="564"/>
      <c r="H837" s="564"/>
      <c r="I837" s="564"/>
      <c r="J837" s="564"/>
      <c r="K837" s="564"/>
      <c r="L837" s="564"/>
      <c r="M837" s="564"/>
      <c r="N837" s="564"/>
      <c r="O837" s="564"/>
      <c r="P837" s="564"/>
      <c r="Q837" s="564"/>
      <c r="R837" s="564"/>
      <c r="S837" s="564"/>
      <c r="T837" s="564"/>
      <c r="U837" s="564"/>
      <c r="V837" s="564"/>
      <c r="W837" s="564"/>
      <c r="X837" s="564"/>
      <c r="Y837" s="564"/>
      <c r="Z837" s="564"/>
      <c r="AA837" s="564"/>
      <c r="AB837" s="556"/>
      <c r="AC837" s="556"/>
      <c r="AD837" s="74"/>
      <c r="AE837" s="74"/>
      <c r="AF837" s="74"/>
      <c r="AG837" s="74"/>
      <c r="AH837" s="74"/>
      <c r="AI837" s="74"/>
      <c r="AJ837" s="74"/>
      <c r="AK837" s="74"/>
      <c r="AL837" s="74"/>
      <c r="AM837" s="74"/>
      <c r="AN837" s="74"/>
      <c r="AO837" s="74"/>
      <c r="AP837" s="74"/>
      <c r="AQ837" s="74"/>
      <c r="AR837" s="74"/>
      <c r="AS837" s="565"/>
      <c r="AT837" s="556"/>
    </row>
    <row r="838" spans="1:46" hidden="1" x14ac:dyDescent="0.45">
      <c r="A838" s="556"/>
      <c r="B838" s="556"/>
      <c r="C838" s="556"/>
      <c r="D838" s="556"/>
      <c r="E838" s="556"/>
      <c r="F838" s="564"/>
      <c r="G838" s="564"/>
      <c r="H838" s="564"/>
      <c r="I838" s="564"/>
      <c r="J838" s="564"/>
      <c r="K838" s="564"/>
      <c r="L838" s="564"/>
      <c r="M838" s="564"/>
      <c r="N838" s="564"/>
      <c r="O838" s="564"/>
      <c r="P838" s="564"/>
      <c r="Q838" s="564"/>
      <c r="R838" s="564"/>
      <c r="S838" s="564"/>
      <c r="T838" s="564"/>
      <c r="U838" s="564"/>
      <c r="V838" s="564"/>
      <c r="W838" s="564"/>
      <c r="X838" s="564"/>
      <c r="Y838" s="564"/>
      <c r="Z838" s="564"/>
      <c r="AA838" s="564"/>
      <c r="AB838" s="556"/>
      <c r="AC838" s="556"/>
      <c r="AD838" s="74"/>
      <c r="AE838" s="74"/>
      <c r="AF838" s="74"/>
      <c r="AG838" s="74"/>
      <c r="AH838" s="74"/>
      <c r="AI838" s="74"/>
      <c r="AJ838" s="74"/>
      <c r="AK838" s="74"/>
      <c r="AL838" s="74"/>
      <c r="AM838" s="74"/>
      <c r="AN838" s="74"/>
      <c r="AO838" s="74"/>
      <c r="AP838" s="74"/>
      <c r="AQ838" s="74"/>
      <c r="AR838" s="74"/>
      <c r="AS838" s="565"/>
      <c r="AT838" s="556"/>
    </row>
    <row r="839" spans="1:46" hidden="1" x14ac:dyDescent="0.45">
      <c r="A839" s="556"/>
      <c r="B839" s="556"/>
      <c r="C839" s="556"/>
      <c r="D839" s="556"/>
      <c r="E839" s="556"/>
      <c r="F839" s="564"/>
      <c r="G839" s="564"/>
      <c r="H839" s="564"/>
      <c r="I839" s="564"/>
      <c r="J839" s="564"/>
      <c r="K839" s="564"/>
      <c r="L839" s="564"/>
      <c r="M839" s="564"/>
      <c r="N839" s="564"/>
      <c r="O839" s="564"/>
      <c r="P839" s="564"/>
      <c r="Q839" s="564"/>
      <c r="R839" s="564"/>
      <c r="S839" s="564"/>
      <c r="T839" s="564"/>
      <c r="U839" s="564"/>
      <c r="V839" s="564"/>
      <c r="W839" s="564"/>
      <c r="X839" s="564"/>
      <c r="Y839" s="564"/>
      <c r="Z839" s="564"/>
      <c r="AA839" s="564"/>
      <c r="AB839" s="556"/>
      <c r="AC839" s="556"/>
      <c r="AD839" s="74"/>
      <c r="AE839" s="74"/>
      <c r="AF839" s="74"/>
      <c r="AG839" s="74"/>
      <c r="AH839" s="74"/>
      <c r="AI839" s="74"/>
      <c r="AJ839" s="74"/>
      <c r="AK839" s="74"/>
      <c r="AL839" s="74"/>
      <c r="AM839" s="74"/>
      <c r="AN839" s="74"/>
      <c r="AO839" s="74"/>
      <c r="AP839" s="74"/>
      <c r="AQ839" s="74"/>
      <c r="AR839" s="74"/>
      <c r="AS839" s="565"/>
      <c r="AT839" s="556"/>
    </row>
    <row r="840" spans="1:46" hidden="1" x14ac:dyDescent="0.45">
      <c r="A840" s="556"/>
      <c r="B840" s="556"/>
      <c r="C840" s="556"/>
      <c r="D840" s="556"/>
      <c r="E840" s="556"/>
      <c r="F840" s="564"/>
      <c r="G840" s="564"/>
      <c r="H840" s="564"/>
      <c r="I840" s="564"/>
      <c r="J840" s="564"/>
      <c r="K840" s="564"/>
      <c r="L840" s="564"/>
      <c r="M840" s="564"/>
      <c r="N840" s="564"/>
      <c r="O840" s="564"/>
      <c r="P840" s="564"/>
      <c r="Q840" s="564"/>
      <c r="R840" s="564"/>
      <c r="S840" s="564"/>
      <c r="T840" s="564"/>
      <c r="U840" s="564"/>
      <c r="V840" s="564"/>
      <c r="W840" s="564"/>
      <c r="X840" s="564"/>
      <c r="Y840" s="564"/>
      <c r="Z840" s="564"/>
      <c r="AA840" s="564"/>
      <c r="AB840" s="556"/>
      <c r="AC840" s="556"/>
      <c r="AD840" s="74"/>
      <c r="AE840" s="74"/>
      <c r="AF840" s="74"/>
      <c r="AG840" s="74"/>
      <c r="AH840" s="74"/>
      <c r="AI840" s="74"/>
      <c r="AJ840" s="74"/>
      <c r="AK840" s="74"/>
      <c r="AL840" s="74"/>
      <c r="AM840" s="74"/>
      <c r="AN840" s="74"/>
      <c r="AO840" s="74"/>
      <c r="AP840" s="74"/>
      <c r="AQ840" s="74"/>
      <c r="AR840" s="74"/>
      <c r="AS840" s="565"/>
      <c r="AT840" s="556"/>
    </row>
    <row r="841" spans="1:46" hidden="1" x14ac:dyDescent="0.45">
      <c r="A841" s="556"/>
      <c r="B841" s="556"/>
      <c r="C841" s="556"/>
      <c r="D841" s="556"/>
      <c r="E841" s="556"/>
      <c r="F841" s="564"/>
      <c r="G841" s="564"/>
      <c r="H841" s="564"/>
      <c r="I841" s="564"/>
      <c r="J841" s="564"/>
      <c r="K841" s="564"/>
      <c r="L841" s="564"/>
      <c r="M841" s="564"/>
      <c r="N841" s="564"/>
      <c r="O841" s="564"/>
      <c r="P841" s="564"/>
      <c r="Q841" s="564"/>
      <c r="R841" s="564"/>
      <c r="S841" s="564"/>
      <c r="T841" s="564"/>
      <c r="U841" s="564"/>
      <c r="V841" s="564"/>
      <c r="W841" s="564"/>
      <c r="X841" s="564"/>
      <c r="Y841" s="564"/>
      <c r="Z841" s="564"/>
      <c r="AA841" s="564"/>
      <c r="AB841" s="556"/>
      <c r="AC841" s="556"/>
      <c r="AD841" s="74"/>
      <c r="AE841" s="74"/>
      <c r="AF841" s="74"/>
      <c r="AG841" s="74"/>
      <c r="AH841" s="74"/>
      <c r="AI841" s="74"/>
      <c r="AJ841" s="74"/>
      <c r="AK841" s="74"/>
      <c r="AL841" s="74"/>
      <c r="AM841" s="74"/>
      <c r="AN841" s="74"/>
      <c r="AO841" s="74"/>
      <c r="AP841" s="74"/>
      <c r="AQ841" s="74"/>
      <c r="AR841" s="74"/>
      <c r="AS841" s="565"/>
      <c r="AT841" s="556"/>
    </row>
    <row r="842" spans="1:46" hidden="1" x14ac:dyDescent="0.45">
      <c r="A842" s="556"/>
      <c r="B842" s="556"/>
      <c r="C842" s="556"/>
      <c r="D842" s="556"/>
      <c r="E842" s="556"/>
      <c r="F842" s="564"/>
      <c r="G842" s="564"/>
      <c r="H842" s="564"/>
      <c r="I842" s="564"/>
      <c r="J842" s="564"/>
      <c r="K842" s="564"/>
      <c r="L842" s="564"/>
      <c r="M842" s="564"/>
      <c r="N842" s="564"/>
      <c r="O842" s="564"/>
      <c r="P842" s="564"/>
      <c r="Q842" s="564"/>
      <c r="R842" s="564"/>
      <c r="S842" s="564"/>
      <c r="T842" s="564"/>
      <c r="U842" s="564"/>
      <c r="V842" s="564"/>
      <c r="W842" s="564"/>
      <c r="X842" s="564"/>
      <c r="Y842" s="564"/>
      <c r="Z842" s="564"/>
      <c r="AA842" s="564"/>
      <c r="AB842" s="556"/>
      <c r="AC842" s="556"/>
      <c r="AD842" s="74"/>
      <c r="AE842" s="74"/>
      <c r="AF842" s="74"/>
      <c r="AG842" s="74"/>
      <c r="AH842" s="74"/>
      <c r="AI842" s="74"/>
      <c r="AJ842" s="74"/>
      <c r="AK842" s="74"/>
      <c r="AL842" s="74"/>
      <c r="AM842" s="74"/>
      <c r="AN842" s="74"/>
      <c r="AO842" s="74"/>
      <c r="AP842" s="74"/>
      <c r="AQ842" s="74"/>
      <c r="AR842" s="74"/>
      <c r="AS842" s="565"/>
      <c r="AT842" s="556"/>
    </row>
    <row r="843" spans="1:46" hidden="1" x14ac:dyDescent="0.45">
      <c r="A843" s="556"/>
      <c r="B843" s="556"/>
      <c r="C843" s="556"/>
      <c r="D843" s="556"/>
      <c r="E843" s="556"/>
      <c r="F843" s="564"/>
      <c r="G843" s="564"/>
      <c r="H843" s="564"/>
      <c r="I843" s="564"/>
      <c r="J843" s="564"/>
      <c r="K843" s="564"/>
      <c r="L843" s="564"/>
      <c r="M843" s="564"/>
      <c r="N843" s="564"/>
      <c r="O843" s="564"/>
      <c r="P843" s="564"/>
      <c r="Q843" s="564"/>
      <c r="R843" s="564"/>
      <c r="S843" s="564"/>
      <c r="T843" s="564"/>
      <c r="U843" s="564"/>
      <c r="V843" s="564"/>
      <c r="W843" s="564"/>
      <c r="X843" s="564"/>
      <c r="Y843" s="564"/>
      <c r="Z843" s="564"/>
      <c r="AA843" s="564"/>
      <c r="AB843" s="556"/>
      <c r="AC843" s="556"/>
      <c r="AD843" s="74"/>
      <c r="AE843" s="74"/>
      <c r="AF843" s="74"/>
      <c r="AG843" s="74"/>
      <c r="AH843" s="74"/>
      <c r="AI843" s="74"/>
      <c r="AJ843" s="74"/>
      <c r="AK843" s="74"/>
      <c r="AL843" s="74"/>
      <c r="AM843" s="74"/>
      <c r="AN843" s="74"/>
      <c r="AO843" s="74"/>
      <c r="AP843" s="74"/>
      <c r="AQ843" s="74"/>
      <c r="AR843" s="74"/>
      <c r="AS843" s="565"/>
      <c r="AT843" s="556"/>
    </row>
    <row r="844" spans="1:46" hidden="1" x14ac:dyDescent="0.45">
      <c r="A844" s="556"/>
      <c r="B844" s="556"/>
      <c r="C844" s="556"/>
      <c r="D844" s="556"/>
      <c r="E844" s="556"/>
      <c r="F844" s="564"/>
      <c r="G844" s="564"/>
      <c r="H844" s="564"/>
      <c r="I844" s="564"/>
      <c r="J844" s="564"/>
      <c r="K844" s="564"/>
      <c r="L844" s="564"/>
      <c r="M844" s="564"/>
      <c r="N844" s="564"/>
      <c r="O844" s="564"/>
      <c r="P844" s="564"/>
      <c r="Q844" s="564"/>
      <c r="R844" s="564"/>
      <c r="S844" s="564"/>
      <c r="T844" s="564"/>
      <c r="U844" s="564"/>
      <c r="V844" s="564"/>
      <c r="W844" s="564"/>
      <c r="X844" s="564"/>
      <c r="Y844" s="564"/>
      <c r="Z844" s="564"/>
      <c r="AA844" s="564"/>
      <c r="AB844" s="556"/>
      <c r="AC844" s="556"/>
      <c r="AD844" s="74"/>
      <c r="AE844" s="74"/>
      <c r="AF844" s="74"/>
      <c r="AG844" s="74"/>
      <c r="AH844" s="74"/>
      <c r="AI844" s="74"/>
      <c r="AJ844" s="74"/>
      <c r="AK844" s="74"/>
      <c r="AL844" s="74"/>
      <c r="AM844" s="74"/>
      <c r="AN844" s="74"/>
      <c r="AO844" s="74"/>
      <c r="AP844" s="74"/>
      <c r="AQ844" s="74"/>
      <c r="AR844" s="74"/>
      <c r="AS844" s="565"/>
      <c r="AT844" s="556"/>
    </row>
    <row r="845" spans="1:46" hidden="1" x14ac:dyDescent="0.45">
      <c r="A845" s="556"/>
      <c r="B845" s="556"/>
      <c r="C845" s="556"/>
      <c r="D845" s="556"/>
      <c r="E845" s="556"/>
      <c r="F845" s="564"/>
      <c r="G845" s="564"/>
      <c r="H845" s="564"/>
      <c r="I845" s="564"/>
      <c r="J845" s="564"/>
      <c r="K845" s="564"/>
      <c r="L845" s="564"/>
      <c r="M845" s="564"/>
      <c r="N845" s="564"/>
      <c r="O845" s="564"/>
      <c r="P845" s="564"/>
      <c r="Q845" s="564"/>
      <c r="R845" s="564"/>
      <c r="S845" s="564"/>
      <c r="T845" s="564"/>
      <c r="U845" s="564"/>
      <c r="V845" s="564"/>
      <c r="W845" s="564"/>
      <c r="X845" s="564"/>
      <c r="Y845" s="564"/>
      <c r="Z845" s="564"/>
      <c r="AA845" s="564"/>
      <c r="AB845" s="556"/>
      <c r="AC845" s="556"/>
      <c r="AD845" s="74"/>
      <c r="AE845" s="74"/>
      <c r="AF845" s="74"/>
      <c r="AG845" s="74"/>
      <c r="AH845" s="74"/>
      <c r="AI845" s="74"/>
      <c r="AJ845" s="74"/>
      <c r="AK845" s="74"/>
      <c r="AL845" s="74"/>
      <c r="AM845" s="74"/>
      <c r="AN845" s="74"/>
      <c r="AO845" s="74"/>
      <c r="AP845" s="74"/>
      <c r="AQ845" s="74"/>
      <c r="AR845" s="74"/>
      <c r="AS845" s="565"/>
      <c r="AT845" s="556"/>
    </row>
    <row r="846" spans="1:46" hidden="1" x14ac:dyDescent="0.45">
      <c r="A846" s="556"/>
      <c r="B846" s="556"/>
      <c r="C846" s="556"/>
      <c r="D846" s="556"/>
      <c r="E846" s="556"/>
      <c r="F846" s="564"/>
      <c r="G846" s="564"/>
      <c r="H846" s="564"/>
      <c r="I846" s="564"/>
      <c r="J846" s="564"/>
      <c r="K846" s="564"/>
      <c r="L846" s="564"/>
      <c r="M846" s="564"/>
      <c r="N846" s="564"/>
      <c r="O846" s="564"/>
      <c r="P846" s="564"/>
      <c r="Q846" s="564"/>
      <c r="R846" s="564"/>
      <c r="S846" s="564"/>
      <c r="T846" s="564"/>
      <c r="U846" s="564"/>
      <c r="V846" s="564"/>
      <c r="W846" s="564"/>
      <c r="X846" s="564"/>
      <c r="Y846" s="564"/>
      <c r="Z846" s="564"/>
      <c r="AA846" s="564"/>
      <c r="AB846" s="556"/>
      <c r="AC846" s="556"/>
      <c r="AD846" s="74"/>
      <c r="AE846" s="74"/>
      <c r="AF846" s="74"/>
      <c r="AG846" s="74"/>
      <c r="AH846" s="74"/>
      <c r="AI846" s="74"/>
      <c r="AJ846" s="74"/>
      <c r="AK846" s="74"/>
      <c r="AL846" s="74"/>
      <c r="AM846" s="74"/>
      <c r="AN846" s="74"/>
      <c r="AO846" s="74"/>
      <c r="AP846" s="74"/>
      <c r="AQ846" s="74"/>
      <c r="AR846" s="74"/>
      <c r="AS846" s="565"/>
      <c r="AT846" s="556"/>
    </row>
    <row r="847" spans="1:46" hidden="1" x14ac:dyDescent="0.45">
      <c r="A847" s="556"/>
      <c r="B847" s="556"/>
      <c r="C847" s="556"/>
      <c r="D847" s="556"/>
      <c r="E847" s="556"/>
      <c r="F847" s="564"/>
      <c r="G847" s="564"/>
      <c r="H847" s="564"/>
      <c r="I847" s="564"/>
      <c r="J847" s="564"/>
      <c r="K847" s="564"/>
      <c r="L847" s="564"/>
      <c r="M847" s="564"/>
      <c r="N847" s="564"/>
      <c r="O847" s="564"/>
      <c r="P847" s="564"/>
      <c r="Q847" s="564"/>
      <c r="R847" s="564"/>
      <c r="S847" s="564"/>
      <c r="T847" s="564"/>
      <c r="U847" s="564"/>
      <c r="V847" s="564"/>
      <c r="W847" s="564"/>
      <c r="X847" s="564"/>
      <c r="Y847" s="564"/>
      <c r="Z847" s="564"/>
      <c r="AA847" s="564"/>
      <c r="AB847" s="556"/>
      <c r="AC847" s="556"/>
      <c r="AD847" s="74"/>
      <c r="AE847" s="74"/>
      <c r="AF847" s="74"/>
      <c r="AG847" s="74"/>
      <c r="AH847" s="74"/>
      <c r="AI847" s="74"/>
      <c r="AJ847" s="74"/>
      <c r="AK847" s="74"/>
      <c r="AL847" s="74"/>
      <c r="AM847" s="74"/>
      <c r="AN847" s="74"/>
      <c r="AO847" s="74"/>
      <c r="AP847" s="74"/>
      <c r="AQ847" s="74"/>
      <c r="AR847" s="74"/>
      <c r="AS847" s="565"/>
      <c r="AT847" s="556"/>
    </row>
    <row r="848" spans="1:46" hidden="1" x14ac:dyDescent="0.45">
      <c r="A848" s="556"/>
      <c r="B848" s="556"/>
      <c r="C848" s="556"/>
      <c r="D848" s="556"/>
      <c r="E848" s="556"/>
      <c r="F848" s="564"/>
      <c r="G848" s="564"/>
      <c r="H848" s="564"/>
      <c r="I848" s="564"/>
      <c r="J848" s="564"/>
      <c r="K848" s="564"/>
      <c r="L848" s="564"/>
      <c r="M848" s="564"/>
      <c r="N848" s="564"/>
      <c r="O848" s="564"/>
      <c r="P848" s="564"/>
      <c r="Q848" s="564"/>
      <c r="R848" s="564"/>
      <c r="S848" s="564"/>
      <c r="T848" s="564"/>
      <c r="U848" s="564"/>
      <c r="V848" s="564"/>
      <c r="W848" s="564"/>
      <c r="X848" s="564"/>
      <c r="Y848" s="564"/>
      <c r="Z848" s="564"/>
      <c r="AA848" s="564"/>
      <c r="AB848" s="556"/>
      <c r="AC848" s="556"/>
      <c r="AD848" s="74"/>
      <c r="AE848" s="74"/>
      <c r="AF848" s="74"/>
      <c r="AG848" s="74"/>
      <c r="AH848" s="74"/>
      <c r="AI848" s="74"/>
      <c r="AJ848" s="74"/>
      <c r="AK848" s="74"/>
      <c r="AL848" s="74"/>
      <c r="AM848" s="74"/>
      <c r="AN848" s="74"/>
      <c r="AO848" s="74"/>
      <c r="AP848" s="74"/>
      <c r="AQ848" s="74"/>
      <c r="AR848" s="74"/>
      <c r="AS848" s="565"/>
      <c r="AT848" s="556"/>
    </row>
    <row r="849" spans="1:46" hidden="1" x14ac:dyDescent="0.45">
      <c r="A849" s="556"/>
      <c r="B849" s="556"/>
      <c r="C849" s="556"/>
      <c r="D849" s="556"/>
      <c r="E849" s="556"/>
      <c r="F849" s="564"/>
      <c r="G849" s="564"/>
      <c r="H849" s="564"/>
      <c r="I849" s="564"/>
      <c r="J849" s="564"/>
      <c r="K849" s="564"/>
      <c r="L849" s="564"/>
      <c r="M849" s="564"/>
      <c r="N849" s="564"/>
      <c r="O849" s="564"/>
      <c r="P849" s="564"/>
      <c r="Q849" s="564"/>
      <c r="R849" s="564"/>
      <c r="S849" s="564"/>
      <c r="T849" s="564"/>
      <c r="U849" s="564"/>
      <c r="V849" s="564"/>
      <c r="W849" s="564"/>
      <c r="X849" s="564"/>
      <c r="Y849" s="564"/>
      <c r="Z849" s="564"/>
      <c r="AA849" s="564"/>
      <c r="AB849" s="556"/>
      <c r="AC849" s="556"/>
      <c r="AD849" s="74"/>
      <c r="AE849" s="74"/>
      <c r="AF849" s="74"/>
      <c r="AG849" s="74"/>
      <c r="AH849" s="74"/>
      <c r="AI849" s="74"/>
      <c r="AJ849" s="74"/>
      <c r="AK849" s="74"/>
      <c r="AL849" s="74"/>
      <c r="AM849" s="74"/>
      <c r="AN849" s="74"/>
      <c r="AO849" s="74"/>
      <c r="AP849" s="74"/>
      <c r="AQ849" s="74"/>
      <c r="AR849" s="74"/>
      <c r="AS849" s="565"/>
      <c r="AT849" s="556"/>
    </row>
    <row r="850" spans="1:46" hidden="1" x14ac:dyDescent="0.45">
      <c r="A850" s="556"/>
      <c r="B850" s="556"/>
      <c r="C850" s="556"/>
      <c r="D850" s="556"/>
      <c r="E850" s="556"/>
      <c r="F850" s="564"/>
      <c r="G850" s="564"/>
      <c r="H850" s="564"/>
      <c r="I850" s="564"/>
      <c r="J850" s="564"/>
      <c r="K850" s="564"/>
      <c r="L850" s="564"/>
      <c r="M850" s="564"/>
      <c r="N850" s="564"/>
      <c r="O850" s="564"/>
      <c r="P850" s="564"/>
      <c r="Q850" s="564"/>
      <c r="R850" s="564"/>
      <c r="S850" s="564"/>
      <c r="T850" s="564"/>
      <c r="U850" s="564"/>
      <c r="V850" s="564"/>
      <c r="W850" s="564"/>
      <c r="X850" s="564"/>
      <c r="Y850" s="564"/>
      <c r="Z850" s="564"/>
      <c r="AA850" s="564"/>
      <c r="AB850" s="556"/>
      <c r="AC850" s="556"/>
      <c r="AD850" s="74"/>
      <c r="AE850" s="74"/>
      <c r="AF850" s="74"/>
      <c r="AG850" s="74"/>
      <c r="AH850" s="74"/>
      <c r="AI850" s="74"/>
      <c r="AJ850" s="74"/>
      <c r="AK850" s="74"/>
      <c r="AL850" s="74"/>
      <c r="AM850" s="74"/>
      <c r="AN850" s="74"/>
      <c r="AO850" s="74"/>
      <c r="AP850" s="74"/>
      <c r="AQ850" s="74"/>
      <c r="AR850" s="74"/>
      <c r="AS850" s="565"/>
      <c r="AT850" s="556"/>
    </row>
    <row r="851" spans="1:46" hidden="1" x14ac:dyDescent="0.45">
      <c r="A851" s="556"/>
      <c r="B851" s="556"/>
      <c r="C851" s="556"/>
      <c r="D851" s="556"/>
      <c r="E851" s="556"/>
      <c r="F851" s="564"/>
      <c r="G851" s="564"/>
      <c r="H851" s="564"/>
      <c r="I851" s="564"/>
      <c r="J851" s="564"/>
      <c r="K851" s="564"/>
      <c r="L851" s="564"/>
      <c r="M851" s="564"/>
      <c r="N851" s="564"/>
      <c r="O851" s="564"/>
      <c r="P851" s="564"/>
      <c r="Q851" s="564"/>
      <c r="R851" s="564"/>
      <c r="S851" s="564"/>
      <c r="T851" s="564"/>
      <c r="U851" s="564"/>
      <c r="V851" s="564"/>
      <c r="W851" s="564"/>
      <c r="X851" s="564"/>
      <c r="Y851" s="564"/>
      <c r="Z851" s="564"/>
      <c r="AA851" s="564"/>
      <c r="AB851" s="556"/>
      <c r="AC851" s="556"/>
      <c r="AD851" s="74"/>
      <c r="AE851" s="74"/>
      <c r="AF851" s="74"/>
      <c r="AG851" s="74"/>
      <c r="AH851" s="74"/>
      <c r="AI851" s="74"/>
      <c r="AJ851" s="74"/>
      <c r="AK851" s="74"/>
      <c r="AL851" s="74"/>
      <c r="AM851" s="74"/>
      <c r="AN851" s="74"/>
      <c r="AO851" s="74"/>
      <c r="AP851" s="74"/>
      <c r="AQ851" s="74"/>
      <c r="AR851" s="74"/>
      <c r="AS851" s="565"/>
      <c r="AT851" s="556"/>
    </row>
    <row r="852" spans="1:46" hidden="1" x14ac:dyDescent="0.45">
      <c r="A852" s="556"/>
      <c r="B852" s="556"/>
      <c r="C852" s="556"/>
      <c r="D852" s="556"/>
      <c r="E852" s="556"/>
      <c r="F852" s="564"/>
      <c r="G852" s="564"/>
      <c r="H852" s="564"/>
      <c r="I852" s="564"/>
      <c r="J852" s="564"/>
      <c r="K852" s="564"/>
      <c r="L852" s="564"/>
      <c r="M852" s="564"/>
      <c r="N852" s="564"/>
      <c r="O852" s="564"/>
      <c r="P852" s="564"/>
      <c r="Q852" s="564"/>
      <c r="R852" s="564"/>
      <c r="S852" s="564"/>
      <c r="T852" s="564"/>
      <c r="U852" s="564"/>
      <c r="V852" s="564"/>
      <c r="W852" s="564"/>
      <c r="X852" s="564"/>
      <c r="Y852" s="564"/>
      <c r="Z852" s="564"/>
      <c r="AA852" s="564"/>
      <c r="AB852" s="556"/>
      <c r="AC852" s="556"/>
      <c r="AD852" s="74"/>
      <c r="AE852" s="74"/>
      <c r="AF852" s="74"/>
      <c r="AG852" s="74"/>
      <c r="AH852" s="74"/>
      <c r="AI852" s="74"/>
      <c r="AJ852" s="74"/>
      <c r="AK852" s="74"/>
      <c r="AL852" s="74"/>
      <c r="AM852" s="74"/>
      <c r="AN852" s="74"/>
      <c r="AO852" s="74"/>
      <c r="AP852" s="74"/>
      <c r="AQ852" s="74"/>
      <c r="AR852" s="74"/>
      <c r="AS852" s="565"/>
      <c r="AT852" s="556"/>
    </row>
    <row r="853" spans="1:46" hidden="1" x14ac:dyDescent="0.45">
      <c r="A853" s="556"/>
      <c r="B853" s="556"/>
      <c r="C853" s="556"/>
      <c r="D853" s="556"/>
      <c r="E853" s="556"/>
      <c r="F853" s="564"/>
      <c r="G853" s="564"/>
      <c r="H853" s="564"/>
      <c r="I853" s="564"/>
      <c r="J853" s="564"/>
      <c r="K853" s="564"/>
      <c r="L853" s="564"/>
      <c r="M853" s="564"/>
      <c r="N853" s="564"/>
      <c r="O853" s="564"/>
      <c r="P853" s="564"/>
      <c r="Q853" s="564"/>
      <c r="R853" s="564"/>
      <c r="S853" s="564"/>
      <c r="T853" s="564"/>
      <c r="U853" s="564"/>
      <c r="V853" s="564"/>
      <c r="W853" s="564"/>
      <c r="X853" s="564"/>
      <c r="Y853" s="564"/>
      <c r="Z853" s="564"/>
      <c r="AA853" s="564"/>
      <c r="AB853" s="556"/>
      <c r="AC853" s="556"/>
      <c r="AD853" s="74"/>
      <c r="AE853" s="74"/>
      <c r="AF853" s="74"/>
      <c r="AG853" s="74"/>
      <c r="AH853" s="74"/>
      <c r="AI853" s="74"/>
      <c r="AJ853" s="74"/>
      <c r="AK853" s="74"/>
      <c r="AL853" s="74"/>
      <c r="AM853" s="74"/>
      <c r="AN853" s="74"/>
      <c r="AO853" s="74"/>
      <c r="AP853" s="74"/>
      <c r="AQ853" s="74"/>
      <c r="AR853" s="74"/>
      <c r="AS853" s="565"/>
      <c r="AT853" s="556"/>
    </row>
    <row r="854" spans="1:46" hidden="1" x14ac:dyDescent="0.45">
      <c r="A854" s="556"/>
      <c r="B854" s="556"/>
      <c r="C854" s="556"/>
      <c r="D854" s="556"/>
      <c r="E854" s="556"/>
      <c r="F854" s="564"/>
      <c r="G854" s="564"/>
      <c r="H854" s="564"/>
      <c r="I854" s="564"/>
      <c r="J854" s="564"/>
      <c r="K854" s="564"/>
      <c r="L854" s="564"/>
      <c r="M854" s="564"/>
      <c r="N854" s="564"/>
      <c r="O854" s="564"/>
      <c r="P854" s="564"/>
      <c r="Q854" s="564"/>
      <c r="R854" s="564"/>
      <c r="S854" s="564"/>
      <c r="T854" s="564"/>
      <c r="U854" s="564"/>
      <c r="V854" s="564"/>
      <c r="W854" s="564"/>
      <c r="X854" s="564"/>
      <c r="Y854" s="564"/>
      <c r="Z854" s="564"/>
      <c r="AA854" s="564"/>
      <c r="AB854" s="556"/>
      <c r="AC854" s="556"/>
      <c r="AD854" s="74"/>
      <c r="AE854" s="74"/>
      <c r="AF854" s="74"/>
      <c r="AG854" s="74"/>
      <c r="AH854" s="74"/>
      <c r="AI854" s="74"/>
      <c r="AJ854" s="74"/>
      <c r="AK854" s="74"/>
      <c r="AL854" s="74"/>
      <c r="AM854" s="74"/>
      <c r="AN854" s="74"/>
      <c r="AO854" s="74"/>
      <c r="AP854" s="74"/>
      <c r="AQ854" s="74"/>
      <c r="AR854" s="74"/>
      <c r="AS854" s="565"/>
      <c r="AT854" s="556"/>
    </row>
    <row r="855" spans="1:46" hidden="1" x14ac:dyDescent="0.45">
      <c r="A855" s="556"/>
      <c r="B855" s="556"/>
      <c r="C855" s="556"/>
      <c r="D855" s="556"/>
      <c r="E855" s="556"/>
      <c r="F855" s="564"/>
      <c r="G855" s="564"/>
      <c r="H855" s="564"/>
      <c r="I855" s="564"/>
      <c r="J855" s="564"/>
      <c r="K855" s="564"/>
      <c r="L855" s="564"/>
      <c r="M855" s="564"/>
      <c r="N855" s="564"/>
      <c r="O855" s="564"/>
      <c r="P855" s="564"/>
      <c r="Q855" s="564"/>
      <c r="R855" s="564"/>
      <c r="S855" s="564"/>
      <c r="T855" s="564"/>
      <c r="U855" s="564"/>
      <c r="V855" s="564"/>
      <c r="W855" s="564"/>
      <c r="X855" s="564"/>
      <c r="Y855" s="564"/>
      <c r="Z855" s="564"/>
      <c r="AA855" s="564"/>
      <c r="AB855" s="556"/>
      <c r="AC855" s="556"/>
      <c r="AD855" s="74"/>
      <c r="AE855" s="74"/>
      <c r="AF855" s="74"/>
      <c r="AG855" s="74"/>
      <c r="AH855" s="74"/>
      <c r="AI855" s="74"/>
      <c r="AJ855" s="74"/>
      <c r="AK855" s="74"/>
      <c r="AL855" s="74"/>
      <c r="AM855" s="74"/>
      <c r="AN855" s="74"/>
      <c r="AO855" s="74"/>
      <c r="AP855" s="74"/>
      <c r="AQ855" s="74"/>
      <c r="AR855" s="74"/>
      <c r="AS855" s="565"/>
      <c r="AT855" s="556"/>
    </row>
    <row r="856" spans="1:46" hidden="1" x14ac:dyDescent="0.45">
      <c r="A856" s="556"/>
      <c r="B856" s="556"/>
      <c r="C856" s="556"/>
      <c r="D856" s="556"/>
      <c r="E856" s="556"/>
      <c r="F856" s="564"/>
      <c r="G856" s="564"/>
      <c r="H856" s="564"/>
      <c r="I856" s="564"/>
      <c r="J856" s="564"/>
      <c r="K856" s="564"/>
      <c r="L856" s="564"/>
      <c r="M856" s="564"/>
      <c r="N856" s="564"/>
      <c r="O856" s="564"/>
      <c r="P856" s="564"/>
      <c r="Q856" s="564"/>
      <c r="R856" s="564"/>
      <c r="S856" s="564"/>
      <c r="T856" s="564"/>
      <c r="U856" s="564"/>
      <c r="V856" s="564"/>
      <c r="W856" s="564"/>
      <c r="X856" s="564"/>
      <c r="Y856" s="564"/>
      <c r="Z856" s="564"/>
      <c r="AA856" s="564"/>
      <c r="AB856" s="556"/>
      <c r="AC856" s="556"/>
      <c r="AD856" s="74"/>
      <c r="AE856" s="74"/>
      <c r="AF856" s="74"/>
      <c r="AG856" s="74"/>
      <c r="AH856" s="74"/>
      <c r="AI856" s="74"/>
      <c r="AJ856" s="74"/>
      <c r="AK856" s="74"/>
      <c r="AL856" s="74"/>
      <c r="AM856" s="74"/>
      <c r="AN856" s="74"/>
      <c r="AO856" s="74"/>
      <c r="AP856" s="74"/>
      <c r="AQ856" s="74"/>
      <c r="AR856" s="74"/>
      <c r="AS856" s="565"/>
      <c r="AT856" s="556"/>
    </row>
    <row r="857" spans="1:46" hidden="1" x14ac:dyDescent="0.45">
      <c r="A857" s="556"/>
      <c r="B857" s="556"/>
      <c r="C857" s="556"/>
      <c r="D857" s="556"/>
      <c r="E857" s="556"/>
      <c r="F857" s="564"/>
      <c r="G857" s="564"/>
      <c r="H857" s="564"/>
      <c r="I857" s="564"/>
      <c r="J857" s="564"/>
      <c r="K857" s="564"/>
      <c r="L857" s="564"/>
      <c r="M857" s="564"/>
      <c r="N857" s="564"/>
      <c r="O857" s="564"/>
      <c r="P857" s="564"/>
      <c r="Q857" s="564"/>
      <c r="R857" s="564"/>
      <c r="S857" s="564"/>
      <c r="T857" s="564"/>
      <c r="U857" s="564"/>
      <c r="V857" s="564"/>
      <c r="W857" s="564"/>
      <c r="X857" s="564"/>
      <c r="Y857" s="564"/>
      <c r="Z857" s="564"/>
      <c r="AA857" s="564"/>
      <c r="AB857" s="556"/>
      <c r="AC857" s="556"/>
      <c r="AD857" s="74"/>
      <c r="AE857" s="74"/>
      <c r="AF857" s="74"/>
      <c r="AG857" s="74"/>
      <c r="AH857" s="74"/>
      <c r="AI857" s="74"/>
      <c r="AJ857" s="74"/>
      <c r="AK857" s="74"/>
      <c r="AL857" s="74"/>
      <c r="AM857" s="74"/>
      <c r="AN857" s="74"/>
      <c r="AO857" s="74"/>
      <c r="AP857" s="74"/>
      <c r="AQ857" s="74"/>
      <c r="AR857" s="74"/>
      <c r="AS857" s="565"/>
      <c r="AT857" s="556"/>
    </row>
    <row r="858" spans="1:46" hidden="1" x14ac:dyDescent="0.45">
      <c r="A858" s="556"/>
      <c r="B858" s="556"/>
      <c r="C858" s="556"/>
      <c r="D858" s="556"/>
      <c r="E858" s="556"/>
      <c r="F858" s="564"/>
      <c r="G858" s="564"/>
      <c r="H858" s="564"/>
      <c r="I858" s="564"/>
      <c r="J858" s="564"/>
      <c r="K858" s="564"/>
      <c r="L858" s="564"/>
      <c r="M858" s="564"/>
      <c r="N858" s="564"/>
      <c r="O858" s="564"/>
      <c r="P858" s="564"/>
      <c r="Q858" s="564"/>
      <c r="R858" s="564"/>
      <c r="S858" s="564"/>
      <c r="T858" s="564"/>
      <c r="U858" s="564"/>
      <c r="V858" s="564"/>
      <c r="W858" s="564"/>
      <c r="X858" s="564"/>
      <c r="Y858" s="564"/>
      <c r="Z858" s="564"/>
      <c r="AA858" s="564"/>
      <c r="AB858" s="556"/>
      <c r="AC858" s="556"/>
      <c r="AD858" s="74"/>
      <c r="AE858" s="74"/>
      <c r="AF858" s="74"/>
      <c r="AG858" s="74"/>
      <c r="AH858" s="74"/>
      <c r="AI858" s="74"/>
      <c r="AJ858" s="74"/>
      <c r="AK858" s="74"/>
      <c r="AL858" s="74"/>
      <c r="AM858" s="74"/>
      <c r="AN858" s="74"/>
      <c r="AO858" s="74"/>
      <c r="AP858" s="74"/>
      <c r="AQ858" s="74"/>
      <c r="AR858" s="74"/>
      <c r="AS858" s="565"/>
      <c r="AT858" s="556"/>
    </row>
    <row r="859" spans="1:46" hidden="1" x14ac:dyDescent="0.45">
      <c r="A859" s="556"/>
      <c r="B859" s="556"/>
      <c r="C859" s="556"/>
      <c r="D859" s="556"/>
      <c r="E859" s="556"/>
      <c r="F859" s="564"/>
      <c r="G859" s="564"/>
      <c r="H859" s="564"/>
      <c r="I859" s="564"/>
      <c r="J859" s="564"/>
      <c r="K859" s="564"/>
      <c r="L859" s="564"/>
      <c r="M859" s="564"/>
      <c r="N859" s="564"/>
      <c r="O859" s="564"/>
      <c r="P859" s="564"/>
      <c r="Q859" s="564"/>
      <c r="R859" s="564"/>
      <c r="S859" s="564"/>
      <c r="T859" s="564"/>
      <c r="U859" s="564"/>
      <c r="V859" s="564"/>
      <c r="W859" s="564"/>
      <c r="X859" s="564"/>
      <c r="Y859" s="564"/>
      <c r="Z859" s="564"/>
      <c r="AA859" s="564"/>
      <c r="AB859" s="556"/>
      <c r="AC859" s="556"/>
      <c r="AD859" s="74"/>
      <c r="AE859" s="74"/>
      <c r="AF859" s="74"/>
      <c r="AG859" s="74"/>
      <c r="AH859" s="74"/>
      <c r="AI859" s="74"/>
      <c r="AJ859" s="74"/>
      <c r="AK859" s="74"/>
      <c r="AL859" s="74"/>
      <c r="AM859" s="74"/>
      <c r="AN859" s="74"/>
      <c r="AO859" s="74"/>
      <c r="AP859" s="74"/>
      <c r="AQ859" s="74"/>
      <c r="AR859" s="74"/>
      <c r="AS859" s="565"/>
      <c r="AT859" s="556"/>
    </row>
    <row r="860" spans="1:46" hidden="1" x14ac:dyDescent="0.45">
      <c r="A860" s="556"/>
      <c r="B860" s="556"/>
      <c r="C860" s="556"/>
      <c r="D860" s="556"/>
      <c r="E860" s="556"/>
      <c r="F860" s="564"/>
      <c r="G860" s="564"/>
      <c r="H860" s="564"/>
      <c r="I860" s="564"/>
      <c r="J860" s="564"/>
      <c r="K860" s="564"/>
      <c r="L860" s="564"/>
      <c r="M860" s="564"/>
      <c r="N860" s="564"/>
      <c r="O860" s="564"/>
      <c r="P860" s="564"/>
      <c r="Q860" s="564"/>
      <c r="R860" s="564"/>
      <c r="S860" s="564"/>
      <c r="T860" s="564"/>
      <c r="U860" s="564"/>
      <c r="V860" s="564"/>
      <c r="W860" s="564"/>
      <c r="X860" s="564"/>
      <c r="Y860" s="564"/>
      <c r="Z860" s="564"/>
      <c r="AA860" s="564"/>
      <c r="AB860" s="556"/>
      <c r="AC860" s="556"/>
      <c r="AD860" s="74"/>
      <c r="AE860" s="74"/>
      <c r="AF860" s="74"/>
      <c r="AG860" s="74"/>
      <c r="AH860" s="74"/>
      <c r="AI860" s="74"/>
      <c r="AJ860" s="74"/>
      <c r="AK860" s="74"/>
      <c r="AL860" s="74"/>
      <c r="AM860" s="74"/>
      <c r="AN860" s="74"/>
      <c r="AO860" s="74"/>
      <c r="AP860" s="74"/>
      <c r="AQ860" s="74"/>
      <c r="AR860" s="74"/>
      <c r="AS860" s="565"/>
      <c r="AT860" s="556"/>
    </row>
    <row r="861" spans="1:46" hidden="1" x14ac:dyDescent="0.45">
      <c r="A861" s="556"/>
      <c r="B861" s="556"/>
      <c r="C861" s="556"/>
      <c r="D861" s="556"/>
      <c r="E861" s="556"/>
      <c r="F861" s="564"/>
      <c r="G861" s="564"/>
      <c r="H861" s="564"/>
      <c r="I861" s="564"/>
      <c r="J861" s="564"/>
      <c r="K861" s="564"/>
      <c r="L861" s="564"/>
      <c r="M861" s="564"/>
      <c r="N861" s="564"/>
      <c r="O861" s="564"/>
      <c r="P861" s="564"/>
      <c r="Q861" s="564"/>
      <c r="R861" s="564"/>
      <c r="S861" s="564"/>
      <c r="T861" s="564"/>
      <c r="U861" s="564"/>
      <c r="V861" s="564"/>
      <c r="W861" s="564"/>
      <c r="X861" s="564"/>
      <c r="Y861" s="564"/>
      <c r="Z861" s="564"/>
      <c r="AA861" s="564"/>
      <c r="AB861" s="556"/>
      <c r="AC861" s="556"/>
      <c r="AD861" s="74"/>
      <c r="AE861" s="74"/>
      <c r="AF861" s="74"/>
      <c r="AG861" s="74"/>
      <c r="AH861" s="74"/>
      <c r="AI861" s="74"/>
      <c r="AJ861" s="74"/>
      <c r="AK861" s="74"/>
      <c r="AL861" s="74"/>
      <c r="AM861" s="74"/>
      <c r="AN861" s="74"/>
      <c r="AO861" s="74"/>
      <c r="AP861" s="74"/>
      <c r="AQ861" s="74"/>
      <c r="AR861" s="74"/>
      <c r="AS861" s="565"/>
      <c r="AT861" s="556"/>
    </row>
    <row r="862" spans="1:46" hidden="1" x14ac:dyDescent="0.45">
      <c r="A862" s="556"/>
      <c r="B862" s="556"/>
      <c r="C862" s="556"/>
      <c r="D862" s="556"/>
      <c r="E862" s="556"/>
      <c r="F862" s="564"/>
      <c r="G862" s="564"/>
      <c r="H862" s="564"/>
      <c r="I862" s="564"/>
      <c r="J862" s="564"/>
      <c r="K862" s="564"/>
      <c r="L862" s="564"/>
      <c r="M862" s="564"/>
      <c r="N862" s="564"/>
      <c r="O862" s="564"/>
      <c r="P862" s="564"/>
      <c r="Q862" s="564"/>
      <c r="R862" s="564"/>
      <c r="S862" s="564"/>
      <c r="T862" s="564"/>
      <c r="U862" s="564"/>
      <c r="V862" s="564"/>
      <c r="W862" s="564"/>
      <c r="X862" s="564"/>
      <c r="Y862" s="564"/>
      <c r="Z862" s="564"/>
      <c r="AA862" s="564"/>
      <c r="AB862" s="556"/>
      <c r="AC862" s="556"/>
      <c r="AD862" s="74"/>
      <c r="AE862" s="74"/>
      <c r="AF862" s="74"/>
      <c r="AG862" s="74"/>
      <c r="AH862" s="74"/>
      <c r="AI862" s="74"/>
      <c r="AJ862" s="74"/>
      <c r="AK862" s="74"/>
      <c r="AL862" s="74"/>
      <c r="AM862" s="74"/>
      <c r="AN862" s="74"/>
      <c r="AO862" s="74"/>
      <c r="AP862" s="74"/>
      <c r="AQ862" s="74"/>
      <c r="AR862" s="74"/>
      <c r="AS862" s="565"/>
      <c r="AT862" s="556"/>
    </row>
    <row r="863" spans="1:46" hidden="1" x14ac:dyDescent="0.45">
      <c r="A863" s="556"/>
      <c r="B863" s="556"/>
      <c r="C863" s="556"/>
      <c r="D863" s="556"/>
      <c r="E863" s="556"/>
      <c r="F863" s="564"/>
      <c r="G863" s="564"/>
      <c r="H863" s="564"/>
      <c r="I863" s="564"/>
      <c r="J863" s="564"/>
      <c r="K863" s="564"/>
      <c r="L863" s="564"/>
      <c r="M863" s="564"/>
      <c r="N863" s="564"/>
      <c r="O863" s="564"/>
      <c r="P863" s="564"/>
      <c r="Q863" s="564"/>
      <c r="R863" s="564"/>
      <c r="S863" s="564"/>
      <c r="T863" s="564"/>
      <c r="U863" s="564"/>
      <c r="V863" s="564"/>
      <c r="W863" s="564"/>
      <c r="X863" s="564"/>
      <c r="Y863" s="564"/>
      <c r="Z863" s="564"/>
      <c r="AA863" s="564"/>
      <c r="AB863" s="556"/>
      <c r="AC863" s="556"/>
      <c r="AD863" s="74"/>
      <c r="AE863" s="74"/>
      <c r="AF863" s="74"/>
      <c r="AG863" s="74"/>
      <c r="AH863" s="74"/>
      <c r="AI863" s="74"/>
      <c r="AJ863" s="74"/>
      <c r="AK863" s="74"/>
      <c r="AL863" s="74"/>
      <c r="AM863" s="74"/>
      <c r="AN863" s="74"/>
      <c r="AO863" s="74"/>
      <c r="AP863" s="74"/>
      <c r="AQ863" s="74"/>
      <c r="AR863" s="74"/>
      <c r="AS863" s="565"/>
      <c r="AT863" s="556"/>
    </row>
    <row r="864" spans="1:46" hidden="1" x14ac:dyDescent="0.45">
      <c r="A864" s="556"/>
      <c r="B864" s="556"/>
      <c r="C864" s="556"/>
      <c r="D864" s="556"/>
      <c r="E864" s="556"/>
      <c r="F864" s="564"/>
      <c r="G864" s="564"/>
      <c r="H864" s="564"/>
      <c r="I864" s="564"/>
      <c r="J864" s="564"/>
      <c r="K864" s="564"/>
      <c r="L864" s="564"/>
      <c r="M864" s="564"/>
      <c r="N864" s="564"/>
      <c r="O864" s="564"/>
      <c r="P864" s="564"/>
      <c r="Q864" s="564"/>
      <c r="R864" s="564"/>
      <c r="S864" s="564"/>
      <c r="T864" s="564"/>
      <c r="U864" s="564"/>
      <c r="V864" s="564"/>
      <c r="W864" s="564"/>
      <c r="X864" s="564"/>
      <c r="Y864" s="564"/>
      <c r="Z864" s="564"/>
      <c r="AA864" s="564"/>
      <c r="AB864" s="556"/>
      <c r="AC864" s="556"/>
      <c r="AD864" s="74"/>
      <c r="AE864" s="74"/>
      <c r="AF864" s="74"/>
      <c r="AG864" s="74"/>
      <c r="AH864" s="74"/>
      <c r="AI864" s="74"/>
      <c r="AJ864" s="74"/>
      <c r="AK864" s="74"/>
      <c r="AL864" s="74"/>
      <c r="AM864" s="74"/>
      <c r="AN864" s="74"/>
      <c r="AO864" s="74"/>
      <c r="AP864" s="74"/>
      <c r="AQ864" s="74"/>
      <c r="AR864" s="74"/>
      <c r="AS864" s="565"/>
      <c r="AT864" s="556"/>
    </row>
    <row r="865" spans="1:46" hidden="1" x14ac:dyDescent="0.45">
      <c r="A865" s="556"/>
      <c r="B865" s="556"/>
      <c r="C865" s="556"/>
      <c r="D865" s="556"/>
      <c r="E865" s="556"/>
      <c r="F865" s="564"/>
      <c r="G865" s="564"/>
      <c r="H865" s="564"/>
      <c r="I865" s="564"/>
      <c r="J865" s="564"/>
      <c r="K865" s="564"/>
      <c r="L865" s="564"/>
      <c r="M865" s="564"/>
      <c r="N865" s="564"/>
      <c r="O865" s="564"/>
      <c r="P865" s="564"/>
      <c r="Q865" s="564"/>
      <c r="R865" s="564"/>
      <c r="S865" s="564"/>
      <c r="T865" s="564"/>
      <c r="U865" s="564"/>
      <c r="V865" s="564"/>
      <c r="W865" s="564"/>
      <c r="X865" s="564"/>
      <c r="Y865" s="564"/>
      <c r="Z865" s="564"/>
      <c r="AA865" s="564"/>
      <c r="AB865" s="556"/>
      <c r="AC865" s="556"/>
      <c r="AD865" s="74"/>
      <c r="AE865" s="74"/>
      <c r="AF865" s="74"/>
      <c r="AG865" s="74"/>
      <c r="AH865" s="74"/>
      <c r="AI865" s="74"/>
      <c r="AJ865" s="74"/>
      <c r="AK865" s="74"/>
      <c r="AL865" s="74"/>
      <c r="AM865" s="74"/>
      <c r="AN865" s="74"/>
      <c r="AO865" s="74"/>
      <c r="AP865" s="74"/>
      <c r="AQ865" s="74"/>
      <c r="AR865" s="74"/>
      <c r="AS865" s="565"/>
      <c r="AT865" s="556"/>
    </row>
    <row r="866" spans="1:46" hidden="1" x14ac:dyDescent="0.45">
      <c r="A866" s="556"/>
      <c r="B866" s="556"/>
      <c r="C866" s="556"/>
      <c r="D866" s="556"/>
      <c r="E866" s="556"/>
      <c r="F866" s="564"/>
      <c r="G866" s="564"/>
      <c r="H866" s="564"/>
      <c r="I866" s="564"/>
      <c r="J866" s="564"/>
      <c r="K866" s="564"/>
      <c r="L866" s="564"/>
      <c r="M866" s="564"/>
      <c r="N866" s="564"/>
      <c r="O866" s="564"/>
      <c r="P866" s="564"/>
      <c r="Q866" s="564"/>
      <c r="R866" s="564"/>
      <c r="S866" s="564"/>
      <c r="T866" s="564"/>
      <c r="U866" s="564"/>
      <c r="V866" s="564"/>
      <c r="W866" s="564"/>
      <c r="X866" s="564"/>
      <c r="Y866" s="564"/>
      <c r="Z866" s="564"/>
      <c r="AA866" s="564"/>
      <c r="AB866" s="556"/>
      <c r="AC866" s="556"/>
      <c r="AD866" s="74"/>
      <c r="AE866" s="74"/>
      <c r="AF866" s="74"/>
      <c r="AG866" s="74"/>
      <c r="AH866" s="74"/>
      <c r="AI866" s="74"/>
      <c r="AJ866" s="74"/>
      <c r="AK866" s="74"/>
      <c r="AL866" s="74"/>
      <c r="AM866" s="74"/>
      <c r="AN866" s="74"/>
      <c r="AO866" s="74"/>
      <c r="AP866" s="74"/>
      <c r="AQ866" s="74"/>
      <c r="AR866" s="74"/>
      <c r="AS866" s="565"/>
      <c r="AT866" s="556"/>
    </row>
    <row r="867" spans="1:46" hidden="1" x14ac:dyDescent="0.45">
      <c r="A867" s="556"/>
      <c r="B867" s="556"/>
      <c r="C867" s="556"/>
      <c r="D867" s="556"/>
      <c r="E867" s="556"/>
      <c r="F867" s="564"/>
      <c r="G867" s="564"/>
      <c r="H867" s="564"/>
      <c r="I867" s="564"/>
      <c r="J867" s="564"/>
      <c r="K867" s="564"/>
      <c r="L867" s="564"/>
      <c r="M867" s="564"/>
      <c r="N867" s="564"/>
      <c r="O867" s="564"/>
      <c r="P867" s="564"/>
      <c r="Q867" s="564"/>
      <c r="R867" s="564"/>
      <c r="S867" s="564"/>
      <c r="T867" s="564"/>
      <c r="U867" s="564"/>
      <c r="V867" s="564"/>
      <c r="W867" s="564"/>
      <c r="X867" s="564"/>
      <c r="Y867" s="564"/>
      <c r="Z867" s="564"/>
      <c r="AA867" s="564"/>
      <c r="AB867" s="556"/>
      <c r="AC867" s="556"/>
      <c r="AD867" s="74"/>
      <c r="AE867" s="74"/>
      <c r="AF867" s="74"/>
      <c r="AG867" s="74"/>
      <c r="AH867" s="74"/>
      <c r="AI867" s="74"/>
      <c r="AJ867" s="74"/>
      <c r="AK867" s="74"/>
      <c r="AL867" s="74"/>
      <c r="AM867" s="74"/>
      <c r="AN867" s="74"/>
      <c r="AO867" s="74"/>
      <c r="AP867" s="74"/>
      <c r="AQ867" s="74"/>
      <c r="AR867" s="74"/>
      <c r="AS867" s="565"/>
      <c r="AT867" s="556"/>
    </row>
    <row r="868" spans="1:46" hidden="1" x14ac:dyDescent="0.45">
      <c r="A868" s="556"/>
      <c r="B868" s="556"/>
      <c r="C868" s="556"/>
      <c r="D868" s="556"/>
      <c r="E868" s="556"/>
      <c r="F868" s="564"/>
      <c r="G868" s="564"/>
      <c r="H868" s="564"/>
      <c r="I868" s="564"/>
      <c r="J868" s="564"/>
      <c r="K868" s="564"/>
      <c r="L868" s="564"/>
      <c r="M868" s="564"/>
      <c r="N868" s="564"/>
      <c r="O868" s="564"/>
      <c r="P868" s="564"/>
      <c r="Q868" s="564"/>
      <c r="R868" s="564"/>
      <c r="S868" s="564"/>
      <c r="T868" s="564"/>
      <c r="U868" s="564"/>
      <c r="V868" s="564"/>
      <c r="W868" s="564"/>
      <c r="X868" s="564"/>
      <c r="Y868" s="564"/>
      <c r="Z868" s="564"/>
      <c r="AA868" s="564"/>
      <c r="AB868" s="556"/>
      <c r="AC868" s="556"/>
      <c r="AD868" s="74"/>
      <c r="AE868" s="74"/>
      <c r="AF868" s="74"/>
      <c r="AG868" s="74"/>
      <c r="AH868" s="74"/>
      <c r="AI868" s="74"/>
      <c r="AJ868" s="74"/>
      <c r="AK868" s="74"/>
      <c r="AL868" s="74"/>
      <c r="AM868" s="74"/>
      <c r="AN868" s="74"/>
      <c r="AO868" s="74"/>
      <c r="AP868" s="74"/>
      <c r="AQ868" s="74"/>
      <c r="AR868" s="74"/>
      <c r="AS868" s="565"/>
      <c r="AT868" s="556"/>
    </row>
    <row r="869" spans="1:46" hidden="1" x14ac:dyDescent="0.45">
      <c r="A869" s="556"/>
      <c r="B869" s="556"/>
      <c r="C869" s="556"/>
      <c r="D869" s="556"/>
      <c r="E869" s="556"/>
      <c r="F869" s="564"/>
      <c r="G869" s="564"/>
      <c r="H869" s="564"/>
      <c r="I869" s="564"/>
      <c r="J869" s="564"/>
      <c r="K869" s="564"/>
      <c r="L869" s="564"/>
      <c r="M869" s="564"/>
      <c r="N869" s="564"/>
      <c r="O869" s="564"/>
      <c r="P869" s="564"/>
      <c r="Q869" s="564"/>
      <c r="R869" s="564"/>
      <c r="S869" s="564"/>
      <c r="T869" s="564"/>
      <c r="U869" s="564"/>
      <c r="V869" s="564"/>
      <c r="W869" s="564"/>
      <c r="X869" s="564"/>
      <c r="Y869" s="564"/>
      <c r="Z869" s="564"/>
      <c r="AA869" s="564"/>
      <c r="AB869" s="556"/>
      <c r="AC869" s="556"/>
      <c r="AD869" s="74"/>
      <c r="AE869" s="74"/>
      <c r="AF869" s="74"/>
      <c r="AG869" s="74"/>
      <c r="AH869" s="74"/>
      <c r="AI869" s="74"/>
      <c r="AJ869" s="74"/>
      <c r="AK869" s="74"/>
      <c r="AL869" s="74"/>
      <c r="AM869" s="74"/>
      <c r="AN869" s="74"/>
      <c r="AO869" s="74"/>
      <c r="AP869" s="74"/>
      <c r="AQ869" s="74"/>
      <c r="AR869" s="74"/>
      <c r="AS869" s="565"/>
      <c r="AT869" s="556"/>
    </row>
    <row r="870" spans="1:46" hidden="1" x14ac:dyDescent="0.45">
      <c r="A870" s="556"/>
      <c r="B870" s="556"/>
      <c r="C870" s="556"/>
      <c r="D870" s="556"/>
      <c r="E870" s="556"/>
      <c r="F870" s="564"/>
      <c r="G870" s="564"/>
      <c r="H870" s="564"/>
      <c r="I870" s="564"/>
      <c r="J870" s="564"/>
      <c r="K870" s="564"/>
      <c r="L870" s="564"/>
      <c r="M870" s="564"/>
      <c r="N870" s="564"/>
      <c r="O870" s="564"/>
      <c r="P870" s="564"/>
      <c r="Q870" s="564"/>
      <c r="R870" s="564"/>
      <c r="S870" s="564"/>
      <c r="T870" s="564"/>
      <c r="U870" s="564"/>
      <c r="V870" s="564"/>
      <c r="W870" s="564"/>
      <c r="X870" s="564"/>
      <c r="Y870" s="564"/>
      <c r="Z870" s="564"/>
      <c r="AA870" s="564"/>
      <c r="AB870" s="556"/>
      <c r="AC870" s="556"/>
      <c r="AD870" s="74"/>
      <c r="AE870" s="74"/>
      <c r="AF870" s="74"/>
      <c r="AG870" s="74"/>
      <c r="AH870" s="74"/>
      <c r="AI870" s="74"/>
      <c r="AJ870" s="74"/>
      <c r="AK870" s="74"/>
      <c r="AL870" s="74"/>
      <c r="AM870" s="74"/>
      <c r="AN870" s="74"/>
      <c r="AO870" s="74"/>
      <c r="AP870" s="74"/>
      <c r="AQ870" s="74"/>
      <c r="AR870" s="74"/>
      <c r="AS870" s="565"/>
      <c r="AT870" s="556"/>
    </row>
    <row r="871" spans="1:46" hidden="1" x14ac:dyDescent="0.45">
      <c r="A871" s="556"/>
      <c r="B871" s="556"/>
      <c r="C871" s="556"/>
      <c r="D871" s="556"/>
      <c r="E871" s="556"/>
      <c r="F871" s="564"/>
      <c r="G871" s="564"/>
      <c r="H871" s="564"/>
      <c r="I871" s="564"/>
      <c r="J871" s="564"/>
      <c r="K871" s="564"/>
      <c r="L871" s="564"/>
      <c r="M871" s="564"/>
      <c r="N871" s="564"/>
      <c r="O871" s="564"/>
      <c r="P871" s="564"/>
      <c r="Q871" s="564"/>
      <c r="R871" s="564"/>
      <c r="S871" s="564"/>
      <c r="T871" s="564"/>
      <c r="U871" s="564"/>
      <c r="V871" s="564"/>
      <c r="W871" s="564"/>
      <c r="X871" s="564"/>
      <c r="Y871" s="564"/>
      <c r="Z871" s="564"/>
      <c r="AA871" s="564"/>
      <c r="AB871" s="556"/>
      <c r="AC871" s="556"/>
      <c r="AD871" s="74"/>
      <c r="AE871" s="74"/>
      <c r="AF871" s="74"/>
      <c r="AG871" s="74"/>
      <c r="AH871" s="74"/>
      <c r="AI871" s="74"/>
      <c r="AJ871" s="74"/>
      <c r="AK871" s="74"/>
      <c r="AL871" s="74"/>
      <c r="AM871" s="74"/>
      <c r="AN871" s="74"/>
      <c r="AO871" s="74"/>
      <c r="AP871" s="74"/>
      <c r="AQ871" s="74"/>
      <c r="AR871" s="74"/>
      <c r="AS871" s="565"/>
      <c r="AT871" s="556"/>
    </row>
    <row r="872" spans="1:46" hidden="1" x14ac:dyDescent="0.45">
      <c r="A872" s="556"/>
      <c r="B872" s="556"/>
      <c r="C872" s="556"/>
      <c r="D872" s="556"/>
      <c r="E872" s="556"/>
      <c r="F872" s="564"/>
      <c r="G872" s="564"/>
      <c r="H872" s="564"/>
      <c r="I872" s="564"/>
      <c r="J872" s="564"/>
      <c r="K872" s="564"/>
      <c r="L872" s="564"/>
      <c r="M872" s="564"/>
      <c r="N872" s="564"/>
      <c r="O872" s="564"/>
      <c r="P872" s="564"/>
      <c r="Q872" s="564"/>
      <c r="R872" s="564"/>
      <c r="S872" s="564"/>
      <c r="T872" s="564"/>
      <c r="U872" s="564"/>
      <c r="V872" s="564"/>
      <c r="W872" s="564"/>
      <c r="X872" s="564"/>
      <c r="Y872" s="564"/>
      <c r="Z872" s="564"/>
      <c r="AA872" s="564"/>
      <c r="AB872" s="556"/>
      <c r="AC872" s="556"/>
      <c r="AD872" s="74"/>
      <c r="AE872" s="74"/>
      <c r="AF872" s="74"/>
      <c r="AG872" s="74"/>
      <c r="AH872" s="74"/>
      <c r="AI872" s="74"/>
      <c r="AJ872" s="74"/>
      <c r="AK872" s="74"/>
      <c r="AL872" s="74"/>
      <c r="AM872" s="74"/>
      <c r="AN872" s="74"/>
      <c r="AO872" s="74"/>
      <c r="AP872" s="74"/>
      <c r="AQ872" s="74"/>
      <c r="AR872" s="74"/>
      <c r="AS872" s="565"/>
      <c r="AT872" s="556"/>
    </row>
    <row r="873" spans="1:46" hidden="1" x14ac:dyDescent="0.45">
      <c r="A873" s="556"/>
      <c r="B873" s="556"/>
      <c r="C873" s="556"/>
      <c r="D873" s="556"/>
      <c r="E873" s="556"/>
      <c r="F873" s="564"/>
      <c r="G873" s="564"/>
      <c r="H873" s="564"/>
      <c r="I873" s="564"/>
      <c r="J873" s="564"/>
      <c r="K873" s="564"/>
      <c r="L873" s="564"/>
      <c r="M873" s="564"/>
      <c r="N873" s="564"/>
      <c r="O873" s="564"/>
      <c r="P873" s="564"/>
      <c r="Q873" s="564"/>
      <c r="R873" s="564"/>
      <c r="S873" s="564"/>
      <c r="T873" s="564"/>
      <c r="U873" s="564"/>
      <c r="V873" s="564"/>
      <c r="W873" s="564"/>
      <c r="X873" s="564"/>
      <c r="Y873" s="564"/>
      <c r="Z873" s="564"/>
      <c r="AA873" s="564"/>
      <c r="AB873" s="556"/>
      <c r="AC873" s="556"/>
      <c r="AD873" s="74"/>
      <c r="AE873" s="74"/>
      <c r="AF873" s="74"/>
      <c r="AG873" s="74"/>
      <c r="AH873" s="74"/>
      <c r="AI873" s="74"/>
      <c r="AJ873" s="74"/>
      <c r="AK873" s="74"/>
      <c r="AL873" s="74"/>
      <c r="AM873" s="74"/>
      <c r="AN873" s="74"/>
      <c r="AO873" s="74"/>
      <c r="AP873" s="74"/>
      <c r="AQ873" s="74"/>
      <c r="AR873" s="74"/>
      <c r="AS873" s="565"/>
      <c r="AT873" s="556"/>
    </row>
    <row r="874" spans="1:46" hidden="1" x14ac:dyDescent="0.45">
      <c r="A874" s="556"/>
      <c r="B874" s="556"/>
      <c r="C874" s="556"/>
      <c r="D874" s="556"/>
      <c r="E874" s="556"/>
      <c r="F874" s="564"/>
      <c r="G874" s="564"/>
      <c r="H874" s="564"/>
      <c r="I874" s="564"/>
      <c r="J874" s="564"/>
      <c r="K874" s="564"/>
      <c r="L874" s="564"/>
      <c r="M874" s="564"/>
      <c r="N874" s="564"/>
      <c r="O874" s="564"/>
      <c r="P874" s="564"/>
      <c r="Q874" s="564"/>
      <c r="R874" s="564"/>
      <c r="S874" s="564"/>
      <c r="T874" s="564"/>
      <c r="U874" s="564"/>
      <c r="V874" s="564"/>
      <c r="W874" s="564"/>
      <c r="X874" s="564"/>
      <c r="Y874" s="564"/>
      <c r="Z874" s="564"/>
      <c r="AA874" s="564"/>
      <c r="AB874" s="556"/>
      <c r="AC874" s="556"/>
      <c r="AD874" s="74"/>
      <c r="AE874" s="74"/>
      <c r="AF874" s="74"/>
      <c r="AG874" s="74"/>
      <c r="AH874" s="74"/>
      <c r="AI874" s="74"/>
      <c r="AJ874" s="74"/>
      <c r="AK874" s="74"/>
      <c r="AL874" s="74"/>
      <c r="AM874" s="74"/>
      <c r="AN874" s="74"/>
      <c r="AO874" s="74"/>
      <c r="AP874" s="74"/>
      <c r="AQ874" s="74"/>
      <c r="AR874" s="74"/>
      <c r="AS874" s="565"/>
      <c r="AT874" s="556"/>
    </row>
    <row r="875" spans="1:46" hidden="1" x14ac:dyDescent="0.45">
      <c r="A875" s="556"/>
      <c r="B875" s="556"/>
      <c r="C875" s="556"/>
      <c r="D875" s="556"/>
      <c r="E875" s="556"/>
      <c r="F875" s="564"/>
      <c r="G875" s="564"/>
      <c r="H875" s="564"/>
      <c r="I875" s="564"/>
      <c r="J875" s="564"/>
      <c r="K875" s="564"/>
      <c r="L875" s="564"/>
      <c r="M875" s="564"/>
      <c r="N875" s="564"/>
      <c r="O875" s="564"/>
      <c r="P875" s="564"/>
      <c r="Q875" s="564"/>
      <c r="R875" s="564"/>
      <c r="S875" s="564"/>
      <c r="T875" s="564"/>
      <c r="U875" s="564"/>
      <c r="V875" s="564"/>
      <c r="W875" s="564"/>
      <c r="X875" s="564"/>
      <c r="Y875" s="564"/>
      <c r="Z875" s="564"/>
      <c r="AA875" s="564"/>
      <c r="AB875" s="556"/>
      <c r="AC875" s="556"/>
      <c r="AD875" s="74"/>
      <c r="AE875" s="74"/>
      <c r="AF875" s="74"/>
      <c r="AG875" s="74"/>
      <c r="AH875" s="74"/>
      <c r="AI875" s="74"/>
      <c r="AJ875" s="74"/>
      <c r="AK875" s="74"/>
      <c r="AL875" s="74"/>
      <c r="AM875" s="74"/>
      <c r="AN875" s="74"/>
      <c r="AO875" s="74"/>
      <c r="AP875" s="74"/>
      <c r="AQ875" s="74"/>
      <c r="AR875" s="74"/>
      <c r="AS875" s="565"/>
      <c r="AT875" s="556"/>
    </row>
    <row r="876" spans="1:46" hidden="1" x14ac:dyDescent="0.45">
      <c r="A876" s="556"/>
      <c r="B876" s="556"/>
      <c r="C876" s="556"/>
      <c r="D876" s="556"/>
      <c r="E876" s="556"/>
      <c r="F876" s="564"/>
      <c r="G876" s="564"/>
      <c r="H876" s="564"/>
      <c r="I876" s="564"/>
      <c r="J876" s="564"/>
      <c r="K876" s="564"/>
      <c r="L876" s="564"/>
      <c r="M876" s="564"/>
      <c r="N876" s="564"/>
      <c r="O876" s="564"/>
      <c r="P876" s="564"/>
      <c r="Q876" s="564"/>
      <c r="R876" s="564"/>
      <c r="S876" s="564"/>
      <c r="T876" s="564"/>
      <c r="U876" s="564"/>
      <c r="V876" s="564"/>
      <c r="W876" s="564"/>
      <c r="X876" s="564"/>
      <c r="Y876" s="564"/>
      <c r="Z876" s="564"/>
      <c r="AA876" s="564"/>
      <c r="AB876" s="556"/>
      <c r="AC876" s="556"/>
      <c r="AD876" s="74"/>
      <c r="AE876" s="74"/>
      <c r="AF876" s="74"/>
      <c r="AG876" s="74"/>
      <c r="AH876" s="74"/>
      <c r="AI876" s="74"/>
      <c r="AJ876" s="74"/>
      <c r="AK876" s="74"/>
      <c r="AL876" s="74"/>
      <c r="AM876" s="74"/>
      <c r="AN876" s="74"/>
      <c r="AO876" s="74"/>
      <c r="AP876" s="74"/>
      <c r="AQ876" s="74"/>
      <c r="AR876" s="74"/>
      <c r="AS876" s="565"/>
      <c r="AT876" s="556"/>
    </row>
    <row r="877" spans="1:46" hidden="1" x14ac:dyDescent="0.45">
      <c r="A877" s="556"/>
      <c r="B877" s="556"/>
      <c r="C877" s="556"/>
      <c r="D877" s="556"/>
      <c r="E877" s="556"/>
      <c r="F877" s="564"/>
      <c r="G877" s="564"/>
      <c r="H877" s="564"/>
      <c r="I877" s="564"/>
      <c r="J877" s="564"/>
      <c r="K877" s="564"/>
      <c r="L877" s="564"/>
      <c r="M877" s="564"/>
      <c r="N877" s="564"/>
      <c r="O877" s="564"/>
      <c r="P877" s="564"/>
      <c r="Q877" s="564"/>
      <c r="R877" s="564"/>
      <c r="S877" s="564"/>
      <c r="T877" s="564"/>
      <c r="U877" s="564"/>
      <c r="V877" s="564"/>
      <c r="W877" s="564"/>
      <c r="X877" s="564"/>
      <c r="Y877" s="564"/>
      <c r="Z877" s="564"/>
      <c r="AA877" s="564"/>
      <c r="AB877" s="556"/>
      <c r="AC877" s="556"/>
      <c r="AD877" s="74"/>
      <c r="AE877" s="74"/>
      <c r="AF877" s="74"/>
      <c r="AG877" s="74"/>
      <c r="AH877" s="74"/>
      <c r="AI877" s="74"/>
      <c r="AJ877" s="74"/>
      <c r="AK877" s="74"/>
      <c r="AL877" s="74"/>
      <c r="AM877" s="74"/>
      <c r="AN877" s="74"/>
      <c r="AO877" s="74"/>
      <c r="AP877" s="74"/>
      <c r="AQ877" s="74"/>
      <c r="AR877" s="74"/>
      <c r="AS877" s="565"/>
      <c r="AT877" s="556"/>
    </row>
    <row r="878" spans="1:46" hidden="1" x14ac:dyDescent="0.45">
      <c r="A878" s="556"/>
      <c r="B878" s="556"/>
      <c r="C878" s="556"/>
      <c r="D878" s="556"/>
      <c r="E878" s="556"/>
      <c r="F878" s="564"/>
      <c r="G878" s="564"/>
      <c r="H878" s="564"/>
      <c r="I878" s="564"/>
      <c r="J878" s="564"/>
      <c r="K878" s="564"/>
      <c r="L878" s="564"/>
      <c r="M878" s="564"/>
      <c r="N878" s="564"/>
      <c r="O878" s="564"/>
      <c r="P878" s="564"/>
      <c r="Q878" s="564"/>
      <c r="R878" s="564"/>
      <c r="S878" s="564"/>
      <c r="T878" s="564"/>
      <c r="U878" s="564"/>
      <c r="V878" s="564"/>
      <c r="W878" s="564"/>
      <c r="X878" s="564"/>
      <c r="Y878" s="564"/>
      <c r="Z878" s="564"/>
      <c r="AA878" s="564"/>
      <c r="AB878" s="556"/>
      <c r="AC878" s="556"/>
      <c r="AD878" s="74"/>
      <c r="AE878" s="74"/>
      <c r="AF878" s="74"/>
      <c r="AG878" s="74"/>
      <c r="AH878" s="74"/>
      <c r="AI878" s="74"/>
      <c r="AJ878" s="74"/>
      <c r="AK878" s="74"/>
      <c r="AL878" s="74"/>
      <c r="AM878" s="74"/>
      <c r="AN878" s="74"/>
      <c r="AO878" s="74"/>
      <c r="AP878" s="74"/>
      <c r="AQ878" s="74"/>
      <c r="AR878" s="74"/>
      <c r="AS878" s="565"/>
      <c r="AT878" s="556"/>
    </row>
    <row r="879" spans="1:46" hidden="1" x14ac:dyDescent="0.45">
      <c r="A879" s="556"/>
      <c r="B879" s="556"/>
      <c r="C879" s="556"/>
      <c r="D879" s="556"/>
      <c r="E879" s="556"/>
      <c r="F879" s="564"/>
      <c r="G879" s="564"/>
      <c r="H879" s="564"/>
      <c r="I879" s="564"/>
      <c r="J879" s="564"/>
      <c r="K879" s="564"/>
      <c r="L879" s="564"/>
      <c r="M879" s="564"/>
      <c r="N879" s="564"/>
      <c r="O879" s="564"/>
      <c r="P879" s="564"/>
      <c r="Q879" s="564"/>
      <c r="R879" s="564"/>
      <c r="S879" s="564"/>
      <c r="T879" s="564"/>
      <c r="U879" s="564"/>
      <c r="V879" s="564"/>
      <c r="W879" s="564"/>
      <c r="X879" s="564"/>
      <c r="Y879" s="564"/>
      <c r="Z879" s="564"/>
      <c r="AA879" s="564"/>
      <c r="AB879" s="556"/>
      <c r="AC879" s="556"/>
      <c r="AD879" s="74"/>
      <c r="AE879" s="74"/>
      <c r="AF879" s="74"/>
      <c r="AG879" s="74"/>
      <c r="AH879" s="74"/>
      <c r="AI879" s="74"/>
      <c r="AJ879" s="74"/>
      <c r="AK879" s="74"/>
      <c r="AL879" s="74"/>
      <c r="AM879" s="74"/>
      <c r="AN879" s="74"/>
      <c r="AO879" s="74"/>
      <c r="AP879" s="74"/>
      <c r="AQ879" s="74"/>
      <c r="AR879" s="74"/>
      <c r="AS879" s="565"/>
      <c r="AT879" s="556"/>
    </row>
    <row r="880" spans="1:46" hidden="1" x14ac:dyDescent="0.45">
      <c r="A880" s="556"/>
      <c r="B880" s="556"/>
      <c r="C880" s="556"/>
      <c r="D880" s="556"/>
      <c r="E880" s="556"/>
      <c r="F880" s="564"/>
      <c r="G880" s="564"/>
      <c r="H880" s="564"/>
      <c r="I880" s="564"/>
      <c r="J880" s="564"/>
      <c r="K880" s="564"/>
      <c r="L880" s="564"/>
      <c r="M880" s="564"/>
      <c r="N880" s="564"/>
      <c r="O880" s="564"/>
      <c r="P880" s="564"/>
      <c r="Q880" s="564"/>
      <c r="R880" s="564"/>
      <c r="S880" s="564"/>
      <c r="T880" s="564"/>
      <c r="U880" s="564"/>
      <c r="V880" s="564"/>
      <c r="W880" s="564"/>
      <c r="X880" s="564"/>
      <c r="Y880" s="564"/>
      <c r="Z880" s="564"/>
      <c r="AA880" s="564"/>
      <c r="AB880" s="556"/>
      <c r="AC880" s="556"/>
      <c r="AD880" s="74"/>
      <c r="AE880" s="74"/>
      <c r="AF880" s="74"/>
      <c r="AG880" s="74"/>
      <c r="AH880" s="74"/>
      <c r="AI880" s="74"/>
      <c r="AJ880" s="74"/>
      <c r="AK880" s="74"/>
      <c r="AL880" s="74"/>
      <c r="AM880" s="74"/>
      <c r="AN880" s="74"/>
      <c r="AO880" s="74"/>
      <c r="AP880" s="74"/>
      <c r="AQ880" s="74"/>
      <c r="AR880" s="74"/>
      <c r="AS880" s="565"/>
      <c r="AT880" s="556"/>
    </row>
    <row r="881" spans="1:46" hidden="1" x14ac:dyDescent="0.45">
      <c r="A881" s="556"/>
      <c r="B881" s="556"/>
      <c r="C881" s="556"/>
      <c r="D881" s="556"/>
      <c r="E881" s="556"/>
      <c r="F881" s="564"/>
      <c r="G881" s="564"/>
      <c r="H881" s="564"/>
      <c r="I881" s="564"/>
      <c r="J881" s="564"/>
      <c r="K881" s="564"/>
      <c r="L881" s="564"/>
      <c r="M881" s="564"/>
      <c r="N881" s="564"/>
      <c r="O881" s="564"/>
      <c r="P881" s="564"/>
      <c r="Q881" s="564"/>
      <c r="R881" s="564"/>
      <c r="S881" s="564"/>
      <c r="T881" s="564"/>
      <c r="U881" s="564"/>
      <c r="V881" s="564"/>
      <c r="W881" s="564"/>
      <c r="X881" s="564"/>
      <c r="Y881" s="564"/>
      <c r="Z881" s="564"/>
      <c r="AA881" s="564"/>
      <c r="AB881" s="556"/>
      <c r="AC881" s="556"/>
      <c r="AD881" s="74"/>
      <c r="AE881" s="74"/>
      <c r="AF881" s="74"/>
      <c r="AG881" s="74"/>
      <c r="AH881" s="74"/>
      <c r="AI881" s="74"/>
      <c r="AJ881" s="74"/>
      <c r="AK881" s="74"/>
      <c r="AL881" s="74"/>
      <c r="AM881" s="74"/>
      <c r="AN881" s="74"/>
      <c r="AO881" s="74"/>
      <c r="AP881" s="74"/>
      <c r="AQ881" s="74"/>
      <c r="AR881" s="74"/>
      <c r="AS881" s="565"/>
      <c r="AT881" s="556"/>
    </row>
    <row r="882" spans="1:46" hidden="1" x14ac:dyDescent="0.45">
      <c r="A882" s="556"/>
      <c r="B882" s="556"/>
      <c r="C882" s="556"/>
      <c r="D882" s="556"/>
      <c r="E882" s="556"/>
      <c r="F882" s="564"/>
      <c r="G882" s="564"/>
      <c r="H882" s="564"/>
      <c r="I882" s="564"/>
      <c r="J882" s="564"/>
      <c r="K882" s="564"/>
      <c r="L882" s="564"/>
      <c r="M882" s="564"/>
      <c r="N882" s="564"/>
      <c r="O882" s="564"/>
      <c r="P882" s="564"/>
      <c r="Q882" s="564"/>
      <c r="R882" s="564"/>
      <c r="S882" s="564"/>
      <c r="T882" s="564"/>
      <c r="U882" s="564"/>
      <c r="V882" s="564"/>
      <c r="W882" s="564"/>
      <c r="X882" s="564"/>
      <c r="Y882" s="564"/>
      <c r="Z882" s="564"/>
      <c r="AA882" s="564"/>
      <c r="AB882" s="556"/>
      <c r="AC882" s="556"/>
      <c r="AD882" s="74"/>
      <c r="AE882" s="74"/>
      <c r="AF882" s="74"/>
      <c r="AG882" s="74"/>
      <c r="AH882" s="74"/>
      <c r="AI882" s="74"/>
      <c r="AJ882" s="74"/>
      <c r="AK882" s="74"/>
      <c r="AL882" s="74"/>
      <c r="AM882" s="74"/>
      <c r="AN882" s="74"/>
      <c r="AO882" s="74"/>
      <c r="AP882" s="74"/>
      <c r="AQ882" s="74"/>
      <c r="AR882" s="74"/>
      <c r="AS882" s="565"/>
      <c r="AT882" s="556"/>
    </row>
    <row r="883" spans="1:46" hidden="1" x14ac:dyDescent="0.45">
      <c r="A883" s="556"/>
      <c r="B883" s="556"/>
      <c r="C883" s="556"/>
      <c r="D883" s="556"/>
      <c r="E883" s="556"/>
      <c r="F883" s="564"/>
      <c r="G883" s="564"/>
      <c r="H883" s="564"/>
      <c r="I883" s="564"/>
      <c r="J883" s="564"/>
      <c r="K883" s="564"/>
      <c r="L883" s="564"/>
      <c r="M883" s="564"/>
      <c r="N883" s="564"/>
      <c r="O883" s="564"/>
      <c r="P883" s="564"/>
      <c r="Q883" s="564"/>
      <c r="R883" s="564"/>
      <c r="S883" s="564"/>
      <c r="T883" s="564"/>
      <c r="U883" s="564"/>
      <c r="V883" s="564"/>
      <c r="W883" s="564"/>
      <c r="X883" s="564"/>
      <c r="Y883" s="564"/>
      <c r="Z883" s="564"/>
      <c r="AA883" s="564"/>
      <c r="AB883" s="556"/>
      <c r="AC883" s="556"/>
      <c r="AD883" s="74"/>
      <c r="AE883" s="74"/>
      <c r="AF883" s="74"/>
      <c r="AG883" s="74"/>
      <c r="AH883" s="74"/>
      <c r="AI883" s="74"/>
      <c r="AJ883" s="74"/>
      <c r="AK883" s="74"/>
      <c r="AL883" s="74"/>
      <c r="AM883" s="74"/>
      <c r="AN883" s="74"/>
      <c r="AO883" s="74"/>
      <c r="AP883" s="74"/>
      <c r="AQ883" s="74"/>
      <c r="AR883" s="74"/>
      <c r="AS883" s="565"/>
      <c r="AT883" s="556"/>
    </row>
    <row r="884" spans="1:46" hidden="1" x14ac:dyDescent="0.45">
      <c r="A884" s="556"/>
      <c r="B884" s="556"/>
      <c r="C884" s="556"/>
      <c r="D884" s="556"/>
      <c r="E884" s="556"/>
      <c r="F884" s="564"/>
      <c r="G884" s="564"/>
      <c r="H884" s="564"/>
      <c r="I884" s="564"/>
      <c r="J884" s="564"/>
      <c r="K884" s="564"/>
      <c r="L884" s="564"/>
      <c r="M884" s="564"/>
      <c r="N884" s="564"/>
      <c r="O884" s="564"/>
      <c r="P884" s="564"/>
      <c r="Q884" s="564"/>
      <c r="R884" s="564"/>
      <c r="S884" s="564"/>
      <c r="T884" s="564"/>
      <c r="U884" s="564"/>
      <c r="V884" s="564"/>
      <c r="W884" s="564"/>
      <c r="X884" s="564"/>
      <c r="Y884" s="564"/>
      <c r="Z884" s="564"/>
      <c r="AA884" s="564"/>
      <c r="AB884" s="556"/>
      <c r="AC884" s="556"/>
      <c r="AD884" s="74"/>
      <c r="AE884" s="74"/>
      <c r="AF884" s="74"/>
      <c r="AG884" s="74"/>
      <c r="AH884" s="74"/>
      <c r="AI884" s="74"/>
      <c r="AJ884" s="74"/>
      <c r="AK884" s="74"/>
      <c r="AL884" s="74"/>
      <c r="AM884" s="74"/>
      <c r="AN884" s="74"/>
      <c r="AO884" s="74"/>
      <c r="AP884" s="74"/>
      <c r="AQ884" s="74"/>
      <c r="AR884" s="74"/>
      <c r="AS884" s="565"/>
      <c r="AT884" s="556"/>
    </row>
    <row r="885" spans="1:46" hidden="1" x14ac:dyDescent="0.45">
      <c r="A885" s="556"/>
      <c r="B885" s="556"/>
      <c r="C885" s="556"/>
      <c r="D885" s="556"/>
      <c r="E885" s="556"/>
      <c r="F885" s="564"/>
      <c r="G885" s="564"/>
      <c r="H885" s="564"/>
      <c r="I885" s="564"/>
      <c r="J885" s="564"/>
      <c r="K885" s="564"/>
      <c r="L885" s="564"/>
      <c r="M885" s="564"/>
      <c r="N885" s="564"/>
      <c r="O885" s="564"/>
      <c r="P885" s="564"/>
      <c r="Q885" s="564"/>
      <c r="R885" s="564"/>
      <c r="S885" s="564"/>
      <c r="T885" s="564"/>
      <c r="U885" s="564"/>
      <c r="V885" s="564"/>
      <c r="W885" s="564"/>
      <c r="X885" s="564"/>
      <c r="Y885" s="564"/>
      <c r="Z885" s="564"/>
      <c r="AA885" s="564"/>
      <c r="AB885" s="556"/>
      <c r="AC885" s="556"/>
      <c r="AD885" s="74"/>
      <c r="AE885" s="74"/>
      <c r="AF885" s="74"/>
      <c r="AG885" s="74"/>
      <c r="AH885" s="74"/>
      <c r="AI885" s="74"/>
      <c r="AJ885" s="74"/>
      <c r="AK885" s="74"/>
      <c r="AL885" s="74"/>
      <c r="AM885" s="74"/>
      <c r="AN885" s="74"/>
      <c r="AO885" s="74"/>
      <c r="AP885" s="74"/>
      <c r="AQ885" s="74"/>
      <c r="AR885" s="74"/>
      <c r="AS885" s="565"/>
      <c r="AT885" s="556"/>
    </row>
    <row r="886" spans="1:46" hidden="1" x14ac:dyDescent="0.45">
      <c r="A886" s="556"/>
      <c r="B886" s="556"/>
      <c r="C886" s="556"/>
      <c r="D886" s="556"/>
      <c r="E886" s="556"/>
      <c r="F886" s="564"/>
      <c r="G886" s="564"/>
      <c r="H886" s="564"/>
      <c r="I886" s="564"/>
      <c r="J886" s="564"/>
      <c r="K886" s="564"/>
      <c r="L886" s="564"/>
      <c r="M886" s="564"/>
      <c r="N886" s="564"/>
      <c r="O886" s="564"/>
      <c r="P886" s="564"/>
      <c r="Q886" s="564"/>
      <c r="R886" s="564"/>
      <c r="S886" s="564"/>
      <c r="T886" s="564"/>
      <c r="U886" s="564"/>
      <c r="V886" s="564"/>
      <c r="W886" s="564"/>
      <c r="X886" s="564"/>
      <c r="Y886" s="564"/>
      <c r="Z886" s="564"/>
      <c r="AA886" s="564"/>
      <c r="AB886" s="556"/>
      <c r="AC886" s="556"/>
      <c r="AD886" s="74"/>
      <c r="AE886" s="74"/>
      <c r="AF886" s="74"/>
      <c r="AG886" s="74"/>
      <c r="AH886" s="74"/>
      <c r="AI886" s="74"/>
      <c r="AJ886" s="74"/>
      <c r="AK886" s="74"/>
      <c r="AL886" s="74"/>
      <c r="AM886" s="74"/>
      <c r="AN886" s="74"/>
      <c r="AO886" s="74"/>
      <c r="AP886" s="74"/>
      <c r="AQ886" s="74"/>
      <c r="AR886" s="74"/>
      <c r="AS886" s="565"/>
      <c r="AT886" s="556"/>
    </row>
    <row r="887" spans="1:46" hidden="1" x14ac:dyDescent="0.45">
      <c r="A887" s="556"/>
      <c r="B887" s="556"/>
      <c r="C887" s="556"/>
      <c r="D887" s="556"/>
      <c r="E887" s="556"/>
      <c r="F887" s="564"/>
      <c r="G887" s="564"/>
      <c r="H887" s="564"/>
      <c r="I887" s="564"/>
      <c r="J887" s="564"/>
      <c r="K887" s="564"/>
      <c r="L887" s="564"/>
      <c r="M887" s="564"/>
      <c r="N887" s="564"/>
      <c r="O887" s="564"/>
      <c r="P887" s="564"/>
      <c r="Q887" s="564"/>
      <c r="R887" s="564"/>
      <c r="S887" s="564"/>
      <c r="T887" s="564"/>
      <c r="U887" s="564"/>
      <c r="V887" s="564"/>
      <c r="W887" s="564"/>
      <c r="X887" s="564"/>
      <c r="Y887" s="564"/>
      <c r="Z887" s="564"/>
      <c r="AA887" s="564"/>
      <c r="AB887" s="556"/>
      <c r="AC887" s="556"/>
      <c r="AD887" s="74"/>
      <c r="AE887" s="74"/>
      <c r="AF887" s="74"/>
      <c r="AG887" s="74"/>
      <c r="AH887" s="74"/>
      <c r="AI887" s="74"/>
      <c r="AJ887" s="74"/>
      <c r="AK887" s="74"/>
      <c r="AL887" s="74"/>
      <c r="AM887" s="74"/>
      <c r="AN887" s="74"/>
      <c r="AO887" s="74"/>
      <c r="AP887" s="74"/>
      <c r="AQ887" s="74"/>
      <c r="AR887" s="74"/>
      <c r="AS887" s="565"/>
      <c r="AT887" s="556"/>
    </row>
    <row r="888" spans="1:46" hidden="1" x14ac:dyDescent="0.45">
      <c r="A888" s="556"/>
      <c r="B888" s="556"/>
      <c r="C888" s="556"/>
      <c r="D888" s="556"/>
      <c r="E888" s="556"/>
      <c r="F888" s="564"/>
      <c r="G888" s="564"/>
      <c r="H888" s="564"/>
      <c r="I888" s="564"/>
      <c r="J888" s="564"/>
      <c r="K888" s="564"/>
      <c r="L888" s="564"/>
      <c r="M888" s="564"/>
      <c r="N888" s="564"/>
      <c r="O888" s="564"/>
      <c r="P888" s="564"/>
      <c r="Q888" s="564"/>
      <c r="R888" s="564"/>
      <c r="S888" s="564"/>
      <c r="T888" s="564"/>
      <c r="U888" s="564"/>
      <c r="V888" s="564"/>
      <c r="W888" s="564"/>
      <c r="X888" s="564"/>
      <c r="Y888" s="564"/>
      <c r="Z888" s="564"/>
      <c r="AA888" s="564"/>
      <c r="AB888" s="556"/>
      <c r="AC888" s="556"/>
      <c r="AD888" s="74"/>
      <c r="AE888" s="74"/>
      <c r="AF888" s="74"/>
      <c r="AG888" s="74"/>
      <c r="AH888" s="74"/>
      <c r="AI888" s="74"/>
      <c r="AJ888" s="74"/>
      <c r="AK888" s="74"/>
      <c r="AL888" s="74"/>
      <c r="AM888" s="74"/>
      <c r="AN888" s="74"/>
      <c r="AO888" s="74"/>
      <c r="AP888" s="74"/>
      <c r="AQ888" s="74"/>
      <c r="AR888" s="74"/>
      <c r="AS888" s="565"/>
      <c r="AT888" s="556"/>
    </row>
    <row r="889" spans="1:46" hidden="1" x14ac:dyDescent="0.45">
      <c r="A889" s="556"/>
      <c r="B889" s="556"/>
      <c r="C889" s="556"/>
      <c r="D889" s="556"/>
      <c r="E889" s="556"/>
      <c r="F889" s="564"/>
      <c r="G889" s="564"/>
      <c r="H889" s="564"/>
      <c r="I889" s="564"/>
      <c r="J889" s="564"/>
      <c r="K889" s="564"/>
      <c r="L889" s="564"/>
      <c r="M889" s="564"/>
      <c r="N889" s="564"/>
      <c r="O889" s="564"/>
      <c r="P889" s="564"/>
      <c r="Q889" s="564"/>
      <c r="R889" s="564"/>
      <c r="S889" s="564"/>
      <c r="T889" s="564"/>
      <c r="U889" s="564"/>
      <c r="V889" s="564"/>
      <c r="W889" s="564"/>
      <c r="X889" s="564"/>
      <c r="Y889" s="564"/>
      <c r="Z889" s="564"/>
      <c r="AA889" s="564"/>
      <c r="AB889" s="556"/>
      <c r="AC889" s="556"/>
      <c r="AD889" s="74"/>
      <c r="AE889" s="74"/>
      <c r="AF889" s="74"/>
      <c r="AG889" s="74"/>
      <c r="AH889" s="74"/>
      <c r="AI889" s="74"/>
      <c r="AJ889" s="74"/>
      <c r="AK889" s="74"/>
      <c r="AL889" s="74"/>
      <c r="AM889" s="74"/>
      <c r="AN889" s="74"/>
      <c r="AO889" s="74"/>
      <c r="AP889" s="74"/>
      <c r="AQ889" s="74"/>
      <c r="AR889" s="74"/>
      <c r="AS889" s="565"/>
      <c r="AT889" s="556"/>
    </row>
    <row r="890" spans="1:46" hidden="1" x14ac:dyDescent="0.45">
      <c r="A890" s="556"/>
      <c r="B890" s="556"/>
      <c r="C890" s="556"/>
      <c r="D890" s="556"/>
      <c r="E890" s="556"/>
      <c r="F890" s="564"/>
      <c r="G890" s="564"/>
      <c r="H890" s="564"/>
      <c r="I890" s="564"/>
      <c r="J890" s="564"/>
      <c r="K890" s="564"/>
      <c r="L890" s="564"/>
      <c r="M890" s="564"/>
      <c r="N890" s="564"/>
      <c r="O890" s="564"/>
      <c r="P890" s="564"/>
      <c r="Q890" s="564"/>
      <c r="R890" s="564"/>
      <c r="S890" s="564"/>
      <c r="T890" s="564"/>
      <c r="U890" s="564"/>
      <c r="V890" s="564"/>
      <c r="W890" s="564"/>
      <c r="X890" s="564"/>
      <c r="Y890" s="564"/>
      <c r="Z890" s="564"/>
      <c r="AA890" s="564"/>
      <c r="AB890" s="556"/>
      <c r="AC890" s="556"/>
      <c r="AD890" s="74"/>
      <c r="AE890" s="74"/>
      <c r="AF890" s="74"/>
      <c r="AG890" s="74"/>
      <c r="AH890" s="74"/>
      <c r="AI890" s="74"/>
      <c r="AJ890" s="74"/>
      <c r="AK890" s="74"/>
      <c r="AL890" s="74"/>
      <c r="AM890" s="74"/>
      <c r="AN890" s="74"/>
      <c r="AO890" s="74"/>
      <c r="AP890" s="74"/>
      <c r="AQ890" s="74"/>
      <c r="AR890" s="74"/>
      <c r="AS890" s="565"/>
      <c r="AT890" s="556"/>
    </row>
    <row r="891" spans="1:46" hidden="1" x14ac:dyDescent="0.45">
      <c r="A891" s="556"/>
      <c r="B891" s="556"/>
      <c r="C891" s="556"/>
      <c r="D891" s="556"/>
      <c r="E891" s="556"/>
      <c r="F891" s="564"/>
      <c r="G891" s="564"/>
      <c r="H891" s="564"/>
      <c r="I891" s="564"/>
      <c r="J891" s="564"/>
      <c r="K891" s="564"/>
      <c r="L891" s="564"/>
      <c r="M891" s="564"/>
      <c r="N891" s="564"/>
      <c r="O891" s="564"/>
      <c r="P891" s="564"/>
      <c r="Q891" s="564"/>
      <c r="R891" s="564"/>
      <c r="S891" s="564"/>
      <c r="T891" s="564"/>
      <c r="U891" s="564"/>
      <c r="V891" s="564"/>
      <c r="W891" s="564"/>
      <c r="X891" s="564"/>
      <c r="Y891" s="564"/>
      <c r="Z891" s="564"/>
      <c r="AA891" s="564"/>
      <c r="AB891" s="556"/>
      <c r="AC891" s="556"/>
      <c r="AD891" s="74"/>
      <c r="AE891" s="74"/>
      <c r="AF891" s="74"/>
      <c r="AG891" s="74"/>
      <c r="AH891" s="74"/>
      <c r="AI891" s="74"/>
      <c r="AJ891" s="74"/>
      <c r="AK891" s="74"/>
      <c r="AL891" s="74"/>
      <c r="AM891" s="74"/>
      <c r="AN891" s="74"/>
      <c r="AO891" s="74"/>
      <c r="AP891" s="74"/>
      <c r="AQ891" s="74"/>
      <c r="AR891" s="74"/>
      <c r="AS891" s="565"/>
      <c r="AT891" s="556"/>
    </row>
    <row r="892" spans="1:46" hidden="1" x14ac:dyDescent="0.45">
      <c r="A892" s="556"/>
      <c r="B892" s="556"/>
      <c r="C892" s="556"/>
      <c r="D892" s="556"/>
      <c r="E892" s="556"/>
      <c r="F892" s="564"/>
      <c r="G892" s="564"/>
      <c r="H892" s="564"/>
      <c r="I892" s="564"/>
      <c r="J892" s="564"/>
      <c r="K892" s="564"/>
      <c r="L892" s="564"/>
      <c r="M892" s="564"/>
      <c r="N892" s="564"/>
      <c r="O892" s="564"/>
      <c r="P892" s="564"/>
      <c r="Q892" s="564"/>
      <c r="R892" s="564"/>
      <c r="S892" s="564"/>
      <c r="T892" s="564"/>
      <c r="U892" s="564"/>
      <c r="V892" s="564"/>
      <c r="W892" s="564"/>
      <c r="X892" s="564"/>
      <c r="Y892" s="564"/>
      <c r="Z892" s="564"/>
      <c r="AA892" s="564"/>
      <c r="AB892" s="556"/>
      <c r="AC892" s="556"/>
      <c r="AD892" s="74"/>
      <c r="AE892" s="74"/>
      <c r="AF892" s="74"/>
      <c r="AG892" s="74"/>
      <c r="AH892" s="74"/>
      <c r="AI892" s="74"/>
      <c r="AJ892" s="74"/>
      <c r="AK892" s="74"/>
      <c r="AL892" s="74"/>
      <c r="AM892" s="74"/>
      <c r="AN892" s="74"/>
      <c r="AO892" s="74"/>
      <c r="AP892" s="74"/>
      <c r="AQ892" s="74"/>
      <c r="AR892" s="74"/>
      <c r="AS892" s="565"/>
      <c r="AT892" s="556"/>
    </row>
    <row r="893" spans="1:46" hidden="1" x14ac:dyDescent="0.45">
      <c r="A893" s="556"/>
      <c r="B893" s="556"/>
      <c r="C893" s="556"/>
      <c r="D893" s="556"/>
      <c r="E893" s="556"/>
      <c r="F893" s="564"/>
      <c r="G893" s="564"/>
      <c r="H893" s="564"/>
      <c r="I893" s="564"/>
      <c r="J893" s="564"/>
      <c r="K893" s="564"/>
      <c r="L893" s="564"/>
      <c r="M893" s="564"/>
      <c r="N893" s="564"/>
      <c r="O893" s="564"/>
      <c r="P893" s="564"/>
      <c r="Q893" s="564"/>
      <c r="R893" s="564"/>
      <c r="S893" s="564"/>
      <c r="T893" s="564"/>
      <c r="U893" s="564"/>
      <c r="V893" s="564"/>
      <c r="W893" s="564"/>
      <c r="X893" s="564"/>
      <c r="Y893" s="564"/>
      <c r="Z893" s="564"/>
      <c r="AA893" s="564"/>
      <c r="AB893" s="556"/>
      <c r="AC893" s="556"/>
      <c r="AD893" s="74"/>
      <c r="AE893" s="74"/>
      <c r="AF893" s="74"/>
      <c r="AG893" s="74"/>
      <c r="AH893" s="74"/>
      <c r="AI893" s="74"/>
      <c r="AJ893" s="74"/>
      <c r="AK893" s="74"/>
      <c r="AL893" s="74"/>
      <c r="AM893" s="74"/>
      <c r="AN893" s="74"/>
      <c r="AO893" s="74"/>
      <c r="AP893" s="74"/>
      <c r="AQ893" s="74"/>
      <c r="AR893" s="74"/>
      <c r="AS893" s="565"/>
      <c r="AT893" s="556"/>
    </row>
    <row r="894" spans="1:46" hidden="1" x14ac:dyDescent="0.45">
      <c r="A894" s="556"/>
      <c r="B894" s="556"/>
      <c r="C894" s="556"/>
      <c r="D894" s="556"/>
      <c r="E894" s="556"/>
      <c r="F894" s="564"/>
      <c r="G894" s="564"/>
      <c r="H894" s="564"/>
      <c r="I894" s="564"/>
      <c r="J894" s="564"/>
      <c r="K894" s="564"/>
      <c r="L894" s="564"/>
      <c r="M894" s="564"/>
      <c r="N894" s="564"/>
      <c r="O894" s="564"/>
      <c r="P894" s="564"/>
      <c r="Q894" s="564"/>
      <c r="R894" s="564"/>
      <c r="S894" s="564"/>
      <c r="T894" s="564"/>
      <c r="U894" s="564"/>
      <c r="V894" s="564"/>
      <c r="W894" s="564"/>
      <c r="X894" s="564"/>
      <c r="Y894" s="564"/>
      <c r="Z894" s="564"/>
      <c r="AA894" s="564"/>
      <c r="AB894" s="556"/>
      <c r="AC894" s="556"/>
      <c r="AD894" s="74"/>
      <c r="AE894" s="74"/>
      <c r="AF894" s="74"/>
      <c r="AG894" s="74"/>
      <c r="AH894" s="74"/>
      <c r="AI894" s="74"/>
      <c r="AJ894" s="74"/>
      <c r="AK894" s="74"/>
      <c r="AL894" s="74"/>
      <c r="AM894" s="74"/>
      <c r="AN894" s="74"/>
      <c r="AO894" s="74"/>
      <c r="AP894" s="74"/>
      <c r="AQ894" s="74"/>
      <c r="AR894" s="74"/>
      <c r="AS894" s="565"/>
      <c r="AT894" s="556"/>
    </row>
    <row r="895" spans="1:46" hidden="1" x14ac:dyDescent="0.45">
      <c r="A895" s="556"/>
      <c r="B895" s="556"/>
      <c r="C895" s="556"/>
      <c r="D895" s="556"/>
      <c r="E895" s="556"/>
      <c r="F895" s="564"/>
      <c r="G895" s="564"/>
      <c r="H895" s="564"/>
      <c r="I895" s="564"/>
      <c r="J895" s="564"/>
      <c r="K895" s="564"/>
      <c r="L895" s="564"/>
      <c r="M895" s="564"/>
      <c r="N895" s="564"/>
      <c r="O895" s="564"/>
      <c r="P895" s="564"/>
      <c r="Q895" s="564"/>
      <c r="R895" s="564"/>
      <c r="S895" s="564"/>
      <c r="T895" s="564"/>
      <c r="U895" s="564"/>
      <c r="V895" s="564"/>
      <c r="W895" s="564"/>
      <c r="X895" s="564"/>
      <c r="Y895" s="564"/>
      <c r="Z895" s="564"/>
      <c r="AA895" s="564"/>
      <c r="AB895" s="556"/>
      <c r="AC895" s="556"/>
      <c r="AD895" s="74"/>
      <c r="AE895" s="74"/>
      <c r="AF895" s="74"/>
      <c r="AG895" s="74"/>
      <c r="AH895" s="74"/>
      <c r="AI895" s="74"/>
      <c r="AJ895" s="74"/>
      <c r="AK895" s="74"/>
      <c r="AL895" s="74"/>
      <c r="AM895" s="74"/>
      <c r="AN895" s="74"/>
      <c r="AO895" s="74"/>
      <c r="AP895" s="74"/>
      <c r="AQ895" s="74"/>
      <c r="AR895" s="74"/>
      <c r="AS895" s="565"/>
      <c r="AT895" s="556"/>
    </row>
    <row r="896" spans="1:46" hidden="1" x14ac:dyDescent="0.45">
      <c r="A896" s="556"/>
      <c r="B896" s="556"/>
      <c r="C896" s="556"/>
      <c r="D896" s="556"/>
      <c r="E896" s="556"/>
      <c r="F896" s="564"/>
      <c r="G896" s="564"/>
      <c r="H896" s="564"/>
      <c r="I896" s="564"/>
      <c r="J896" s="564"/>
      <c r="K896" s="564"/>
      <c r="L896" s="564"/>
      <c r="M896" s="564"/>
      <c r="N896" s="564"/>
      <c r="O896" s="564"/>
      <c r="P896" s="564"/>
      <c r="Q896" s="564"/>
      <c r="R896" s="564"/>
      <c r="S896" s="564"/>
      <c r="T896" s="564"/>
      <c r="U896" s="564"/>
      <c r="V896" s="564"/>
      <c r="W896" s="564"/>
      <c r="X896" s="564"/>
      <c r="Y896" s="564"/>
      <c r="Z896" s="564"/>
      <c r="AA896" s="564"/>
      <c r="AB896" s="556"/>
      <c r="AC896" s="556"/>
      <c r="AD896" s="74"/>
      <c r="AE896" s="74"/>
      <c r="AF896" s="74"/>
      <c r="AG896" s="74"/>
      <c r="AH896" s="74"/>
      <c r="AI896" s="74"/>
      <c r="AJ896" s="74"/>
      <c r="AK896" s="74"/>
      <c r="AL896" s="74"/>
      <c r="AM896" s="74"/>
      <c r="AN896" s="74"/>
      <c r="AO896" s="74"/>
      <c r="AP896" s="74"/>
      <c r="AQ896" s="74"/>
      <c r="AR896" s="74"/>
      <c r="AS896" s="565"/>
      <c r="AT896" s="556"/>
    </row>
    <row r="897" spans="1:46" hidden="1" x14ac:dyDescent="0.45">
      <c r="A897" s="556"/>
      <c r="B897" s="556"/>
      <c r="C897" s="556"/>
      <c r="D897" s="556"/>
      <c r="E897" s="556"/>
      <c r="F897" s="564"/>
      <c r="G897" s="564"/>
      <c r="H897" s="564"/>
      <c r="I897" s="564"/>
      <c r="J897" s="564"/>
      <c r="K897" s="564"/>
      <c r="L897" s="564"/>
      <c r="M897" s="564"/>
      <c r="N897" s="564"/>
      <c r="O897" s="564"/>
      <c r="P897" s="564"/>
      <c r="Q897" s="564"/>
      <c r="R897" s="564"/>
      <c r="S897" s="564"/>
      <c r="T897" s="564"/>
      <c r="U897" s="564"/>
      <c r="V897" s="564"/>
      <c r="W897" s="564"/>
      <c r="X897" s="564"/>
      <c r="Y897" s="564"/>
      <c r="Z897" s="564"/>
      <c r="AA897" s="564"/>
      <c r="AB897" s="556"/>
      <c r="AC897" s="556"/>
      <c r="AD897" s="74"/>
      <c r="AE897" s="74"/>
      <c r="AF897" s="74"/>
      <c r="AG897" s="74"/>
      <c r="AH897" s="74"/>
      <c r="AI897" s="74"/>
      <c r="AJ897" s="74"/>
      <c r="AK897" s="74"/>
      <c r="AL897" s="74"/>
      <c r="AM897" s="74"/>
      <c r="AN897" s="74"/>
      <c r="AO897" s="74"/>
      <c r="AP897" s="74"/>
      <c r="AQ897" s="74"/>
      <c r="AR897" s="74"/>
      <c r="AS897" s="565"/>
      <c r="AT897" s="556"/>
    </row>
    <row r="898" spans="1:46" hidden="1" x14ac:dyDescent="0.45">
      <c r="A898" s="556"/>
      <c r="B898" s="556"/>
      <c r="C898" s="556"/>
      <c r="D898" s="556"/>
      <c r="E898" s="556"/>
      <c r="F898" s="564"/>
      <c r="G898" s="564"/>
      <c r="H898" s="564"/>
      <c r="I898" s="564"/>
      <c r="J898" s="564"/>
      <c r="K898" s="564"/>
      <c r="L898" s="564"/>
      <c r="M898" s="564"/>
      <c r="N898" s="564"/>
      <c r="O898" s="564"/>
      <c r="P898" s="564"/>
      <c r="Q898" s="564"/>
      <c r="R898" s="564"/>
      <c r="S898" s="564"/>
      <c r="T898" s="564"/>
      <c r="U898" s="564"/>
      <c r="V898" s="564"/>
      <c r="W898" s="564"/>
      <c r="X898" s="564"/>
      <c r="Y898" s="564"/>
      <c r="Z898" s="564"/>
      <c r="AA898" s="564"/>
      <c r="AB898" s="556"/>
      <c r="AC898" s="556"/>
      <c r="AD898" s="74"/>
      <c r="AE898" s="74"/>
      <c r="AF898" s="74"/>
      <c r="AG898" s="74"/>
      <c r="AH898" s="74"/>
      <c r="AI898" s="74"/>
      <c r="AJ898" s="74"/>
      <c r="AK898" s="74"/>
      <c r="AL898" s="74"/>
      <c r="AM898" s="74"/>
      <c r="AN898" s="74"/>
      <c r="AO898" s="74"/>
      <c r="AP898" s="74"/>
      <c r="AQ898" s="74"/>
      <c r="AR898" s="74"/>
      <c r="AS898" s="565"/>
      <c r="AT898" s="556"/>
    </row>
    <row r="899" spans="1:46" hidden="1" x14ac:dyDescent="0.45">
      <c r="A899" s="556"/>
      <c r="B899" s="556"/>
      <c r="C899" s="556"/>
      <c r="D899" s="556"/>
      <c r="E899" s="556"/>
      <c r="F899" s="564"/>
      <c r="G899" s="564"/>
      <c r="H899" s="564"/>
      <c r="I899" s="564"/>
      <c r="J899" s="564"/>
      <c r="K899" s="564"/>
      <c r="L899" s="564"/>
      <c r="M899" s="564"/>
      <c r="N899" s="564"/>
      <c r="O899" s="564"/>
      <c r="P899" s="564"/>
      <c r="Q899" s="564"/>
      <c r="R899" s="564"/>
      <c r="S899" s="564"/>
      <c r="T899" s="564"/>
      <c r="U899" s="564"/>
      <c r="V899" s="564"/>
      <c r="W899" s="564"/>
      <c r="X899" s="564"/>
      <c r="Y899" s="564"/>
      <c r="Z899" s="564"/>
      <c r="AA899" s="564"/>
      <c r="AB899" s="556"/>
      <c r="AC899" s="556"/>
      <c r="AD899" s="74"/>
      <c r="AE899" s="74"/>
      <c r="AF899" s="74"/>
      <c r="AG899" s="74"/>
      <c r="AH899" s="74"/>
      <c r="AI899" s="74"/>
      <c r="AJ899" s="74"/>
      <c r="AK899" s="74"/>
      <c r="AL899" s="74"/>
      <c r="AM899" s="74"/>
      <c r="AN899" s="74"/>
      <c r="AO899" s="74"/>
      <c r="AP899" s="74"/>
      <c r="AQ899" s="74"/>
      <c r="AR899" s="74"/>
      <c r="AS899" s="565"/>
      <c r="AT899" s="556"/>
    </row>
    <row r="900" spans="1:46" hidden="1" x14ac:dyDescent="0.45">
      <c r="A900" s="556"/>
      <c r="B900" s="556"/>
      <c r="C900" s="556"/>
      <c r="D900" s="556"/>
      <c r="E900" s="556"/>
      <c r="F900" s="564"/>
      <c r="G900" s="564"/>
      <c r="H900" s="564"/>
      <c r="I900" s="564"/>
      <c r="J900" s="564"/>
      <c r="K900" s="564"/>
      <c r="L900" s="564"/>
      <c r="M900" s="564"/>
      <c r="N900" s="564"/>
      <c r="O900" s="564"/>
      <c r="P900" s="564"/>
      <c r="Q900" s="564"/>
      <c r="R900" s="564"/>
      <c r="S900" s="564"/>
      <c r="T900" s="564"/>
      <c r="U900" s="564"/>
      <c r="V900" s="564"/>
      <c r="W900" s="564"/>
      <c r="X900" s="564"/>
      <c r="Y900" s="564"/>
      <c r="Z900" s="564"/>
      <c r="AA900" s="564"/>
      <c r="AB900" s="556"/>
      <c r="AC900" s="556"/>
      <c r="AD900" s="74"/>
      <c r="AE900" s="74"/>
      <c r="AF900" s="74"/>
      <c r="AG900" s="74"/>
      <c r="AH900" s="74"/>
      <c r="AI900" s="74"/>
      <c r="AJ900" s="74"/>
      <c r="AK900" s="74"/>
      <c r="AL900" s="74"/>
      <c r="AM900" s="74"/>
      <c r="AN900" s="74"/>
      <c r="AO900" s="74"/>
      <c r="AP900" s="74"/>
      <c r="AQ900" s="74"/>
      <c r="AR900" s="74"/>
      <c r="AS900" s="565"/>
      <c r="AT900" s="556"/>
    </row>
    <row r="901" spans="1:46" hidden="1" x14ac:dyDescent="0.45">
      <c r="A901" s="556"/>
      <c r="B901" s="556"/>
      <c r="C901" s="556"/>
      <c r="D901" s="556"/>
      <c r="E901" s="556"/>
      <c r="F901" s="564"/>
      <c r="G901" s="564"/>
      <c r="H901" s="564"/>
      <c r="I901" s="564"/>
      <c r="J901" s="564"/>
      <c r="K901" s="564"/>
      <c r="L901" s="564"/>
      <c r="M901" s="564"/>
      <c r="N901" s="564"/>
      <c r="O901" s="564"/>
      <c r="P901" s="564"/>
      <c r="Q901" s="564"/>
      <c r="R901" s="564"/>
      <c r="S901" s="564"/>
      <c r="T901" s="564"/>
      <c r="U901" s="564"/>
      <c r="V901" s="564"/>
      <c r="W901" s="564"/>
      <c r="X901" s="564"/>
      <c r="Y901" s="564"/>
      <c r="Z901" s="564"/>
      <c r="AA901" s="564"/>
      <c r="AB901" s="556"/>
      <c r="AC901" s="556"/>
      <c r="AD901" s="74"/>
      <c r="AE901" s="74"/>
      <c r="AF901" s="74"/>
      <c r="AG901" s="74"/>
      <c r="AH901" s="74"/>
      <c r="AI901" s="74"/>
      <c r="AJ901" s="74"/>
      <c r="AK901" s="74"/>
      <c r="AL901" s="74"/>
      <c r="AM901" s="74"/>
      <c r="AN901" s="74"/>
      <c r="AO901" s="74"/>
      <c r="AP901" s="74"/>
      <c r="AQ901" s="74"/>
      <c r="AR901" s="74"/>
      <c r="AS901" s="565"/>
      <c r="AT901" s="556"/>
    </row>
    <row r="902" spans="1:46" hidden="1" x14ac:dyDescent="0.45">
      <c r="A902" s="556"/>
      <c r="B902" s="556"/>
      <c r="C902" s="556"/>
      <c r="D902" s="556"/>
      <c r="E902" s="556"/>
      <c r="F902" s="564"/>
      <c r="G902" s="564"/>
      <c r="H902" s="564"/>
      <c r="I902" s="564"/>
      <c r="J902" s="564"/>
      <c r="K902" s="564"/>
      <c r="L902" s="564"/>
      <c r="M902" s="564"/>
      <c r="N902" s="564"/>
      <c r="O902" s="564"/>
      <c r="P902" s="564"/>
      <c r="Q902" s="564"/>
      <c r="R902" s="564"/>
      <c r="S902" s="564"/>
      <c r="T902" s="564"/>
      <c r="U902" s="564"/>
      <c r="V902" s="564"/>
      <c r="W902" s="564"/>
      <c r="X902" s="564"/>
      <c r="Y902" s="564"/>
      <c r="Z902" s="564"/>
      <c r="AA902" s="564"/>
      <c r="AB902" s="556"/>
      <c r="AC902" s="556"/>
      <c r="AD902" s="74"/>
      <c r="AE902" s="74"/>
      <c r="AF902" s="74"/>
      <c r="AG902" s="74"/>
      <c r="AH902" s="74"/>
      <c r="AI902" s="74"/>
      <c r="AJ902" s="74"/>
      <c r="AK902" s="74"/>
      <c r="AL902" s="74"/>
      <c r="AM902" s="74"/>
      <c r="AN902" s="74"/>
      <c r="AO902" s="74"/>
      <c r="AP902" s="74"/>
      <c r="AQ902" s="74"/>
      <c r="AR902" s="74"/>
      <c r="AS902" s="565"/>
      <c r="AT902" s="556"/>
    </row>
    <row r="903" spans="1:46" hidden="1" x14ac:dyDescent="0.45">
      <c r="A903" s="556"/>
      <c r="B903" s="556"/>
      <c r="C903" s="556"/>
      <c r="D903" s="556"/>
      <c r="E903" s="556"/>
      <c r="F903" s="564"/>
      <c r="G903" s="564"/>
      <c r="H903" s="564"/>
      <c r="I903" s="564"/>
      <c r="J903" s="564"/>
      <c r="K903" s="564"/>
      <c r="L903" s="564"/>
      <c r="M903" s="564"/>
      <c r="N903" s="564"/>
      <c r="O903" s="564"/>
      <c r="P903" s="564"/>
      <c r="Q903" s="564"/>
      <c r="R903" s="564"/>
      <c r="S903" s="564"/>
      <c r="T903" s="564"/>
      <c r="U903" s="564"/>
      <c r="V903" s="564"/>
      <c r="W903" s="564"/>
      <c r="X903" s="564"/>
      <c r="Y903" s="564"/>
      <c r="Z903" s="564"/>
      <c r="AA903" s="564"/>
      <c r="AB903" s="556"/>
      <c r="AC903" s="556"/>
      <c r="AD903" s="74"/>
      <c r="AE903" s="74"/>
      <c r="AF903" s="74"/>
      <c r="AG903" s="74"/>
      <c r="AH903" s="74"/>
      <c r="AI903" s="74"/>
      <c r="AJ903" s="74"/>
      <c r="AK903" s="74"/>
      <c r="AL903" s="74"/>
      <c r="AM903" s="74"/>
      <c r="AN903" s="74"/>
      <c r="AO903" s="74"/>
      <c r="AP903" s="74"/>
      <c r="AQ903" s="74"/>
      <c r="AR903" s="74"/>
      <c r="AS903" s="565"/>
      <c r="AT903" s="556"/>
    </row>
    <row r="904" spans="1:46" hidden="1" x14ac:dyDescent="0.45">
      <c r="A904" s="556"/>
      <c r="B904" s="556"/>
      <c r="C904" s="556"/>
      <c r="D904" s="556"/>
      <c r="E904" s="556"/>
      <c r="F904" s="564"/>
      <c r="G904" s="564"/>
      <c r="H904" s="564"/>
      <c r="I904" s="564"/>
      <c r="J904" s="564"/>
      <c r="K904" s="564"/>
      <c r="L904" s="564"/>
      <c r="M904" s="564"/>
      <c r="N904" s="564"/>
      <c r="O904" s="564"/>
      <c r="P904" s="564"/>
      <c r="Q904" s="564"/>
      <c r="R904" s="564"/>
      <c r="S904" s="564"/>
      <c r="T904" s="564"/>
      <c r="U904" s="564"/>
      <c r="V904" s="564"/>
      <c r="W904" s="564"/>
      <c r="X904" s="564"/>
      <c r="Y904" s="564"/>
      <c r="Z904" s="564"/>
      <c r="AA904" s="564"/>
      <c r="AB904" s="556"/>
      <c r="AC904" s="556"/>
      <c r="AD904" s="74"/>
      <c r="AE904" s="74"/>
      <c r="AF904" s="74"/>
      <c r="AG904" s="74"/>
      <c r="AH904" s="74"/>
      <c r="AI904" s="74"/>
      <c r="AJ904" s="74"/>
      <c r="AK904" s="74"/>
      <c r="AL904" s="74"/>
      <c r="AM904" s="74"/>
      <c r="AN904" s="74"/>
      <c r="AO904" s="74"/>
      <c r="AP904" s="74"/>
      <c r="AQ904" s="74"/>
      <c r="AR904" s="74"/>
      <c r="AS904" s="565"/>
      <c r="AT904" s="556"/>
    </row>
    <row r="905" spans="1:46" hidden="1" x14ac:dyDescent="0.45">
      <c r="A905" s="556"/>
      <c r="B905" s="556"/>
      <c r="C905" s="556"/>
      <c r="D905" s="556"/>
      <c r="E905" s="556"/>
      <c r="F905" s="564"/>
      <c r="G905" s="564"/>
      <c r="H905" s="564"/>
      <c r="I905" s="564"/>
      <c r="J905" s="564"/>
      <c r="K905" s="564"/>
      <c r="L905" s="564"/>
      <c r="M905" s="564"/>
      <c r="N905" s="564"/>
      <c r="O905" s="564"/>
      <c r="P905" s="564"/>
      <c r="Q905" s="564"/>
      <c r="R905" s="564"/>
      <c r="S905" s="564"/>
      <c r="T905" s="564"/>
      <c r="U905" s="564"/>
      <c r="V905" s="564"/>
      <c r="W905" s="564"/>
      <c r="X905" s="564"/>
      <c r="Y905" s="564"/>
      <c r="Z905" s="564"/>
      <c r="AA905" s="564"/>
      <c r="AB905" s="556"/>
      <c r="AC905" s="556"/>
      <c r="AD905" s="74"/>
      <c r="AE905" s="74"/>
      <c r="AF905" s="74"/>
      <c r="AG905" s="74"/>
      <c r="AH905" s="74"/>
      <c r="AI905" s="74"/>
      <c r="AJ905" s="74"/>
      <c r="AK905" s="74"/>
      <c r="AL905" s="74"/>
      <c r="AM905" s="74"/>
      <c r="AN905" s="74"/>
      <c r="AO905" s="74"/>
      <c r="AP905" s="74"/>
      <c r="AQ905" s="74"/>
      <c r="AR905" s="74"/>
      <c r="AS905" s="565"/>
      <c r="AT905" s="556"/>
    </row>
    <row r="906" spans="1:46" hidden="1" x14ac:dyDescent="0.45">
      <c r="A906" s="556"/>
      <c r="B906" s="556"/>
      <c r="C906" s="556"/>
      <c r="D906" s="556"/>
      <c r="E906" s="556"/>
      <c r="F906" s="564"/>
      <c r="G906" s="564"/>
      <c r="H906" s="564"/>
      <c r="I906" s="564"/>
      <c r="J906" s="564"/>
      <c r="K906" s="564"/>
      <c r="L906" s="564"/>
      <c r="M906" s="564"/>
      <c r="N906" s="564"/>
      <c r="O906" s="564"/>
      <c r="P906" s="564"/>
      <c r="Q906" s="564"/>
      <c r="R906" s="564"/>
      <c r="S906" s="564"/>
      <c r="T906" s="564"/>
      <c r="U906" s="564"/>
      <c r="V906" s="564"/>
      <c r="W906" s="564"/>
      <c r="X906" s="564"/>
      <c r="Y906" s="564"/>
      <c r="Z906" s="564"/>
      <c r="AA906" s="564"/>
      <c r="AB906" s="556"/>
      <c r="AC906" s="556"/>
      <c r="AD906" s="74"/>
      <c r="AE906" s="74"/>
      <c r="AF906" s="74"/>
      <c r="AG906" s="74"/>
      <c r="AH906" s="74"/>
      <c r="AI906" s="74"/>
      <c r="AJ906" s="74"/>
      <c r="AK906" s="74"/>
      <c r="AL906" s="74"/>
      <c r="AM906" s="74"/>
      <c r="AN906" s="74"/>
      <c r="AO906" s="74"/>
      <c r="AP906" s="74"/>
      <c r="AQ906" s="74"/>
      <c r="AR906" s="74"/>
      <c r="AS906" s="565"/>
      <c r="AT906" s="556"/>
    </row>
    <row r="907" spans="1:46" hidden="1" x14ac:dyDescent="0.45">
      <c r="A907" s="556"/>
      <c r="B907" s="556"/>
      <c r="C907" s="556"/>
      <c r="D907" s="556"/>
      <c r="E907" s="556"/>
      <c r="F907" s="564"/>
      <c r="G907" s="564"/>
      <c r="H907" s="564"/>
      <c r="I907" s="564"/>
      <c r="J907" s="564"/>
      <c r="K907" s="564"/>
      <c r="L907" s="564"/>
      <c r="M907" s="564"/>
      <c r="N907" s="564"/>
      <c r="O907" s="564"/>
      <c r="P907" s="564"/>
      <c r="Q907" s="564"/>
      <c r="R907" s="564"/>
      <c r="S907" s="564"/>
      <c r="T907" s="564"/>
      <c r="U907" s="564"/>
      <c r="V907" s="564"/>
      <c r="W907" s="564"/>
      <c r="X907" s="564"/>
      <c r="Y907" s="564"/>
      <c r="Z907" s="564"/>
      <c r="AA907" s="564"/>
      <c r="AB907" s="556"/>
      <c r="AC907" s="556"/>
      <c r="AD907" s="74"/>
      <c r="AE907" s="74"/>
      <c r="AF907" s="74"/>
      <c r="AG907" s="74"/>
      <c r="AH907" s="74"/>
      <c r="AI907" s="74"/>
      <c r="AJ907" s="74"/>
      <c r="AK907" s="74"/>
      <c r="AL907" s="74"/>
      <c r="AM907" s="74"/>
      <c r="AN907" s="74"/>
      <c r="AO907" s="74"/>
      <c r="AP907" s="74"/>
      <c r="AQ907" s="74"/>
      <c r="AR907" s="74"/>
      <c r="AS907" s="565"/>
      <c r="AT907" s="556"/>
    </row>
    <row r="908" spans="1:46" hidden="1" x14ac:dyDescent="0.45">
      <c r="A908" s="556"/>
      <c r="B908" s="556"/>
      <c r="C908" s="556"/>
      <c r="D908" s="556"/>
      <c r="E908" s="556"/>
      <c r="F908" s="564"/>
      <c r="G908" s="564"/>
      <c r="H908" s="564"/>
      <c r="I908" s="564"/>
      <c r="J908" s="564"/>
      <c r="K908" s="564"/>
      <c r="L908" s="564"/>
      <c r="M908" s="564"/>
      <c r="N908" s="564"/>
      <c r="O908" s="564"/>
      <c r="P908" s="564"/>
      <c r="Q908" s="564"/>
      <c r="R908" s="564"/>
      <c r="S908" s="564"/>
      <c r="T908" s="564"/>
      <c r="U908" s="564"/>
      <c r="V908" s="564"/>
      <c r="W908" s="564"/>
      <c r="X908" s="564"/>
      <c r="Y908" s="564"/>
      <c r="Z908" s="564"/>
      <c r="AA908" s="564"/>
      <c r="AB908" s="556"/>
      <c r="AC908" s="556"/>
      <c r="AD908" s="74"/>
      <c r="AE908" s="74"/>
      <c r="AF908" s="74"/>
      <c r="AG908" s="74"/>
      <c r="AH908" s="74"/>
      <c r="AI908" s="74"/>
      <c r="AJ908" s="74"/>
      <c r="AK908" s="74"/>
      <c r="AL908" s="74"/>
      <c r="AM908" s="74"/>
      <c r="AN908" s="74"/>
      <c r="AO908" s="74"/>
      <c r="AP908" s="74"/>
      <c r="AQ908" s="74"/>
      <c r="AR908" s="74"/>
      <c r="AS908" s="565"/>
      <c r="AT908" s="556"/>
    </row>
    <row r="909" spans="1:46" hidden="1" x14ac:dyDescent="0.45">
      <c r="A909" s="556"/>
      <c r="B909" s="556"/>
      <c r="C909" s="556"/>
      <c r="D909" s="556"/>
      <c r="E909" s="556"/>
      <c r="F909" s="564"/>
      <c r="G909" s="564"/>
      <c r="H909" s="564"/>
      <c r="I909" s="564"/>
      <c r="J909" s="564"/>
      <c r="K909" s="564"/>
      <c r="L909" s="564"/>
      <c r="M909" s="564"/>
      <c r="N909" s="564"/>
      <c r="O909" s="564"/>
      <c r="P909" s="564"/>
      <c r="Q909" s="564"/>
      <c r="R909" s="564"/>
      <c r="S909" s="564"/>
      <c r="T909" s="564"/>
      <c r="U909" s="564"/>
      <c r="V909" s="564"/>
      <c r="W909" s="564"/>
      <c r="X909" s="564"/>
      <c r="Y909" s="564"/>
      <c r="Z909" s="564"/>
      <c r="AA909" s="564"/>
      <c r="AB909" s="556"/>
      <c r="AC909" s="556"/>
      <c r="AD909" s="74"/>
      <c r="AE909" s="74"/>
      <c r="AF909" s="74"/>
      <c r="AG909" s="74"/>
      <c r="AH909" s="74"/>
      <c r="AI909" s="74"/>
      <c r="AJ909" s="74"/>
      <c r="AK909" s="74"/>
      <c r="AL909" s="74"/>
      <c r="AM909" s="74"/>
      <c r="AN909" s="74"/>
      <c r="AO909" s="74"/>
      <c r="AP909" s="74"/>
      <c r="AQ909" s="74"/>
      <c r="AR909" s="74"/>
      <c r="AS909" s="565"/>
      <c r="AT909" s="556"/>
    </row>
    <row r="910" spans="1:46" hidden="1" x14ac:dyDescent="0.45">
      <c r="A910" s="556"/>
      <c r="B910" s="556"/>
      <c r="C910" s="556"/>
      <c r="D910" s="556"/>
      <c r="E910" s="556"/>
      <c r="F910" s="564"/>
      <c r="G910" s="564"/>
      <c r="H910" s="564"/>
      <c r="I910" s="564"/>
      <c r="J910" s="564"/>
      <c r="K910" s="564"/>
      <c r="L910" s="564"/>
      <c r="M910" s="564"/>
      <c r="N910" s="564"/>
      <c r="O910" s="564"/>
      <c r="P910" s="564"/>
      <c r="Q910" s="564"/>
      <c r="R910" s="564"/>
      <c r="S910" s="564"/>
      <c r="T910" s="564"/>
      <c r="U910" s="564"/>
      <c r="V910" s="564"/>
      <c r="W910" s="564"/>
      <c r="X910" s="564"/>
      <c r="Y910" s="564"/>
      <c r="Z910" s="564"/>
      <c r="AA910" s="564"/>
      <c r="AB910" s="556"/>
      <c r="AC910" s="556"/>
      <c r="AD910" s="74"/>
      <c r="AE910" s="74"/>
      <c r="AF910" s="74"/>
      <c r="AG910" s="74"/>
      <c r="AH910" s="74"/>
      <c r="AI910" s="74"/>
      <c r="AJ910" s="74"/>
      <c r="AK910" s="74"/>
      <c r="AL910" s="74"/>
      <c r="AM910" s="74"/>
      <c r="AN910" s="74"/>
      <c r="AO910" s="74"/>
      <c r="AP910" s="74"/>
      <c r="AQ910" s="74"/>
      <c r="AR910" s="74"/>
      <c r="AS910" s="565"/>
      <c r="AT910" s="556"/>
    </row>
    <row r="911" spans="1:46" hidden="1" x14ac:dyDescent="0.45">
      <c r="A911" s="556"/>
      <c r="B911" s="556"/>
      <c r="C911" s="556"/>
      <c r="D911" s="556"/>
      <c r="E911" s="556"/>
      <c r="F911" s="564"/>
      <c r="G911" s="564"/>
      <c r="H911" s="564"/>
      <c r="I911" s="564"/>
      <c r="J911" s="564"/>
      <c r="K911" s="564"/>
      <c r="L911" s="564"/>
      <c r="M911" s="564"/>
      <c r="N911" s="564"/>
      <c r="O911" s="564"/>
      <c r="P911" s="564"/>
      <c r="Q911" s="564"/>
      <c r="R911" s="564"/>
      <c r="S911" s="564"/>
      <c r="T911" s="564"/>
      <c r="U911" s="564"/>
      <c r="V911" s="564"/>
      <c r="W911" s="564"/>
      <c r="X911" s="564"/>
      <c r="Y911" s="564"/>
      <c r="Z911" s="564"/>
      <c r="AA911" s="564"/>
      <c r="AB911" s="556"/>
      <c r="AC911" s="556"/>
      <c r="AD911" s="74"/>
      <c r="AE911" s="74"/>
      <c r="AF911" s="74"/>
      <c r="AG911" s="74"/>
      <c r="AH911" s="74"/>
      <c r="AI911" s="74"/>
      <c r="AJ911" s="74"/>
      <c r="AK911" s="74"/>
      <c r="AL911" s="74"/>
      <c r="AM911" s="74"/>
      <c r="AN911" s="74"/>
      <c r="AO911" s="74"/>
      <c r="AP911" s="74"/>
      <c r="AQ911" s="74"/>
      <c r="AR911" s="74"/>
      <c r="AS911" s="565"/>
      <c r="AT911" s="556"/>
    </row>
    <row r="912" spans="1:46" hidden="1" x14ac:dyDescent="0.45">
      <c r="A912" s="556"/>
      <c r="B912" s="556"/>
      <c r="C912" s="556"/>
      <c r="D912" s="556"/>
      <c r="E912" s="556"/>
      <c r="F912" s="564"/>
      <c r="G912" s="564"/>
      <c r="H912" s="564"/>
      <c r="I912" s="564"/>
      <c r="J912" s="564"/>
      <c r="K912" s="564"/>
      <c r="L912" s="564"/>
      <c r="M912" s="564"/>
      <c r="N912" s="564"/>
      <c r="O912" s="564"/>
      <c r="P912" s="564"/>
      <c r="Q912" s="564"/>
      <c r="R912" s="564"/>
      <c r="S912" s="564"/>
      <c r="T912" s="564"/>
      <c r="U912" s="564"/>
      <c r="V912" s="564"/>
      <c r="W912" s="564"/>
      <c r="X912" s="564"/>
      <c r="Y912" s="564"/>
      <c r="Z912" s="564"/>
      <c r="AA912" s="564"/>
      <c r="AB912" s="556"/>
      <c r="AC912" s="556"/>
      <c r="AD912" s="74"/>
      <c r="AE912" s="74"/>
      <c r="AF912" s="74"/>
      <c r="AG912" s="74"/>
      <c r="AH912" s="74"/>
      <c r="AI912" s="74"/>
      <c r="AJ912" s="74"/>
      <c r="AK912" s="74"/>
      <c r="AL912" s="74"/>
      <c r="AM912" s="74"/>
      <c r="AN912" s="74"/>
      <c r="AO912" s="74"/>
      <c r="AP912" s="74"/>
      <c r="AQ912" s="74"/>
      <c r="AR912" s="74"/>
      <c r="AS912" s="565"/>
      <c r="AT912" s="556"/>
    </row>
    <row r="913" spans="1:46" hidden="1" x14ac:dyDescent="0.45">
      <c r="A913" s="556"/>
      <c r="B913" s="556"/>
      <c r="C913" s="556"/>
      <c r="D913" s="556"/>
      <c r="E913" s="556"/>
      <c r="F913" s="564"/>
      <c r="G913" s="564"/>
      <c r="H913" s="564"/>
      <c r="I913" s="564"/>
      <c r="J913" s="564"/>
      <c r="K913" s="564"/>
      <c r="L913" s="564"/>
      <c r="M913" s="564"/>
      <c r="N913" s="564"/>
      <c r="O913" s="564"/>
      <c r="P913" s="564"/>
      <c r="Q913" s="564"/>
      <c r="R913" s="564"/>
      <c r="S913" s="564"/>
      <c r="T913" s="564"/>
      <c r="U913" s="564"/>
      <c r="V913" s="564"/>
      <c r="W913" s="564"/>
      <c r="X913" s="564"/>
      <c r="Y913" s="564"/>
      <c r="Z913" s="564"/>
      <c r="AA913" s="564"/>
      <c r="AB913" s="556"/>
      <c r="AC913" s="556"/>
      <c r="AD913" s="74"/>
      <c r="AE913" s="74"/>
      <c r="AF913" s="74"/>
      <c r="AG913" s="74"/>
      <c r="AH913" s="74"/>
      <c r="AI913" s="74"/>
      <c r="AJ913" s="74"/>
      <c r="AK913" s="74"/>
      <c r="AL913" s="74"/>
      <c r="AM913" s="74"/>
      <c r="AN913" s="74"/>
      <c r="AO913" s="74"/>
      <c r="AP913" s="74"/>
      <c r="AQ913" s="74"/>
      <c r="AR913" s="74"/>
      <c r="AS913" s="565"/>
      <c r="AT913" s="556"/>
    </row>
    <row r="914" spans="1:46" hidden="1" x14ac:dyDescent="0.45">
      <c r="A914" s="556"/>
      <c r="B914" s="556"/>
      <c r="C914" s="556"/>
      <c r="D914" s="556"/>
      <c r="E914" s="556"/>
      <c r="F914" s="564"/>
      <c r="G914" s="564"/>
      <c r="H914" s="564"/>
      <c r="I914" s="564"/>
      <c r="J914" s="564"/>
      <c r="K914" s="564"/>
      <c r="L914" s="564"/>
      <c r="M914" s="564"/>
      <c r="N914" s="564"/>
      <c r="O914" s="564"/>
      <c r="P914" s="564"/>
      <c r="Q914" s="564"/>
      <c r="R914" s="564"/>
      <c r="S914" s="564"/>
      <c r="T914" s="564"/>
      <c r="U914" s="564"/>
      <c r="V914" s="564"/>
      <c r="W914" s="564"/>
      <c r="X914" s="564"/>
      <c r="Y914" s="564"/>
      <c r="Z914" s="564"/>
      <c r="AA914" s="564"/>
      <c r="AB914" s="556"/>
      <c r="AC914" s="556"/>
      <c r="AD914" s="74"/>
      <c r="AE914" s="74"/>
      <c r="AF914" s="74"/>
      <c r="AG914" s="74"/>
      <c r="AH914" s="74"/>
      <c r="AI914" s="74"/>
      <c r="AJ914" s="74"/>
      <c r="AK914" s="74"/>
      <c r="AL914" s="74"/>
      <c r="AM914" s="74"/>
      <c r="AN914" s="74"/>
      <c r="AO914" s="74"/>
      <c r="AP914" s="74"/>
      <c r="AQ914" s="74"/>
      <c r="AR914" s="74"/>
      <c r="AS914" s="565"/>
      <c r="AT914" s="556"/>
    </row>
    <row r="915" spans="1:46" hidden="1" x14ac:dyDescent="0.45">
      <c r="A915" s="556"/>
      <c r="B915" s="556"/>
      <c r="C915" s="556"/>
      <c r="D915" s="556"/>
      <c r="E915" s="556"/>
      <c r="F915" s="564"/>
      <c r="G915" s="564"/>
      <c r="H915" s="564"/>
      <c r="I915" s="564"/>
      <c r="J915" s="564"/>
      <c r="K915" s="564"/>
      <c r="L915" s="564"/>
      <c r="M915" s="564"/>
      <c r="N915" s="564"/>
      <c r="O915" s="564"/>
      <c r="P915" s="564"/>
      <c r="Q915" s="564"/>
      <c r="R915" s="564"/>
      <c r="S915" s="564"/>
      <c r="T915" s="564"/>
      <c r="U915" s="564"/>
      <c r="V915" s="564"/>
      <c r="W915" s="564"/>
      <c r="X915" s="564"/>
      <c r="Y915" s="564"/>
      <c r="Z915" s="564"/>
      <c r="AA915" s="564"/>
      <c r="AB915" s="556"/>
      <c r="AC915" s="556"/>
      <c r="AD915" s="74"/>
      <c r="AE915" s="74"/>
      <c r="AF915" s="74"/>
      <c r="AG915" s="74"/>
      <c r="AH915" s="74"/>
      <c r="AI915" s="74"/>
      <c r="AJ915" s="74"/>
      <c r="AK915" s="74"/>
      <c r="AL915" s="74"/>
      <c r="AM915" s="74"/>
      <c r="AN915" s="74"/>
      <c r="AO915" s="74"/>
      <c r="AP915" s="74"/>
      <c r="AQ915" s="74"/>
      <c r="AR915" s="74"/>
      <c r="AS915" s="565"/>
      <c r="AT915" s="556"/>
    </row>
    <row r="916" spans="1:46" hidden="1" x14ac:dyDescent="0.45">
      <c r="A916" s="556"/>
      <c r="B916" s="556"/>
      <c r="C916" s="556"/>
      <c r="D916" s="556"/>
      <c r="E916" s="556"/>
      <c r="F916" s="564"/>
      <c r="G916" s="564"/>
      <c r="H916" s="564"/>
      <c r="I916" s="564"/>
      <c r="J916" s="564"/>
      <c r="K916" s="564"/>
      <c r="L916" s="564"/>
      <c r="M916" s="564"/>
      <c r="N916" s="564"/>
      <c r="O916" s="564"/>
      <c r="P916" s="564"/>
      <c r="Q916" s="564"/>
      <c r="R916" s="564"/>
      <c r="S916" s="564"/>
      <c r="T916" s="564"/>
      <c r="U916" s="564"/>
      <c r="V916" s="564"/>
      <c r="W916" s="564"/>
      <c r="X916" s="564"/>
      <c r="Y916" s="564"/>
      <c r="Z916" s="564"/>
      <c r="AA916" s="564"/>
      <c r="AB916" s="556"/>
      <c r="AC916" s="556"/>
      <c r="AD916" s="74"/>
      <c r="AE916" s="74"/>
      <c r="AF916" s="74"/>
      <c r="AG916" s="74"/>
      <c r="AH916" s="74"/>
      <c r="AI916" s="74"/>
      <c r="AJ916" s="74"/>
      <c r="AK916" s="74"/>
      <c r="AL916" s="74"/>
      <c r="AM916" s="74"/>
      <c r="AN916" s="74"/>
      <c r="AO916" s="74"/>
      <c r="AP916" s="74"/>
      <c r="AQ916" s="74"/>
      <c r="AR916" s="74"/>
      <c r="AS916" s="565"/>
      <c r="AT916" s="556"/>
    </row>
    <row r="917" spans="1:46" hidden="1" x14ac:dyDescent="0.45">
      <c r="A917" s="556"/>
      <c r="B917" s="556"/>
      <c r="C917" s="556"/>
      <c r="D917" s="556"/>
      <c r="E917" s="556"/>
      <c r="F917" s="564"/>
      <c r="G917" s="564"/>
      <c r="H917" s="564"/>
      <c r="I917" s="564"/>
      <c r="J917" s="564"/>
      <c r="K917" s="564"/>
      <c r="L917" s="564"/>
      <c r="M917" s="564"/>
      <c r="N917" s="564"/>
      <c r="O917" s="564"/>
      <c r="P917" s="564"/>
      <c r="Q917" s="564"/>
      <c r="R917" s="564"/>
      <c r="S917" s="564"/>
      <c r="T917" s="564"/>
      <c r="U917" s="564"/>
      <c r="V917" s="564"/>
      <c r="W917" s="564"/>
      <c r="X917" s="564"/>
      <c r="Y917" s="564"/>
      <c r="Z917" s="564"/>
      <c r="AA917" s="564"/>
      <c r="AB917" s="556"/>
      <c r="AC917" s="556"/>
      <c r="AD917" s="74"/>
      <c r="AE917" s="74"/>
      <c r="AF917" s="74"/>
      <c r="AG917" s="74"/>
      <c r="AH917" s="74"/>
      <c r="AI917" s="74"/>
      <c r="AJ917" s="74"/>
      <c r="AK917" s="74"/>
      <c r="AL917" s="74"/>
      <c r="AM917" s="74"/>
      <c r="AN917" s="74"/>
      <c r="AO917" s="74"/>
      <c r="AP917" s="74"/>
      <c r="AQ917" s="74"/>
      <c r="AR917" s="74"/>
      <c r="AS917" s="565"/>
      <c r="AT917" s="556"/>
    </row>
    <row r="918" spans="1:46" hidden="1" x14ac:dyDescent="0.45">
      <c r="A918" s="556"/>
      <c r="B918" s="556"/>
      <c r="C918" s="556"/>
      <c r="D918" s="556"/>
      <c r="E918" s="556"/>
      <c r="F918" s="564"/>
      <c r="G918" s="564"/>
      <c r="H918" s="564"/>
      <c r="I918" s="564"/>
      <c r="J918" s="564"/>
      <c r="K918" s="564"/>
      <c r="L918" s="564"/>
      <c r="M918" s="564"/>
      <c r="N918" s="564"/>
      <c r="O918" s="564"/>
      <c r="P918" s="564"/>
      <c r="Q918" s="564"/>
      <c r="R918" s="564"/>
      <c r="S918" s="564"/>
      <c r="T918" s="564"/>
      <c r="U918" s="564"/>
      <c r="V918" s="564"/>
      <c r="W918" s="564"/>
      <c r="X918" s="564"/>
      <c r="Y918" s="564"/>
      <c r="Z918" s="564"/>
      <c r="AA918" s="564"/>
      <c r="AB918" s="556"/>
      <c r="AC918" s="556"/>
      <c r="AD918" s="74"/>
      <c r="AE918" s="74"/>
      <c r="AF918" s="74"/>
      <c r="AG918" s="74"/>
      <c r="AH918" s="74"/>
      <c r="AI918" s="74"/>
      <c r="AJ918" s="74"/>
      <c r="AK918" s="74"/>
      <c r="AL918" s="74"/>
      <c r="AM918" s="74"/>
      <c r="AN918" s="74"/>
      <c r="AO918" s="74"/>
      <c r="AP918" s="74"/>
      <c r="AQ918" s="74"/>
      <c r="AR918" s="74"/>
      <c r="AS918" s="565"/>
      <c r="AT918" s="556"/>
    </row>
    <row r="919" spans="1:46" hidden="1" x14ac:dyDescent="0.45">
      <c r="A919" s="556"/>
      <c r="B919" s="556"/>
      <c r="C919" s="556"/>
      <c r="D919" s="556"/>
      <c r="E919" s="556"/>
      <c r="F919" s="564"/>
      <c r="G919" s="564"/>
      <c r="H919" s="564"/>
      <c r="I919" s="564"/>
      <c r="J919" s="564"/>
      <c r="K919" s="564"/>
      <c r="L919" s="564"/>
      <c r="M919" s="564"/>
      <c r="N919" s="564"/>
      <c r="O919" s="564"/>
      <c r="P919" s="564"/>
      <c r="Q919" s="564"/>
      <c r="R919" s="564"/>
      <c r="S919" s="564"/>
      <c r="T919" s="564"/>
      <c r="U919" s="564"/>
      <c r="V919" s="564"/>
      <c r="W919" s="564"/>
      <c r="X919" s="564"/>
      <c r="Y919" s="564"/>
      <c r="Z919" s="564"/>
      <c r="AA919" s="564"/>
      <c r="AB919" s="556"/>
      <c r="AC919" s="556"/>
      <c r="AD919" s="74"/>
      <c r="AE919" s="74"/>
      <c r="AF919" s="74"/>
      <c r="AG919" s="74"/>
      <c r="AH919" s="74"/>
      <c r="AI919" s="74"/>
      <c r="AJ919" s="74"/>
      <c r="AK919" s="74"/>
      <c r="AL919" s="74"/>
      <c r="AM919" s="74"/>
      <c r="AN919" s="74"/>
      <c r="AO919" s="74"/>
      <c r="AP919" s="74"/>
      <c r="AQ919" s="74"/>
      <c r="AR919" s="74"/>
      <c r="AS919" s="565"/>
      <c r="AT919" s="556"/>
    </row>
    <row r="920" spans="1:46" hidden="1" x14ac:dyDescent="0.45">
      <c r="A920" s="556"/>
      <c r="B920" s="556"/>
      <c r="C920" s="556"/>
      <c r="D920" s="556"/>
      <c r="E920" s="556"/>
      <c r="F920" s="564"/>
      <c r="G920" s="564"/>
      <c r="H920" s="564"/>
      <c r="I920" s="564"/>
      <c r="J920" s="564"/>
      <c r="K920" s="564"/>
      <c r="L920" s="564"/>
      <c r="M920" s="564"/>
      <c r="N920" s="564"/>
      <c r="O920" s="564"/>
      <c r="P920" s="564"/>
      <c r="Q920" s="564"/>
      <c r="R920" s="564"/>
      <c r="S920" s="564"/>
      <c r="T920" s="564"/>
      <c r="U920" s="564"/>
      <c r="V920" s="564"/>
      <c r="W920" s="564"/>
      <c r="X920" s="564"/>
      <c r="Y920" s="564"/>
      <c r="Z920" s="564"/>
      <c r="AA920" s="564"/>
      <c r="AB920" s="556"/>
      <c r="AC920" s="556"/>
      <c r="AD920" s="74"/>
      <c r="AE920" s="74"/>
      <c r="AF920" s="74"/>
      <c r="AG920" s="74"/>
      <c r="AH920" s="74"/>
      <c r="AI920" s="74"/>
      <c r="AJ920" s="74"/>
      <c r="AK920" s="74"/>
      <c r="AL920" s="74"/>
      <c r="AM920" s="74"/>
      <c r="AN920" s="74"/>
      <c r="AO920" s="74"/>
      <c r="AP920" s="74"/>
      <c r="AQ920" s="74"/>
      <c r="AR920" s="74"/>
      <c r="AS920" s="565"/>
      <c r="AT920" s="556"/>
    </row>
    <row r="921" spans="1:46" hidden="1" x14ac:dyDescent="0.45">
      <c r="A921" s="556"/>
      <c r="B921" s="556"/>
      <c r="C921" s="556"/>
      <c r="D921" s="556"/>
      <c r="E921" s="556"/>
      <c r="F921" s="564"/>
      <c r="G921" s="564"/>
      <c r="H921" s="564"/>
      <c r="I921" s="564"/>
      <c r="J921" s="564"/>
      <c r="K921" s="564"/>
      <c r="L921" s="564"/>
      <c r="M921" s="564"/>
      <c r="N921" s="564"/>
      <c r="O921" s="564"/>
      <c r="P921" s="564"/>
      <c r="Q921" s="564"/>
      <c r="R921" s="564"/>
      <c r="S921" s="564"/>
      <c r="T921" s="564"/>
      <c r="U921" s="564"/>
      <c r="V921" s="564"/>
      <c r="W921" s="564"/>
      <c r="X921" s="564"/>
      <c r="Y921" s="564"/>
      <c r="Z921" s="564"/>
      <c r="AA921" s="564"/>
      <c r="AB921" s="556"/>
      <c r="AC921" s="556"/>
      <c r="AD921" s="74"/>
      <c r="AE921" s="74"/>
      <c r="AF921" s="74"/>
      <c r="AG921" s="74"/>
      <c r="AH921" s="74"/>
      <c r="AI921" s="74"/>
      <c r="AJ921" s="74"/>
      <c r="AK921" s="74"/>
      <c r="AL921" s="74"/>
      <c r="AM921" s="74"/>
      <c r="AN921" s="74"/>
      <c r="AO921" s="74"/>
      <c r="AP921" s="74"/>
      <c r="AQ921" s="74"/>
      <c r="AR921" s="74"/>
      <c r="AS921" s="565"/>
      <c r="AT921" s="556"/>
    </row>
    <row r="922" spans="1:46" hidden="1" x14ac:dyDescent="0.45">
      <c r="A922" s="556"/>
      <c r="B922" s="556"/>
      <c r="C922" s="556"/>
      <c r="D922" s="556"/>
      <c r="E922" s="556"/>
      <c r="F922" s="564"/>
      <c r="G922" s="564"/>
      <c r="H922" s="564"/>
      <c r="I922" s="564"/>
      <c r="J922" s="564"/>
      <c r="K922" s="564"/>
      <c r="L922" s="564"/>
      <c r="M922" s="564"/>
      <c r="N922" s="564"/>
      <c r="O922" s="564"/>
      <c r="P922" s="564"/>
      <c r="Q922" s="564"/>
      <c r="R922" s="564"/>
      <c r="S922" s="564"/>
      <c r="T922" s="564"/>
      <c r="U922" s="564"/>
      <c r="V922" s="564"/>
      <c r="W922" s="564"/>
      <c r="X922" s="564"/>
      <c r="Y922" s="564"/>
      <c r="Z922" s="564"/>
      <c r="AA922" s="564"/>
      <c r="AB922" s="556"/>
      <c r="AC922" s="556"/>
      <c r="AD922" s="74"/>
      <c r="AE922" s="74"/>
      <c r="AF922" s="74"/>
      <c r="AG922" s="74"/>
      <c r="AH922" s="74"/>
      <c r="AI922" s="74"/>
      <c r="AJ922" s="74"/>
      <c r="AK922" s="74"/>
      <c r="AL922" s="74"/>
      <c r="AM922" s="74"/>
      <c r="AN922" s="74"/>
      <c r="AO922" s="74"/>
      <c r="AP922" s="74"/>
      <c r="AQ922" s="74"/>
      <c r="AR922" s="74"/>
      <c r="AS922" s="565"/>
      <c r="AT922" s="556"/>
    </row>
    <row r="923" spans="1:46" hidden="1" x14ac:dyDescent="0.45">
      <c r="A923" s="556"/>
      <c r="B923" s="556"/>
      <c r="C923" s="556"/>
      <c r="D923" s="556"/>
      <c r="E923" s="556"/>
      <c r="F923" s="564"/>
      <c r="G923" s="564"/>
      <c r="H923" s="564"/>
      <c r="I923" s="564"/>
      <c r="J923" s="564"/>
      <c r="K923" s="564"/>
      <c r="L923" s="564"/>
      <c r="M923" s="564"/>
      <c r="N923" s="564"/>
      <c r="O923" s="564"/>
      <c r="P923" s="564"/>
      <c r="Q923" s="564"/>
      <c r="R923" s="564"/>
      <c r="S923" s="564"/>
      <c r="T923" s="564"/>
      <c r="U923" s="564"/>
      <c r="V923" s="564"/>
      <c r="W923" s="564"/>
      <c r="X923" s="564"/>
      <c r="Y923" s="564"/>
      <c r="Z923" s="564"/>
      <c r="AA923" s="564"/>
      <c r="AB923" s="556"/>
      <c r="AC923" s="556"/>
      <c r="AD923" s="74"/>
      <c r="AE923" s="74"/>
      <c r="AF923" s="74"/>
      <c r="AG923" s="74"/>
      <c r="AH923" s="74"/>
      <c r="AI923" s="74"/>
      <c r="AJ923" s="74"/>
      <c r="AK923" s="74"/>
      <c r="AL923" s="74"/>
      <c r="AM923" s="74"/>
      <c r="AN923" s="74"/>
      <c r="AO923" s="74"/>
      <c r="AP923" s="74"/>
      <c r="AQ923" s="74"/>
      <c r="AR923" s="74"/>
      <c r="AS923" s="565"/>
      <c r="AT923" s="556"/>
    </row>
    <row r="924" spans="1:46" hidden="1" x14ac:dyDescent="0.45">
      <c r="A924" s="556"/>
      <c r="B924" s="556"/>
      <c r="C924" s="556"/>
      <c r="D924" s="556"/>
      <c r="E924" s="556"/>
      <c r="F924" s="564"/>
      <c r="G924" s="564"/>
      <c r="H924" s="564"/>
      <c r="I924" s="564"/>
      <c r="J924" s="564"/>
      <c r="K924" s="564"/>
      <c r="L924" s="564"/>
      <c r="M924" s="564"/>
      <c r="N924" s="564"/>
      <c r="O924" s="564"/>
      <c r="P924" s="564"/>
      <c r="Q924" s="564"/>
      <c r="R924" s="564"/>
      <c r="S924" s="564"/>
      <c r="T924" s="564"/>
      <c r="U924" s="564"/>
      <c r="V924" s="564"/>
      <c r="W924" s="564"/>
      <c r="X924" s="564"/>
      <c r="Y924" s="564"/>
      <c r="Z924" s="564"/>
      <c r="AA924" s="564"/>
      <c r="AB924" s="556"/>
      <c r="AC924" s="556"/>
      <c r="AD924" s="74"/>
      <c r="AE924" s="74"/>
      <c r="AF924" s="74"/>
      <c r="AG924" s="74"/>
      <c r="AH924" s="74"/>
      <c r="AI924" s="74"/>
      <c r="AJ924" s="74"/>
      <c r="AK924" s="74"/>
      <c r="AL924" s="74"/>
      <c r="AM924" s="74"/>
      <c r="AN924" s="74"/>
      <c r="AO924" s="74"/>
      <c r="AP924" s="74"/>
      <c r="AQ924" s="74"/>
      <c r="AR924" s="74"/>
      <c r="AS924" s="565"/>
      <c r="AT924" s="556"/>
    </row>
    <row r="925" spans="1:46" hidden="1" x14ac:dyDescent="0.45">
      <c r="A925" s="556"/>
      <c r="B925" s="556"/>
      <c r="C925" s="556"/>
      <c r="D925" s="556"/>
      <c r="E925" s="556"/>
      <c r="F925" s="564"/>
      <c r="G925" s="564"/>
      <c r="H925" s="564"/>
      <c r="I925" s="564"/>
      <c r="J925" s="564"/>
      <c r="K925" s="564"/>
      <c r="L925" s="564"/>
      <c r="M925" s="564"/>
      <c r="N925" s="564"/>
      <c r="O925" s="564"/>
      <c r="P925" s="564"/>
      <c r="Q925" s="564"/>
      <c r="R925" s="564"/>
      <c r="S925" s="564"/>
      <c r="T925" s="564"/>
      <c r="U925" s="564"/>
      <c r="V925" s="564"/>
      <c r="W925" s="564"/>
      <c r="X925" s="564"/>
      <c r="Y925" s="564"/>
      <c r="Z925" s="564"/>
      <c r="AA925" s="564"/>
      <c r="AB925" s="556"/>
      <c r="AC925" s="556"/>
      <c r="AD925" s="74"/>
      <c r="AE925" s="74"/>
      <c r="AF925" s="74"/>
      <c r="AG925" s="74"/>
      <c r="AH925" s="74"/>
      <c r="AI925" s="74"/>
      <c r="AJ925" s="74"/>
      <c r="AK925" s="74"/>
      <c r="AL925" s="74"/>
      <c r="AM925" s="74"/>
      <c r="AN925" s="74"/>
      <c r="AO925" s="74"/>
      <c r="AP925" s="74"/>
      <c r="AQ925" s="74"/>
      <c r="AR925" s="74"/>
      <c r="AS925" s="565"/>
      <c r="AT925" s="556"/>
    </row>
    <row r="926" spans="1:46" hidden="1" x14ac:dyDescent="0.45">
      <c r="A926" s="556"/>
      <c r="B926" s="556"/>
      <c r="C926" s="556"/>
      <c r="D926" s="556"/>
      <c r="E926" s="556"/>
      <c r="F926" s="564"/>
      <c r="G926" s="564"/>
      <c r="H926" s="564"/>
      <c r="I926" s="564"/>
      <c r="J926" s="564"/>
      <c r="K926" s="564"/>
      <c r="L926" s="564"/>
      <c r="M926" s="564"/>
      <c r="N926" s="564"/>
      <c r="O926" s="564"/>
      <c r="P926" s="564"/>
      <c r="Q926" s="564"/>
      <c r="R926" s="564"/>
      <c r="S926" s="564"/>
      <c r="T926" s="564"/>
      <c r="U926" s="564"/>
      <c r="V926" s="564"/>
      <c r="W926" s="564"/>
      <c r="X926" s="564"/>
      <c r="Y926" s="564"/>
      <c r="Z926" s="564"/>
      <c r="AA926" s="564"/>
      <c r="AB926" s="556"/>
      <c r="AC926" s="556"/>
      <c r="AD926" s="74"/>
      <c r="AE926" s="74"/>
      <c r="AF926" s="74"/>
      <c r="AG926" s="74"/>
      <c r="AH926" s="74"/>
      <c r="AI926" s="74"/>
      <c r="AJ926" s="74"/>
      <c r="AK926" s="74"/>
      <c r="AL926" s="74"/>
      <c r="AM926" s="74"/>
      <c r="AN926" s="74"/>
      <c r="AO926" s="74"/>
      <c r="AP926" s="74"/>
      <c r="AQ926" s="74"/>
      <c r="AR926" s="74"/>
      <c r="AS926" s="565"/>
      <c r="AT926" s="556"/>
    </row>
    <row r="927" spans="1:46" hidden="1" x14ac:dyDescent="0.45">
      <c r="A927" s="556"/>
      <c r="B927" s="556"/>
      <c r="C927" s="556"/>
      <c r="D927" s="556"/>
      <c r="E927" s="556"/>
      <c r="F927" s="564"/>
      <c r="G927" s="564"/>
      <c r="H927" s="564"/>
      <c r="I927" s="564"/>
      <c r="J927" s="564"/>
      <c r="K927" s="564"/>
      <c r="L927" s="564"/>
      <c r="M927" s="564"/>
      <c r="N927" s="564"/>
      <c r="O927" s="564"/>
      <c r="P927" s="564"/>
      <c r="Q927" s="564"/>
      <c r="R927" s="564"/>
      <c r="S927" s="564"/>
      <c r="T927" s="564"/>
      <c r="U927" s="564"/>
      <c r="V927" s="564"/>
      <c r="W927" s="564"/>
      <c r="X927" s="564"/>
      <c r="Y927" s="564"/>
      <c r="Z927" s="564"/>
      <c r="AA927" s="564"/>
      <c r="AB927" s="556"/>
      <c r="AC927" s="556"/>
      <c r="AD927" s="74"/>
      <c r="AE927" s="74"/>
      <c r="AF927" s="74"/>
      <c r="AG927" s="74"/>
      <c r="AH927" s="74"/>
      <c r="AI927" s="74"/>
      <c r="AJ927" s="74"/>
      <c r="AK927" s="74"/>
      <c r="AL927" s="74"/>
      <c r="AM927" s="74"/>
      <c r="AN927" s="74"/>
      <c r="AO927" s="74"/>
      <c r="AP927" s="74"/>
      <c r="AQ927" s="74"/>
      <c r="AR927" s="74"/>
      <c r="AS927" s="565"/>
      <c r="AT927" s="556"/>
    </row>
    <row r="928" spans="1:46" hidden="1" x14ac:dyDescent="0.45">
      <c r="A928" s="556"/>
      <c r="B928" s="556"/>
      <c r="C928" s="556"/>
      <c r="D928" s="556"/>
      <c r="E928" s="556"/>
      <c r="F928" s="564"/>
      <c r="G928" s="564"/>
      <c r="H928" s="564"/>
      <c r="I928" s="564"/>
      <c r="J928" s="564"/>
      <c r="K928" s="564"/>
      <c r="L928" s="564"/>
      <c r="M928" s="564"/>
      <c r="N928" s="564"/>
      <c r="O928" s="564"/>
      <c r="P928" s="564"/>
      <c r="Q928" s="564"/>
      <c r="R928" s="564"/>
      <c r="S928" s="564"/>
      <c r="T928" s="564"/>
      <c r="U928" s="564"/>
      <c r="V928" s="564"/>
      <c r="W928" s="564"/>
      <c r="X928" s="564"/>
      <c r="Y928" s="564"/>
      <c r="Z928" s="564"/>
      <c r="AA928" s="564"/>
      <c r="AB928" s="556"/>
      <c r="AC928" s="556"/>
      <c r="AD928" s="74"/>
      <c r="AE928" s="74"/>
      <c r="AF928" s="74"/>
      <c r="AG928" s="74"/>
      <c r="AH928" s="74"/>
      <c r="AI928" s="74"/>
      <c r="AJ928" s="74"/>
      <c r="AK928" s="74"/>
      <c r="AL928" s="74"/>
      <c r="AM928" s="74"/>
      <c r="AN928" s="74"/>
      <c r="AO928" s="74"/>
      <c r="AP928" s="74"/>
      <c r="AQ928" s="74"/>
      <c r="AR928" s="74"/>
      <c r="AS928" s="565"/>
      <c r="AT928" s="556"/>
    </row>
    <row r="929" spans="1:46" hidden="1" x14ac:dyDescent="0.45">
      <c r="A929" s="556"/>
      <c r="B929" s="556"/>
      <c r="C929" s="556"/>
      <c r="D929" s="556"/>
      <c r="E929" s="556"/>
      <c r="F929" s="564"/>
      <c r="G929" s="564"/>
      <c r="H929" s="564"/>
      <c r="I929" s="564"/>
      <c r="J929" s="564"/>
      <c r="K929" s="564"/>
      <c r="L929" s="564"/>
      <c r="M929" s="564"/>
      <c r="N929" s="564"/>
      <c r="O929" s="564"/>
      <c r="P929" s="564"/>
      <c r="Q929" s="564"/>
      <c r="R929" s="564"/>
      <c r="S929" s="564"/>
      <c r="T929" s="564"/>
      <c r="U929" s="564"/>
      <c r="V929" s="564"/>
      <c r="W929" s="564"/>
      <c r="X929" s="564"/>
      <c r="Y929" s="564"/>
      <c r="Z929" s="564"/>
      <c r="AA929" s="564"/>
      <c r="AB929" s="556"/>
      <c r="AC929" s="556"/>
      <c r="AD929" s="74"/>
      <c r="AE929" s="74"/>
      <c r="AF929" s="74"/>
      <c r="AG929" s="74"/>
      <c r="AH929" s="74"/>
      <c r="AI929" s="74"/>
      <c r="AJ929" s="74"/>
      <c r="AK929" s="74"/>
      <c r="AL929" s="74"/>
      <c r="AM929" s="74"/>
      <c r="AN929" s="74"/>
      <c r="AO929" s="74"/>
      <c r="AP929" s="74"/>
      <c r="AQ929" s="74"/>
      <c r="AR929" s="74"/>
      <c r="AS929" s="565"/>
      <c r="AT929" s="556"/>
    </row>
    <row r="930" spans="1:46" hidden="1" x14ac:dyDescent="0.45">
      <c r="A930" s="556"/>
      <c r="B930" s="556"/>
      <c r="C930" s="556"/>
      <c r="D930" s="556"/>
      <c r="E930" s="556"/>
      <c r="F930" s="564"/>
      <c r="G930" s="564"/>
      <c r="H930" s="564"/>
      <c r="I930" s="564"/>
      <c r="J930" s="564"/>
      <c r="K930" s="564"/>
      <c r="L930" s="564"/>
      <c r="M930" s="564"/>
      <c r="N930" s="564"/>
      <c r="O930" s="564"/>
      <c r="P930" s="564"/>
      <c r="Q930" s="564"/>
      <c r="R930" s="564"/>
      <c r="S930" s="564"/>
      <c r="T930" s="564"/>
      <c r="U930" s="564"/>
      <c r="V930" s="564"/>
      <c r="W930" s="564"/>
      <c r="X930" s="564"/>
      <c r="Y930" s="564"/>
      <c r="Z930" s="564"/>
      <c r="AA930" s="564"/>
      <c r="AB930" s="556"/>
      <c r="AC930" s="556"/>
      <c r="AD930" s="74"/>
      <c r="AE930" s="74"/>
      <c r="AF930" s="74"/>
      <c r="AG930" s="74"/>
      <c r="AH930" s="74"/>
      <c r="AI930" s="74"/>
      <c r="AJ930" s="74"/>
      <c r="AK930" s="74"/>
      <c r="AL930" s="74"/>
      <c r="AM930" s="74"/>
      <c r="AN930" s="74"/>
      <c r="AO930" s="74"/>
      <c r="AP930" s="74"/>
      <c r="AQ930" s="74"/>
      <c r="AR930" s="74"/>
      <c r="AS930" s="565"/>
      <c r="AT930" s="556"/>
    </row>
    <row r="931" spans="1:46" hidden="1" x14ac:dyDescent="0.45">
      <c r="A931" s="556"/>
      <c r="B931" s="556"/>
      <c r="C931" s="556"/>
      <c r="D931" s="556"/>
      <c r="E931" s="556"/>
      <c r="F931" s="564"/>
      <c r="G931" s="564"/>
      <c r="H931" s="564"/>
      <c r="I931" s="564"/>
      <c r="J931" s="564"/>
      <c r="K931" s="564"/>
      <c r="L931" s="564"/>
      <c r="M931" s="564"/>
      <c r="N931" s="564"/>
      <c r="O931" s="564"/>
      <c r="P931" s="564"/>
      <c r="Q931" s="564"/>
      <c r="R931" s="564"/>
      <c r="S931" s="564"/>
      <c r="T931" s="564"/>
      <c r="U931" s="564"/>
      <c r="V931" s="564"/>
      <c r="W931" s="564"/>
      <c r="X931" s="564"/>
      <c r="Y931" s="564"/>
      <c r="Z931" s="564"/>
      <c r="AA931" s="564"/>
      <c r="AB931" s="556"/>
      <c r="AC931" s="556"/>
      <c r="AD931" s="74"/>
      <c r="AE931" s="74"/>
      <c r="AF931" s="74"/>
      <c r="AG931" s="74"/>
      <c r="AH931" s="74"/>
      <c r="AI931" s="74"/>
      <c r="AJ931" s="74"/>
      <c r="AK931" s="74"/>
      <c r="AL931" s="74"/>
      <c r="AM931" s="74"/>
      <c r="AN931" s="74"/>
      <c r="AO931" s="74"/>
      <c r="AP931" s="74"/>
      <c r="AQ931" s="74"/>
      <c r="AR931" s="74"/>
      <c r="AS931" s="565"/>
      <c r="AT931" s="556"/>
    </row>
    <row r="932" spans="1:46" hidden="1" x14ac:dyDescent="0.45">
      <c r="A932" s="556"/>
      <c r="B932" s="556"/>
      <c r="C932" s="556"/>
      <c r="D932" s="556"/>
      <c r="E932" s="556"/>
      <c r="F932" s="564"/>
      <c r="G932" s="564"/>
      <c r="H932" s="564"/>
      <c r="I932" s="564"/>
      <c r="J932" s="564"/>
      <c r="K932" s="564"/>
      <c r="L932" s="564"/>
      <c r="M932" s="564"/>
      <c r="N932" s="564"/>
      <c r="O932" s="564"/>
      <c r="P932" s="564"/>
      <c r="Q932" s="564"/>
      <c r="R932" s="564"/>
      <c r="S932" s="564"/>
      <c r="T932" s="564"/>
      <c r="U932" s="564"/>
      <c r="V932" s="564"/>
      <c r="W932" s="564"/>
      <c r="X932" s="564"/>
      <c r="Y932" s="564"/>
      <c r="Z932" s="564"/>
      <c r="AA932" s="564"/>
      <c r="AB932" s="556"/>
      <c r="AC932" s="556"/>
      <c r="AD932" s="74"/>
      <c r="AE932" s="74"/>
      <c r="AF932" s="74"/>
      <c r="AG932" s="74"/>
      <c r="AH932" s="74"/>
      <c r="AI932" s="74"/>
      <c r="AJ932" s="74"/>
      <c r="AK932" s="74"/>
      <c r="AL932" s="74"/>
      <c r="AM932" s="74"/>
      <c r="AN932" s="74"/>
      <c r="AO932" s="74"/>
      <c r="AP932" s="74"/>
      <c r="AQ932" s="74"/>
      <c r="AR932" s="74"/>
      <c r="AS932" s="565"/>
      <c r="AT932" s="556"/>
    </row>
    <row r="933" spans="1:46" hidden="1" x14ac:dyDescent="0.45">
      <c r="A933" s="556"/>
      <c r="B933" s="556"/>
      <c r="C933" s="556"/>
      <c r="D933" s="556"/>
      <c r="E933" s="556"/>
      <c r="F933" s="564"/>
      <c r="G933" s="564"/>
      <c r="H933" s="564"/>
      <c r="I933" s="564"/>
      <c r="J933" s="564"/>
      <c r="K933" s="564"/>
      <c r="L933" s="564"/>
      <c r="M933" s="564"/>
      <c r="N933" s="564"/>
      <c r="O933" s="564"/>
      <c r="P933" s="564"/>
      <c r="Q933" s="564"/>
      <c r="R933" s="564"/>
      <c r="S933" s="564"/>
      <c r="T933" s="564"/>
      <c r="U933" s="564"/>
      <c r="V933" s="564"/>
      <c r="W933" s="564"/>
      <c r="X933" s="564"/>
      <c r="Y933" s="564"/>
      <c r="Z933" s="564"/>
      <c r="AA933" s="564"/>
      <c r="AB933" s="556"/>
      <c r="AC933" s="556"/>
      <c r="AD933" s="74"/>
      <c r="AE933" s="74"/>
      <c r="AF933" s="74"/>
      <c r="AG933" s="74"/>
      <c r="AH933" s="74"/>
      <c r="AI933" s="74"/>
      <c r="AJ933" s="74"/>
      <c r="AK933" s="74"/>
      <c r="AL933" s="74"/>
      <c r="AM933" s="74"/>
      <c r="AN933" s="74"/>
      <c r="AO933" s="74"/>
      <c r="AP933" s="74"/>
      <c r="AQ933" s="74"/>
      <c r="AR933" s="74"/>
      <c r="AS933" s="565"/>
      <c r="AT933" s="556"/>
    </row>
    <row r="934" spans="1:46" hidden="1" x14ac:dyDescent="0.45">
      <c r="A934" s="556"/>
      <c r="B934" s="556"/>
      <c r="C934" s="556"/>
      <c r="D934" s="556"/>
      <c r="E934" s="556"/>
      <c r="F934" s="564"/>
      <c r="G934" s="564"/>
      <c r="H934" s="564"/>
      <c r="I934" s="564"/>
      <c r="J934" s="564"/>
      <c r="K934" s="564"/>
      <c r="L934" s="564"/>
      <c r="M934" s="564"/>
      <c r="N934" s="564"/>
      <c r="O934" s="564"/>
      <c r="P934" s="564"/>
      <c r="Q934" s="564"/>
      <c r="R934" s="564"/>
      <c r="S934" s="564"/>
      <c r="T934" s="564"/>
      <c r="U934" s="564"/>
      <c r="V934" s="564"/>
      <c r="W934" s="564"/>
      <c r="X934" s="564"/>
      <c r="Y934" s="564"/>
      <c r="Z934" s="564"/>
      <c r="AA934" s="564"/>
      <c r="AB934" s="556"/>
      <c r="AC934" s="556"/>
      <c r="AD934" s="74"/>
      <c r="AE934" s="74"/>
      <c r="AF934" s="74"/>
      <c r="AG934" s="74"/>
      <c r="AH934" s="74"/>
      <c r="AI934" s="74"/>
      <c r="AJ934" s="74"/>
      <c r="AK934" s="74"/>
      <c r="AL934" s="74"/>
      <c r="AM934" s="74"/>
      <c r="AN934" s="74"/>
      <c r="AO934" s="74"/>
      <c r="AP934" s="74"/>
      <c r="AQ934" s="74"/>
      <c r="AR934" s="74"/>
      <c r="AS934" s="565"/>
      <c r="AT934" s="556"/>
    </row>
    <row r="935" spans="1:46" hidden="1" x14ac:dyDescent="0.45">
      <c r="A935" s="556"/>
      <c r="B935" s="556"/>
      <c r="C935" s="556"/>
      <c r="D935" s="556"/>
      <c r="E935" s="556"/>
      <c r="F935" s="564"/>
      <c r="G935" s="564"/>
      <c r="H935" s="564"/>
      <c r="I935" s="564"/>
      <c r="J935" s="564"/>
      <c r="K935" s="564"/>
      <c r="L935" s="564"/>
      <c r="M935" s="564"/>
      <c r="N935" s="564"/>
      <c r="O935" s="564"/>
      <c r="P935" s="564"/>
      <c r="Q935" s="564"/>
      <c r="R935" s="564"/>
      <c r="S935" s="564"/>
      <c r="T935" s="564"/>
      <c r="U935" s="564"/>
      <c r="V935" s="564"/>
      <c r="W935" s="564"/>
      <c r="X935" s="564"/>
      <c r="Y935" s="564"/>
      <c r="Z935" s="564"/>
      <c r="AA935" s="564"/>
      <c r="AB935" s="556"/>
      <c r="AC935" s="556"/>
      <c r="AD935" s="74"/>
      <c r="AE935" s="74"/>
      <c r="AF935" s="74"/>
      <c r="AG935" s="74"/>
      <c r="AH935" s="74"/>
      <c r="AI935" s="74"/>
      <c r="AJ935" s="74"/>
      <c r="AK935" s="74"/>
      <c r="AL935" s="74"/>
      <c r="AM935" s="74"/>
      <c r="AN935" s="74"/>
      <c r="AO935" s="74"/>
      <c r="AP935" s="74"/>
      <c r="AQ935" s="74"/>
      <c r="AR935" s="74"/>
      <c r="AS935" s="565"/>
      <c r="AT935" s="556"/>
    </row>
    <row r="936" spans="1:46" hidden="1" x14ac:dyDescent="0.45">
      <c r="A936" s="556"/>
      <c r="B936" s="556"/>
      <c r="C936" s="556"/>
      <c r="D936" s="556"/>
      <c r="E936" s="556"/>
      <c r="F936" s="564"/>
      <c r="G936" s="564"/>
      <c r="H936" s="564"/>
      <c r="I936" s="564"/>
      <c r="J936" s="564"/>
      <c r="K936" s="564"/>
      <c r="L936" s="564"/>
      <c r="M936" s="564"/>
      <c r="N936" s="564"/>
      <c r="O936" s="564"/>
      <c r="P936" s="564"/>
      <c r="Q936" s="564"/>
      <c r="R936" s="564"/>
      <c r="S936" s="564"/>
      <c r="T936" s="564"/>
      <c r="U936" s="564"/>
      <c r="V936" s="564"/>
      <c r="W936" s="564"/>
      <c r="X936" s="564"/>
      <c r="Y936" s="564"/>
      <c r="Z936" s="564"/>
      <c r="AA936" s="564"/>
      <c r="AB936" s="556"/>
      <c r="AC936" s="556"/>
      <c r="AD936" s="74"/>
      <c r="AE936" s="74"/>
      <c r="AF936" s="74"/>
      <c r="AG936" s="74"/>
      <c r="AH936" s="74"/>
      <c r="AI936" s="74"/>
      <c r="AJ936" s="74"/>
      <c r="AK936" s="74"/>
      <c r="AL936" s="74"/>
      <c r="AM936" s="74"/>
      <c r="AN936" s="74"/>
      <c r="AO936" s="74"/>
      <c r="AP936" s="74"/>
      <c r="AQ936" s="74"/>
      <c r="AR936" s="74"/>
      <c r="AS936" s="565"/>
      <c r="AT936" s="556"/>
    </row>
    <row r="937" spans="1:46" hidden="1" x14ac:dyDescent="0.45">
      <c r="A937" s="556"/>
      <c r="B937" s="556"/>
      <c r="C937" s="556"/>
      <c r="D937" s="556"/>
      <c r="E937" s="556"/>
      <c r="F937" s="564"/>
      <c r="G937" s="564"/>
      <c r="H937" s="564"/>
      <c r="I937" s="564"/>
      <c r="J937" s="564"/>
      <c r="K937" s="564"/>
      <c r="L937" s="564"/>
      <c r="M937" s="564"/>
      <c r="N937" s="564"/>
      <c r="O937" s="564"/>
      <c r="P937" s="564"/>
      <c r="Q937" s="564"/>
      <c r="R937" s="564"/>
      <c r="S937" s="564"/>
      <c r="T937" s="564"/>
      <c r="U937" s="564"/>
      <c r="V937" s="564"/>
      <c r="W937" s="564"/>
      <c r="X937" s="564"/>
      <c r="Y937" s="564"/>
      <c r="Z937" s="564"/>
      <c r="AA937" s="564"/>
      <c r="AB937" s="556"/>
      <c r="AC937" s="556"/>
      <c r="AD937" s="74"/>
      <c r="AE937" s="74"/>
      <c r="AF937" s="74"/>
      <c r="AG937" s="74"/>
      <c r="AH937" s="74"/>
      <c r="AI937" s="74"/>
      <c r="AJ937" s="74"/>
      <c r="AK937" s="74"/>
      <c r="AL937" s="74"/>
      <c r="AM937" s="74"/>
      <c r="AN937" s="74"/>
      <c r="AO937" s="74"/>
      <c r="AP937" s="74"/>
      <c r="AQ937" s="74"/>
      <c r="AR937" s="74"/>
      <c r="AS937" s="565"/>
      <c r="AT937" s="556"/>
    </row>
    <row r="938" spans="1:46" hidden="1" x14ac:dyDescent="0.45">
      <c r="A938" s="556"/>
      <c r="B938" s="556"/>
      <c r="C938" s="556"/>
      <c r="D938" s="556"/>
      <c r="E938" s="556"/>
      <c r="F938" s="564"/>
      <c r="G938" s="564"/>
      <c r="H938" s="564"/>
      <c r="I938" s="564"/>
      <c r="J938" s="564"/>
      <c r="K938" s="564"/>
      <c r="L938" s="564"/>
      <c r="M938" s="564"/>
      <c r="N938" s="564"/>
      <c r="O938" s="564"/>
      <c r="P938" s="564"/>
      <c r="Q938" s="564"/>
      <c r="R938" s="564"/>
      <c r="S938" s="564"/>
      <c r="T938" s="564"/>
      <c r="U938" s="564"/>
      <c r="V938" s="564"/>
      <c r="W938" s="564"/>
      <c r="X938" s="564"/>
      <c r="Y938" s="564"/>
      <c r="Z938" s="564"/>
      <c r="AA938" s="564"/>
      <c r="AB938" s="556"/>
      <c r="AC938" s="556"/>
      <c r="AD938" s="74"/>
      <c r="AE938" s="74"/>
      <c r="AF938" s="74"/>
      <c r="AG938" s="74"/>
      <c r="AH938" s="74"/>
      <c r="AI938" s="74"/>
      <c r="AJ938" s="74"/>
      <c r="AK938" s="74"/>
      <c r="AL938" s="74"/>
      <c r="AM938" s="74"/>
      <c r="AN938" s="74"/>
      <c r="AO938" s="74"/>
      <c r="AP938" s="74"/>
      <c r="AQ938" s="74"/>
      <c r="AR938" s="74"/>
      <c r="AS938" s="565"/>
      <c r="AT938" s="556"/>
    </row>
    <row r="939" spans="1:46" hidden="1" x14ac:dyDescent="0.45">
      <c r="A939" s="556"/>
      <c r="B939" s="556"/>
      <c r="C939" s="556"/>
      <c r="D939" s="556"/>
      <c r="E939" s="556"/>
      <c r="F939" s="564"/>
      <c r="G939" s="564"/>
      <c r="H939" s="564"/>
      <c r="I939" s="564"/>
      <c r="J939" s="564"/>
      <c r="K939" s="564"/>
      <c r="L939" s="564"/>
      <c r="M939" s="564"/>
      <c r="N939" s="564"/>
      <c r="O939" s="564"/>
      <c r="P939" s="564"/>
      <c r="Q939" s="564"/>
      <c r="R939" s="564"/>
      <c r="S939" s="564"/>
      <c r="T939" s="564"/>
      <c r="U939" s="564"/>
      <c r="V939" s="564"/>
      <c r="W939" s="564"/>
      <c r="X939" s="564"/>
      <c r="Y939" s="564"/>
      <c r="Z939" s="564"/>
      <c r="AA939" s="564"/>
      <c r="AB939" s="556"/>
      <c r="AC939" s="556"/>
      <c r="AD939" s="74"/>
      <c r="AE939" s="74"/>
      <c r="AF939" s="74"/>
      <c r="AG939" s="74"/>
      <c r="AH939" s="74"/>
      <c r="AI939" s="74"/>
      <c r="AJ939" s="74"/>
      <c r="AK939" s="74"/>
      <c r="AL939" s="74"/>
      <c r="AM939" s="74"/>
      <c r="AN939" s="74"/>
      <c r="AO939" s="74"/>
      <c r="AP939" s="74"/>
      <c r="AQ939" s="74"/>
      <c r="AR939" s="74"/>
      <c r="AS939" s="565"/>
      <c r="AT939" s="556"/>
    </row>
    <row r="940" spans="1:46" hidden="1" x14ac:dyDescent="0.45">
      <c r="A940" s="556"/>
      <c r="B940" s="556"/>
      <c r="C940" s="556"/>
      <c r="D940" s="556"/>
      <c r="E940" s="556"/>
      <c r="F940" s="564"/>
      <c r="G940" s="564"/>
      <c r="H940" s="564"/>
      <c r="I940" s="564"/>
      <c r="J940" s="564"/>
      <c r="K940" s="564"/>
      <c r="L940" s="564"/>
      <c r="M940" s="564"/>
      <c r="N940" s="564"/>
      <c r="O940" s="564"/>
      <c r="P940" s="564"/>
      <c r="Q940" s="564"/>
      <c r="R940" s="564"/>
      <c r="S940" s="564"/>
      <c r="T940" s="564"/>
      <c r="U940" s="564"/>
      <c r="V940" s="564"/>
      <c r="W940" s="564"/>
      <c r="X940" s="564"/>
      <c r="Y940" s="564"/>
      <c r="Z940" s="564"/>
      <c r="AA940" s="564"/>
      <c r="AB940" s="556"/>
      <c r="AC940" s="556"/>
      <c r="AD940" s="74"/>
      <c r="AE940" s="74"/>
      <c r="AF940" s="74"/>
      <c r="AG940" s="74"/>
      <c r="AH940" s="74"/>
      <c r="AI940" s="74"/>
      <c r="AJ940" s="74"/>
      <c r="AK940" s="74"/>
      <c r="AL940" s="74"/>
      <c r="AM940" s="74"/>
      <c r="AN940" s="74"/>
      <c r="AO940" s="74"/>
      <c r="AP940" s="74"/>
      <c r="AQ940" s="74"/>
      <c r="AR940" s="74"/>
      <c r="AS940" s="565"/>
      <c r="AT940" s="556"/>
    </row>
    <row r="941" spans="1:46" hidden="1" x14ac:dyDescent="0.45">
      <c r="A941" s="556"/>
      <c r="B941" s="556"/>
      <c r="C941" s="556"/>
      <c r="D941" s="556"/>
      <c r="E941" s="556"/>
      <c r="F941" s="564"/>
      <c r="G941" s="564"/>
      <c r="H941" s="564"/>
      <c r="I941" s="564"/>
      <c r="J941" s="564"/>
      <c r="K941" s="564"/>
      <c r="L941" s="564"/>
      <c r="M941" s="564"/>
      <c r="N941" s="564"/>
      <c r="O941" s="564"/>
      <c r="P941" s="564"/>
      <c r="Q941" s="564"/>
      <c r="R941" s="564"/>
      <c r="S941" s="564"/>
      <c r="T941" s="564"/>
      <c r="U941" s="564"/>
      <c r="V941" s="564"/>
      <c r="W941" s="564"/>
      <c r="X941" s="564"/>
      <c r="Y941" s="564"/>
      <c r="Z941" s="564"/>
      <c r="AA941" s="564"/>
      <c r="AB941" s="556"/>
      <c r="AC941" s="556"/>
      <c r="AD941" s="74"/>
      <c r="AE941" s="74"/>
      <c r="AF941" s="74"/>
      <c r="AG941" s="74"/>
      <c r="AH941" s="74"/>
      <c r="AI941" s="74"/>
      <c r="AJ941" s="74"/>
      <c r="AK941" s="74"/>
      <c r="AL941" s="74"/>
      <c r="AM941" s="74"/>
      <c r="AN941" s="74"/>
      <c r="AO941" s="74"/>
      <c r="AP941" s="74"/>
      <c r="AQ941" s="74"/>
      <c r="AR941" s="74"/>
      <c r="AS941" s="565"/>
      <c r="AT941" s="556"/>
    </row>
    <row r="942" spans="1:46" hidden="1" x14ac:dyDescent="0.45">
      <c r="A942" s="556"/>
      <c r="B942" s="556"/>
      <c r="C942" s="556"/>
      <c r="D942" s="556"/>
      <c r="E942" s="556"/>
      <c r="F942" s="564"/>
      <c r="G942" s="564"/>
      <c r="H942" s="564"/>
      <c r="I942" s="564"/>
      <c r="J942" s="564"/>
      <c r="K942" s="564"/>
      <c r="L942" s="564"/>
      <c r="M942" s="564"/>
      <c r="N942" s="564"/>
      <c r="O942" s="564"/>
      <c r="P942" s="564"/>
      <c r="Q942" s="564"/>
      <c r="R942" s="564"/>
      <c r="S942" s="564"/>
      <c r="T942" s="564"/>
      <c r="U942" s="564"/>
      <c r="V942" s="564"/>
      <c r="W942" s="564"/>
      <c r="X942" s="564"/>
      <c r="Y942" s="564"/>
      <c r="Z942" s="564"/>
      <c r="AA942" s="564"/>
      <c r="AB942" s="556"/>
      <c r="AC942" s="556"/>
      <c r="AD942" s="74"/>
      <c r="AE942" s="74"/>
      <c r="AF942" s="74"/>
      <c r="AG942" s="74"/>
      <c r="AH942" s="74"/>
      <c r="AI942" s="74"/>
      <c r="AJ942" s="74"/>
      <c r="AK942" s="74"/>
      <c r="AL942" s="74"/>
      <c r="AM942" s="74"/>
      <c r="AN942" s="74"/>
      <c r="AO942" s="74"/>
      <c r="AP942" s="74"/>
      <c r="AQ942" s="74"/>
      <c r="AR942" s="74"/>
      <c r="AS942" s="565"/>
      <c r="AT942" s="556"/>
    </row>
    <row r="943" spans="1:46" hidden="1" x14ac:dyDescent="0.45">
      <c r="A943" s="556"/>
      <c r="B943" s="556"/>
      <c r="C943" s="556"/>
      <c r="D943" s="556"/>
      <c r="E943" s="556"/>
      <c r="F943" s="564"/>
      <c r="G943" s="564"/>
      <c r="H943" s="564"/>
      <c r="I943" s="564"/>
      <c r="J943" s="564"/>
      <c r="K943" s="564"/>
      <c r="L943" s="564"/>
      <c r="M943" s="564"/>
      <c r="N943" s="564"/>
      <c r="O943" s="564"/>
      <c r="P943" s="564"/>
      <c r="Q943" s="564"/>
      <c r="R943" s="564"/>
      <c r="S943" s="564"/>
      <c r="T943" s="564"/>
      <c r="U943" s="564"/>
      <c r="V943" s="564"/>
      <c r="W943" s="564"/>
      <c r="X943" s="564"/>
      <c r="Y943" s="564"/>
      <c r="Z943" s="564"/>
      <c r="AA943" s="564"/>
      <c r="AB943" s="556"/>
      <c r="AC943" s="556"/>
      <c r="AD943" s="74"/>
      <c r="AE943" s="74"/>
      <c r="AF943" s="74"/>
      <c r="AG943" s="74"/>
      <c r="AH943" s="74"/>
      <c r="AI943" s="74"/>
      <c r="AJ943" s="74"/>
      <c r="AK943" s="74"/>
      <c r="AL943" s="74"/>
      <c r="AM943" s="74"/>
      <c r="AN943" s="74"/>
      <c r="AO943" s="74"/>
      <c r="AP943" s="74"/>
      <c r="AQ943" s="74"/>
      <c r="AR943" s="74"/>
      <c r="AS943" s="565"/>
      <c r="AT943" s="556"/>
    </row>
    <row r="944" spans="1:46" hidden="1" x14ac:dyDescent="0.45">
      <c r="A944" s="556"/>
      <c r="B944" s="556"/>
      <c r="C944" s="556"/>
      <c r="D944" s="556"/>
      <c r="E944" s="556"/>
      <c r="F944" s="564"/>
      <c r="G944" s="564"/>
      <c r="H944" s="564"/>
      <c r="I944" s="564"/>
      <c r="J944" s="564"/>
      <c r="K944" s="564"/>
      <c r="L944" s="564"/>
      <c r="M944" s="564"/>
      <c r="N944" s="564"/>
      <c r="O944" s="564"/>
      <c r="P944" s="564"/>
      <c r="Q944" s="564"/>
      <c r="R944" s="564"/>
      <c r="S944" s="564"/>
      <c r="T944" s="564"/>
      <c r="U944" s="564"/>
      <c r="V944" s="564"/>
      <c r="W944" s="564"/>
      <c r="X944" s="564"/>
      <c r="Y944" s="564"/>
      <c r="Z944" s="564"/>
      <c r="AA944" s="564"/>
      <c r="AB944" s="556"/>
      <c r="AC944" s="556"/>
      <c r="AD944" s="74"/>
      <c r="AE944" s="74"/>
      <c r="AF944" s="74"/>
      <c r="AG944" s="74"/>
      <c r="AH944" s="74"/>
      <c r="AI944" s="74"/>
      <c r="AJ944" s="74"/>
      <c r="AK944" s="74"/>
      <c r="AL944" s="74"/>
      <c r="AM944" s="74"/>
      <c r="AN944" s="74"/>
      <c r="AO944" s="74"/>
      <c r="AP944" s="74"/>
      <c r="AQ944" s="74"/>
      <c r="AR944" s="74"/>
      <c r="AS944" s="565"/>
      <c r="AT944" s="556"/>
    </row>
    <row r="945" spans="1:46" hidden="1" x14ac:dyDescent="0.45">
      <c r="A945" s="556"/>
      <c r="B945" s="556"/>
      <c r="C945" s="556"/>
      <c r="D945" s="556"/>
      <c r="E945" s="556"/>
      <c r="F945" s="564"/>
      <c r="G945" s="564"/>
      <c r="H945" s="564"/>
      <c r="I945" s="564"/>
      <c r="J945" s="564"/>
      <c r="K945" s="564"/>
      <c r="L945" s="564"/>
      <c r="M945" s="564"/>
      <c r="N945" s="564"/>
      <c r="O945" s="564"/>
      <c r="P945" s="564"/>
      <c r="Q945" s="564"/>
      <c r="R945" s="564"/>
      <c r="S945" s="564"/>
      <c r="T945" s="564"/>
      <c r="U945" s="564"/>
      <c r="V945" s="564"/>
      <c r="W945" s="564"/>
      <c r="X945" s="564"/>
      <c r="Y945" s="564"/>
      <c r="Z945" s="564"/>
      <c r="AA945" s="564"/>
      <c r="AB945" s="556"/>
      <c r="AC945" s="556"/>
      <c r="AD945" s="74"/>
      <c r="AE945" s="74"/>
      <c r="AF945" s="74"/>
      <c r="AG945" s="74"/>
      <c r="AH945" s="74"/>
      <c r="AI945" s="74"/>
      <c r="AJ945" s="74"/>
      <c r="AK945" s="74"/>
      <c r="AL945" s="74"/>
      <c r="AM945" s="74"/>
      <c r="AN945" s="74"/>
      <c r="AO945" s="74"/>
      <c r="AP945" s="74"/>
      <c r="AQ945" s="74"/>
      <c r="AR945" s="74"/>
      <c r="AS945" s="565"/>
      <c r="AT945" s="556"/>
    </row>
    <row r="946" spans="1:46" hidden="1" x14ac:dyDescent="0.45">
      <c r="A946" s="556"/>
      <c r="B946" s="556"/>
      <c r="C946" s="556"/>
      <c r="D946" s="556"/>
      <c r="E946" s="556"/>
      <c r="F946" s="564"/>
      <c r="G946" s="564"/>
      <c r="H946" s="564"/>
      <c r="I946" s="564"/>
      <c r="J946" s="564"/>
      <c r="K946" s="564"/>
      <c r="L946" s="564"/>
      <c r="M946" s="564"/>
      <c r="N946" s="564"/>
      <c r="O946" s="564"/>
      <c r="P946" s="564"/>
      <c r="Q946" s="564"/>
      <c r="R946" s="564"/>
      <c r="S946" s="564"/>
      <c r="T946" s="564"/>
      <c r="U946" s="564"/>
      <c r="V946" s="564"/>
      <c r="W946" s="564"/>
      <c r="X946" s="564"/>
      <c r="Y946" s="564"/>
      <c r="Z946" s="564"/>
      <c r="AA946" s="564"/>
      <c r="AB946" s="556"/>
      <c r="AC946" s="556"/>
      <c r="AD946" s="74"/>
      <c r="AE946" s="74"/>
      <c r="AF946" s="74"/>
      <c r="AG946" s="74"/>
      <c r="AH946" s="74"/>
      <c r="AI946" s="74"/>
      <c r="AJ946" s="74"/>
      <c r="AK946" s="74"/>
      <c r="AL946" s="74"/>
      <c r="AM946" s="74"/>
      <c r="AN946" s="74"/>
      <c r="AO946" s="74"/>
      <c r="AP946" s="74"/>
      <c r="AQ946" s="74"/>
      <c r="AR946" s="74"/>
      <c r="AS946" s="565"/>
      <c r="AT946" s="556"/>
    </row>
    <row r="947" spans="1:46" hidden="1" x14ac:dyDescent="0.45">
      <c r="A947" s="556"/>
      <c r="B947" s="556"/>
      <c r="C947" s="556"/>
      <c r="D947" s="556"/>
      <c r="E947" s="556"/>
      <c r="F947" s="564"/>
      <c r="G947" s="564"/>
      <c r="H947" s="564"/>
      <c r="I947" s="564"/>
      <c r="J947" s="564"/>
      <c r="K947" s="564"/>
      <c r="L947" s="564"/>
      <c r="M947" s="564"/>
      <c r="N947" s="564"/>
      <c r="O947" s="564"/>
      <c r="P947" s="564"/>
      <c r="Q947" s="564"/>
      <c r="R947" s="564"/>
      <c r="S947" s="564"/>
      <c r="T947" s="564"/>
      <c r="U947" s="564"/>
      <c r="V947" s="564"/>
      <c r="W947" s="564"/>
      <c r="X947" s="564"/>
      <c r="Y947" s="564"/>
      <c r="Z947" s="564"/>
      <c r="AA947" s="564"/>
      <c r="AB947" s="556"/>
      <c r="AC947" s="556"/>
      <c r="AD947" s="74"/>
      <c r="AE947" s="74"/>
      <c r="AF947" s="74"/>
      <c r="AG947" s="74"/>
      <c r="AH947" s="74"/>
      <c r="AI947" s="74"/>
      <c r="AJ947" s="74"/>
      <c r="AK947" s="74"/>
      <c r="AL947" s="74"/>
      <c r="AM947" s="74"/>
      <c r="AN947" s="74"/>
      <c r="AO947" s="74"/>
      <c r="AP947" s="74"/>
      <c r="AQ947" s="74"/>
      <c r="AR947" s="74"/>
      <c r="AS947" s="565"/>
      <c r="AT947" s="556"/>
    </row>
    <row r="948" spans="1:46" hidden="1" x14ac:dyDescent="0.45">
      <c r="A948" s="556"/>
      <c r="B948" s="556"/>
      <c r="C948" s="556"/>
      <c r="D948" s="556"/>
      <c r="E948" s="556"/>
      <c r="F948" s="564"/>
      <c r="G948" s="564"/>
      <c r="H948" s="564"/>
      <c r="I948" s="564"/>
      <c r="J948" s="564"/>
      <c r="K948" s="564"/>
      <c r="L948" s="564"/>
      <c r="M948" s="564"/>
      <c r="N948" s="564"/>
      <c r="O948" s="564"/>
      <c r="P948" s="564"/>
      <c r="Q948" s="564"/>
      <c r="R948" s="564"/>
      <c r="S948" s="564"/>
      <c r="T948" s="564"/>
      <c r="U948" s="564"/>
      <c r="V948" s="564"/>
      <c r="W948" s="564"/>
      <c r="X948" s="564"/>
      <c r="Y948" s="564"/>
      <c r="Z948" s="564"/>
      <c r="AA948" s="564"/>
      <c r="AB948" s="556"/>
      <c r="AC948" s="556"/>
      <c r="AD948" s="74"/>
      <c r="AE948" s="74"/>
      <c r="AF948" s="74"/>
      <c r="AG948" s="74"/>
      <c r="AH948" s="74"/>
      <c r="AI948" s="74"/>
      <c r="AJ948" s="74"/>
      <c r="AK948" s="74"/>
      <c r="AL948" s="74"/>
      <c r="AM948" s="74"/>
      <c r="AN948" s="74"/>
      <c r="AO948" s="74"/>
      <c r="AP948" s="74"/>
      <c r="AQ948" s="74"/>
      <c r="AR948" s="74"/>
      <c r="AS948" s="565"/>
      <c r="AT948" s="556"/>
    </row>
    <row r="949" spans="1:46" hidden="1" x14ac:dyDescent="0.45">
      <c r="A949" s="556"/>
      <c r="B949" s="556"/>
      <c r="C949" s="556"/>
      <c r="D949" s="556"/>
      <c r="E949" s="556"/>
      <c r="F949" s="564"/>
      <c r="G949" s="564"/>
      <c r="H949" s="564"/>
      <c r="I949" s="564"/>
      <c r="J949" s="564"/>
      <c r="K949" s="564"/>
      <c r="L949" s="564"/>
      <c r="M949" s="564"/>
      <c r="N949" s="564"/>
      <c r="O949" s="564"/>
      <c r="P949" s="564"/>
      <c r="Q949" s="564"/>
      <c r="R949" s="564"/>
      <c r="S949" s="564"/>
      <c r="T949" s="564"/>
      <c r="U949" s="564"/>
      <c r="V949" s="564"/>
      <c r="W949" s="564"/>
      <c r="X949" s="564"/>
      <c r="Y949" s="564"/>
      <c r="Z949" s="564"/>
      <c r="AA949" s="564"/>
      <c r="AB949" s="556"/>
      <c r="AC949" s="556"/>
      <c r="AD949" s="74"/>
      <c r="AE949" s="74"/>
      <c r="AF949" s="74"/>
      <c r="AG949" s="74"/>
      <c r="AH949" s="74"/>
      <c r="AI949" s="74"/>
      <c r="AJ949" s="74"/>
      <c r="AK949" s="74"/>
      <c r="AL949" s="74"/>
      <c r="AM949" s="74"/>
      <c r="AN949" s="74"/>
      <c r="AO949" s="74"/>
      <c r="AP949" s="74"/>
      <c r="AQ949" s="74"/>
      <c r="AR949" s="74"/>
      <c r="AS949" s="565"/>
      <c r="AT949" s="556"/>
    </row>
    <row r="950" spans="1:46" hidden="1" x14ac:dyDescent="0.45">
      <c r="A950" s="556"/>
      <c r="B950" s="556"/>
      <c r="C950" s="556"/>
      <c r="D950" s="556"/>
      <c r="E950" s="556"/>
      <c r="F950" s="564"/>
      <c r="G950" s="564"/>
      <c r="H950" s="564"/>
      <c r="I950" s="564"/>
      <c r="J950" s="564"/>
      <c r="K950" s="564"/>
      <c r="L950" s="564"/>
      <c r="M950" s="564"/>
      <c r="N950" s="564"/>
      <c r="O950" s="564"/>
      <c r="P950" s="564"/>
      <c r="Q950" s="564"/>
      <c r="R950" s="564"/>
      <c r="S950" s="564"/>
      <c r="T950" s="564"/>
      <c r="U950" s="564"/>
      <c r="V950" s="564"/>
      <c r="W950" s="564"/>
      <c r="X950" s="564"/>
      <c r="Y950" s="564"/>
      <c r="Z950" s="564"/>
      <c r="AA950" s="564"/>
      <c r="AB950" s="556"/>
      <c r="AC950" s="556"/>
      <c r="AD950" s="74"/>
      <c r="AE950" s="74"/>
      <c r="AF950" s="74"/>
      <c r="AG950" s="74"/>
      <c r="AH950" s="74"/>
      <c r="AI950" s="74"/>
      <c r="AJ950" s="74"/>
      <c r="AK950" s="74"/>
      <c r="AL950" s="74"/>
      <c r="AM950" s="74"/>
      <c r="AN950" s="74"/>
      <c r="AO950" s="74"/>
      <c r="AP950" s="74"/>
      <c r="AQ950" s="74"/>
      <c r="AR950" s="74"/>
      <c r="AS950" s="565"/>
      <c r="AT950" s="556"/>
    </row>
    <row r="951" spans="1:46" hidden="1" x14ac:dyDescent="0.45">
      <c r="A951" s="556"/>
      <c r="B951" s="556"/>
      <c r="C951" s="556"/>
      <c r="D951" s="556"/>
      <c r="E951" s="556"/>
      <c r="F951" s="564"/>
      <c r="G951" s="564"/>
      <c r="H951" s="564"/>
      <c r="I951" s="564"/>
      <c r="J951" s="564"/>
      <c r="K951" s="564"/>
      <c r="L951" s="564"/>
      <c r="M951" s="564"/>
      <c r="N951" s="564"/>
      <c r="O951" s="564"/>
      <c r="P951" s="564"/>
      <c r="Q951" s="564"/>
      <c r="R951" s="564"/>
      <c r="S951" s="564"/>
      <c r="T951" s="564"/>
      <c r="U951" s="564"/>
      <c r="V951" s="564"/>
      <c r="W951" s="564"/>
      <c r="X951" s="564"/>
      <c r="Y951" s="564"/>
      <c r="Z951" s="564"/>
      <c r="AA951" s="564"/>
      <c r="AB951" s="556"/>
      <c r="AC951" s="556"/>
      <c r="AD951" s="74"/>
      <c r="AE951" s="74"/>
      <c r="AF951" s="74"/>
      <c r="AG951" s="74"/>
      <c r="AH951" s="74"/>
      <c r="AI951" s="74"/>
      <c r="AJ951" s="74"/>
      <c r="AK951" s="74"/>
      <c r="AL951" s="74"/>
      <c r="AM951" s="74"/>
      <c r="AN951" s="74"/>
      <c r="AO951" s="74"/>
      <c r="AP951" s="74"/>
      <c r="AQ951" s="74"/>
      <c r="AR951" s="74"/>
      <c r="AS951" s="565"/>
      <c r="AT951" s="556"/>
    </row>
    <row r="952" spans="1:46" hidden="1" x14ac:dyDescent="0.45">
      <c r="A952" s="556"/>
      <c r="B952" s="556"/>
      <c r="C952" s="556"/>
      <c r="D952" s="556"/>
      <c r="E952" s="556"/>
      <c r="F952" s="564"/>
      <c r="G952" s="564"/>
      <c r="H952" s="564"/>
      <c r="I952" s="564"/>
      <c r="J952" s="564"/>
      <c r="K952" s="564"/>
      <c r="L952" s="564"/>
      <c r="M952" s="564"/>
      <c r="N952" s="564"/>
      <c r="O952" s="564"/>
      <c r="P952" s="564"/>
      <c r="Q952" s="564"/>
      <c r="R952" s="564"/>
      <c r="S952" s="564"/>
      <c r="T952" s="564"/>
      <c r="U952" s="564"/>
      <c r="V952" s="564"/>
      <c r="W952" s="564"/>
      <c r="X952" s="564"/>
      <c r="Y952" s="564"/>
      <c r="Z952" s="564"/>
      <c r="AA952" s="564"/>
      <c r="AB952" s="556"/>
      <c r="AC952" s="556"/>
      <c r="AD952" s="74"/>
      <c r="AE952" s="74"/>
      <c r="AF952" s="74"/>
      <c r="AG952" s="74"/>
      <c r="AH952" s="74"/>
      <c r="AI952" s="74"/>
      <c r="AJ952" s="74"/>
      <c r="AK952" s="74"/>
      <c r="AL952" s="74"/>
      <c r="AM952" s="74"/>
      <c r="AN952" s="74"/>
      <c r="AO952" s="74"/>
      <c r="AP952" s="74"/>
      <c r="AQ952" s="74"/>
      <c r="AR952" s="74"/>
      <c r="AS952" s="565"/>
      <c r="AT952" s="556"/>
    </row>
    <row r="953" spans="1:46" hidden="1" x14ac:dyDescent="0.45">
      <c r="A953" s="556"/>
      <c r="B953" s="556"/>
      <c r="C953" s="556"/>
      <c r="D953" s="556"/>
      <c r="E953" s="556"/>
      <c r="F953" s="564"/>
      <c r="G953" s="564"/>
      <c r="H953" s="564"/>
      <c r="I953" s="564"/>
      <c r="J953" s="564"/>
      <c r="K953" s="564"/>
      <c r="L953" s="564"/>
      <c r="M953" s="564"/>
      <c r="N953" s="564"/>
      <c r="O953" s="564"/>
      <c r="P953" s="564"/>
      <c r="Q953" s="564"/>
      <c r="R953" s="564"/>
      <c r="S953" s="564"/>
      <c r="T953" s="564"/>
      <c r="U953" s="564"/>
      <c r="V953" s="564"/>
      <c r="W953" s="564"/>
      <c r="X953" s="564"/>
      <c r="Y953" s="564"/>
      <c r="Z953" s="564"/>
      <c r="AA953" s="564"/>
      <c r="AB953" s="556"/>
      <c r="AC953" s="556"/>
      <c r="AD953" s="74"/>
      <c r="AE953" s="74"/>
      <c r="AF953" s="74"/>
      <c r="AG953" s="74"/>
      <c r="AH953" s="74"/>
      <c r="AI953" s="74"/>
      <c r="AJ953" s="74"/>
      <c r="AK953" s="74"/>
      <c r="AL953" s="74"/>
      <c r="AM953" s="74"/>
      <c r="AN953" s="74"/>
      <c r="AO953" s="74"/>
      <c r="AP953" s="74"/>
      <c r="AQ953" s="74"/>
      <c r="AR953" s="74"/>
      <c r="AS953" s="565"/>
      <c r="AT953" s="556"/>
    </row>
    <row r="954" spans="1:46" hidden="1" x14ac:dyDescent="0.45">
      <c r="A954" s="556"/>
      <c r="B954" s="556"/>
      <c r="C954" s="556"/>
      <c r="D954" s="556"/>
      <c r="E954" s="556"/>
      <c r="F954" s="564"/>
      <c r="G954" s="564"/>
      <c r="H954" s="564"/>
      <c r="I954" s="564"/>
      <c r="J954" s="564"/>
      <c r="K954" s="564"/>
      <c r="L954" s="564"/>
      <c r="M954" s="564"/>
      <c r="N954" s="564"/>
      <c r="O954" s="564"/>
      <c r="P954" s="564"/>
      <c r="Q954" s="564"/>
      <c r="R954" s="564"/>
      <c r="S954" s="564"/>
      <c r="T954" s="564"/>
      <c r="U954" s="564"/>
      <c r="V954" s="564"/>
      <c r="W954" s="564"/>
      <c r="X954" s="564"/>
      <c r="Y954" s="564"/>
      <c r="Z954" s="564"/>
      <c r="AA954" s="564"/>
      <c r="AB954" s="556"/>
      <c r="AC954" s="556"/>
      <c r="AD954" s="74"/>
      <c r="AE954" s="74"/>
      <c r="AF954" s="74"/>
      <c r="AG954" s="74"/>
      <c r="AH954" s="74"/>
      <c r="AI954" s="74"/>
      <c r="AJ954" s="74"/>
      <c r="AK954" s="74"/>
      <c r="AL954" s="74"/>
      <c r="AM954" s="74"/>
      <c r="AN954" s="74"/>
      <c r="AO954" s="74"/>
      <c r="AP954" s="74"/>
      <c r="AQ954" s="74"/>
      <c r="AR954" s="74"/>
      <c r="AS954" s="565"/>
      <c r="AT954" s="556"/>
    </row>
    <row r="955" spans="1:46" hidden="1" x14ac:dyDescent="0.45">
      <c r="A955" s="556"/>
      <c r="B955" s="556"/>
      <c r="C955" s="556"/>
      <c r="D955" s="556"/>
      <c r="E955" s="556"/>
      <c r="F955" s="564"/>
      <c r="G955" s="564"/>
      <c r="H955" s="564"/>
      <c r="I955" s="564"/>
      <c r="J955" s="564"/>
      <c r="K955" s="564"/>
      <c r="L955" s="564"/>
      <c r="M955" s="564"/>
      <c r="N955" s="564"/>
      <c r="O955" s="564"/>
      <c r="P955" s="564"/>
      <c r="Q955" s="564"/>
      <c r="R955" s="564"/>
      <c r="S955" s="564"/>
      <c r="T955" s="564"/>
      <c r="U955" s="564"/>
      <c r="V955" s="564"/>
      <c r="W955" s="564"/>
      <c r="X955" s="564"/>
      <c r="Y955" s="564"/>
      <c r="Z955" s="564"/>
      <c r="AA955" s="564"/>
      <c r="AB955" s="556"/>
      <c r="AC955" s="556"/>
      <c r="AD955" s="74"/>
      <c r="AE955" s="74"/>
      <c r="AF955" s="74"/>
      <c r="AG955" s="74"/>
      <c r="AH955" s="74"/>
      <c r="AI955" s="74"/>
      <c r="AJ955" s="74"/>
      <c r="AK955" s="74"/>
      <c r="AL955" s="74"/>
      <c r="AM955" s="74"/>
      <c r="AN955" s="74"/>
      <c r="AO955" s="74"/>
      <c r="AP955" s="74"/>
      <c r="AQ955" s="74"/>
      <c r="AR955" s="74"/>
      <c r="AS955" s="565"/>
      <c r="AT955" s="556"/>
    </row>
    <row r="956" spans="1:46" hidden="1" x14ac:dyDescent="0.45">
      <c r="A956" s="556"/>
      <c r="B956" s="556"/>
      <c r="C956" s="556"/>
      <c r="D956" s="556"/>
      <c r="E956" s="556"/>
      <c r="F956" s="564"/>
      <c r="G956" s="564"/>
      <c r="H956" s="564"/>
      <c r="I956" s="564"/>
      <c r="J956" s="564"/>
      <c r="K956" s="564"/>
      <c r="L956" s="564"/>
      <c r="M956" s="564"/>
      <c r="N956" s="564"/>
      <c r="O956" s="564"/>
      <c r="P956" s="564"/>
      <c r="Q956" s="564"/>
      <c r="R956" s="564"/>
      <c r="S956" s="564"/>
      <c r="T956" s="564"/>
      <c r="U956" s="564"/>
      <c r="V956" s="564"/>
      <c r="W956" s="564"/>
      <c r="X956" s="564"/>
      <c r="Y956" s="564"/>
      <c r="Z956" s="564"/>
      <c r="AA956" s="564"/>
      <c r="AB956" s="556"/>
      <c r="AC956" s="556"/>
      <c r="AD956" s="74"/>
      <c r="AE956" s="74"/>
      <c r="AF956" s="74"/>
      <c r="AG956" s="74"/>
      <c r="AH956" s="74"/>
      <c r="AI956" s="74"/>
      <c r="AJ956" s="74"/>
      <c r="AK956" s="74"/>
      <c r="AL956" s="74"/>
      <c r="AM956" s="74"/>
      <c r="AN956" s="74"/>
      <c r="AO956" s="74"/>
      <c r="AP956" s="74"/>
      <c r="AQ956" s="74"/>
      <c r="AR956" s="74"/>
      <c r="AS956" s="565"/>
      <c r="AT956" s="556"/>
    </row>
    <row r="957" spans="1:46" hidden="1" x14ac:dyDescent="0.45">
      <c r="A957" s="556"/>
      <c r="B957" s="556"/>
      <c r="C957" s="556"/>
      <c r="D957" s="556"/>
      <c r="E957" s="556"/>
      <c r="F957" s="564"/>
      <c r="G957" s="564"/>
      <c r="H957" s="564"/>
      <c r="I957" s="564"/>
      <c r="J957" s="564"/>
      <c r="K957" s="564"/>
      <c r="L957" s="564"/>
      <c r="M957" s="564"/>
      <c r="N957" s="564"/>
      <c r="O957" s="564"/>
      <c r="P957" s="564"/>
      <c r="Q957" s="564"/>
      <c r="R957" s="564"/>
      <c r="S957" s="564"/>
      <c r="T957" s="564"/>
      <c r="U957" s="564"/>
      <c r="V957" s="564"/>
      <c r="W957" s="564"/>
      <c r="X957" s="564"/>
      <c r="Y957" s="564"/>
      <c r="Z957" s="564"/>
      <c r="AA957" s="564"/>
      <c r="AB957" s="556"/>
      <c r="AC957" s="556"/>
      <c r="AD957" s="74"/>
      <c r="AE957" s="74"/>
      <c r="AF957" s="74"/>
      <c r="AG957" s="74"/>
      <c r="AH957" s="74"/>
      <c r="AI957" s="74"/>
      <c r="AJ957" s="74"/>
      <c r="AK957" s="74"/>
      <c r="AL957" s="74"/>
      <c r="AM957" s="74"/>
      <c r="AN957" s="74"/>
      <c r="AO957" s="74"/>
      <c r="AP957" s="74"/>
      <c r="AQ957" s="74"/>
      <c r="AR957" s="74"/>
      <c r="AS957" s="565"/>
      <c r="AT957" s="556"/>
    </row>
    <row r="958" spans="1:46" hidden="1" x14ac:dyDescent="0.45">
      <c r="A958" s="556"/>
      <c r="B958" s="556"/>
      <c r="C958" s="556"/>
      <c r="D958" s="556"/>
      <c r="E958" s="556"/>
      <c r="F958" s="564"/>
      <c r="G958" s="564"/>
      <c r="H958" s="564"/>
      <c r="I958" s="564"/>
      <c r="J958" s="564"/>
      <c r="K958" s="564"/>
      <c r="L958" s="564"/>
      <c r="M958" s="564"/>
      <c r="N958" s="564"/>
      <c r="O958" s="564"/>
      <c r="P958" s="564"/>
      <c r="Q958" s="564"/>
      <c r="R958" s="564"/>
      <c r="S958" s="564"/>
      <c r="T958" s="564"/>
      <c r="U958" s="564"/>
      <c r="V958" s="564"/>
      <c r="W958" s="564"/>
      <c r="X958" s="564"/>
      <c r="Y958" s="564"/>
      <c r="Z958" s="564"/>
      <c r="AA958" s="564"/>
      <c r="AB958" s="556"/>
      <c r="AC958" s="556"/>
      <c r="AD958" s="74"/>
      <c r="AE958" s="74"/>
      <c r="AF958" s="74"/>
      <c r="AG958" s="74"/>
      <c r="AH958" s="74"/>
      <c r="AI958" s="74"/>
      <c r="AJ958" s="74"/>
      <c r="AK958" s="74"/>
      <c r="AL958" s="74"/>
      <c r="AM958" s="74"/>
      <c r="AN958" s="74"/>
      <c r="AO958" s="74"/>
      <c r="AP958" s="74"/>
      <c r="AQ958" s="74"/>
      <c r="AR958" s="74"/>
      <c r="AS958" s="565"/>
      <c r="AT958" s="556"/>
    </row>
    <row r="959" spans="1:46" hidden="1" x14ac:dyDescent="0.45">
      <c r="A959" s="556"/>
      <c r="B959" s="556"/>
      <c r="C959" s="556"/>
      <c r="D959" s="556"/>
      <c r="E959" s="556"/>
      <c r="F959" s="564"/>
      <c r="G959" s="564"/>
      <c r="H959" s="564"/>
      <c r="I959" s="564"/>
      <c r="J959" s="564"/>
      <c r="K959" s="564"/>
      <c r="L959" s="564"/>
      <c r="M959" s="564"/>
      <c r="N959" s="564"/>
      <c r="O959" s="564"/>
      <c r="P959" s="564"/>
      <c r="Q959" s="564"/>
      <c r="R959" s="564"/>
      <c r="S959" s="564"/>
      <c r="T959" s="564"/>
      <c r="U959" s="564"/>
      <c r="V959" s="564"/>
      <c r="W959" s="564"/>
      <c r="X959" s="564"/>
      <c r="Y959" s="564"/>
      <c r="Z959" s="564"/>
      <c r="AA959" s="564"/>
      <c r="AB959" s="556"/>
      <c r="AC959" s="556"/>
      <c r="AD959" s="74"/>
      <c r="AE959" s="74"/>
      <c r="AF959" s="74"/>
      <c r="AG959" s="74"/>
      <c r="AH959" s="74"/>
      <c r="AI959" s="74"/>
      <c r="AJ959" s="74"/>
      <c r="AK959" s="74"/>
      <c r="AL959" s="74"/>
      <c r="AM959" s="74"/>
      <c r="AN959" s="74"/>
      <c r="AO959" s="74"/>
      <c r="AP959" s="74"/>
      <c r="AQ959" s="74"/>
      <c r="AR959" s="74"/>
      <c r="AS959" s="565"/>
      <c r="AT959" s="556"/>
    </row>
    <row r="960" spans="1:46" hidden="1" x14ac:dyDescent="0.45">
      <c r="A960" s="556"/>
      <c r="B960" s="556"/>
      <c r="C960" s="556"/>
      <c r="D960" s="556"/>
      <c r="E960" s="556"/>
      <c r="F960" s="564"/>
      <c r="G960" s="564"/>
      <c r="H960" s="564"/>
      <c r="I960" s="564"/>
      <c r="J960" s="564"/>
      <c r="K960" s="564"/>
      <c r="L960" s="564"/>
      <c r="M960" s="564"/>
      <c r="N960" s="564"/>
      <c r="O960" s="564"/>
      <c r="P960" s="564"/>
      <c r="Q960" s="564"/>
      <c r="R960" s="564"/>
      <c r="S960" s="564"/>
      <c r="T960" s="564"/>
      <c r="U960" s="564"/>
      <c r="V960" s="564"/>
      <c r="W960" s="564"/>
      <c r="X960" s="564"/>
      <c r="Y960" s="564"/>
      <c r="Z960" s="564"/>
      <c r="AA960" s="564"/>
      <c r="AB960" s="556"/>
      <c r="AC960" s="556"/>
      <c r="AD960" s="74"/>
      <c r="AE960" s="74"/>
      <c r="AF960" s="74"/>
      <c r="AG960" s="74"/>
      <c r="AH960" s="74"/>
      <c r="AI960" s="74"/>
      <c r="AJ960" s="74"/>
      <c r="AK960" s="74"/>
      <c r="AL960" s="74"/>
      <c r="AM960" s="74"/>
      <c r="AN960" s="74"/>
      <c r="AO960" s="74"/>
      <c r="AP960" s="74"/>
      <c r="AQ960" s="74"/>
      <c r="AR960" s="74"/>
      <c r="AS960" s="565"/>
      <c r="AT960" s="556"/>
    </row>
    <row r="961" spans="1:46" hidden="1" x14ac:dyDescent="0.45">
      <c r="A961" s="556"/>
      <c r="B961" s="556"/>
      <c r="C961" s="556"/>
      <c r="D961" s="556"/>
      <c r="E961" s="556"/>
      <c r="F961" s="564"/>
      <c r="G961" s="564"/>
      <c r="H961" s="564"/>
      <c r="I961" s="564"/>
      <c r="J961" s="564"/>
      <c r="K961" s="564"/>
      <c r="L961" s="564"/>
      <c r="M961" s="564"/>
      <c r="N961" s="564"/>
      <c r="O961" s="564"/>
      <c r="P961" s="564"/>
      <c r="Q961" s="564"/>
      <c r="R961" s="564"/>
      <c r="S961" s="564"/>
      <c r="T961" s="564"/>
      <c r="U961" s="564"/>
      <c r="V961" s="564"/>
      <c r="W961" s="564"/>
      <c r="X961" s="564"/>
      <c r="Y961" s="564"/>
      <c r="Z961" s="564"/>
      <c r="AA961" s="564"/>
      <c r="AB961" s="556"/>
      <c r="AC961" s="556"/>
      <c r="AD961" s="74"/>
      <c r="AE961" s="74"/>
      <c r="AF961" s="74"/>
      <c r="AG961" s="74"/>
      <c r="AH961" s="74"/>
      <c r="AI961" s="74"/>
      <c r="AJ961" s="74"/>
      <c r="AK961" s="74"/>
      <c r="AL961" s="74"/>
      <c r="AM961" s="74"/>
      <c r="AN961" s="74"/>
      <c r="AO961" s="74"/>
      <c r="AP961" s="74"/>
      <c r="AQ961" s="74"/>
      <c r="AR961" s="74"/>
      <c r="AS961" s="565"/>
      <c r="AT961" s="556"/>
    </row>
    <row r="962" spans="1:46" hidden="1" x14ac:dyDescent="0.45">
      <c r="A962" s="556"/>
      <c r="B962" s="556"/>
      <c r="C962" s="556"/>
      <c r="D962" s="556"/>
      <c r="E962" s="556"/>
      <c r="F962" s="564"/>
      <c r="G962" s="564"/>
      <c r="H962" s="564"/>
      <c r="I962" s="564"/>
      <c r="J962" s="564"/>
      <c r="K962" s="564"/>
      <c r="L962" s="564"/>
      <c r="M962" s="564"/>
      <c r="N962" s="564"/>
      <c r="O962" s="564"/>
      <c r="P962" s="564"/>
      <c r="Q962" s="564"/>
      <c r="R962" s="564"/>
      <c r="S962" s="564"/>
      <c r="T962" s="564"/>
      <c r="U962" s="564"/>
      <c r="V962" s="564"/>
      <c r="W962" s="564"/>
      <c r="X962" s="564"/>
      <c r="Y962" s="564"/>
      <c r="Z962" s="564"/>
      <c r="AA962" s="564"/>
      <c r="AB962" s="556"/>
      <c r="AC962" s="556"/>
      <c r="AD962" s="74"/>
      <c r="AE962" s="74"/>
      <c r="AF962" s="74"/>
      <c r="AG962" s="74"/>
      <c r="AH962" s="74"/>
      <c r="AI962" s="74"/>
      <c r="AJ962" s="74"/>
      <c r="AK962" s="74"/>
      <c r="AL962" s="74"/>
      <c r="AM962" s="74"/>
      <c r="AN962" s="74"/>
      <c r="AO962" s="74"/>
      <c r="AP962" s="74"/>
      <c r="AQ962" s="74"/>
      <c r="AR962" s="74"/>
      <c r="AS962" s="565"/>
      <c r="AT962" s="556"/>
    </row>
    <row r="963" spans="1:46" hidden="1" x14ac:dyDescent="0.45">
      <c r="A963" s="556"/>
      <c r="B963" s="556"/>
      <c r="C963" s="556"/>
      <c r="D963" s="556"/>
      <c r="E963" s="556"/>
      <c r="F963" s="564"/>
      <c r="G963" s="564"/>
      <c r="H963" s="564"/>
      <c r="I963" s="564"/>
      <c r="J963" s="564"/>
      <c r="K963" s="564"/>
      <c r="L963" s="564"/>
      <c r="M963" s="564"/>
      <c r="N963" s="564"/>
      <c r="O963" s="564"/>
      <c r="P963" s="564"/>
      <c r="Q963" s="564"/>
      <c r="R963" s="564"/>
      <c r="S963" s="564"/>
      <c r="T963" s="564"/>
      <c r="U963" s="564"/>
      <c r="V963" s="564"/>
      <c r="W963" s="564"/>
      <c r="X963" s="564"/>
      <c r="Y963" s="564"/>
      <c r="Z963" s="564"/>
      <c r="AA963" s="564"/>
      <c r="AB963" s="556"/>
      <c r="AC963" s="556"/>
      <c r="AD963" s="74"/>
      <c r="AE963" s="74"/>
      <c r="AF963" s="74"/>
      <c r="AG963" s="74"/>
      <c r="AH963" s="74"/>
      <c r="AI963" s="74"/>
      <c r="AJ963" s="74"/>
      <c r="AK963" s="74"/>
      <c r="AL963" s="74"/>
      <c r="AM963" s="74"/>
      <c r="AN963" s="74"/>
      <c r="AO963" s="74"/>
      <c r="AP963" s="74"/>
      <c r="AQ963" s="74"/>
      <c r="AR963" s="74"/>
      <c r="AS963" s="565"/>
      <c r="AT963" s="556"/>
    </row>
    <row r="964" spans="1:46" hidden="1" x14ac:dyDescent="0.45">
      <c r="A964" s="556"/>
      <c r="B964" s="556"/>
      <c r="C964" s="556"/>
      <c r="D964" s="556"/>
      <c r="E964" s="556"/>
      <c r="F964" s="564"/>
      <c r="G964" s="564"/>
      <c r="H964" s="564"/>
      <c r="I964" s="564"/>
      <c r="J964" s="564"/>
      <c r="K964" s="564"/>
      <c r="L964" s="564"/>
      <c r="M964" s="564"/>
      <c r="N964" s="564"/>
      <c r="O964" s="564"/>
      <c r="P964" s="564"/>
      <c r="Q964" s="564"/>
      <c r="R964" s="564"/>
      <c r="S964" s="564"/>
      <c r="T964" s="564"/>
      <c r="U964" s="564"/>
      <c r="V964" s="564"/>
      <c r="W964" s="564"/>
      <c r="X964" s="564"/>
      <c r="Y964" s="564"/>
      <c r="Z964" s="564"/>
      <c r="AA964" s="564"/>
      <c r="AB964" s="556"/>
      <c r="AC964" s="556"/>
      <c r="AD964" s="74"/>
      <c r="AE964" s="74"/>
      <c r="AF964" s="74"/>
      <c r="AG964" s="74"/>
      <c r="AH964" s="74"/>
      <c r="AI964" s="74"/>
      <c r="AJ964" s="74"/>
      <c r="AK964" s="74"/>
      <c r="AL964" s="74"/>
      <c r="AM964" s="74"/>
      <c r="AN964" s="74"/>
      <c r="AO964" s="74"/>
      <c r="AP964" s="74"/>
      <c r="AQ964" s="74"/>
      <c r="AR964" s="74"/>
      <c r="AS964" s="565"/>
      <c r="AT964" s="556"/>
    </row>
    <row r="965" spans="1:46" hidden="1" x14ac:dyDescent="0.45">
      <c r="A965" s="556"/>
      <c r="B965" s="556"/>
      <c r="C965" s="556"/>
      <c r="D965" s="556"/>
      <c r="E965" s="556"/>
      <c r="F965" s="564"/>
      <c r="G965" s="564"/>
      <c r="H965" s="564"/>
      <c r="I965" s="564"/>
      <c r="J965" s="564"/>
      <c r="K965" s="564"/>
      <c r="L965" s="564"/>
      <c r="M965" s="564"/>
      <c r="N965" s="564"/>
      <c r="O965" s="564"/>
      <c r="P965" s="564"/>
      <c r="Q965" s="564"/>
      <c r="R965" s="564"/>
      <c r="S965" s="564"/>
      <c r="T965" s="564"/>
      <c r="U965" s="564"/>
      <c r="V965" s="564"/>
      <c r="W965" s="564"/>
      <c r="X965" s="564"/>
      <c r="Y965" s="564"/>
      <c r="Z965" s="564"/>
      <c r="AA965" s="564"/>
      <c r="AB965" s="556"/>
      <c r="AC965" s="556"/>
      <c r="AD965" s="74"/>
      <c r="AE965" s="74"/>
      <c r="AF965" s="74"/>
      <c r="AG965" s="74"/>
      <c r="AH965" s="74"/>
      <c r="AI965" s="74"/>
      <c r="AJ965" s="74"/>
      <c r="AK965" s="74"/>
      <c r="AL965" s="74"/>
      <c r="AM965" s="74"/>
      <c r="AN965" s="74"/>
      <c r="AO965" s="74"/>
      <c r="AP965" s="74"/>
      <c r="AQ965" s="74"/>
      <c r="AR965" s="74"/>
      <c r="AS965" s="565"/>
      <c r="AT965" s="556"/>
    </row>
    <row r="966" spans="1:46" hidden="1" x14ac:dyDescent="0.45">
      <c r="A966" s="556"/>
      <c r="B966" s="556"/>
      <c r="C966" s="556"/>
      <c r="D966" s="556"/>
      <c r="E966" s="556"/>
      <c r="F966" s="564"/>
      <c r="G966" s="564"/>
      <c r="H966" s="564"/>
      <c r="I966" s="564"/>
      <c r="J966" s="564"/>
      <c r="K966" s="564"/>
      <c r="L966" s="564"/>
      <c r="M966" s="564"/>
      <c r="N966" s="564"/>
      <c r="O966" s="564"/>
      <c r="P966" s="564"/>
      <c r="Q966" s="564"/>
      <c r="R966" s="564"/>
      <c r="S966" s="564"/>
      <c r="T966" s="564"/>
      <c r="U966" s="564"/>
      <c r="V966" s="564"/>
      <c r="W966" s="564"/>
      <c r="X966" s="564"/>
      <c r="Y966" s="564"/>
      <c r="Z966" s="564"/>
      <c r="AA966" s="564"/>
      <c r="AB966" s="556"/>
      <c r="AC966" s="556"/>
      <c r="AD966" s="74"/>
      <c r="AE966" s="74"/>
      <c r="AF966" s="74"/>
      <c r="AG966" s="74"/>
      <c r="AH966" s="74"/>
      <c r="AI966" s="74"/>
      <c r="AJ966" s="74"/>
      <c r="AK966" s="74"/>
      <c r="AL966" s="74"/>
      <c r="AM966" s="74"/>
      <c r="AN966" s="74"/>
      <c r="AO966" s="74"/>
      <c r="AP966" s="74"/>
      <c r="AQ966" s="74"/>
      <c r="AR966" s="74"/>
      <c r="AS966" s="565"/>
      <c r="AT966" s="556"/>
    </row>
    <row r="967" spans="1:46" hidden="1" x14ac:dyDescent="0.45">
      <c r="A967" s="556"/>
      <c r="B967" s="556"/>
      <c r="C967" s="556"/>
      <c r="D967" s="556"/>
      <c r="E967" s="556"/>
      <c r="F967" s="564"/>
      <c r="G967" s="564"/>
      <c r="H967" s="564"/>
      <c r="I967" s="564"/>
      <c r="J967" s="564"/>
      <c r="K967" s="564"/>
      <c r="L967" s="564"/>
      <c r="M967" s="564"/>
      <c r="N967" s="564"/>
      <c r="O967" s="564"/>
      <c r="P967" s="564"/>
      <c r="Q967" s="564"/>
      <c r="R967" s="564"/>
      <c r="S967" s="564"/>
      <c r="T967" s="564"/>
      <c r="U967" s="564"/>
      <c r="V967" s="564"/>
      <c r="W967" s="564"/>
      <c r="X967" s="564"/>
      <c r="Y967" s="564"/>
      <c r="Z967" s="564"/>
      <c r="AA967" s="564"/>
      <c r="AB967" s="556"/>
      <c r="AC967" s="556"/>
      <c r="AD967" s="74"/>
      <c r="AE967" s="74"/>
      <c r="AF967" s="74"/>
      <c r="AG967" s="74"/>
      <c r="AH967" s="74"/>
      <c r="AI967" s="74"/>
      <c r="AJ967" s="74"/>
      <c r="AK967" s="74"/>
      <c r="AL967" s="74"/>
      <c r="AM967" s="74"/>
      <c r="AN967" s="74"/>
      <c r="AO967" s="74"/>
      <c r="AP967" s="74"/>
      <c r="AQ967" s="74"/>
      <c r="AR967" s="74"/>
      <c r="AS967" s="565"/>
      <c r="AT967" s="556"/>
    </row>
    <row r="968" spans="1:46" hidden="1" x14ac:dyDescent="0.45">
      <c r="A968" s="556"/>
      <c r="B968" s="556"/>
      <c r="C968" s="556"/>
      <c r="D968" s="556"/>
      <c r="E968" s="556"/>
      <c r="F968" s="564"/>
      <c r="G968" s="564"/>
      <c r="H968" s="564"/>
      <c r="I968" s="564"/>
      <c r="J968" s="564"/>
      <c r="K968" s="564"/>
      <c r="L968" s="564"/>
      <c r="M968" s="564"/>
      <c r="N968" s="564"/>
      <c r="O968" s="564"/>
      <c r="P968" s="564"/>
      <c r="Q968" s="564"/>
      <c r="R968" s="564"/>
      <c r="S968" s="564"/>
      <c r="T968" s="564"/>
      <c r="U968" s="564"/>
      <c r="V968" s="564"/>
      <c r="W968" s="564"/>
      <c r="X968" s="564"/>
      <c r="Y968" s="564"/>
      <c r="Z968" s="564"/>
      <c r="AA968" s="564"/>
      <c r="AB968" s="556"/>
      <c r="AC968" s="556"/>
      <c r="AD968" s="74"/>
      <c r="AE968" s="74"/>
      <c r="AF968" s="74"/>
      <c r="AG968" s="74"/>
      <c r="AH968" s="74"/>
      <c r="AI968" s="74"/>
      <c r="AJ968" s="74"/>
      <c r="AK968" s="74"/>
      <c r="AL968" s="74"/>
      <c r="AM968" s="74"/>
      <c r="AN968" s="74"/>
      <c r="AO968" s="74"/>
      <c r="AP968" s="74"/>
      <c r="AQ968" s="74"/>
      <c r="AR968" s="74"/>
      <c r="AS968" s="565"/>
      <c r="AT968" s="556"/>
    </row>
    <row r="969" spans="1:46" hidden="1" x14ac:dyDescent="0.45">
      <c r="A969" s="556"/>
      <c r="B969" s="556"/>
      <c r="C969" s="556"/>
      <c r="D969" s="556"/>
      <c r="E969" s="556"/>
      <c r="F969" s="564"/>
      <c r="G969" s="564"/>
      <c r="H969" s="564"/>
      <c r="I969" s="564"/>
      <c r="J969" s="564"/>
      <c r="K969" s="564"/>
      <c r="L969" s="564"/>
      <c r="M969" s="564"/>
      <c r="N969" s="564"/>
      <c r="O969" s="564"/>
      <c r="P969" s="564"/>
      <c r="Q969" s="564"/>
      <c r="R969" s="564"/>
      <c r="S969" s="564"/>
      <c r="T969" s="564"/>
      <c r="U969" s="564"/>
      <c r="V969" s="564"/>
      <c r="W969" s="564"/>
      <c r="X969" s="564"/>
      <c r="Y969" s="564"/>
      <c r="Z969" s="564"/>
      <c r="AA969" s="564"/>
      <c r="AB969" s="556"/>
      <c r="AC969" s="556"/>
      <c r="AD969" s="74"/>
      <c r="AE969" s="74"/>
      <c r="AF969" s="74"/>
      <c r="AG969" s="74"/>
      <c r="AH969" s="74"/>
      <c r="AI969" s="74"/>
      <c r="AJ969" s="74"/>
      <c r="AK969" s="74"/>
      <c r="AL969" s="74"/>
      <c r="AM969" s="74"/>
      <c r="AN969" s="74"/>
      <c r="AO969" s="74"/>
      <c r="AP969" s="74"/>
      <c r="AQ969" s="74"/>
      <c r="AR969" s="74"/>
      <c r="AS969" s="565"/>
      <c r="AT969" s="556"/>
    </row>
    <row r="970" spans="1:46" hidden="1" x14ac:dyDescent="0.45">
      <c r="A970" s="556"/>
      <c r="B970" s="556"/>
      <c r="C970" s="556"/>
      <c r="D970" s="556"/>
      <c r="E970" s="556"/>
      <c r="F970" s="564"/>
      <c r="G970" s="564"/>
      <c r="H970" s="564"/>
      <c r="I970" s="564"/>
      <c r="J970" s="564"/>
      <c r="K970" s="564"/>
      <c r="L970" s="564"/>
      <c r="M970" s="564"/>
      <c r="N970" s="564"/>
      <c r="O970" s="564"/>
      <c r="P970" s="564"/>
      <c r="Q970" s="564"/>
      <c r="R970" s="564"/>
      <c r="S970" s="564"/>
      <c r="T970" s="564"/>
      <c r="U970" s="564"/>
      <c r="V970" s="564"/>
      <c r="W970" s="564"/>
      <c r="X970" s="564"/>
      <c r="Y970" s="564"/>
      <c r="Z970" s="564"/>
      <c r="AA970" s="564"/>
      <c r="AB970" s="556"/>
      <c r="AC970" s="556"/>
      <c r="AD970" s="74"/>
      <c r="AE970" s="74"/>
      <c r="AF970" s="74"/>
      <c r="AG970" s="74"/>
      <c r="AH970" s="74"/>
      <c r="AI970" s="74"/>
      <c r="AJ970" s="74"/>
      <c r="AK970" s="74"/>
      <c r="AL970" s="74"/>
      <c r="AM970" s="74"/>
      <c r="AN970" s="74"/>
      <c r="AO970" s="74"/>
      <c r="AP970" s="74"/>
      <c r="AQ970" s="74"/>
      <c r="AR970" s="74"/>
      <c r="AS970" s="565"/>
      <c r="AT970" s="556"/>
    </row>
    <row r="971" spans="1:46" hidden="1" x14ac:dyDescent="0.45">
      <c r="A971" s="556"/>
      <c r="B971" s="556"/>
      <c r="C971" s="556"/>
      <c r="D971" s="556"/>
      <c r="E971" s="556"/>
      <c r="F971" s="564"/>
      <c r="G971" s="564"/>
      <c r="H971" s="564"/>
      <c r="I971" s="564"/>
      <c r="J971" s="564"/>
      <c r="K971" s="564"/>
      <c r="L971" s="564"/>
      <c r="M971" s="564"/>
      <c r="N971" s="564"/>
      <c r="O971" s="564"/>
      <c r="P971" s="564"/>
      <c r="Q971" s="564"/>
      <c r="R971" s="564"/>
      <c r="S971" s="564"/>
      <c r="T971" s="564"/>
      <c r="U971" s="564"/>
      <c r="V971" s="564"/>
      <c r="W971" s="564"/>
      <c r="X971" s="564"/>
      <c r="Y971" s="564"/>
      <c r="Z971" s="564"/>
      <c r="AA971" s="564"/>
      <c r="AB971" s="556"/>
      <c r="AC971" s="556"/>
      <c r="AD971" s="74"/>
      <c r="AE971" s="74"/>
      <c r="AF971" s="74"/>
      <c r="AG971" s="74"/>
      <c r="AH971" s="74"/>
      <c r="AI971" s="74"/>
      <c r="AJ971" s="74"/>
      <c r="AK971" s="74"/>
      <c r="AL971" s="74"/>
      <c r="AM971" s="74"/>
      <c r="AN971" s="74"/>
      <c r="AO971" s="74"/>
      <c r="AP971" s="74"/>
      <c r="AQ971" s="74"/>
      <c r="AR971" s="74"/>
      <c r="AS971" s="565"/>
      <c r="AT971" s="556"/>
    </row>
    <row r="972" spans="1:46" hidden="1" x14ac:dyDescent="0.45">
      <c r="A972" s="556"/>
      <c r="B972" s="556"/>
      <c r="C972" s="556"/>
      <c r="D972" s="556"/>
      <c r="E972" s="556"/>
      <c r="F972" s="564"/>
      <c r="G972" s="564"/>
      <c r="H972" s="564"/>
      <c r="I972" s="564"/>
      <c r="J972" s="564"/>
      <c r="K972" s="564"/>
      <c r="L972" s="564"/>
      <c r="M972" s="564"/>
      <c r="N972" s="564"/>
      <c r="O972" s="564"/>
      <c r="P972" s="564"/>
      <c r="Q972" s="564"/>
      <c r="R972" s="564"/>
      <c r="S972" s="564"/>
      <c r="T972" s="564"/>
      <c r="U972" s="564"/>
      <c r="V972" s="564"/>
      <c r="W972" s="564"/>
      <c r="X972" s="564"/>
      <c r="Y972" s="564"/>
      <c r="Z972" s="564"/>
      <c r="AA972" s="564"/>
      <c r="AB972" s="556"/>
      <c r="AC972" s="556"/>
      <c r="AD972" s="74"/>
      <c r="AE972" s="74"/>
      <c r="AF972" s="74"/>
      <c r="AG972" s="74"/>
      <c r="AH972" s="74"/>
      <c r="AI972" s="74"/>
      <c r="AJ972" s="74"/>
      <c r="AK972" s="74"/>
      <c r="AL972" s="74"/>
      <c r="AM972" s="74"/>
      <c r="AN972" s="74"/>
      <c r="AO972" s="74"/>
      <c r="AP972" s="74"/>
      <c r="AQ972" s="74"/>
      <c r="AR972" s="74"/>
      <c r="AS972" s="565"/>
      <c r="AT972" s="556"/>
    </row>
    <row r="973" spans="1:46" hidden="1" x14ac:dyDescent="0.45">
      <c r="A973" s="556"/>
      <c r="B973" s="556"/>
      <c r="C973" s="556"/>
      <c r="D973" s="556"/>
      <c r="E973" s="556"/>
      <c r="F973" s="564"/>
      <c r="G973" s="564"/>
      <c r="H973" s="564"/>
      <c r="I973" s="564"/>
      <c r="J973" s="564"/>
      <c r="K973" s="564"/>
      <c r="L973" s="564"/>
      <c r="M973" s="564"/>
      <c r="N973" s="564"/>
      <c r="O973" s="564"/>
      <c r="P973" s="564"/>
      <c r="Q973" s="564"/>
      <c r="R973" s="564"/>
      <c r="S973" s="564"/>
      <c r="T973" s="564"/>
      <c r="U973" s="564"/>
      <c r="V973" s="564"/>
      <c r="W973" s="564"/>
      <c r="X973" s="564"/>
      <c r="Y973" s="564"/>
      <c r="Z973" s="564"/>
      <c r="AA973" s="564"/>
      <c r="AB973" s="556"/>
      <c r="AC973" s="556"/>
      <c r="AD973" s="74"/>
      <c r="AE973" s="74"/>
      <c r="AF973" s="74"/>
      <c r="AG973" s="74"/>
      <c r="AH973" s="74"/>
      <c r="AI973" s="74"/>
      <c r="AJ973" s="74"/>
      <c r="AK973" s="74"/>
      <c r="AL973" s="74"/>
      <c r="AM973" s="74"/>
      <c r="AN973" s="74"/>
      <c r="AO973" s="74"/>
      <c r="AP973" s="74"/>
      <c r="AQ973" s="74"/>
      <c r="AR973" s="74"/>
      <c r="AS973" s="565"/>
      <c r="AT973" s="556"/>
    </row>
    <row r="974" spans="1:46" hidden="1" x14ac:dyDescent="0.45">
      <c r="A974" s="556"/>
      <c r="B974" s="556"/>
      <c r="C974" s="556"/>
      <c r="D974" s="556"/>
      <c r="E974" s="556"/>
      <c r="F974" s="564"/>
      <c r="G974" s="564"/>
      <c r="H974" s="564"/>
      <c r="I974" s="564"/>
      <c r="J974" s="564"/>
      <c r="K974" s="564"/>
      <c r="L974" s="564"/>
      <c r="M974" s="564"/>
      <c r="N974" s="564"/>
      <c r="O974" s="564"/>
      <c r="P974" s="564"/>
      <c r="Q974" s="564"/>
      <c r="R974" s="564"/>
      <c r="S974" s="564"/>
      <c r="T974" s="564"/>
      <c r="U974" s="564"/>
      <c r="V974" s="564"/>
      <c r="W974" s="564"/>
      <c r="X974" s="564"/>
      <c r="Y974" s="564"/>
      <c r="Z974" s="564"/>
      <c r="AA974" s="564"/>
      <c r="AB974" s="556"/>
      <c r="AC974" s="556"/>
      <c r="AD974" s="74"/>
      <c r="AE974" s="74"/>
      <c r="AF974" s="74"/>
      <c r="AG974" s="74"/>
      <c r="AH974" s="74"/>
      <c r="AI974" s="74"/>
      <c r="AJ974" s="74"/>
      <c r="AK974" s="74"/>
      <c r="AL974" s="74"/>
      <c r="AM974" s="74"/>
      <c r="AN974" s="74"/>
      <c r="AO974" s="74"/>
      <c r="AP974" s="74"/>
      <c r="AQ974" s="74"/>
      <c r="AR974" s="74"/>
      <c r="AS974" s="565"/>
      <c r="AT974" s="556"/>
    </row>
    <row r="975" spans="1:46" hidden="1" x14ac:dyDescent="0.45">
      <c r="A975" s="556"/>
      <c r="B975" s="556"/>
      <c r="C975" s="556"/>
      <c r="D975" s="556"/>
      <c r="E975" s="556"/>
      <c r="F975" s="564"/>
      <c r="G975" s="564"/>
      <c r="H975" s="564"/>
      <c r="I975" s="564"/>
      <c r="J975" s="564"/>
      <c r="K975" s="564"/>
      <c r="L975" s="564"/>
      <c r="M975" s="564"/>
      <c r="N975" s="564"/>
      <c r="O975" s="564"/>
      <c r="P975" s="564"/>
      <c r="Q975" s="564"/>
      <c r="R975" s="564"/>
      <c r="S975" s="564"/>
      <c r="T975" s="564"/>
      <c r="U975" s="564"/>
      <c r="V975" s="564"/>
      <c r="W975" s="564"/>
      <c r="X975" s="564"/>
      <c r="Y975" s="564"/>
      <c r="Z975" s="564"/>
      <c r="AA975" s="564"/>
      <c r="AB975" s="556"/>
      <c r="AC975" s="556"/>
      <c r="AD975" s="74"/>
      <c r="AE975" s="74"/>
      <c r="AF975" s="74"/>
      <c r="AG975" s="74"/>
      <c r="AH975" s="74"/>
      <c r="AI975" s="74"/>
      <c r="AJ975" s="74"/>
      <c r="AK975" s="74"/>
      <c r="AL975" s="74"/>
      <c r="AM975" s="74"/>
      <c r="AN975" s="74"/>
      <c r="AO975" s="74"/>
      <c r="AP975" s="74"/>
      <c r="AQ975" s="74"/>
      <c r="AR975" s="74"/>
      <c r="AS975" s="565"/>
      <c r="AT975" s="556"/>
    </row>
    <row r="976" spans="1:46" hidden="1" x14ac:dyDescent="0.45">
      <c r="A976" s="556"/>
      <c r="B976" s="556"/>
      <c r="C976" s="556"/>
      <c r="D976" s="556"/>
      <c r="E976" s="556"/>
      <c r="F976" s="564"/>
      <c r="G976" s="564"/>
      <c r="H976" s="564"/>
      <c r="I976" s="564"/>
      <c r="J976" s="564"/>
      <c r="K976" s="564"/>
      <c r="L976" s="564"/>
      <c r="M976" s="564"/>
      <c r="N976" s="564"/>
      <c r="O976" s="564"/>
      <c r="P976" s="564"/>
      <c r="Q976" s="564"/>
      <c r="R976" s="564"/>
      <c r="S976" s="564"/>
      <c r="T976" s="564"/>
      <c r="U976" s="564"/>
      <c r="V976" s="564"/>
      <c r="W976" s="564"/>
      <c r="X976" s="564"/>
      <c r="Y976" s="564"/>
      <c r="Z976" s="564"/>
      <c r="AA976" s="564"/>
      <c r="AB976" s="556"/>
      <c r="AC976" s="556"/>
      <c r="AD976" s="74"/>
      <c r="AE976" s="74"/>
      <c r="AF976" s="74"/>
      <c r="AG976" s="74"/>
      <c r="AH976" s="74"/>
      <c r="AI976" s="74"/>
      <c r="AJ976" s="74"/>
      <c r="AK976" s="74"/>
      <c r="AL976" s="74"/>
      <c r="AM976" s="74"/>
      <c r="AN976" s="74"/>
      <c r="AO976" s="74"/>
      <c r="AP976" s="74"/>
      <c r="AQ976" s="74"/>
      <c r="AR976" s="74"/>
      <c r="AS976" s="565"/>
      <c r="AT976" s="556"/>
    </row>
    <row r="977" spans="1:46" hidden="1" x14ac:dyDescent="0.45">
      <c r="A977" s="556"/>
      <c r="B977" s="556"/>
      <c r="C977" s="556"/>
      <c r="D977" s="556"/>
      <c r="E977" s="556"/>
      <c r="F977" s="564"/>
      <c r="G977" s="564"/>
      <c r="H977" s="564"/>
      <c r="I977" s="564"/>
      <c r="J977" s="564"/>
      <c r="K977" s="564"/>
      <c r="L977" s="564"/>
      <c r="M977" s="564"/>
      <c r="N977" s="564"/>
      <c r="O977" s="564"/>
      <c r="P977" s="564"/>
      <c r="Q977" s="564"/>
      <c r="R977" s="564"/>
      <c r="S977" s="564"/>
      <c r="T977" s="564"/>
      <c r="U977" s="564"/>
      <c r="V977" s="564"/>
      <c r="W977" s="564"/>
      <c r="X977" s="564"/>
      <c r="Y977" s="564"/>
      <c r="Z977" s="564"/>
      <c r="AA977" s="564"/>
      <c r="AB977" s="556"/>
      <c r="AC977" s="556"/>
      <c r="AD977" s="74"/>
      <c r="AE977" s="74"/>
      <c r="AF977" s="74"/>
      <c r="AG977" s="74"/>
      <c r="AH977" s="74"/>
      <c r="AI977" s="74"/>
      <c r="AJ977" s="74"/>
      <c r="AK977" s="74"/>
      <c r="AL977" s="74"/>
      <c r="AM977" s="74"/>
      <c r="AN977" s="74"/>
      <c r="AO977" s="74"/>
      <c r="AP977" s="74"/>
      <c r="AQ977" s="74"/>
      <c r="AR977" s="74"/>
      <c r="AS977" s="565"/>
      <c r="AT977" s="556"/>
    </row>
    <row r="978" spans="1:46" hidden="1" x14ac:dyDescent="0.45">
      <c r="A978" s="556"/>
      <c r="B978" s="556"/>
      <c r="C978" s="556"/>
      <c r="D978" s="556"/>
      <c r="E978" s="556"/>
      <c r="F978" s="564"/>
      <c r="G978" s="564"/>
      <c r="H978" s="564"/>
      <c r="I978" s="564"/>
      <c r="J978" s="564"/>
      <c r="K978" s="564"/>
      <c r="L978" s="564"/>
      <c r="M978" s="564"/>
      <c r="N978" s="564"/>
      <c r="O978" s="564"/>
      <c r="P978" s="564"/>
      <c r="Q978" s="564"/>
      <c r="R978" s="564"/>
      <c r="S978" s="564"/>
      <c r="T978" s="564"/>
      <c r="U978" s="564"/>
      <c r="V978" s="564"/>
      <c r="W978" s="564"/>
      <c r="X978" s="564"/>
      <c r="Y978" s="564"/>
      <c r="Z978" s="564"/>
      <c r="AA978" s="564"/>
      <c r="AB978" s="556"/>
      <c r="AC978" s="556"/>
      <c r="AD978" s="74"/>
      <c r="AE978" s="74"/>
      <c r="AF978" s="74"/>
      <c r="AG978" s="74"/>
      <c r="AH978" s="74"/>
      <c r="AI978" s="74"/>
      <c r="AJ978" s="74"/>
      <c r="AK978" s="74"/>
      <c r="AL978" s="74"/>
      <c r="AM978" s="74"/>
      <c r="AN978" s="74"/>
      <c r="AO978" s="74"/>
      <c r="AP978" s="74"/>
      <c r="AQ978" s="74"/>
      <c r="AR978" s="74"/>
      <c r="AS978" s="565"/>
      <c r="AT978" s="556"/>
    </row>
    <row r="979" spans="1:46" hidden="1" x14ac:dyDescent="0.45">
      <c r="A979" s="556"/>
      <c r="B979" s="556"/>
      <c r="C979" s="556"/>
      <c r="D979" s="556"/>
      <c r="E979" s="556"/>
      <c r="F979" s="564"/>
      <c r="G979" s="564"/>
      <c r="H979" s="564"/>
      <c r="I979" s="564"/>
      <c r="J979" s="564"/>
      <c r="K979" s="564"/>
      <c r="L979" s="564"/>
      <c r="M979" s="564"/>
      <c r="N979" s="564"/>
      <c r="O979" s="564"/>
      <c r="P979" s="564"/>
      <c r="Q979" s="564"/>
      <c r="R979" s="564"/>
      <c r="S979" s="564"/>
      <c r="T979" s="564"/>
      <c r="U979" s="564"/>
      <c r="V979" s="564"/>
      <c r="W979" s="564"/>
      <c r="X979" s="564"/>
      <c r="Y979" s="564"/>
      <c r="Z979" s="564"/>
      <c r="AA979" s="564"/>
      <c r="AB979" s="556"/>
      <c r="AC979" s="556"/>
      <c r="AD979" s="74"/>
      <c r="AE979" s="74"/>
      <c r="AF979" s="74"/>
      <c r="AG979" s="74"/>
      <c r="AH979" s="74"/>
      <c r="AI979" s="74"/>
      <c r="AJ979" s="74"/>
      <c r="AK979" s="74"/>
      <c r="AL979" s="74"/>
      <c r="AM979" s="74"/>
      <c r="AN979" s="74"/>
      <c r="AO979" s="74"/>
      <c r="AP979" s="74"/>
      <c r="AQ979" s="74"/>
      <c r="AR979" s="74"/>
      <c r="AS979" s="565"/>
      <c r="AT979" s="556"/>
    </row>
    <row r="980" spans="1:46" hidden="1" x14ac:dyDescent="0.45">
      <c r="A980" s="556"/>
      <c r="B980" s="556"/>
      <c r="C980" s="556"/>
      <c r="D980" s="556"/>
      <c r="E980" s="556"/>
      <c r="F980" s="564"/>
      <c r="G980" s="564"/>
      <c r="H980" s="564"/>
      <c r="I980" s="564"/>
      <c r="J980" s="564"/>
      <c r="K980" s="564"/>
      <c r="L980" s="564"/>
      <c r="M980" s="564"/>
      <c r="N980" s="564"/>
      <c r="O980" s="564"/>
      <c r="P980" s="564"/>
      <c r="Q980" s="564"/>
      <c r="R980" s="564"/>
      <c r="S980" s="564"/>
      <c r="T980" s="564"/>
      <c r="U980" s="564"/>
      <c r="V980" s="564"/>
      <c r="W980" s="564"/>
      <c r="X980" s="564"/>
      <c r="Y980" s="564"/>
      <c r="Z980" s="564"/>
      <c r="AA980" s="564"/>
      <c r="AB980" s="556"/>
      <c r="AC980" s="556"/>
      <c r="AD980" s="74"/>
      <c r="AE980" s="74"/>
      <c r="AF980" s="74"/>
      <c r="AG980" s="74"/>
      <c r="AH980" s="74"/>
      <c r="AI980" s="74"/>
      <c r="AJ980" s="74"/>
      <c r="AK980" s="74"/>
      <c r="AL980" s="74"/>
      <c r="AM980" s="74"/>
      <c r="AN980" s="74"/>
      <c r="AO980" s="74"/>
      <c r="AP980" s="74"/>
      <c r="AQ980" s="74"/>
      <c r="AR980" s="74"/>
      <c r="AS980" s="565"/>
      <c r="AT980" s="556"/>
    </row>
    <row r="981" spans="1:46" hidden="1" x14ac:dyDescent="0.45">
      <c r="A981" s="556"/>
      <c r="B981" s="556"/>
      <c r="C981" s="556"/>
      <c r="D981" s="556"/>
      <c r="E981" s="556"/>
      <c r="F981" s="564"/>
      <c r="G981" s="564"/>
      <c r="H981" s="564"/>
      <c r="I981" s="564"/>
      <c r="J981" s="564"/>
      <c r="K981" s="564"/>
      <c r="L981" s="564"/>
      <c r="M981" s="564"/>
      <c r="N981" s="564"/>
      <c r="O981" s="564"/>
      <c r="P981" s="564"/>
      <c r="Q981" s="564"/>
      <c r="R981" s="564"/>
      <c r="S981" s="564"/>
      <c r="T981" s="564"/>
      <c r="U981" s="564"/>
      <c r="V981" s="564"/>
      <c r="W981" s="564"/>
      <c r="X981" s="564"/>
      <c r="Y981" s="564"/>
      <c r="Z981" s="564"/>
      <c r="AA981" s="564"/>
      <c r="AB981" s="556"/>
      <c r="AC981" s="556"/>
      <c r="AD981" s="74"/>
      <c r="AE981" s="74"/>
      <c r="AF981" s="74"/>
      <c r="AG981" s="74"/>
      <c r="AH981" s="74"/>
      <c r="AI981" s="74"/>
      <c r="AJ981" s="74"/>
      <c r="AK981" s="74"/>
      <c r="AL981" s="74"/>
      <c r="AM981" s="74"/>
      <c r="AN981" s="74"/>
      <c r="AO981" s="74"/>
      <c r="AP981" s="74"/>
      <c r="AQ981" s="74"/>
      <c r="AR981" s="74"/>
      <c r="AS981" s="565"/>
      <c r="AT981" s="556"/>
    </row>
    <row r="982" spans="1:46" hidden="1" x14ac:dyDescent="0.45">
      <c r="A982" s="556"/>
      <c r="B982" s="556"/>
      <c r="C982" s="556"/>
      <c r="D982" s="556"/>
      <c r="E982" s="556"/>
      <c r="F982" s="564"/>
      <c r="G982" s="564"/>
      <c r="H982" s="564"/>
      <c r="I982" s="564"/>
      <c r="J982" s="564"/>
      <c r="K982" s="564"/>
      <c r="L982" s="564"/>
      <c r="M982" s="564"/>
      <c r="N982" s="564"/>
      <c r="O982" s="564"/>
      <c r="P982" s="564"/>
      <c r="Q982" s="564"/>
      <c r="R982" s="564"/>
      <c r="S982" s="564"/>
      <c r="T982" s="564"/>
      <c r="U982" s="564"/>
      <c r="V982" s="564"/>
      <c r="W982" s="564"/>
      <c r="X982" s="564"/>
      <c r="Y982" s="564"/>
      <c r="Z982" s="564"/>
      <c r="AA982" s="564"/>
      <c r="AB982" s="556"/>
      <c r="AC982" s="556"/>
      <c r="AD982" s="74"/>
      <c r="AE982" s="74"/>
      <c r="AF982" s="74"/>
      <c r="AG982" s="74"/>
      <c r="AH982" s="74"/>
      <c r="AI982" s="74"/>
      <c r="AJ982" s="74"/>
      <c r="AK982" s="74"/>
      <c r="AL982" s="74"/>
      <c r="AM982" s="74"/>
      <c r="AN982" s="74"/>
      <c r="AO982" s="74"/>
      <c r="AP982" s="74"/>
      <c r="AQ982" s="74"/>
      <c r="AR982" s="74"/>
      <c r="AS982" s="565"/>
      <c r="AT982" s="556"/>
    </row>
    <row r="983" spans="1:46" hidden="1" x14ac:dyDescent="0.45">
      <c r="A983" s="556"/>
      <c r="B983" s="556"/>
      <c r="C983" s="556"/>
      <c r="D983" s="556"/>
      <c r="E983" s="556"/>
      <c r="F983" s="564"/>
      <c r="G983" s="564"/>
      <c r="H983" s="564"/>
      <c r="I983" s="564"/>
      <c r="J983" s="564"/>
      <c r="K983" s="564"/>
      <c r="L983" s="564"/>
      <c r="M983" s="564"/>
      <c r="N983" s="564"/>
      <c r="O983" s="564"/>
      <c r="P983" s="564"/>
      <c r="Q983" s="564"/>
      <c r="R983" s="564"/>
      <c r="S983" s="564"/>
      <c r="T983" s="564"/>
      <c r="U983" s="564"/>
      <c r="V983" s="564"/>
      <c r="W983" s="564"/>
      <c r="X983" s="564"/>
      <c r="Y983" s="564"/>
      <c r="Z983" s="564"/>
      <c r="AA983" s="564"/>
      <c r="AB983" s="556"/>
      <c r="AC983" s="556"/>
      <c r="AD983" s="74"/>
      <c r="AE983" s="74"/>
      <c r="AF983" s="74"/>
      <c r="AG983" s="74"/>
      <c r="AH983" s="74"/>
      <c r="AI983" s="74"/>
      <c r="AJ983" s="74"/>
      <c r="AK983" s="74"/>
      <c r="AL983" s="74"/>
      <c r="AM983" s="74"/>
      <c r="AN983" s="74"/>
      <c r="AO983" s="74"/>
      <c r="AP983" s="74"/>
      <c r="AQ983" s="74"/>
      <c r="AR983" s="74"/>
      <c r="AS983" s="565"/>
      <c r="AT983" s="556"/>
    </row>
    <row r="984" spans="1:46" hidden="1" x14ac:dyDescent="0.45">
      <c r="A984" s="556"/>
      <c r="B984" s="556"/>
      <c r="C984" s="556"/>
      <c r="D984" s="556"/>
      <c r="E984" s="556"/>
      <c r="F984" s="564"/>
      <c r="G984" s="564"/>
      <c r="H984" s="564"/>
      <c r="I984" s="564"/>
      <c r="J984" s="564"/>
      <c r="K984" s="564"/>
      <c r="L984" s="564"/>
      <c r="M984" s="564"/>
      <c r="N984" s="564"/>
      <c r="O984" s="564"/>
      <c r="P984" s="564"/>
      <c r="Q984" s="564"/>
      <c r="R984" s="564"/>
      <c r="S984" s="564"/>
      <c r="T984" s="564"/>
      <c r="U984" s="564"/>
      <c r="V984" s="564"/>
      <c r="W984" s="564"/>
      <c r="X984" s="564"/>
      <c r="Y984" s="564"/>
      <c r="Z984" s="564"/>
      <c r="AA984" s="564"/>
      <c r="AB984" s="556"/>
      <c r="AC984" s="556"/>
      <c r="AD984" s="74"/>
      <c r="AE984" s="74"/>
      <c r="AF984" s="74"/>
      <c r="AG984" s="74"/>
      <c r="AH984" s="74"/>
      <c r="AI984" s="74"/>
      <c r="AJ984" s="74"/>
      <c r="AK984" s="74"/>
      <c r="AL984" s="74"/>
      <c r="AM984" s="74"/>
      <c r="AN984" s="74"/>
      <c r="AO984" s="74"/>
      <c r="AP984" s="74"/>
      <c r="AQ984" s="74"/>
      <c r="AR984" s="74"/>
      <c r="AS984" s="565"/>
      <c r="AT984" s="556"/>
    </row>
    <row r="985" spans="1:46" hidden="1" x14ac:dyDescent="0.45">
      <c r="A985" s="556"/>
      <c r="B985" s="556"/>
      <c r="C985" s="556"/>
      <c r="D985" s="556"/>
      <c r="E985" s="556"/>
      <c r="F985" s="564"/>
      <c r="G985" s="564"/>
      <c r="H985" s="564"/>
      <c r="I985" s="564"/>
      <c r="J985" s="564"/>
      <c r="K985" s="564"/>
      <c r="L985" s="564"/>
      <c r="M985" s="564"/>
      <c r="N985" s="564"/>
      <c r="O985" s="564"/>
      <c r="P985" s="564"/>
      <c r="Q985" s="564"/>
      <c r="R985" s="564"/>
      <c r="S985" s="564"/>
      <c r="T985" s="564"/>
      <c r="U985" s="564"/>
      <c r="V985" s="564"/>
      <c r="W985" s="564"/>
      <c r="X985" s="564"/>
      <c r="Y985" s="564"/>
      <c r="Z985" s="564"/>
      <c r="AA985" s="564"/>
      <c r="AB985" s="556"/>
      <c r="AC985" s="556"/>
      <c r="AD985" s="74"/>
      <c r="AE985" s="74"/>
      <c r="AF985" s="74"/>
      <c r="AG985" s="74"/>
      <c r="AH985" s="74"/>
      <c r="AI985" s="74"/>
      <c r="AJ985" s="74"/>
      <c r="AK985" s="74"/>
      <c r="AL985" s="74"/>
      <c r="AM985" s="74"/>
      <c r="AN985" s="74"/>
      <c r="AO985" s="74"/>
      <c r="AP985" s="74"/>
      <c r="AQ985" s="74"/>
      <c r="AR985" s="74"/>
      <c r="AS985" s="565"/>
      <c r="AT985" s="556"/>
    </row>
    <row r="986" spans="1:46" hidden="1" x14ac:dyDescent="0.45">
      <c r="A986" s="556"/>
      <c r="B986" s="556"/>
      <c r="C986" s="556"/>
      <c r="D986" s="556"/>
      <c r="E986" s="556"/>
      <c r="F986" s="564"/>
      <c r="G986" s="564"/>
      <c r="H986" s="564"/>
      <c r="I986" s="564"/>
      <c r="J986" s="564"/>
      <c r="K986" s="564"/>
      <c r="L986" s="564"/>
      <c r="M986" s="564"/>
      <c r="N986" s="564"/>
      <c r="O986" s="564"/>
      <c r="P986" s="564"/>
      <c r="Q986" s="564"/>
      <c r="R986" s="564"/>
      <c r="S986" s="564"/>
      <c r="T986" s="564"/>
      <c r="U986" s="564"/>
      <c r="V986" s="564"/>
      <c r="W986" s="564"/>
      <c r="X986" s="564"/>
      <c r="Y986" s="564"/>
      <c r="Z986" s="564"/>
      <c r="AA986" s="564"/>
      <c r="AB986" s="556"/>
      <c r="AC986" s="556"/>
      <c r="AD986" s="74"/>
      <c r="AE986" s="74"/>
      <c r="AF986" s="74"/>
      <c r="AG986" s="74"/>
      <c r="AH986" s="74"/>
      <c r="AI986" s="74"/>
      <c r="AJ986" s="74"/>
      <c r="AK986" s="74"/>
      <c r="AL986" s="74"/>
      <c r="AM986" s="74"/>
      <c r="AN986" s="74"/>
      <c r="AO986" s="74"/>
      <c r="AP986" s="74"/>
      <c r="AQ986" s="74"/>
      <c r="AR986" s="74"/>
      <c r="AS986" s="565"/>
      <c r="AT986" s="556"/>
    </row>
    <row r="987" spans="1:46" hidden="1" x14ac:dyDescent="0.45">
      <c r="A987" s="556"/>
      <c r="B987" s="556"/>
      <c r="C987" s="556"/>
      <c r="D987" s="556"/>
      <c r="E987" s="556"/>
      <c r="F987" s="564"/>
      <c r="G987" s="564"/>
      <c r="H987" s="564"/>
      <c r="I987" s="564"/>
      <c r="J987" s="564"/>
      <c r="K987" s="564"/>
      <c r="L987" s="564"/>
      <c r="M987" s="564"/>
      <c r="N987" s="564"/>
      <c r="O987" s="564"/>
      <c r="P987" s="564"/>
      <c r="Q987" s="564"/>
      <c r="R987" s="564"/>
      <c r="S987" s="564"/>
      <c r="T987" s="564"/>
      <c r="U987" s="564"/>
      <c r="V987" s="564"/>
      <c r="W987" s="564"/>
      <c r="X987" s="564"/>
      <c r="Y987" s="564"/>
      <c r="Z987" s="564"/>
      <c r="AA987" s="564"/>
      <c r="AB987" s="556"/>
      <c r="AC987" s="556"/>
      <c r="AD987" s="74"/>
      <c r="AE987" s="74"/>
      <c r="AF987" s="74"/>
      <c r="AG987" s="74"/>
      <c r="AH987" s="74"/>
      <c r="AI987" s="74"/>
      <c r="AJ987" s="74"/>
      <c r="AK987" s="74"/>
      <c r="AL987" s="74"/>
      <c r="AM987" s="74"/>
      <c r="AN987" s="74"/>
      <c r="AO987" s="74"/>
      <c r="AP987" s="74"/>
      <c r="AQ987" s="74"/>
      <c r="AR987" s="74"/>
      <c r="AS987" s="565"/>
      <c r="AT987" s="556"/>
    </row>
    <row r="988" spans="1:46" hidden="1" x14ac:dyDescent="0.45">
      <c r="A988" s="556"/>
      <c r="B988" s="556"/>
      <c r="C988" s="556"/>
      <c r="D988" s="556"/>
      <c r="E988" s="556"/>
      <c r="F988" s="564"/>
      <c r="G988" s="564"/>
      <c r="H988" s="564"/>
      <c r="I988" s="564"/>
      <c r="J988" s="564"/>
      <c r="K988" s="564"/>
      <c r="L988" s="564"/>
      <c r="M988" s="564"/>
      <c r="N988" s="564"/>
      <c r="O988" s="564"/>
      <c r="P988" s="564"/>
      <c r="Q988" s="564"/>
      <c r="R988" s="564"/>
      <c r="S988" s="564"/>
      <c r="T988" s="564"/>
      <c r="U988" s="564"/>
      <c r="V988" s="564"/>
      <c r="W988" s="564"/>
      <c r="X988" s="564"/>
      <c r="Y988" s="564"/>
      <c r="Z988" s="564"/>
      <c r="AA988" s="564"/>
      <c r="AB988" s="556"/>
      <c r="AC988" s="556"/>
      <c r="AD988" s="74"/>
      <c r="AE988" s="74"/>
      <c r="AF988" s="74"/>
      <c r="AG988" s="74"/>
      <c r="AH988" s="74"/>
      <c r="AI988" s="74"/>
      <c r="AJ988" s="74"/>
      <c r="AK988" s="74"/>
      <c r="AL988" s="74"/>
      <c r="AM988" s="74"/>
      <c r="AN988" s="74"/>
      <c r="AO988" s="74"/>
      <c r="AP988" s="74"/>
      <c r="AQ988" s="74"/>
      <c r="AR988" s="74"/>
      <c r="AS988" s="565"/>
      <c r="AT988" s="556"/>
    </row>
    <row r="989" spans="1:46" hidden="1" x14ac:dyDescent="0.45">
      <c r="A989" s="556"/>
      <c r="B989" s="556"/>
      <c r="C989" s="556"/>
      <c r="D989" s="556"/>
      <c r="E989" s="556"/>
      <c r="F989" s="564"/>
      <c r="G989" s="564"/>
      <c r="H989" s="564"/>
      <c r="I989" s="564"/>
      <c r="J989" s="564"/>
      <c r="K989" s="564"/>
      <c r="L989" s="564"/>
      <c r="M989" s="564"/>
      <c r="N989" s="564"/>
      <c r="O989" s="564"/>
      <c r="P989" s="564"/>
      <c r="Q989" s="564"/>
      <c r="R989" s="564"/>
      <c r="S989" s="564"/>
      <c r="T989" s="564"/>
      <c r="U989" s="564"/>
      <c r="V989" s="564"/>
      <c r="W989" s="564"/>
      <c r="X989" s="564"/>
      <c r="Y989" s="564"/>
      <c r="Z989" s="564"/>
      <c r="AA989" s="564"/>
      <c r="AB989" s="556"/>
      <c r="AC989" s="556"/>
      <c r="AD989" s="74"/>
      <c r="AE989" s="74"/>
      <c r="AF989" s="74"/>
      <c r="AG989" s="74"/>
      <c r="AH989" s="74"/>
      <c r="AI989" s="74"/>
      <c r="AJ989" s="74"/>
      <c r="AK989" s="74"/>
      <c r="AL989" s="74"/>
      <c r="AM989" s="74"/>
      <c r="AN989" s="74"/>
      <c r="AO989" s="74"/>
      <c r="AP989" s="74"/>
      <c r="AQ989" s="74"/>
      <c r="AR989" s="74"/>
      <c r="AS989" s="565"/>
      <c r="AT989" s="556"/>
    </row>
    <row r="990" spans="1:46" hidden="1" x14ac:dyDescent="0.45">
      <c r="A990" s="556"/>
      <c r="B990" s="556"/>
      <c r="C990" s="556"/>
      <c r="D990" s="556"/>
      <c r="E990" s="556"/>
      <c r="F990" s="564"/>
      <c r="G990" s="564"/>
      <c r="H990" s="564"/>
      <c r="I990" s="564"/>
      <c r="J990" s="564"/>
      <c r="K990" s="564"/>
      <c r="L990" s="564"/>
      <c r="M990" s="564"/>
      <c r="N990" s="564"/>
      <c r="O990" s="564"/>
      <c r="P990" s="564"/>
      <c r="Q990" s="564"/>
      <c r="R990" s="564"/>
      <c r="S990" s="564"/>
      <c r="T990" s="564"/>
      <c r="U990" s="564"/>
      <c r="V990" s="564"/>
      <c r="W990" s="564"/>
      <c r="X990" s="564"/>
      <c r="Y990" s="564"/>
      <c r="Z990" s="564"/>
      <c r="AA990" s="564"/>
      <c r="AB990" s="556"/>
      <c r="AC990" s="556"/>
      <c r="AD990" s="74"/>
      <c r="AE990" s="74"/>
      <c r="AF990" s="74"/>
      <c r="AG990" s="74"/>
      <c r="AH990" s="74"/>
      <c r="AI990" s="74"/>
      <c r="AJ990" s="74"/>
      <c r="AK990" s="74"/>
      <c r="AL990" s="74"/>
      <c r="AM990" s="74"/>
      <c r="AN990" s="74"/>
      <c r="AO990" s="74"/>
      <c r="AP990" s="74"/>
      <c r="AQ990" s="74"/>
      <c r="AR990" s="74"/>
      <c r="AS990" s="565"/>
      <c r="AT990" s="556"/>
    </row>
    <row r="991" spans="1:46" hidden="1" x14ac:dyDescent="0.45">
      <c r="A991" s="556"/>
      <c r="B991" s="556"/>
      <c r="C991" s="556"/>
      <c r="D991" s="556"/>
      <c r="E991" s="556"/>
      <c r="F991" s="564"/>
      <c r="G991" s="564"/>
      <c r="H991" s="564"/>
      <c r="I991" s="564"/>
      <c r="J991" s="564"/>
      <c r="K991" s="564"/>
      <c r="L991" s="564"/>
      <c r="M991" s="564"/>
      <c r="N991" s="564"/>
      <c r="O991" s="564"/>
      <c r="P991" s="564"/>
      <c r="Q991" s="564"/>
      <c r="R991" s="564"/>
      <c r="S991" s="564"/>
      <c r="T991" s="564"/>
      <c r="U991" s="564"/>
      <c r="V991" s="564"/>
      <c r="W991" s="564"/>
      <c r="X991" s="564"/>
      <c r="Y991" s="564"/>
      <c r="Z991" s="564"/>
      <c r="AA991" s="564"/>
      <c r="AB991" s="556"/>
      <c r="AC991" s="556"/>
      <c r="AD991" s="74"/>
      <c r="AE991" s="74"/>
      <c r="AF991" s="74"/>
      <c r="AG991" s="74"/>
      <c r="AH991" s="74"/>
      <c r="AI991" s="74"/>
      <c r="AJ991" s="74"/>
      <c r="AK991" s="74"/>
      <c r="AL991" s="74"/>
      <c r="AM991" s="74"/>
      <c r="AN991" s="74"/>
      <c r="AO991" s="74"/>
      <c r="AP991" s="74"/>
      <c r="AQ991" s="74"/>
      <c r="AR991" s="74"/>
      <c r="AS991" s="565"/>
      <c r="AT991" s="556"/>
    </row>
    <row r="992" spans="1:46" hidden="1" x14ac:dyDescent="0.45">
      <c r="A992" s="556"/>
      <c r="B992" s="556"/>
      <c r="C992" s="556"/>
      <c r="D992" s="556"/>
      <c r="E992" s="556"/>
      <c r="F992" s="564"/>
      <c r="G992" s="564"/>
      <c r="H992" s="564"/>
      <c r="I992" s="564"/>
      <c r="J992" s="564"/>
      <c r="K992" s="564"/>
      <c r="L992" s="564"/>
      <c r="M992" s="564"/>
      <c r="N992" s="564"/>
      <c r="O992" s="564"/>
      <c r="P992" s="564"/>
      <c r="Q992" s="564"/>
      <c r="R992" s="564"/>
      <c r="S992" s="564"/>
      <c r="T992" s="564"/>
      <c r="U992" s="564"/>
      <c r="V992" s="564"/>
      <c r="W992" s="564"/>
      <c r="X992" s="564"/>
      <c r="Y992" s="564"/>
      <c r="Z992" s="564"/>
      <c r="AA992" s="564"/>
      <c r="AB992" s="556"/>
      <c r="AC992" s="556"/>
      <c r="AD992" s="74"/>
      <c r="AE992" s="74"/>
      <c r="AF992" s="74"/>
      <c r="AG992" s="74"/>
      <c r="AH992" s="74"/>
      <c r="AI992" s="74"/>
      <c r="AJ992" s="74"/>
      <c r="AK992" s="74"/>
      <c r="AL992" s="74"/>
      <c r="AM992" s="74"/>
      <c r="AN992" s="74"/>
      <c r="AO992" s="74"/>
      <c r="AP992" s="74"/>
      <c r="AQ992" s="74"/>
      <c r="AR992" s="74"/>
      <c r="AS992" s="565"/>
      <c r="AT992" s="556"/>
    </row>
    <row r="993" spans="1:46" hidden="1" x14ac:dyDescent="0.45">
      <c r="A993" s="556"/>
      <c r="B993" s="556"/>
      <c r="C993" s="556"/>
      <c r="D993" s="556"/>
      <c r="E993" s="556"/>
      <c r="F993" s="564"/>
      <c r="G993" s="564"/>
      <c r="H993" s="564"/>
      <c r="I993" s="564"/>
      <c r="J993" s="564"/>
      <c r="K993" s="564"/>
      <c r="L993" s="564"/>
      <c r="M993" s="564"/>
      <c r="N993" s="564"/>
      <c r="O993" s="564"/>
      <c r="P993" s="564"/>
      <c r="Q993" s="564"/>
      <c r="R993" s="564"/>
      <c r="S993" s="564"/>
      <c r="T993" s="564"/>
      <c r="U993" s="564"/>
      <c r="V993" s="564"/>
      <c r="W993" s="564"/>
      <c r="X993" s="564"/>
      <c r="Y993" s="564"/>
      <c r="Z993" s="564"/>
      <c r="AA993" s="564"/>
      <c r="AB993" s="556"/>
      <c r="AC993" s="556"/>
      <c r="AD993" s="74"/>
      <c r="AE993" s="74"/>
      <c r="AF993" s="74"/>
      <c r="AG993" s="74"/>
      <c r="AH993" s="74"/>
      <c r="AI993" s="74"/>
      <c r="AJ993" s="74"/>
      <c r="AK993" s="74"/>
      <c r="AL993" s="74"/>
      <c r="AM993" s="74"/>
      <c r="AN993" s="74"/>
      <c r="AO993" s="74"/>
      <c r="AP993" s="74"/>
      <c r="AQ993" s="74"/>
      <c r="AR993" s="74"/>
      <c r="AS993" s="565"/>
      <c r="AT993" s="556"/>
    </row>
    <row r="994" spans="1:46" hidden="1" x14ac:dyDescent="0.45">
      <c r="A994" s="556"/>
      <c r="B994" s="556"/>
      <c r="C994" s="556"/>
      <c r="D994" s="556"/>
      <c r="E994" s="556"/>
      <c r="F994" s="564"/>
      <c r="G994" s="564"/>
      <c r="H994" s="564"/>
      <c r="I994" s="564"/>
      <c r="J994" s="564"/>
      <c r="K994" s="564"/>
      <c r="L994" s="564"/>
      <c r="M994" s="564"/>
      <c r="N994" s="564"/>
      <c r="O994" s="564"/>
      <c r="P994" s="564"/>
      <c r="Q994" s="564"/>
      <c r="R994" s="564"/>
      <c r="S994" s="564"/>
      <c r="T994" s="564"/>
      <c r="U994" s="564"/>
      <c r="V994" s="564"/>
      <c r="W994" s="564"/>
      <c r="X994" s="564"/>
      <c r="Y994" s="564"/>
      <c r="Z994" s="564"/>
      <c r="AA994" s="564"/>
      <c r="AB994" s="556"/>
      <c r="AC994" s="556"/>
      <c r="AD994" s="74"/>
      <c r="AE994" s="74"/>
      <c r="AF994" s="74"/>
      <c r="AG994" s="74"/>
      <c r="AH994" s="74"/>
      <c r="AI994" s="74"/>
      <c r="AJ994" s="74"/>
      <c r="AK994" s="74"/>
      <c r="AL994" s="74"/>
      <c r="AM994" s="74"/>
      <c r="AN994" s="74"/>
      <c r="AO994" s="74"/>
      <c r="AP994" s="74"/>
      <c r="AQ994" s="74"/>
      <c r="AR994" s="74"/>
      <c r="AS994" s="565"/>
      <c r="AT994" s="556"/>
    </row>
    <row r="995" spans="1:46" hidden="1" x14ac:dyDescent="0.45">
      <c r="A995" s="556"/>
      <c r="B995" s="556"/>
      <c r="C995" s="556"/>
      <c r="D995" s="556"/>
      <c r="E995" s="556"/>
      <c r="F995" s="564"/>
      <c r="G995" s="564"/>
      <c r="H995" s="564"/>
      <c r="I995" s="564"/>
      <c r="J995" s="564"/>
      <c r="K995" s="564"/>
      <c r="L995" s="564"/>
      <c r="M995" s="564"/>
      <c r="N995" s="564"/>
      <c r="O995" s="564"/>
      <c r="P995" s="564"/>
      <c r="Q995" s="564"/>
      <c r="R995" s="564"/>
      <c r="S995" s="564"/>
      <c r="T995" s="564"/>
      <c r="U995" s="564"/>
      <c r="V995" s="564"/>
      <c r="W995" s="564"/>
      <c r="X995" s="564"/>
      <c r="Y995" s="564"/>
      <c r="Z995" s="564"/>
      <c r="AA995" s="564"/>
      <c r="AB995" s="556"/>
      <c r="AC995" s="556"/>
      <c r="AD995" s="74"/>
      <c r="AE995" s="74"/>
      <c r="AF995" s="74"/>
      <c r="AG995" s="74"/>
      <c r="AH995" s="74"/>
      <c r="AI995" s="74"/>
      <c r="AJ995" s="74"/>
      <c r="AK995" s="74"/>
      <c r="AL995" s="74"/>
      <c r="AM995" s="74"/>
      <c r="AN995" s="74"/>
      <c r="AO995" s="74"/>
      <c r="AP995" s="74"/>
      <c r="AQ995" s="74"/>
      <c r="AR995" s="74"/>
      <c r="AS995" s="565"/>
      <c r="AT995" s="556"/>
    </row>
    <row r="996" spans="1:46" hidden="1" x14ac:dyDescent="0.45">
      <c r="A996" s="556"/>
      <c r="B996" s="556"/>
      <c r="C996" s="556"/>
      <c r="D996" s="556"/>
      <c r="E996" s="556"/>
      <c r="F996" s="564"/>
      <c r="G996" s="564"/>
      <c r="H996" s="564"/>
      <c r="I996" s="564"/>
      <c r="J996" s="564"/>
      <c r="K996" s="564"/>
      <c r="L996" s="564"/>
      <c r="M996" s="564"/>
      <c r="N996" s="564"/>
      <c r="O996" s="564"/>
      <c r="P996" s="564"/>
      <c r="Q996" s="564"/>
      <c r="R996" s="564"/>
      <c r="S996" s="564"/>
      <c r="T996" s="564"/>
      <c r="U996" s="564"/>
      <c r="V996" s="564"/>
      <c r="W996" s="564"/>
      <c r="X996" s="564"/>
      <c r="Y996" s="564"/>
      <c r="Z996" s="564"/>
      <c r="AA996" s="564"/>
      <c r="AB996" s="556"/>
      <c r="AC996" s="556"/>
      <c r="AD996" s="74"/>
      <c r="AE996" s="74"/>
      <c r="AF996" s="74"/>
      <c r="AG996" s="74"/>
      <c r="AH996" s="74"/>
      <c r="AI996" s="74"/>
      <c r="AJ996" s="74"/>
      <c r="AK996" s="74"/>
      <c r="AL996" s="74"/>
      <c r="AM996" s="74"/>
      <c r="AN996" s="74"/>
      <c r="AO996" s="74"/>
      <c r="AP996" s="74"/>
      <c r="AQ996" s="74"/>
      <c r="AR996" s="74"/>
      <c r="AS996" s="565"/>
      <c r="AT996" s="556"/>
    </row>
    <row r="997" spans="1:46" hidden="1" x14ac:dyDescent="0.45">
      <c r="A997" s="556"/>
      <c r="B997" s="556"/>
      <c r="C997" s="556"/>
      <c r="D997" s="556"/>
      <c r="E997" s="556"/>
      <c r="F997" s="564"/>
      <c r="G997" s="564"/>
      <c r="H997" s="564"/>
      <c r="I997" s="564"/>
      <c r="J997" s="564"/>
      <c r="K997" s="564"/>
      <c r="L997" s="564"/>
      <c r="M997" s="564"/>
      <c r="N997" s="564"/>
      <c r="O997" s="564"/>
      <c r="P997" s="564"/>
      <c r="Q997" s="564"/>
      <c r="R997" s="564"/>
      <c r="S997" s="564"/>
      <c r="T997" s="564"/>
      <c r="U997" s="564"/>
      <c r="V997" s="564"/>
      <c r="W997" s="564"/>
      <c r="X997" s="564"/>
      <c r="Y997" s="564"/>
      <c r="Z997" s="564"/>
      <c r="AA997" s="564"/>
      <c r="AB997" s="556"/>
      <c r="AC997" s="556"/>
      <c r="AD997" s="74"/>
      <c r="AE997" s="74"/>
      <c r="AF997" s="74"/>
      <c r="AG997" s="74"/>
      <c r="AH997" s="74"/>
      <c r="AI997" s="74"/>
      <c r="AJ997" s="74"/>
      <c r="AK997" s="74"/>
      <c r="AL997" s="74"/>
      <c r="AM997" s="74"/>
      <c r="AN997" s="74"/>
      <c r="AO997" s="74"/>
      <c r="AP997" s="74"/>
      <c r="AQ997" s="74"/>
      <c r="AR997" s="74"/>
      <c r="AS997" s="565"/>
      <c r="AT997" s="556"/>
    </row>
    <row r="998" spans="1:46" hidden="1" x14ac:dyDescent="0.45">
      <c r="A998" s="556"/>
      <c r="B998" s="556"/>
      <c r="C998" s="556"/>
      <c r="D998" s="556"/>
      <c r="E998" s="556"/>
      <c r="F998" s="564"/>
      <c r="G998" s="564"/>
      <c r="H998" s="564"/>
      <c r="I998" s="564"/>
      <c r="J998" s="564"/>
      <c r="K998" s="564"/>
      <c r="L998" s="564"/>
      <c r="M998" s="564"/>
      <c r="N998" s="564"/>
      <c r="O998" s="564"/>
      <c r="P998" s="564"/>
      <c r="Q998" s="564"/>
      <c r="R998" s="564"/>
      <c r="S998" s="564"/>
      <c r="T998" s="564"/>
      <c r="U998" s="564"/>
      <c r="V998" s="564"/>
      <c r="W998" s="564"/>
      <c r="X998" s="564"/>
      <c r="Y998" s="564"/>
      <c r="Z998" s="564"/>
      <c r="AA998" s="564"/>
      <c r="AB998" s="556"/>
      <c r="AC998" s="556"/>
      <c r="AD998" s="74"/>
      <c r="AE998" s="74"/>
      <c r="AF998" s="74"/>
      <c r="AG998" s="74"/>
      <c r="AH998" s="74"/>
      <c r="AI998" s="74"/>
      <c r="AJ998" s="74"/>
      <c r="AK998" s="74"/>
      <c r="AL998" s="74"/>
      <c r="AM998" s="74"/>
      <c r="AN998" s="74"/>
      <c r="AO998" s="74"/>
      <c r="AP998" s="74"/>
      <c r="AQ998" s="74"/>
      <c r="AR998" s="74"/>
      <c r="AS998" s="565"/>
      <c r="AT998" s="556"/>
    </row>
    <row r="999" spans="1:46" hidden="1" x14ac:dyDescent="0.45">
      <c r="A999" s="556"/>
      <c r="B999" s="556"/>
      <c r="C999" s="556"/>
      <c r="D999" s="556"/>
      <c r="E999" s="556"/>
      <c r="F999" s="564"/>
      <c r="G999" s="564"/>
      <c r="H999" s="564"/>
      <c r="I999" s="564"/>
      <c r="J999" s="564"/>
      <c r="K999" s="564"/>
      <c r="L999" s="564"/>
      <c r="M999" s="564"/>
      <c r="N999" s="564"/>
      <c r="O999" s="564"/>
      <c r="P999" s="564"/>
      <c r="Q999" s="564"/>
      <c r="R999" s="564"/>
      <c r="S999" s="564"/>
      <c r="T999" s="564"/>
      <c r="U999" s="564"/>
      <c r="V999" s="564"/>
      <c r="W999" s="564"/>
      <c r="X999" s="564"/>
      <c r="Y999" s="564"/>
      <c r="Z999" s="564"/>
      <c r="AA999" s="564"/>
      <c r="AB999" s="556"/>
      <c r="AC999" s="556"/>
      <c r="AD999" s="74"/>
      <c r="AE999" s="74"/>
      <c r="AF999" s="74"/>
      <c r="AG999" s="74"/>
      <c r="AH999" s="74"/>
      <c r="AI999" s="74"/>
      <c r="AJ999" s="74"/>
      <c r="AK999" s="74"/>
      <c r="AL999" s="74"/>
      <c r="AM999" s="74"/>
      <c r="AN999" s="74"/>
      <c r="AO999" s="74"/>
      <c r="AP999" s="74"/>
      <c r="AQ999" s="74"/>
      <c r="AR999" s="74"/>
      <c r="AS999" s="565"/>
      <c r="AT999" s="556"/>
    </row>
    <row r="1000" spans="1:46" hidden="1" x14ac:dyDescent="0.45">
      <c r="A1000" s="556"/>
      <c r="B1000" s="556"/>
      <c r="C1000" s="556"/>
      <c r="D1000" s="556"/>
      <c r="E1000" s="556"/>
      <c r="F1000" s="564"/>
      <c r="G1000" s="564"/>
      <c r="H1000" s="564"/>
      <c r="I1000" s="564"/>
      <c r="J1000" s="564"/>
      <c r="K1000" s="564"/>
      <c r="L1000" s="564"/>
      <c r="M1000" s="564"/>
      <c r="N1000" s="564"/>
      <c r="O1000" s="564"/>
      <c r="P1000" s="564"/>
      <c r="Q1000" s="564"/>
      <c r="R1000" s="564"/>
      <c r="S1000" s="564"/>
      <c r="T1000" s="564"/>
      <c r="U1000" s="564"/>
      <c r="V1000" s="564"/>
      <c r="W1000" s="564"/>
      <c r="X1000" s="564"/>
      <c r="Y1000" s="564"/>
      <c r="Z1000" s="564"/>
      <c r="AA1000" s="564"/>
      <c r="AB1000" s="556"/>
      <c r="AC1000" s="556"/>
      <c r="AD1000" s="74"/>
      <c r="AE1000" s="74"/>
      <c r="AF1000" s="74"/>
      <c r="AG1000" s="74"/>
      <c r="AH1000" s="74"/>
      <c r="AI1000" s="74"/>
      <c r="AJ1000" s="74"/>
      <c r="AK1000" s="74"/>
      <c r="AL1000" s="74"/>
      <c r="AM1000" s="74"/>
      <c r="AN1000" s="74"/>
      <c r="AO1000" s="74"/>
      <c r="AP1000" s="74"/>
      <c r="AQ1000" s="74"/>
      <c r="AR1000" s="74"/>
      <c r="AS1000" s="565"/>
      <c r="AT1000" s="556"/>
    </row>
    <row r="1001" spans="1:46" hidden="1" x14ac:dyDescent="0.45">
      <c r="A1001" s="556"/>
      <c r="B1001" s="556"/>
      <c r="C1001" s="556"/>
      <c r="D1001" s="556"/>
      <c r="E1001" s="556"/>
      <c r="F1001" s="564"/>
      <c r="G1001" s="564"/>
      <c r="H1001" s="564"/>
      <c r="I1001" s="564"/>
      <c r="J1001" s="564"/>
      <c r="K1001" s="564"/>
      <c r="L1001" s="564"/>
      <c r="M1001" s="564"/>
      <c r="N1001" s="564"/>
      <c r="O1001" s="564"/>
      <c r="P1001" s="564"/>
      <c r="Q1001" s="564"/>
      <c r="R1001" s="564"/>
      <c r="S1001" s="564"/>
      <c r="T1001" s="564"/>
      <c r="U1001" s="564"/>
      <c r="V1001" s="564"/>
      <c r="W1001" s="564"/>
      <c r="X1001" s="564"/>
      <c r="Y1001" s="564"/>
      <c r="Z1001" s="564"/>
      <c r="AA1001" s="564"/>
      <c r="AB1001" s="556"/>
      <c r="AC1001" s="556"/>
      <c r="AD1001" s="74"/>
      <c r="AE1001" s="74"/>
      <c r="AF1001" s="74"/>
      <c r="AG1001" s="74"/>
      <c r="AH1001" s="74"/>
      <c r="AI1001" s="74"/>
      <c r="AJ1001" s="74"/>
      <c r="AK1001" s="74"/>
      <c r="AL1001" s="74"/>
      <c r="AM1001" s="74"/>
      <c r="AN1001" s="74"/>
      <c r="AO1001" s="74"/>
      <c r="AP1001" s="74"/>
      <c r="AQ1001" s="74"/>
      <c r="AR1001" s="74"/>
      <c r="AS1001" s="565"/>
      <c r="AT1001" s="556"/>
    </row>
    <row r="1002" spans="1:46" hidden="1" x14ac:dyDescent="0.45">
      <c r="A1002" s="556"/>
      <c r="B1002" s="556"/>
      <c r="C1002" s="556"/>
      <c r="D1002" s="556"/>
      <c r="E1002" s="556"/>
      <c r="F1002" s="564"/>
      <c r="G1002" s="564"/>
      <c r="H1002" s="564"/>
      <c r="I1002" s="564"/>
      <c r="J1002" s="564"/>
      <c r="K1002" s="564"/>
      <c r="L1002" s="564"/>
      <c r="M1002" s="564"/>
      <c r="N1002" s="564"/>
      <c r="O1002" s="564"/>
      <c r="P1002" s="564"/>
      <c r="Q1002" s="564"/>
      <c r="R1002" s="564"/>
      <c r="S1002" s="564"/>
      <c r="T1002" s="564"/>
      <c r="U1002" s="564"/>
      <c r="V1002" s="564"/>
      <c r="W1002" s="564"/>
      <c r="X1002" s="564"/>
      <c r="Y1002" s="564"/>
      <c r="Z1002" s="564"/>
      <c r="AA1002" s="564"/>
      <c r="AB1002" s="556"/>
      <c r="AC1002" s="556"/>
      <c r="AD1002" s="74"/>
      <c r="AE1002" s="74"/>
      <c r="AF1002" s="74"/>
      <c r="AG1002" s="74"/>
      <c r="AH1002" s="74"/>
      <c r="AI1002" s="74"/>
      <c r="AJ1002" s="74"/>
      <c r="AK1002" s="74"/>
      <c r="AL1002" s="74"/>
      <c r="AM1002" s="74"/>
      <c r="AN1002" s="74"/>
      <c r="AO1002" s="74"/>
      <c r="AP1002" s="74"/>
      <c r="AQ1002" s="74"/>
      <c r="AR1002" s="74"/>
      <c r="AS1002" s="565"/>
      <c r="AT1002" s="556"/>
    </row>
    <row r="1003" spans="1:46" hidden="1" x14ac:dyDescent="0.45">
      <c r="A1003" s="556"/>
      <c r="B1003" s="556"/>
      <c r="C1003" s="556"/>
      <c r="D1003" s="556"/>
      <c r="E1003" s="556"/>
      <c r="F1003" s="564"/>
      <c r="G1003" s="564"/>
      <c r="H1003" s="564"/>
      <c r="I1003" s="564"/>
      <c r="J1003" s="564"/>
      <c r="K1003" s="564"/>
      <c r="L1003" s="564"/>
      <c r="M1003" s="564"/>
      <c r="N1003" s="564"/>
      <c r="O1003" s="564"/>
      <c r="P1003" s="564"/>
      <c r="Q1003" s="564"/>
      <c r="R1003" s="564"/>
      <c r="S1003" s="564"/>
      <c r="T1003" s="564"/>
      <c r="U1003" s="564"/>
      <c r="V1003" s="564"/>
      <c r="W1003" s="564"/>
      <c r="X1003" s="564"/>
      <c r="Y1003" s="564"/>
      <c r="Z1003" s="564"/>
      <c r="AA1003" s="564"/>
      <c r="AB1003" s="556"/>
      <c r="AC1003" s="556"/>
      <c r="AD1003" s="74"/>
      <c r="AE1003" s="74"/>
      <c r="AF1003" s="74"/>
      <c r="AG1003" s="74"/>
      <c r="AH1003" s="74"/>
      <c r="AI1003" s="74"/>
      <c r="AJ1003" s="74"/>
      <c r="AK1003" s="74"/>
      <c r="AL1003" s="74"/>
      <c r="AM1003" s="74"/>
      <c r="AN1003" s="74"/>
      <c r="AO1003" s="74"/>
      <c r="AP1003" s="74"/>
      <c r="AQ1003" s="74"/>
      <c r="AR1003" s="74"/>
      <c r="AS1003" s="565"/>
      <c r="AT1003" s="556"/>
    </row>
    <row r="1004" spans="1:46" hidden="1" x14ac:dyDescent="0.45">
      <c r="A1004" s="556"/>
      <c r="B1004" s="556"/>
      <c r="C1004" s="556"/>
      <c r="D1004" s="556"/>
      <c r="E1004" s="556"/>
      <c r="F1004" s="564"/>
      <c r="G1004" s="564"/>
      <c r="H1004" s="564"/>
      <c r="I1004" s="564"/>
      <c r="J1004" s="564"/>
      <c r="K1004" s="564"/>
      <c r="L1004" s="564"/>
      <c r="M1004" s="564"/>
      <c r="N1004" s="564"/>
      <c r="O1004" s="564"/>
      <c r="P1004" s="564"/>
      <c r="Q1004" s="564"/>
      <c r="R1004" s="564"/>
      <c r="S1004" s="564"/>
      <c r="T1004" s="564"/>
      <c r="U1004" s="564"/>
      <c r="V1004" s="564"/>
      <c r="W1004" s="564"/>
      <c r="X1004" s="564"/>
      <c r="Y1004" s="564"/>
      <c r="Z1004" s="564"/>
      <c r="AA1004" s="564"/>
      <c r="AB1004" s="556"/>
      <c r="AC1004" s="556"/>
      <c r="AD1004" s="74"/>
      <c r="AE1004" s="74"/>
      <c r="AF1004" s="74"/>
      <c r="AG1004" s="74"/>
      <c r="AH1004" s="74"/>
      <c r="AI1004" s="74"/>
      <c r="AJ1004" s="74"/>
      <c r="AK1004" s="74"/>
      <c r="AL1004" s="74"/>
      <c r="AM1004" s="74"/>
      <c r="AN1004" s="74"/>
      <c r="AO1004" s="74"/>
      <c r="AP1004" s="74"/>
      <c r="AQ1004" s="74"/>
      <c r="AR1004" s="74"/>
      <c r="AS1004" s="565"/>
      <c r="AT1004" s="556"/>
    </row>
    <row r="1005" spans="1:46" hidden="1" x14ac:dyDescent="0.45">
      <c r="A1005" s="556"/>
      <c r="B1005" s="556"/>
      <c r="C1005" s="556"/>
      <c r="D1005" s="556"/>
      <c r="E1005" s="556"/>
      <c r="F1005" s="564"/>
      <c r="G1005" s="564"/>
      <c r="H1005" s="564"/>
      <c r="I1005" s="564"/>
      <c r="J1005" s="564"/>
      <c r="K1005" s="564"/>
      <c r="L1005" s="564"/>
      <c r="M1005" s="564"/>
      <c r="N1005" s="564"/>
      <c r="O1005" s="564"/>
      <c r="P1005" s="564"/>
      <c r="Q1005" s="564"/>
      <c r="R1005" s="564"/>
      <c r="S1005" s="564"/>
      <c r="T1005" s="564"/>
      <c r="U1005" s="564"/>
      <c r="V1005" s="564"/>
      <c r="W1005" s="564"/>
      <c r="X1005" s="564"/>
      <c r="Y1005" s="564"/>
      <c r="Z1005" s="564"/>
      <c r="AA1005" s="564"/>
      <c r="AB1005" s="556"/>
      <c r="AC1005" s="556"/>
      <c r="AD1005" s="74"/>
      <c r="AE1005" s="74"/>
      <c r="AF1005" s="74"/>
      <c r="AG1005" s="74"/>
      <c r="AH1005" s="74"/>
      <c r="AI1005" s="74"/>
      <c r="AJ1005" s="74"/>
      <c r="AK1005" s="74"/>
      <c r="AL1005" s="74"/>
      <c r="AM1005" s="74"/>
      <c r="AN1005" s="74"/>
      <c r="AO1005" s="74"/>
      <c r="AP1005" s="74"/>
      <c r="AQ1005" s="74"/>
      <c r="AR1005" s="74"/>
      <c r="AS1005" s="565"/>
      <c r="AT1005" s="556"/>
    </row>
    <row r="1006" spans="1:46" hidden="1" x14ac:dyDescent="0.45">
      <c r="A1006" s="556"/>
      <c r="B1006" s="556"/>
      <c r="C1006" s="556"/>
      <c r="D1006" s="556"/>
      <c r="E1006" s="556"/>
      <c r="F1006" s="564"/>
      <c r="G1006" s="564"/>
      <c r="H1006" s="564"/>
      <c r="I1006" s="564"/>
      <c r="J1006" s="564"/>
      <c r="K1006" s="564"/>
      <c r="L1006" s="564"/>
      <c r="M1006" s="564"/>
      <c r="N1006" s="564"/>
      <c r="O1006" s="564"/>
      <c r="P1006" s="564"/>
      <c r="Q1006" s="564"/>
      <c r="R1006" s="564"/>
      <c r="S1006" s="564"/>
      <c r="T1006" s="564"/>
      <c r="U1006" s="564"/>
      <c r="V1006" s="564"/>
      <c r="W1006" s="564"/>
      <c r="X1006" s="564"/>
      <c r="Y1006" s="564"/>
      <c r="Z1006" s="564"/>
      <c r="AA1006" s="564"/>
      <c r="AB1006" s="556"/>
      <c r="AC1006" s="556"/>
      <c r="AD1006" s="74"/>
      <c r="AE1006" s="74"/>
      <c r="AF1006" s="74"/>
      <c r="AG1006" s="74"/>
      <c r="AH1006" s="74"/>
      <c r="AI1006" s="74"/>
      <c r="AJ1006" s="74"/>
      <c r="AK1006" s="74"/>
      <c r="AL1006" s="74"/>
      <c r="AM1006" s="74"/>
      <c r="AN1006" s="74"/>
      <c r="AO1006" s="74"/>
      <c r="AP1006" s="74"/>
      <c r="AQ1006" s="74"/>
      <c r="AR1006" s="74"/>
      <c r="AS1006" s="565"/>
      <c r="AT1006" s="556"/>
    </row>
    <row r="1007" spans="1:46" hidden="1" x14ac:dyDescent="0.45">
      <c r="A1007" s="556"/>
      <c r="B1007" s="556"/>
      <c r="C1007" s="556"/>
      <c r="D1007" s="556"/>
      <c r="E1007" s="556"/>
      <c r="F1007" s="564"/>
      <c r="G1007" s="564"/>
      <c r="H1007" s="564"/>
      <c r="I1007" s="564"/>
      <c r="J1007" s="564"/>
      <c r="K1007" s="564"/>
      <c r="L1007" s="564"/>
      <c r="M1007" s="564"/>
      <c r="N1007" s="564"/>
      <c r="O1007" s="564"/>
      <c r="P1007" s="564"/>
      <c r="Q1007" s="564"/>
      <c r="R1007" s="564"/>
      <c r="S1007" s="564"/>
      <c r="T1007" s="564"/>
      <c r="U1007" s="564"/>
      <c r="V1007" s="564"/>
      <c r="W1007" s="564"/>
      <c r="X1007" s="564"/>
      <c r="Y1007" s="564"/>
      <c r="Z1007" s="564"/>
      <c r="AA1007" s="564"/>
      <c r="AB1007" s="556"/>
      <c r="AC1007" s="556"/>
      <c r="AD1007" s="74"/>
      <c r="AE1007" s="74"/>
      <c r="AF1007" s="74"/>
      <c r="AG1007" s="74"/>
      <c r="AH1007" s="74"/>
      <c r="AI1007" s="74"/>
      <c r="AJ1007" s="74"/>
      <c r="AK1007" s="74"/>
      <c r="AL1007" s="74"/>
      <c r="AM1007" s="74"/>
      <c r="AN1007" s="74"/>
      <c r="AO1007" s="74"/>
      <c r="AP1007" s="74"/>
      <c r="AQ1007" s="74"/>
      <c r="AR1007" s="74"/>
      <c r="AS1007" s="565"/>
      <c r="AT1007" s="556"/>
    </row>
    <row r="1008" spans="1:46" hidden="1" x14ac:dyDescent="0.45">
      <c r="A1008" s="556"/>
      <c r="B1008" s="556"/>
      <c r="C1008" s="556"/>
      <c r="D1008" s="556"/>
      <c r="E1008" s="556"/>
      <c r="F1008" s="564"/>
      <c r="G1008" s="564"/>
      <c r="H1008" s="564"/>
      <c r="I1008" s="564"/>
      <c r="J1008" s="564"/>
      <c r="K1008" s="564"/>
      <c r="L1008" s="564"/>
      <c r="M1008" s="564"/>
      <c r="N1008" s="564"/>
      <c r="O1008" s="564"/>
      <c r="P1008" s="564"/>
      <c r="Q1008" s="564"/>
      <c r="R1008" s="564"/>
      <c r="S1008" s="564"/>
      <c r="T1008" s="564"/>
      <c r="U1008" s="564"/>
      <c r="V1008" s="564"/>
      <c r="W1008" s="564"/>
      <c r="X1008" s="564"/>
      <c r="Y1008" s="564"/>
      <c r="Z1008" s="564"/>
      <c r="AA1008" s="564"/>
      <c r="AB1008" s="556"/>
      <c r="AC1008" s="556"/>
      <c r="AD1008" s="74"/>
      <c r="AE1008" s="74"/>
      <c r="AF1008" s="74"/>
      <c r="AG1008" s="74"/>
      <c r="AH1008" s="74"/>
      <c r="AI1008" s="74"/>
      <c r="AJ1008" s="74"/>
      <c r="AK1008" s="74"/>
      <c r="AL1008" s="74"/>
      <c r="AM1008" s="74"/>
      <c r="AN1008" s="74"/>
      <c r="AO1008" s="74"/>
      <c r="AP1008" s="74"/>
      <c r="AQ1008" s="74"/>
      <c r="AR1008" s="74"/>
      <c r="AS1008" s="565"/>
      <c r="AT1008" s="556"/>
    </row>
    <row r="1009" spans="1:46" hidden="1" x14ac:dyDescent="0.45">
      <c r="A1009" s="556"/>
      <c r="B1009" s="556"/>
      <c r="C1009" s="556"/>
      <c r="D1009" s="556"/>
      <c r="E1009" s="556"/>
      <c r="F1009" s="564"/>
      <c r="G1009" s="564"/>
      <c r="H1009" s="564"/>
      <c r="I1009" s="564"/>
      <c r="J1009" s="564"/>
      <c r="K1009" s="564"/>
      <c r="L1009" s="564"/>
      <c r="M1009" s="564"/>
      <c r="N1009" s="564"/>
      <c r="O1009" s="564"/>
      <c r="P1009" s="564"/>
      <c r="Q1009" s="564"/>
      <c r="R1009" s="564"/>
      <c r="S1009" s="564"/>
      <c r="T1009" s="564"/>
      <c r="U1009" s="564"/>
      <c r="V1009" s="564"/>
      <c r="W1009" s="564"/>
      <c r="X1009" s="564"/>
      <c r="Y1009" s="564"/>
      <c r="Z1009" s="564"/>
      <c r="AA1009" s="564"/>
      <c r="AB1009" s="556"/>
      <c r="AC1009" s="556"/>
      <c r="AD1009" s="74"/>
      <c r="AE1009" s="74"/>
      <c r="AF1009" s="74"/>
      <c r="AG1009" s="74"/>
      <c r="AH1009" s="74"/>
      <c r="AI1009" s="74"/>
      <c r="AJ1009" s="74"/>
      <c r="AK1009" s="74"/>
      <c r="AL1009" s="74"/>
      <c r="AM1009" s="74"/>
      <c r="AN1009" s="74"/>
      <c r="AO1009" s="74"/>
      <c r="AP1009" s="74"/>
      <c r="AQ1009" s="74"/>
      <c r="AR1009" s="74"/>
      <c r="AS1009" s="565"/>
      <c r="AT1009" s="556"/>
    </row>
    <row r="1010" spans="1:46" hidden="1" x14ac:dyDescent="0.45">
      <c r="A1010" s="556"/>
      <c r="B1010" s="556"/>
      <c r="C1010" s="556"/>
      <c r="D1010" s="556"/>
      <c r="E1010" s="556"/>
      <c r="F1010" s="564"/>
      <c r="G1010" s="564"/>
      <c r="H1010" s="564"/>
      <c r="I1010" s="564"/>
      <c r="J1010" s="564"/>
      <c r="K1010" s="564"/>
      <c r="L1010" s="564"/>
      <c r="M1010" s="564"/>
      <c r="N1010" s="564"/>
      <c r="O1010" s="564"/>
      <c r="P1010" s="564"/>
      <c r="Q1010" s="564"/>
      <c r="R1010" s="564"/>
      <c r="S1010" s="564"/>
      <c r="T1010" s="564"/>
      <c r="U1010" s="564"/>
      <c r="V1010" s="564"/>
      <c r="W1010" s="564"/>
      <c r="X1010" s="564"/>
      <c r="Y1010" s="564"/>
      <c r="Z1010" s="564"/>
      <c r="AA1010" s="564"/>
      <c r="AB1010" s="556"/>
      <c r="AC1010" s="556"/>
      <c r="AD1010" s="74"/>
      <c r="AE1010" s="74"/>
      <c r="AF1010" s="74"/>
      <c r="AG1010" s="74"/>
      <c r="AH1010" s="74"/>
      <c r="AI1010" s="74"/>
      <c r="AJ1010" s="74"/>
      <c r="AK1010" s="74"/>
      <c r="AL1010" s="74"/>
      <c r="AM1010" s="74"/>
      <c r="AN1010" s="74"/>
      <c r="AO1010" s="74"/>
      <c r="AP1010" s="74"/>
      <c r="AQ1010" s="74"/>
      <c r="AR1010" s="74"/>
      <c r="AS1010" s="565"/>
      <c r="AT1010" s="556"/>
    </row>
    <row r="1011" spans="1:46" hidden="1" x14ac:dyDescent="0.45">
      <c r="A1011" s="556"/>
      <c r="B1011" s="556"/>
      <c r="C1011" s="556"/>
      <c r="D1011" s="556"/>
      <c r="E1011" s="556"/>
      <c r="F1011" s="564"/>
      <c r="G1011" s="564"/>
      <c r="H1011" s="564"/>
      <c r="I1011" s="564"/>
      <c r="J1011" s="564"/>
      <c r="K1011" s="564"/>
      <c r="L1011" s="564"/>
      <c r="M1011" s="564"/>
      <c r="N1011" s="564"/>
      <c r="O1011" s="564"/>
      <c r="P1011" s="564"/>
      <c r="Q1011" s="564"/>
      <c r="R1011" s="564"/>
      <c r="S1011" s="564"/>
      <c r="T1011" s="564"/>
      <c r="U1011" s="564"/>
      <c r="V1011" s="564"/>
      <c r="W1011" s="564"/>
      <c r="X1011" s="564"/>
      <c r="Y1011" s="564"/>
      <c r="Z1011" s="564"/>
      <c r="AA1011" s="564"/>
      <c r="AB1011" s="556"/>
      <c r="AC1011" s="556"/>
      <c r="AD1011" s="74"/>
      <c r="AE1011" s="74"/>
      <c r="AF1011" s="74"/>
      <c r="AG1011" s="74"/>
      <c r="AH1011" s="74"/>
      <c r="AI1011" s="74"/>
      <c r="AJ1011" s="74"/>
      <c r="AK1011" s="74"/>
      <c r="AL1011" s="74"/>
      <c r="AM1011" s="74"/>
      <c r="AN1011" s="74"/>
      <c r="AO1011" s="74"/>
      <c r="AP1011" s="74"/>
      <c r="AQ1011" s="74"/>
      <c r="AR1011" s="74"/>
      <c r="AS1011" s="565"/>
      <c r="AT1011" s="556"/>
    </row>
    <row r="1012" spans="1:46" hidden="1" x14ac:dyDescent="0.45">
      <c r="A1012" s="556"/>
      <c r="B1012" s="556"/>
      <c r="C1012" s="556"/>
      <c r="D1012" s="556"/>
      <c r="E1012" s="556"/>
      <c r="F1012" s="564"/>
      <c r="G1012" s="564"/>
      <c r="H1012" s="564"/>
      <c r="I1012" s="564"/>
      <c r="J1012" s="564"/>
      <c r="K1012" s="564"/>
      <c r="L1012" s="564"/>
      <c r="M1012" s="564"/>
      <c r="N1012" s="564"/>
      <c r="O1012" s="564"/>
      <c r="P1012" s="564"/>
      <c r="Q1012" s="564"/>
      <c r="R1012" s="564"/>
      <c r="S1012" s="564"/>
      <c r="T1012" s="564"/>
      <c r="U1012" s="564"/>
      <c r="V1012" s="564"/>
      <c r="W1012" s="564"/>
      <c r="X1012" s="564"/>
      <c r="Y1012" s="564"/>
      <c r="Z1012" s="564"/>
      <c r="AA1012" s="564"/>
      <c r="AB1012" s="556"/>
      <c r="AC1012" s="556"/>
      <c r="AD1012" s="74"/>
      <c r="AE1012" s="74"/>
      <c r="AF1012" s="74"/>
      <c r="AG1012" s="74"/>
      <c r="AH1012" s="74"/>
      <c r="AI1012" s="74"/>
      <c r="AJ1012" s="74"/>
      <c r="AK1012" s="74"/>
      <c r="AL1012" s="74"/>
      <c r="AM1012" s="74"/>
      <c r="AN1012" s="74"/>
      <c r="AO1012" s="74"/>
      <c r="AP1012" s="74"/>
      <c r="AQ1012" s="74"/>
      <c r="AR1012" s="74"/>
      <c r="AS1012" s="565"/>
      <c r="AT1012" s="556"/>
    </row>
    <row r="1013" spans="1:46" hidden="1" x14ac:dyDescent="0.45">
      <c r="A1013" s="556"/>
      <c r="B1013" s="556"/>
      <c r="C1013" s="556"/>
      <c r="D1013" s="556"/>
      <c r="E1013" s="556"/>
      <c r="F1013" s="564"/>
      <c r="G1013" s="564"/>
      <c r="H1013" s="564"/>
      <c r="I1013" s="564"/>
      <c r="J1013" s="564"/>
      <c r="K1013" s="564"/>
      <c r="L1013" s="564"/>
      <c r="M1013" s="564"/>
      <c r="N1013" s="564"/>
      <c r="O1013" s="564"/>
      <c r="P1013" s="564"/>
      <c r="Q1013" s="564"/>
      <c r="R1013" s="564"/>
      <c r="S1013" s="564"/>
      <c r="T1013" s="564"/>
      <c r="U1013" s="564"/>
      <c r="V1013" s="564"/>
      <c r="W1013" s="564"/>
      <c r="X1013" s="564"/>
      <c r="Y1013" s="564"/>
      <c r="Z1013" s="564"/>
      <c r="AA1013" s="564"/>
      <c r="AB1013" s="556"/>
      <c r="AC1013" s="556"/>
      <c r="AD1013" s="74"/>
      <c r="AE1013" s="74"/>
      <c r="AF1013" s="74"/>
      <c r="AG1013" s="74"/>
      <c r="AH1013" s="74"/>
      <c r="AI1013" s="74"/>
      <c r="AJ1013" s="74"/>
      <c r="AK1013" s="74"/>
      <c r="AL1013" s="74"/>
      <c r="AM1013" s="74"/>
      <c r="AN1013" s="74"/>
      <c r="AO1013" s="74"/>
      <c r="AP1013" s="74"/>
      <c r="AQ1013" s="74"/>
      <c r="AR1013" s="74"/>
      <c r="AS1013" s="565"/>
      <c r="AT1013" s="556"/>
    </row>
    <row r="1014" spans="1:46" hidden="1" x14ac:dyDescent="0.45">
      <c r="A1014" s="556"/>
      <c r="B1014" s="556"/>
      <c r="C1014" s="556"/>
      <c r="D1014" s="556"/>
      <c r="E1014" s="556"/>
      <c r="F1014" s="564"/>
      <c r="G1014" s="564"/>
      <c r="H1014" s="564"/>
      <c r="I1014" s="564"/>
      <c r="J1014" s="564"/>
      <c r="K1014" s="564"/>
      <c r="L1014" s="564"/>
      <c r="M1014" s="564"/>
      <c r="N1014" s="564"/>
      <c r="O1014" s="564"/>
      <c r="P1014" s="564"/>
      <c r="Q1014" s="564"/>
      <c r="R1014" s="564"/>
      <c r="S1014" s="564"/>
      <c r="T1014" s="564"/>
      <c r="U1014" s="564"/>
      <c r="V1014" s="564"/>
      <c r="W1014" s="564"/>
      <c r="X1014" s="564"/>
      <c r="Y1014" s="564"/>
      <c r="Z1014" s="564"/>
      <c r="AA1014" s="564"/>
      <c r="AB1014" s="556"/>
      <c r="AC1014" s="556"/>
      <c r="AD1014" s="74"/>
      <c r="AE1014" s="74"/>
      <c r="AF1014" s="74"/>
      <c r="AG1014" s="74"/>
      <c r="AH1014" s="74"/>
      <c r="AI1014" s="74"/>
      <c r="AJ1014" s="74"/>
      <c r="AK1014" s="74"/>
      <c r="AL1014" s="74"/>
      <c r="AM1014" s="74"/>
      <c r="AN1014" s="74"/>
      <c r="AO1014" s="74"/>
      <c r="AP1014" s="74"/>
      <c r="AQ1014" s="74"/>
      <c r="AR1014" s="74"/>
      <c r="AS1014" s="565"/>
      <c r="AT1014" s="556"/>
    </row>
    <row r="1015" spans="1:46" hidden="1" x14ac:dyDescent="0.45">
      <c r="A1015" s="556"/>
      <c r="B1015" s="556"/>
      <c r="C1015" s="556"/>
      <c r="D1015" s="556"/>
      <c r="E1015" s="556"/>
      <c r="F1015" s="564"/>
      <c r="G1015" s="564"/>
      <c r="H1015" s="564"/>
      <c r="I1015" s="564"/>
      <c r="J1015" s="564"/>
      <c r="K1015" s="564"/>
      <c r="L1015" s="564"/>
      <c r="M1015" s="564"/>
      <c r="N1015" s="564"/>
      <c r="O1015" s="564"/>
      <c r="P1015" s="564"/>
      <c r="Q1015" s="564"/>
      <c r="R1015" s="564"/>
      <c r="S1015" s="564"/>
      <c r="T1015" s="564"/>
      <c r="U1015" s="564"/>
      <c r="V1015" s="564"/>
      <c r="W1015" s="564"/>
      <c r="X1015" s="564"/>
      <c r="Y1015" s="564"/>
      <c r="Z1015" s="564"/>
      <c r="AA1015" s="564"/>
      <c r="AB1015" s="556"/>
      <c r="AC1015" s="556"/>
      <c r="AD1015" s="74"/>
      <c r="AE1015" s="74"/>
      <c r="AF1015" s="74"/>
      <c r="AG1015" s="74"/>
      <c r="AH1015" s="74"/>
      <c r="AI1015" s="74"/>
      <c r="AJ1015" s="74"/>
      <c r="AK1015" s="74"/>
      <c r="AL1015" s="74"/>
      <c r="AM1015" s="74"/>
      <c r="AN1015" s="74"/>
      <c r="AO1015" s="74"/>
      <c r="AP1015" s="74"/>
      <c r="AQ1015" s="74"/>
      <c r="AR1015" s="74"/>
      <c r="AS1015" s="565"/>
      <c r="AT1015" s="556"/>
    </row>
    <row r="1016" spans="1:46" hidden="1" x14ac:dyDescent="0.45">
      <c r="A1016" s="556"/>
      <c r="B1016" s="556"/>
      <c r="C1016" s="556"/>
      <c r="D1016" s="556"/>
      <c r="E1016" s="556"/>
      <c r="F1016" s="564"/>
      <c r="G1016" s="564"/>
      <c r="H1016" s="564"/>
      <c r="I1016" s="564"/>
      <c r="J1016" s="564"/>
      <c r="K1016" s="564"/>
      <c r="L1016" s="564"/>
      <c r="M1016" s="564"/>
      <c r="N1016" s="564"/>
      <c r="O1016" s="564"/>
      <c r="P1016" s="564"/>
      <c r="Q1016" s="564"/>
      <c r="R1016" s="564"/>
      <c r="S1016" s="564"/>
      <c r="T1016" s="564"/>
      <c r="U1016" s="564"/>
      <c r="V1016" s="564"/>
      <c r="W1016" s="564"/>
      <c r="X1016" s="564"/>
      <c r="Y1016" s="564"/>
      <c r="Z1016" s="564"/>
      <c r="AA1016" s="564"/>
      <c r="AB1016" s="556"/>
      <c r="AC1016" s="556"/>
      <c r="AD1016" s="74"/>
      <c r="AE1016" s="74"/>
      <c r="AF1016" s="74"/>
      <c r="AG1016" s="74"/>
      <c r="AH1016" s="74"/>
      <c r="AI1016" s="74"/>
      <c r="AJ1016" s="74"/>
      <c r="AK1016" s="74"/>
      <c r="AL1016" s="74"/>
      <c r="AM1016" s="74"/>
      <c r="AN1016" s="74"/>
      <c r="AO1016" s="74"/>
      <c r="AP1016" s="74"/>
      <c r="AQ1016" s="74"/>
      <c r="AR1016" s="74"/>
      <c r="AS1016" s="565"/>
      <c r="AT1016" s="556"/>
    </row>
    <row r="1017" spans="1:46" hidden="1" x14ac:dyDescent="0.45">
      <c r="A1017" s="556"/>
      <c r="B1017" s="556"/>
      <c r="C1017" s="556"/>
      <c r="D1017" s="556"/>
      <c r="E1017" s="556"/>
      <c r="F1017" s="564"/>
      <c r="G1017" s="564"/>
      <c r="H1017" s="564"/>
      <c r="I1017" s="564"/>
      <c r="J1017" s="564"/>
      <c r="K1017" s="564"/>
      <c r="L1017" s="564"/>
      <c r="M1017" s="564"/>
      <c r="N1017" s="564"/>
      <c r="O1017" s="564"/>
      <c r="P1017" s="564"/>
      <c r="Q1017" s="564"/>
      <c r="R1017" s="564"/>
      <c r="S1017" s="564"/>
      <c r="T1017" s="564"/>
      <c r="U1017" s="564"/>
      <c r="V1017" s="564"/>
      <c r="W1017" s="564"/>
      <c r="X1017" s="564"/>
      <c r="Y1017" s="564"/>
      <c r="Z1017" s="564"/>
      <c r="AA1017" s="564"/>
      <c r="AB1017" s="556"/>
      <c r="AC1017" s="556"/>
      <c r="AD1017" s="74"/>
      <c r="AE1017" s="74"/>
      <c r="AF1017" s="74"/>
      <c r="AG1017" s="74"/>
      <c r="AH1017" s="74"/>
      <c r="AI1017" s="74"/>
      <c r="AJ1017" s="74"/>
      <c r="AK1017" s="74"/>
      <c r="AL1017" s="74"/>
      <c r="AM1017" s="74"/>
      <c r="AN1017" s="74"/>
      <c r="AO1017" s="74"/>
      <c r="AP1017" s="74"/>
      <c r="AQ1017" s="74"/>
      <c r="AR1017" s="74"/>
      <c r="AS1017" s="565"/>
      <c r="AT1017" s="556"/>
    </row>
    <row r="1018" spans="1:46" hidden="1" x14ac:dyDescent="0.45">
      <c r="A1018" s="556"/>
      <c r="B1018" s="556"/>
      <c r="C1018" s="556"/>
      <c r="D1018" s="556"/>
      <c r="E1018" s="556"/>
      <c r="F1018" s="564"/>
      <c r="G1018" s="564"/>
      <c r="H1018" s="564"/>
      <c r="I1018" s="564"/>
      <c r="J1018" s="564"/>
      <c r="K1018" s="564"/>
      <c r="L1018" s="564"/>
      <c r="M1018" s="564"/>
      <c r="N1018" s="564"/>
      <c r="O1018" s="564"/>
      <c r="P1018" s="564"/>
      <c r="Q1018" s="564"/>
      <c r="R1018" s="564"/>
      <c r="S1018" s="564"/>
      <c r="T1018" s="564"/>
      <c r="U1018" s="564"/>
      <c r="V1018" s="564"/>
      <c r="W1018" s="564"/>
      <c r="X1018" s="564"/>
      <c r="Y1018" s="564"/>
      <c r="Z1018" s="564"/>
      <c r="AA1018" s="564"/>
      <c r="AB1018" s="556"/>
      <c r="AC1018" s="556"/>
      <c r="AD1018" s="74"/>
      <c r="AE1018" s="74"/>
      <c r="AF1018" s="74"/>
      <c r="AG1018" s="74"/>
      <c r="AH1018" s="74"/>
      <c r="AI1018" s="74"/>
      <c r="AJ1018" s="74"/>
      <c r="AK1018" s="74"/>
      <c r="AL1018" s="74"/>
      <c r="AM1018" s="74"/>
      <c r="AN1018" s="74"/>
      <c r="AO1018" s="74"/>
      <c r="AP1018" s="74"/>
      <c r="AQ1018" s="74"/>
      <c r="AR1018" s="74"/>
      <c r="AS1018" s="565"/>
      <c r="AT1018" s="556"/>
    </row>
    <row r="1019" spans="1:46" hidden="1" x14ac:dyDescent="0.45">
      <c r="A1019" s="556"/>
      <c r="B1019" s="556"/>
      <c r="C1019" s="556"/>
      <c r="D1019" s="556"/>
      <c r="E1019" s="556"/>
      <c r="F1019" s="564"/>
      <c r="G1019" s="564"/>
      <c r="H1019" s="564"/>
      <c r="I1019" s="564"/>
      <c r="J1019" s="564"/>
      <c r="K1019" s="564"/>
      <c r="L1019" s="564"/>
      <c r="M1019" s="564"/>
      <c r="N1019" s="564"/>
      <c r="O1019" s="564"/>
      <c r="P1019" s="564"/>
      <c r="Q1019" s="564"/>
      <c r="R1019" s="564"/>
      <c r="S1019" s="564"/>
      <c r="T1019" s="564"/>
      <c r="U1019" s="564"/>
      <c r="V1019" s="564"/>
      <c r="W1019" s="564"/>
      <c r="X1019" s="564"/>
      <c r="Y1019" s="564"/>
      <c r="Z1019" s="564"/>
      <c r="AA1019" s="564"/>
      <c r="AB1019" s="556"/>
      <c r="AC1019" s="556"/>
      <c r="AD1019" s="74"/>
      <c r="AE1019" s="74"/>
      <c r="AF1019" s="74"/>
      <c r="AG1019" s="74"/>
      <c r="AH1019" s="74"/>
      <c r="AI1019" s="74"/>
      <c r="AJ1019" s="74"/>
      <c r="AK1019" s="74"/>
      <c r="AL1019" s="74"/>
      <c r="AM1019" s="74"/>
      <c r="AN1019" s="74"/>
      <c r="AO1019" s="74"/>
      <c r="AP1019" s="74"/>
      <c r="AQ1019" s="74"/>
      <c r="AR1019" s="74"/>
      <c r="AS1019" s="565"/>
      <c r="AT1019" s="556"/>
    </row>
    <row r="1020" spans="1:46" hidden="1" x14ac:dyDescent="0.45">
      <c r="A1020" s="556"/>
      <c r="B1020" s="556"/>
      <c r="C1020" s="556"/>
      <c r="D1020" s="556"/>
      <c r="E1020" s="556"/>
      <c r="F1020" s="564"/>
      <c r="G1020" s="564"/>
      <c r="H1020" s="564"/>
      <c r="I1020" s="564"/>
      <c r="J1020" s="564"/>
      <c r="K1020" s="564"/>
      <c r="L1020" s="564"/>
      <c r="M1020" s="564"/>
      <c r="N1020" s="564"/>
      <c r="O1020" s="564"/>
      <c r="P1020" s="564"/>
      <c r="Q1020" s="564"/>
      <c r="R1020" s="564"/>
      <c r="S1020" s="564"/>
      <c r="T1020" s="564"/>
      <c r="U1020" s="564"/>
      <c r="V1020" s="564"/>
      <c r="W1020" s="564"/>
      <c r="X1020" s="564"/>
      <c r="Y1020" s="564"/>
      <c r="Z1020" s="564"/>
      <c r="AA1020" s="564"/>
      <c r="AB1020" s="556"/>
      <c r="AC1020" s="556"/>
      <c r="AD1020" s="74"/>
      <c r="AE1020" s="74"/>
      <c r="AF1020" s="74"/>
      <c r="AG1020" s="74"/>
      <c r="AH1020" s="74"/>
      <c r="AI1020" s="74"/>
      <c r="AJ1020" s="74"/>
      <c r="AK1020" s="74"/>
      <c r="AL1020" s="74"/>
      <c r="AM1020" s="74"/>
      <c r="AN1020" s="74"/>
      <c r="AO1020" s="74"/>
      <c r="AP1020" s="74"/>
      <c r="AQ1020" s="74"/>
      <c r="AR1020" s="74"/>
      <c r="AS1020" s="565"/>
      <c r="AT1020" s="556"/>
    </row>
    <row r="1021" spans="1:46" hidden="1" x14ac:dyDescent="0.45">
      <c r="A1021" s="556"/>
      <c r="B1021" s="556"/>
      <c r="C1021" s="556"/>
      <c r="D1021" s="556"/>
      <c r="E1021" s="556"/>
      <c r="F1021" s="564"/>
      <c r="G1021" s="564"/>
      <c r="H1021" s="564"/>
      <c r="I1021" s="564"/>
      <c r="J1021" s="564"/>
      <c r="K1021" s="564"/>
      <c r="L1021" s="564"/>
      <c r="M1021" s="564"/>
      <c r="N1021" s="564"/>
      <c r="O1021" s="564"/>
      <c r="P1021" s="564"/>
      <c r="Q1021" s="564"/>
      <c r="R1021" s="564"/>
      <c r="S1021" s="564"/>
      <c r="T1021" s="564"/>
      <c r="U1021" s="564"/>
      <c r="V1021" s="564"/>
      <c r="W1021" s="564"/>
      <c r="X1021" s="564"/>
      <c r="Y1021" s="564"/>
      <c r="Z1021" s="564"/>
      <c r="AA1021" s="564"/>
      <c r="AB1021" s="556"/>
      <c r="AC1021" s="556"/>
      <c r="AD1021" s="74"/>
      <c r="AE1021" s="74"/>
      <c r="AF1021" s="74"/>
      <c r="AG1021" s="74"/>
      <c r="AH1021" s="74"/>
      <c r="AI1021" s="74"/>
      <c r="AJ1021" s="74"/>
      <c r="AK1021" s="74"/>
      <c r="AL1021" s="74"/>
      <c r="AM1021" s="74"/>
      <c r="AN1021" s="74"/>
      <c r="AO1021" s="74"/>
      <c r="AP1021" s="74"/>
      <c r="AQ1021" s="74"/>
      <c r="AR1021" s="74"/>
      <c r="AS1021" s="565"/>
      <c r="AT1021" s="556"/>
    </row>
    <row r="1022" spans="1:46" hidden="1" x14ac:dyDescent="0.45">
      <c r="A1022" s="556"/>
      <c r="B1022" s="556"/>
      <c r="C1022" s="556"/>
      <c r="D1022" s="556"/>
      <c r="E1022" s="556"/>
      <c r="F1022" s="564"/>
      <c r="G1022" s="564"/>
      <c r="H1022" s="564"/>
      <c r="I1022" s="564"/>
      <c r="J1022" s="564"/>
      <c r="K1022" s="564"/>
      <c r="L1022" s="564"/>
      <c r="M1022" s="564"/>
      <c r="N1022" s="564"/>
      <c r="O1022" s="564"/>
      <c r="P1022" s="564"/>
      <c r="Q1022" s="564"/>
      <c r="R1022" s="564"/>
      <c r="S1022" s="564"/>
      <c r="T1022" s="564"/>
      <c r="U1022" s="564"/>
      <c r="V1022" s="564"/>
      <c r="W1022" s="564"/>
      <c r="X1022" s="564"/>
      <c r="Y1022" s="564"/>
      <c r="Z1022" s="564"/>
      <c r="AA1022" s="564"/>
      <c r="AB1022" s="556"/>
      <c r="AC1022" s="556"/>
      <c r="AD1022" s="74"/>
      <c r="AE1022" s="74"/>
      <c r="AF1022" s="74"/>
      <c r="AG1022" s="74"/>
      <c r="AH1022" s="74"/>
      <c r="AI1022" s="74"/>
      <c r="AJ1022" s="74"/>
      <c r="AK1022" s="74"/>
      <c r="AL1022" s="74"/>
      <c r="AM1022" s="74"/>
      <c r="AN1022" s="74"/>
      <c r="AO1022" s="74"/>
      <c r="AP1022" s="74"/>
      <c r="AQ1022" s="74"/>
      <c r="AR1022" s="74"/>
      <c r="AS1022" s="565"/>
      <c r="AT1022" s="556"/>
    </row>
    <row r="1023" spans="1:46" hidden="1" x14ac:dyDescent="0.45">
      <c r="A1023" s="556"/>
      <c r="B1023" s="556"/>
      <c r="C1023" s="556"/>
      <c r="D1023" s="556"/>
      <c r="E1023" s="556"/>
      <c r="F1023" s="564"/>
      <c r="G1023" s="564"/>
      <c r="H1023" s="564"/>
      <c r="I1023" s="564"/>
      <c r="J1023" s="564"/>
      <c r="K1023" s="564"/>
      <c r="L1023" s="564"/>
      <c r="M1023" s="564"/>
      <c r="N1023" s="564"/>
      <c r="O1023" s="564"/>
      <c r="P1023" s="564"/>
      <c r="Q1023" s="564"/>
      <c r="R1023" s="564"/>
      <c r="S1023" s="564"/>
      <c r="T1023" s="564"/>
      <c r="U1023" s="564"/>
      <c r="V1023" s="564"/>
      <c r="W1023" s="564"/>
      <c r="X1023" s="564"/>
      <c r="Y1023" s="564"/>
      <c r="Z1023" s="564"/>
      <c r="AA1023" s="564"/>
      <c r="AB1023" s="556"/>
      <c r="AC1023" s="556"/>
      <c r="AD1023" s="74"/>
      <c r="AE1023" s="74"/>
      <c r="AF1023" s="74"/>
      <c r="AG1023" s="74"/>
      <c r="AH1023" s="74"/>
      <c r="AI1023" s="74"/>
      <c r="AJ1023" s="74"/>
      <c r="AK1023" s="74"/>
      <c r="AL1023" s="74"/>
      <c r="AM1023" s="74"/>
      <c r="AN1023" s="74"/>
      <c r="AO1023" s="74"/>
      <c r="AP1023" s="74"/>
      <c r="AQ1023" s="74"/>
      <c r="AR1023" s="74"/>
      <c r="AS1023" s="565"/>
      <c r="AT1023" s="556"/>
    </row>
    <row r="1024" spans="1:46" hidden="1" x14ac:dyDescent="0.45">
      <c r="A1024" s="556"/>
      <c r="B1024" s="556"/>
      <c r="C1024" s="556"/>
      <c r="D1024" s="556"/>
      <c r="E1024" s="556"/>
      <c r="F1024" s="564"/>
      <c r="G1024" s="564"/>
      <c r="H1024" s="564"/>
      <c r="I1024" s="564"/>
      <c r="J1024" s="564"/>
      <c r="K1024" s="564"/>
      <c r="L1024" s="564"/>
      <c r="M1024" s="564"/>
      <c r="N1024" s="564"/>
      <c r="O1024" s="564"/>
      <c r="P1024" s="564"/>
      <c r="Q1024" s="564"/>
      <c r="R1024" s="564"/>
      <c r="S1024" s="564"/>
      <c r="T1024" s="564"/>
      <c r="U1024" s="564"/>
      <c r="V1024" s="564"/>
      <c r="W1024" s="564"/>
      <c r="X1024" s="564"/>
      <c r="Y1024" s="564"/>
      <c r="Z1024" s="564"/>
      <c r="AA1024" s="564"/>
      <c r="AB1024" s="556"/>
      <c r="AC1024" s="556"/>
      <c r="AD1024" s="74"/>
      <c r="AE1024" s="74"/>
      <c r="AF1024" s="74"/>
      <c r="AG1024" s="74"/>
      <c r="AH1024" s="74"/>
      <c r="AI1024" s="74"/>
      <c r="AJ1024" s="74"/>
      <c r="AK1024" s="74"/>
      <c r="AL1024" s="74"/>
      <c r="AM1024" s="74"/>
      <c r="AN1024" s="74"/>
      <c r="AO1024" s="74"/>
      <c r="AP1024" s="74"/>
      <c r="AQ1024" s="74"/>
      <c r="AR1024" s="74"/>
      <c r="AS1024" s="565"/>
      <c r="AT1024" s="556"/>
    </row>
    <row r="1025" spans="1:46" hidden="1" x14ac:dyDescent="0.45">
      <c r="A1025" s="556"/>
      <c r="B1025" s="556"/>
      <c r="C1025" s="556"/>
      <c r="D1025" s="556"/>
      <c r="E1025" s="556"/>
      <c r="F1025" s="564"/>
      <c r="G1025" s="564"/>
      <c r="H1025" s="564"/>
      <c r="I1025" s="564"/>
      <c r="J1025" s="564"/>
      <c r="K1025" s="564"/>
      <c r="L1025" s="564"/>
      <c r="M1025" s="564"/>
      <c r="N1025" s="564"/>
      <c r="O1025" s="564"/>
      <c r="P1025" s="564"/>
      <c r="Q1025" s="564"/>
      <c r="R1025" s="564"/>
      <c r="S1025" s="564"/>
      <c r="T1025" s="564"/>
      <c r="U1025" s="564"/>
      <c r="V1025" s="564"/>
      <c r="W1025" s="564"/>
      <c r="X1025" s="564"/>
      <c r="Y1025" s="564"/>
      <c r="Z1025" s="564"/>
      <c r="AA1025" s="564"/>
      <c r="AB1025" s="556"/>
      <c r="AC1025" s="556"/>
      <c r="AD1025" s="74"/>
      <c r="AE1025" s="74"/>
      <c r="AF1025" s="74"/>
      <c r="AG1025" s="74"/>
      <c r="AH1025" s="74"/>
      <c r="AI1025" s="74"/>
      <c r="AJ1025" s="74"/>
      <c r="AK1025" s="74"/>
      <c r="AL1025" s="74"/>
      <c r="AM1025" s="74"/>
      <c r="AN1025" s="74"/>
      <c r="AO1025" s="74"/>
      <c r="AP1025" s="74"/>
      <c r="AQ1025" s="74"/>
      <c r="AR1025" s="74"/>
      <c r="AS1025" s="565"/>
      <c r="AT1025" s="556"/>
    </row>
    <row r="1026" spans="1:46" hidden="1" x14ac:dyDescent="0.45">
      <c r="A1026" s="556"/>
      <c r="B1026" s="556"/>
      <c r="C1026" s="556"/>
      <c r="D1026" s="556"/>
      <c r="E1026" s="556"/>
      <c r="F1026" s="564"/>
      <c r="G1026" s="564"/>
      <c r="H1026" s="564"/>
      <c r="I1026" s="564"/>
      <c r="J1026" s="564"/>
      <c r="K1026" s="564"/>
      <c r="L1026" s="564"/>
      <c r="M1026" s="564"/>
      <c r="N1026" s="564"/>
      <c r="O1026" s="564"/>
      <c r="P1026" s="564"/>
      <c r="Q1026" s="564"/>
      <c r="R1026" s="564"/>
      <c r="S1026" s="564"/>
      <c r="T1026" s="564"/>
      <c r="U1026" s="564"/>
      <c r="V1026" s="564"/>
      <c r="W1026" s="564"/>
      <c r="X1026" s="564"/>
      <c r="Y1026" s="564"/>
      <c r="Z1026" s="564"/>
      <c r="AA1026" s="564"/>
      <c r="AB1026" s="556"/>
      <c r="AC1026" s="556"/>
      <c r="AD1026" s="74"/>
      <c r="AE1026" s="74"/>
      <c r="AF1026" s="74"/>
      <c r="AG1026" s="74"/>
      <c r="AH1026" s="74"/>
      <c r="AI1026" s="74"/>
      <c r="AJ1026" s="74"/>
      <c r="AK1026" s="74"/>
      <c r="AL1026" s="74"/>
      <c r="AM1026" s="74"/>
      <c r="AN1026" s="74"/>
      <c r="AO1026" s="74"/>
      <c r="AP1026" s="74"/>
      <c r="AQ1026" s="74"/>
      <c r="AR1026" s="74"/>
      <c r="AS1026" s="565"/>
      <c r="AT1026" s="556"/>
    </row>
    <row r="1027" spans="1:46" hidden="1" x14ac:dyDescent="0.45">
      <c r="A1027" s="556"/>
      <c r="B1027" s="556"/>
      <c r="C1027" s="556"/>
      <c r="D1027" s="556"/>
      <c r="E1027" s="556"/>
      <c r="F1027" s="564"/>
      <c r="G1027" s="564"/>
      <c r="H1027" s="564"/>
      <c r="I1027" s="564"/>
      <c r="J1027" s="564"/>
      <c r="K1027" s="564"/>
      <c r="L1027" s="564"/>
      <c r="M1027" s="564"/>
      <c r="N1027" s="564"/>
      <c r="O1027" s="564"/>
      <c r="P1027" s="564"/>
      <c r="Q1027" s="564"/>
      <c r="R1027" s="564"/>
      <c r="S1027" s="564"/>
      <c r="T1027" s="564"/>
      <c r="U1027" s="564"/>
      <c r="V1027" s="564"/>
      <c r="W1027" s="564"/>
      <c r="X1027" s="564"/>
      <c r="Y1027" s="564"/>
      <c r="Z1027" s="564"/>
      <c r="AA1027" s="564"/>
      <c r="AB1027" s="556"/>
      <c r="AC1027" s="556"/>
      <c r="AD1027" s="74"/>
      <c r="AE1027" s="74"/>
      <c r="AF1027" s="74"/>
      <c r="AG1027" s="74"/>
      <c r="AH1027" s="74"/>
      <c r="AI1027" s="74"/>
      <c r="AJ1027" s="74"/>
      <c r="AK1027" s="74"/>
      <c r="AL1027" s="74"/>
      <c r="AM1027" s="74"/>
      <c r="AN1027" s="74"/>
      <c r="AO1027" s="74"/>
      <c r="AP1027" s="74"/>
      <c r="AQ1027" s="74"/>
      <c r="AR1027" s="74"/>
      <c r="AS1027" s="565"/>
      <c r="AT1027" s="556"/>
    </row>
    <row r="1028" spans="1:46" hidden="1" x14ac:dyDescent="0.45">
      <c r="A1028" s="556"/>
      <c r="B1028" s="556"/>
      <c r="C1028" s="556"/>
      <c r="D1028" s="556"/>
      <c r="E1028" s="556"/>
      <c r="F1028" s="564"/>
      <c r="G1028" s="564"/>
      <c r="H1028" s="564"/>
      <c r="I1028" s="564"/>
      <c r="J1028" s="564"/>
      <c r="K1028" s="564"/>
      <c r="L1028" s="564"/>
      <c r="M1028" s="564"/>
      <c r="N1028" s="564"/>
      <c r="O1028" s="564"/>
      <c r="P1028" s="564"/>
      <c r="Q1028" s="564"/>
      <c r="R1028" s="564"/>
      <c r="S1028" s="564"/>
      <c r="T1028" s="564"/>
      <c r="U1028" s="564"/>
      <c r="V1028" s="564"/>
      <c r="W1028" s="564"/>
      <c r="X1028" s="564"/>
      <c r="Y1028" s="564"/>
      <c r="Z1028" s="564"/>
      <c r="AA1028" s="564"/>
      <c r="AB1028" s="556"/>
      <c r="AC1028" s="556"/>
      <c r="AD1028" s="74"/>
      <c r="AE1028" s="74"/>
      <c r="AF1028" s="74"/>
      <c r="AG1028" s="74"/>
      <c r="AH1028" s="74"/>
      <c r="AI1028" s="74"/>
      <c r="AJ1028" s="74"/>
      <c r="AK1028" s="74"/>
      <c r="AL1028" s="74"/>
      <c r="AM1028" s="74"/>
      <c r="AN1028" s="74"/>
      <c r="AO1028" s="74"/>
      <c r="AP1028" s="74"/>
      <c r="AQ1028" s="74"/>
      <c r="AR1028" s="74"/>
      <c r="AS1028" s="565"/>
      <c r="AT1028" s="556"/>
    </row>
    <row r="1029" spans="1:46" hidden="1" x14ac:dyDescent="0.45">
      <c r="A1029" s="556"/>
      <c r="B1029" s="556"/>
      <c r="C1029" s="556"/>
      <c r="D1029" s="556"/>
      <c r="E1029" s="556"/>
      <c r="F1029" s="564"/>
      <c r="G1029" s="564"/>
      <c r="H1029" s="564"/>
      <c r="I1029" s="564"/>
      <c r="J1029" s="564"/>
      <c r="K1029" s="564"/>
      <c r="L1029" s="564"/>
      <c r="M1029" s="564"/>
      <c r="N1029" s="564"/>
      <c r="O1029" s="564"/>
      <c r="P1029" s="564"/>
      <c r="Q1029" s="564"/>
      <c r="R1029" s="564"/>
      <c r="S1029" s="564"/>
      <c r="T1029" s="564"/>
      <c r="U1029" s="564"/>
      <c r="V1029" s="564"/>
      <c r="W1029" s="564"/>
      <c r="X1029" s="564"/>
      <c r="Y1029" s="564"/>
      <c r="Z1029" s="564"/>
      <c r="AA1029" s="564"/>
      <c r="AB1029" s="556"/>
      <c r="AC1029" s="556"/>
      <c r="AD1029" s="74"/>
      <c r="AE1029" s="74"/>
      <c r="AF1029" s="74"/>
      <c r="AG1029" s="74"/>
      <c r="AH1029" s="74"/>
      <c r="AI1029" s="74"/>
      <c r="AJ1029" s="74"/>
      <c r="AK1029" s="74"/>
      <c r="AL1029" s="74"/>
      <c r="AM1029" s="74"/>
      <c r="AN1029" s="74"/>
      <c r="AO1029" s="74"/>
      <c r="AP1029" s="74"/>
      <c r="AQ1029" s="74"/>
      <c r="AR1029" s="74"/>
      <c r="AS1029" s="565"/>
      <c r="AT1029" s="556"/>
    </row>
    <row r="1030" spans="1:46" hidden="1" x14ac:dyDescent="0.45">
      <c r="A1030" s="556"/>
      <c r="B1030" s="556"/>
      <c r="C1030" s="556"/>
      <c r="D1030" s="556"/>
      <c r="E1030" s="556"/>
      <c r="F1030" s="564"/>
      <c r="G1030" s="564"/>
      <c r="H1030" s="564"/>
      <c r="I1030" s="564"/>
      <c r="J1030" s="564"/>
      <c r="K1030" s="564"/>
      <c r="L1030" s="564"/>
      <c r="M1030" s="564"/>
      <c r="N1030" s="564"/>
      <c r="O1030" s="564"/>
      <c r="P1030" s="564"/>
      <c r="Q1030" s="564"/>
      <c r="R1030" s="564"/>
      <c r="S1030" s="564"/>
      <c r="T1030" s="564"/>
      <c r="U1030" s="564"/>
      <c r="V1030" s="564"/>
      <c r="W1030" s="564"/>
      <c r="X1030" s="564"/>
      <c r="Y1030" s="564"/>
      <c r="Z1030" s="564"/>
      <c r="AA1030" s="564"/>
      <c r="AB1030" s="556"/>
      <c r="AC1030" s="556"/>
      <c r="AD1030" s="74"/>
      <c r="AE1030" s="74"/>
      <c r="AF1030" s="74"/>
      <c r="AG1030" s="74"/>
      <c r="AH1030" s="74"/>
      <c r="AI1030" s="74"/>
      <c r="AJ1030" s="74"/>
      <c r="AK1030" s="74"/>
      <c r="AL1030" s="74"/>
      <c r="AM1030" s="74"/>
      <c r="AN1030" s="74"/>
      <c r="AO1030" s="74"/>
      <c r="AP1030" s="74"/>
      <c r="AQ1030" s="74"/>
      <c r="AR1030" s="74"/>
      <c r="AS1030" s="565"/>
      <c r="AT1030" s="556"/>
    </row>
    <row r="1031" spans="1:46" hidden="1" x14ac:dyDescent="0.45">
      <c r="A1031" s="556"/>
      <c r="B1031" s="556"/>
      <c r="C1031" s="556"/>
      <c r="D1031" s="556"/>
      <c r="E1031" s="556"/>
      <c r="F1031" s="564"/>
      <c r="G1031" s="564"/>
      <c r="H1031" s="564"/>
      <c r="I1031" s="564"/>
      <c r="J1031" s="564"/>
      <c r="K1031" s="564"/>
      <c r="L1031" s="564"/>
      <c r="M1031" s="564"/>
      <c r="N1031" s="564"/>
      <c r="O1031" s="564"/>
      <c r="P1031" s="564"/>
      <c r="Q1031" s="564"/>
      <c r="R1031" s="564"/>
      <c r="S1031" s="564"/>
      <c r="T1031" s="564"/>
      <c r="U1031" s="564"/>
      <c r="V1031" s="564"/>
      <c r="W1031" s="564"/>
      <c r="X1031" s="564"/>
      <c r="Y1031" s="564"/>
      <c r="Z1031" s="564"/>
      <c r="AA1031" s="564"/>
      <c r="AB1031" s="556"/>
      <c r="AC1031" s="556"/>
      <c r="AD1031" s="74"/>
      <c r="AE1031" s="74"/>
      <c r="AF1031" s="74"/>
      <c r="AG1031" s="74"/>
      <c r="AH1031" s="74"/>
      <c r="AI1031" s="74"/>
      <c r="AJ1031" s="74"/>
      <c r="AK1031" s="74"/>
      <c r="AL1031" s="74"/>
      <c r="AM1031" s="74"/>
      <c r="AN1031" s="74"/>
      <c r="AO1031" s="74"/>
      <c r="AP1031" s="74"/>
      <c r="AQ1031" s="74"/>
      <c r="AR1031" s="74"/>
      <c r="AS1031" s="565"/>
      <c r="AT1031" s="556"/>
    </row>
    <row r="1032" spans="1:46" hidden="1" x14ac:dyDescent="0.45">
      <c r="A1032" s="556"/>
      <c r="B1032" s="556"/>
      <c r="C1032" s="556"/>
      <c r="D1032" s="556"/>
      <c r="E1032" s="556"/>
      <c r="F1032" s="564"/>
      <c r="G1032" s="564"/>
      <c r="H1032" s="564"/>
      <c r="I1032" s="564"/>
      <c r="J1032" s="564"/>
      <c r="K1032" s="564"/>
      <c r="L1032" s="564"/>
      <c r="M1032" s="564"/>
      <c r="N1032" s="564"/>
      <c r="O1032" s="564"/>
      <c r="P1032" s="564"/>
      <c r="Q1032" s="564"/>
      <c r="R1032" s="564"/>
      <c r="S1032" s="564"/>
      <c r="T1032" s="564"/>
      <c r="U1032" s="564"/>
      <c r="V1032" s="564"/>
      <c r="W1032" s="564"/>
      <c r="X1032" s="564"/>
      <c r="Y1032" s="564"/>
      <c r="Z1032" s="564"/>
      <c r="AA1032" s="564"/>
      <c r="AB1032" s="556"/>
      <c r="AC1032" s="556"/>
      <c r="AD1032" s="74"/>
      <c r="AE1032" s="74"/>
      <c r="AF1032" s="74"/>
      <c r="AG1032" s="74"/>
      <c r="AH1032" s="74"/>
      <c r="AI1032" s="74"/>
      <c r="AJ1032" s="74"/>
      <c r="AK1032" s="74"/>
      <c r="AL1032" s="74"/>
      <c r="AM1032" s="74"/>
      <c r="AN1032" s="74"/>
      <c r="AO1032" s="74"/>
      <c r="AP1032" s="74"/>
      <c r="AQ1032" s="74"/>
      <c r="AR1032" s="74"/>
      <c r="AS1032" s="565"/>
      <c r="AT1032" s="556"/>
    </row>
    <row r="1033" spans="1:46" hidden="1" x14ac:dyDescent="0.45">
      <c r="A1033" s="556"/>
      <c r="B1033" s="556"/>
      <c r="C1033" s="556"/>
      <c r="D1033" s="556"/>
      <c r="E1033" s="556"/>
      <c r="F1033" s="564"/>
      <c r="G1033" s="564"/>
      <c r="H1033" s="564"/>
      <c r="I1033" s="564"/>
      <c r="J1033" s="564"/>
      <c r="K1033" s="564"/>
      <c r="L1033" s="564"/>
      <c r="M1033" s="564"/>
      <c r="N1033" s="564"/>
      <c r="O1033" s="564"/>
      <c r="P1033" s="564"/>
      <c r="Q1033" s="564"/>
      <c r="R1033" s="564"/>
      <c r="S1033" s="564"/>
      <c r="T1033" s="564"/>
      <c r="U1033" s="564"/>
      <c r="V1033" s="564"/>
      <c r="W1033" s="564"/>
      <c r="X1033" s="564"/>
      <c r="Y1033" s="564"/>
      <c r="Z1033" s="564"/>
      <c r="AA1033" s="564"/>
      <c r="AB1033" s="556"/>
      <c r="AC1033" s="556"/>
      <c r="AD1033" s="74"/>
      <c r="AE1033" s="74"/>
      <c r="AF1033" s="74"/>
      <c r="AG1033" s="74"/>
      <c r="AH1033" s="74"/>
      <c r="AI1033" s="74"/>
      <c r="AJ1033" s="74"/>
      <c r="AK1033" s="74"/>
      <c r="AL1033" s="74"/>
      <c r="AM1033" s="74"/>
      <c r="AN1033" s="74"/>
      <c r="AO1033" s="74"/>
      <c r="AP1033" s="74"/>
      <c r="AQ1033" s="74"/>
      <c r="AR1033" s="74"/>
      <c r="AS1033" s="565"/>
      <c r="AT1033" s="556"/>
    </row>
    <row r="1034" spans="1:46" hidden="1" x14ac:dyDescent="0.45">
      <c r="A1034" s="556"/>
      <c r="B1034" s="556"/>
      <c r="C1034" s="556"/>
      <c r="D1034" s="556"/>
      <c r="E1034" s="556"/>
      <c r="F1034" s="564"/>
      <c r="G1034" s="564"/>
      <c r="H1034" s="564"/>
      <c r="I1034" s="564"/>
      <c r="J1034" s="564"/>
      <c r="K1034" s="564"/>
      <c r="L1034" s="564"/>
      <c r="M1034" s="564"/>
      <c r="N1034" s="564"/>
      <c r="O1034" s="564"/>
      <c r="P1034" s="564"/>
      <c r="Q1034" s="564"/>
      <c r="R1034" s="564"/>
      <c r="S1034" s="564"/>
      <c r="T1034" s="564"/>
      <c r="U1034" s="564"/>
      <c r="V1034" s="564"/>
      <c r="W1034" s="564"/>
      <c r="X1034" s="564"/>
      <c r="Y1034" s="564"/>
      <c r="Z1034" s="564"/>
      <c r="AA1034" s="564"/>
      <c r="AB1034" s="556"/>
      <c r="AC1034" s="556"/>
      <c r="AD1034" s="74"/>
      <c r="AE1034" s="74"/>
      <c r="AF1034" s="74"/>
      <c r="AG1034" s="74"/>
      <c r="AH1034" s="74"/>
      <c r="AI1034" s="74"/>
      <c r="AJ1034" s="74"/>
      <c r="AK1034" s="74"/>
      <c r="AL1034" s="74"/>
      <c r="AM1034" s="74"/>
      <c r="AN1034" s="74"/>
      <c r="AO1034" s="74"/>
      <c r="AP1034" s="74"/>
      <c r="AQ1034" s="74"/>
      <c r="AR1034" s="74"/>
      <c r="AS1034" s="565"/>
      <c r="AT1034" s="556"/>
    </row>
    <row r="1035" spans="1:46" hidden="1" x14ac:dyDescent="0.45">
      <c r="A1035" s="556"/>
      <c r="B1035" s="556"/>
      <c r="C1035" s="556"/>
      <c r="D1035" s="556"/>
      <c r="E1035" s="556"/>
      <c r="F1035" s="564"/>
      <c r="G1035" s="564"/>
      <c r="H1035" s="564"/>
      <c r="I1035" s="564"/>
      <c r="J1035" s="564"/>
      <c r="K1035" s="564"/>
      <c r="L1035" s="564"/>
      <c r="M1035" s="564"/>
      <c r="N1035" s="564"/>
      <c r="O1035" s="564"/>
      <c r="P1035" s="564"/>
      <c r="Q1035" s="564"/>
      <c r="R1035" s="564"/>
      <c r="S1035" s="564"/>
      <c r="T1035" s="564"/>
      <c r="U1035" s="564"/>
      <c r="V1035" s="564"/>
      <c r="W1035" s="564"/>
      <c r="X1035" s="564"/>
      <c r="Y1035" s="564"/>
      <c r="Z1035" s="564"/>
      <c r="AA1035" s="564"/>
      <c r="AB1035" s="556"/>
      <c r="AC1035" s="556"/>
      <c r="AD1035" s="74"/>
      <c r="AE1035" s="74"/>
      <c r="AF1035" s="74"/>
      <c r="AG1035" s="74"/>
      <c r="AH1035" s="74"/>
      <c r="AI1035" s="74"/>
      <c r="AJ1035" s="74"/>
      <c r="AK1035" s="74"/>
      <c r="AL1035" s="74"/>
      <c r="AM1035" s="74"/>
      <c r="AN1035" s="74"/>
      <c r="AO1035" s="74"/>
      <c r="AP1035" s="74"/>
      <c r="AQ1035" s="74"/>
      <c r="AR1035" s="74"/>
      <c r="AS1035" s="565"/>
      <c r="AT1035" s="556"/>
    </row>
    <row r="1036" spans="1:46" hidden="1" x14ac:dyDescent="0.45">
      <c r="A1036" s="556"/>
      <c r="B1036" s="556"/>
      <c r="C1036" s="556"/>
      <c r="D1036" s="556"/>
      <c r="E1036" s="556"/>
      <c r="F1036" s="564"/>
      <c r="G1036" s="564"/>
      <c r="H1036" s="564"/>
      <c r="I1036" s="564"/>
      <c r="J1036" s="564"/>
      <c r="K1036" s="564"/>
      <c r="L1036" s="564"/>
      <c r="M1036" s="564"/>
      <c r="N1036" s="564"/>
      <c r="O1036" s="564"/>
      <c r="P1036" s="564"/>
      <c r="Q1036" s="564"/>
      <c r="R1036" s="564"/>
      <c r="S1036" s="564"/>
      <c r="T1036" s="564"/>
      <c r="U1036" s="564"/>
      <c r="V1036" s="564"/>
      <c r="W1036" s="564"/>
      <c r="X1036" s="564"/>
      <c r="Y1036" s="564"/>
      <c r="Z1036" s="564"/>
      <c r="AA1036" s="564"/>
      <c r="AB1036" s="556"/>
      <c r="AC1036" s="556"/>
      <c r="AD1036" s="74"/>
      <c r="AE1036" s="74"/>
      <c r="AF1036" s="74"/>
      <c r="AG1036" s="74"/>
      <c r="AH1036" s="74"/>
      <c r="AI1036" s="74"/>
      <c r="AJ1036" s="74"/>
      <c r="AK1036" s="74"/>
      <c r="AL1036" s="74"/>
      <c r="AM1036" s="74"/>
      <c r="AN1036" s="74"/>
      <c r="AO1036" s="74"/>
      <c r="AP1036" s="74"/>
      <c r="AQ1036" s="74"/>
      <c r="AR1036" s="74"/>
      <c r="AS1036" s="565"/>
      <c r="AT1036" s="556"/>
    </row>
    <row r="1037" spans="1:46" hidden="1" x14ac:dyDescent="0.45">
      <c r="A1037" s="556"/>
      <c r="B1037" s="556"/>
      <c r="C1037" s="556"/>
      <c r="D1037" s="556"/>
      <c r="E1037" s="556"/>
      <c r="F1037" s="564"/>
      <c r="G1037" s="564"/>
      <c r="H1037" s="564"/>
      <c r="I1037" s="564"/>
      <c r="J1037" s="564"/>
      <c r="K1037" s="564"/>
      <c r="L1037" s="564"/>
      <c r="M1037" s="564"/>
      <c r="N1037" s="564"/>
      <c r="O1037" s="564"/>
      <c r="P1037" s="564"/>
      <c r="Q1037" s="564"/>
      <c r="R1037" s="564"/>
      <c r="S1037" s="564"/>
      <c r="T1037" s="564"/>
      <c r="U1037" s="564"/>
      <c r="V1037" s="564"/>
      <c r="W1037" s="564"/>
      <c r="X1037" s="564"/>
      <c r="Y1037" s="564"/>
      <c r="Z1037" s="564"/>
      <c r="AA1037" s="564"/>
      <c r="AB1037" s="556"/>
      <c r="AC1037" s="556"/>
      <c r="AD1037" s="74"/>
      <c r="AE1037" s="74"/>
      <c r="AF1037" s="74"/>
      <c r="AG1037" s="74"/>
      <c r="AH1037" s="74"/>
      <c r="AI1037" s="74"/>
      <c r="AJ1037" s="74"/>
      <c r="AK1037" s="74"/>
      <c r="AL1037" s="74"/>
      <c r="AM1037" s="74"/>
      <c r="AN1037" s="74"/>
      <c r="AO1037" s="74"/>
      <c r="AP1037" s="74"/>
      <c r="AQ1037" s="74"/>
      <c r="AR1037" s="74"/>
      <c r="AS1037" s="565"/>
      <c r="AT1037" s="556"/>
    </row>
    <row r="1038" spans="1:46" hidden="1" x14ac:dyDescent="0.45">
      <c r="A1038" s="556"/>
      <c r="B1038" s="556"/>
      <c r="C1038" s="556"/>
      <c r="D1038" s="556"/>
      <c r="E1038" s="556"/>
      <c r="F1038" s="564"/>
      <c r="G1038" s="564"/>
      <c r="H1038" s="564"/>
      <c r="I1038" s="564"/>
      <c r="J1038" s="564"/>
      <c r="K1038" s="564"/>
      <c r="L1038" s="564"/>
      <c r="M1038" s="564"/>
      <c r="N1038" s="564"/>
      <c r="O1038" s="564"/>
      <c r="P1038" s="564"/>
      <c r="Q1038" s="564"/>
      <c r="R1038" s="564"/>
      <c r="S1038" s="564"/>
      <c r="T1038" s="564"/>
      <c r="U1038" s="564"/>
      <c r="V1038" s="564"/>
      <c r="W1038" s="564"/>
      <c r="X1038" s="564"/>
      <c r="Y1038" s="564"/>
      <c r="Z1038" s="564"/>
      <c r="AA1038" s="564"/>
      <c r="AB1038" s="556"/>
      <c r="AC1038" s="556"/>
      <c r="AD1038" s="74"/>
      <c r="AE1038" s="74"/>
      <c r="AF1038" s="74"/>
      <c r="AG1038" s="74"/>
      <c r="AH1038" s="74"/>
      <c r="AI1038" s="74"/>
      <c r="AJ1038" s="74"/>
      <c r="AK1038" s="74"/>
      <c r="AL1038" s="74"/>
      <c r="AM1038" s="74"/>
      <c r="AN1038" s="74"/>
      <c r="AO1038" s="74"/>
      <c r="AP1038" s="74"/>
      <c r="AQ1038" s="74"/>
      <c r="AR1038" s="74"/>
      <c r="AS1038" s="565"/>
      <c r="AT1038" s="556"/>
    </row>
    <row r="1039" spans="1:46" hidden="1" x14ac:dyDescent="0.45">
      <c r="A1039" s="556"/>
      <c r="B1039" s="556"/>
      <c r="C1039" s="556"/>
      <c r="D1039" s="556"/>
      <c r="E1039" s="556"/>
      <c r="F1039" s="564"/>
      <c r="G1039" s="564"/>
      <c r="H1039" s="564"/>
      <c r="I1039" s="564"/>
      <c r="J1039" s="564"/>
      <c r="K1039" s="564"/>
      <c r="L1039" s="564"/>
      <c r="M1039" s="564"/>
      <c r="N1039" s="564"/>
      <c r="O1039" s="564"/>
      <c r="P1039" s="564"/>
      <c r="Q1039" s="564"/>
      <c r="R1039" s="564"/>
      <c r="S1039" s="564"/>
      <c r="T1039" s="564"/>
      <c r="U1039" s="564"/>
      <c r="V1039" s="564"/>
      <c r="W1039" s="564"/>
      <c r="X1039" s="564"/>
      <c r="Y1039" s="564"/>
      <c r="Z1039" s="564"/>
      <c r="AA1039" s="564"/>
      <c r="AB1039" s="556"/>
      <c r="AC1039" s="556"/>
      <c r="AD1039" s="74"/>
      <c r="AE1039" s="74"/>
      <c r="AF1039" s="74"/>
      <c r="AG1039" s="74"/>
      <c r="AH1039" s="74"/>
      <c r="AI1039" s="74"/>
      <c r="AJ1039" s="74"/>
      <c r="AK1039" s="74"/>
      <c r="AL1039" s="74"/>
      <c r="AM1039" s="74"/>
      <c r="AN1039" s="74"/>
      <c r="AO1039" s="74"/>
      <c r="AP1039" s="74"/>
      <c r="AQ1039" s="74"/>
      <c r="AR1039" s="74"/>
      <c r="AS1039" s="565"/>
      <c r="AT1039" s="556"/>
    </row>
    <row r="1040" spans="1:46" hidden="1" x14ac:dyDescent="0.45">
      <c r="A1040" s="556"/>
      <c r="B1040" s="556"/>
      <c r="C1040" s="556"/>
      <c r="D1040" s="556"/>
      <c r="E1040" s="556"/>
      <c r="F1040" s="564"/>
      <c r="G1040" s="564"/>
      <c r="H1040" s="564"/>
      <c r="I1040" s="564"/>
      <c r="J1040" s="564"/>
      <c r="K1040" s="564"/>
      <c r="L1040" s="564"/>
      <c r="M1040" s="564"/>
      <c r="N1040" s="564"/>
      <c r="O1040" s="564"/>
      <c r="P1040" s="564"/>
      <c r="Q1040" s="564"/>
      <c r="R1040" s="564"/>
      <c r="S1040" s="564"/>
      <c r="T1040" s="564"/>
      <c r="U1040" s="564"/>
      <c r="V1040" s="564"/>
      <c r="W1040" s="564"/>
      <c r="X1040" s="564"/>
      <c r="Y1040" s="564"/>
      <c r="Z1040" s="564"/>
      <c r="AA1040" s="564"/>
      <c r="AB1040" s="556"/>
      <c r="AC1040" s="556"/>
      <c r="AD1040" s="74"/>
      <c r="AE1040" s="74"/>
      <c r="AF1040" s="74"/>
      <c r="AG1040" s="74"/>
      <c r="AH1040" s="74"/>
      <c r="AI1040" s="74"/>
      <c r="AJ1040" s="74"/>
      <c r="AK1040" s="74"/>
      <c r="AL1040" s="74"/>
      <c r="AM1040" s="74"/>
      <c r="AN1040" s="74"/>
      <c r="AO1040" s="74"/>
      <c r="AP1040" s="74"/>
      <c r="AQ1040" s="74"/>
      <c r="AR1040" s="74"/>
      <c r="AS1040" s="565"/>
      <c r="AT1040" s="556"/>
    </row>
    <row r="1041" spans="1:46" hidden="1" x14ac:dyDescent="0.45">
      <c r="A1041" s="556"/>
      <c r="B1041" s="556"/>
      <c r="C1041" s="556"/>
      <c r="D1041" s="556"/>
      <c r="E1041" s="556"/>
      <c r="F1041" s="564"/>
      <c r="G1041" s="564"/>
      <c r="H1041" s="564"/>
      <c r="I1041" s="564"/>
      <c r="J1041" s="564"/>
      <c r="K1041" s="564"/>
      <c r="L1041" s="564"/>
      <c r="M1041" s="564"/>
      <c r="N1041" s="564"/>
      <c r="O1041" s="564"/>
      <c r="P1041" s="564"/>
      <c r="Q1041" s="564"/>
      <c r="R1041" s="564"/>
      <c r="S1041" s="564"/>
      <c r="T1041" s="564"/>
      <c r="U1041" s="564"/>
      <c r="V1041" s="564"/>
      <c r="W1041" s="564"/>
      <c r="X1041" s="564"/>
      <c r="Y1041" s="564"/>
      <c r="Z1041" s="564"/>
      <c r="AA1041" s="564"/>
      <c r="AB1041" s="556"/>
      <c r="AC1041" s="556"/>
      <c r="AD1041" s="74"/>
      <c r="AE1041" s="74"/>
      <c r="AF1041" s="74"/>
      <c r="AG1041" s="74"/>
      <c r="AH1041" s="74"/>
      <c r="AI1041" s="74"/>
      <c r="AJ1041" s="74"/>
      <c r="AK1041" s="74"/>
      <c r="AL1041" s="74"/>
      <c r="AM1041" s="74"/>
      <c r="AN1041" s="74"/>
      <c r="AO1041" s="74"/>
      <c r="AP1041" s="74"/>
      <c r="AQ1041" s="74"/>
      <c r="AR1041" s="74"/>
      <c r="AS1041" s="565"/>
      <c r="AT1041" s="556"/>
    </row>
    <row r="1042" spans="1:46" hidden="1" x14ac:dyDescent="0.45">
      <c r="A1042" s="556"/>
      <c r="B1042" s="556"/>
      <c r="C1042" s="556"/>
      <c r="D1042" s="556"/>
      <c r="E1042" s="556"/>
      <c r="F1042" s="564"/>
      <c r="G1042" s="564"/>
      <c r="H1042" s="564"/>
      <c r="I1042" s="564"/>
      <c r="J1042" s="564"/>
      <c r="K1042" s="564"/>
      <c r="L1042" s="564"/>
      <c r="M1042" s="564"/>
      <c r="N1042" s="564"/>
      <c r="O1042" s="564"/>
      <c r="P1042" s="564"/>
      <c r="Q1042" s="564"/>
      <c r="R1042" s="564"/>
      <c r="S1042" s="564"/>
      <c r="T1042" s="564"/>
      <c r="U1042" s="564"/>
      <c r="V1042" s="564"/>
      <c r="W1042" s="564"/>
      <c r="X1042" s="564"/>
      <c r="Y1042" s="564"/>
      <c r="Z1042" s="564"/>
      <c r="AA1042" s="564"/>
      <c r="AB1042" s="556"/>
      <c r="AC1042" s="556"/>
      <c r="AD1042" s="74"/>
      <c r="AE1042" s="74"/>
      <c r="AF1042" s="74"/>
      <c r="AG1042" s="74"/>
      <c r="AH1042" s="74"/>
      <c r="AI1042" s="74"/>
      <c r="AJ1042" s="74"/>
      <c r="AK1042" s="74"/>
      <c r="AL1042" s="74"/>
      <c r="AM1042" s="74"/>
      <c r="AN1042" s="74"/>
      <c r="AO1042" s="74"/>
      <c r="AP1042" s="74"/>
      <c r="AQ1042" s="74"/>
      <c r="AR1042" s="74"/>
      <c r="AS1042" s="565"/>
      <c r="AT1042" s="556"/>
    </row>
    <row r="1043" spans="1:46" hidden="1" x14ac:dyDescent="0.45">
      <c r="A1043" s="556"/>
      <c r="B1043" s="556"/>
      <c r="C1043" s="556"/>
      <c r="D1043" s="556"/>
      <c r="E1043" s="556"/>
      <c r="F1043" s="564"/>
      <c r="G1043" s="564"/>
      <c r="H1043" s="564"/>
      <c r="I1043" s="564"/>
      <c r="J1043" s="564"/>
      <c r="K1043" s="564"/>
      <c r="L1043" s="564"/>
      <c r="M1043" s="564"/>
      <c r="N1043" s="564"/>
      <c r="O1043" s="564"/>
      <c r="P1043" s="564"/>
      <c r="Q1043" s="564"/>
      <c r="R1043" s="564"/>
      <c r="S1043" s="564"/>
      <c r="T1043" s="564"/>
      <c r="U1043" s="564"/>
      <c r="V1043" s="564"/>
      <c r="W1043" s="564"/>
      <c r="X1043" s="564"/>
      <c r="Y1043" s="564"/>
      <c r="Z1043" s="564"/>
      <c r="AA1043" s="564"/>
      <c r="AB1043" s="556"/>
      <c r="AC1043" s="556"/>
      <c r="AD1043" s="74"/>
      <c r="AE1043" s="74"/>
      <c r="AF1043" s="74"/>
      <c r="AG1043" s="74"/>
      <c r="AH1043" s="74"/>
      <c r="AI1043" s="74"/>
      <c r="AJ1043" s="74"/>
      <c r="AK1043" s="74"/>
      <c r="AL1043" s="74"/>
      <c r="AM1043" s="74"/>
      <c r="AN1043" s="74"/>
      <c r="AO1043" s="74"/>
      <c r="AP1043" s="74"/>
      <c r="AQ1043" s="74"/>
      <c r="AR1043" s="74"/>
      <c r="AS1043" s="565"/>
      <c r="AT1043" s="556"/>
    </row>
    <row r="1044" spans="1:46" hidden="1" x14ac:dyDescent="0.45">
      <c r="A1044" s="556"/>
      <c r="B1044" s="556"/>
      <c r="C1044" s="556"/>
      <c r="D1044" s="556"/>
      <c r="E1044" s="556"/>
      <c r="F1044" s="564"/>
      <c r="G1044" s="564"/>
      <c r="H1044" s="564"/>
      <c r="I1044" s="564"/>
      <c r="J1044" s="564"/>
      <c r="K1044" s="564"/>
      <c r="L1044" s="564"/>
      <c r="M1044" s="564"/>
      <c r="N1044" s="564"/>
      <c r="O1044" s="564"/>
      <c r="P1044" s="564"/>
      <c r="Q1044" s="564"/>
      <c r="R1044" s="564"/>
      <c r="S1044" s="564"/>
      <c r="T1044" s="564"/>
      <c r="U1044" s="564"/>
      <c r="V1044" s="564"/>
      <c r="W1044" s="564"/>
      <c r="X1044" s="564"/>
      <c r="Y1044" s="564"/>
      <c r="Z1044" s="564"/>
      <c r="AA1044" s="564"/>
      <c r="AB1044" s="556"/>
      <c r="AC1044" s="556"/>
      <c r="AD1044" s="74"/>
      <c r="AE1044" s="74"/>
      <c r="AF1044" s="74"/>
      <c r="AG1044" s="74"/>
      <c r="AH1044" s="74"/>
      <c r="AI1044" s="74"/>
      <c r="AJ1044" s="74"/>
      <c r="AK1044" s="74"/>
      <c r="AL1044" s="74"/>
      <c r="AM1044" s="74"/>
      <c r="AN1044" s="74"/>
      <c r="AO1044" s="74"/>
      <c r="AP1044" s="74"/>
      <c r="AQ1044" s="74"/>
      <c r="AR1044" s="74"/>
      <c r="AS1044" s="565"/>
      <c r="AT1044" s="556"/>
    </row>
    <row r="1045" spans="1:46" hidden="1" x14ac:dyDescent="0.45">
      <c r="A1045" s="556"/>
      <c r="B1045" s="556"/>
      <c r="C1045" s="556"/>
      <c r="D1045" s="556"/>
      <c r="E1045" s="556"/>
      <c r="F1045" s="564"/>
      <c r="G1045" s="564"/>
      <c r="H1045" s="564"/>
      <c r="I1045" s="564"/>
      <c r="J1045" s="564"/>
      <c r="K1045" s="564"/>
      <c r="L1045" s="564"/>
      <c r="M1045" s="564"/>
      <c r="N1045" s="564"/>
      <c r="O1045" s="564"/>
      <c r="P1045" s="564"/>
      <c r="Q1045" s="564"/>
      <c r="R1045" s="564"/>
      <c r="S1045" s="564"/>
      <c r="T1045" s="564"/>
      <c r="U1045" s="564"/>
      <c r="V1045" s="564"/>
      <c r="W1045" s="564"/>
      <c r="X1045" s="564"/>
      <c r="Y1045" s="564"/>
      <c r="Z1045" s="564"/>
      <c r="AA1045" s="564"/>
      <c r="AB1045" s="556"/>
      <c r="AC1045" s="556"/>
      <c r="AD1045" s="74"/>
      <c r="AE1045" s="74"/>
      <c r="AF1045" s="74"/>
      <c r="AG1045" s="74"/>
      <c r="AH1045" s="74"/>
      <c r="AI1045" s="74"/>
      <c r="AJ1045" s="74"/>
      <c r="AK1045" s="74"/>
      <c r="AL1045" s="74"/>
      <c r="AM1045" s="74"/>
      <c r="AN1045" s="74"/>
      <c r="AO1045" s="74"/>
      <c r="AP1045" s="74"/>
      <c r="AQ1045" s="74"/>
      <c r="AR1045" s="74"/>
      <c r="AS1045" s="565"/>
      <c r="AT1045" s="556"/>
    </row>
    <row r="1046" spans="1:46" hidden="1" x14ac:dyDescent="0.45">
      <c r="A1046" s="556"/>
      <c r="B1046" s="556"/>
      <c r="C1046" s="556"/>
      <c r="D1046" s="556"/>
      <c r="E1046" s="556"/>
      <c r="F1046" s="564"/>
      <c r="G1046" s="564"/>
      <c r="H1046" s="564"/>
      <c r="I1046" s="564"/>
      <c r="J1046" s="564"/>
      <c r="K1046" s="564"/>
      <c r="L1046" s="564"/>
      <c r="M1046" s="564"/>
      <c r="N1046" s="564"/>
      <c r="O1046" s="564"/>
      <c r="P1046" s="564"/>
      <c r="Q1046" s="564"/>
      <c r="R1046" s="564"/>
      <c r="S1046" s="564"/>
      <c r="T1046" s="564"/>
      <c r="U1046" s="564"/>
      <c r="V1046" s="564"/>
      <c r="W1046" s="564"/>
      <c r="X1046" s="564"/>
      <c r="Y1046" s="564"/>
      <c r="Z1046" s="564"/>
      <c r="AA1046" s="564"/>
      <c r="AB1046" s="556"/>
      <c r="AC1046" s="556"/>
      <c r="AD1046" s="74"/>
      <c r="AE1046" s="74"/>
      <c r="AF1046" s="74"/>
      <c r="AG1046" s="74"/>
      <c r="AH1046" s="74"/>
      <c r="AI1046" s="74"/>
      <c r="AJ1046" s="74"/>
      <c r="AK1046" s="74"/>
      <c r="AL1046" s="74"/>
      <c r="AM1046" s="74"/>
      <c r="AN1046" s="74"/>
      <c r="AO1046" s="74"/>
      <c r="AP1046" s="74"/>
      <c r="AQ1046" s="74"/>
      <c r="AR1046" s="74"/>
      <c r="AS1046" s="565"/>
      <c r="AT1046" s="556"/>
    </row>
    <row r="1047" spans="1:46" hidden="1" x14ac:dyDescent="0.45">
      <c r="A1047" s="556"/>
      <c r="B1047" s="556"/>
      <c r="C1047" s="556"/>
      <c r="D1047" s="556"/>
      <c r="E1047" s="556"/>
      <c r="F1047" s="564"/>
      <c r="G1047" s="564"/>
      <c r="H1047" s="564"/>
      <c r="I1047" s="564"/>
      <c r="J1047" s="564"/>
      <c r="K1047" s="564"/>
      <c r="L1047" s="564"/>
      <c r="M1047" s="564"/>
      <c r="N1047" s="564"/>
      <c r="O1047" s="564"/>
      <c r="P1047" s="564"/>
      <c r="Q1047" s="564"/>
      <c r="R1047" s="564"/>
      <c r="S1047" s="564"/>
      <c r="T1047" s="564"/>
      <c r="U1047" s="564"/>
      <c r="V1047" s="564"/>
      <c r="W1047" s="564"/>
      <c r="X1047" s="564"/>
      <c r="Y1047" s="564"/>
      <c r="Z1047" s="564"/>
      <c r="AA1047" s="564"/>
      <c r="AB1047" s="556"/>
      <c r="AC1047" s="556"/>
      <c r="AD1047" s="74"/>
      <c r="AE1047" s="74"/>
      <c r="AF1047" s="74"/>
      <c r="AG1047" s="74"/>
      <c r="AH1047" s="74"/>
      <c r="AI1047" s="74"/>
      <c r="AJ1047" s="74"/>
      <c r="AK1047" s="74"/>
      <c r="AL1047" s="74"/>
      <c r="AM1047" s="74"/>
      <c r="AN1047" s="74"/>
      <c r="AO1047" s="74"/>
      <c r="AP1047" s="74"/>
      <c r="AQ1047" s="74"/>
      <c r="AR1047" s="74"/>
      <c r="AS1047" s="565"/>
      <c r="AT1047" s="556"/>
    </row>
    <row r="1048" spans="1:46" hidden="1" x14ac:dyDescent="0.45">
      <c r="A1048" s="556"/>
      <c r="B1048" s="556"/>
      <c r="C1048" s="556"/>
      <c r="D1048" s="556"/>
      <c r="E1048" s="556"/>
      <c r="F1048" s="564"/>
      <c r="G1048" s="564"/>
      <c r="H1048" s="564"/>
      <c r="I1048" s="564"/>
      <c r="J1048" s="564"/>
      <c r="K1048" s="564"/>
      <c r="L1048" s="564"/>
      <c r="M1048" s="564"/>
      <c r="N1048" s="564"/>
      <c r="O1048" s="564"/>
      <c r="P1048" s="564"/>
      <c r="Q1048" s="564"/>
      <c r="R1048" s="564"/>
      <c r="S1048" s="564"/>
      <c r="T1048" s="564"/>
      <c r="U1048" s="564"/>
      <c r="V1048" s="564"/>
      <c r="W1048" s="564"/>
      <c r="X1048" s="564"/>
      <c r="Y1048" s="564"/>
      <c r="Z1048" s="564"/>
      <c r="AA1048" s="564"/>
      <c r="AB1048" s="556"/>
      <c r="AC1048" s="556"/>
      <c r="AD1048" s="74"/>
      <c r="AE1048" s="74"/>
      <c r="AF1048" s="74"/>
      <c r="AG1048" s="74"/>
      <c r="AH1048" s="74"/>
      <c r="AI1048" s="74"/>
      <c r="AJ1048" s="74"/>
      <c r="AK1048" s="74"/>
      <c r="AL1048" s="74"/>
      <c r="AM1048" s="74"/>
      <c r="AN1048" s="74"/>
      <c r="AO1048" s="74"/>
      <c r="AP1048" s="74"/>
      <c r="AQ1048" s="74"/>
      <c r="AR1048" s="74"/>
      <c r="AS1048" s="565"/>
      <c r="AT1048" s="556"/>
    </row>
    <row r="1049" spans="1:46" hidden="1" x14ac:dyDescent="0.45">
      <c r="A1049" s="556"/>
      <c r="B1049" s="556"/>
      <c r="C1049" s="556"/>
      <c r="D1049" s="556"/>
      <c r="E1049" s="556"/>
      <c r="F1049" s="564"/>
      <c r="G1049" s="564"/>
      <c r="H1049" s="564"/>
      <c r="I1049" s="564"/>
      <c r="J1049" s="564"/>
      <c r="K1049" s="564"/>
      <c r="L1049" s="564"/>
      <c r="M1049" s="564"/>
      <c r="N1049" s="564"/>
      <c r="O1049" s="564"/>
      <c r="P1049" s="564"/>
      <c r="Q1049" s="564"/>
      <c r="R1049" s="564"/>
      <c r="S1049" s="564"/>
      <c r="T1049" s="564"/>
      <c r="U1049" s="564"/>
      <c r="V1049" s="564"/>
      <c r="W1049" s="564"/>
      <c r="X1049" s="564"/>
      <c r="Y1049" s="564"/>
      <c r="Z1049" s="564"/>
      <c r="AA1049" s="564"/>
      <c r="AB1049" s="556"/>
      <c r="AC1049" s="556"/>
      <c r="AD1049" s="74"/>
      <c r="AE1049" s="74"/>
      <c r="AF1049" s="74"/>
      <c r="AG1049" s="74"/>
      <c r="AH1049" s="74"/>
      <c r="AI1049" s="74"/>
      <c r="AJ1049" s="74"/>
      <c r="AK1049" s="74"/>
      <c r="AL1049" s="74"/>
      <c r="AM1049" s="74"/>
      <c r="AN1049" s="74"/>
      <c r="AO1049" s="74"/>
      <c r="AP1049" s="74"/>
      <c r="AQ1049" s="74"/>
      <c r="AR1049" s="74"/>
      <c r="AS1049" s="565"/>
      <c r="AT1049" s="556"/>
    </row>
    <row r="1050" spans="1:46" hidden="1" x14ac:dyDescent="0.45">
      <c r="A1050" s="556"/>
      <c r="B1050" s="556"/>
      <c r="C1050" s="556"/>
      <c r="D1050" s="556"/>
      <c r="E1050" s="556"/>
      <c r="F1050" s="564"/>
      <c r="G1050" s="564"/>
      <c r="H1050" s="564"/>
      <c r="I1050" s="564"/>
      <c r="J1050" s="564"/>
      <c r="K1050" s="564"/>
      <c r="L1050" s="564"/>
      <c r="M1050" s="564"/>
      <c r="N1050" s="564"/>
      <c r="O1050" s="564"/>
      <c r="P1050" s="564"/>
      <c r="Q1050" s="564"/>
      <c r="R1050" s="564"/>
      <c r="S1050" s="564"/>
      <c r="T1050" s="564"/>
      <c r="U1050" s="564"/>
      <c r="V1050" s="564"/>
      <c r="W1050" s="564"/>
      <c r="X1050" s="564"/>
      <c r="Y1050" s="564"/>
      <c r="Z1050" s="564"/>
      <c r="AA1050" s="564"/>
      <c r="AB1050" s="556"/>
      <c r="AC1050" s="556"/>
      <c r="AD1050" s="74"/>
      <c r="AE1050" s="74"/>
      <c r="AF1050" s="74"/>
      <c r="AG1050" s="74"/>
      <c r="AH1050" s="74"/>
      <c r="AI1050" s="74"/>
      <c r="AJ1050" s="74"/>
      <c r="AK1050" s="74"/>
      <c r="AL1050" s="74"/>
      <c r="AM1050" s="74"/>
      <c r="AN1050" s="74"/>
      <c r="AO1050" s="74"/>
      <c r="AP1050" s="74"/>
      <c r="AQ1050" s="74"/>
      <c r="AR1050" s="74"/>
      <c r="AS1050" s="565"/>
      <c r="AT1050" s="556"/>
    </row>
    <row r="1051" spans="1:46" hidden="1" x14ac:dyDescent="0.45">
      <c r="A1051" s="556"/>
      <c r="B1051" s="556"/>
      <c r="C1051" s="556"/>
      <c r="D1051" s="556"/>
      <c r="E1051" s="556"/>
      <c r="F1051" s="564"/>
      <c r="G1051" s="564"/>
      <c r="H1051" s="564"/>
      <c r="I1051" s="564"/>
      <c r="J1051" s="564"/>
      <c r="K1051" s="564"/>
      <c r="L1051" s="564"/>
      <c r="M1051" s="564"/>
      <c r="N1051" s="564"/>
      <c r="O1051" s="564"/>
      <c r="P1051" s="564"/>
      <c r="Q1051" s="564"/>
      <c r="R1051" s="564"/>
      <c r="S1051" s="564"/>
      <c r="T1051" s="564"/>
      <c r="U1051" s="564"/>
      <c r="V1051" s="564"/>
      <c r="W1051" s="564"/>
      <c r="X1051" s="564"/>
      <c r="Y1051" s="564"/>
      <c r="Z1051" s="564"/>
      <c r="AA1051" s="564"/>
      <c r="AB1051" s="556"/>
      <c r="AC1051" s="556"/>
      <c r="AD1051" s="74"/>
      <c r="AE1051" s="74"/>
      <c r="AF1051" s="74"/>
      <c r="AG1051" s="74"/>
      <c r="AH1051" s="74"/>
      <c r="AI1051" s="74"/>
      <c r="AJ1051" s="74"/>
      <c r="AK1051" s="74"/>
      <c r="AL1051" s="74"/>
      <c r="AM1051" s="74"/>
      <c r="AN1051" s="74"/>
      <c r="AO1051" s="74"/>
      <c r="AP1051" s="74"/>
      <c r="AQ1051" s="74"/>
      <c r="AR1051" s="74"/>
      <c r="AS1051" s="565"/>
      <c r="AT1051" s="556"/>
    </row>
    <row r="1052" spans="1:46" hidden="1" x14ac:dyDescent="0.45">
      <c r="A1052" s="556"/>
      <c r="B1052" s="556"/>
      <c r="C1052" s="556"/>
      <c r="D1052" s="556"/>
      <c r="E1052" s="556"/>
      <c r="F1052" s="564"/>
      <c r="G1052" s="564"/>
      <c r="H1052" s="564"/>
      <c r="I1052" s="564"/>
      <c r="J1052" s="564"/>
      <c r="K1052" s="564"/>
      <c r="L1052" s="564"/>
      <c r="M1052" s="564"/>
      <c r="N1052" s="564"/>
      <c r="O1052" s="564"/>
      <c r="P1052" s="564"/>
      <c r="Q1052" s="564"/>
      <c r="R1052" s="564"/>
      <c r="S1052" s="564"/>
      <c r="T1052" s="564"/>
      <c r="U1052" s="564"/>
      <c r="V1052" s="564"/>
      <c r="W1052" s="564"/>
      <c r="X1052" s="564"/>
      <c r="Y1052" s="564"/>
      <c r="Z1052" s="564"/>
      <c r="AA1052" s="564"/>
      <c r="AB1052" s="556"/>
      <c r="AC1052" s="556"/>
      <c r="AD1052" s="74"/>
      <c r="AE1052" s="74"/>
      <c r="AF1052" s="74"/>
      <c r="AG1052" s="74"/>
      <c r="AH1052" s="74"/>
      <c r="AI1052" s="74"/>
      <c r="AJ1052" s="74"/>
      <c r="AK1052" s="74"/>
      <c r="AL1052" s="74"/>
      <c r="AM1052" s="74"/>
      <c r="AN1052" s="74"/>
      <c r="AO1052" s="74"/>
      <c r="AP1052" s="74"/>
      <c r="AQ1052" s="74"/>
      <c r="AR1052" s="74"/>
      <c r="AS1052" s="565"/>
      <c r="AT1052" s="556"/>
    </row>
    <row r="1053" spans="1:46" hidden="1" x14ac:dyDescent="0.45">
      <c r="A1053" s="556"/>
      <c r="B1053" s="556"/>
      <c r="C1053" s="556"/>
      <c r="D1053" s="556"/>
      <c r="E1053" s="556"/>
      <c r="F1053" s="564"/>
      <c r="G1053" s="564"/>
      <c r="H1053" s="564"/>
      <c r="I1053" s="564"/>
      <c r="J1053" s="564"/>
      <c r="K1053" s="564"/>
      <c r="L1053" s="564"/>
      <c r="M1053" s="564"/>
      <c r="N1053" s="564"/>
      <c r="O1053" s="564"/>
      <c r="P1053" s="564"/>
      <c r="Q1053" s="564"/>
      <c r="R1053" s="564"/>
      <c r="S1053" s="564"/>
      <c r="T1053" s="564"/>
      <c r="U1053" s="564"/>
      <c r="V1053" s="564"/>
      <c r="W1053" s="564"/>
      <c r="X1053" s="564"/>
      <c r="Y1053" s="564"/>
      <c r="Z1053" s="564"/>
      <c r="AA1053" s="564"/>
      <c r="AB1053" s="556"/>
      <c r="AC1053" s="556"/>
      <c r="AD1053" s="74"/>
      <c r="AE1053" s="74"/>
      <c r="AF1053" s="74"/>
      <c r="AG1053" s="74"/>
      <c r="AH1053" s="74"/>
      <c r="AI1053" s="74"/>
      <c r="AJ1053" s="74"/>
      <c r="AK1053" s="74"/>
      <c r="AL1053" s="74"/>
      <c r="AM1053" s="74"/>
      <c r="AN1053" s="74"/>
      <c r="AO1053" s="74"/>
      <c r="AP1053" s="74"/>
      <c r="AQ1053" s="74"/>
      <c r="AR1053" s="74"/>
      <c r="AS1053" s="565"/>
      <c r="AT1053" s="556"/>
    </row>
    <row r="1054" spans="1:46" hidden="1" x14ac:dyDescent="0.45">
      <c r="A1054" s="556"/>
      <c r="B1054" s="556"/>
      <c r="C1054" s="556"/>
      <c r="D1054" s="556"/>
      <c r="E1054" s="556"/>
      <c r="F1054" s="564"/>
      <c r="G1054" s="564"/>
      <c r="H1054" s="564"/>
      <c r="I1054" s="564"/>
      <c r="J1054" s="564"/>
      <c r="K1054" s="564"/>
      <c r="L1054" s="564"/>
      <c r="M1054" s="564"/>
      <c r="N1054" s="564"/>
      <c r="O1054" s="564"/>
      <c r="P1054" s="564"/>
      <c r="Q1054" s="564"/>
      <c r="R1054" s="564"/>
      <c r="S1054" s="564"/>
      <c r="T1054" s="564"/>
      <c r="U1054" s="564"/>
      <c r="V1054" s="564"/>
      <c r="W1054" s="564"/>
      <c r="X1054" s="564"/>
      <c r="Y1054" s="564"/>
      <c r="Z1054" s="564"/>
      <c r="AA1054" s="564"/>
      <c r="AB1054" s="556"/>
      <c r="AC1054" s="556"/>
      <c r="AD1054" s="74"/>
      <c r="AE1054" s="74"/>
      <c r="AF1054" s="74"/>
      <c r="AG1054" s="74"/>
      <c r="AH1054" s="74"/>
      <c r="AI1054" s="74"/>
      <c r="AJ1054" s="74"/>
      <c r="AK1054" s="74"/>
      <c r="AL1054" s="74"/>
      <c r="AM1054" s="74"/>
      <c r="AN1054" s="74"/>
      <c r="AO1054" s="74"/>
      <c r="AP1054" s="74"/>
      <c r="AQ1054" s="74"/>
      <c r="AR1054" s="74"/>
      <c r="AS1054" s="565"/>
      <c r="AT1054" s="556"/>
    </row>
    <row r="1055" spans="1:46" hidden="1" x14ac:dyDescent="0.45">
      <c r="A1055" s="556"/>
      <c r="B1055" s="556"/>
      <c r="C1055" s="556"/>
      <c r="D1055" s="556"/>
      <c r="E1055" s="556"/>
      <c r="F1055" s="564"/>
      <c r="G1055" s="564"/>
      <c r="H1055" s="564"/>
      <c r="I1055" s="564"/>
      <c r="J1055" s="564"/>
      <c r="K1055" s="564"/>
      <c r="L1055" s="564"/>
      <c r="M1055" s="564"/>
      <c r="N1055" s="564"/>
      <c r="O1055" s="564"/>
      <c r="P1055" s="564"/>
      <c r="Q1055" s="564"/>
      <c r="R1055" s="564"/>
      <c r="S1055" s="564"/>
      <c r="T1055" s="564"/>
      <c r="U1055" s="564"/>
      <c r="V1055" s="564"/>
      <c r="W1055" s="564"/>
      <c r="X1055" s="564"/>
      <c r="Y1055" s="564"/>
      <c r="Z1055" s="564"/>
      <c r="AA1055" s="564"/>
      <c r="AB1055" s="556"/>
      <c r="AC1055" s="556"/>
      <c r="AD1055" s="74"/>
      <c r="AE1055" s="74"/>
      <c r="AF1055" s="74"/>
      <c r="AG1055" s="74"/>
      <c r="AH1055" s="74"/>
      <c r="AI1055" s="74"/>
      <c r="AJ1055" s="74"/>
      <c r="AK1055" s="74"/>
      <c r="AL1055" s="74"/>
      <c r="AM1055" s="74"/>
      <c r="AN1055" s="74"/>
      <c r="AO1055" s="74"/>
      <c r="AP1055" s="74"/>
      <c r="AQ1055" s="74"/>
      <c r="AR1055" s="74"/>
      <c r="AS1055" s="565"/>
      <c r="AT1055" s="556"/>
    </row>
    <row r="1056" spans="1:46" hidden="1" x14ac:dyDescent="0.45">
      <c r="A1056" s="556"/>
      <c r="B1056" s="556"/>
      <c r="C1056" s="556"/>
      <c r="D1056" s="556"/>
      <c r="E1056" s="556"/>
      <c r="F1056" s="564"/>
      <c r="G1056" s="564"/>
      <c r="H1056" s="564"/>
      <c r="I1056" s="564"/>
      <c r="J1056" s="564"/>
      <c r="K1056" s="564"/>
      <c r="L1056" s="564"/>
      <c r="M1056" s="564"/>
      <c r="N1056" s="564"/>
      <c r="O1056" s="564"/>
      <c r="P1056" s="564"/>
      <c r="Q1056" s="564"/>
      <c r="R1056" s="564"/>
      <c r="S1056" s="564"/>
      <c r="T1056" s="564"/>
      <c r="U1056" s="564"/>
      <c r="V1056" s="564"/>
      <c r="W1056" s="564"/>
      <c r="X1056" s="564"/>
      <c r="Y1056" s="564"/>
      <c r="Z1056" s="564"/>
      <c r="AA1056" s="564"/>
      <c r="AB1056" s="556"/>
      <c r="AC1056" s="556"/>
      <c r="AD1056" s="74"/>
      <c r="AE1056" s="74"/>
      <c r="AF1056" s="74"/>
      <c r="AG1056" s="74"/>
      <c r="AH1056" s="74"/>
      <c r="AI1056" s="74"/>
      <c r="AJ1056" s="74"/>
      <c r="AK1056" s="74"/>
      <c r="AL1056" s="74"/>
      <c r="AM1056" s="74"/>
      <c r="AN1056" s="74"/>
      <c r="AO1056" s="74"/>
      <c r="AP1056" s="74"/>
      <c r="AQ1056" s="74"/>
      <c r="AR1056" s="74"/>
      <c r="AS1056" s="565"/>
      <c r="AT1056" s="556"/>
    </row>
    <row r="1057" spans="1:46" hidden="1" x14ac:dyDescent="0.45">
      <c r="A1057" s="556"/>
      <c r="B1057" s="556"/>
      <c r="C1057" s="556"/>
      <c r="D1057" s="556"/>
      <c r="E1057" s="556"/>
      <c r="F1057" s="564"/>
      <c r="G1057" s="564"/>
      <c r="H1057" s="564"/>
      <c r="I1057" s="564"/>
      <c r="J1057" s="564"/>
      <c r="K1057" s="564"/>
      <c r="L1057" s="564"/>
      <c r="M1057" s="564"/>
      <c r="N1057" s="564"/>
      <c r="O1057" s="564"/>
      <c r="P1057" s="564"/>
      <c r="Q1057" s="564"/>
      <c r="R1057" s="564"/>
      <c r="S1057" s="564"/>
      <c r="T1057" s="564"/>
      <c r="U1057" s="564"/>
      <c r="V1057" s="564"/>
      <c r="W1057" s="564"/>
      <c r="X1057" s="564"/>
      <c r="Y1057" s="564"/>
      <c r="Z1057" s="564"/>
      <c r="AA1057" s="564"/>
      <c r="AB1057" s="556"/>
      <c r="AC1057" s="556"/>
      <c r="AD1057" s="74"/>
      <c r="AE1057" s="74"/>
      <c r="AF1057" s="74"/>
      <c r="AG1057" s="74"/>
      <c r="AH1057" s="74"/>
      <c r="AI1057" s="74"/>
      <c r="AJ1057" s="74"/>
      <c r="AK1057" s="74"/>
      <c r="AL1057" s="74"/>
      <c r="AM1057" s="74"/>
      <c r="AN1057" s="74"/>
      <c r="AO1057" s="74"/>
      <c r="AP1057" s="74"/>
      <c r="AQ1057" s="74"/>
      <c r="AR1057" s="74"/>
      <c r="AS1057" s="565"/>
      <c r="AT1057" s="556"/>
    </row>
    <row r="1058" spans="1:46" hidden="1" x14ac:dyDescent="0.45">
      <c r="A1058" s="556"/>
      <c r="B1058" s="556"/>
      <c r="C1058" s="556"/>
      <c r="D1058" s="556"/>
      <c r="E1058" s="556"/>
      <c r="F1058" s="564"/>
      <c r="G1058" s="564"/>
      <c r="H1058" s="564"/>
      <c r="I1058" s="564"/>
      <c r="J1058" s="564"/>
      <c r="K1058" s="564"/>
      <c r="L1058" s="564"/>
      <c r="M1058" s="564"/>
      <c r="N1058" s="564"/>
      <c r="O1058" s="564"/>
      <c r="P1058" s="564"/>
      <c r="Q1058" s="564"/>
      <c r="R1058" s="564"/>
      <c r="S1058" s="564"/>
      <c r="T1058" s="564"/>
      <c r="U1058" s="564"/>
      <c r="V1058" s="564"/>
      <c r="W1058" s="564"/>
      <c r="X1058" s="564"/>
      <c r="Y1058" s="564"/>
      <c r="Z1058" s="564"/>
      <c r="AA1058" s="564"/>
      <c r="AB1058" s="556"/>
      <c r="AC1058" s="556"/>
      <c r="AD1058" s="74"/>
      <c r="AE1058" s="74"/>
      <c r="AF1058" s="74"/>
      <c r="AG1058" s="74"/>
      <c r="AH1058" s="74"/>
      <c r="AI1058" s="74"/>
      <c r="AJ1058" s="74"/>
      <c r="AK1058" s="74"/>
      <c r="AL1058" s="74"/>
      <c r="AM1058" s="74"/>
      <c r="AN1058" s="74"/>
      <c r="AO1058" s="74"/>
      <c r="AP1058" s="74"/>
      <c r="AQ1058" s="74"/>
      <c r="AR1058" s="74"/>
      <c r="AS1058" s="565"/>
      <c r="AT1058" s="556"/>
    </row>
    <row r="1059" spans="1:46" hidden="1" x14ac:dyDescent="0.45">
      <c r="A1059" s="556"/>
      <c r="B1059" s="556"/>
      <c r="C1059" s="556"/>
      <c r="D1059" s="556"/>
      <c r="E1059" s="556"/>
      <c r="F1059" s="564"/>
      <c r="G1059" s="564"/>
      <c r="H1059" s="564"/>
      <c r="I1059" s="564"/>
      <c r="J1059" s="564"/>
      <c r="K1059" s="564"/>
      <c r="L1059" s="564"/>
      <c r="M1059" s="564"/>
      <c r="N1059" s="564"/>
      <c r="O1059" s="564"/>
      <c r="P1059" s="564"/>
      <c r="Q1059" s="564"/>
      <c r="R1059" s="564"/>
      <c r="S1059" s="564"/>
      <c r="T1059" s="564"/>
      <c r="U1059" s="564"/>
      <c r="V1059" s="564"/>
      <c r="W1059" s="564"/>
      <c r="X1059" s="564"/>
      <c r="Y1059" s="564"/>
      <c r="Z1059" s="564"/>
      <c r="AA1059" s="564"/>
      <c r="AB1059" s="556"/>
      <c r="AC1059" s="556"/>
      <c r="AD1059" s="74"/>
      <c r="AE1059" s="74"/>
      <c r="AF1059" s="74"/>
      <c r="AG1059" s="74"/>
      <c r="AH1059" s="74"/>
      <c r="AI1059" s="74"/>
      <c r="AJ1059" s="74"/>
      <c r="AK1059" s="74"/>
      <c r="AL1059" s="74"/>
      <c r="AM1059" s="74"/>
      <c r="AN1059" s="74"/>
      <c r="AO1059" s="74"/>
      <c r="AP1059" s="74"/>
      <c r="AQ1059" s="74"/>
      <c r="AR1059" s="74"/>
      <c r="AS1059" s="565"/>
      <c r="AT1059" s="556"/>
    </row>
    <row r="1060" spans="1:46" hidden="1" x14ac:dyDescent="0.45">
      <c r="A1060" s="556"/>
      <c r="B1060" s="556"/>
      <c r="C1060" s="556"/>
      <c r="D1060" s="556"/>
      <c r="E1060" s="556"/>
      <c r="F1060" s="564"/>
      <c r="G1060" s="564"/>
      <c r="H1060" s="564"/>
      <c r="I1060" s="564"/>
      <c r="J1060" s="564"/>
      <c r="K1060" s="564"/>
      <c r="L1060" s="564"/>
      <c r="M1060" s="564"/>
      <c r="N1060" s="564"/>
      <c r="O1060" s="564"/>
      <c r="P1060" s="564"/>
      <c r="Q1060" s="564"/>
      <c r="R1060" s="564"/>
      <c r="S1060" s="564"/>
      <c r="T1060" s="564"/>
      <c r="U1060" s="564"/>
      <c r="V1060" s="564"/>
      <c r="W1060" s="564"/>
      <c r="X1060" s="564"/>
      <c r="Y1060" s="564"/>
      <c r="Z1060" s="564"/>
      <c r="AA1060" s="564"/>
      <c r="AB1060" s="556"/>
      <c r="AC1060" s="556"/>
      <c r="AD1060" s="74"/>
      <c r="AE1060" s="74"/>
      <c r="AF1060" s="74"/>
      <c r="AG1060" s="74"/>
      <c r="AH1060" s="74"/>
      <c r="AI1060" s="74"/>
      <c r="AJ1060" s="74"/>
      <c r="AK1060" s="74"/>
      <c r="AL1060" s="74"/>
      <c r="AM1060" s="74"/>
      <c r="AN1060" s="74"/>
      <c r="AO1060" s="74"/>
      <c r="AP1060" s="74"/>
      <c r="AQ1060" s="74"/>
      <c r="AR1060" s="74"/>
      <c r="AS1060" s="565"/>
      <c r="AT1060" s="556"/>
    </row>
    <row r="1061" spans="1:46" hidden="1" x14ac:dyDescent="0.45">
      <c r="A1061" s="556"/>
      <c r="B1061" s="556"/>
      <c r="C1061" s="556"/>
      <c r="D1061" s="556"/>
      <c r="E1061" s="556"/>
      <c r="F1061" s="564"/>
      <c r="G1061" s="564"/>
      <c r="H1061" s="564"/>
      <c r="I1061" s="564"/>
      <c r="J1061" s="564"/>
      <c r="K1061" s="564"/>
      <c r="L1061" s="564"/>
      <c r="M1061" s="564"/>
      <c r="N1061" s="564"/>
      <c r="O1061" s="564"/>
      <c r="P1061" s="564"/>
      <c r="Q1061" s="564"/>
      <c r="R1061" s="564"/>
      <c r="S1061" s="564"/>
      <c r="T1061" s="564"/>
      <c r="U1061" s="564"/>
      <c r="V1061" s="564"/>
      <c r="W1061" s="564"/>
      <c r="X1061" s="564"/>
      <c r="Y1061" s="564"/>
      <c r="Z1061" s="564"/>
      <c r="AA1061" s="564"/>
      <c r="AB1061" s="556"/>
      <c r="AC1061" s="556"/>
      <c r="AD1061" s="74"/>
      <c r="AE1061" s="74"/>
      <c r="AF1061" s="74"/>
      <c r="AG1061" s="74"/>
      <c r="AH1061" s="74"/>
      <c r="AI1061" s="74"/>
      <c r="AJ1061" s="74"/>
      <c r="AK1061" s="74"/>
      <c r="AL1061" s="74"/>
      <c r="AM1061" s="74"/>
      <c r="AN1061" s="74"/>
      <c r="AO1061" s="74"/>
      <c r="AP1061" s="74"/>
      <c r="AQ1061" s="74"/>
      <c r="AR1061" s="74"/>
      <c r="AS1061" s="565"/>
      <c r="AT1061" s="556"/>
    </row>
    <row r="1062" spans="1:46" hidden="1" x14ac:dyDescent="0.45">
      <c r="A1062" s="556"/>
      <c r="B1062" s="556"/>
      <c r="C1062" s="556"/>
      <c r="D1062" s="556"/>
      <c r="E1062" s="556"/>
      <c r="F1062" s="564"/>
      <c r="G1062" s="564"/>
      <c r="H1062" s="564"/>
      <c r="I1062" s="564"/>
      <c r="J1062" s="564"/>
      <c r="K1062" s="564"/>
      <c r="L1062" s="564"/>
      <c r="M1062" s="564"/>
      <c r="N1062" s="564"/>
      <c r="O1062" s="564"/>
      <c r="P1062" s="564"/>
      <c r="Q1062" s="564"/>
      <c r="R1062" s="564"/>
      <c r="S1062" s="564"/>
      <c r="T1062" s="564"/>
      <c r="U1062" s="564"/>
      <c r="V1062" s="564"/>
      <c r="W1062" s="564"/>
      <c r="X1062" s="564"/>
      <c r="Y1062" s="564"/>
      <c r="Z1062" s="564"/>
      <c r="AA1062" s="564"/>
      <c r="AB1062" s="556"/>
      <c r="AC1062" s="556"/>
      <c r="AD1062" s="74"/>
      <c r="AE1062" s="74"/>
      <c r="AF1062" s="74"/>
      <c r="AG1062" s="74"/>
      <c r="AH1062" s="74"/>
      <c r="AI1062" s="74"/>
      <c r="AJ1062" s="74"/>
      <c r="AK1062" s="74"/>
      <c r="AL1062" s="74"/>
      <c r="AM1062" s="74"/>
      <c r="AN1062" s="74"/>
      <c r="AO1062" s="74"/>
      <c r="AP1062" s="74"/>
      <c r="AQ1062" s="74"/>
      <c r="AR1062" s="74"/>
      <c r="AS1062" s="565"/>
      <c r="AT1062" s="556"/>
    </row>
    <row r="1063" spans="1:46" hidden="1" x14ac:dyDescent="0.45">
      <c r="A1063" s="556"/>
      <c r="B1063" s="556"/>
      <c r="C1063" s="556"/>
      <c r="D1063" s="556"/>
      <c r="E1063" s="556"/>
      <c r="F1063" s="564"/>
      <c r="G1063" s="564"/>
      <c r="H1063" s="564"/>
      <c r="I1063" s="564"/>
      <c r="J1063" s="564"/>
      <c r="K1063" s="564"/>
      <c r="L1063" s="564"/>
      <c r="M1063" s="564"/>
      <c r="N1063" s="564"/>
      <c r="O1063" s="564"/>
      <c r="P1063" s="564"/>
      <c r="Q1063" s="564"/>
      <c r="R1063" s="564"/>
      <c r="S1063" s="564"/>
      <c r="T1063" s="564"/>
      <c r="U1063" s="564"/>
      <c r="V1063" s="564"/>
      <c r="W1063" s="564"/>
      <c r="X1063" s="564"/>
      <c r="Y1063" s="564"/>
      <c r="Z1063" s="564"/>
      <c r="AA1063" s="564"/>
      <c r="AB1063" s="556"/>
      <c r="AC1063" s="556"/>
      <c r="AD1063" s="74"/>
      <c r="AE1063" s="74"/>
      <c r="AF1063" s="74"/>
      <c r="AG1063" s="74"/>
      <c r="AH1063" s="74"/>
      <c r="AI1063" s="74"/>
      <c r="AJ1063" s="74"/>
      <c r="AK1063" s="74"/>
      <c r="AL1063" s="74"/>
      <c r="AM1063" s="74"/>
      <c r="AN1063" s="74"/>
      <c r="AO1063" s="74"/>
      <c r="AP1063" s="74"/>
      <c r="AQ1063" s="74"/>
      <c r="AR1063" s="74"/>
      <c r="AS1063" s="565"/>
      <c r="AT1063" s="556"/>
    </row>
    <row r="1064" spans="1:46" hidden="1" x14ac:dyDescent="0.45">
      <c r="A1064" s="556"/>
      <c r="B1064" s="556"/>
      <c r="C1064" s="556"/>
      <c r="D1064" s="556"/>
      <c r="E1064" s="556"/>
      <c r="F1064" s="564"/>
      <c r="G1064" s="564"/>
      <c r="H1064" s="564"/>
      <c r="I1064" s="564"/>
      <c r="J1064" s="564"/>
      <c r="K1064" s="564"/>
      <c r="L1064" s="564"/>
      <c r="M1064" s="564"/>
      <c r="N1064" s="564"/>
      <c r="O1064" s="564"/>
      <c r="P1064" s="564"/>
      <c r="Q1064" s="564"/>
      <c r="R1064" s="564"/>
      <c r="S1064" s="564"/>
      <c r="T1064" s="564"/>
      <c r="U1064" s="564"/>
      <c r="V1064" s="564"/>
      <c r="W1064" s="564"/>
      <c r="X1064" s="564"/>
      <c r="Y1064" s="564"/>
      <c r="Z1064" s="564"/>
      <c r="AA1064" s="564"/>
      <c r="AB1064" s="556"/>
      <c r="AC1064" s="556"/>
      <c r="AD1064" s="74"/>
      <c r="AE1064" s="74"/>
      <c r="AF1064" s="74"/>
      <c r="AG1064" s="74"/>
      <c r="AH1064" s="74"/>
      <c r="AI1064" s="74"/>
      <c r="AJ1064" s="74"/>
      <c r="AK1064" s="74"/>
      <c r="AL1064" s="74"/>
      <c r="AM1064" s="74"/>
      <c r="AN1064" s="74"/>
      <c r="AO1064" s="74"/>
      <c r="AP1064" s="74"/>
      <c r="AQ1064" s="74"/>
      <c r="AR1064" s="74"/>
      <c r="AS1064" s="565"/>
      <c r="AT1064" s="556"/>
    </row>
    <row r="1065" spans="1:46" hidden="1" x14ac:dyDescent="0.45">
      <c r="A1065" s="556"/>
      <c r="B1065" s="556"/>
      <c r="C1065" s="556"/>
      <c r="D1065" s="556"/>
      <c r="E1065" s="556"/>
      <c r="F1065" s="564"/>
      <c r="G1065" s="564"/>
      <c r="H1065" s="564"/>
      <c r="I1065" s="564"/>
      <c r="J1065" s="564"/>
      <c r="K1065" s="564"/>
      <c r="L1065" s="564"/>
      <c r="M1065" s="564"/>
      <c r="N1065" s="564"/>
      <c r="O1065" s="564"/>
      <c r="P1065" s="564"/>
      <c r="Q1065" s="564"/>
      <c r="R1065" s="564"/>
      <c r="S1065" s="564"/>
      <c r="T1065" s="564"/>
      <c r="U1065" s="564"/>
      <c r="V1065" s="564"/>
      <c r="W1065" s="564"/>
      <c r="X1065" s="564"/>
      <c r="Y1065" s="564"/>
      <c r="Z1065" s="564"/>
      <c r="AA1065" s="564"/>
      <c r="AB1065" s="556"/>
      <c r="AC1065" s="556"/>
      <c r="AD1065" s="74"/>
      <c r="AE1065" s="74"/>
      <c r="AF1065" s="74"/>
      <c r="AG1065" s="74"/>
      <c r="AH1065" s="74"/>
      <c r="AI1065" s="74"/>
      <c r="AJ1065" s="74"/>
      <c r="AK1065" s="74"/>
      <c r="AL1065" s="74"/>
      <c r="AM1065" s="74"/>
      <c r="AN1065" s="74"/>
      <c r="AO1065" s="74"/>
      <c r="AP1065" s="74"/>
      <c r="AQ1065" s="74"/>
      <c r="AR1065" s="74"/>
      <c r="AS1065" s="565"/>
      <c r="AT1065" s="556"/>
    </row>
    <row r="1066" spans="1:46" hidden="1" x14ac:dyDescent="0.45">
      <c r="A1066" s="556"/>
      <c r="B1066" s="556"/>
      <c r="C1066" s="556"/>
      <c r="D1066" s="556"/>
      <c r="E1066" s="556"/>
      <c r="F1066" s="564"/>
      <c r="G1066" s="564"/>
      <c r="H1066" s="564"/>
      <c r="I1066" s="564"/>
      <c r="J1066" s="564"/>
      <c r="K1066" s="564"/>
      <c r="L1066" s="564"/>
      <c r="M1066" s="564"/>
      <c r="N1066" s="564"/>
      <c r="O1066" s="564"/>
      <c r="P1066" s="564"/>
      <c r="Q1066" s="564"/>
      <c r="R1066" s="564"/>
      <c r="S1066" s="564"/>
      <c r="T1066" s="564"/>
      <c r="U1066" s="564"/>
      <c r="V1066" s="564"/>
      <c r="W1066" s="564"/>
      <c r="X1066" s="564"/>
      <c r="Y1066" s="564"/>
      <c r="Z1066" s="564"/>
      <c r="AA1066" s="564"/>
      <c r="AB1066" s="556"/>
      <c r="AC1066" s="556"/>
      <c r="AD1066" s="74"/>
      <c r="AE1066" s="74"/>
      <c r="AF1066" s="74"/>
      <c r="AG1066" s="74"/>
      <c r="AH1066" s="74"/>
      <c r="AI1066" s="74"/>
      <c r="AJ1066" s="74"/>
      <c r="AK1066" s="74"/>
      <c r="AL1066" s="74"/>
      <c r="AM1066" s="74"/>
      <c r="AN1066" s="74"/>
      <c r="AO1066" s="74"/>
      <c r="AP1066" s="74"/>
      <c r="AQ1066" s="74"/>
      <c r="AR1066" s="74"/>
      <c r="AS1066" s="565"/>
      <c r="AT1066" s="556"/>
    </row>
    <row r="1067" spans="1:46" hidden="1" x14ac:dyDescent="0.45">
      <c r="A1067" s="556"/>
      <c r="B1067" s="556"/>
      <c r="C1067" s="556"/>
      <c r="D1067" s="556"/>
      <c r="E1067" s="556"/>
      <c r="F1067" s="564"/>
      <c r="G1067" s="564"/>
      <c r="H1067" s="564"/>
      <c r="I1067" s="564"/>
      <c r="J1067" s="564"/>
      <c r="K1067" s="564"/>
      <c r="L1067" s="564"/>
      <c r="M1067" s="564"/>
      <c r="N1067" s="564"/>
      <c r="O1067" s="564"/>
      <c r="P1067" s="564"/>
      <c r="Q1067" s="564"/>
      <c r="R1067" s="564"/>
      <c r="S1067" s="564"/>
      <c r="T1067" s="564"/>
      <c r="U1067" s="564"/>
      <c r="V1067" s="564"/>
      <c r="W1067" s="564"/>
      <c r="X1067" s="564"/>
      <c r="Y1067" s="564"/>
      <c r="Z1067" s="564"/>
      <c r="AA1067" s="564"/>
      <c r="AB1067" s="556"/>
      <c r="AC1067" s="556"/>
      <c r="AD1067" s="74"/>
      <c r="AE1067" s="74"/>
      <c r="AF1067" s="74"/>
      <c r="AG1067" s="74"/>
      <c r="AH1067" s="74"/>
      <c r="AI1067" s="74"/>
      <c r="AJ1067" s="74"/>
      <c r="AK1067" s="74"/>
      <c r="AL1067" s="74"/>
      <c r="AM1067" s="74"/>
      <c r="AN1067" s="74"/>
      <c r="AO1067" s="74"/>
      <c r="AP1067" s="74"/>
      <c r="AQ1067" s="74"/>
      <c r="AR1067" s="74"/>
      <c r="AS1067" s="565"/>
      <c r="AT1067" s="556"/>
    </row>
    <row r="1068" spans="1:46" hidden="1" x14ac:dyDescent="0.45">
      <c r="A1068" s="556"/>
      <c r="B1068" s="556"/>
      <c r="C1068" s="556"/>
      <c r="D1068" s="556"/>
      <c r="E1068" s="556"/>
      <c r="F1068" s="564"/>
      <c r="G1068" s="564"/>
      <c r="H1068" s="564"/>
      <c r="I1068" s="564"/>
      <c r="J1068" s="564"/>
      <c r="K1068" s="564"/>
      <c r="L1068" s="564"/>
      <c r="M1068" s="564"/>
      <c r="N1068" s="564"/>
      <c r="O1068" s="564"/>
      <c r="P1068" s="564"/>
      <c r="Q1068" s="564"/>
      <c r="R1068" s="564"/>
      <c r="S1068" s="564"/>
      <c r="T1068" s="564"/>
      <c r="U1068" s="564"/>
      <c r="V1068" s="564"/>
      <c r="W1068" s="564"/>
      <c r="X1068" s="564"/>
      <c r="Y1068" s="564"/>
      <c r="Z1068" s="564"/>
      <c r="AA1068" s="564"/>
      <c r="AB1068" s="556"/>
      <c r="AC1068" s="556"/>
      <c r="AD1068" s="74"/>
      <c r="AE1068" s="74"/>
      <c r="AF1068" s="74"/>
      <c r="AG1068" s="74"/>
      <c r="AH1068" s="74"/>
      <c r="AI1068" s="74"/>
      <c r="AJ1068" s="74"/>
      <c r="AK1068" s="74"/>
      <c r="AL1068" s="74"/>
      <c r="AM1068" s="74"/>
      <c r="AN1068" s="74"/>
      <c r="AO1068" s="74"/>
      <c r="AP1068" s="74"/>
      <c r="AQ1068" s="74"/>
      <c r="AR1068" s="74"/>
      <c r="AS1068" s="565"/>
      <c r="AT1068" s="556"/>
    </row>
    <row r="1069" spans="1:46" hidden="1" x14ac:dyDescent="0.45">
      <c r="A1069" s="556"/>
      <c r="B1069" s="556"/>
      <c r="C1069" s="556"/>
      <c r="D1069" s="556"/>
      <c r="E1069" s="556"/>
      <c r="F1069" s="564"/>
      <c r="G1069" s="564"/>
      <c r="H1069" s="564"/>
      <c r="I1069" s="564"/>
      <c r="J1069" s="564"/>
      <c r="K1069" s="564"/>
      <c r="L1069" s="564"/>
      <c r="M1069" s="564"/>
      <c r="N1069" s="564"/>
      <c r="O1069" s="564"/>
      <c r="P1069" s="564"/>
      <c r="Q1069" s="564"/>
      <c r="R1069" s="564"/>
      <c r="S1069" s="564"/>
      <c r="T1069" s="564"/>
      <c r="U1069" s="564"/>
      <c r="V1069" s="564"/>
      <c r="W1069" s="564"/>
      <c r="X1069" s="564"/>
      <c r="Y1069" s="564"/>
      <c r="Z1069" s="564"/>
      <c r="AA1069" s="564"/>
      <c r="AB1069" s="556"/>
      <c r="AC1069" s="556"/>
      <c r="AD1069" s="74"/>
      <c r="AE1069" s="74"/>
      <c r="AF1069" s="74"/>
      <c r="AG1069" s="74"/>
      <c r="AH1069" s="74"/>
      <c r="AI1069" s="74"/>
      <c r="AJ1069" s="74"/>
      <c r="AK1069" s="74"/>
      <c r="AL1069" s="74"/>
      <c r="AM1069" s="74"/>
      <c r="AN1069" s="74"/>
      <c r="AO1069" s="74"/>
      <c r="AP1069" s="74"/>
      <c r="AQ1069" s="74"/>
      <c r="AR1069" s="74"/>
      <c r="AS1069" s="565"/>
      <c r="AT1069" s="556"/>
    </row>
    <row r="1070" spans="1:46" hidden="1" x14ac:dyDescent="0.45">
      <c r="A1070" s="556"/>
      <c r="B1070" s="556"/>
      <c r="C1070" s="556"/>
      <c r="D1070" s="556"/>
      <c r="E1070" s="556"/>
      <c r="F1070" s="564"/>
      <c r="G1070" s="564"/>
      <c r="H1070" s="564"/>
      <c r="I1070" s="564"/>
      <c r="J1070" s="564"/>
      <c r="K1070" s="564"/>
      <c r="L1070" s="564"/>
      <c r="M1070" s="564"/>
      <c r="N1070" s="564"/>
      <c r="O1070" s="564"/>
      <c r="P1070" s="564"/>
      <c r="Q1070" s="564"/>
      <c r="R1070" s="564"/>
      <c r="S1070" s="564"/>
      <c r="T1070" s="564"/>
      <c r="U1070" s="564"/>
      <c r="V1070" s="564"/>
      <c r="W1070" s="564"/>
      <c r="X1070" s="564"/>
      <c r="Y1070" s="564"/>
      <c r="Z1070" s="564"/>
      <c r="AA1070" s="564"/>
      <c r="AB1070" s="556"/>
      <c r="AC1070" s="556"/>
      <c r="AD1070" s="74"/>
      <c r="AE1070" s="74"/>
      <c r="AF1070" s="74"/>
      <c r="AG1070" s="74"/>
      <c r="AH1070" s="74"/>
      <c r="AI1070" s="74"/>
      <c r="AJ1070" s="74"/>
      <c r="AK1070" s="74"/>
      <c r="AL1070" s="74"/>
      <c r="AM1070" s="74"/>
      <c r="AN1070" s="74"/>
      <c r="AO1070" s="74"/>
      <c r="AP1070" s="74"/>
      <c r="AQ1070" s="74"/>
      <c r="AR1070" s="74"/>
      <c r="AS1070" s="565"/>
      <c r="AT1070" s="556"/>
    </row>
    <row r="1071" spans="1:46" hidden="1" x14ac:dyDescent="0.45">
      <c r="A1071" s="556"/>
      <c r="B1071" s="556"/>
      <c r="C1071" s="556"/>
      <c r="D1071" s="556"/>
      <c r="E1071" s="556"/>
      <c r="F1071" s="564"/>
      <c r="G1071" s="564"/>
      <c r="H1071" s="564"/>
      <c r="I1071" s="564"/>
      <c r="J1071" s="564"/>
      <c r="K1071" s="564"/>
      <c r="L1071" s="564"/>
      <c r="M1071" s="564"/>
      <c r="N1071" s="564"/>
      <c r="O1071" s="564"/>
      <c r="P1071" s="564"/>
      <c r="Q1071" s="564"/>
      <c r="R1071" s="564"/>
      <c r="S1071" s="564"/>
      <c r="T1071" s="564"/>
      <c r="U1071" s="564"/>
      <c r="V1071" s="564"/>
      <c r="W1071" s="564"/>
      <c r="X1071" s="564"/>
      <c r="Y1071" s="564"/>
      <c r="Z1071" s="564"/>
      <c r="AA1071" s="564"/>
      <c r="AB1071" s="556"/>
      <c r="AC1071" s="556"/>
      <c r="AD1071" s="74"/>
      <c r="AE1071" s="74"/>
      <c r="AF1071" s="74"/>
      <c r="AG1071" s="74"/>
      <c r="AH1071" s="74"/>
      <c r="AI1071" s="74"/>
      <c r="AJ1071" s="74"/>
      <c r="AK1071" s="74"/>
      <c r="AL1071" s="74"/>
      <c r="AM1071" s="74"/>
      <c r="AN1071" s="74"/>
      <c r="AO1071" s="74"/>
      <c r="AP1071" s="74"/>
      <c r="AQ1071" s="74"/>
      <c r="AR1071" s="74"/>
      <c r="AS1071" s="565"/>
      <c r="AT1071" s="556"/>
    </row>
    <row r="1072" spans="1:46" hidden="1" x14ac:dyDescent="0.45">
      <c r="A1072" s="556"/>
      <c r="B1072" s="556"/>
      <c r="C1072" s="556"/>
      <c r="D1072" s="556"/>
      <c r="E1072" s="556"/>
      <c r="F1072" s="564"/>
      <c r="G1072" s="564"/>
      <c r="H1072" s="564"/>
      <c r="I1072" s="564"/>
      <c r="J1072" s="564"/>
      <c r="K1072" s="564"/>
      <c r="L1072" s="564"/>
      <c r="M1072" s="564"/>
      <c r="N1072" s="564"/>
      <c r="O1072" s="564"/>
      <c r="P1072" s="564"/>
      <c r="Q1072" s="564"/>
      <c r="R1072" s="564"/>
      <c r="S1072" s="564"/>
      <c r="T1072" s="564"/>
      <c r="U1072" s="564"/>
      <c r="V1072" s="564"/>
      <c r="W1072" s="564"/>
      <c r="X1072" s="564"/>
      <c r="Y1072" s="564"/>
      <c r="Z1072" s="564"/>
      <c r="AA1072" s="564"/>
      <c r="AB1072" s="556"/>
      <c r="AC1072" s="556"/>
      <c r="AD1072" s="74"/>
      <c r="AE1072" s="74"/>
      <c r="AF1072" s="74"/>
      <c r="AG1072" s="74"/>
      <c r="AH1072" s="74"/>
      <c r="AI1072" s="74"/>
      <c r="AJ1072" s="74"/>
      <c r="AK1072" s="74"/>
      <c r="AL1072" s="74"/>
      <c r="AM1072" s="74"/>
      <c r="AN1072" s="74"/>
      <c r="AO1072" s="74"/>
      <c r="AP1072" s="74"/>
      <c r="AQ1072" s="74"/>
      <c r="AR1072" s="74"/>
      <c r="AS1072" s="565"/>
      <c r="AT1072" s="556"/>
    </row>
    <row r="1073" spans="1:46" hidden="1" x14ac:dyDescent="0.45">
      <c r="A1073" s="556"/>
      <c r="B1073" s="556"/>
      <c r="C1073" s="556"/>
      <c r="D1073" s="556"/>
      <c r="E1073" s="556"/>
      <c r="F1073" s="564"/>
      <c r="G1073" s="564"/>
      <c r="H1073" s="564"/>
      <c r="I1073" s="564"/>
      <c r="J1073" s="564"/>
      <c r="K1073" s="564"/>
      <c r="L1073" s="564"/>
      <c r="M1073" s="564"/>
      <c r="N1073" s="564"/>
      <c r="O1073" s="564"/>
      <c r="P1073" s="564"/>
      <c r="Q1073" s="564"/>
      <c r="R1073" s="564"/>
      <c r="S1073" s="564"/>
      <c r="T1073" s="564"/>
      <c r="U1073" s="564"/>
      <c r="V1073" s="564"/>
      <c r="W1073" s="564"/>
      <c r="X1073" s="564"/>
      <c r="Y1073" s="564"/>
      <c r="Z1073" s="564"/>
      <c r="AA1073" s="564"/>
      <c r="AB1073" s="556"/>
      <c r="AC1073" s="556"/>
      <c r="AD1073" s="74"/>
      <c r="AE1073" s="74"/>
      <c r="AF1073" s="74"/>
      <c r="AG1073" s="74"/>
      <c r="AH1073" s="74"/>
      <c r="AI1073" s="74"/>
      <c r="AJ1073" s="74"/>
      <c r="AK1073" s="74"/>
      <c r="AL1073" s="74"/>
      <c r="AM1073" s="74"/>
      <c r="AN1073" s="74"/>
      <c r="AO1073" s="74"/>
      <c r="AP1073" s="74"/>
      <c r="AQ1073" s="74"/>
      <c r="AR1073" s="74"/>
      <c r="AS1073" s="565"/>
      <c r="AT1073" s="556"/>
    </row>
    <row r="1074" spans="1:46" hidden="1" x14ac:dyDescent="0.45">
      <c r="A1074" s="556"/>
      <c r="B1074" s="556"/>
      <c r="C1074" s="556"/>
      <c r="D1074" s="556"/>
      <c r="E1074" s="556"/>
      <c r="F1074" s="564"/>
      <c r="G1074" s="564"/>
      <c r="H1074" s="564"/>
      <c r="I1074" s="564"/>
      <c r="J1074" s="564"/>
      <c r="K1074" s="564"/>
      <c r="L1074" s="564"/>
      <c r="M1074" s="564"/>
      <c r="N1074" s="564"/>
      <c r="O1074" s="564"/>
      <c r="P1074" s="564"/>
      <c r="Q1074" s="564"/>
      <c r="R1074" s="564"/>
      <c r="S1074" s="564"/>
      <c r="T1074" s="564"/>
      <c r="U1074" s="564"/>
      <c r="V1074" s="564"/>
      <c r="W1074" s="564"/>
      <c r="X1074" s="564"/>
      <c r="Y1074" s="564"/>
      <c r="Z1074" s="564"/>
      <c r="AA1074" s="564"/>
      <c r="AB1074" s="556"/>
      <c r="AC1074" s="556"/>
      <c r="AD1074" s="74"/>
      <c r="AE1074" s="74"/>
      <c r="AF1074" s="74"/>
      <c r="AG1074" s="74"/>
      <c r="AH1074" s="74"/>
      <c r="AI1074" s="74"/>
      <c r="AJ1074" s="74"/>
      <c r="AK1074" s="74"/>
      <c r="AL1074" s="74"/>
      <c r="AM1074" s="74"/>
      <c r="AN1074" s="74"/>
      <c r="AO1074" s="74"/>
      <c r="AP1074" s="74"/>
      <c r="AQ1074" s="74"/>
      <c r="AR1074" s="74"/>
      <c r="AS1074" s="565"/>
      <c r="AT1074" s="556"/>
    </row>
    <row r="1075" spans="1:46" hidden="1" x14ac:dyDescent="0.45">
      <c r="A1075" s="556"/>
      <c r="B1075" s="556"/>
      <c r="C1075" s="556"/>
      <c r="D1075" s="556"/>
      <c r="E1075" s="556"/>
      <c r="F1075" s="564"/>
      <c r="G1075" s="564"/>
      <c r="H1075" s="564"/>
      <c r="I1075" s="564"/>
      <c r="J1075" s="564"/>
      <c r="K1075" s="564"/>
      <c r="L1075" s="564"/>
      <c r="M1075" s="564"/>
      <c r="N1075" s="564"/>
      <c r="O1075" s="564"/>
      <c r="P1075" s="564"/>
      <c r="Q1075" s="564"/>
      <c r="R1075" s="564"/>
      <c r="S1075" s="564"/>
      <c r="T1075" s="564"/>
      <c r="U1075" s="564"/>
      <c r="V1075" s="564"/>
      <c r="W1075" s="564"/>
      <c r="X1075" s="564"/>
      <c r="Y1075" s="564"/>
      <c r="Z1075" s="564"/>
      <c r="AA1075" s="564"/>
      <c r="AB1075" s="556"/>
      <c r="AC1075" s="556"/>
      <c r="AD1075" s="74"/>
      <c r="AE1075" s="74"/>
      <c r="AF1075" s="74"/>
      <c r="AG1075" s="74"/>
      <c r="AH1075" s="74"/>
      <c r="AI1075" s="74"/>
      <c r="AJ1075" s="74"/>
      <c r="AK1075" s="74"/>
      <c r="AL1075" s="74"/>
      <c r="AM1075" s="74"/>
      <c r="AN1075" s="74"/>
      <c r="AO1075" s="74"/>
      <c r="AP1075" s="74"/>
      <c r="AQ1075" s="74"/>
      <c r="AR1075" s="74"/>
      <c r="AS1075" s="565"/>
      <c r="AT1075" s="556"/>
    </row>
    <row r="1076" spans="1:46" hidden="1" x14ac:dyDescent="0.45">
      <c r="A1076" s="556"/>
      <c r="B1076" s="556"/>
      <c r="C1076" s="556"/>
      <c r="D1076" s="556"/>
      <c r="E1076" s="556"/>
      <c r="F1076" s="564"/>
      <c r="G1076" s="564"/>
      <c r="H1076" s="564"/>
      <c r="I1076" s="564"/>
      <c r="J1076" s="564"/>
      <c r="K1076" s="564"/>
      <c r="L1076" s="564"/>
      <c r="M1076" s="564"/>
      <c r="N1076" s="564"/>
      <c r="O1076" s="564"/>
      <c r="P1076" s="564"/>
      <c r="Q1076" s="564"/>
      <c r="R1076" s="564"/>
      <c r="S1076" s="564"/>
      <c r="T1076" s="564"/>
      <c r="U1076" s="564"/>
      <c r="V1076" s="564"/>
      <c r="W1076" s="564"/>
      <c r="X1076" s="564"/>
      <c r="Y1076" s="564"/>
      <c r="Z1076" s="564"/>
      <c r="AA1076" s="564"/>
      <c r="AB1076" s="556"/>
      <c r="AC1076" s="556"/>
      <c r="AD1076" s="74"/>
      <c r="AE1076" s="74"/>
      <c r="AF1076" s="74"/>
      <c r="AG1076" s="74"/>
      <c r="AH1076" s="74"/>
      <c r="AI1076" s="74"/>
      <c r="AJ1076" s="74"/>
      <c r="AK1076" s="74"/>
      <c r="AL1076" s="74"/>
      <c r="AM1076" s="74"/>
      <c r="AN1076" s="74"/>
      <c r="AO1076" s="74"/>
      <c r="AP1076" s="74"/>
      <c r="AQ1076" s="74"/>
      <c r="AR1076" s="74"/>
      <c r="AS1076" s="565"/>
      <c r="AT1076" s="556"/>
    </row>
    <row r="1077" spans="1:46" hidden="1" x14ac:dyDescent="0.45">
      <c r="A1077" s="556"/>
      <c r="B1077" s="556"/>
      <c r="C1077" s="556"/>
      <c r="D1077" s="556"/>
      <c r="E1077" s="556"/>
      <c r="F1077" s="564"/>
      <c r="G1077" s="564"/>
      <c r="H1077" s="564"/>
      <c r="I1077" s="564"/>
      <c r="J1077" s="564"/>
      <c r="K1077" s="564"/>
      <c r="L1077" s="564"/>
      <c r="M1077" s="564"/>
      <c r="N1077" s="564"/>
      <c r="O1077" s="564"/>
      <c r="P1077" s="564"/>
      <c r="Q1077" s="564"/>
      <c r="R1077" s="564"/>
      <c r="S1077" s="564"/>
      <c r="T1077" s="564"/>
      <c r="U1077" s="564"/>
      <c r="V1077" s="564"/>
      <c r="W1077" s="564"/>
      <c r="X1077" s="564"/>
      <c r="Y1077" s="564"/>
      <c r="Z1077" s="564"/>
      <c r="AA1077" s="564"/>
      <c r="AB1077" s="556"/>
      <c r="AC1077" s="556"/>
      <c r="AD1077" s="74"/>
      <c r="AE1077" s="74"/>
      <c r="AF1077" s="74"/>
      <c r="AG1077" s="74"/>
      <c r="AH1077" s="74"/>
      <c r="AI1077" s="74"/>
      <c r="AJ1077" s="74"/>
      <c r="AK1077" s="74"/>
      <c r="AL1077" s="74"/>
      <c r="AM1077" s="74"/>
      <c r="AN1077" s="74"/>
      <c r="AO1077" s="74"/>
      <c r="AP1077" s="74"/>
      <c r="AQ1077" s="74"/>
      <c r="AR1077" s="74"/>
      <c r="AS1077" s="565"/>
      <c r="AT1077" s="556"/>
    </row>
    <row r="1078" spans="1:46" hidden="1" x14ac:dyDescent="0.45">
      <c r="A1078" s="556"/>
      <c r="B1078" s="556"/>
      <c r="C1078" s="556"/>
      <c r="D1078" s="556"/>
      <c r="E1078" s="556"/>
      <c r="F1078" s="564"/>
      <c r="G1078" s="564"/>
      <c r="H1078" s="564"/>
      <c r="I1078" s="564"/>
      <c r="J1078" s="564"/>
      <c r="K1078" s="564"/>
      <c r="L1078" s="564"/>
      <c r="M1078" s="564"/>
      <c r="N1078" s="564"/>
      <c r="O1078" s="564"/>
      <c r="P1078" s="564"/>
      <c r="Q1078" s="564"/>
      <c r="R1078" s="564"/>
      <c r="S1078" s="564"/>
      <c r="T1078" s="564"/>
      <c r="U1078" s="564"/>
      <c r="V1078" s="564"/>
      <c r="W1078" s="564"/>
      <c r="X1078" s="564"/>
      <c r="Y1078" s="564"/>
      <c r="Z1078" s="564"/>
      <c r="AA1078" s="564"/>
      <c r="AB1078" s="556"/>
      <c r="AC1078" s="556"/>
      <c r="AD1078" s="74"/>
      <c r="AE1078" s="74"/>
      <c r="AF1078" s="74"/>
      <c r="AG1078" s="74"/>
      <c r="AH1078" s="74"/>
      <c r="AI1078" s="74"/>
      <c r="AJ1078" s="74"/>
      <c r="AK1078" s="74"/>
      <c r="AL1078" s="74"/>
      <c r="AM1078" s="74"/>
      <c r="AN1078" s="74"/>
      <c r="AO1078" s="74"/>
      <c r="AP1078" s="74"/>
      <c r="AQ1078" s="74"/>
      <c r="AR1078" s="74"/>
      <c r="AS1078" s="565"/>
      <c r="AT1078" s="556"/>
    </row>
    <row r="1079" spans="1:46" hidden="1" x14ac:dyDescent="0.45">
      <c r="A1079" s="556"/>
      <c r="B1079" s="556"/>
      <c r="C1079" s="556"/>
      <c r="D1079" s="556"/>
      <c r="E1079" s="556"/>
      <c r="F1079" s="564"/>
      <c r="G1079" s="564"/>
      <c r="H1079" s="564"/>
      <c r="I1079" s="564"/>
      <c r="J1079" s="564"/>
      <c r="K1079" s="564"/>
      <c r="L1079" s="564"/>
      <c r="M1079" s="564"/>
      <c r="N1079" s="564"/>
      <c r="O1079" s="564"/>
      <c r="P1079" s="564"/>
      <c r="Q1079" s="564"/>
      <c r="R1079" s="564"/>
      <c r="S1079" s="564"/>
      <c r="T1079" s="564"/>
      <c r="U1079" s="564"/>
      <c r="V1079" s="564"/>
      <c r="W1079" s="564"/>
      <c r="X1079" s="564"/>
      <c r="Y1079" s="564"/>
      <c r="Z1079" s="564"/>
      <c r="AA1079" s="564"/>
      <c r="AB1079" s="556"/>
      <c r="AC1079" s="556"/>
      <c r="AD1079" s="74"/>
      <c r="AE1079" s="74"/>
      <c r="AF1079" s="74"/>
      <c r="AG1079" s="74"/>
      <c r="AH1079" s="74"/>
      <c r="AI1079" s="74"/>
      <c r="AJ1079" s="74"/>
      <c r="AK1079" s="74"/>
      <c r="AL1079" s="74"/>
      <c r="AM1079" s="74"/>
      <c r="AN1079" s="74"/>
      <c r="AO1079" s="74"/>
      <c r="AP1079" s="74"/>
      <c r="AQ1079" s="74"/>
      <c r="AR1079" s="74"/>
      <c r="AS1079" s="565"/>
      <c r="AT1079" s="556"/>
    </row>
    <row r="1080" spans="1:46" hidden="1" x14ac:dyDescent="0.45">
      <c r="A1080" s="556"/>
      <c r="B1080" s="556"/>
      <c r="C1080" s="556"/>
      <c r="D1080" s="556"/>
      <c r="E1080" s="556"/>
      <c r="F1080" s="564"/>
      <c r="G1080" s="564"/>
      <c r="H1080" s="564"/>
      <c r="I1080" s="564"/>
      <c r="J1080" s="564"/>
      <c r="K1080" s="564"/>
      <c r="L1080" s="564"/>
      <c r="M1080" s="564"/>
      <c r="N1080" s="564"/>
      <c r="O1080" s="564"/>
      <c r="P1080" s="564"/>
      <c r="Q1080" s="564"/>
      <c r="R1080" s="564"/>
      <c r="S1080" s="564"/>
      <c r="T1080" s="564"/>
      <c r="U1080" s="564"/>
      <c r="V1080" s="564"/>
      <c r="W1080" s="564"/>
      <c r="X1080" s="564"/>
      <c r="Y1080" s="564"/>
      <c r="Z1080" s="564"/>
      <c r="AA1080" s="564"/>
      <c r="AB1080" s="556"/>
      <c r="AC1080" s="556"/>
      <c r="AD1080" s="74"/>
      <c r="AE1080" s="74"/>
      <c r="AF1080" s="74"/>
      <c r="AG1080" s="74"/>
      <c r="AH1080" s="74"/>
      <c r="AI1080" s="74"/>
      <c r="AJ1080" s="74"/>
      <c r="AK1080" s="74"/>
      <c r="AL1080" s="74"/>
      <c r="AM1080" s="74"/>
      <c r="AN1080" s="74"/>
      <c r="AO1080" s="74"/>
      <c r="AP1080" s="74"/>
      <c r="AQ1080" s="74"/>
      <c r="AR1080" s="74"/>
      <c r="AS1080" s="565"/>
      <c r="AT1080" s="556"/>
    </row>
    <row r="1081" spans="1:46" hidden="1" x14ac:dyDescent="0.45">
      <c r="A1081" s="556"/>
      <c r="B1081" s="556"/>
      <c r="C1081" s="556"/>
      <c r="D1081" s="556"/>
      <c r="E1081" s="556"/>
      <c r="F1081" s="564"/>
      <c r="G1081" s="564"/>
      <c r="H1081" s="564"/>
      <c r="I1081" s="564"/>
      <c r="J1081" s="564"/>
      <c r="K1081" s="564"/>
      <c r="L1081" s="564"/>
      <c r="M1081" s="564"/>
      <c r="N1081" s="564"/>
      <c r="O1081" s="564"/>
      <c r="P1081" s="564"/>
      <c r="Q1081" s="564"/>
      <c r="R1081" s="564"/>
      <c r="S1081" s="564"/>
      <c r="T1081" s="564"/>
      <c r="U1081" s="564"/>
      <c r="V1081" s="564"/>
      <c r="W1081" s="564"/>
      <c r="X1081" s="564"/>
      <c r="Y1081" s="564"/>
      <c r="Z1081" s="564"/>
      <c r="AA1081" s="564"/>
      <c r="AB1081" s="556"/>
      <c r="AC1081" s="556"/>
      <c r="AD1081" s="74"/>
      <c r="AE1081" s="74"/>
      <c r="AF1081" s="74"/>
      <c r="AG1081" s="74"/>
      <c r="AH1081" s="74"/>
      <c r="AI1081" s="74"/>
      <c r="AJ1081" s="74"/>
      <c r="AK1081" s="74"/>
      <c r="AL1081" s="74"/>
      <c r="AM1081" s="74"/>
      <c r="AN1081" s="74"/>
      <c r="AO1081" s="74"/>
      <c r="AP1081" s="74"/>
      <c r="AQ1081" s="74"/>
      <c r="AR1081" s="74"/>
      <c r="AS1081" s="565"/>
      <c r="AT1081" s="556"/>
    </row>
    <row r="1082" spans="1:46" hidden="1" x14ac:dyDescent="0.45">
      <c r="A1082" s="556"/>
      <c r="B1082" s="556"/>
      <c r="C1082" s="556"/>
      <c r="D1082" s="556"/>
      <c r="E1082" s="556"/>
      <c r="F1082" s="564"/>
      <c r="G1082" s="564"/>
      <c r="H1082" s="564"/>
      <c r="I1082" s="564"/>
      <c r="J1082" s="564"/>
      <c r="K1082" s="564"/>
      <c r="L1082" s="564"/>
      <c r="M1082" s="564"/>
      <c r="N1082" s="564"/>
      <c r="O1082" s="564"/>
      <c r="P1082" s="564"/>
      <c r="Q1082" s="564"/>
      <c r="R1082" s="564"/>
      <c r="S1082" s="564"/>
      <c r="T1082" s="564"/>
      <c r="U1082" s="564"/>
      <c r="V1082" s="564"/>
      <c r="W1082" s="564"/>
      <c r="X1082" s="564"/>
      <c r="Y1082" s="564"/>
      <c r="Z1082" s="564"/>
      <c r="AA1082" s="564"/>
      <c r="AB1082" s="556"/>
      <c r="AC1082" s="556"/>
      <c r="AD1082" s="74"/>
      <c r="AE1082" s="74"/>
      <c r="AF1082" s="74"/>
      <c r="AG1082" s="74"/>
      <c r="AH1082" s="74"/>
      <c r="AI1082" s="74"/>
      <c r="AJ1082" s="74"/>
      <c r="AK1082" s="74"/>
      <c r="AL1082" s="74"/>
      <c r="AM1082" s="74"/>
      <c r="AN1082" s="74"/>
      <c r="AO1082" s="74"/>
      <c r="AP1082" s="74"/>
      <c r="AQ1082" s="74"/>
      <c r="AR1082" s="74"/>
      <c r="AS1082" s="565"/>
      <c r="AT1082" s="556"/>
    </row>
    <row r="1083" spans="1:46" hidden="1" x14ac:dyDescent="0.45">
      <c r="A1083" s="556"/>
      <c r="B1083" s="556"/>
      <c r="C1083" s="556"/>
      <c r="D1083" s="556"/>
      <c r="E1083" s="556"/>
      <c r="F1083" s="564"/>
      <c r="G1083" s="564"/>
      <c r="H1083" s="564"/>
      <c r="I1083" s="564"/>
      <c r="J1083" s="564"/>
      <c r="K1083" s="564"/>
      <c r="L1083" s="564"/>
      <c r="M1083" s="564"/>
      <c r="N1083" s="564"/>
      <c r="O1083" s="564"/>
      <c r="P1083" s="564"/>
      <c r="Q1083" s="564"/>
      <c r="R1083" s="564"/>
      <c r="S1083" s="564"/>
      <c r="T1083" s="564"/>
      <c r="U1083" s="564"/>
      <c r="V1083" s="564"/>
      <c r="W1083" s="564"/>
      <c r="X1083" s="564"/>
      <c r="Y1083" s="564"/>
      <c r="Z1083" s="564"/>
      <c r="AA1083" s="564"/>
      <c r="AB1083" s="556"/>
      <c r="AC1083" s="556"/>
      <c r="AD1083" s="74"/>
      <c r="AE1083" s="74"/>
      <c r="AF1083" s="74"/>
      <c r="AG1083" s="74"/>
      <c r="AH1083" s="74"/>
      <c r="AI1083" s="74"/>
      <c r="AJ1083" s="74"/>
      <c r="AK1083" s="74"/>
      <c r="AL1083" s="74"/>
      <c r="AM1083" s="74"/>
      <c r="AN1083" s="74"/>
      <c r="AO1083" s="74"/>
      <c r="AP1083" s="74"/>
      <c r="AQ1083" s="74"/>
      <c r="AR1083" s="74"/>
      <c r="AS1083" s="565"/>
      <c r="AT1083" s="556"/>
    </row>
    <row r="1084" spans="1:46" hidden="1" x14ac:dyDescent="0.45">
      <c r="A1084" s="556"/>
      <c r="B1084" s="556"/>
      <c r="C1084" s="556"/>
      <c r="D1084" s="556"/>
      <c r="E1084" s="556"/>
      <c r="F1084" s="564"/>
      <c r="G1084" s="564"/>
      <c r="H1084" s="564"/>
      <c r="I1084" s="564"/>
      <c r="J1084" s="564"/>
      <c r="K1084" s="564"/>
      <c r="L1084" s="564"/>
      <c r="M1084" s="564"/>
      <c r="N1084" s="564"/>
      <c r="O1084" s="564"/>
      <c r="P1084" s="564"/>
      <c r="Q1084" s="564"/>
      <c r="R1084" s="564"/>
      <c r="S1084" s="564"/>
      <c r="T1084" s="564"/>
      <c r="U1084" s="564"/>
      <c r="V1084" s="564"/>
      <c r="W1084" s="564"/>
      <c r="X1084" s="564"/>
      <c r="Y1084" s="564"/>
      <c r="Z1084" s="564"/>
      <c r="AA1084" s="564"/>
      <c r="AB1084" s="556"/>
      <c r="AC1084" s="556"/>
      <c r="AD1084" s="74"/>
      <c r="AE1084" s="74"/>
      <c r="AF1084" s="74"/>
      <c r="AG1084" s="74"/>
      <c r="AH1084" s="74"/>
      <c r="AI1084" s="74"/>
      <c r="AJ1084" s="74"/>
      <c r="AK1084" s="74"/>
      <c r="AL1084" s="74"/>
      <c r="AM1084" s="74"/>
      <c r="AN1084" s="74"/>
      <c r="AO1084" s="74"/>
      <c r="AP1084" s="74"/>
      <c r="AQ1084" s="74"/>
      <c r="AR1084" s="74"/>
      <c r="AS1084" s="565"/>
      <c r="AT1084" s="556"/>
    </row>
    <row r="1085" spans="1:46" hidden="1" x14ac:dyDescent="0.45">
      <c r="A1085" s="556"/>
      <c r="B1085" s="556"/>
      <c r="C1085" s="556"/>
      <c r="D1085" s="556"/>
      <c r="E1085" s="556"/>
      <c r="F1085" s="564"/>
      <c r="G1085" s="564"/>
      <c r="H1085" s="564"/>
      <c r="I1085" s="564"/>
      <c r="J1085" s="564"/>
      <c r="K1085" s="564"/>
      <c r="L1085" s="564"/>
      <c r="M1085" s="564"/>
      <c r="N1085" s="564"/>
      <c r="O1085" s="564"/>
      <c r="P1085" s="564"/>
      <c r="Q1085" s="564"/>
      <c r="R1085" s="564"/>
      <c r="S1085" s="564"/>
      <c r="T1085" s="564"/>
      <c r="U1085" s="564"/>
      <c r="V1085" s="564"/>
      <c r="W1085" s="564"/>
      <c r="X1085" s="564"/>
      <c r="Y1085" s="564"/>
      <c r="Z1085" s="564"/>
      <c r="AA1085" s="564"/>
      <c r="AB1085" s="556"/>
      <c r="AC1085" s="556"/>
      <c r="AD1085" s="74"/>
      <c r="AE1085" s="74"/>
      <c r="AF1085" s="74"/>
      <c r="AG1085" s="74"/>
      <c r="AH1085" s="74"/>
      <c r="AI1085" s="74"/>
      <c r="AJ1085" s="74"/>
      <c r="AK1085" s="74"/>
      <c r="AL1085" s="74"/>
      <c r="AM1085" s="74"/>
      <c r="AN1085" s="74"/>
      <c r="AO1085" s="74"/>
      <c r="AP1085" s="74"/>
      <c r="AQ1085" s="74"/>
      <c r="AR1085" s="74"/>
      <c r="AS1085" s="565"/>
      <c r="AT1085" s="556"/>
    </row>
    <row r="1086" spans="1:46" hidden="1" x14ac:dyDescent="0.45">
      <c r="A1086" s="556"/>
      <c r="B1086" s="556"/>
      <c r="C1086" s="556"/>
      <c r="D1086" s="556"/>
      <c r="E1086" s="556"/>
      <c r="F1086" s="564"/>
      <c r="G1086" s="564"/>
      <c r="H1086" s="564"/>
      <c r="I1086" s="564"/>
      <c r="J1086" s="564"/>
      <c r="K1086" s="564"/>
      <c r="L1086" s="564"/>
      <c r="M1086" s="564"/>
      <c r="N1086" s="564"/>
      <c r="O1086" s="564"/>
      <c r="P1086" s="564"/>
      <c r="Q1086" s="564"/>
      <c r="R1086" s="564"/>
      <c r="S1086" s="564"/>
      <c r="T1086" s="564"/>
      <c r="U1086" s="564"/>
      <c r="V1086" s="564"/>
      <c r="W1086" s="564"/>
      <c r="X1086" s="564"/>
      <c r="Y1086" s="564"/>
      <c r="Z1086" s="564"/>
      <c r="AA1086" s="564"/>
      <c r="AB1086" s="556"/>
      <c r="AC1086" s="556"/>
      <c r="AD1086" s="74"/>
      <c r="AE1086" s="74"/>
      <c r="AF1086" s="74"/>
      <c r="AG1086" s="74"/>
      <c r="AH1086" s="74"/>
      <c r="AI1086" s="74"/>
      <c r="AJ1086" s="74"/>
      <c r="AK1086" s="74"/>
      <c r="AL1086" s="74"/>
      <c r="AM1086" s="74"/>
      <c r="AN1086" s="74"/>
      <c r="AO1086" s="74"/>
      <c r="AP1086" s="74"/>
      <c r="AQ1086" s="74"/>
      <c r="AR1086" s="74"/>
      <c r="AS1086" s="565"/>
      <c r="AT1086" s="556"/>
    </row>
    <row r="1087" spans="1:46" hidden="1" x14ac:dyDescent="0.45">
      <c r="A1087" s="556"/>
      <c r="B1087" s="556"/>
      <c r="C1087" s="556"/>
      <c r="D1087" s="556"/>
      <c r="E1087" s="556"/>
      <c r="F1087" s="564"/>
      <c r="G1087" s="564"/>
      <c r="H1087" s="564"/>
      <c r="I1087" s="564"/>
      <c r="J1087" s="564"/>
      <c r="K1087" s="564"/>
      <c r="L1087" s="564"/>
      <c r="M1087" s="564"/>
      <c r="N1087" s="564"/>
      <c r="O1087" s="564"/>
      <c r="P1087" s="564"/>
      <c r="Q1087" s="564"/>
      <c r="R1087" s="564"/>
      <c r="S1087" s="564"/>
      <c r="T1087" s="564"/>
      <c r="U1087" s="564"/>
      <c r="V1087" s="564"/>
      <c r="W1087" s="564"/>
      <c r="X1087" s="564"/>
      <c r="Y1087" s="564"/>
      <c r="Z1087" s="564"/>
      <c r="AA1087" s="564"/>
      <c r="AB1087" s="556"/>
      <c r="AC1087" s="556"/>
      <c r="AD1087" s="74"/>
      <c r="AE1087" s="74"/>
      <c r="AF1087" s="74"/>
      <c r="AG1087" s="74"/>
      <c r="AH1087" s="74"/>
      <c r="AI1087" s="74"/>
      <c r="AJ1087" s="74"/>
      <c r="AK1087" s="74"/>
      <c r="AL1087" s="74"/>
      <c r="AM1087" s="74"/>
      <c r="AN1087" s="74"/>
      <c r="AO1087" s="74"/>
      <c r="AP1087" s="74"/>
      <c r="AQ1087" s="74"/>
      <c r="AR1087" s="74"/>
      <c r="AS1087" s="565"/>
      <c r="AT1087" s="556"/>
    </row>
    <row r="1088" spans="1:46" hidden="1" x14ac:dyDescent="0.45">
      <c r="A1088" s="556"/>
      <c r="B1088" s="556"/>
      <c r="C1088" s="556"/>
      <c r="D1088" s="556"/>
      <c r="E1088" s="556"/>
      <c r="F1088" s="564"/>
      <c r="G1088" s="564"/>
      <c r="H1088" s="564"/>
      <c r="I1088" s="564"/>
      <c r="J1088" s="564"/>
      <c r="K1088" s="564"/>
      <c r="L1088" s="564"/>
      <c r="M1088" s="564"/>
      <c r="N1088" s="564"/>
      <c r="O1088" s="564"/>
      <c r="P1088" s="564"/>
      <c r="Q1088" s="564"/>
      <c r="R1088" s="564"/>
      <c r="S1088" s="564"/>
      <c r="T1088" s="564"/>
      <c r="U1088" s="564"/>
      <c r="V1088" s="564"/>
      <c r="W1088" s="564"/>
      <c r="X1088" s="564"/>
      <c r="Y1088" s="564"/>
      <c r="Z1088" s="564"/>
      <c r="AA1088" s="564"/>
      <c r="AB1088" s="556"/>
      <c r="AC1088" s="556"/>
      <c r="AD1088" s="74"/>
      <c r="AE1088" s="74"/>
      <c r="AF1088" s="74"/>
      <c r="AG1088" s="74"/>
      <c r="AH1088" s="74"/>
      <c r="AI1088" s="74"/>
      <c r="AJ1088" s="74"/>
      <c r="AK1088" s="74"/>
      <c r="AL1088" s="74"/>
      <c r="AM1088" s="74"/>
      <c r="AN1088" s="74"/>
      <c r="AO1088" s="74"/>
      <c r="AP1088" s="74"/>
      <c r="AQ1088" s="74"/>
      <c r="AR1088" s="74"/>
      <c r="AS1088" s="565"/>
      <c r="AT1088" s="556"/>
    </row>
    <row r="1089" spans="1:46" hidden="1" x14ac:dyDescent="0.45">
      <c r="A1089" s="556"/>
      <c r="B1089" s="556"/>
      <c r="C1089" s="556"/>
      <c r="D1089" s="556"/>
      <c r="E1089" s="556"/>
      <c r="F1089" s="564"/>
      <c r="G1089" s="564"/>
      <c r="H1089" s="564"/>
      <c r="I1089" s="564"/>
      <c r="J1089" s="564"/>
      <c r="K1089" s="564"/>
      <c r="L1089" s="564"/>
      <c r="M1089" s="564"/>
      <c r="N1089" s="564"/>
      <c r="O1089" s="564"/>
      <c r="P1089" s="564"/>
      <c r="Q1089" s="564"/>
      <c r="R1089" s="564"/>
      <c r="S1089" s="564"/>
      <c r="T1089" s="564"/>
      <c r="U1089" s="564"/>
      <c r="V1089" s="564"/>
      <c r="W1089" s="564"/>
      <c r="X1089" s="564"/>
      <c r="Y1089" s="564"/>
      <c r="Z1089" s="564"/>
      <c r="AA1089" s="564"/>
      <c r="AB1089" s="556"/>
      <c r="AC1089" s="556"/>
      <c r="AD1089" s="74"/>
      <c r="AE1089" s="74"/>
      <c r="AF1089" s="74"/>
      <c r="AG1089" s="74"/>
      <c r="AH1089" s="74"/>
      <c r="AI1089" s="74"/>
      <c r="AJ1089" s="74"/>
      <c r="AK1089" s="74"/>
      <c r="AL1089" s="74"/>
      <c r="AM1089" s="74"/>
      <c r="AN1089" s="74"/>
      <c r="AO1089" s="74"/>
      <c r="AP1089" s="74"/>
      <c r="AQ1089" s="74"/>
      <c r="AR1089" s="74"/>
      <c r="AS1089" s="565"/>
      <c r="AT1089" s="556"/>
    </row>
    <row r="1090" spans="1:46" hidden="1" x14ac:dyDescent="0.45">
      <c r="A1090" s="556"/>
      <c r="B1090" s="556"/>
      <c r="C1090" s="556"/>
      <c r="D1090" s="556"/>
      <c r="E1090" s="556"/>
      <c r="F1090" s="564"/>
      <c r="G1090" s="564"/>
      <c r="H1090" s="564"/>
      <c r="I1090" s="564"/>
      <c r="J1090" s="564"/>
      <c r="K1090" s="564"/>
      <c r="L1090" s="564"/>
      <c r="M1090" s="564"/>
      <c r="N1090" s="564"/>
      <c r="O1090" s="564"/>
      <c r="P1090" s="564"/>
      <c r="Q1090" s="564"/>
      <c r="R1090" s="564"/>
      <c r="S1090" s="564"/>
      <c r="T1090" s="564"/>
      <c r="U1090" s="564"/>
      <c r="V1090" s="564"/>
      <c r="W1090" s="564"/>
      <c r="X1090" s="564"/>
      <c r="Y1090" s="564"/>
      <c r="Z1090" s="564"/>
      <c r="AA1090" s="564"/>
      <c r="AB1090" s="556"/>
      <c r="AC1090" s="556"/>
      <c r="AD1090" s="74"/>
      <c r="AE1090" s="74"/>
      <c r="AF1090" s="74"/>
      <c r="AG1090" s="74"/>
      <c r="AH1090" s="74"/>
      <c r="AI1090" s="74"/>
      <c r="AJ1090" s="74"/>
      <c r="AK1090" s="74"/>
      <c r="AL1090" s="74"/>
      <c r="AM1090" s="74"/>
      <c r="AN1090" s="74"/>
      <c r="AO1090" s="74"/>
      <c r="AP1090" s="74"/>
      <c r="AQ1090" s="74"/>
      <c r="AR1090" s="74"/>
      <c r="AS1090" s="565"/>
      <c r="AT1090" s="556"/>
    </row>
    <row r="1091" spans="1:46" hidden="1" x14ac:dyDescent="0.45">
      <c r="A1091" s="556"/>
      <c r="B1091" s="556"/>
      <c r="C1091" s="556"/>
      <c r="D1091" s="556"/>
      <c r="E1091" s="556"/>
      <c r="F1091" s="564"/>
      <c r="G1091" s="564"/>
      <c r="H1091" s="564"/>
      <c r="I1091" s="564"/>
      <c r="J1091" s="564"/>
      <c r="K1091" s="564"/>
      <c r="L1091" s="564"/>
      <c r="M1091" s="564"/>
      <c r="N1091" s="564"/>
      <c r="O1091" s="564"/>
      <c r="P1091" s="564"/>
      <c r="Q1091" s="564"/>
      <c r="R1091" s="564"/>
      <c r="S1091" s="564"/>
      <c r="T1091" s="564"/>
      <c r="U1091" s="564"/>
      <c r="V1091" s="564"/>
      <c r="W1091" s="564"/>
      <c r="X1091" s="564"/>
      <c r="Y1091" s="564"/>
      <c r="Z1091" s="564"/>
      <c r="AA1091" s="564"/>
      <c r="AB1091" s="556"/>
      <c r="AC1091" s="556"/>
      <c r="AD1091" s="74"/>
      <c r="AE1091" s="74"/>
      <c r="AF1091" s="74"/>
      <c r="AG1091" s="74"/>
      <c r="AH1091" s="74"/>
      <c r="AI1091" s="74"/>
      <c r="AJ1091" s="74"/>
      <c r="AK1091" s="74"/>
      <c r="AL1091" s="74"/>
      <c r="AM1091" s="74"/>
      <c r="AN1091" s="74"/>
      <c r="AO1091" s="74"/>
      <c r="AP1091" s="74"/>
      <c r="AQ1091" s="74"/>
      <c r="AR1091" s="74"/>
      <c r="AS1091" s="565"/>
      <c r="AT1091" s="556"/>
    </row>
    <row r="1092" spans="1:46" hidden="1" x14ac:dyDescent="0.45">
      <c r="A1092" s="556"/>
      <c r="B1092" s="556"/>
      <c r="C1092" s="556"/>
      <c r="D1092" s="556"/>
      <c r="E1092" s="556"/>
      <c r="F1092" s="564"/>
      <c r="G1092" s="564"/>
      <c r="H1092" s="564"/>
      <c r="I1092" s="564"/>
      <c r="J1092" s="564"/>
      <c r="K1092" s="564"/>
      <c r="L1092" s="564"/>
      <c r="M1092" s="564"/>
      <c r="N1092" s="564"/>
      <c r="O1092" s="564"/>
      <c r="P1092" s="564"/>
      <c r="Q1092" s="564"/>
      <c r="R1092" s="564"/>
      <c r="S1092" s="564"/>
      <c r="T1092" s="564"/>
      <c r="U1092" s="564"/>
      <c r="V1092" s="564"/>
      <c r="W1092" s="564"/>
      <c r="X1092" s="564"/>
      <c r="Y1092" s="564"/>
      <c r="Z1092" s="564"/>
      <c r="AA1092" s="564"/>
      <c r="AB1092" s="556"/>
      <c r="AC1092" s="556"/>
      <c r="AD1092" s="74"/>
      <c r="AE1092" s="74"/>
      <c r="AF1092" s="74"/>
      <c r="AG1092" s="74"/>
      <c r="AH1092" s="74"/>
      <c r="AI1092" s="74"/>
      <c r="AJ1092" s="74"/>
      <c r="AK1092" s="74"/>
      <c r="AL1092" s="74"/>
      <c r="AM1092" s="74"/>
      <c r="AN1092" s="74"/>
      <c r="AO1092" s="74"/>
      <c r="AP1092" s="74"/>
      <c r="AQ1092" s="74"/>
      <c r="AR1092" s="74"/>
      <c r="AS1092" s="565"/>
      <c r="AT1092" s="556"/>
    </row>
    <row r="1093" spans="1:46" hidden="1" x14ac:dyDescent="0.45">
      <c r="A1093" s="556"/>
      <c r="B1093" s="556"/>
      <c r="C1093" s="556"/>
      <c r="D1093" s="556"/>
      <c r="E1093" s="556"/>
      <c r="F1093" s="564"/>
      <c r="G1093" s="564"/>
      <c r="H1093" s="564"/>
      <c r="I1093" s="564"/>
      <c r="J1093" s="564"/>
      <c r="K1093" s="564"/>
      <c r="L1093" s="564"/>
      <c r="M1093" s="564"/>
      <c r="N1093" s="564"/>
      <c r="O1093" s="564"/>
      <c r="P1093" s="564"/>
      <c r="Q1093" s="564"/>
      <c r="R1093" s="564"/>
      <c r="S1093" s="564"/>
      <c r="T1093" s="564"/>
      <c r="U1093" s="564"/>
      <c r="V1093" s="564"/>
      <c r="W1093" s="564"/>
      <c r="X1093" s="564"/>
      <c r="Y1093" s="564"/>
      <c r="Z1093" s="564"/>
      <c r="AA1093" s="564"/>
      <c r="AB1093" s="556"/>
      <c r="AC1093" s="556"/>
      <c r="AD1093" s="74"/>
      <c r="AE1093" s="74"/>
      <c r="AF1093" s="74"/>
      <c r="AG1093" s="74"/>
      <c r="AH1093" s="74"/>
      <c r="AI1093" s="74"/>
      <c r="AJ1093" s="74"/>
      <c r="AK1093" s="74"/>
      <c r="AL1093" s="74"/>
      <c r="AM1093" s="74"/>
      <c r="AN1093" s="74"/>
      <c r="AO1093" s="74"/>
      <c r="AP1093" s="74"/>
      <c r="AQ1093" s="74"/>
      <c r="AR1093" s="74"/>
      <c r="AS1093" s="565"/>
      <c r="AT1093" s="556"/>
    </row>
    <row r="1094" spans="1:46" hidden="1" x14ac:dyDescent="0.45">
      <c r="A1094" s="556"/>
      <c r="B1094" s="556"/>
      <c r="C1094" s="556"/>
      <c r="D1094" s="556"/>
      <c r="E1094" s="556"/>
      <c r="F1094" s="564"/>
      <c r="G1094" s="564"/>
      <c r="H1094" s="564"/>
      <c r="I1094" s="564"/>
      <c r="J1094" s="564"/>
      <c r="K1094" s="564"/>
      <c r="L1094" s="564"/>
      <c r="M1094" s="564"/>
      <c r="N1094" s="564"/>
      <c r="O1094" s="564"/>
      <c r="P1094" s="564"/>
      <c r="Q1094" s="564"/>
      <c r="R1094" s="564"/>
      <c r="S1094" s="564"/>
      <c r="T1094" s="564"/>
      <c r="U1094" s="564"/>
      <c r="V1094" s="564"/>
      <c r="W1094" s="564"/>
      <c r="X1094" s="564"/>
      <c r="Y1094" s="564"/>
      <c r="Z1094" s="564"/>
      <c r="AA1094" s="564"/>
      <c r="AB1094" s="556"/>
      <c r="AC1094" s="556"/>
      <c r="AD1094" s="74"/>
      <c r="AE1094" s="74"/>
      <c r="AF1094" s="74"/>
      <c r="AG1094" s="74"/>
      <c r="AH1094" s="74"/>
      <c r="AI1094" s="74"/>
      <c r="AJ1094" s="74"/>
      <c r="AK1094" s="74"/>
      <c r="AL1094" s="74"/>
      <c r="AM1094" s="74"/>
      <c r="AN1094" s="74"/>
      <c r="AO1094" s="74"/>
      <c r="AP1094" s="74"/>
      <c r="AQ1094" s="74"/>
      <c r="AR1094" s="74"/>
      <c r="AS1094" s="565"/>
      <c r="AT1094" s="556"/>
    </row>
    <row r="1095" spans="1:46" hidden="1" x14ac:dyDescent="0.45">
      <c r="A1095" s="556"/>
      <c r="B1095" s="556"/>
      <c r="C1095" s="556"/>
      <c r="D1095" s="556"/>
      <c r="E1095" s="556"/>
      <c r="F1095" s="564"/>
      <c r="G1095" s="564"/>
      <c r="H1095" s="564"/>
      <c r="I1095" s="564"/>
      <c r="J1095" s="564"/>
      <c r="K1095" s="564"/>
      <c r="L1095" s="564"/>
      <c r="M1095" s="564"/>
      <c r="N1095" s="564"/>
      <c r="O1095" s="564"/>
      <c r="P1095" s="564"/>
      <c r="Q1095" s="564"/>
      <c r="R1095" s="564"/>
      <c r="S1095" s="564"/>
      <c r="T1095" s="564"/>
      <c r="U1095" s="564"/>
      <c r="V1095" s="564"/>
      <c r="W1095" s="564"/>
      <c r="X1095" s="564"/>
      <c r="Y1095" s="564"/>
      <c r="Z1095" s="564"/>
      <c r="AA1095" s="564"/>
      <c r="AB1095" s="556"/>
      <c r="AC1095" s="556"/>
      <c r="AD1095" s="74"/>
      <c r="AE1095" s="74"/>
      <c r="AF1095" s="74"/>
      <c r="AG1095" s="74"/>
      <c r="AH1095" s="74"/>
      <c r="AI1095" s="74"/>
      <c r="AJ1095" s="74"/>
      <c r="AK1095" s="74"/>
      <c r="AL1095" s="74"/>
      <c r="AM1095" s="74"/>
      <c r="AN1095" s="74"/>
      <c r="AO1095" s="74"/>
      <c r="AP1095" s="74"/>
      <c r="AQ1095" s="74"/>
      <c r="AR1095" s="74"/>
      <c r="AS1095" s="565"/>
      <c r="AT1095" s="556"/>
    </row>
    <row r="1096" spans="1:46" hidden="1" x14ac:dyDescent="0.45">
      <c r="A1096" s="556"/>
      <c r="B1096" s="556"/>
      <c r="C1096" s="556"/>
      <c r="D1096" s="556"/>
      <c r="E1096" s="556"/>
      <c r="F1096" s="564"/>
      <c r="G1096" s="564"/>
      <c r="H1096" s="564"/>
      <c r="I1096" s="564"/>
      <c r="J1096" s="564"/>
      <c r="K1096" s="564"/>
      <c r="L1096" s="564"/>
      <c r="M1096" s="564"/>
      <c r="N1096" s="564"/>
      <c r="O1096" s="564"/>
      <c r="P1096" s="564"/>
      <c r="Q1096" s="564"/>
      <c r="R1096" s="564"/>
      <c r="S1096" s="564"/>
      <c r="T1096" s="564"/>
      <c r="U1096" s="564"/>
      <c r="V1096" s="564"/>
      <c r="W1096" s="564"/>
      <c r="X1096" s="564"/>
      <c r="Y1096" s="564"/>
      <c r="Z1096" s="564"/>
      <c r="AA1096" s="564"/>
      <c r="AB1096" s="556"/>
      <c r="AC1096" s="556"/>
      <c r="AD1096" s="74"/>
      <c r="AE1096" s="74"/>
      <c r="AF1096" s="74"/>
      <c r="AG1096" s="74"/>
      <c r="AH1096" s="74"/>
      <c r="AI1096" s="74"/>
      <c r="AJ1096" s="74"/>
      <c r="AK1096" s="74"/>
      <c r="AL1096" s="74"/>
      <c r="AM1096" s="74"/>
      <c r="AN1096" s="74"/>
      <c r="AO1096" s="74"/>
      <c r="AP1096" s="74"/>
      <c r="AQ1096" s="74"/>
      <c r="AR1096" s="74"/>
      <c r="AS1096" s="565"/>
      <c r="AT1096" s="556"/>
    </row>
    <row r="1097" spans="1:46" hidden="1" x14ac:dyDescent="0.45">
      <c r="A1097" s="556"/>
      <c r="B1097" s="556"/>
      <c r="C1097" s="556"/>
      <c r="D1097" s="556"/>
      <c r="E1097" s="556"/>
      <c r="F1097" s="564"/>
      <c r="G1097" s="564"/>
      <c r="H1097" s="564"/>
      <c r="I1097" s="564"/>
      <c r="J1097" s="564"/>
      <c r="K1097" s="564"/>
      <c r="L1097" s="564"/>
      <c r="M1097" s="564"/>
      <c r="N1097" s="564"/>
      <c r="O1097" s="564"/>
      <c r="P1097" s="564"/>
      <c r="Q1097" s="564"/>
      <c r="R1097" s="564"/>
      <c r="S1097" s="564"/>
      <c r="T1097" s="564"/>
      <c r="U1097" s="564"/>
      <c r="V1097" s="564"/>
      <c r="W1097" s="564"/>
      <c r="X1097" s="564"/>
      <c r="Y1097" s="564"/>
      <c r="Z1097" s="564"/>
      <c r="AA1097" s="564"/>
      <c r="AB1097" s="556"/>
      <c r="AC1097" s="556"/>
      <c r="AD1097" s="74"/>
      <c r="AE1097" s="74"/>
      <c r="AF1097" s="74"/>
      <c r="AG1097" s="74"/>
      <c r="AH1097" s="74"/>
      <c r="AI1097" s="74"/>
      <c r="AJ1097" s="74"/>
      <c r="AK1097" s="74"/>
      <c r="AL1097" s="74"/>
      <c r="AM1097" s="74"/>
      <c r="AN1097" s="74"/>
      <c r="AO1097" s="74"/>
      <c r="AP1097" s="74"/>
      <c r="AQ1097" s="74"/>
      <c r="AR1097" s="74"/>
      <c r="AS1097" s="565"/>
      <c r="AT1097" s="556"/>
    </row>
    <row r="1098" spans="1:46" hidden="1" x14ac:dyDescent="0.45">
      <c r="A1098" s="556"/>
      <c r="B1098" s="556"/>
      <c r="C1098" s="556"/>
      <c r="D1098" s="556"/>
      <c r="E1098" s="556"/>
      <c r="F1098" s="564"/>
      <c r="G1098" s="564"/>
      <c r="H1098" s="564"/>
      <c r="I1098" s="564"/>
      <c r="J1098" s="564"/>
      <c r="K1098" s="564"/>
      <c r="L1098" s="564"/>
      <c r="M1098" s="564"/>
      <c r="N1098" s="564"/>
      <c r="O1098" s="564"/>
      <c r="P1098" s="564"/>
      <c r="Q1098" s="564"/>
      <c r="R1098" s="564"/>
      <c r="S1098" s="564"/>
      <c r="T1098" s="564"/>
      <c r="U1098" s="564"/>
      <c r="V1098" s="564"/>
      <c r="W1098" s="564"/>
      <c r="X1098" s="564"/>
      <c r="Y1098" s="564"/>
      <c r="Z1098" s="564"/>
      <c r="AA1098" s="564"/>
      <c r="AB1098" s="556"/>
      <c r="AC1098" s="556"/>
      <c r="AD1098" s="74"/>
      <c r="AE1098" s="74"/>
      <c r="AF1098" s="74"/>
      <c r="AG1098" s="74"/>
      <c r="AH1098" s="74"/>
      <c r="AI1098" s="74"/>
      <c r="AJ1098" s="74"/>
      <c r="AK1098" s="74"/>
      <c r="AL1098" s="74"/>
      <c r="AM1098" s="74"/>
      <c r="AN1098" s="74"/>
      <c r="AO1098" s="74"/>
      <c r="AP1098" s="74"/>
      <c r="AQ1098" s="74"/>
      <c r="AR1098" s="74"/>
      <c r="AS1098" s="565"/>
      <c r="AT1098" s="556"/>
    </row>
    <row r="1099" spans="1:46" hidden="1" x14ac:dyDescent="0.45">
      <c r="A1099" s="556"/>
      <c r="B1099" s="556"/>
      <c r="C1099" s="556"/>
      <c r="D1099" s="556"/>
      <c r="E1099" s="556"/>
      <c r="F1099" s="564"/>
      <c r="G1099" s="564"/>
      <c r="H1099" s="564"/>
      <c r="I1099" s="564"/>
      <c r="J1099" s="564"/>
      <c r="K1099" s="564"/>
      <c r="L1099" s="564"/>
      <c r="M1099" s="564"/>
      <c r="N1099" s="564"/>
      <c r="O1099" s="564"/>
      <c r="P1099" s="564"/>
      <c r="Q1099" s="564"/>
      <c r="R1099" s="564"/>
      <c r="S1099" s="564"/>
      <c r="T1099" s="564"/>
      <c r="U1099" s="564"/>
      <c r="V1099" s="564"/>
      <c r="W1099" s="564"/>
      <c r="X1099" s="564"/>
      <c r="Y1099" s="564"/>
      <c r="Z1099" s="564"/>
      <c r="AA1099" s="564"/>
      <c r="AB1099" s="556"/>
      <c r="AC1099" s="556"/>
      <c r="AD1099" s="74"/>
      <c r="AE1099" s="74"/>
      <c r="AF1099" s="74"/>
      <c r="AG1099" s="74"/>
      <c r="AH1099" s="74"/>
      <c r="AI1099" s="74"/>
      <c r="AJ1099" s="74"/>
      <c r="AK1099" s="74"/>
      <c r="AL1099" s="74"/>
      <c r="AM1099" s="74"/>
      <c r="AN1099" s="74"/>
      <c r="AO1099" s="74"/>
      <c r="AP1099" s="74"/>
      <c r="AQ1099" s="74"/>
      <c r="AR1099" s="74"/>
      <c r="AS1099" s="565"/>
      <c r="AT1099" s="556"/>
    </row>
    <row r="1100" spans="1:46" hidden="1" x14ac:dyDescent="0.45">
      <c r="A1100" s="556"/>
      <c r="B1100" s="556"/>
      <c r="C1100" s="556"/>
      <c r="D1100" s="556"/>
      <c r="E1100" s="556"/>
      <c r="F1100" s="564"/>
      <c r="G1100" s="564"/>
      <c r="H1100" s="564"/>
      <c r="I1100" s="564"/>
      <c r="J1100" s="564"/>
      <c r="K1100" s="564"/>
      <c r="L1100" s="564"/>
      <c r="M1100" s="564"/>
      <c r="N1100" s="564"/>
      <c r="O1100" s="564"/>
      <c r="P1100" s="564"/>
      <c r="Q1100" s="564"/>
      <c r="R1100" s="564"/>
      <c r="S1100" s="564"/>
      <c r="T1100" s="564"/>
      <c r="U1100" s="564"/>
      <c r="V1100" s="564"/>
      <c r="W1100" s="564"/>
      <c r="X1100" s="564"/>
      <c r="Y1100" s="564"/>
      <c r="Z1100" s="564"/>
      <c r="AA1100" s="564"/>
      <c r="AB1100" s="556"/>
      <c r="AC1100" s="556"/>
      <c r="AD1100" s="74"/>
      <c r="AE1100" s="74"/>
      <c r="AF1100" s="74"/>
      <c r="AG1100" s="74"/>
      <c r="AH1100" s="74"/>
      <c r="AI1100" s="74"/>
      <c r="AJ1100" s="74"/>
      <c r="AK1100" s="74"/>
      <c r="AL1100" s="74"/>
      <c r="AM1100" s="74"/>
      <c r="AN1100" s="74"/>
      <c r="AO1100" s="74"/>
      <c r="AP1100" s="74"/>
      <c r="AQ1100" s="74"/>
      <c r="AR1100" s="74"/>
      <c r="AS1100" s="565"/>
      <c r="AT1100" s="556"/>
    </row>
    <row r="1101" spans="1:46" hidden="1" x14ac:dyDescent="0.45">
      <c r="A1101" s="556"/>
      <c r="B1101" s="556"/>
      <c r="C1101" s="556"/>
      <c r="D1101" s="556"/>
      <c r="E1101" s="556"/>
      <c r="F1101" s="564"/>
      <c r="G1101" s="564"/>
      <c r="H1101" s="564"/>
      <c r="I1101" s="564"/>
      <c r="J1101" s="564"/>
      <c r="K1101" s="564"/>
      <c r="L1101" s="564"/>
      <c r="M1101" s="564"/>
      <c r="N1101" s="564"/>
      <c r="O1101" s="564"/>
      <c r="P1101" s="564"/>
      <c r="Q1101" s="564"/>
      <c r="R1101" s="564"/>
      <c r="S1101" s="564"/>
      <c r="T1101" s="564"/>
      <c r="U1101" s="564"/>
      <c r="V1101" s="564"/>
      <c r="W1101" s="564"/>
      <c r="X1101" s="564"/>
      <c r="Y1101" s="564"/>
      <c r="Z1101" s="564"/>
      <c r="AA1101" s="564"/>
      <c r="AB1101" s="556"/>
      <c r="AC1101" s="556"/>
      <c r="AD1101" s="74"/>
      <c r="AE1101" s="74"/>
      <c r="AF1101" s="74"/>
      <c r="AG1101" s="74"/>
      <c r="AH1101" s="74"/>
      <c r="AI1101" s="74"/>
      <c r="AJ1101" s="74"/>
      <c r="AK1101" s="74"/>
      <c r="AL1101" s="74"/>
      <c r="AM1101" s="74"/>
      <c r="AN1101" s="74"/>
      <c r="AO1101" s="74"/>
      <c r="AP1101" s="74"/>
      <c r="AQ1101" s="74"/>
      <c r="AR1101" s="74"/>
      <c r="AS1101" s="565"/>
      <c r="AT1101" s="556"/>
    </row>
    <row r="1102" spans="1:46" hidden="1" x14ac:dyDescent="0.45">
      <c r="A1102" s="556"/>
      <c r="B1102" s="556"/>
      <c r="C1102" s="556"/>
      <c r="D1102" s="556"/>
      <c r="E1102" s="556"/>
      <c r="F1102" s="564"/>
      <c r="G1102" s="564"/>
      <c r="H1102" s="564"/>
      <c r="I1102" s="564"/>
      <c r="J1102" s="564"/>
      <c r="K1102" s="564"/>
      <c r="L1102" s="564"/>
      <c r="M1102" s="564"/>
      <c r="N1102" s="564"/>
      <c r="O1102" s="564"/>
      <c r="P1102" s="564"/>
      <c r="Q1102" s="564"/>
      <c r="R1102" s="564"/>
      <c r="S1102" s="564"/>
      <c r="T1102" s="564"/>
      <c r="U1102" s="564"/>
      <c r="V1102" s="564"/>
      <c r="W1102" s="564"/>
      <c r="X1102" s="564"/>
      <c r="Y1102" s="564"/>
      <c r="Z1102" s="564"/>
      <c r="AA1102" s="564"/>
      <c r="AB1102" s="556"/>
      <c r="AC1102" s="556"/>
      <c r="AD1102" s="74"/>
      <c r="AE1102" s="74"/>
      <c r="AF1102" s="74"/>
      <c r="AG1102" s="74"/>
      <c r="AH1102" s="74"/>
      <c r="AI1102" s="74"/>
      <c r="AJ1102" s="74"/>
      <c r="AK1102" s="74"/>
      <c r="AL1102" s="74"/>
      <c r="AM1102" s="74"/>
      <c r="AN1102" s="74"/>
      <c r="AO1102" s="74"/>
      <c r="AP1102" s="74"/>
      <c r="AQ1102" s="74"/>
      <c r="AR1102" s="74"/>
      <c r="AS1102" s="565"/>
      <c r="AT1102" s="556"/>
    </row>
    <row r="1103" spans="1:46" hidden="1" x14ac:dyDescent="0.45">
      <c r="A1103" s="556"/>
      <c r="B1103" s="556"/>
      <c r="C1103" s="556"/>
      <c r="D1103" s="556"/>
      <c r="E1103" s="556"/>
      <c r="F1103" s="564"/>
      <c r="G1103" s="564"/>
      <c r="H1103" s="564"/>
      <c r="I1103" s="564"/>
      <c r="J1103" s="564"/>
      <c r="K1103" s="564"/>
      <c r="L1103" s="564"/>
      <c r="M1103" s="564"/>
      <c r="N1103" s="564"/>
      <c r="O1103" s="564"/>
      <c r="P1103" s="564"/>
      <c r="Q1103" s="564"/>
      <c r="R1103" s="564"/>
      <c r="S1103" s="564"/>
      <c r="T1103" s="564"/>
      <c r="U1103" s="564"/>
      <c r="V1103" s="564"/>
      <c r="W1103" s="564"/>
      <c r="X1103" s="564"/>
      <c r="Y1103" s="564"/>
      <c r="Z1103" s="564"/>
      <c r="AA1103" s="564"/>
      <c r="AB1103" s="556"/>
      <c r="AC1103" s="556"/>
      <c r="AD1103" s="74"/>
      <c r="AE1103" s="74"/>
      <c r="AF1103" s="74"/>
      <c r="AG1103" s="74"/>
      <c r="AH1103" s="74"/>
      <c r="AI1103" s="74"/>
      <c r="AJ1103" s="74"/>
      <c r="AK1103" s="74"/>
      <c r="AL1103" s="74"/>
      <c r="AM1103" s="74"/>
      <c r="AN1103" s="74"/>
      <c r="AO1103" s="74"/>
      <c r="AP1103" s="74"/>
      <c r="AQ1103" s="74"/>
      <c r="AR1103" s="74"/>
      <c r="AS1103" s="565"/>
      <c r="AT1103" s="556"/>
    </row>
    <row r="1104" spans="1:46" hidden="1" x14ac:dyDescent="0.45">
      <c r="A1104" s="556"/>
      <c r="B1104" s="556"/>
      <c r="C1104" s="556"/>
      <c r="D1104" s="556"/>
      <c r="E1104" s="556"/>
      <c r="F1104" s="564"/>
      <c r="G1104" s="564"/>
      <c r="H1104" s="564"/>
      <c r="I1104" s="564"/>
      <c r="J1104" s="564"/>
      <c r="K1104" s="564"/>
      <c r="L1104" s="564"/>
      <c r="M1104" s="564"/>
      <c r="N1104" s="564"/>
      <c r="O1104" s="564"/>
      <c r="P1104" s="564"/>
      <c r="Q1104" s="564"/>
      <c r="R1104" s="564"/>
      <c r="S1104" s="564"/>
      <c r="T1104" s="564"/>
      <c r="U1104" s="564"/>
      <c r="V1104" s="564"/>
      <c r="W1104" s="564"/>
      <c r="X1104" s="564"/>
      <c r="Y1104" s="564"/>
      <c r="Z1104" s="564"/>
      <c r="AA1104" s="564"/>
      <c r="AB1104" s="556"/>
      <c r="AC1104" s="556"/>
      <c r="AD1104" s="74"/>
      <c r="AE1104" s="74"/>
      <c r="AF1104" s="74"/>
      <c r="AG1104" s="74"/>
      <c r="AH1104" s="74"/>
      <c r="AI1104" s="74"/>
      <c r="AJ1104" s="74"/>
      <c r="AK1104" s="74"/>
      <c r="AL1104" s="74"/>
      <c r="AM1104" s="74"/>
      <c r="AN1104" s="74"/>
      <c r="AO1104" s="74"/>
      <c r="AP1104" s="74"/>
      <c r="AQ1104" s="74"/>
      <c r="AR1104" s="74"/>
      <c r="AS1104" s="565"/>
      <c r="AT1104" s="556"/>
    </row>
    <row r="1105" spans="1:46" hidden="1" x14ac:dyDescent="0.45">
      <c r="A1105" s="556"/>
      <c r="B1105" s="556"/>
      <c r="C1105" s="556"/>
      <c r="D1105" s="556"/>
      <c r="E1105" s="556"/>
      <c r="F1105" s="564"/>
      <c r="G1105" s="564"/>
      <c r="H1105" s="564"/>
      <c r="I1105" s="564"/>
      <c r="J1105" s="564"/>
      <c r="K1105" s="564"/>
      <c r="L1105" s="564"/>
      <c r="M1105" s="564"/>
      <c r="N1105" s="564"/>
      <c r="O1105" s="564"/>
      <c r="P1105" s="564"/>
      <c r="Q1105" s="564"/>
      <c r="R1105" s="564"/>
      <c r="S1105" s="564"/>
      <c r="T1105" s="564"/>
      <c r="U1105" s="564"/>
      <c r="V1105" s="564"/>
      <c r="W1105" s="564"/>
      <c r="X1105" s="564"/>
      <c r="Y1105" s="564"/>
      <c r="Z1105" s="564"/>
      <c r="AA1105" s="564"/>
      <c r="AB1105" s="556"/>
      <c r="AC1105" s="556"/>
      <c r="AD1105" s="74"/>
      <c r="AE1105" s="74"/>
      <c r="AF1105" s="74"/>
      <c r="AG1105" s="74"/>
      <c r="AH1105" s="74"/>
      <c r="AI1105" s="74"/>
      <c r="AJ1105" s="74"/>
      <c r="AK1105" s="74"/>
      <c r="AL1105" s="74"/>
      <c r="AM1105" s="74"/>
      <c r="AN1105" s="74"/>
      <c r="AO1105" s="74"/>
      <c r="AP1105" s="74"/>
      <c r="AQ1105" s="74"/>
      <c r="AR1105" s="74"/>
      <c r="AS1105" s="565"/>
      <c r="AT1105" s="556"/>
    </row>
    <row r="1106" spans="1:46" hidden="1" x14ac:dyDescent="0.45">
      <c r="A1106" s="556"/>
      <c r="B1106" s="556"/>
      <c r="C1106" s="556"/>
      <c r="D1106" s="556"/>
      <c r="E1106" s="556"/>
      <c r="F1106" s="564"/>
      <c r="G1106" s="564"/>
      <c r="H1106" s="564"/>
      <c r="I1106" s="564"/>
      <c r="J1106" s="564"/>
      <c r="K1106" s="564"/>
      <c r="L1106" s="564"/>
      <c r="M1106" s="564"/>
      <c r="N1106" s="564"/>
      <c r="O1106" s="564"/>
      <c r="P1106" s="564"/>
      <c r="Q1106" s="564"/>
      <c r="R1106" s="564"/>
      <c r="S1106" s="564"/>
      <c r="T1106" s="564"/>
      <c r="U1106" s="564"/>
      <c r="V1106" s="564"/>
      <c r="W1106" s="564"/>
      <c r="X1106" s="564"/>
      <c r="Y1106" s="564"/>
      <c r="Z1106" s="564"/>
      <c r="AA1106" s="564"/>
      <c r="AB1106" s="556"/>
      <c r="AC1106" s="556"/>
      <c r="AD1106" s="74"/>
      <c r="AE1106" s="74"/>
      <c r="AF1106" s="74"/>
      <c r="AG1106" s="74"/>
      <c r="AH1106" s="74"/>
      <c r="AI1106" s="74"/>
      <c r="AJ1106" s="74"/>
      <c r="AK1106" s="74"/>
      <c r="AL1106" s="74"/>
      <c r="AM1106" s="74"/>
      <c r="AN1106" s="74"/>
      <c r="AO1106" s="74"/>
      <c r="AP1106" s="74"/>
      <c r="AQ1106" s="74"/>
      <c r="AR1106" s="74"/>
      <c r="AS1106" s="565"/>
      <c r="AT1106" s="556"/>
    </row>
    <row r="1107" spans="1:46" hidden="1" x14ac:dyDescent="0.45">
      <c r="A1107" s="556"/>
      <c r="B1107" s="556"/>
      <c r="C1107" s="556"/>
      <c r="D1107" s="556"/>
      <c r="E1107" s="556"/>
      <c r="F1107" s="564"/>
      <c r="G1107" s="564"/>
      <c r="H1107" s="564"/>
      <c r="I1107" s="564"/>
      <c r="J1107" s="564"/>
      <c r="K1107" s="564"/>
      <c r="L1107" s="564"/>
      <c r="M1107" s="564"/>
      <c r="N1107" s="564"/>
      <c r="O1107" s="564"/>
      <c r="P1107" s="564"/>
      <c r="Q1107" s="564"/>
      <c r="R1107" s="564"/>
      <c r="S1107" s="564"/>
      <c r="T1107" s="564"/>
      <c r="U1107" s="564"/>
      <c r="V1107" s="564"/>
      <c r="W1107" s="564"/>
      <c r="X1107" s="564"/>
      <c r="Y1107" s="564"/>
      <c r="Z1107" s="564"/>
      <c r="AA1107" s="564"/>
      <c r="AB1107" s="556"/>
      <c r="AC1107" s="556"/>
      <c r="AD1107" s="74"/>
      <c r="AE1107" s="74"/>
      <c r="AF1107" s="74"/>
      <c r="AG1107" s="74"/>
      <c r="AH1107" s="74"/>
      <c r="AI1107" s="74"/>
      <c r="AJ1107" s="74"/>
      <c r="AK1107" s="74"/>
      <c r="AL1107" s="74"/>
      <c r="AM1107" s="74"/>
      <c r="AN1107" s="74"/>
      <c r="AO1107" s="74"/>
      <c r="AP1107" s="74"/>
      <c r="AQ1107" s="74"/>
      <c r="AR1107" s="74"/>
      <c r="AS1107" s="565"/>
      <c r="AT1107" s="556"/>
    </row>
    <row r="1108" spans="1:46" hidden="1" x14ac:dyDescent="0.45">
      <c r="A1108" s="556"/>
      <c r="B1108" s="556"/>
      <c r="C1108" s="556"/>
      <c r="D1108" s="556"/>
      <c r="E1108" s="556"/>
      <c r="F1108" s="564"/>
      <c r="G1108" s="564"/>
      <c r="H1108" s="564"/>
      <c r="I1108" s="564"/>
      <c r="J1108" s="564"/>
      <c r="K1108" s="564"/>
      <c r="L1108" s="564"/>
      <c r="M1108" s="564"/>
      <c r="N1108" s="564"/>
      <c r="O1108" s="564"/>
      <c r="P1108" s="564"/>
      <c r="Q1108" s="564"/>
      <c r="R1108" s="564"/>
      <c r="S1108" s="564"/>
      <c r="T1108" s="564"/>
      <c r="U1108" s="564"/>
      <c r="V1108" s="564"/>
      <c r="W1108" s="564"/>
      <c r="X1108" s="564"/>
      <c r="Y1108" s="564"/>
      <c r="Z1108" s="564"/>
      <c r="AA1108" s="564"/>
      <c r="AB1108" s="556"/>
      <c r="AC1108" s="556"/>
      <c r="AD1108" s="74"/>
      <c r="AE1108" s="74"/>
      <c r="AF1108" s="74"/>
      <c r="AG1108" s="74"/>
      <c r="AH1108" s="74"/>
      <c r="AI1108" s="74"/>
      <c r="AJ1108" s="74"/>
      <c r="AK1108" s="74"/>
      <c r="AL1108" s="74"/>
      <c r="AM1108" s="74"/>
      <c r="AN1108" s="74"/>
      <c r="AO1108" s="74"/>
      <c r="AP1108" s="74"/>
      <c r="AQ1108" s="74"/>
      <c r="AR1108" s="74"/>
      <c r="AS1108" s="565"/>
      <c r="AT1108" s="556"/>
    </row>
    <row r="1109" spans="1:46" hidden="1" x14ac:dyDescent="0.45">
      <c r="A1109" s="556"/>
      <c r="B1109" s="556"/>
      <c r="C1109" s="556"/>
      <c r="D1109" s="556"/>
      <c r="E1109" s="556"/>
      <c r="F1109" s="564"/>
      <c r="G1109" s="564"/>
      <c r="H1109" s="564"/>
      <c r="I1109" s="564"/>
      <c r="J1109" s="564"/>
      <c r="K1109" s="564"/>
      <c r="L1109" s="564"/>
      <c r="M1109" s="564"/>
      <c r="N1109" s="564"/>
      <c r="O1109" s="564"/>
      <c r="P1109" s="564"/>
      <c r="Q1109" s="564"/>
      <c r="R1109" s="564"/>
      <c r="S1109" s="564"/>
      <c r="T1109" s="564"/>
      <c r="U1109" s="564"/>
      <c r="V1109" s="564"/>
      <c r="W1109" s="564"/>
      <c r="X1109" s="564"/>
      <c r="Y1109" s="564"/>
      <c r="Z1109" s="564"/>
      <c r="AA1109" s="564"/>
      <c r="AB1109" s="556"/>
      <c r="AC1109" s="556"/>
      <c r="AD1109" s="74"/>
      <c r="AE1109" s="74"/>
      <c r="AF1109" s="74"/>
      <c r="AG1109" s="74"/>
      <c r="AH1109" s="74"/>
      <c r="AI1109" s="74"/>
      <c r="AJ1109" s="74"/>
      <c r="AK1109" s="74"/>
      <c r="AL1109" s="74"/>
      <c r="AM1109" s="74"/>
      <c r="AN1109" s="74"/>
      <c r="AO1109" s="74"/>
      <c r="AP1109" s="74"/>
      <c r="AQ1109" s="74"/>
      <c r="AR1109" s="74"/>
      <c r="AS1109" s="565"/>
      <c r="AT1109" s="556"/>
    </row>
    <row r="1110" spans="1:46" hidden="1" x14ac:dyDescent="0.45">
      <c r="A1110" s="556"/>
      <c r="B1110" s="556"/>
      <c r="C1110" s="556"/>
      <c r="D1110" s="556"/>
      <c r="E1110" s="556"/>
      <c r="F1110" s="564"/>
      <c r="G1110" s="564"/>
      <c r="H1110" s="564"/>
      <c r="I1110" s="564"/>
      <c r="J1110" s="564"/>
      <c r="K1110" s="564"/>
      <c r="L1110" s="564"/>
      <c r="M1110" s="564"/>
      <c r="N1110" s="564"/>
      <c r="O1110" s="564"/>
      <c r="P1110" s="564"/>
      <c r="Q1110" s="564"/>
      <c r="R1110" s="564"/>
      <c r="S1110" s="564"/>
      <c r="T1110" s="564"/>
      <c r="U1110" s="564"/>
      <c r="V1110" s="564"/>
      <c r="W1110" s="564"/>
      <c r="X1110" s="564"/>
      <c r="Y1110" s="564"/>
      <c r="Z1110" s="564"/>
      <c r="AA1110" s="564"/>
      <c r="AB1110" s="556"/>
      <c r="AC1110" s="556"/>
      <c r="AD1110" s="74"/>
      <c r="AE1110" s="74"/>
      <c r="AF1110" s="74"/>
      <c r="AG1110" s="74"/>
      <c r="AH1110" s="74"/>
      <c r="AI1110" s="74"/>
      <c r="AJ1110" s="74"/>
      <c r="AK1110" s="74"/>
      <c r="AL1110" s="74"/>
      <c r="AM1110" s="74"/>
      <c r="AN1110" s="74"/>
      <c r="AO1110" s="74"/>
      <c r="AP1110" s="74"/>
      <c r="AQ1110" s="74"/>
      <c r="AR1110" s="74"/>
      <c r="AS1110" s="565"/>
      <c r="AT1110" s="556"/>
    </row>
    <row r="1111" spans="1:46" hidden="1" x14ac:dyDescent="0.45">
      <c r="A1111" s="556"/>
      <c r="B1111" s="556"/>
      <c r="C1111" s="556"/>
      <c r="D1111" s="556"/>
      <c r="E1111" s="556"/>
      <c r="F1111" s="564"/>
      <c r="G1111" s="564"/>
      <c r="H1111" s="564"/>
      <c r="I1111" s="564"/>
      <c r="J1111" s="564"/>
      <c r="K1111" s="564"/>
      <c r="L1111" s="564"/>
      <c r="M1111" s="564"/>
      <c r="N1111" s="564"/>
      <c r="O1111" s="564"/>
      <c r="P1111" s="564"/>
      <c r="Q1111" s="564"/>
      <c r="R1111" s="564"/>
      <c r="S1111" s="564"/>
      <c r="T1111" s="564"/>
      <c r="U1111" s="564"/>
      <c r="V1111" s="564"/>
      <c r="W1111" s="564"/>
      <c r="X1111" s="564"/>
      <c r="Y1111" s="564"/>
      <c r="Z1111" s="564"/>
      <c r="AA1111" s="564"/>
      <c r="AB1111" s="556"/>
      <c r="AC1111" s="556"/>
      <c r="AD1111" s="74"/>
      <c r="AE1111" s="74"/>
      <c r="AF1111" s="74"/>
      <c r="AG1111" s="74"/>
      <c r="AH1111" s="74"/>
      <c r="AI1111" s="74"/>
      <c r="AJ1111" s="74"/>
      <c r="AK1111" s="74"/>
      <c r="AL1111" s="74"/>
      <c r="AM1111" s="74"/>
      <c r="AN1111" s="74"/>
      <c r="AO1111" s="74"/>
      <c r="AP1111" s="74"/>
      <c r="AQ1111" s="74"/>
      <c r="AR1111" s="74"/>
      <c r="AS1111" s="565"/>
      <c r="AT1111" s="556"/>
    </row>
    <row r="1112" spans="1:46" hidden="1" x14ac:dyDescent="0.45">
      <c r="A1112" s="556"/>
      <c r="B1112" s="556"/>
      <c r="C1112" s="556"/>
      <c r="D1112" s="556"/>
      <c r="E1112" s="556"/>
      <c r="F1112" s="564"/>
      <c r="G1112" s="564"/>
      <c r="H1112" s="564"/>
      <c r="I1112" s="564"/>
      <c r="J1112" s="564"/>
      <c r="K1112" s="564"/>
      <c r="L1112" s="564"/>
      <c r="M1112" s="564"/>
      <c r="N1112" s="564"/>
      <c r="O1112" s="564"/>
      <c r="P1112" s="564"/>
      <c r="Q1112" s="564"/>
      <c r="R1112" s="564"/>
      <c r="S1112" s="564"/>
      <c r="T1112" s="564"/>
      <c r="U1112" s="564"/>
      <c r="V1112" s="564"/>
      <c r="W1112" s="564"/>
      <c r="X1112" s="564"/>
      <c r="Y1112" s="564"/>
      <c r="Z1112" s="564"/>
      <c r="AA1112" s="564"/>
      <c r="AB1112" s="556"/>
      <c r="AC1112" s="556"/>
      <c r="AD1112" s="74"/>
      <c r="AE1112" s="74"/>
      <c r="AF1112" s="74"/>
      <c r="AG1112" s="74"/>
      <c r="AH1112" s="74"/>
      <c r="AI1112" s="74"/>
      <c r="AJ1112" s="74"/>
      <c r="AK1112" s="74"/>
      <c r="AL1112" s="74"/>
      <c r="AM1112" s="74"/>
      <c r="AN1112" s="74"/>
      <c r="AO1112" s="74"/>
      <c r="AP1112" s="74"/>
      <c r="AQ1112" s="74"/>
      <c r="AR1112" s="74"/>
      <c r="AS1112" s="565"/>
      <c r="AT1112" s="556"/>
    </row>
    <row r="1113" spans="1:46" hidden="1" x14ac:dyDescent="0.45">
      <c r="A1113" s="556"/>
      <c r="B1113" s="556"/>
      <c r="C1113" s="556"/>
      <c r="D1113" s="556"/>
      <c r="E1113" s="556"/>
      <c r="F1113" s="564"/>
      <c r="G1113" s="564"/>
      <c r="H1113" s="564"/>
      <c r="I1113" s="564"/>
      <c r="J1113" s="564"/>
      <c r="K1113" s="564"/>
      <c r="L1113" s="564"/>
      <c r="M1113" s="564"/>
      <c r="N1113" s="564"/>
      <c r="O1113" s="564"/>
      <c r="P1113" s="564"/>
      <c r="Q1113" s="564"/>
      <c r="R1113" s="564"/>
      <c r="S1113" s="564"/>
      <c r="T1113" s="564"/>
      <c r="U1113" s="564"/>
      <c r="V1113" s="564"/>
      <c r="W1113" s="564"/>
      <c r="X1113" s="564"/>
      <c r="Y1113" s="564"/>
      <c r="Z1113" s="564"/>
      <c r="AA1113" s="564"/>
      <c r="AB1113" s="556"/>
      <c r="AC1113" s="556"/>
      <c r="AD1113" s="74"/>
      <c r="AE1113" s="74"/>
      <c r="AF1113" s="74"/>
      <c r="AG1113" s="74"/>
      <c r="AH1113" s="74"/>
      <c r="AI1113" s="74"/>
      <c r="AJ1113" s="74"/>
      <c r="AK1113" s="74"/>
      <c r="AL1113" s="74"/>
      <c r="AM1113" s="74"/>
      <c r="AN1113" s="74"/>
      <c r="AO1113" s="74"/>
      <c r="AP1113" s="74"/>
      <c r="AQ1113" s="74"/>
      <c r="AR1113" s="74"/>
      <c r="AS1113" s="565"/>
      <c r="AT1113" s="556"/>
    </row>
    <row r="1114" spans="1:46" hidden="1" x14ac:dyDescent="0.45">
      <c r="A1114" s="556"/>
      <c r="B1114" s="556"/>
      <c r="C1114" s="556"/>
      <c r="D1114" s="556"/>
      <c r="E1114" s="556"/>
      <c r="F1114" s="564"/>
      <c r="G1114" s="564"/>
      <c r="H1114" s="564"/>
      <c r="I1114" s="564"/>
      <c r="J1114" s="564"/>
      <c r="K1114" s="564"/>
      <c r="L1114" s="564"/>
      <c r="M1114" s="564"/>
      <c r="N1114" s="564"/>
      <c r="O1114" s="564"/>
      <c r="P1114" s="564"/>
      <c r="Q1114" s="564"/>
      <c r="R1114" s="564"/>
      <c r="S1114" s="564"/>
      <c r="T1114" s="564"/>
      <c r="U1114" s="564"/>
      <c r="V1114" s="564"/>
      <c r="W1114" s="564"/>
      <c r="X1114" s="564"/>
      <c r="Y1114" s="564"/>
      <c r="Z1114" s="564"/>
      <c r="AA1114" s="564"/>
      <c r="AB1114" s="556"/>
      <c r="AC1114" s="556"/>
      <c r="AD1114" s="74"/>
      <c r="AE1114" s="74"/>
      <c r="AF1114" s="74"/>
      <c r="AG1114" s="74"/>
      <c r="AH1114" s="74"/>
      <c r="AI1114" s="74"/>
      <c r="AJ1114" s="74"/>
      <c r="AK1114" s="74"/>
      <c r="AL1114" s="74"/>
      <c r="AM1114" s="74"/>
      <c r="AN1114" s="74"/>
      <c r="AO1114" s="74"/>
      <c r="AP1114" s="74"/>
      <c r="AQ1114" s="74"/>
      <c r="AR1114" s="74"/>
      <c r="AS1114" s="565"/>
      <c r="AT1114" s="556"/>
    </row>
    <row r="1115" spans="1:46" hidden="1" x14ac:dyDescent="0.45">
      <c r="A1115" s="556"/>
      <c r="B1115" s="556"/>
      <c r="C1115" s="556"/>
      <c r="D1115" s="556"/>
      <c r="E1115" s="556"/>
      <c r="F1115" s="564"/>
      <c r="G1115" s="564"/>
      <c r="H1115" s="564"/>
      <c r="I1115" s="564"/>
      <c r="J1115" s="564"/>
      <c r="K1115" s="564"/>
      <c r="L1115" s="564"/>
      <c r="M1115" s="564"/>
      <c r="N1115" s="564"/>
      <c r="O1115" s="564"/>
      <c r="P1115" s="564"/>
      <c r="Q1115" s="564"/>
      <c r="R1115" s="564"/>
      <c r="S1115" s="564"/>
      <c r="T1115" s="564"/>
      <c r="U1115" s="564"/>
      <c r="V1115" s="564"/>
      <c r="W1115" s="564"/>
      <c r="X1115" s="564"/>
      <c r="Y1115" s="564"/>
      <c r="Z1115" s="564"/>
      <c r="AA1115" s="564"/>
      <c r="AB1115" s="556"/>
      <c r="AC1115" s="556"/>
      <c r="AD1115" s="74"/>
      <c r="AE1115" s="74"/>
      <c r="AF1115" s="74"/>
      <c r="AG1115" s="74"/>
      <c r="AH1115" s="74"/>
      <c r="AI1115" s="74"/>
      <c r="AJ1115" s="74"/>
      <c r="AK1115" s="74"/>
      <c r="AL1115" s="74"/>
      <c r="AM1115" s="74"/>
      <c r="AN1115" s="74"/>
      <c r="AO1115" s="74"/>
      <c r="AP1115" s="74"/>
      <c r="AQ1115" s="74"/>
      <c r="AR1115" s="74"/>
      <c r="AS1115" s="565"/>
      <c r="AT1115" s="556"/>
    </row>
    <row r="1116" spans="1:46" hidden="1" x14ac:dyDescent="0.45">
      <c r="A1116" s="556"/>
      <c r="B1116" s="556"/>
      <c r="C1116" s="556"/>
      <c r="D1116" s="556"/>
      <c r="E1116" s="556"/>
      <c r="F1116" s="564"/>
      <c r="G1116" s="564"/>
      <c r="H1116" s="564"/>
      <c r="I1116" s="564"/>
      <c r="J1116" s="564"/>
      <c r="K1116" s="564"/>
      <c r="L1116" s="564"/>
      <c r="M1116" s="564"/>
      <c r="N1116" s="564"/>
      <c r="O1116" s="564"/>
      <c r="P1116" s="564"/>
      <c r="Q1116" s="564"/>
      <c r="R1116" s="564"/>
      <c r="S1116" s="564"/>
      <c r="T1116" s="564"/>
      <c r="U1116" s="564"/>
      <c r="V1116" s="564"/>
      <c r="W1116" s="564"/>
      <c r="X1116" s="564"/>
      <c r="Y1116" s="564"/>
      <c r="Z1116" s="564"/>
      <c r="AA1116" s="564"/>
      <c r="AB1116" s="556"/>
      <c r="AC1116" s="556"/>
      <c r="AD1116" s="74"/>
      <c r="AE1116" s="74"/>
      <c r="AF1116" s="74"/>
      <c r="AG1116" s="74"/>
      <c r="AH1116" s="74"/>
      <c r="AI1116" s="74"/>
      <c r="AJ1116" s="74"/>
      <c r="AK1116" s="74"/>
      <c r="AL1116" s="74"/>
      <c r="AM1116" s="74"/>
      <c r="AN1116" s="74"/>
      <c r="AO1116" s="74"/>
      <c r="AP1116" s="74"/>
      <c r="AQ1116" s="74"/>
      <c r="AR1116" s="74"/>
      <c r="AS1116" s="565"/>
      <c r="AT1116" s="556"/>
    </row>
    <row r="1117" spans="1:46" hidden="1" x14ac:dyDescent="0.45">
      <c r="A1117" s="556"/>
      <c r="B1117" s="556"/>
      <c r="C1117" s="556"/>
      <c r="D1117" s="556"/>
      <c r="E1117" s="556"/>
      <c r="F1117" s="564"/>
      <c r="G1117" s="564"/>
      <c r="H1117" s="564"/>
      <c r="I1117" s="564"/>
      <c r="J1117" s="564"/>
      <c r="K1117" s="564"/>
      <c r="L1117" s="564"/>
      <c r="M1117" s="564"/>
      <c r="N1117" s="564"/>
      <c r="O1117" s="564"/>
      <c r="P1117" s="564"/>
      <c r="Q1117" s="564"/>
      <c r="R1117" s="564"/>
      <c r="S1117" s="564"/>
      <c r="T1117" s="564"/>
      <c r="U1117" s="564"/>
      <c r="V1117" s="564"/>
      <c r="W1117" s="564"/>
      <c r="X1117" s="564"/>
      <c r="Y1117" s="564"/>
      <c r="Z1117" s="564"/>
      <c r="AA1117" s="564"/>
      <c r="AB1117" s="556"/>
      <c r="AC1117" s="556"/>
      <c r="AD1117" s="74"/>
      <c r="AE1117" s="74"/>
      <c r="AF1117" s="74"/>
      <c r="AG1117" s="74"/>
      <c r="AH1117" s="74"/>
      <c r="AI1117" s="74"/>
      <c r="AJ1117" s="74"/>
      <c r="AK1117" s="74"/>
      <c r="AL1117" s="74"/>
      <c r="AM1117" s="74"/>
      <c r="AN1117" s="74"/>
      <c r="AO1117" s="74"/>
      <c r="AP1117" s="74"/>
      <c r="AQ1117" s="74"/>
      <c r="AR1117" s="74"/>
      <c r="AS1117" s="565"/>
      <c r="AT1117" s="556"/>
    </row>
    <row r="1118" spans="1:46" hidden="1" x14ac:dyDescent="0.45">
      <c r="A1118" s="556"/>
      <c r="B1118" s="556"/>
      <c r="C1118" s="556"/>
      <c r="D1118" s="556"/>
      <c r="E1118" s="556"/>
      <c r="F1118" s="564"/>
      <c r="G1118" s="564"/>
      <c r="H1118" s="564"/>
      <c r="I1118" s="564"/>
      <c r="J1118" s="564"/>
      <c r="K1118" s="564"/>
      <c r="L1118" s="564"/>
      <c r="M1118" s="564"/>
      <c r="N1118" s="564"/>
      <c r="O1118" s="564"/>
      <c r="P1118" s="564"/>
      <c r="Q1118" s="564"/>
      <c r="R1118" s="564"/>
      <c r="S1118" s="564"/>
      <c r="T1118" s="564"/>
      <c r="U1118" s="564"/>
      <c r="V1118" s="564"/>
      <c r="W1118" s="564"/>
      <c r="X1118" s="564"/>
      <c r="Y1118" s="564"/>
      <c r="Z1118" s="564"/>
      <c r="AA1118" s="564"/>
      <c r="AB1118" s="556"/>
      <c r="AC1118" s="556"/>
      <c r="AD1118" s="74"/>
      <c r="AE1118" s="74"/>
      <c r="AF1118" s="74"/>
      <c r="AG1118" s="74"/>
      <c r="AH1118" s="74"/>
      <c r="AI1118" s="74"/>
      <c r="AJ1118" s="74"/>
      <c r="AK1118" s="74"/>
      <c r="AL1118" s="74"/>
      <c r="AM1118" s="74"/>
      <c r="AN1118" s="74"/>
      <c r="AO1118" s="74"/>
      <c r="AP1118" s="74"/>
      <c r="AQ1118" s="74"/>
      <c r="AR1118" s="74"/>
      <c r="AS1118" s="565"/>
      <c r="AT1118" s="556"/>
    </row>
    <row r="1119" spans="1:46" hidden="1" x14ac:dyDescent="0.45">
      <c r="A1119" s="556"/>
      <c r="B1119" s="556"/>
      <c r="C1119" s="556"/>
      <c r="D1119" s="556"/>
      <c r="E1119" s="556"/>
      <c r="F1119" s="564"/>
      <c r="G1119" s="564"/>
      <c r="H1119" s="564"/>
      <c r="I1119" s="564"/>
      <c r="J1119" s="564"/>
      <c r="K1119" s="564"/>
      <c r="L1119" s="564"/>
      <c r="M1119" s="564"/>
      <c r="N1119" s="564"/>
      <c r="O1119" s="564"/>
      <c r="P1119" s="564"/>
      <c r="Q1119" s="564"/>
      <c r="R1119" s="564"/>
      <c r="S1119" s="564"/>
      <c r="T1119" s="564"/>
      <c r="U1119" s="564"/>
      <c r="V1119" s="564"/>
      <c r="W1119" s="564"/>
      <c r="X1119" s="564"/>
      <c r="Y1119" s="564"/>
      <c r="Z1119" s="564"/>
      <c r="AA1119" s="564"/>
      <c r="AB1119" s="556"/>
      <c r="AC1119" s="556"/>
      <c r="AD1119" s="74"/>
      <c r="AE1119" s="74"/>
      <c r="AF1119" s="74"/>
      <c r="AG1119" s="74"/>
      <c r="AH1119" s="74"/>
      <c r="AI1119" s="74"/>
      <c r="AJ1119" s="74"/>
      <c r="AK1119" s="74"/>
      <c r="AL1119" s="74"/>
      <c r="AM1119" s="74"/>
      <c r="AN1119" s="74"/>
      <c r="AO1119" s="74"/>
      <c r="AP1119" s="74"/>
      <c r="AQ1119" s="74"/>
      <c r="AR1119" s="74"/>
      <c r="AS1119" s="565"/>
      <c r="AT1119" s="556"/>
    </row>
    <row r="1120" spans="1:46" hidden="1" x14ac:dyDescent="0.45">
      <c r="A1120" s="556"/>
      <c r="B1120" s="556"/>
      <c r="C1120" s="556"/>
      <c r="D1120" s="556"/>
      <c r="E1120" s="556"/>
      <c r="F1120" s="564"/>
      <c r="G1120" s="564"/>
      <c r="H1120" s="564"/>
      <c r="I1120" s="564"/>
      <c r="J1120" s="564"/>
      <c r="K1120" s="564"/>
      <c r="L1120" s="564"/>
      <c r="M1120" s="564"/>
      <c r="N1120" s="564"/>
      <c r="O1120" s="564"/>
      <c r="P1120" s="564"/>
      <c r="Q1120" s="564"/>
      <c r="R1120" s="564"/>
      <c r="S1120" s="564"/>
      <c r="T1120" s="564"/>
      <c r="U1120" s="564"/>
      <c r="V1120" s="564"/>
      <c r="W1120" s="564"/>
      <c r="X1120" s="564"/>
      <c r="Y1120" s="564"/>
      <c r="Z1120" s="564"/>
      <c r="AA1120" s="564"/>
      <c r="AB1120" s="556"/>
      <c r="AC1120" s="556"/>
      <c r="AD1120" s="74"/>
      <c r="AE1120" s="74"/>
      <c r="AF1120" s="74"/>
      <c r="AG1120" s="74"/>
      <c r="AH1120" s="74"/>
      <c r="AI1120" s="74"/>
      <c r="AJ1120" s="74"/>
      <c r="AK1120" s="74"/>
      <c r="AL1120" s="74"/>
      <c r="AM1120" s="74"/>
      <c r="AN1120" s="74"/>
      <c r="AO1120" s="74"/>
      <c r="AP1120" s="74"/>
      <c r="AQ1120" s="74"/>
      <c r="AR1120" s="74"/>
      <c r="AS1120" s="565"/>
      <c r="AT1120" s="556"/>
    </row>
    <row r="1121" spans="1:46" hidden="1" x14ac:dyDescent="0.45">
      <c r="A1121" s="556"/>
      <c r="B1121" s="556"/>
      <c r="C1121" s="556"/>
      <c r="D1121" s="556"/>
      <c r="E1121" s="556"/>
      <c r="F1121" s="564"/>
      <c r="G1121" s="564"/>
      <c r="H1121" s="564"/>
      <c r="I1121" s="564"/>
      <c r="J1121" s="564"/>
      <c r="K1121" s="564"/>
      <c r="L1121" s="564"/>
      <c r="M1121" s="564"/>
      <c r="N1121" s="564"/>
      <c r="O1121" s="564"/>
      <c r="P1121" s="564"/>
      <c r="Q1121" s="564"/>
      <c r="R1121" s="564"/>
      <c r="S1121" s="564"/>
      <c r="T1121" s="564"/>
      <c r="U1121" s="564"/>
      <c r="V1121" s="564"/>
      <c r="W1121" s="564"/>
      <c r="X1121" s="564"/>
      <c r="Y1121" s="564"/>
      <c r="Z1121" s="564"/>
      <c r="AA1121" s="564"/>
      <c r="AB1121" s="556"/>
      <c r="AC1121" s="556"/>
      <c r="AD1121" s="74"/>
      <c r="AE1121" s="74"/>
      <c r="AF1121" s="74"/>
      <c r="AG1121" s="74"/>
      <c r="AH1121" s="74"/>
      <c r="AI1121" s="74"/>
      <c r="AJ1121" s="74"/>
      <c r="AK1121" s="74"/>
      <c r="AL1121" s="74"/>
      <c r="AM1121" s="74"/>
      <c r="AN1121" s="74"/>
      <c r="AO1121" s="74"/>
      <c r="AP1121" s="74"/>
      <c r="AQ1121" s="74"/>
      <c r="AR1121" s="74"/>
      <c r="AS1121" s="565"/>
      <c r="AT1121" s="556"/>
    </row>
    <row r="1122" spans="1:46" hidden="1" x14ac:dyDescent="0.45">
      <c r="A1122" s="556"/>
      <c r="B1122" s="556"/>
      <c r="C1122" s="556"/>
      <c r="D1122" s="556"/>
      <c r="E1122" s="556"/>
      <c r="F1122" s="564"/>
      <c r="G1122" s="564"/>
      <c r="H1122" s="564"/>
      <c r="I1122" s="564"/>
      <c r="J1122" s="564"/>
      <c r="K1122" s="564"/>
      <c r="L1122" s="564"/>
      <c r="M1122" s="564"/>
      <c r="N1122" s="564"/>
      <c r="O1122" s="564"/>
      <c r="P1122" s="564"/>
      <c r="Q1122" s="564"/>
      <c r="R1122" s="564"/>
      <c r="S1122" s="564"/>
      <c r="T1122" s="564"/>
      <c r="U1122" s="564"/>
      <c r="V1122" s="564"/>
      <c r="W1122" s="564"/>
      <c r="X1122" s="564"/>
      <c r="Y1122" s="564"/>
      <c r="Z1122" s="564"/>
      <c r="AA1122" s="564"/>
      <c r="AB1122" s="556"/>
      <c r="AC1122" s="556"/>
      <c r="AD1122" s="74"/>
      <c r="AE1122" s="74"/>
      <c r="AF1122" s="74"/>
      <c r="AG1122" s="74"/>
      <c r="AH1122" s="74"/>
      <c r="AI1122" s="74"/>
      <c r="AJ1122" s="74"/>
      <c r="AK1122" s="74"/>
      <c r="AL1122" s="74"/>
      <c r="AM1122" s="74"/>
      <c r="AN1122" s="74"/>
      <c r="AO1122" s="74"/>
      <c r="AP1122" s="74"/>
      <c r="AQ1122" s="74"/>
      <c r="AR1122" s="74"/>
      <c r="AS1122" s="565"/>
      <c r="AT1122" s="556"/>
    </row>
    <row r="1123" spans="1:46" hidden="1" x14ac:dyDescent="0.45">
      <c r="A1123" s="556"/>
      <c r="B1123" s="556"/>
      <c r="C1123" s="556"/>
      <c r="D1123" s="556"/>
      <c r="E1123" s="556"/>
      <c r="F1123" s="564"/>
      <c r="G1123" s="564"/>
      <c r="H1123" s="564"/>
      <c r="I1123" s="564"/>
      <c r="J1123" s="564"/>
      <c r="K1123" s="564"/>
      <c r="L1123" s="564"/>
      <c r="M1123" s="564"/>
      <c r="N1123" s="564"/>
      <c r="O1123" s="564"/>
      <c r="P1123" s="564"/>
      <c r="Q1123" s="564"/>
      <c r="R1123" s="564"/>
      <c r="S1123" s="564"/>
      <c r="T1123" s="564"/>
      <c r="U1123" s="564"/>
      <c r="V1123" s="564"/>
      <c r="W1123" s="564"/>
      <c r="X1123" s="564"/>
      <c r="Y1123" s="564"/>
      <c r="Z1123" s="564"/>
      <c r="AA1123" s="564"/>
      <c r="AB1123" s="556"/>
      <c r="AC1123" s="556"/>
      <c r="AD1123" s="74"/>
      <c r="AE1123" s="74"/>
      <c r="AF1123" s="74"/>
      <c r="AG1123" s="74"/>
      <c r="AH1123" s="74"/>
      <c r="AI1123" s="74"/>
      <c r="AJ1123" s="74"/>
      <c r="AK1123" s="74"/>
      <c r="AL1123" s="74"/>
      <c r="AM1123" s="74"/>
      <c r="AN1123" s="74"/>
      <c r="AO1123" s="74"/>
      <c r="AP1123" s="74"/>
      <c r="AQ1123" s="74"/>
      <c r="AR1123" s="74"/>
      <c r="AS1123" s="565"/>
      <c r="AT1123" s="556"/>
    </row>
    <row r="1124" spans="1:46" hidden="1" x14ac:dyDescent="0.45">
      <c r="A1124" s="556"/>
      <c r="B1124" s="556"/>
      <c r="C1124" s="556"/>
      <c r="D1124" s="556"/>
      <c r="E1124" s="556"/>
      <c r="F1124" s="564"/>
      <c r="G1124" s="564"/>
      <c r="H1124" s="564"/>
      <c r="I1124" s="564"/>
      <c r="J1124" s="564"/>
      <c r="K1124" s="564"/>
      <c r="L1124" s="564"/>
      <c r="M1124" s="564"/>
      <c r="N1124" s="564"/>
      <c r="O1124" s="564"/>
      <c r="P1124" s="564"/>
      <c r="Q1124" s="564"/>
      <c r="R1124" s="564"/>
      <c r="S1124" s="564"/>
      <c r="T1124" s="564"/>
      <c r="U1124" s="564"/>
      <c r="V1124" s="564"/>
      <c r="W1124" s="564"/>
      <c r="X1124" s="564"/>
      <c r="Y1124" s="564"/>
      <c r="Z1124" s="564"/>
      <c r="AA1124" s="564"/>
      <c r="AB1124" s="556"/>
      <c r="AC1124" s="556"/>
      <c r="AD1124" s="74"/>
      <c r="AE1124" s="74"/>
      <c r="AF1124" s="74"/>
      <c r="AG1124" s="74"/>
      <c r="AH1124" s="74"/>
      <c r="AI1124" s="74"/>
      <c r="AJ1124" s="74"/>
      <c r="AK1124" s="74"/>
      <c r="AL1124" s="74"/>
      <c r="AM1124" s="74"/>
      <c r="AN1124" s="74"/>
      <c r="AO1124" s="74"/>
      <c r="AP1124" s="74"/>
      <c r="AQ1124" s="74"/>
      <c r="AR1124" s="74"/>
      <c r="AS1124" s="565"/>
      <c r="AT1124" s="556"/>
    </row>
    <row r="1125" spans="1:46" hidden="1" x14ac:dyDescent="0.45">
      <c r="A1125" s="556"/>
      <c r="B1125" s="556"/>
      <c r="C1125" s="556"/>
      <c r="D1125" s="556"/>
      <c r="E1125" s="556"/>
      <c r="F1125" s="564"/>
      <c r="G1125" s="564"/>
      <c r="H1125" s="564"/>
      <c r="I1125" s="564"/>
      <c r="J1125" s="564"/>
      <c r="K1125" s="564"/>
      <c r="L1125" s="564"/>
      <c r="M1125" s="564"/>
      <c r="N1125" s="564"/>
      <c r="O1125" s="564"/>
      <c r="P1125" s="564"/>
      <c r="Q1125" s="564"/>
      <c r="R1125" s="564"/>
      <c r="S1125" s="564"/>
      <c r="T1125" s="564"/>
      <c r="U1125" s="564"/>
      <c r="V1125" s="564"/>
      <c r="W1125" s="564"/>
      <c r="X1125" s="564"/>
      <c r="Y1125" s="564"/>
      <c r="Z1125" s="564"/>
      <c r="AA1125" s="564"/>
      <c r="AB1125" s="556"/>
      <c r="AC1125" s="556"/>
      <c r="AD1125" s="74"/>
      <c r="AE1125" s="74"/>
      <c r="AF1125" s="74"/>
      <c r="AG1125" s="74"/>
      <c r="AH1125" s="74"/>
      <c r="AI1125" s="74"/>
      <c r="AJ1125" s="74"/>
      <c r="AK1125" s="74"/>
      <c r="AL1125" s="74"/>
      <c r="AM1125" s="74"/>
      <c r="AN1125" s="74"/>
      <c r="AO1125" s="74"/>
      <c r="AP1125" s="74"/>
      <c r="AQ1125" s="74"/>
      <c r="AR1125" s="74"/>
      <c r="AS1125" s="565"/>
      <c r="AT1125" s="556"/>
    </row>
    <row r="1126" spans="1:46" hidden="1" x14ac:dyDescent="0.45">
      <c r="A1126" s="556"/>
      <c r="B1126" s="556"/>
      <c r="C1126" s="556"/>
      <c r="D1126" s="556"/>
      <c r="E1126" s="556"/>
      <c r="F1126" s="564"/>
      <c r="G1126" s="564"/>
      <c r="H1126" s="564"/>
      <c r="I1126" s="564"/>
      <c r="J1126" s="564"/>
      <c r="K1126" s="564"/>
      <c r="L1126" s="564"/>
      <c r="M1126" s="564"/>
      <c r="N1126" s="564"/>
      <c r="O1126" s="564"/>
      <c r="P1126" s="564"/>
      <c r="Q1126" s="564"/>
      <c r="R1126" s="564"/>
      <c r="S1126" s="564"/>
      <c r="T1126" s="564"/>
      <c r="U1126" s="564"/>
      <c r="V1126" s="564"/>
      <c r="W1126" s="564"/>
      <c r="X1126" s="564"/>
      <c r="Y1126" s="564"/>
      <c r="Z1126" s="564"/>
      <c r="AA1126" s="564"/>
      <c r="AB1126" s="556"/>
      <c r="AC1126" s="556"/>
      <c r="AD1126" s="74"/>
      <c r="AE1126" s="74"/>
      <c r="AF1126" s="74"/>
      <c r="AG1126" s="74"/>
      <c r="AH1126" s="74"/>
      <c r="AI1126" s="74"/>
      <c r="AJ1126" s="74"/>
      <c r="AK1126" s="74"/>
      <c r="AL1126" s="74"/>
      <c r="AM1126" s="74"/>
      <c r="AN1126" s="74"/>
      <c r="AO1126" s="74"/>
      <c r="AP1126" s="74"/>
      <c r="AQ1126" s="74"/>
      <c r="AR1126" s="74"/>
      <c r="AS1126" s="565"/>
      <c r="AT1126" s="556"/>
    </row>
    <row r="1127" spans="1:46" hidden="1" x14ac:dyDescent="0.45">
      <c r="A1127" s="556"/>
      <c r="B1127" s="556"/>
      <c r="C1127" s="556"/>
      <c r="D1127" s="556"/>
      <c r="E1127" s="556"/>
      <c r="F1127" s="564"/>
      <c r="G1127" s="564"/>
      <c r="H1127" s="564"/>
      <c r="I1127" s="564"/>
      <c r="J1127" s="564"/>
      <c r="K1127" s="564"/>
      <c r="L1127" s="564"/>
      <c r="M1127" s="564"/>
      <c r="N1127" s="564"/>
      <c r="O1127" s="564"/>
      <c r="P1127" s="564"/>
      <c r="Q1127" s="564"/>
      <c r="R1127" s="564"/>
      <c r="S1127" s="564"/>
      <c r="T1127" s="564"/>
      <c r="U1127" s="564"/>
      <c r="V1127" s="564"/>
      <c r="W1127" s="564"/>
      <c r="X1127" s="564"/>
      <c r="Y1127" s="564"/>
      <c r="Z1127" s="564"/>
      <c r="AA1127" s="564"/>
      <c r="AB1127" s="556"/>
      <c r="AC1127" s="556"/>
      <c r="AD1127" s="74"/>
      <c r="AE1127" s="74"/>
      <c r="AF1127" s="74"/>
      <c r="AG1127" s="74"/>
      <c r="AH1127" s="74"/>
      <c r="AI1127" s="74"/>
      <c r="AJ1127" s="74"/>
      <c r="AK1127" s="74"/>
      <c r="AL1127" s="74"/>
      <c r="AM1127" s="74"/>
      <c r="AN1127" s="74"/>
      <c r="AO1127" s="74"/>
      <c r="AP1127" s="74"/>
      <c r="AQ1127" s="74"/>
      <c r="AR1127" s="74"/>
      <c r="AS1127" s="565"/>
      <c r="AT1127" s="556"/>
    </row>
    <row r="1128" spans="1:46" hidden="1" x14ac:dyDescent="0.45">
      <c r="A1128" s="556"/>
      <c r="B1128" s="556"/>
      <c r="C1128" s="556"/>
      <c r="D1128" s="556"/>
      <c r="E1128" s="556"/>
      <c r="F1128" s="564"/>
      <c r="G1128" s="564"/>
      <c r="H1128" s="564"/>
      <c r="I1128" s="564"/>
      <c r="J1128" s="564"/>
      <c r="K1128" s="564"/>
      <c r="L1128" s="564"/>
      <c r="M1128" s="564"/>
      <c r="N1128" s="564"/>
      <c r="O1128" s="564"/>
      <c r="P1128" s="564"/>
      <c r="Q1128" s="564"/>
      <c r="R1128" s="564"/>
      <c r="S1128" s="564"/>
      <c r="T1128" s="564"/>
      <c r="U1128" s="564"/>
      <c r="V1128" s="564"/>
      <c r="W1128" s="564"/>
      <c r="X1128" s="564"/>
      <c r="Y1128" s="564"/>
      <c r="Z1128" s="564"/>
      <c r="AA1128" s="564"/>
      <c r="AB1128" s="556"/>
      <c r="AC1128" s="556"/>
      <c r="AD1128" s="74"/>
      <c r="AE1128" s="74"/>
      <c r="AF1128" s="74"/>
      <c r="AG1128" s="74"/>
      <c r="AH1128" s="74"/>
      <c r="AI1128" s="74"/>
      <c r="AJ1128" s="74"/>
      <c r="AK1128" s="74"/>
      <c r="AL1128" s="74"/>
      <c r="AM1128" s="74"/>
      <c r="AN1128" s="74"/>
      <c r="AO1128" s="74"/>
      <c r="AP1128" s="74"/>
      <c r="AQ1128" s="74"/>
      <c r="AR1128" s="74"/>
      <c r="AS1128" s="565"/>
      <c r="AT1128" s="556"/>
    </row>
    <row r="1129" spans="1:46" hidden="1" x14ac:dyDescent="0.45">
      <c r="A1129" s="556"/>
      <c r="B1129" s="556"/>
      <c r="C1129" s="556"/>
      <c r="D1129" s="556"/>
      <c r="E1129" s="556"/>
      <c r="F1129" s="564"/>
      <c r="G1129" s="564"/>
      <c r="H1129" s="564"/>
      <c r="I1129" s="564"/>
      <c r="J1129" s="564"/>
      <c r="K1129" s="564"/>
      <c r="L1129" s="564"/>
      <c r="M1129" s="564"/>
      <c r="N1129" s="564"/>
      <c r="O1129" s="564"/>
      <c r="P1129" s="564"/>
      <c r="Q1129" s="564"/>
      <c r="R1129" s="564"/>
      <c r="S1129" s="564"/>
      <c r="T1129" s="564"/>
      <c r="U1129" s="564"/>
      <c r="V1129" s="564"/>
      <c r="W1129" s="564"/>
      <c r="X1129" s="564"/>
      <c r="Y1129" s="564"/>
      <c r="Z1129" s="564"/>
      <c r="AA1129" s="564"/>
      <c r="AB1129" s="556"/>
      <c r="AC1129" s="556"/>
      <c r="AD1129" s="74"/>
      <c r="AE1129" s="74"/>
      <c r="AF1129" s="74"/>
      <c r="AG1129" s="74"/>
      <c r="AH1129" s="74"/>
      <c r="AI1129" s="74"/>
      <c r="AJ1129" s="74"/>
      <c r="AK1129" s="74"/>
      <c r="AL1129" s="74"/>
      <c r="AM1129" s="74"/>
      <c r="AN1129" s="74"/>
      <c r="AO1129" s="74"/>
      <c r="AP1129" s="74"/>
      <c r="AQ1129" s="74"/>
      <c r="AR1129" s="74"/>
      <c r="AS1129" s="565"/>
      <c r="AT1129" s="556"/>
    </row>
    <row r="1130" spans="1:46" hidden="1" x14ac:dyDescent="0.45">
      <c r="A1130" s="556"/>
      <c r="B1130" s="556"/>
      <c r="C1130" s="556"/>
      <c r="D1130" s="556"/>
      <c r="E1130" s="556"/>
      <c r="F1130" s="564"/>
      <c r="G1130" s="564"/>
      <c r="H1130" s="564"/>
      <c r="I1130" s="564"/>
      <c r="J1130" s="564"/>
      <c r="K1130" s="564"/>
      <c r="L1130" s="564"/>
      <c r="M1130" s="564"/>
      <c r="N1130" s="564"/>
      <c r="O1130" s="564"/>
      <c r="P1130" s="564"/>
      <c r="Q1130" s="564"/>
      <c r="R1130" s="564"/>
      <c r="S1130" s="564"/>
      <c r="T1130" s="564"/>
      <c r="U1130" s="564"/>
      <c r="V1130" s="564"/>
      <c r="W1130" s="564"/>
      <c r="X1130" s="564"/>
      <c r="Y1130" s="564"/>
      <c r="Z1130" s="564"/>
      <c r="AA1130" s="564"/>
      <c r="AB1130" s="556"/>
      <c r="AC1130" s="556"/>
      <c r="AD1130" s="74"/>
      <c r="AE1130" s="74"/>
      <c r="AF1130" s="74"/>
      <c r="AG1130" s="74"/>
      <c r="AH1130" s="74"/>
      <c r="AI1130" s="74"/>
      <c r="AJ1130" s="74"/>
      <c r="AK1130" s="74"/>
      <c r="AL1130" s="74"/>
      <c r="AM1130" s="74"/>
      <c r="AN1130" s="74"/>
      <c r="AO1130" s="74"/>
      <c r="AP1130" s="74"/>
      <c r="AQ1130" s="74"/>
      <c r="AR1130" s="74"/>
      <c r="AS1130" s="565"/>
      <c r="AT1130" s="556"/>
    </row>
    <row r="1131" spans="1:46" hidden="1" x14ac:dyDescent="0.45">
      <c r="A1131" s="556"/>
      <c r="B1131" s="556"/>
      <c r="C1131" s="556"/>
      <c r="D1131" s="556"/>
      <c r="E1131" s="556"/>
      <c r="F1131" s="564"/>
      <c r="G1131" s="564"/>
      <c r="H1131" s="564"/>
      <c r="I1131" s="564"/>
      <c r="J1131" s="564"/>
      <c r="K1131" s="564"/>
      <c r="L1131" s="564"/>
      <c r="M1131" s="564"/>
      <c r="N1131" s="564"/>
      <c r="O1131" s="564"/>
      <c r="P1131" s="564"/>
      <c r="Q1131" s="564"/>
      <c r="R1131" s="564"/>
      <c r="S1131" s="564"/>
      <c r="T1131" s="564"/>
      <c r="U1131" s="564"/>
      <c r="V1131" s="564"/>
      <c r="W1131" s="564"/>
      <c r="X1131" s="564"/>
      <c r="Y1131" s="564"/>
      <c r="Z1131" s="564"/>
      <c r="AA1131" s="564"/>
      <c r="AB1131" s="556"/>
      <c r="AC1131" s="556"/>
      <c r="AD1131" s="74"/>
      <c r="AE1131" s="74"/>
      <c r="AF1131" s="74"/>
      <c r="AG1131" s="74"/>
      <c r="AH1131" s="74"/>
      <c r="AI1131" s="74"/>
      <c r="AJ1131" s="74"/>
      <c r="AK1131" s="74"/>
      <c r="AL1131" s="74"/>
      <c r="AM1131" s="74"/>
      <c r="AN1131" s="74"/>
      <c r="AO1131" s="74"/>
      <c r="AP1131" s="74"/>
      <c r="AQ1131" s="74"/>
      <c r="AR1131" s="74"/>
      <c r="AS1131" s="565"/>
      <c r="AT1131" s="556"/>
    </row>
    <row r="1132" spans="1:46" hidden="1" x14ac:dyDescent="0.45">
      <c r="A1132" s="556"/>
      <c r="B1132" s="556"/>
      <c r="C1132" s="556"/>
      <c r="D1132" s="556"/>
      <c r="E1132" s="556"/>
      <c r="F1132" s="564"/>
      <c r="G1132" s="564"/>
      <c r="H1132" s="564"/>
      <c r="I1132" s="564"/>
      <c r="J1132" s="564"/>
      <c r="K1132" s="564"/>
      <c r="L1132" s="564"/>
      <c r="M1132" s="564"/>
      <c r="N1132" s="564"/>
      <c r="O1132" s="564"/>
      <c r="P1132" s="564"/>
      <c r="Q1132" s="564"/>
      <c r="R1132" s="564"/>
      <c r="S1132" s="564"/>
      <c r="T1132" s="564"/>
      <c r="U1132" s="564"/>
      <c r="V1132" s="564"/>
      <c r="W1132" s="564"/>
      <c r="X1132" s="564"/>
      <c r="Y1132" s="564"/>
      <c r="Z1132" s="564"/>
      <c r="AA1132" s="564"/>
      <c r="AB1132" s="556"/>
      <c r="AC1132" s="556"/>
      <c r="AD1132" s="74"/>
      <c r="AE1132" s="74"/>
      <c r="AF1132" s="74"/>
      <c r="AG1132" s="74"/>
      <c r="AH1132" s="74"/>
      <c r="AI1132" s="74"/>
      <c r="AJ1132" s="74"/>
      <c r="AK1132" s="74"/>
      <c r="AL1132" s="74"/>
      <c r="AM1132" s="74"/>
      <c r="AN1132" s="74"/>
      <c r="AO1132" s="74"/>
      <c r="AP1132" s="74"/>
      <c r="AQ1132" s="74"/>
      <c r="AR1132" s="74"/>
      <c r="AS1132" s="565"/>
      <c r="AT1132" s="556"/>
    </row>
    <row r="1133" spans="1:46" hidden="1" x14ac:dyDescent="0.45">
      <c r="A1133" s="556"/>
      <c r="B1133" s="556"/>
      <c r="C1133" s="556"/>
      <c r="D1133" s="556"/>
      <c r="E1133" s="556"/>
      <c r="F1133" s="564"/>
      <c r="G1133" s="564"/>
      <c r="H1133" s="564"/>
      <c r="I1133" s="564"/>
      <c r="J1133" s="564"/>
      <c r="K1133" s="564"/>
      <c r="L1133" s="564"/>
      <c r="M1133" s="564"/>
      <c r="N1133" s="564"/>
      <c r="O1133" s="564"/>
      <c r="P1133" s="564"/>
      <c r="Q1133" s="564"/>
      <c r="R1133" s="564"/>
      <c r="S1133" s="564"/>
      <c r="T1133" s="564"/>
      <c r="U1133" s="564"/>
      <c r="V1133" s="564"/>
      <c r="W1133" s="564"/>
      <c r="X1133" s="564"/>
      <c r="Y1133" s="564"/>
      <c r="Z1133" s="564"/>
      <c r="AA1133" s="564"/>
      <c r="AB1133" s="556"/>
      <c r="AC1133" s="556"/>
      <c r="AD1133" s="74"/>
      <c r="AE1133" s="74"/>
      <c r="AF1133" s="74"/>
      <c r="AG1133" s="74"/>
      <c r="AH1133" s="74"/>
      <c r="AI1133" s="74"/>
      <c r="AJ1133" s="74"/>
      <c r="AK1133" s="74"/>
      <c r="AL1133" s="74"/>
      <c r="AM1133" s="74"/>
      <c r="AN1133" s="74"/>
      <c r="AO1133" s="74"/>
      <c r="AP1133" s="74"/>
      <c r="AQ1133" s="74"/>
      <c r="AR1133" s="74"/>
      <c r="AS1133" s="565"/>
      <c r="AT1133" s="556"/>
    </row>
    <row r="1134" spans="1:46" hidden="1" x14ac:dyDescent="0.45">
      <c r="A1134" s="556"/>
      <c r="B1134" s="556"/>
      <c r="C1134" s="556"/>
      <c r="D1134" s="556"/>
      <c r="E1134" s="556"/>
      <c r="F1134" s="564"/>
      <c r="G1134" s="564"/>
      <c r="H1134" s="564"/>
      <c r="I1134" s="564"/>
      <c r="J1134" s="564"/>
      <c r="K1134" s="564"/>
      <c r="L1134" s="564"/>
      <c r="M1134" s="564"/>
      <c r="N1134" s="564"/>
      <c r="O1134" s="564"/>
      <c r="P1134" s="564"/>
      <c r="Q1134" s="564"/>
      <c r="R1134" s="564"/>
      <c r="S1134" s="564"/>
      <c r="T1134" s="564"/>
      <c r="U1134" s="564"/>
      <c r="V1134" s="564"/>
      <c r="W1134" s="564"/>
      <c r="X1134" s="564"/>
      <c r="Y1134" s="564"/>
      <c r="Z1134" s="564"/>
      <c r="AA1134" s="564"/>
      <c r="AB1134" s="556"/>
      <c r="AC1134" s="556"/>
      <c r="AD1134" s="74"/>
      <c r="AE1134" s="74"/>
      <c r="AF1134" s="74"/>
      <c r="AG1134" s="74"/>
      <c r="AH1134" s="74"/>
      <c r="AI1134" s="74"/>
      <c r="AJ1134" s="74"/>
      <c r="AK1134" s="74"/>
      <c r="AL1134" s="74"/>
      <c r="AM1134" s="74"/>
      <c r="AN1134" s="74"/>
      <c r="AO1134" s="74"/>
      <c r="AP1134" s="74"/>
      <c r="AQ1134" s="74"/>
      <c r="AR1134" s="74"/>
      <c r="AS1134" s="565"/>
      <c r="AT1134" s="556"/>
    </row>
    <row r="1135" spans="1:46" hidden="1" x14ac:dyDescent="0.45">
      <c r="A1135" s="556"/>
      <c r="B1135" s="556"/>
      <c r="C1135" s="556"/>
      <c r="D1135" s="556"/>
      <c r="E1135" s="556"/>
      <c r="F1135" s="564"/>
      <c r="G1135" s="564"/>
      <c r="H1135" s="564"/>
      <c r="I1135" s="564"/>
      <c r="J1135" s="564"/>
      <c r="K1135" s="564"/>
      <c r="L1135" s="564"/>
      <c r="M1135" s="564"/>
      <c r="N1135" s="564"/>
      <c r="O1135" s="564"/>
      <c r="P1135" s="564"/>
      <c r="Q1135" s="564"/>
      <c r="R1135" s="564"/>
      <c r="S1135" s="564"/>
      <c r="T1135" s="564"/>
      <c r="U1135" s="564"/>
      <c r="V1135" s="564"/>
      <c r="W1135" s="564"/>
      <c r="X1135" s="564"/>
      <c r="Y1135" s="564"/>
      <c r="Z1135" s="564"/>
      <c r="AA1135" s="564"/>
      <c r="AB1135" s="556"/>
      <c r="AC1135" s="556"/>
      <c r="AD1135" s="74"/>
      <c r="AE1135" s="74"/>
      <c r="AF1135" s="74"/>
      <c r="AG1135" s="74"/>
      <c r="AH1135" s="74"/>
      <c r="AI1135" s="74"/>
      <c r="AJ1135" s="74"/>
      <c r="AK1135" s="74"/>
      <c r="AL1135" s="74"/>
      <c r="AM1135" s="74"/>
      <c r="AN1135" s="74"/>
      <c r="AO1135" s="74"/>
      <c r="AP1135" s="74"/>
      <c r="AQ1135" s="74"/>
      <c r="AR1135" s="74"/>
      <c r="AS1135" s="565"/>
      <c r="AT1135" s="556"/>
    </row>
    <row r="1136" spans="1:46" hidden="1" x14ac:dyDescent="0.45">
      <c r="A1136" s="556"/>
      <c r="B1136" s="556"/>
      <c r="C1136" s="556"/>
      <c r="D1136" s="556"/>
      <c r="E1136" s="556"/>
      <c r="F1136" s="564"/>
      <c r="G1136" s="564"/>
      <c r="H1136" s="564"/>
      <c r="I1136" s="564"/>
      <c r="J1136" s="564"/>
      <c r="K1136" s="564"/>
      <c r="L1136" s="564"/>
      <c r="M1136" s="564"/>
      <c r="N1136" s="564"/>
      <c r="O1136" s="564"/>
      <c r="P1136" s="564"/>
      <c r="Q1136" s="564"/>
      <c r="R1136" s="564"/>
      <c r="S1136" s="564"/>
      <c r="T1136" s="564"/>
      <c r="U1136" s="564"/>
      <c r="V1136" s="564"/>
      <c r="W1136" s="564"/>
      <c r="X1136" s="564"/>
      <c r="Y1136" s="564"/>
      <c r="Z1136" s="564"/>
      <c r="AA1136" s="564"/>
      <c r="AB1136" s="556"/>
      <c r="AC1136" s="556"/>
      <c r="AD1136" s="74"/>
      <c r="AE1136" s="74"/>
      <c r="AF1136" s="74"/>
      <c r="AG1136" s="74"/>
      <c r="AH1136" s="74"/>
      <c r="AI1136" s="74"/>
      <c r="AJ1136" s="74"/>
      <c r="AK1136" s="74"/>
      <c r="AL1136" s="74"/>
      <c r="AM1136" s="74"/>
      <c r="AN1136" s="74"/>
      <c r="AO1136" s="74"/>
      <c r="AP1136" s="74"/>
      <c r="AQ1136" s="74"/>
      <c r="AR1136" s="74"/>
      <c r="AS1136" s="565"/>
      <c r="AT1136" s="556"/>
    </row>
    <row r="1137" spans="1:46" hidden="1" x14ac:dyDescent="0.45">
      <c r="A1137" s="556"/>
      <c r="B1137" s="556"/>
      <c r="C1137" s="556"/>
      <c r="D1137" s="556"/>
      <c r="E1137" s="556"/>
      <c r="F1137" s="564"/>
      <c r="G1137" s="564"/>
      <c r="H1137" s="564"/>
      <c r="I1137" s="564"/>
      <c r="J1137" s="564"/>
      <c r="K1137" s="564"/>
      <c r="L1137" s="564"/>
      <c r="M1137" s="564"/>
      <c r="N1137" s="564"/>
      <c r="O1137" s="564"/>
      <c r="P1137" s="564"/>
      <c r="Q1137" s="564"/>
      <c r="R1137" s="564"/>
      <c r="S1137" s="564"/>
      <c r="T1137" s="564"/>
      <c r="U1137" s="564"/>
      <c r="V1137" s="564"/>
      <c r="W1137" s="564"/>
      <c r="X1137" s="564"/>
      <c r="Y1137" s="564"/>
      <c r="Z1137" s="564"/>
      <c r="AA1137" s="564"/>
      <c r="AB1137" s="556"/>
      <c r="AC1137" s="556"/>
      <c r="AD1137" s="74"/>
      <c r="AE1137" s="74"/>
      <c r="AF1137" s="74"/>
      <c r="AG1137" s="74"/>
      <c r="AH1137" s="74"/>
      <c r="AI1137" s="74"/>
      <c r="AJ1137" s="74"/>
      <c r="AK1137" s="74"/>
      <c r="AL1137" s="74"/>
      <c r="AM1137" s="74"/>
      <c r="AN1137" s="74"/>
      <c r="AO1137" s="74"/>
      <c r="AP1137" s="74"/>
      <c r="AQ1137" s="74"/>
      <c r="AR1137" s="74"/>
      <c r="AS1137" s="565"/>
      <c r="AT1137" s="556"/>
    </row>
    <row r="1138" spans="1:46" hidden="1" x14ac:dyDescent="0.45">
      <c r="A1138" s="556"/>
      <c r="B1138" s="556"/>
      <c r="C1138" s="556"/>
      <c r="D1138" s="556"/>
      <c r="E1138" s="556"/>
      <c r="F1138" s="564"/>
      <c r="G1138" s="564"/>
      <c r="H1138" s="564"/>
      <c r="I1138" s="564"/>
      <c r="J1138" s="564"/>
      <c r="K1138" s="564"/>
      <c r="L1138" s="564"/>
      <c r="M1138" s="564"/>
      <c r="N1138" s="564"/>
      <c r="O1138" s="564"/>
      <c r="P1138" s="564"/>
      <c r="Q1138" s="564"/>
      <c r="R1138" s="564"/>
      <c r="S1138" s="564"/>
      <c r="T1138" s="564"/>
      <c r="U1138" s="564"/>
      <c r="V1138" s="564"/>
      <c r="W1138" s="564"/>
      <c r="X1138" s="564"/>
      <c r="Y1138" s="564"/>
      <c r="Z1138" s="564"/>
      <c r="AA1138" s="564"/>
      <c r="AB1138" s="556"/>
      <c r="AC1138" s="556"/>
      <c r="AD1138" s="74"/>
      <c r="AE1138" s="74"/>
      <c r="AF1138" s="74"/>
      <c r="AG1138" s="74"/>
      <c r="AH1138" s="74"/>
      <c r="AI1138" s="74"/>
      <c r="AJ1138" s="74"/>
      <c r="AK1138" s="74"/>
      <c r="AL1138" s="74"/>
      <c r="AM1138" s="74"/>
      <c r="AN1138" s="74"/>
      <c r="AO1138" s="74"/>
      <c r="AP1138" s="74"/>
      <c r="AQ1138" s="74"/>
      <c r="AR1138" s="74"/>
      <c r="AS1138" s="565"/>
      <c r="AT1138" s="556"/>
    </row>
    <row r="1139" spans="1:46" hidden="1" x14ac:dyDescent="0.45">
      <c r="A1139" s="556"/>
      <c r="B1139" s="556"/>
      <c r="C1139" s="556"/>
      <c r="D1139" s="556"/>
      <c r="E1139" s="556"/>
      <c r="F1139" s="564"/>
      <c r="G1139" s="564"/>
      <c r="H1139" s="564"/>
      <c r="I1139" s="564"/>
      <c r="J1139" s="564"/>
      <c r="K1139" s="564"/>
      <c r="L1139" s="564"/>
      <c r="M1139" s="564"/>
      <c r="N1139" s="564"/>
      <c r="O1139" s="564"/>
      <c r="P1139" s="564"/>
      <c r="Q1139" s="564"/>
      <c r="R1139" s="564"/>
      <c r="S1139" s="564"/>
      <c r="T1139" s="564"/>
      <c r="U1139" s="564"/>
      <c r="V1139" s="564"/>
      <c r="W1139" s="564"/>
      <c r="X1139" s="564"/>
      <c r="Y1139" s="564"/>
      <c r="Z1139" s="564"/>
      <c r="AA1139" s="564"/>
      <c r="AB1139" s="556"/>
      <c r="AC1139" s="556"/>
      <c r="AD1139" s="74"/>
      <c r="AE1139" s="74"/>
      <c r="AF1139" s="74"/>
      <c r="AG1139" s="74"/>
      <c r="AH1139" s="74"/>
      <c r="AI1139" s="74"/>
      <c r="AJ1139" s="74"/>
      <c r="AK1139" s="74"/>
      <c r="AL1139" s="74"/>
      <c r="AM1139" s="74"/>
      <c r="AN1139" s="74"/>
      <c r="AO1139" s="74"/>
      <c r="AP1139" s="74"/>
      <c r="AQ1139" s="74"/>
      <c r="AR1139" s="74"/>
      <c r="AS1139" s="565"/>
      <c r="AT1139" s="556"/>
    </row>
    <row r="1140" spans="1:46" hidden="1" x14ac:dyDescent="0.45">
      <c r="A1140" s="556"/>
      <c r="B1140" s="556"/>
      <c r="C1140" s="556"/>
      <c r="D1140" s="556"/>
      <c r="E1140" s="556"/>
      <c r="F1140" s="564"/>
      <c r="G1140" s="564"/>
      <c r="H1140" s="564"/>
      <c r="I1140" s="564"/>
      <c r="J1140" s="564"/>
      <c r="K1140" s="564"/>
      <c r="L1140" s="564"/>
      <c r="M1140" s="564"/>
      <c r="N1140" s="564"/>
      <c r="O1140" s="564"/>
      <c r="P1140" s="564"/>
      <c r="Q1140" s="564"/>
      <c r="R1140" s="564"/>
      <c r="S1140" s="564"/>
      <c r="T1140" s="564"/>
      <c r="U1140" s="564"/>
      <c r="V1140" s="564"/>
      <c r="W1140" s="564"/>
      <c r="X1140" s="564"/>
      <c r="Y1140" s="564"/>
      <c r="Z1140" s="564"/>
      <c r="AA1140" s="564"/>
      <c r="AB1140" s="556"/>
      <c r="AC1140" s="556"/>
      <c r="AD1140" s="74"/>
      <c r="AE1140" s="74"/>
      <c r="AF1140" s="74"/>
      <c r="AG1140" s="74"/>
      <c r="AH1140" s="74"/>
      <c r="AI1140" s="74"/>
      <c r="AJ1140" s="74"/>
      <c r="AK1140" s="74"/>
      <c r="AL1140" s="74"/>
      <c r="AM1140" s="74"/>
      <c r="AN1140" s="74"/>
      <c r="AO1140" s="74"/>
      <c r="AP1140" s="74"/>
      <c r="AQ1140" s="74"/>
      <c r="AR1140" s="74"/>
      <c r="AS1140" s="565"/>
      <c r="AT1140" s="556"/>
    </row>
    <row r="1141" spans="1:46" hidden="1" x14ac:dyDescent="0.45">
      <c r="A1141" s="556"/>
      <c r="B1141" s="556"/>
      <c r="C1141" s="556"/>
      <c r="D1141" s="556"/>
      <c r="E1141" s="556"/>
      <c r="F1141" s="564"/>
      <c r="G1141" s="564"/>
      <c r="H1141" s="564"/>
      <c r="I1141" s="564"/>
      <c r="J1141" s="564"/>
      <c r="K1141" s="564"/>
      <c r="L1141" s="564"/>
      <c r="M1141" s="564"/>
      <c r="N1141" s="564"/>
      <c r="O1141" s="564"/>
      <c r="P1141" s="564"/>
      <c r="Q1141" s="564"/>
      <c r="R1141" s="564"/>
      <c r="S1141" s="564"/>
      <c r="T1141" s="564"/>
      <c r="U1141" s="564"/>
      <c r="V1141" s="564"/>
      <c r="W1141" s="564"/>
      <c r="X1141" s="564"/>
      <c r="Y1141" s="564"/>
      <c r="Z1141" s="564"/>
      <c r="AA1141" s="564"/>
      <c r="AB1141" s="556"/>
      <c r="AC1141" s="556"/>
      <c r="AD1141" s="74"/>
      <c r="AE1141" s="74"/>
      <c r="AF1141" s="74"/>
      <c r="AG1141" s="74"/>
      <c r="AH1141" s="74"/>
      <c r="AI1141" s="74"/>
      <c r="AJ1141" s="74"/>
      <c r="AK1141" s="74"/>
      <c r="AL1141" s="74"/>
      <c r="AM1141" s="74"/>
      <c r="AN1141" s="74"/>
      <c r="AO1141" s="74"/>
      <c r="AP1141" s="74"/>
      <c r="AQ1141" s="74"/>
      <c r="AR1141" s="74"/>
      <c r="AS1141" s="565"/>
      <c r="AT1141" s="556"/>
    </row>
    <row r="1142" spans="1:46" hidden="1" x14ac:dyDescent="0.45">
      <c r="A1142" s="556"/>
      <c r="B1142" s="556"/>
      <c r="C1142" s="556"/>
      <c r="D1142" s="556"/>
      <c r="E1142" s="556"/>
      <c r="F1142" s="564"/>
      <c r="G1142" s="564"/>
      <c r="H1142" s="564"/>
      <c r="I1142" s="564"/>
      <c r="J1142" s="564"/>
      <c r="K1142" s="564"/>
      <c r="L1142" s="564"/>
      <c r="M1142" s="564"/>
      <c r="N1142" s="564"/>
      <c r="O1142" s="564"/>
      <c r="P1142" s="564"/>
      <c r="Q1142" s="564"/>
      <c r="R1142" s="564"/>
      <c r="S1142" s="564"/>
      <c r="T1142" s="564"/>
      <c r="U1142" s="564"/>
      <c r="V1142" s="564"/>
      <c r="W1142" s="564"/>
      <c r="X1142" s="564"/>
      <c r="Y1142" s="564"/>
      <c r="Z1142" s="564"/>
      <c r="AA1142" s="564"/>
      <c r="AB1142" s="556"/>
      <c r="AC1142" s="556"/>
      <c r="AD1142" s="74"/>
      <c r="AE1142" s="74"/>
      <c r="AF1142" s="74"/>
      <c r="AG1142" s="74"/>
      <c r="AH1142" s="74"/>
      <c r="AI1142" s="74"/>
      <c r="AJ1142" s="74"/>
      <c r="AK1142" s="74"/>
      <c r="AL1142" s="74"/>
      <c r="AM1142" s="74"/>
      <c r="AN1142" s="74"/>
      <c r="AO1142" s="74"/>
      <c r="AP1142" s="74"/>
      <c r="AQ1142" s="74"/>
      <c r="AR1142" s="74"/>
      <c r="AS1142" s="565"/>
      <c r="AT1142" s="556"/>
    </row>
    <row r="1143" spans="1:46" hidden="1" x14ac:dyDescent="0.45">
      <c r="A1143" s="556"/>
      <c r="B1143" s="556"/>
      <c r="C1143" s="556"/>
      <c r="D1143" s="556"/>
      <c r="E1143" s="556"/>
      <c r="F1143" s="564"/>
      <c r="G1143" s="564"/>
      <c r="H1143" s="564"/>
      <c r="I1143" s="564"/>
      <c r="J1143" s="564"/>
      <c r="K1143" s="564"/>
      <c r="L1143" s="564"/>
      <c r="M1143" s="564"/>
      <c r="N1143" s="564"/>
      <c r="O1143" s="564"/>
      <c r="P1143" s="564"/>
      <c r="Q1143" s="564"/>
      <c r="R1143" s="564"/>
      <c r="S1143" s="564"/>
      <c r="T1143" s="564"/>
      <c r="U1143" s="564"/>
      <c r="V1143" s="564"/>
      <c r="W1143" s="564"/>
      <c r="X1143" s="564"/>
      <c r="Y1143" s="564"/>
      <c r="Z1143" s="564"/>
      <c r="AA1143" s="564"/>
      <c r="AB1143" s="556"/>
      <c r="AC1143" s="556"/>
      <c r="AD1143" s="74"/>
      <c r="AE1143" s="74"/>
      <c r="AF1143" s="74"/>
      <c r="AG1143" s="74"/>
      <c r="AH1143" s="74"/>
      <c r="AI1143" s="74"/>
      <c r="AJ1143" s="74"/>
      <c r="AK1143" s="74"/>
      <c r="AL1143" s="74"/>
      <c r="AM1143" s="74"/>
      <c r="AN1143" s="74"/>
      <c r="AO1143" s="74"/>
      <c r="AP1143" s="74"/>
      <c r="AQ1143" s="74"/>
      <c r="AR1143" s="74"/>
      <c r="AS1143" s="565"/>
      <c r="AT1143" s="556"/>
    </row>
    <row r="1144" spans="1:46" hidden="1" x14ac:dyDescent="0.45">
      <c r="A1144" s="556"/>
      <c r="B1144" s="556"/>
      <c r="C1144" s="556"/>
      <c r="D1144" s="556"/>
      <c r="E1144" s="556"/>
      <c r="F1144" s="564"/>
      <c r="G1144" s="564"/>
      <c r="H1144" s="564"/>
      <c r="I1144" s="564"/>
      <c r="J1144" s="564"/>
      <c r="K1144" s="564"/>
      <c r="L1144" s="564"/>
      <c r="M1144" s="564"/>
      <c r="N1144" s="564"/>
      <c r="O1144" s="564"/>
      <c r="P1144" s="564"/>
      <c r="Q1144" s="564"/>
      <c r="R1144" s="564"/>
      <c r="S1144" s="564"/>
      <c r="T1144" s="564"/>
      <c r="U1144" s="564"/>
      <c r="V1144" s="564"/>
      <c r="W1144" s="564"/>
      <c r="X1144" s="564"/>
      <c r="Y1144" s="564"/>
      <c r="Z1144" s="564"/>
      <c r="AA1144" s="564"/>
      <c r="AB1144" s="556"/>
      <c r="AC1144" s="556"/>
      <c r="AD1144" s="74"/>
      <c r="AE1144" s="74"/>
      <c r="AF1144" s="74"/>
      <c r="AG1144" s="74"/>
      <c r="AH1144" s="74"/>
      <c r="AI1144" s="74"/>
      <c r="AJ1144" s="74"/>
      <c r="AK1144" s="74"/>
      <c r="AL1144" s="74"/>
      <c r="AM1144" s="74"/>
      <c r="AN1144" s="74"/>
      <c r="AO1144" s="74"/>
      <c r="AP1144" s="74"/>
      <c r="AQ1144" s="74"/>
      <c r="AR1144" s="74"/>
      <c r="AS1144" s="565"/>
      <c r="AT1144" s="556"/>
    </row>
    <row r="1145" spans="1:46" hidden="1" x14ac:dyDescent="0.45">
      <c r="A1145" s="556"/>
      <c r="B1145" s="556"/>
      <c r="C1145" s="556"/>
      <c r="D1145" s="556"/>
      <c r="E1145" s="556"/>
      <c r="F1145" s="564"/>
      <c r="G1145" s="564"/>
      <c r="H1145" s="564"/>
      <c r="I1145" s="564"/>
      <c r="J1145" s="564"/>
      <c r="K1145" s="564"/>
      <c r="L1145" s="564"/>
      <c r="M1145" s="564"/>
      <c r="N1145" s="564"/>
      <c r="O1145" s="564"/>
      <c r="P1145" s="564"/>
      <c r="Q1145" s="564"/>
      <c r="R1145" s="564"/>
      <c r="S1145" s="564"/>
      <c r="T1145" s="564"/>
      <c r="U1145" s="564"/>
      <c r="V1145" s="564"/>
      <c r="W1145" s="564"/>
      <c r="X1145" s="564"/>
      <c r="Y1145" s="564"/>
      <c r="Z1145" s="564"/>
      <c r="AA1145" s="564"/>
      <c r="AB1145" s="556"/>
      <c r="AC1145" s="556"/>
      <c r="AD1145" s="74"/>
      <c r="AE1145" s="74"/>
      <c r="AF1145" s="74"/>
      <c r="AG1145" s="74"/>
      <c r="AH1145" s="74"/>
      <c r="AI1145" s="74"/>
      <c r="AJ1145" s="74"/>
      <c r="AK1145" s="74"/>
      <c r="AL1145" s="74"/>
      <c r="AM1145" s="74"/>
      <c r="AN1145" s="74"/>
      <c r="AO1145" s="74"/>
      <c r="AP1145" s="74"/>
      <c r="AQ1145" s="74"/>
      <c r="AR1145" s="74"/>
      <c r="AS1145" s="565"/>
      <c r="AT1145" s="556"/>
    </row>
    <row r="1146" spans="1:46" hidden="1" x14ac:dyDescent="0.45">
      <c r="A1146" s="556"/>
      <c r="B1146" s="556"/>
      <c r="C1146" s="556"/>
      <c r="D1146" s="556"/>
      <c r="E1146" s="556"/>
      <c r="F1146" s="564"/>
      <c r="G1146" s="564"/>
      <c r="H1146" s="564"/>
      <c r="I1146" s="564"/>
      <c r="J1146" s="564"/>
      <c r="K1146" s="564"/>
      <c r="L1146" s="564"/>
      <c r="M1146" s="564"/>
      <c r="N1146" s="564"/>
      <c r="O1146" s="564"/>
      <c r="P1146" s="564"/>
      <c r="Q1146" s="564"/>
      <c r="R1146" s="564"/>
      <c r="S1146" s="564"/>
      <c r="T1146" s="564"/>
      <c r="U1146" s="564"/>
      <c r="V1146" s="564"/>
      <c r="W1146" s="564"/>
      <c r="X1146" s="564"/>
      <c r="Y1146" s="564"/>
      <c r="Z1146" s="564"/>
      <c r="AA1146" s="564"/>
      <c r="AB1146" s="556"/>
      <c r="AC1146" s="556"/>
      <c r="AD1146" s="74"/>
      <c r="AE1146" s="74"/>
      <c r="AF1146" s="74"/>
      <c r="AG1146" s="74"/>
      <c r="AH1146" s="74"/>
      <c r="AI1146" s="74"/>
      <c r="AJ1146" s="74"/>
      <c r="AK1146" s="74"/>
      <c r="AL1146" s="74"/>
      <c r="AM1146" s="74"/>
      <c r="AN1146" s="74"/>
      <c r="AO1146" s="74"/>
      <c r="AP1146" s="74"/>
      <c r="AQ1146" s="74"/>
      <c r="AR1146" s="74"/>
      <c r="AS1146" s="565"/>
      <c r="AT1146" s="556"/>
    </row>
    <row r="1147" spans="1:46" hidden="1" x14ac:dyDescent="0.45">
      <c r="A1147" s="556"/>
      <c r="B1147" s="556"/>
      <c r="C1147" s="556"/>
      <c r="D1147" s="556"/>
      <c r="E1147" s="556"/>
      <c r="F1147" s="564"/>
      <c r="G1147" s="564"/>
      <c r="H1147" s="564"/>
      <c r="I1147" s="564"/>
      <c r="J1147" s="564"/>
      <c r="K1147" s="564"/>
      <c r="L1147" s="564"/>
      <c r="M1147" s="564"/>
      <c r="N1147" s="564"/>
      <c r="O1147" s="564"/>
      <c r="P1147" s="564"/>
      <c r="Q1147" s="564"/>
      <c r="R1147" s="564"/>
      <c r="S1147" s="564"/>
      <c r="T1147" s="564"/>
      <c r="U1147" s="564"/>
      <c r="V1147" s="564"/>
      <c r="W1147" s="564"/>
      <c r="X1147" s="564"/>
      <c r="Y1147" s="564"/>
      <c r="Z1147" s="564"/>
      <c r="AA1147" s="564"/>
      <c r="AB1147" s="556"/>
      <c r="AC1147" s="556"/>
      <c r="AD1147" s="74"/>
      <c r="AE1147" s="74"/>
      <c r="AF1147" s="74"/>
      <c r="AG1147" s="74"/>
      <c r="AH1147" s="74"/>
      <c r="AI1147" s="74"/>
      <c r="AJ1147" s="74"/>
      <c r="AK1147" s="74"/>
      <c r="AL1147" s="74"/>
      <c r="AM1147" s="74"/>
      <c r="AN1147" s="74"/>
      <c r="AO1147" s="74"/>
      <c r="AP1147" s="74"/>
      <c r="AQ1147" s="74"/>
      <c r="AR1147" s="74"/>
      <c r="AS1147" s="565"/>
      <c r="AT1147" s="556"/>
    </row>
    <row r="1148" spans="1:46" hidden="1" x14ac:dyDescent="0.45">
      <c r="A1148" s="556"/>
      <c r="B1148" s="556"/>
      <c r="C1148" s="556"/>
      <c r="D1148" s="556"/>
      <c r="E1148" s="556"/>
      <c r="F1148" s="564"/>
      <c r="G1148" s="564"/>
      <c r="H1148" s="564"/>
      <c r="I1148" s="564"/>
      <c r="J1148" s="564"/>
      <c r="K1148" s="564"/>
      <c r="L1148" s="564"/>
      <c r="M1148" s="564"/>
      <c r="N1148" s="564"/>
      <c r="O1148" s="564"/>
      <c r="P1148" s="564"/>
      <c r="Q1148" s="564"/>
      <c r="R1148" s="564"/>
      <c r="S1148" s="564"/>
      <c r="T1148" s="564"/>
      <c r="U1148" s="564"/>
      <c r="V1148" s="564"/>
      <c r="W1148" s="564"/>
      <c r="X1148" s="564"/>
      <c r="Y1148" s="564"/>
      <c r="Z1148" s="564"/>
      <c r="AA1148" s="564"/>
      <c r="AB1148" s="556"/>
      <c r="AC1148" s="556"/>
      <c r="AD1148" s="74"/>
      <c r="AE1148" s="74"/>
      <c r="AF1148" s="74"/>
      <c r="AG1148" s="74"/>
      <c r="AH1148" s="74"/>
      <c r="AI1148" s="74"/>
      <c r="AJ1148" s="74"/>
      <c r="AK1148" s="74"/>
      <c r="AL1148" s="74"/>
      <c r="AM1148" s="74"/>
      <c r="AN1148" s="74"/>
      <c r="AO1148" s="74"/>
      <c r="AP1148" s="74"/>
      <c r="AQ1148" s="74"/>
      <c r="AR1148" s="74"/>
      <c r="AS1148" s="565"/>
      <c r="AT1148" s="556"/>
    </row>
    <row r="1149" spans="1:46" hidden="1" x14ac:dyDescent="0.45">
      <c r="A1149" s="556"/>
      <c r="B1149" s="556"/>
      <c r="C1149" s="556"/>
      <c r="D1149" s="556"/>
      <c r="E1149" s="556"/>
      <c r="F1149" s="564"/>
      <c r="G1149" s="564"/>
      <c r="H1149" s="564"/>
      <c r="I1149" s="564"/>
      <c r="J1149" s="564"/>
      <c r="K1149" s="564"/>
      <c r="L1149" s="564"/>
      <c r="M1149" s="564"/>
      <c r="N1149" s="564"/>
      <c r="O1149" s="564"/>
      <c r="P1149" s="564"/>
      <c r="Q1149" s="564"/>
      <c r="R1149" s="564"/>
      <c r="S1149" s="564"/>
      <c r="T1149" s="564"/>
      <c r="U1149" s="564"/>
      <c r="V1149" s="564"/>
      <c r="W1149" s="564"/>
      <c r="X1149" s="564"/>
      <c r="Y1149" s="564"/>
      <c r="Z1149" s="564"/>
      <c r="AA1149" s="564"/>
      <c r="AB1149" s="556"/>
      <c r="AC1149" s="556"/>
      <c r="AD1149" s="74"/>
      <c r="AE1149" s="74"/>
      <c r="AF1149" s="74"/>
      <c r="AG1149" s="74"/>
      <c r="AH1149" s="74"/>
      <c r="AI1149" s="74"/>
      <c r="AJ1149" s="74"/>
      <c r="AK1149" s="74"/>
      <c r="AL1149" s="74"/>
      <c r="AM1149" s="74"/>
      <c r="AN1149" s="74"/>
      <c r="AO1149" s="74"/>
      <c r="AP1149" s="74"/>
      <c r="AQ1149" s="74"/>
      <c r="AR1149" s="74"/>
      <c r="AS1149" s="565"/>
      <c r="AT1149" s="556"/>
    </row>
    <row r="1150" spans="1:46" hidden="1" x14ac:dyDescent="0.45">
      <c r="A1150" s="556"/>
      <c r="B1150" s="556"/>
      <c r="C1150" s="556"/>
      <c r="D1150" s="556"/>
      <c r="E1150" s="556"/>
      <c r="F1150" s="564"/>
      <c r="G1150" s="564"/>
      <c r="H1150" s="564"/>
      <c r="I1150" s="564"/>
      <c r="J1150" s="564"/>
      <c r="K1150" s="564"/>
      <c r="L1150" s="564"/>
      <c r="M1150" s="564"/>
      <c r="N1150" s="564"/>
      <c r="O1150" s="564"/>
      <c r="P1150" s="564"/>
      <c r="Q1150" s="564"/>
      <c r="R1150" s="564"/>
      <c r="S1150" s="564"/>
      <c r="T1150" s="564"/>
      <c r="U1150" s="564"/>
      <c r="V1150" s="564"/>
      <c r="W1150" s="564"/>
      <c r="X1150" s="564"/>
      <c r="Y1150" s="564"/>
      <c r="Z1150" s="564"/>
      <c r="AA1150" s="564"/>
      <c r="AB1150" s="556"/>
      <c r="AC1150" s="556"/>
      <c r="AD1150" s="74"/>
      <c r="AE1150" s="74"/>
      <c r="AF1150" s="74"/>
      <c r="AG1150" s="74"/>
      <c r="AH1150" s="74"/>
      <c r="AI1150" s="74"/>
      <c r="AJ1150" s="74"/>
      <c r="AK1150" s="74"/>
      <c r="AL1150" s="74"/>
      <c r="AM1150" s="74"/>
      <c r="AN1150" s="74"/>
      <c r="AO1150" s="74"/>
      <c r="AP1150" s="74"/>
      <c r="AQ1150" s="74"/>
      <c r="AR1150" s="74"/>
      <c r="AS1150" s="565"/>
      <c r="AT1150" s="556"/>
    </row>
    <row r="1151" spans="1:46" hidden="1" x14ac:dyDescent="0.45">
      <c r="A1151" s="556"/>
      <c r="B1151" s="556"/>
      <c r="C1151" s="556"/>
      <c r="D1151" s="556"/>
      <c r="E1151" s="556"/>
      <c r="F1151" s="564"/>
      <c r="G1151" s="564"/>
      <c r="H1151" s="564"/>
      <c r="I1151" s="564"/>
      <c r="J1151" s="564"/>
      <c r="K1151" s="564"/>
      <c r="L1151" s="564"/>
      <c r="M1151" s="564"/>
      <c r="N1151" s="564"/>
      <c r="O1151" s="564"/>
      <c r="P1151" s="564"/>
      <c r="Q1151" s="564"/>
      <c r="R1151" s="564"/>
      <c r="S1151" s="564"/>
      <c r="T1151" s="564"/>
      <c r="U1151" s="564"/>
      <c r="V1151" s="564"/>
      <c r="W1151" s="564"/>
      <c r="X1151" s="564"/>
      <c r="Y1151" s="564"/>
      <c r="Z1151" s="564"/>
      <c r="AA1151" s="564"/>
      <c r="AB1151" s="556"/>
      <c r="AC1151" s="556"/>
      <c r="AD1151" s="74"/>
      <c r="AE1151" s="74"/>
      <c r="AF1151" s="74"/>
      <c r="AG1151" s="74"/>
      <c r="AH1151" s="74"/>
      <c r="AI1151" s="74"/>
      <c r="AJ1151" s="74"/>
      <c r="AK1151" s="74"/>
      <c r="AL1151" s="74"/>
      <c r="AM1151" s="74"/>
      <c r="AN1151" s="74"/>
      <c r="AO1151" s="74"/>
      <c r="AP1151" s="74"/>
      <c r="AQ1151" s="74"/>
      <c r="AR1151" s="74"/>
      <c r="AS1151" s="565"/>
      <c r="AT1151" s="556"/>
    </row>
    <row r="1152" spans="1:46" hidden="1" x14ac:dyDescent="0.45">
      <c r="A1152" s="556"/>
      <c r="B1152" s="556"/>
      <c r="C1152" s="556"/>
      <c r="D1152" s="556"/>
      <c r="E1152" s="556"/>
      <c r="F1152" s="564"/>
      <c r="G1152" s="564"/>
      <c r="H1152" s="564"/>
      <c r="I1152" s="564"/>
      <c r="J1152" s="564"/>
      <c r="K1152" s="564"/>
      <c r="L1152" s="564"/>
      <c r="M1152" s="564"/>
      <c r="N1152" s="564"/>
      <c r="O1152" s="564"/>
      <c r="P1152" s="564"/>
      <c r="Q1152" s="564"/>
      <c r="R1152" s="564"/>
      <c r="S1152" s="564"/>
      <c r="T1152" s="564"/>
      <c r="U1152" s="564"/>
      <c r="V1152" s="564"/>
      <c r="W1152" s="564"/>
      <c r="X1152" s="564"/>
      <c r="Y1152" s="564"/>
      <c r="Z1152" s="564"/>
      <c r="AA1152" s="564"/>
      <c r="AB1152" s="556"/>
      <c r="AC1152" s="556"/>
      <c r="AD1152" s="74"/>
      <c r="AE1152" s="74"/>
      <c r="AF1152" s="74"/>
      <c r="AG1152" s="74"/>
      <c r="AH1152" s="74"/>
      <c r="AI1152" s="74"/>
      <c r="AJ1152" s="74"/>
      <c r="AK1152" s="74"/>
      <c r="AL1152" s="74"/>
      <c r="AM1152" s="74"/>
      <c r="AN1152" s="74"/>
      <c r="AO1152" s="74"/>
      <c r="AP1152" s="74"/>
      <c r="AQ1152" s="74"/>
      <c r="AR1152" s="74"/>
      <c r="AS1152" s="565"/>
      <c r="AT1152" s="556"/>
    </row>
    <row r="1153" spans="1:46" hidden="1" x14ac:dyDescent="0.45">
      <c r="A1153" s="556"/>
      <c r="B1153" s="556"/>
      <c r="C1153" s="556"/>
      <c r="D1153" s="556"/>
      <c r="E1153" s="556"/>
      <c r="F1153" s="564"/>
      <c r="G1153" s="564"/>
      <c r="H1153" s="564"/>
      <c r="I1153" s="564"/>
      <c r="J1153" s="564"/>
      <c r="K1153" s="564"/>
      <c r="L1153" s="564"/>
      <c r="M1153" s="564"/>
      <c r="N1153" s="564"/>
      <c r="O1153" s="564"/>
      <c r="P1153" s="564"/>
      <c r="Q1153" s="564"/>
      <c r="R1153" s="564"/>
      <c r="S1153" s="564"/>
      <c r="T1153" s="564"/>
      <c r="U1153" s="564"/>
      <c r="V1153" s="564"/>
      <c r="W1153" s="564"/>
      <c r="X1153" s="564"/>
      <c r="Y1153" s="564"/>
      <c r="Z1153" s="564"/>
      <c r="AA1153" s="564"/>
      <c r="AB1153" s="556"/>
      <c r="AC1153" s="556"/>
      <c r="AD1153" s="74"/>
      <c r="AE1153" s="74"/>
      <c r="AF1153" s="74"/>
      <c r="AG1153" s="74"/>
      <c r="AH1153" s="74"/>
      <c r="AI1153" s="74"/>
      <c r="AJ1153" s="74"/>
      <c r="AK1153" s="74"/>
      <c r="AL1153" s="74"/>
      <c r="AM1153" s="74"/>
      <c r="AN1153" s="74"/>
      <c r="AO1153" s="74"/>
      <c r="AP1153" s="74"/>
      <c r="AQ1153" s="74"/>
      <c r="AR1153" s="74"/>
      <c r="AS1153" s="565"/>
      <c r="AT1153" s="556"/>
    </row>
    <row r="1154" spans="1:46" hidden="1" x14ac:dyDescent="0.45">
      <c r="A1154" s="556"/>
      <c r="B1154" s="556"/>
      <c r="C1154" s="556"/>
      <c r="D1154" s="556"/>
      <c r="E1154" s="556"/>
      <c r="F1154" s="564"/>
      <c r="G1154" s="564"/>
      <c r="H1154" s="564"/>
      <c r="I1154" s="564"/>
      <c r="J1154" s="564"/>
      <c r="K1154" s="564"/>
      <c r="L1154" s="564"/>
      <c r="M1154" s="564"/>
      <c r="N1154" s="564"/>
      <c r="O1154" s="564"/>
      <c r="P1154" s="564"/>
      <c r="Q1154" s="564"/>
      <c r="R1154" s="564"/>
      <c r="S1154" s="564"/>
      <c r="T1154" s="564"/>
      <c r="U1154" s="564"/>
      <c r="V1154" s="564"/>
      <c r="W1154" s="564"/>
      <c r="X1154" s="564"/>
      <c r="Y1154" s="564"/>
      <c r="Z1154" s="564"/>
      <c r="AA1154" s="564"/>
      <c r="AB1154" s="556"/>
      <c r="AC1154" s="556"/>
      <c r="AD1154" s="74"/>
      <c r="AE1154" s="74"/>
      <c r="AF1154" s="74"/>
      <c r="AG1154" s="74"/>
      <c r="AH1154" s="74"/>
      <c r="AI1154" s="74"/>
      <c r="AJ1154" s="74"/>
      <c r="AK1154" s="74"/>
      <c r="AL1154" s="74"/>
      <c r="AM1154" s="74"/>
      <c r="AN1154" s="74"/>
      <c r="AO1154" s="74"/>
      <c r="AP1154" s="74"/>
      <c r="AQ1154" s="74"/>
      <c r="AR1154" s="74"/>
      <c r="AS1154" s="565"/>
      <c r="AT1154" s="556"/>
    </row>
    <row r="1155" spans="1:46" hidden="1" x14ac:dyDescent="0.45">
      <c r="A1155" s="556"/>
      <c r="B1155" s="556"/>
      <c r="C1155" s="556"/>
      <c r="D1155" s="556"/>
      <c r="E1155" s="556"/>
      <c r="F1155" s="564"/>
      <c r="G1155" s="564"/>
      <c r="H1155" s="564"/>
      <c r="I1155" s="564"/>
      <c r="J1155" s="564"/>
      <c r="K1155" s="564"/>
      <c r="L1155" s="564"/>
      <c r="M1155" s="564"/>
      <c r="N1155" s="564"/>
      <c r="O1155" s="564"/>
      <c r="P1155" s="564"/>
      <c r="Q1155" s="564"/>
      <c r="R1155" s="564"/>
      <c r="S1155" s="564"/>
      <c r="T1155" s="564"/>
      <c r="U1155" s="564"/>
      <c r="V1155" s="564"/>
      <c r="W1155" s="564"/>
      <c r="X1155" s="564"/>
      <c r="Y1155" s="564"/>
      <c r="Z1155" s="564"/>
      <c r="AA1155" s="564"/>
      <c r="AB1155" s="556"/>
      <c r="AC1155" s="556"/>
      <c r="AD1155" s="74"/>
      <c r="AE1155" s="74"/>
      <c r="AF1155" s="74"/>
      <c r="AG1155" s="74"/>
      <c r="AH1155" s="74"/>
      <c r="AI1155" s="74"/>
      <c r="AJ1155" s="74"/>
      <c r="AK1155" s="74"/>
      <c r="AL1155" s="74"/>
      <c r="AM1155" s="74"/>
      <c r="AN1155" s="74"/>
      <c r="AO1155" s="74"/>
      <c r="AP1155" s="74"/>
      <c r="AQ1155" s="74"/>
      <c r="AR1155" s="74"/>
      <c r="AS1155" s="565"/>
      <c r="AT1155" s="556"/>
    </row>
    <row r="1156" spans="1:46" hidden="1" x14ac:dyDescent="0.45">
      <c r="A1156" s="556"/>
      <c r="B1156" s="556"/>
      <c r="C1156" s="556"/>
      <c r="D1156" s="556"/>
      <c r="E1156" s="556"/>
      <c r="F1156" s="564"/>
      <c r="G1156" s="564"/>
      <c r="H1156" s="564"/>
      <c r="I1156" s="564"/>
      <c r="J1156" s="564"/>
      <c r="K1156" s="564"/>
      <c r="L1156" s="564"/>
      <c r="M1156" s="564"/>
      <c r="N1156" s="564"/>
      <c r="O1156" s="564"/>
      <c r="P1156" s="564"/>
      <c r="Q1156" s="564"/>
      <c r="R1156" s="564"/>
      <c r="S1156" s="564"/>
      <c r="T1156" s="564"/>
      <c r="U1156" s="564"/>
      <c r="V1156" s="564"/>
      <c r="W1156" s="564"/>
      <c r="X1156" s="564"/>
      <c r="Y1156" s="564"/>
      <c r="Z1156" s="564"/>
      <c r="AA1156" s="564"/>
      <c r="AB1156" s="556"/>
      <c r="AC1156" s="556"/>
      <c r="AD1156" s="74"/>
      <c r="AE1156" s="74"/>
      <c r="AF1156" s="74"/>
      <c r="AG1156" s="74"/>
      <c r="AH1156" s="74"/>
      <c r="AI1156" s="74"/>
      <c r="AJ1156" s="74"/>
      <c r="AK1156" s="74"/>
      <c r="AL1156" s="74"/>
      <c r="AM1156" s="74"/>
      <c r="AN1156" s="74"/>
      <c r="AO1156" s="74"/>
      <c r="AP1156" s="74"/>
      <c r="AQ1156" s="74"/>
      <c r="AR1156" s="74"/>
      <c r="AS1156" s="565"/>
      <c r="AT1156" s="556"/>
    </row>
    <row r="1157" spans="1:46" hidden="1" x14ac:dyDescent="0.45">
      <c r="A1157" s="556"/>
      <c r="B1157" s="556"/>
      <c r="C1157" s="556"/>
      <c r="D1157" s="556"/>
      <c r="E1157" s="556"/>
      <c r="F1157" s="564"/>
      <c r="G1157" s="564"/>
      <c r="H1157" s="564"/>
      <c r="I1157" s="564"/>
      <c r="J1157" s="564"/>
      <c r="K1157" s="564"/>
      <c r="L1157" s="564"/>
      <c r="M1157" s="564"/>
      <c r="N1157" s="564"/>
      <c r="O1157" s="564"/>
      <c r="P1157" s="564"/>
      <c r="Q1157" s="564"/>
      <c r="R1157" s="564"/>
      <c r="S1157" s="564"/>
      <c r="T1157" s="564"/>
      <c r="U1157" s="564"/>
      <c r="V1157" s="564"/>
      <c r="W1157" s="564"/>
      <c r="X1157" s="564"/>
      <c r="Y1157" s="564"/>
      <c r="Z1157" s="564"/>
      <c r="AA1157" s="564"/>
      <c r="AB1157" s="556"/>
      <c r="AC1157" s="556"/>
      <c r="AD1157" s="74"/>
      <c r="AE1157" s="74"/>
      <c r="AF1157" s="74"/>
      <c r="AG1157" s="74"/>
      <c r="AH1157" s="74"/>
      <c r="AI1157" s="74"/>
      <c r="AJ1157" s="74"/>
      <c r="AK1157" s="74"/>
      <c r="AL1157" s="74"/>
      <c r="AM1157" s="74"/>
      <c r="AN1157" s="74"/>
      <c r="AO1157" s="74"/>
      <c r="AP1157" s="74"/>
      <c r="AQ1157" s="74"/>
      <c r="AR1157" s="74"/>
      <c r="AS1157" s="565"/>
      <c r="AT1157" s="556"/>
    </row>
    <row r="1158" spans="1:46" hidden="1" x14ac:dyDescent="0.45">
      <c r="A1158" s="556"/>
      <c r="B1158" s="556"/>
      <c r="C1158" s="556"/>
      <c r="D1158" s="556"/>
      <c r="E1158" s="556"/>
      <c r="F1158" s="564"/>
      <c r="G1158" s="564"/>
      <c r="H1158" s="564"/>
      <c r="I1158" s="564"/>
      <c r="J1158" s="564"/>
      <c r="K1158" s="564"/>
      <c r="L1158" s="564"/>
      <c r="M1158" s="564"/>
      <c r="N1158" s="564"/>
      <c r="O1158" s="564"/>
      <c r="P1158" s="564"/>
      <c r="Q1158" s="564"/>
      <c r="R1158" s="564"/>
      <c r="S1158" s="564"/>
      <c r="T1158" s="564"/>
      <c r="U1158" s="564"/>
      <c r="V1158" s="564"/>
      <c r="W1158" s="564"/>
      <c r="X1158" s="564"/>
      <c r="Y1158" s="564"/>
      <c r="Z1158" s="564"/>
      <c r="AA1158" s="564"/>
      <c r="AB1158" s="556"/>
      <c r="AC1158" s="556"/>
      <c r="AD1158" s="74"/>
      <c r="AE1158" s="74"/>
      <c r="AF1158" s="74"/>
      <c r="AG1158" s="74"/>
      <c r="AH1158" s="74"/>
      <c r="AI1158" s="74"/>
      <c r="AJ1158" s="74"/>
      <c r="AK1158" s="74"/>
      <c r="AL1158" s="74"/>
      <c r="AM1158" s="74"/>
      <c r="AN1158" s="74"/>
      <c r="AO1158" s="74"/>
      <c r="AP1158" s="74"/>
      <c r="AQ1158" s="74"/>
      <c r="AR1158" s="74"/>
      <c r="AS1158" s="565"/>
      <c r="AT1158" s="556"/>
    </row>
    <row r="1159" spans="1:46" hidden="1" x14ac:dyDescent="0.45">
      <c r="A1159" s="556"/>
      <c r="B1159" s="556"/>
      <c r="C1159" s="556"/>
      <c r="D1159" s="556"/>
      <c r="E1159" s="556"/>
      <c r="F1159" s="564"/>
      <c r="G1159" s="564"/>
      <c r="H1159" s="564"/>
      <c r="I1159" s="564"/>
      <c r="J1159" s="564"/>
      <c r="K1159" s="564"/>
      <c r="L1159" s="564"/>
      <c r="M1159" s="564"/>
      <c r="N1159" s="564"/>
      <c r="O1159" s="564"/>
      <c r="P1159" s="564"/>
      <c r="Q1159" s="564"/>
      <c r="R1159" s="564"/>
      <c r="S1159" s="564"/>
      <c r="T1159" s="564"/>
      <c r="U1159" s="564"/>
      <c r="V1159" s="564"/>
      <c r="W1159" s="564"/>
      <c r="X1159" s="564"/>
      <c r="Y1159" s="564"/>
      <c r="Z1159" s="564"/>
      <c r="AA1159" s="564"/>
      <c r="AB1159" s="556"/>
      <c r="AC1159" s="556"/>
      <c r="AD1159" s="74"/>
      <c r="AE1159" s="74"/>
      <c r="AF1159" s="74"/>
      <c r="AG1159" s="74"/>
      <c r="AH1159" s="74"/>
      <c r="AI1159" s="74"/>
      <c r="AJ1159" s="74"/>
      <c r="AK1159" s="74"/>
      <c r="AL1159" s="74"/>
      <c r="AM1159" s="74"/>
      <c r="AN1159" s="74"/>
      <c r="AO1159" s="74"/>
      <c r="AP1159" s="74"/>
      <c r="AQ1159" s="74"/>
      <c r="AR1159" s="74"/>
      <c r="AS1159" s="565"/>
      <c r="AT1159" s="556"/>
    </row>
    <row r="1160" spans="1:46" hidden="1" x14ac:dyDescent="0.45">
      <c r="A1160" s="556"/>
      <c r="B1160" s="556"/>
      <c r="C1160" s="556"/>
      <c r="D1160" s="556"/>
      <c r="E1160" s="556"/>
      <c r="F1160" s="564"/>
      <c r="G1160" s="564"/>
      <c r="H1160" s="564"/>
      <c r="I1160" s="564"/>
      <c r="J1160" s="564"/>
      <c r="K1160" s="564"/>
      <c r="L1160" s="564"/>
      <c r="M1160" s="564"/>
      <c r="N1160" s="564"/>
      <c r="O1160" s="564"/>
      <c r="P1160" s="564"/>
      <c r="Q1160" s="564"/>
      <c r="R1160" s="564"/>
      <c r="S1160" s="564"/>
      <c r="T1160" s="564"/>
      <c r="U1160" s="564"/>
      <c r="V1160" s="564"/>
      <c r="W1160" s="564"/>
      <c r="X1160" s="564"/>
      <c r="Y1160" s="564"/>
      <c r="Z1160" s="564"/>
      <c r="AA1160" s="564"/>
      <c r="AB1160" s="556"/>
      <c r="AC1160" s="556"/>
      <c r="AD1160" s="74"/>
      <c r="AE1160" s="74"/>
      <c r="AF1160" s="74"/>
      <c r="AG1160" s="74"/>
      <c r="AH1160" s="74"/>
      <c r="AI1160" s="74"/>
      <c r="AJ1160" s="74"/>
      <c r="AK1160" s="74"/>
      <c r="AL1160" s="74"/>
      <c r="AM1160" s="74"/>
      <c r="AN1160" s="74"/>
      <c r="AO1160" s="74"/>
      <c r="AP1160" s="74"/>
      <c r="AQ1160" s="74"/>
      <c r="AR1160" s="74"/>
      <c r="AS1160" s="565"/>
      <c r="AT1160" s="556"/>
    </row>
    <row r="1161" spans="1:46" hidden="1" x14ac:dyDescent="0.45">
      <c r="A1161" s="556"/>
      <c r="B1161" s="556"/>
      <c r="C1161" s="556"/>
      <c r="D1161" s="556"/>
      <c r="E1161" s="556"/>
      <c r="F1161" s="564"/>
      <c r="G1161" s="564"/>
      <c r="H1161" s="564"/>
      <c r="I1161" s="564"/>
      <c r="J1161" s="564"/>
      <c r="K1161" s="564"/>
      <c r="L1161" s="564"/>
      <c r="M1161" s="564"/>
      <c r="N1161" s="564"/>
      <c r="O1161" s="564"/>
      <c r="P1161" s="564"/>
      <c r="Q1161" s="564"/>
      <c r="R1161" s="564"/>
      <c r="S1161" s="564"/>
      <c r="T1161" s="564"/>
      <c r="U1161" s="564"/>
      <c r="V1161" s="564"/>
      <c r="W1161" s="564"/>
      <c r="X1161" s="564"/>
      <c r="Y1161" s="564"/>
      <c r="Z1161" s="564"/>
      <c r="AA1161" s="564"/>
      <c r="AB1161" s="556"/>
      <c r="AC1161" s="556"/>
      <c r="AD1161" s="74"/>
      <c r="AE1161" s="74"/>
      <c r="AF1161" s="74"/>
      <c r="AG1161" s="74"/>
      <c r="AH1161" s="74"/>
      <c r="AI1161" s="74"/>
      <c r="AJ1161" s="74"/>
      <c r="AK1161" s="74"/>
      <c r="AL1161" s="74"/>
      <c r="AM1161" s="74"/>
      <c r="AN1161" s="74"/>
      <c r="AO1161" s="74"/>
      <c r="AP1161" s="74"/>
      <c r="AQ1161" s="74"/>
      <c r="AR1161" s="74"/>
      <c r="AS1161" s="565"/>
      <c r="AT1161" s="556"/>
    </row>
    <row r="1162" spans="1:46" hidden="1" x14ac:dyDescent="0.45">
      <c r="A1162" s="556"/>
      <c r="B1162" s="556"/>
      <c r="C1162" s="556"/>
      <c r="D1162" s="556"/>
      <c r="E1162" s="556"/>
      <c r="F1162" s="564"/>
      <c r="G1162" s="564"/>
      <c r="H1162" s="564"/>
      <c r="I1162" s="564"/>
      <c r="J1162" s="564"/>
      <c r="K1162" s="564"/>
      <c r="L1162" s="564"/>
      <c r="M1162" s="564"/>
      <c r="N1162" s="564"/>
      <c r="O1162" s="564"/>
      <c r="P1162" s="564"/>
      <c r="Q1162" s="564"/>
      <c r="R1162" s="564"/>
      <c r="S1162" s="564"/>
      <c r="T1162" s="564"/>
      <c r="U1162" s="564"/>
      <c r="V1162" s="564"/>
      <c r="W1162" s="564"/>
      <c r="X1162" s="564"/>
      <c r="Y1162" s="564"/>
      <c r="Z1162" s="564"/>
      <c r="AA1162" s="564"/>
      <c r="AB1162" s="556"/>
      <c r="AC1162" s="556"/>
      <c r="AD1162" s="74"/>
      <c r="AE1162" s="74"/>
      <c r="AF1162" s="74"/>
      <c r="AG1162" s="74"/>
      <c r="AH1162" s="74"/>
      <c r="AI1162" s="74"/>
      <c r="AJ1162" s="74"/>
      <c r="AK1162" s="74"/>
      <c r="AL1162" s="74"/>
      <c r="AM1162" s="74"/>
      <c r="AN1162" s="74"/>
      <c r="AO1162" s="74"/>
      <c r="AP1162" s="74"/>
      <c r="AQ1162" s="74"/>
      <c r="AR1162" s="74"/>
      <c r="AS1162" s="565"/>
      <c r="AT1162" s="556"/>
    </row>
    <row r="1163" spans="1:46" hidden="1" x14ac:dyDescent="0.45">
      <c r="A1163" s="556"/>
      <c r="B1163" s="556"/>
      <c r="C1163" s="556"/>
      <c r="D1163" s="556"/>
      <c r="E1163" s="556"/>
      <c r="F1163" s="564"/>
      <c r="G1163" s="564"/>
      <c r="H1163" s="564"/>
      <c r="I1163" s="564"/>
      <c r="J1163" s="564"/>
      <c r="K1163" s="564"/>
      <c r="L1163" s="564"/>
      <c r="M1163" s="564"/>
      <c r="N1163" s="564"/>
      <c r="O1163" s="564"/>
      <c r="P1163" s="564"/>
      <c r="Q1163" s="564"/>
      <c r="R1163" s="564"/>
      <c r="S1163" s="564"/>
      <c r="T1163" s="564"/>
      <c r="U1163" s="564"/>
      <c r="V1163" s="564"/>
      <c r="W1163" s="564"/>
      <c r="X1163" s="564"/>
      <c r="Y1163" s="564"/>
      <c r="Z1163" s="564"/>
      <c r="AA1163" s="564"/>
      <c r="AB1163" s="556"/>
      <c r="AC1163" s="556"/>
      <c r="AD1163" s="74"/>
      <c r="AE1163" s="74"/>
      <c r="AF1163" s="74"/>
      <c r="AG1163" s="74"/>
      <c r="AH1163" s="74"/>
      <c r="AI1163" s="74"/>
      <c r="AJ1163" s="74"/>
      <c r="AK1163" s="74"/>
      <c r="AL1163" s="74"/>
      <c r="AM1163" s="74"/>
      <c r="AN1163" s="74"/>
      <c r="AO1163" s="74"/>
      <c r="AP1163" s="74"/>
      <c r="AQ1163" s="74"/>
      <c r="AR1163" s="74"/>
      <c r="AS1163" s="565"/>
      <c r="AT1163" s="556"/>
    </row>
    <row r="1164" spans="1:46" hidden="1" x14ac:dyDescent="0.45">
      <c r="A1164" s="556"/>
      <c r="B1164" s="556"/>
      <c r="C1164" s="556"/>
      <c r="D1164" s="556"/>
      <c r="E1164" s="556"/>
      <c r="F1164" s="564"/>
      <c r="G1164" s="564"/>
      <c r="H1164" s="564"/>
      <c r="I1164" s="564"/>
      <c r="J1164" s="564"/>
      <c r="K1164" s="564"/>
      <c r="L1164" s="564"/>
      <c r="M1164" s="564"/>
      <c r="N1164" s="564"/>
      <c r="O1164" s="564"/>
      <c r="P1164" s="564"/>
      <c r="Q1164" s="564"/>
      <c r="R1164" s="564"/>
      <c r="S1164" s="564"/>
      <c r="T1164" s="564"/>
      <c r="U1164" s="564"/>
      <c r="V1164" s="564"/>
      <c r="W1164" s="564"/>
      <c r="X1164" s="564"/>
      <c r="Y1164" s="564"/>
      <c r="Z1164" s="564"/>
      <c r="AA1164" s="564"/>
      <c r="AB1164" s="556"/>
      <c r="AC1164" s="556"/>
      <c r="AD1164" s="74"/>
      <c r="AE1164" s="74"/>
      <c r="AF1164" s="74"/>
      <c r="AG1164" s="74"/>
      <c r="AH1164" s="74"/>
      <c r="AI1164" s="74"/>
      <c r="AJ1164" s="74"/>
      <c r="AK1164" s="74"/>
      <c r="AL1164" s="74"/>
      <c r="AM1164" s="74"/>
      <c r="AN1164" s="74"/>
      <c r="AO1164" s="74"/>
      <c r="AP1164" s="74"/>
      <c r="AQ1164" s="74"/>
      <c r="AR1164" s="74"/>
      <c r="AS1164" s="565"/>
      <c r="AT1164" s="556"/>
    </row>
    <row r="1165" spans="1:46" hidden="1" x14ac:dyDescent="0.45">
      <c r="A1165" s="556"/>
      <c r="B1165" s="556"/>
      <c r="C1165" s="556"/>
      <c r="D1165" s="556"/>
      <c r="E1165" s="556"/>
      <c r="F1165" s="564"/>
      <c r="G1165" s="564"/>
      <c r="H1165" s="564"/>
      <c r="I1165" s="564"/>
      <c r="J1165" s="564"/>
      <c r="K1165" s="564"/>
      <c r="L1165" s="564"/>
      <c r="M1165" s="564"/>
      <c r="N1165" s="564"/>
      <c r="O1165" s="564"/>
      <c r="P1165" s="564"/>
      <c r="Q1165" s="564"/>
      <c r="R1165" s="564"/>
      <c r="S1165" s="564"/>
      <c r="T1165" s="564"/>
      <c r="U1165" s="564"/>
      <c r="V1165" s="564"/>
      <c r="W1165" s="564"/>
      <c r="X1165" s="564"/>
      <c r="Y1165" s="564"/>
      <c r="Z1165" s="564"/>
      <c r="AA1165" s="564"/>
      <c r="AB1165" s="556"/>
      <c r="AC1165" s="556"/>
      <c r="AD1165" s="74"/>
      <c r="AE1165" s="74"/>
      <c r="AF1165" s="74"/>
      <c r="AG1165" s="74"/>
      <c r="AH1165" s="74"/>
      <c r="AI1165" s="74"/>
      <c r="AJ1165" s="74"/>
      <c r="AK1165" s="74"/>
      <c r="AL1165" s="74"/>
      <c r="AM1165" s="74"/>
      <c r="AN1165" s="74"/>
      <c r="AO1165" s="74"/>
      <c r="AP1165" s="74"/>
      <c r="AQ1165" s="74"/>
      <c r="AR1165" s="74"/>
      <c r="AS1165" s="565"/>
      <c r="AT1165" s="556"/>
    </row>
    <row r="1166" spans="1:46" hidden="1" x14ac:dyDescent="0.45">
      <c r="A1166" s="556"/>
      <c r="B1166" s="556"/>
      <c r="C1166" s="556"/>
      <c r="D1166" s="556"/>
      <c r="E1166" s="556"/>
      <c r="F1166" s="564"/>
      <c r="G1166" s="564"/>
      <c r="H1166" s="564"/>
      <c r="I1166" s="564"/>
      <c r="J1166" s="564"/>
      <c r="K1166" s="564"/>
      <c r="L1166" s="564"/>
      <c r="M1166" s="564"/>
      <c r="N1166" s="564"/>
      <c r="O1166" s="564"/>
      <c r="P1166" s="564"/>
      <c r="Q1166" s="564"/>
      <c r="R1166" s="564"/>
      <c r="S1166" s="564"/>
      <c r="T1166" s="564"/>
      <c r="U1166" s="564"/>
      <c r="V1166" s="564"/>
      <c r="W1166" s="564"/>
      <c r="X1166" s="564"/>
      <c r="Y1166" s="564"/>
      <c r="Z1166" s="564"/>
      <c r="AA1166" s="564"/>
      <c r="AB1166" s="556"/>
      <c r="AC1166" s="556"/>
      <c r="AD1166" s="74"/>
      <c r="AE1166" s="74"/>
      <c r="AF1166" s="74"/>
      <c r="AG1166" s="74"/>
      <c r="AH1166" s="74"/>
      <c r="AI1166" s="74"/>
      <c r="AJ1166" s="74"/>
      <c r="AK1166" s="74"/>
      <c r="AL1166" s="74"/>
      <c r="AM1166" s="74"/>
      <c r="AN1166" s="74"/>
      <c r="AO1166" s="74"/>
      <c r="AP1166" s="74"/>
      <c r="AQ1166" s="74"/>
      <c r="AR1166" s="74"/>
      <c r="AS1166" s="565"/>
      <c r="AT1166" s="556"/>
    </row>
    <row r="1167" spans="1:46" hidden="1" x14ac:dyDescent="0.45">
      <c r="A1167" s="556"/>
      <c r="B1167" s="556"/>
      <c r="C1167" s="556"/>
      <c r="D1167" s="556"/>
      <c r="E1167" s="556"/>
      <c r="F1167" s="564"/>
      <c r="G1167" s="564"/>
      <c r="H1167" s="564"/>
      <c r="I1167" s="564"/>
      <c r="J1167" s="564"/>
      <c r="K1167" s="564"/>
      <c r="L1167" s="564"/>
      <c r="M1167" s="564"/>
      <c r="N1167" s="564"/>
      <c r="O1167" s="564"/>
      <c r="P1167" s="564"/>
      <c r="Q1167" s="564"/>
      <c r="R1167" s="564"/>
      <c r="S1167" s="564"/>
      <c r="T1167" s="564"/>
      <c r="U1167" s="564"/>
      <c r="V1167" s="564"/>
      <c r="W1167" s="564"/>
      <c r="X1167" s="564"/>
      <c r="Y1167" s="564"/>
      <c r="Z1167" s="564"/>
      <c r="AA1167" s="564"/>
      <c r="AB1167" s="556"/>
      <c r="AC1167" s="556"/>
      <c r="AD1167" s="74"/>
      <c r="AE1167" s="74"/>
      <c r="AF1167" s="74"/>
      <c r="AG1167" s="74"/>
      <c r="AH1167" s="74"/>
      <c r="AI1167" s="74"/>
      <c r="AJ1167" s="74"/>
      <c r="AK1167" s="74"/>
      <c r="AL1167" s="74"/>
      <c r="AM1167" s="74"/>
      <c r="AN1167" s="74"/>
      <c r="AO1167" s="74"/>
      <c r="AP1167" s="74"/>
      <c r="AQ1167" s="74"/>
      <c r="AR1167" s="74"/>
      <c r="AS1167" s="565"/>
      <c r="AT1167" s="556"/>
    </row>
    <row r="1168" spans="1:46" hidden="1" x14ac:dyDescent="0.45">
      <c r="A1168" s="556"/>
      <c r="B1168" s="556"/>
      <c r="C1168" s="556"/>
      <c r="D1168" s="556"/>
      <c r="E1168" s="556"/>
      <c r="F1168" s="564"/>
      <c r="G1168" s="564"/>
      <c r="H1168" s="564"/>
      <c r="I1168" s="564"/>
      <c r="J1168" s="564"/>
      <c r="K1168" s="564"/>
      <c r="L1168" s="564"/>
      <c r="M1168" s="564"/>
      <c r="N1168" s="564"/>
      <c r="O1168" s="564"/>
      <c r="P1168" s="564"/>
      <c r="Q1168" s="564"/>
      <c r="R1168" s="564"/>
      <c r="S1168" s="564"/>
      <c r="T1168" s="564"/>
      <c r="U1168" s="564"/>
      <c r="V1168" s="564"/>
      <c r="W1168" s="564"/>
      <c r="X1168" s="564"/>
      <c r="Y1168" s="564"/>
      <c r="Z1168" s="564"/>
      <c r="AA1168" s="564"/>
      <c r="AB1168" s="556"/>
      <c r="AC1168" s="556"/>
      <c r="AD1168" s="74"/>
      <c r="AE1168" s="74"/>
      <c r="AF1168" s="74"/>
      <c r="AG1168" s="74"/>
      <c r="AH1168" s="74"/>
      <c r="AI1168" s="74"/>
      <c r="AJ1168" s="74"/>
      <c r="AK1168" s="74"/>
      <c r="AL1168" s="74"/>
      <c r="AM1168" s="74"/>
      <c r="AN1168" s="74"/>
      <c r="AO1168" s="74"/>
      <c r="AP1168" s="74"/>
      <c r="AQ1168" s="74"/>
      <c r="AR1168" s="74"/>
      <c r="AS1168" s="565"/>
      <c r="AT1168" s="556"/>
    </row>
    <row r="1169" spans="1:46" hidden="1" x14ac:dyDescent="0.45">
      <c r="A1169" s="556"/>
      <c r="B1169" s="556"/>
      <c r="C1169" s="556"/>
      <c r="D1169" s="556"/>
      <c r="E1169" s="556"/>
      <c r="F1169" s="564"/>
      <c r="G1169" s="564"/>
      <c r="H1169" s="564"/>
      <c r="I1169" s="564"/>
      <c r="J1169" s="564"/>
      <c r="K1169" s="564"/>
      <c r="L1169" s="564"/>
      <c r="M1169" s="564"/>
      <c r="N1169" s="564"/>
      <c r="O1169" s="564"/>
      <c r="P1169" s="564"/>
      <c r="Q1169" s="564"/>
      <c r="R1169" s="564"/>
      <c r="S1169" s="564"/>
      <c r="T1169" s="564"/>
      <c r="U1169" s="564"/>
      <c r="V1169" s="564"/>
      <c r="W1169" s="564"/>
      <c r="X1169" s="564"/>
      <c r="Y1169" s="564"/>
      <c r="Z1169" s="564"/>
      <c r="AA1169" s="564"/>
      <c r="AB1169" s="556"/>
      <c r="AC1169" s="556"/>
      <c r="AD1169" s="74"/>
      <c r="AE1169" s="74"/>
      <c r="AF1169" s="74"/>
      <c r="AG1169" s="74"/>
      <c r="AH1169" s="74"/>
      <c r="AI1169" s="74"/>
      <c r="AJ1169" s="74"/>
      <c r="AK1169" s="74"/>
      <c r="AL1169" s="74"/>
      <c r="AM1169" s="74"/>
      <c r="AN1169" s="74"/>
      <c r="AO1169" s="74"/>
      <c r="AP1169" s="74"/>
      <c r="AQ1169" s="74"/>
      <c r="AR1169" s="74"/>
      <c r="AS1169" s="565"/>
      <c r="AT1169" s="556"/>
    </row>
    <row r="1170" spans="1:46" hidden="1" x14ac:dyDescent="0.45">
      <c r="A1170" s="556"/>
      <c r="B1170" s="556"/>
      <c r="C1170" s="556"/>
      <c r="D1170" s="556"/>
      <c r="E1170" s="556"/>
      <c r="F1170" s="564"/>
      <c r="G1170" s="564"/>
      <c r="H1170" s="564"/>
      <c r="I1170" s="564"/>
      <c r="J1170" s="564"/>
      <c r="K1170" s="564"/>
      <c r="L1170" s="564"/>
      <c r="M1170" s="564"/>
      <c r="N1170" s="564"/>
      <c r="O1170" s="564"/>
      <c r="P1170" s="564"/>
      <c r="Q1170" s="564"/>
      <c r="R1170" s="564"/>
      <c r="S1170" s="564"/>
      <c r="T1170" s="564"/>
      <c r="U1170" s="564"/>
      <c r="V1170" s="564"/>
      <c r="W1170" s="564"/>
      <c r="X1170" s="564"/>
      <c r="Y1170" s="564"/>
      <c r="Z1170" s="564"/>
      <c r="AA1170" s="564"/>
      <c r="AB1170" s="556"/>
      <c r="AC1170" s="556"/>
      <c r="AD1170" s="74"/>
      <c r="AE1170" s="74"/>
      <c r="AF1170" s="74"/>
      <c r="AG1170" s="74"/>
      <c r="AH1170" s="74"/>
      <c r="AI1170" s="74"/>
      <c r="AJ1170" s="74"/>
      <c r="AK1170" s="74"/>
      <c r="AL1170" s="74"/>
      <c r="AM1170" s="74"/>
      <c r="AN1170" s="74"/>
      <c r="AO1170" s="74"/>
      <c r="AP1170" s="74"/>
      <c r="AQ1170" s="74"/>
      <c r="AR1170" s="74"/>
      <c r="AS1170" s="565"/>
      <c r="AT1170" s="556"/>
    </row>
    <row r="1171" spans="1:46" hidden="1" x14ac:dyDescent="0.45">
      <c r="A1171" s="556"/>
      <c r="B1171" s="556"/>
      <c r="C1171" s="556"/>
      <c r="D1171" s="556"/>
      <c r="E1171" s="556"/>
      <c r="F1171" s="564"/>
      <c r="G1171" s="564"/>
      <c r="H1171" s="564"/>
      <c r="I1171" s="564"/>
      <c r="J1171" s="564"/>
      <c r="K1171" s="564"/>
      <c r="L1171" s="564"/>
      <c r="M1171" s="564"/>
      <c r="N1171" s="564"/>
      <c r="O1171" s="564"/>
      <c r="P1171" s="564"/>
      <c r="Q1171" s="564"/>
      <c r="R1171" s="564"/>
      <c r="S1171" s="564"/>
      <c r="T1171" s="564"/>
      <c r="U1171" s="564"/>
      <c r="V1171" s="564"/>
      <c r="W1171" s="564"/>
      <c r="X1171" s="564"/>
      <c r="Y1171" s="564"/>
      <c r="Z1171" s="564"/>
      <c r="AA1171" s="564"/>
      <c r="AB1171" s="556"/>
      <c r="AC1171" s="556"/>
      <c r="AD1171" s="74"/>
      <c r="AE1171" s="74"/>
      <c r="AF1171" s="74"/>
      <c r="AG1171" s="74"/>
      <c r="AH1171" s="74"/>
      <c r="AI1171" s="74"/>
      <c r="AJ1171" s="74"/>
      <c r="AK1171" s="74"/>
      <c r="AL1171" s="74"/>
      <c r="AM1171" s="74"/>
      <c r="AN1171" s="74"/>
      <c r="AO1171" s="74"/>
      <c r="AP1171" s="74"/>
      <c r="AQ1171" s="74"/>
      <c r="AR1171" s="74"/>
      <c r="AS1171" s="565"/>
      <c r="AT1171" s="556"/>
    </row>
    <row r="1172" spans="1:46" hidden="1" x14ac:dyDescent="0.45">
      <c r="A1172" s="556"/>
      <c r="B1172" s="556"/>
      <c r="C1172" s="556"/>
      <c r="D1172" s="556"/>
      <c r="E1172" s="556"/>
      <c r="F1172" s="564"/>
      <c r="G1172" s="564"/>
      <c r="H1172" s="564"/>
      <c r="I1172" s="564"/>
      <c r="J1172" s="564"/>
      <c r="K1172" s="564"/>
      <c r="L1172" s="564"/>
      <c r="M1172" s="564"/>
      <c r="N1172" s="564"/>
      <c r="O1172" s="564"/>
      <c r="P1172" s="564"/>
      <c r="Q1172" s="564"/>
      <c r="R1172" s="564"/>
      <c r="S1172" s="564"/>
      <c r="T1172" s="564"/>
      <c r="U1172" s="564"/>
      <c r="V1172" s="564"/>
      <c r="W1172" s="564"/>
      <c r="X1172" s="564"/>
      <c r="Y1172" s="564"/>
      <c r="Z1172" s="564"/>
      <c r="AA1172" s="564"/>
      <c r="AB1172" s="556"/>
      <c r="AC1172" s="556"/>
      <c r="AD1172" s="74"/>
      <c r="AE1172" s="74"/>
      <c r="AF1172" s="74"/>
      <c r="AG1172" s="74"/>
      <c r="AH1172" s="74"/>
      <c r="AI1172" s="74"/>
      <c r="AJ1172" s="74"/>
      <c r="AK1172" s="74"/>
      <c r="AL1172" s="74"/>
      <c r="AM1172" s="74"/>
      <c r="AN1172" s="74"/>
      <c r="AO1172" s="74"/>
      <c r="AP1172" s="74"/>
      <c r="AQ1172" s="74"/>
      <c r="AR1172" s="74"/>
      <c r="AS1172" s="565"/>
      <c r="AT1172" s="556"/>
    </row>
    <row r="1173" spans="1:46" hidden="1" x14ac:dyDescent="0.45">
      <c r="A1173" s="556"/>
      <c r="B1173" s="556"/>
      <c r="C1173" s="556"/>
      <c r="D1173" s="556"/>
      <c r="E1173" s="556"/>
      <c r="F1173" s="564"/>
      <c r="G1173" s="564"/>
      <c r="H1173" s="564"/>
      <c r="I1173" s="564"/>
      <c r="J1173" s="564"/>
      <c r="K1173" s="564"/>
      <c r="L1173" s="564"/>
      <c r="M1173" s="564"/>
      <c r="N1173" s="564"/>
      <c r="O1173" s="564"/>
      <c r="P1173" s="564"/>
      <c r="Q1173" s="564"/>
      <c r="R1173" s="564"/>
      <c r="S1173" s="564"/>
      <c r="T1173" s="564"/>
      <c r="U1173" s="564"/>
      <c r="V1173" s="564"/>
      <c r="W1173" s="564"/>
      <c r="X1173" s="564"/>
      <c r="Y1173" s="564"/>
      <c r="Z1173" s="564"/>
      <c r="AA1173" s="564"/>
      <c r="AB1173" s="556"/>
      <c r="AC1173" s="556"/>
      <c r="AD1173" s="74"/>
      <c r="AE1173" s="74"/>
      <c r="AF1173" s="74"/>
      <c r="AG1173" s="74"/>
      <c r="AH1173" s="74"/>
      <c r="AI1173" s="74"/>
      <c r="AJ1173" s="74"/>
      <c r="AK1173" s="74"/>
      <c r="AL1173" s="74"/>
      <c r="AM1173" s="74"/>
      <c r="AN1173" s="74"/>
      <c r="AO1173" s="74"/>
      <c r="AP1173" s="74"/>
      <c r="AQ1173" s="74"/>
      <c r="AR1173" s="74"/>
      <c r="AS1173" s="565"/>
      <c r="AT1173" s="556"/>
    </row>
    <row r="1174" spans="1:46" hidden="1" x14ac:dyDescent="0.45">
      <c r="A1174" s="556"/>
      <c r="B1174" s="556"/>
      <c r="C1174" s="556"/>
      <c r="D1174" s="556"/>
      <c r="E1174" s="556"/>
      <c r="F1174" s="564"/>
      <c r="G1174" s="564"/>
      <c r="H1174" s="564"/>
      <c r="I1174" s="564"/>
      <c r="J1174" s="564"/>
      <c r="K1174" s="564"/>
      <c r="L1174" s="564"/>
      <c r="M1174" s="564"/>
      <c r="N1174" s="564"/>
      <c r="O1174" s="564"/>
      <c r="P1174" s="564"/>
      <c r="Q1174" s="564"/>
      <c r="R1174" s="564"/>
      <c r="S1174" s="564"/>
      <c r="T1174" s="564"/>
      <c r="U1174" s="564"/>
      <c r="V1174" s="564"/>
      <c r="W1174" s="564"/>
      <c r="X1174" s="564"/>
      <c r="Y1174" s="564"/>
      <c r="Z1174" s="564"/>
      <c r="AA1174" s="564"/>
      <c r="AB1174" s="556"/>
      <c r="AC1174" s="556"/>
      <c r="AD1174" s="74"/>
      <c r="AE1174" s="74"/>
      <c r="AF1174" s="74"/>
      <c r="AG1174" s="74"/>
      <c r="AH1174" s="74"/>
      <c r="AI1174" s="74"/>
      <c r="AJ1174" s="74"/>
      <c r="AK1174" s="74"/>
      <c r="AL1174" s="74"/>
      <c r="AM1174" s="74"/>
      <c r="AN1174" s="74"/>
      <c r="AO1174" s="74"/>
      <c r="AP1174" s="74"/>
      <c r="AQ1174" s="74"/>
      <c r="AR1174" s="74"/>
      <c r="AS1174" s="565"/>
      <c r="AT1174" s="556"/>
    </row>
    <row r="1175" spans="1:46" hidden="1" x14ac:dyDescent="0.45">
      <c r="A1175" s="556"/>
      <c r="B1175" s="556"/>
      <c r="C1175" s="556"/>
      <c r="D1175" s="556"/>
      <c r="E1175" s="556"/>
      <c r="F1175" s="564"/>
      <c r="G1175" s="564"/>
      <c r="H1175" s="564"/>
      <c r="I1175" s="564"/>
      <c r="J1175" s="564"/>
      <c r="K1175" s="564"/>
      <c r="L1175" s="564"/>
      <c r="M1175" s="564"/>
      <c r="N1175" s="564"/>
      <c r="O1175" s="564"/>
      <c r="P1175" s="564"/>
      <c r="Q1175" s="564"/>
      <c r="R1175" s="564"/>
      <c r="S1175" s="564"/>
      <c r="T1175" s="564"/>
      <c r="U1175" s="564"/>
      <c r="V1175" s="564"/>
      <c r="W1175" s="564"/>
      <c r="X1175" s="564"/>
      <c r="Y1175" s="564"/>
      <c r="Z1175" s="564"/>
      <c r="AA1175" s="564"/>
      <c r="AB1175" s="556"/>
      <c r="AC1175" s="556"/>
      <c r="AD1175" s="74"/>
      <c r="AE1175" s="74"/>
      <c r="AF1175" s="74"/>
      <c r="AG1175" s="74"/>
      <c r="AH1175" s="74"/>
      <c r="AI1175" s="74"/>
      <c r="AJ1175" s="74"/>
      <c r="AK1175" s="74"/>
      <c r="AL1175" s="74"/>
      <c r="AM1175" s="74"/>
      <c r="AN1175" s="74"/>
      <c r="AO1175" s="74"/>
      <c r="AP1175" s="74"/>
      <c r="AQ1175" s="74"/>
      <c r="AR1175" s="74"/>
      <c r="AS1175" s="565"/>
      <c r="AT1175" s="556"/>
    </row>
    <row r="1176" spans="1:46" hidden="1" x14ac:dyDescent="0.45">
      <c r="A1176" s="556"/>
      <c r="B1176" s="556"/>
      <c r="C1176" s="556"/>
      <c r="D1176" s="556"/>
      <c r="E1176" s="556"/>
      <c r="F1176" s="564"/>
      <c r="G1176" s="564"/>
      <c r="H1176" s="564"/>
      <c r="I1176" s="564"/>
      <c r="J1176" s="564"/>
      <c r="K1176" s="564"/>
      <c r="L1176" s="564"/>
      <c r="M1176" s="564"/>
      <c r="N1176" s="564"/>
      <c r="O1176" s="564"/>
      <c r="P1176" s="564"/>
      <c r="Q1176" s="564"/>
      <c r="R1176" s="564"/>
      <c r="S1176" s="564"/>
      <c r="T1176" s="564"/>
      <c r="U1176" s="564"/>
      <c r="V1176" s="564"/>
      <c r="W1176" s="564"/>
      <c r="X1176" s="564"/>
      <c r="Y1176" s="564"/>
      <c r="Z1176" s="564"/>
      <c r="AA1176" s="564"/>
      <c r="AB1176" s="556"/>
      <c r="AC1176" s="556"/>
      <c r="AD1176" s="74"/>
      <c r="AE1176" s="74"/>
      <c r="AF1176" s="74"/>
      <c r="AG1176" s="74"/>
      <c r="AH1176" s="74"/>
      <c r="AI1176" s="74"/>
      <c r="AJ1176" s="74"/>
      <c r="AK1176" s="74"/>
      <c r="AL1176" s="74"/>
      <c r="AM1176" s="74"/>
      <c r="AN1176" s="74"/>
      <c r="AO1176" s="74"/>
      <c r="AP1176" s="74"/>
      <c r="AQ1176" s="74"/>
      <c r="AR1176" s="74"/>
      <c r="AS1176" s="565"/>
      <c r="AT1176" s="556"/>
    </row>
    <row r="1177" spans="1:46" hidden="1" x14ac:dyDescent="0.45">
      <c r="A1177" s="556"/>
      <c r="B1177" s="556"/>
      <c r="C1177" s="556"/>
      <c r="D1177" s="556"/>
      <c r="E1177" s="556"/>
      <c r="F1177" s="564"/>
      <c r="G1177" s="564"/>
      <c r="H1177" s="564"/>
      <c r="I1177" s="564"/>
      <c r="J1177" s="564"/>
      <c r="K1177" s="564"/>
      <c r="L1177" s="564"/>
      <c r="M1177" s="564"/>
      <c r="N1177" s="564"/>
      <c r="O1177" s="564"/>
      <c r="P1177" s="564"/>
      <c r="Q1177" s="564"/>
      <c r="R1177" s="564"/>
      <c r="S1177" s="564"/>
      <c r="T1177" s="564"/>
      <c r="U1177" s="564"/>
      <c r="V1177" s="564"/>
      <c r="W1177" s="564"/>
      <c r="X1177" s="564"/>
      <c r="Y1177" s="564"/>
      <c r="Z1177" s="564"/>
      <c r="AA1177" s="564"/>
      <c r="AB1177" s="556"/>
      <c r="AC1177" s="556"/>
      <c r="AD1177" s="74"/>
      <c r="AE1177" s="74"/>
      <c r="AF1177" s="74"/>
      <c r="AG1177" s="74"/>
      <c r="AH1177" s="74"/>
      <c r="AI1177" s="74"/>
      <c r="AJ1177" s="74"/>
      <c r="AK1177" s="74"/>
      <c r="AL1177" s="74"/>
      <c r="AM1177" s="74"/>
      <c r="AN1177" s="74"/>
      <c r="AO1177" s="74"/>
      <c r="AP1177" s="74"/>
      <c r="AQ1177" s="74"/>
      <c r="AR1177" s="74"/>
      <c r="AS1177" s="565"/>
      <c r="AT1177" s="556"/>
    </row>
    <row r="1178" spans="1:46" hidden="1" x14ac:dyDescent="0.45">
      <c r="A1178" s="556"/>
      <c r="B1178" s="556"/>
      <c r="C1178" s="556"/>
      <c r="D1178" s="556"/>
      <c r="E1178" s="556"/>
      <c r="F1178" s="564"/>
      <c r="G1178" s="564"/>
      <c r="H1178" s="564"/>
      <c r="I1178" s="564"/>
      <c r="J1178" s="564"/>
      <c r="K1178" s="564"/>
      <c r="L1178" s="564"/>
      <c r="M1178" s="564"/>
      <c r="N1178" s="564"/>
      <c r="O1178" s="564"/>
      <c r="P1178" s="564"/>
      <c r="Q1178" s="564"/>
      <c r="R1178" s="564"/>
      <c r="S1178" s="564"/>
      <c r="T1178" s="564"/>
      <c r="U1178" s="564"/>
      <c r="V1178" s="564"/>
      <c r="W1178" s="564"/>
      <c r="X1178" s="564"/>
      <c r="Y1178" s="564"/>
      <c r="Z1178" s="564"/>
      <c r="AA1178" s="564"/>
      <c r="AB1178" s="556"/>
      <c r="AC1178" s="556"/>
      <c r="AD1178" s="74"/>
      <c r="AE1178" s="74"/>
      <c r="AF1178" s="74"/>
      <c r="AG1178" s="74"/>
      <c r="AH1178" s="74"/>
      <c r="AI1178" s="74"/>
      <c r="AJ1178" s="74"/>
      <c r="AK1178" s="74"/>
      <c r="AL1178" s="74"/>
      <c r="AM1178" s="74"/>
      <c r="AN1178" s="74"/>
      <c r="AO1178" s="74"/>
      <c r="AP1178" s="74"/>
      <c r="AQ1178" s="74"/>
      <c r="AR1178" s="74"/>
      <c r="AS1178" s="565"/>
      <c r="AT1178" s="556"/>
    </row>
    <row r="1179" spans="1:46" hidden="1" x14ac:dyDescent="0.45">
      <c r="A1179" s="556"/>
      <c r="B1179" s="556"/>
      <c r="C1179" s="556"/>
      <c r="D1179" s="556"/>
      <c r="E1179" s="556"/>
      <c r="F1179" s="564"/>
      <c r="G1179" s="564"/>
      <c r="H1179" s="564"/>
      <c r="I1179" s="564"/>
      <c r="J1179" s="564"/>
      <c r="K1179" s="564"/>
      <c r="L1179" s="564"/>
      <c r="M1179" s="564"/>
      <c r="N1179" s="564"/>
      <c r="O1179" s="564"/>
      <c r="P1179" s="564"/>
      <c r="Q1179" s="564"/>
      <c r="R1179" s="564"/>
      <c r="S1179" s="564"/>
      <c r="T1179" s="564"/>
      <c r="U1179" s="564"/>
      <c r="V1179" s="564"/>
      <c r="W1179" s="564"/>
      <c r="X1179" s="564"/>
      <c r="Y1179" s="564"/>
      <c r="Z1179" s="564"/>
      <c r="AA1179" s="564"/>
      <c r="AB1179" s="556"/>
      <c r="AC1179" s="556"/>
      <c r="AD1179" s="74"/>
      <c r="AE1179" s="74"/>
      <c r="AF1179" s="74"/>
      <c r="AG1179" s="74"/>
      <c r="AH1179" s="74"/>
      <c r="AI1179" s="74"/>
      <c r="AJ1179" s="74"/>
      <c r="AK1179" s="74"/>
      <c r="AL1179" s="74"/>
      <c r="AM1179" s="74"/>
      <c r="AN1179" s="74"/>
      <c r="AO1179" s="74"/>
      <c r="AP1179" s="74"/>
      <c r="AQ1179" s="74"/>
      <c r="AR1179" s="74"/>
      <c r="AS1179" s="565"/>
      <c r="AT1179" s="556"/>
    </row>
    <row r="1180" spans="1:46" hidden="1" x14ac:dyDescent="0.45">
      <c r="A1180" s="556"/>
      <c r="B1180" s="556"/>
      <c r="C1180" s="556"/>
      <c r="D1180" s="556"/>
      <c r="E1180" s="556"/>
      <c r="F1180" s="564"/>
      <c r="G1180" s="564"/>
      <c r="H1180" s="564"/>
      <c r="I1180" s="564"/>
      <c r="J1180" s="564"/>
      <c r="K1180" s="564"/>
      <c r="L1180" s="564"/>
      <c r="M1180" s="564"/>
      <c r="N1180" s="564"/>
      <c r="O1180" s="564"/>
      <c r="P1180" s="564"/>
      <c r="Q1180" s="564"/>
      <c r="R1180" s="564"/>
      <c r="S1180" s="564"/>
      <c r="T1180" s="564"/>
      <c r="U1180" s="564"/>
      <c r="V1180" s="564"/>
      <c r="W1180" s="564"/>
      <c r="X1180" s="564"/>
      <c r="Y1180" s="564"/>
      <c r="Z1180" s="564"/>
      <c r="AA1180" s="564"/>
      <c r="AB1180" s="556"/>
      <c r="AC1180" s="556"/>
      <c r="AD1180" s="74"/>
      <c r="AE1180" s="74"/>
      <c r="AF1180" s="74"/>
      <c r="AG1180" s="74"/>
      <c r="AH1180" s="74"/>
      <c r="AI1180" s="74"/>
      <c r="AJ1180" s="74"/>
      <c r="AK1180" s="74"/>
      <c r="AL1180" s="74"/>
      <c r="AM1180" s="74"/>
      <c r="AN1180" s="74"/>
      <c r="AO1180" s="74"/>
      <c r="AP1180" s="74"/>
      <c r="AQ1180" s="74"/>
      <c r="AR1180" s="74"/>
      <c r="AS1180" s="565"/>
      <c r="AT1180" s="556"/>
    </row>
    <row r="1181" spans="1:46" hidden="1" x14ac:dyDescent="0.45">
      <c r="A1181" s="556"/>
      <c r="B1181" s="556"/>
      <c r="C1181" s="556"/>
      <c r="D1181" s="556"/>
      <c r="E1181" s="556"/>
      <c r="F1181" s="564"/>
      <c r="G1181" s="564"/>
      <c r="H1181" s="564"/>
      <c r="I1181" s="564"/>
      <c r="J1181" s="564"/>
      <c r="K1181" s="564"/>
      <c r="L1181" s="564"/>
      <c r="M1181" s="564"/>
      <c r="N1181" s="564"/>
      <c r="O1181" s="564"/>
      <c r="P1181" s="564"/>
      <c r="Q1181" s="564"/>
      <c r="R1181" s="564"/>
      <c r="S1181" s="564"/>
      <c r="T1181" s="564"/>
      <c r="U1181" s="564"/>
      <c r="V1181" s="564"/>
      <c r="W1181" s="564"/>
      <c r="X1181" s="564"/>
      <c r="Y1181" s="564"/>
      <c r="Z1181" s="564"/>
      <c r="AA1181" s="564"/>
      <c r="AB1181" s="556"/>
      <c r="AC1181" s="556"/>
      <c r="AD1181" s="74"/>
      <c r="AE1181" s="74"/>
      <c r="AF1181" s="74"/>
      <c r="AG1181" s="74"/>
      <c r="AH1181" s="74"/>
      <c r="AI1181" s="74"/>
      <c r="AJ1181" s="74"/>
      <c r="AK1181" s="74"/>
      <c r="AL1181" s="74"/>
      <c r="AM1181" s="74"/>
      <c r="AN1181" s="74"/>
      <c r="AO1181" s="74"/>
      <c r="AP1181" s="74"/>
      <c r="AQ1181" s="74"/>
      <c r="AR1181" s="74"/>
      <c r="AS1181" s="565"/>
      <c r="AT1181" s="556"/>
    </row>
    <row r="1182" spans="1:46" hidden="1" x14ac:dyDescent="0.45">
      <c r="A1182" s="556"/>
      <c r="B1182" s="556"/>
      <c r="C1182" s="556"/>
      <c r="D1182" s="556"/>
      <c r="E1182" s="556"/>
      <c r="F1182" s="564"/>
      <c r="G1182" s="564"/>
      <c r="H1182" s="564"/>
      <c r="I1182" s="564"/>
      <c r="J1182" s="564"/>
      <c r="K1182" s="564"/>
      <c r="L1182" s="564"/>
      <c r="M1182" s="564"/>
      <c r="N1182" s="564"/>
      <c r="O1182" s="564"/>
      <c r="P1182" s="564"/>
      <c r="Q1182" s="564"/>
      <c r="R1182" s="564"/>
      <c r="S1182" s="564"/>
      <c r="T1182" s="564"/>
      <c r="U1182" s="564"/>
      <c r="V1182" s="564"/>
      <c r="W1182" s="564"/>
      <c r="X1182" s="564"/>
      <c r="Y1182" s="564"/>
      <c r="Z1182" s="564"/>
      <c r="AA1182" s="564"/>
      <c r="AB1182" s="556"/>
      <c r="AC1182" s="556"/>
      <c r="AD1182" s="74"/>
      <c r="AE1182" s="74"/>
      <c r="AF1182" s="74"/>
      <c r="AG1182" s="74"/>
      <c r="AH1182" s="74"/>
      <c r="AI1182" s="74"/>
      <c r="AJ1182" s="74"/>
      <c r="AK1182" s="74"/>
      <c r="AL1182" s="74"/>
      <c r="AM1182" s="74"/>
      <c r="AN1182" s="74"/>
      <c r="AO1182" s="74"/>
      <c r="AP1182" s="74"/>
      <c r="AQ1182" s="74"/>
      <c r="AR1182" s="74"/>
      <c r="AS1182" s="565"/>
      <c r="AT1182" s="556"/>
    </row>
    <row r="1183" spans="1:46" hidden="1" x14ac:dyDescent="0.45">
      <c r="A1183" s="556"/>
      <c r="B1183" s="556"/>
      <c r="C1183" s="556"/>
      <c r="D1183" s="556"/>
      <c r="E1183" s="556"/>
      <c r="F1183" s="564"/>
      <c r="G1183" s="564"/>
      <c r="H1183" s="564"/>
      <c r="I1183" s="564"/>
      <c r="J1183" s="564"/>
      <c r="K1183" s="564"/>
      <c r="L1183" s="564"/>
      <c r="M1183" s="564"/>
      <c r="N1183" s="564"/>
      <c r="O1183" s="564"/>
      <c r="P1183" s="564"/>
      <c r="Q1183" s="564"/>
      <c r="R1183" s="564"/>
      <c r="S1183" s="564"/>
      <c r="T1183" s="564"/>
      <c r="U1183" s="564"/>
      <c r="V1183" s="564"/>
      <c r="W1183" s="564"/>
      <c r="X1183" s="564"/>
      <c r="Y1183" s="564"/>
      <c r="Z1183" s="564"/>
      <c r="AA1183" s="564"/>
      <c r="AB1183" s="556"/>
      <c r="AC1183" s="556"/>
      <c r="AD1183" s="74"/>
      <c r="AE1183" s="74"/>
      <c r="AF1183" s="74"/>
      <c r="AG1183" s="74"/>
      <c r="AH1183" s="74"/>
      <c r="AI1183" s="74"/>
      <c r="AJ1183" s="74"/>
      <c r="AK1183" s="74"/>
      <c r="AL1183" s="74"/>
      <c r="AM1183" s="74"/>
      <c r="AN1183" s="74"/>
      <c r="AO1183" s="74"/>
      <c r="AP1183" s="74"/>
      <c r="AQ1183" s="74"/>
      <c r="AR1183" s="74"/>
      <c r="AS1183" s="565"/>
      <c r="AT1183" s="556"/>
    </row>
    <row r="1184" spans="1:46" hidden="1" x14ac:dyDescent="0.45">
      <c r="A1184" s="556"/>
      <c r="B1184" s="556"/>
      <c r="C1184" s="556"/>
      <c r="D1184" s="556"/>
      <c r="E1184" s="556"/>
      <c r="F1184" s="564"/>
      <c r="G1184" s="564"/>
      <c r="H1184" s="564"/>
      <c r="I1184" s="564"/>
      <c r="J1184" s="564"/>
      <c r="K1184" s="564"/>
      <c r="L1184" s="564"/>
      <c r="M1184" s="564"/>
      <c r="N1184" s="564"/>
      <c r="O1184" s="564"/>
      <c r="P1184" s="564"/>
      <c r="Q1184" s="564"/>
      <c r="R1184" s="564"/>
      <c r="S1184" s="564"/>
      <c r="T1184" s="564"/>
      <c r="U1184" s="564"/>
      <c r="V1184" s="564"/>
      <c r="W1184" s="564"/>
      <c r="X1184" s="564"/>
      <c r="Y1184" s="564"/>
      <c r="Z1184" s="564"/>
      <c r="AA1184" s="564"/>
      <c r="AB1184" s="556"/>
      <c r="AC1184" s="556"/>
      <c r="AD1184" s="74"/>
      <c r="AE1184" s="74"/>
      <c r="AF1184" s="74"/>
      <c r="AG1184" s="74"/>
      <c r="AH1184" s="74"/>
      <c r="AI1184" s="74"/>
      <c r="AJ1184" s="74"/>
      <c r="AK1184" s="74"/>
      <c r="AL1184" s="74"/>
      <c r="AM1184" s="74"/>
      <c r="AN1184" s="74"/>
      <c r="AO1184" s="74"/>
      <c r="AP1184" s="74"/>
      <c r="AQ1184" s="74"/>
      <c r="AR1184" s="74"/>
      <c r="AS1184" s="565"/>
      <c r="AT1184" s="556"/>
    </row>
    <row r="1185" spans="1:46" hidden="1" x14ac:dyDescent="0.45">
      <c r="A1185" s="556"/>
      <c r="B1185" s="556"/>
      <c r="C1185" s="556"/>
      <c r="D1185" s="556"/>
      <c r="E1185" s="556"/>
      <c r="F1185" s="564"/>
      <c r="G1185" s="564"/>
      <c r="H1185" s="564"/>
      <c r="I1185" s="564"/>
      <c r="J1185" s="564"/>
      <c r="K1185" s="564"/>
      <c r="L1185" s="564"/>
      <c r="M1185" s="564"/>
      <c r="N1185" s="564"/>
      <c r="O1185" s="564"/>
      <c r="P1185" s="564"/>
      <c r="Q1185" s="564"/>
      <c r="R1185" s="564"/>
      <c r="S1185" s="564"/>
      <c r="T1185" s="564"/>
      <c r="U1185" s="564"/>
      <c r="V1185" s="564"/>
      <c r="W1185" s="564"/>
      <c r="X1185" s="564"/>
      <c r="Y1185" s="564"/>
      <c r="Z1185" s="564"/>
      <c r="AA1185" s="564"/>
      <c r="AB1185" s="556"/>
      <c r="AC1185" s="556"/>
      <c r="AD1185" s="74"/>
      <c r="AE1185" s="74"/>
      <c r="AF1185" s="74"/>
      <c r="AG1185" s="74"/>
      <c r="AH1185" s="74"/>
      <c r="AI1185" s="74"/>
      <c r="AJ1185" s="74"/>
      <c r="AK1185" s="74"/>
      <c r="AL1185" s="74"/>
      <c r="AM1185" s="74"/>
      <c r="AN1185" s="74"/>
      <c r="AO1185" s="74"/>
      <c r="AP1185" s="74"/>
      <c r="AQ1185" s="74"/>
      <c r="AR1185" s="74"/>
      <c r="AS1185" s="565"/>
      <c r="AT1185" s="556"/>
    </row>
    <row r="1186" spans="1:46" hidden="1" x14ac:dyDescent="0.45">
      <c r="A1186" s="556"/>
      <c r="B1186" s="556"/>
      <c r="C1186" s="556"/>
      <c r="D1186" s="556"/>
      <c r="E1186" s="556"/>
      <c r="F1186" s="564"/>
      <c r="G1186" s="564"/>
      <c r="H1186" s="564"/>
      <c r="I1186" s="564"/>
      <c r="J1186" s="564"/>
      <c r="K1186" s="564"/>
      <c r="L1186" s="564"/>
      <c r="M1186" s="564"/>
      <c r="N1186" s="564"/>
      <c r="O1186" s="564"/>
      <c r="P1186" s="564"/>
      <c r="Q1186" s="564"/>
      <c r="R1186" s="564"/>
      <c r="S1186" s="564"/>
      <c r="T1186" s="564"/>
      <c r="U1186" s="564"/>
      <c r="V1186" s="564"/>
      <c r="W1186" s="564"/>
      <c r="X1186" s="564"/>
      <c r="Y1186" s="564"/>
      <c r="Z1186" s="564"/>
      <c r="AA1186" s="564"/>
      <c r="AB1186" s="556"/>
      <c r="AC1186" s="556"/>
      <c r="AD1186" s="74"/>
      <c r="AE1186" s="74"/>
      <c r="AF1186" s="74"/>
      <c r="AG1186" s="74"/>
      <c r="AH1186" s="74"/>
      <c r="AI1186" s="74"/>
      <c r="AJ1186" s="74"/>
      <c r="AK1186" s="74"/>
      <c r="AL1186" s="74"/>
      <c r="AM1186" s="74"/>
      <c r="AN1186" s="74"/>
      <c r="AO1186" s="74"/>
      <c r="AP1186" s="74"/>
      <c r="AQ1186" s="74"/>
      <c r="AR1186" s="74"/>
      <c r="AS1186" s="565"/>
      <c r="AT1186" s="556"/>
    </row>
    <row r="1187" spans="1:46" hidden="1" x14ac:dyDescent="0.45">
      <c r="A1187" s="556"/>
      <c r="B1187" s="556"/>
      <c r="C1187" s="556"/>
      <c r="D1187" s="556"/>
      <c r="E1187" s="556"/>
      <c r="F1187" s="564"/>
      <c r="G1187" s="564"/>
      <c r="H1187" s="564"/>
      <c r="I1187" s="564"/>
      <c r="J1187" s="564"/>
      <c r="K1187" s="564"/>
      <c r="L1187" s="564"/>
      <c r="M1187" s="564"/>
      <c r="N1187" s="564"/>
      <c r="O1187" s="564"/>
      <c r="P1187" s="564"/>
      <c r="Q1187" s="564"/>
      <c r="R1187" s="564"/>
      <c r="S1187" s="564"/>
      <c r="T1187" s="564"/>
      <c r="U1187" s="564"/>
      <c r="V1187" s="564"/>
      <c r="W1187" s="564"/>
      <c r="X1187" s="564"/>
      <c r="Y1187" s="564"/>
      <c r="Z1187" s="564"/>
      <c r="AA1187" s="564"/>
      <c r="AB1187" s="556"/>
      <c r="AC1187" s="556"/>
      <c r="AD1187" s="74"/>
      <c r="AE1187" s="74"/>
      <c r="AF1187" s="74"/>
      <c r="AG1187" s="74"/>
      <c r="AH1187" s="74"/>
      <c r="AI1187" s="74"/>
      <c r="AJ1187" s="74"/>
      <c r="AK1187" s="74"/>
      <c r="AL1187" s="74"/>
      <c r="AM1187" s="74"/>
      <c r="AN1187" s="74"/>
      <c r="AO1187" s="74"/>
      <c r="AP1187" s="74"/>
      <c r="AQ1187" s="74"/>
      <c r="AR1187" s="74"/>
      <c r="AS1187" s="565"/>
      <c r="AT1187" s="556"/>
    </row>
    <row r="1188" spans="1:46" hidden="1" x14ac:dyDescent="0.45">
      <c r="A1188" s="556"/>
      <c r="B1188" s="556"/>
      <c r="C1188" s="556"/>
      <c r="D1188" s="556"/>
      <c r="E1188" s="556"/>
      <c r="F1188" s="564"/>
      <c r="G1188" s="564"/>
      <c r="H1188" s="564"/>
      <c r="I1188" s="564"/>
      <c r="J1188" s="564"/>
      <c r="K1188" s="564"/>
      <c r="L1188" s="564"/>
      <c r="M1188" s="564"/>
      <c r="N1188" s="564"/>
      <c r="O1188" s="564"/>
      <c r="P1188" s="564"/>
      <c r="Q1188" s="564"/>
      <c r="R1188" s="564"/>
      <c r="S1188" s="564"/>
      <c r="T1188" s="564"/>
      <c r="U1188" s="564"/>
      <c r="V1188" s="564"/>
      <c r="W1188" s="564"/>
      <c r="X1188" s="564"/>
      <c r="Y1188" s="564"/>
      <c r="Z1188" s="564"/>
      <c r="AA1188" s="564"/>
      <c r="AB1188" s="556"/>
      <c r="AC1188" s="556"/>
      <c r="AD1188" s="74"/>
      <c r="AE1188" s="74"/>
      <c r="AF1188" s="74"/>
      <c r="AG1188" s="74"/>
      <c r="AH1188" s="74"/>
      <c r="AI1188" s="74"/>
      <c r="AJ1188" s="74"/>
      <c r="AK1188" s="74"/>
      <c r="AL1188" s="74"/>
      <c r="AM1188" s="74"/>
      <c r="AN1188" s="74"/>
      <c r="AO1188" s="74"/>
      <c r="AP1188" s="74"/>
      <c r="AQ1188" s="74"/>
      <c r="AR1188" s="74"/>
      <c r="AS1188" s="565"/>
      <c r="AT1188" s="556"/>
    </row>
    <row r="1189" spans="1:46" hidden="1" x14ac:dyDescent="0.45">
      <c r="A1189" s="556"/>
      <c r="B1189" s="556"/>
      <c r="C1189" s="556"/>
      <c r="D1189" s="556"/>
      <c r="E1189" s="556"/>
      <c r="F1189" s="564"/>
      <c r="G1189" s="564"/>
      <c r="H1189" s="564"/>
      <c r="I1189" s="564"/>
      <c r="J1189" s="564"/>
      <c r="K1189" s="564"/>
      <c r="L1189" s="564"/>
      <c r="M1189" s="564"/>
      <c r="N1189" s="564"/>
      <c r="O1189" s="564"/>
      <c r="P1189" s="564"/>
      <c r="Q1189" s="564"/>
      <c r="R1189" s="564"/>
      <c r="S1189" s="564"/>
      <c r="T1189" s="564"/>
      <c r="U1189" s="564"/>
      <c r="V1189" s="564"/>
      <c r="W1189" s="564"/>
      <c r="X1189" s="564"/>
      <c r="Y1189" s="564"/>
      <c r="Z1189" s="564"/>
      <c r="AA1189" s="564"/>
      <c r="AB1189" s="556"/>
      <c r="AC1189" s="556"/>
      <c r="AD1189" s="74"/>
      <c r="AE1189" s="74"/>
      <c r="AF1189" s="74"/>
      <c r="AG1189" s="74"/>
      <c r="AH1189" s="74"/>
      <c r="AI1189" s="74"/>
      <c r="AJ1189" s="74"/>
      <c r="AK1189" s="74"/>
      <c r="AL1189" s="74"/>
      <c r="AM1189" s="74"/>
      <c r="AN1189" s="74"/>
      <c r="AO1189" s="74"/>
      <c r="AP1189" s="74"/>
      <c r="AQ1189" s="74"/>
      <c r="AR1189" s="74"/>
      <c r="AS1189" s="565"/>
      <c r="AT1189" s="556"/>
    </row>
    <row r="1190" spans="1:46" hidden="1" x14ac:dyDescent="0.45">
      <c r="A1190" s="556"/>
      <c r="B1190" s="556"/>
      <c r="C1190" s="556"/>
      <c r="D1190" s="556"/>
      <c r="E1190" s="556"/>
      <c r="F1190" s="564"/>
      <c r="G1190" s="564"/>
      <c r="H1190" s="564"/>
      <c r="I1190" s="564"/>
      <c r="J1190" s="564"/>
      <c r="K1190" s="564"/>
      <c r="L1190" s="564"/>
      <c r="M1190" s="564"/>
      <c r="N1190" s="564"/>
      <c r="O1190" s="564"/>
      <c r="P1190" s="564"/>
      <c r="Q1190" s="564"/>
      <c r="R1190" s="564"/>
      <c r="S1190" s="564"/>
      <c r="T1190" s="564"/>
      <c r="U1190" s="564"/>
      <c r="V1190" s="564"/>
      <c r="W1190" s="564"/>
      <c r="X1190" s="564"/>
      <c r="Y1190" s="564"/>
      <c r="Z1190" s="564"/>
      <c r="AA1190" s="564"/>
      <c r="AB1190" s="556"/>
      <c r="AC1190" s="556"/>
      <c r="AD1190" s="74"/>
      <c r="AE1190" s="74"/>
      <c r="AF1190" s="74"/>
      <c r="AG1190" s="74"/>
      <c r="AH1190" s="74"/>
      <c r="AI1190" s="74"/>
      <c r="AJ1190" s="74"/>
      <c r="AK1190" s="74"/>
      <c r="AL1190" s="74"/>
      <c r="AM1190" s="74"/>
      <c r="AN1190" s="74"/>
      <c r="AO1190" s="74"/>
      <c r="AP1190" s="74"/>
      <c r="AQ1190" s="74"/>
      <c r="AR1190" s="74"/>
      <c r="AS1190" s="565"/>
      <c r="AT1190" s="556"/>
    </row>
    <row r="1191" spans="1:46" hidden="1" x14ac:dyDescent="0.45">
      <c r="A1191" s="556"/>
      <c r="B1191" s="556"/>
      <c r="C1191" s="556"/>
      <c r="D1191" s="556"/>
      <c r="E1191" s="556"/>
      <c r="F1191" s="564"/>
      <c r="G1191" s="564"/>
      <c r="H1191" s="564"/>
      <c r="I1191" s="564"/>
      <c r="J1191" s="564"/>
      <c r="K1191" s="564"/>
      <c r="L1191" s="564"/>
      <c r="M1191" s="564"/>
      <c r="N1191" s="564"/>
      <c r="O1191" s="564"/>
      <c r="P1191" s="564"/>
      <c r="Q1191" s="564"/>
      <c r="R1191" s="564"/>
      <c r="S1191" s="564"/>
      <c r="T1191" s="564"/>
      <c r="U1191" s="564"/>
      <c r="V1191" s="564"/>
      <c r="W1191" s="564"/>
      <c r="X1191" s="564"/>
      <c r="Y1191" s="564"/>
      <c r="Z1191" s="564"/>
      <c r="AA1191" s="564"/>
      <c r="AB1191" s="556"/>
      <c r="AC1191" s="556"/>
      <c r="AD1191" s="74"/>
      <c r="AE1191" s="74"/>
      <c r="AF1191" s="74"/>
      <c r="AG1191" s="74"/>
      <c r="AH1191" s="74"/>
      <c r="AI1191" s="74"/>
      <c r="AJ1191" s="74"/>
      <c r="AK1191" s="74"/>
      <c r="AL1191" s="74"/>
      <c r="AM1191" s="74"/>
      <c r="AN1191" s="74"/>
      <c r="AO1191" s="74"/>
      <c r="AP1191" s="74"/>
      <c r="AQ1191" s="74"/>
      <c r="AR1191" s="74"/>
      <c r="AS1191" s="565"/>
      <c r="AT1191" s="556"/>
    </row>
    <row r="1192" spans="1:46" hidden="1" x14ac:dyDescent="0.45">
      <c r="A1192" s="556"/>
      <c r="B1192" s="556"/>
      <c r="C1192" s="556"/>
      <c r="D1192" s="556"/>
      <c r="E1192" s="556"/>
      <c r="F1192" s="564"/>
      <c r="G1192" s="564"/>
      <c r="H1192" s="564"/>
      <c r="I1192" s="564"/>
      <c r="J1192" s="564"/>
      <c r="K1192" s="564"/>
      <c r="L1192" s="564"/>
      <c r="M1192" s="564"/>
      <c r="N1192" s="564"/>
      <c r="O1192" s="564"/>
      <c r="P1192" s="564"/>
      <c r="Q1192" s="564"/>
      <c r="R1192" s="564"/>
      <c r="S1192" s="564"/>
      <c r="T1192" s="564"/>
      <c r="U1192" s="564"/>
      <c r="V1192" s="564"/>
      <c r="W1192" s="564"/>
      <c r="X1192" s="564"/>
      <c r="Y1192" s="564"/>
      <c r="Z1192" s="564"/>
      <c r="AA1192" s="564"/>
      <c r="AB1192" s="556"/>
      <c r="AC1192" s="556"/>
      <c r="AD1192" s="74"/>
      <c r="AE1192" s="74"/>
      <c r="AF1192" s="74"/>
      <c r="AG1192" s="74"/>
      <c r="AH1192" s="74"/>
      <c r="AI1192" s="74"/>
      <c r="AJ1192" s="74"/>
      <c r="AK1192" s="74"/>
      <c r="AL1192" s="74"/>
      <c r="AM1192" s="74"/>
      <c r="AN1192" s="74"/>
      <c r="AO1192" s="74"/>
      <c r="AP1192" s="74"/>
      <c r="AQ1192" s="74"/>
      <c r="AR1192" s="74"/>
      <c r="AS1192" s="565"/>
      <c r="AT1192" s="556"/>
    </row>
    <row r="1193" spans="1:46" hidden="1" x14ac:dyDescent="0.45">
      <c r="A1193" s="556"/>
      <c r="B1193" s="556"/>
      <c r="C1193" s="556"/>
      <c r="D1193" s="556"/>
      <c r="E1193" s="556"/>
      <c r="F1193" s="564"/>
      <c r="G1193" s="564"/>
      <c r="H1193" s="564"/>
      <c r="I1193" s="564"/>
      <c r="J1193" s="564"/>
      <c r="K1193" s="564"/>
      <c r="L1193" s="564"/>
      <c r="M1193" s="564"/>
      <c r="N1193" s="564"/>
      <c r="O1193" s="564"/>
      <c r="P1193" s="564"/>
      <c r="Q1193" s="564"/>
      <c r="R1193" s="564"/>
      <c r="S1193" s="564"/>
      <c r="T1193" s="564"/>
      <c r="U1193" s="564"/>
      <c r="V1193" s="564"/>
      <c r="W1193" s="564"/>
      <c r="X1193" s="564"/>
      <c r="Y1193" s="564"/>
      <c r="Z1193" s="564"/>
      <c r="AA1193" s="564"/>
      <c r="AB1193" s="556"/>
      <c r="AC1193" s="556"/>
      <c r="AD1193" s="74"/>
      <c r="AE1193" s="74"/>
      <c r="AF1193" s="74"/>
      <c r="AG1193" s="74"/>
      <c r="AH1193" s="74"/>
      <c r="AI1193" s="74"/>
      <c r="AJ1193" s="74"/>
      <c r="AK1193" s="74"/>
      <c r="AL1193" s="74"/>
      <c r="AM1193" s="74"/>
      <c r="AN1193" s="74"/>
      <c r="AO1193" s="74"/>
      <c r="AP1193" s="74"/>
      <c r="AQ1193" s="74"/>
      <c r="AR1193" s="74"/>
      <c r="AS1193" s="565"/>
      <c r="AT1193" s="556"/>
    </row>
    <row r="1194" spans="1:46" hidden="1" x14ac:dyDescent="0.45">
      <c r="A1194" s="556"/>
      <c r="B1194" s="556"/>
      <c r="C1194" s="556"/>
      <c r="D1194" s="556"/>
      <c r="E1194" s="556"/>
      <c r="F1194" s="564"/>
      <c r="G1194" s="564"/>
      <c r="H1194" s="564"/>
      <c r="I1194" s="564"/>
      <c r="J1194" s="564"/>
      <c r="K1194" s="564"/>
      <c r="L1194" s="564"/>
      <c r="M1194" s="564"/>
      <c r="N1194" s="564"/>
      <c r="O1194" s="564"/>
      <c r="P1194" s="564"/>
      <c r="Q1194" s="564"/>
      <c r="R1194" s="564"/>
      <c r="S1194" s="564"/>
      <c r="T1194" s="564"/>
      <c r="U1194" s="564"/>
      <c r="V1194" s="564"/>
      <c r="W1194" s="564"/>
      <c r="X1194" s="564"/>
      <c r="Y1194" s="564"/>
      <c r="Z1194" s="564"/>
      <c r="AA1194" s="564"/>
      <c r="AB1194" s="556"/>
      <c r="AC1194" s="556"/>
      <c r="AD1194" s="74"/>
      <c r="AE1194" s="74"/>
      <c r="AF1194" s="74"/>
      <c r="AG1194" s="74"/>
      <c r="AH1194" s="74"/>
      <c r="AI1194" s="74"/>
      <c r="AJ1194" s="74"/>
      <c r="AK1194" s="74"/>
      <c r="AL1194" s="74"/>
      <c r="AM1194" s="74"/>
      <c r="AN1194" s="74"/>
      <c r="AO1194" s="74"/>
      <c r="AP1194" s="74"/>
      <c r="AQ1194" s="74"/>
      <c r="AR1194" s="74"/>
      <c r="AS1194" s="565"/>
      <c r="AT1194" s="556"/>
    </row>
    <row r="1195" spans="1:46" hidden="1" x14ac:dyDescent="0.45">
      <c r="A1195" s="556"/>
      <c r="B1195" s="556"/>
      <c r="C1195" s="556"/>
      <c r="D1195" s="556"/>
      <c r="E1195" s="556"/>
      <c r="F1195" s="564"/>
      <c r="G1195" s="564"/>
      <c r="H1195" s="564"/>
      <c r="I1195" s="564"/>
      <c r="J1195" s="564"/>
      <c r="K1195" s="564"/>
      <c r="L1195" s="564"/>
      <c r="M1195" s="564"/>
      <c r="N1195" s="564"/>
      <c r="O1195" s="564"/>
      <c r="P1195" s="564"/>
      <c r="Q1195" s="564"/>
      <c r="R1195" s="564"/>
      <c r="S1195" s="564"/>
      <c r="T1195" s="564"/>
      <c r="U1195" s="564"/>
      <c r="V1195" s="564"/>
      <c r="W1195" s="564"/>
      <c r="X1195" s="564"/>
      <c r="Y1195" s="564"/>
      <c r="Z1195" s="564"/>
      <c r="AA1195" s="564"/>
      <c r="AB1195" s="556"/>
      <c r="AC1195" s="556"/>
      <c r="AD1195" s="74"/>
      <c r="AE1195" s="74"/>
      <c r="AF1195" s="74"/>
      <c r="AG1195" s="74"/>
      <c r="AH1195" s="74"/>
      <c r="AI1195" s="74"/>
      <c r="AJ1195" s="74"/>
      <c r="AK1195" s="74"/>
      <c r="AL1195" s="74"/>
      <c r="AM1195" s="74"/>
      <c r="AN1195" s="74"/>
      <c r="AO1195" s="74"/>
      <c r="AP1195" s="74"/>
      <c r="AQ1195" s="74"/>
      <c r="AR1195" s="74"/>
      <c r="AS1195" s="565"/>
      <c r="AT1195" s="556"/>
    </row>
    <row r="1196" spans="1:46" hidden="1" x14ac:dyDescent="0.45">
      <c r="A1196" s="556"/>
      <c r="B1196" s="556"/>
      <c r="C1196" s="556"/>
      <c r="D1196" s="556"/>
      <c r="E1196" s="556"/>
      <c r="F1196" s="564"/>
      <c r="G1196" s="564"/>
      <c r="H1196" s="564"/>
      <c r="I1196" s="564"/>
      <c r="J1196" s="564"/>
      <c r="K1196" s="564"/>
      <c r="L1196" s="564"/>
      <c r="M1196" s="564"/>
      <c r="N1196" s="564"/>
      <c r="O1196" s="564"/>
      <c r="P1196" s="564"/>
      <c r="Q1196" s="564"/>
      <c r="R1196" s="564"/>
      <c r="S1196" s="564"/>
      <c r="T1196" s="564"/>
      <c r="U1196" s="564"/>
      <c r="V1196" s="564"/>
      <c r="W1196" s="564"/>
      <c r="X1196" s="564"/>
      <c r="Y1196" s="564"/>
      <c r="Z1196" s="564"/>
      <c r="AA1196" s="564"/>
      <c r="AB1196" s="556"/>
      <c r="AC1196" s="556"/>
      <c r="AD1196" s="74"/>
      <c r="AE1196" s="74"/>
      <c r="AF1196" s="74"/>
      <c r="AG1196" s="74"/>
      <c r="AH1196" s="74"/>
      <c r="AI1196" s="74"/>
      <c r="AJ1196" s="74"/>
      <c r="AK1196" s="74"/>
      <c r="AL1196" s="74"/>
      <c r="AM1196" s="74"/>
      <c r="AN1196" s="74"/>
      <c r="AO1196" s="74"/>
      <c r="AP1196" s="74"/>
      <c r="AQ1196" s="74"/>
      <c r="AR1196" s="74"/>
      <c r="AS1196" s="565"/>
      <c r="AT1196" s="556"/>
    </row>
    <row r="1197" spans="1:46" hidden="1" x14ac:dyDescent="0.45">
      <c r="A1197" s="556"/>
      <c r="B1197" s="556"/>
      <c r="C1197" s="556"/>
      <c r="D1197" s="556"/>
      <c r="E1197" s="556"/>
      <c r="F1197" s="564"/>
      <c r="G1197" s="564"/>
      <c r="H1197" s="564"/>
      <c r="I1197" s="564"/>
      <c r="J1197" s="564"/>
      <c r="K1197" s="564"/>
      <c r="L1197" s="564"/>
      <c r="M1197" s="564"/>
      <c r="N1197" s="564"/>
      <c r="O1197" s="564"/>
      <c r="P1197" s="564"/>
      <c r="Q1197" s="564"/>
      <c r="R1197" s="564"/>
      <c r="S1197" s="564"/>
      <c r="T1197" s="564"/>
      <c r="U1197" s="564"/>
      <c r="V1197" s="564"/>
      <c r="W1197" s="564"/>
      <c r="X1197" s="564"/>
      <c r="Y1197" s="564"/>
      <c r="Z1197" s="564"/>
      <c r="AA1197" s="564"/>
      <c r="AB1197" s="556"/>
      <c r="AC1197" s="556"/>
      <c r="AD1197" s="74"/>
      <c r="AE1197" s="74"/>
      <c r="AF1197" s="74"/>
      <c r="AG1197" s="74"/>
      <c r="AH1197" s="74"/>
      <c r="AI1197" s="74"/>
      <c r="AJ1197" s="74"/>
      <c r="AK1197" s="74"/>
      <c r="AL1197" s="74"/>
      <c r="AM1197" s="74"/>
      <c r="AN1197" s="74"/>
      <c r="AO1197" s="74"/>
      <c r="AP1197" s="74"/>
      <c r="AQ1197" s="74"/>
      <c r="AR1197" s="74"/>
      <c r="AS1197" s="565"/>
      <c r="AT1197" s="556"/>
    </row>
    <row r="1198" spans="1:46" hidden="1" x14ac:dyDescent="0.45">
      <c r="A1198" s="556"/>
      <c r="B1198" s="556"/>
      <c r="C1198" s="556"/>
      <c r="D1198" s="556"/>
      <c r="E1198" s="556"/>
      <c r="F1198" s="564"/>
      <c r="G1198" s="564"/>
      <c r="H1198" s="564"/>
      <c r="I1198" s="564"/>
      <c r="J1198" s="564"/>
      <c r="K1198" s="564"/>
      <c r="L1198" s="564"/>
      <c r="M1198" s="564"/>
      <c r="N1198" s="564"/>
      <c r="O1198" s="564"/>
      <c r="P1198" s="564"/>
      <c r="Q1198" s="564"/>
      <c r="R1198" s="564"/>
      <c r="S1198" s="564"/>
      <c r="T1198" s="564"/>
      <c r="U1198" s="564"/>
      <c r="V1198" s="564"/>
      <c r="W1198" s="564"/>
      <c r="X1198" s="564"/>
      <c r="Y1198" s="564"/>
      <c r="Z1198" s="564"/>
      <c r="AA1198" s="564"/>
      <c r="AB1198" s="556"/>
      <c r="AC1198" s="556"/>
      <c r="AD1198" s="74"/>
      <c r="AE1198" s="74"/>
      <c r="AF1198" s="74"/>
      <c r="AG1198" s="74"/>
      <c r="AH1198" s="74"/>
      <c r="AI1198" s="74"/>
      <c r="AJ1198" s="74"/>
      <c r="AK1198" s="74"/>
      <c r="AL1198" s="74"/>
      <c r="AM1198" s="74"/>
      <c r="AN1198" s="74"/>
      <c r="AO1198" s="74"/>
      <c r="AP1198" s="74"/>
      <c r="AQ1198" s="74"/>
      <c r="AR1198" s="74"/>
      <c r="AS1198" s="565"/>
      <c r="AT1198" s="556"/>
    </row>
    <row r="1199" spans="1:46" hidden="1" x14ac:dyDescent="0.45">
      <c r="A1199" s="556"/>
      <c r="B1199" s="556"/>
      <c r="C1199" s="556"/>
      <c r="D1199" s="556"/>
      <c r="E1199" s="556"/>
      <c r="F1199" s="564"/>
      <c r="G1199" s="564"/>
      <c r="H1199" s="564"/>
      <c r="I1199" s="564"/>
      <c r="J1199" s="564"/>
      <c r="K1199" s="564"/>
      <c r="L1199" s="564"/>
      <c r="M1199" s="564"/>
      <c r="N1199" s="564"/>
      <c r="O1199" s="564"/>
      <c r="P1199" s="564"/>
      <c r="Q1199" s="564"/>
      <c r="R1199" s="564"/>
      <c r="S1199" s="564"/>
      <c r="T1199" s="564"/>
      <c r="U1199" s="564"/>
      <c r="V1199" s="564"/>
      <c r="W1199" s="564"/>
      <c r="X1199" s="564"/>
      <c r="Y1199" s="564"/>
      <c r="Z1199" s="564"/>
      <c r="AA1199" s="564"/>
      <c r="AB1199" s="556"/>
      <c r="AC1199" s="556"/>
      <c r="AD1199" s="74"/>
      <c r="AE1199" s="74"/>
      <c r="AF1199" s="74"/>
      <c r="AG1199" s="74"/>
      <c r="AH1199" s="74"/>
      <c r="AI1199" s="74"/>
      <c r="AJ1199" s="74"/>
      <c r="AK1199" s="74"/>
      <c r="AL1199" s="74"/>
      <c r="AM1199" s="74"/>
      <c r="AN1199" s="74"/>
      <c r="AO1199" s="74"/>
      <c r="AP1199" s="74"/>
      <c r="AQ1199" s="74"/>
      <c r="AR1199" s="74"/>
      <c r="AS1199" s="565"/>
      <c r="AT1199" s="556"/>
    </row>
    <row r="1200" spans="1:46" hidden="1" x14ac:dyDescent="0.45">
      <c r="A1200" s="556"/>
      <c r="B1200" s="556"/>
      <c r="C1200" s="556"/>
      <c r="D1200" s="556"/>
      <c r="E1200" s="556"/>
      <c r="F1200" s="564"/>
      <c r="G1200" s="564"/>
      <c r="H1200" s="564"/>
      <c r="I1200" s="564"/>
      <c r="J1200" s="564"/>
      <c r="K1200" s="564"/>
      <c r="L1200" s="564"/>
      <c r="M1200" s="564"/>
      <c r="N1200" s="564"/>
      <c r="O1200" s="564"/>
      <c r="P1200" s="564"/>
      <c r="Q1200" s="564"/>
      <c r="R1200" s="564"/>
      <c r="S1200" s="564"/>
      <c r="T1200" s="564"/>
      <c r="U1200" s="564"/>
      <c r="V1200" s="564"/>
      <c r="W1200" s="564"/>
      <c r="X1200" s="564"/>
      <c r="Y1200" s="564"/>
      <c r="Z1200" s="564"/>
      <c r="AA1200" s="564"/>
      <c r="AB1200" s="556"/>
      <c r="AC1200" s="556"/>
      <c r="AD1200" s="74"/>
      <c r="AE1200" s="74"/>
      <c r="AF1200" s="74"/>
      <c r="AG1200" s="74"/>
      <c r="AH1200" s="74"/>
      <c r="AI1200" s="74"/>
      <c r="AJ1200" s="74"/>
      <c r="AK1200" s="74"/>
      <c r="AL1200" s="74"/>
      <c r="AM1200" s="74"/>
      <c r="AN1200" s="74"/>
      <c r="AO1200" s="74"/>
      <c r="AP1200" s="74"/>
      <c r="AQ1200" s="74"/>
      <c r="AR1200" s="74"/>
      <c r="AS1200" s="565"/>
      <c r="AT1200" s="556"/>
    </row>
    <row r="1201" spans="1:46" hidden="1" x14ac:dyDescent="0.45">
      <c r="A1201" s="556"/>
      <c r="B1201" s="556"/>
      <c r="C1201" s="556"/>
      <c r="D1201" s="556"/>
      <c r="E1201" s="556"/>
      <c r="F1201" s="564"/>
      <c r="G1201" s="564"/>
      <c r="H1201" s="564"/>
      <c r="I1201" s="564"/>
      <c r="J1201" s="564"/>
      <c r="K1201" s="564"/>
      <c r="L1201" s="564"/>
      <c r="M1201" s="564"/>
      <c r="N1201" s="564"/>
      <c r="O1201" s="564"/>
      <c r="P1201" s="564"/>
      <c r="Q1201" s="564"/>
      <c r="R1201" s="564"/>
      <c r="S1201" s="564"/>
      <c r="T1201" s="564"/>
      <c r="U1201" s="564"/>
      <c r="V1201" s="564"/>
      <c r="W1201" s="564"/>
      <c r="X1201" s="564"/>
      <c r="Y1201" s="564"/>
      <c r="Z1201" s="564"/>
      <c r="AA1201" s="564"/>
      <c r="AB1201" s="556"/>
      <c r="AC1201" s="556"/>
      <c r="AD1201" s="74"/>
      <c r="AE1201" s="74"/>
      <c r="AF1201" s="74"/>
      <c r="AG1201" s="74"/>
      <c r="AH1201" s="74"/>
      <c r="AI1201" s="74"/>
      <c r="AJ1201" s="74"/>
      <c r="AK1201" s="74"/>
      <c r="AL1201" s="74"/>
      <c r="AM1201" s="74"/>
      <c r="AN1201" s="74"/>
      <c r="AO1201" s="74"/>
      <c r="AP1201" s="74"/>
      <c r="AQ1201" s="74"/>
      <c r="AR1201" s="74"/>
      <c r="AS1201" s="565"/>
      <c r="AT1201" s="556"/>
    </row>
    <row r="1202" spans="1:46" hidden="1" x14ac:dyDescent="0.45">
      <c r="A1202" s="556"/>
      <c r="B1202" s="556"/>
      <c r="C1202" s="556"/>
      <c r="D1202" s="556"/>
      <c r="E1202" s="556"/>
      <c r="F1202" s="564"/>
      <c r="G1202" s="564"/>
      <c r="H1202" s="564"/>
      <c r="I1202" s="564"/>
      <c r="J1202" s="564"/>
      <c r="K1202" s="564"/>
      <c r="L1202" s="564"/>
      <c r="M1202" s="564"/>
      <c r="N1202" s="564"/>
      <c r="O1202" s="564"/>
      <c r="P1202" s="564"/>
      <c r="Q1202" s="564"/>
      <c r="R1202" s="564"/>
      <c r="S1202" s="564"/>
      <c r="T1202" s="564"/>
      <c r="U1202" s="564"/>
      <c r="V1202" s="564"/>
      <c r="W1202" s="564"/>
      <c r="X1202" s="564"/>
      <c r="Y1202" s="564"/>
      <c r="Z1202" s="564"/>
      <c r="AA1202" s="564"/>
      <c r="AB1202" s="556"/>
      <c r="AC1202" s="556"/>
      <c r="AD1202" s="74"/>
      <c r="AE1202" s="74"/>
      <c r="AF1202" s="74"/>
      <c r="AG1202" s="74"/>
      <c r="AH1202" s="74"/>
      <c r="AI1202" s="74"/>
      <c r="AJ1202" s="74"/>
      <c r="AK1202" s="74"/>
      <c r="AL1202" s="74"/>
      <c r="AM1202" s="74"/>
      <c r="AN1202" s="74"/>
      <c r="AO1202" s="74"/>
      <c r="AP1202" s="74"/>
      <c r="AQ1202" s="74"/>
      <c r="AR1202" s="74"/>
      <c r="AS1202" s="565"/>
      <c r="AT1202" s="556"/>
    </row>
    <row r="1203" spans="1:46" hidden="1" x14ac:dyDescent="0.45">
      <c r="A1203" s="556"/>
      <c r="B1203" s="556"/>
      <c r="C1203" s="556"/>
      <c r="D1203" s="556"/>
      <c r="E1203" s="556"/>
      <c r="F1203" s="564"/>
      <c r="G1203" s="564"/>
      <c r="H1203" s="564"/>
      <c r="I1203" s="564"/>
      <c r="J1203" s="564"/>
      <c r="K1203" s="564"/>
      <c r="L1203" s="564"/>
      <c r="M1203" s="564"/>
      <c r="N1203" s="564"/>
      <c r="O1203" s="564"/>
      <c r="P1203" s="564"/>
      <c r="Q1203" s="564"/>
      <c r="R1203" s="564"/>
      <c r="S1203" s="564"/>
      <c r="T1203" s="564"/>
      <c r="U1203" s="564"/>
      <c r="V1203" s="564"/>
      <c r="W1203" s="564"/>
      <c r="X1203" s="564"/>
      <c r="Y1203" s="564"/>
      <c r="Z1203" s="564"/>
      <c r="AA1203" s="564"/>
      <c r="AB1203" s="556"/>
      <c r="AC1203" s="556"/>
      <c r="AD1203" s="74"/>
      <c r="AE1203" s="74"/>
      <c r="AF1203" s="74"/>
      <c r="AG1203" s="74"/>
      <c r="AH1203" s="74"/>
      <c r="AI1203" s="74"/>
      <c r="AJ1203" s="74"/>
      <c r="AK1203" s="74"/>
      <c r="AL1203" s="74"/>
      <c r="AM1203" s="74"/>
      <c r="AN1203" s="74"/>
      <c r="AO1203" s="74"/>
      <c r="AP1203" s="74"/>
      <c r="AQ1203" s="74"/>
      <c r="AR1203" s="74"/>
      <c r="AS1203" s="565"/>
      <c r="AT1203" s="556"/>
    </row>
    <row r="1204" spans="1:46" hidden="1" x14ac:dyDescent="0.45">
      <c r="A1204" s="556"/>
      <c r="B1204" s="556"/>
      <c r="C1204" s="556"/>
      <c r="D1204" s="556"/>
      <c r="E1204" s="556"/>
      <c r="F1204" s="564"/>
      <c r="G1204" s="564"/>
      <c r="H1204" s="564"/>
      <c r="I1204" s="564"/>
      <c r="J1204" s="564"/>
      <c r="K1204" s="564"/>
      <c r="L1204" s="564"/>
      <c r="M1204" s="564"/>
      <c r="N1204" s="564"/>
      <c r="O1204" s="564"/>
      <c r="P1204" s="564"/>
      <c r="Q1204" s="564"/>
      <c r="R1204" s="564"/>
      <c r="S1204" s="564"/>
      <c r="T1204" s="564"/>
      <c r="U1204" s="564"/>
      <c r="V1204" s="564"/>
      <c r="W1204" s="564"/>
      <c r="X1204" s="564"/>
      <c r="Y1204" s="564"/>
      <c r="Z1204" s="564"/>
      <c r="AA1204" s="564"/>
      <c r="AB1204" s="556"/>
      <c r="AC1204" s="556"/>
      <c r="AD1204" s="74"/>
      <c r="AE1204" s="74"/>
      <c r="AF1204" s="74"/>
      <c r="AG1204" s="74"/>
      <c r="AH1204" s="74"/>
      <c r="AI1204" s="74"/>
      <c r="AJ1204" s="74"/>
      <c r="AK1204" s="74"/>
      <c r="AL1204" s="74"/>
      <c r="AM1204" s="74"/>
      <c r="AN1204" s="74"/>
      <c r="AO1204" s="74"/>
      <c r="AP1204" s="74"/>
      <c r="AQ1204" s="74"/>
      <c r="AR1204" s="74"/>
      <c r="AS1204" s="565"/>
      <c r="AT1204" s="556"/>
    </row>
    <row r="1205" spans="1:46" hidden="1" x14ac:dyDescent="0.45">
      <c r="A1205" s="556"/>
      <c r="B1205" s="556"/>
      <c r="C1205" s="556"/>
      <c r="D1205" s="556"/>
      <c r="E1205" s="556"/>
      <c r="F1205" s="564"/>
      <c r="G1205" s="564"/>
      <c r="H1205" s="564"/>
      <c r="I1205" s="564"/>
      <c r="J1205" s="564"/>
      <c r="K1205" s="564"/>
      <c r="L1205" s="564"/>
      <c r="M1205" s="564"/>
      <c r="N1205" s="564"/>
      <c r="O1205" s="564"/>
      <c r="P1205" s="564"/>
      <c r="Q1205" s="564"/>
      <c r="R1205" s="564"/>
      <c r="S1205" s="564"/>
      <c r="T1205" s="564"/>
      <c r="U1205" s="564"/>
      <c r="V1205" s="564"/>
      <c r="W1205" s="564"/>
      <c r="X1205" s="564"/>
      <c r="Y1205" s="564"/>
      <c r="Z1205" s="564"/>
      <c r="AA1205" s="564"/>
      <c r="AB1205" s="556"/>
      <c r="AC1205" s="556"/>
      <c r="AD1205" s="74"/>
      <c r="AE1205" s="74"/>
      <c r="AF1205" s="74"/>
      <c r="AG1205" s="74"/>
      <c r="AH1205" s="74"/>
      <c r="AI1205" s="74"/>
      <c r="AJ1205" s="74"/>
      <c r="AK1205" s="74"/>
      <c r="AL1205" s="74"/>
      <c r="AM1205" s="74"/>
      <c r="AN1205" s="74"/>
      <c r="AO1205" s="74"/>
      <c r="AP1205" s="74"/>
      <c r="AQ1205" s="74"/>
      <c r="AR1205" s="74"/>
      <c r="AS1205" s="565"/>
      <c r="AT1205" s="556"/>
    </row>
    <row r="1206" spans="1:46" hidden="1" x14ac:dyDescent="0.45">
      <c r="A1206" s="556"/>
      <c r="B1206" s="556"/>
      <c r="C1206" s="556"/>
      <c r="D1206" s="556"/>
      <c r="E1206" s="556"/>
      <c r="F1206" s="564"/>
      <c r="G1206" s="564"/>
      <c r="H1206" s="564"/>
      <c r="I1206" s="564"/>
      <c r="J1206" s="564"/>
      <c r="K1206" s="564"/>
      <c r="L1206" s="564"/>
      <c r="M1206" s="564"/>
      <c r="N1206" s="564"/>
      <c r="O1206" s="564"/>
      <c r="P1206" s="564"/>
      <c r="Q1206" s="564"/>
      <c r="R1206" s="564"/>
      <c r="S1206" s="564"/>
      <c r="T1206" s="564"/>
      <c r="U1206" s="564"/>
      <c r="V1206" s="564"/>
      <c r="W1206" s="564"/>
      <c r="X1206" s="564"/>
      <c r="Y1206" s="564"/>
      <c r="Z1206" s="564"/>
      <c r="AA1206" s="564"/>
      <c r="AB1206" s="556"/>
      <c r="AC1206" s="556"/>
      <c r="AD1206" s="74"/>
      <c r="AE1206" s="74"/>
      <c r="AF1206" s="74"/>
      <c r="AG1206" s="74"/>
      <c r="AH1206" s="74"/>
      <c r="AI1206" s="74"/>
      <c r="AJ1206" s="74"/>
      <c r="AK1206" s="74"/>
      <c r="AL1206" s="74"/>
      <c r="AM1206" s="74"/>
      <c r="AN1206" s="74"/>
      <c r="AO1206" s="74"/>
      <c r="AP1206" s="74"/>
      <c r="AQ1206" s="74"/>
      <c r="AR1206" s="74"/>
      <c r="AS1206" s="565"/>
      <c r="AT1206" s="556"/>
    </row>
    <row r="1207" spans="1:46" hidden="1" x14ac:dyDescent="0.45">
      <c r="A1207" s="556"/>
      <c r="B1207" s="556"/>
      <c r="C1207" s="556"/>
      <c r="D1207" s="556"/>
      <c r="E1207" s="556"/>
      <c r="F1207" s="564"/>
      <c r="G1207" s="564"/>
      <c r="H1207" s="564"/>
      <c r="I1207" s="564"/>
      <c r="J1207" s="564"/>
      <c r="K1207" s="564"/>
      <c r="L1207" s="564"/>
      <c r="M1207" s="564"/>
      <c r="N1207" s="564"/>
      <c r="O1207" s="564"/>
      <c r="P1207" s="564"/>
      <c r="Q1207" s="564"/>
      <c r="R1207" s="564"/>
      <c r="S1207" s="564"/>
      <c r="T1207" s="564"/>
      <c r="U1207" s="564"/>
      <c r="V1207" s="564"/>
      <c r="W1207" s="564"/>
      <c r="X1207" s="564"/>
      <c r="Y1207" s="564"/>
      <c r="Z1207" s="564"/>
      <c r="AA1207" s="564"/>
      <c r="AB1207" s="556"/>
      <c r="AC1207" s="556"/>
      <c r="AD1207" s="74"/>
      <c r="AE1207" s="74"/>
      <c r="AF1207" s="74"/>
      <c r="AG1207" s="74"/>
      <c r="AH1207" s="74"/>
      <c r="AI1207" s="74"/>
      <c r="AJ1207" s="74"/>
      <c r="AK1207" s="74"/>
      <c r="AL1207" s="74"/>
      <c r="AM1207" s="74"/>
      <c r="AN1207" s="74"/>
      <c r="AO1207" s="74"/>
      <c r="AP1207" s="74"/>
      <c r="AQ1207" s="74"/>
      <c r="AR1207" s="74"/>
      <c r="AS1207" s="565"/>
      <c r="AT1207" s="556"/>
    </row>
    <row r="1208" spans="1:46" hidden="1" x14ac:dyDescent="0.45">
      <c r="A1208" s="556"/>
      <c r="B1208" s="556"/>
      <c r="C1208" s="556"/>
      <c r="D1208" s="556"/>
      <c r="E1208" s="556"/>
      <c r="F1208" s="564"/>
      <c r="G1208" s="564"/>
      <c r="H1208" s="564"/>
      <c r="I1208" s="564"/>
      <c r="J1208" s="564"/>
      <c r="K1208" s="564"/>
      <c r="L1208" s="564"/>
      <c r="M1208" s="564"/>
      <c r="N1208" s="564"/>
      <c r="O1208" s="564"/>
      <c r="P1208" s="564"/>
      <c r="Q1208" s="564"/>
      <c r="R1208" s="564"/>
      <c r="S1208" s="564"/>
      <c r="T1208" s="564"/>
      <c r="U1208" s="564"/>
      <c r="V1208" s="564"/>
      <c r="W1208" s="564"/>
      <c r="X1208" s="564"/>
      <c r="Y1208" s="564"/>
      <c r="Z1208" s="564"/>
      <c r="AA1208" s="564"/>
      <c r="AB1208" s="556"/>
      <c r="AC1208" s="556"/>
      <c r="AD1208" s="74"/>
      <c r="AE1208" s="74"/>
      <c r="AF1208" s="74"/>
      <c r="AG1208" s="74"/>
      <c r="AH1208" s="74"/>
      <c r="AI1208" s="74"/>
      <c r="AJ1208" s="74"/>
      <c r="AK1208" s="74"/>
      <c r="AL1208" s="74"/>
      <c r="AM1208" s="74"/>
      <c r="AN1208" s="74"/>
      <c r="AO1208" s="74"/>
      <c r="AP1208" s="74"/>
      <c r="AQ1208" s="74"/>
      <c r="AR1208" s="74"/>
      <c r="AS1208" s="565"/>
      <c r="AT1208" s="556"/>
    </row>
    <row r="1209" spans="1:46" hidden="1" x14ac:dyDescent="0.45">
      <c r="A1209" s="556"/>
      <c r="B1209" s="556"/>
      <c r="C1209" s="556"/>
      <c r="D1209" s="556"/>
      <c r="E1209" s="556"/>
      <c r="F1209" s="564"/>
      <c r="G1209" s="564"/>
      <c r="H1209" s="564"/>
      <c r="I1209" s="564"/>
      <c r="J1209" s="564"/>
      <c r="K1209" s="564"/>
      <c r="L1209" s="564"/>
      <c r="M1209" s="564"/>
      <c r="N1209" s="564"/>
      <c r="O1209" s="564"/>
      <c r="P1209" s="564"/>
      <c r="Q1209" s="564"/>
      <c r="R1209" s="564"/>
      <c r="S1209" s="564"/>
      <c r="T1209" s="564"/>
      <c r="U1209" s="564"/>
      <c r="V1209" s="564"/>
      <c r="W1209" s="564"/>
      <c r="X1209" s="564"/>
      <c r="Y1209" s="564"/>
      <c r="Z1209" s="564"/>
      <c r="AA1209" s="564"/>
      <c r="AB1209" s="556"/>
      <c r="AC1209" s="556"/>
      <c r="AD1209" s="74"/>
      <c r="AE1209" s="74"/>
      <c r="AF1209" s="74"/>
      <c r="AG1209" s="74"/>
      <c r="AH1209" s="74"/>
      <c r="AI1209" s="74"/>
      <c r="AJ1209" s="74"/>
      <c r="AK1209" s="74"/>
      <c r="AL1209" s="74"/>
      <c r="AM1209" s="74"/>
      <c r="AN1209" s="74"/>
      <c r="AO1209" s="74"/>
      <c r="AP1209" s="74"/>
      <c r="AQ1209" s="74"/>
      <c r="AR1209" s="74"/>
      <c r="AS1209" s="565"/>
      <c r="AT1209" s="556"/>
    </row>
    <row r="1210" spans="1:46" hidden="1" x14ac:dyDescent="0.45">
      <c r="A1210" s="556"/>
      <c r="B1210" s="556"/>
      <c r="C1210" s="556"/>
      <c r="D1210" s="556"/>
      <c r="E1210" s="556"/>
      <c r="F1210" s="564"/>
      <c r="G1210" s="564"/>
      <c r="H1210" s="564"/>
      <c r="I1210" s="564"/>
      <c r="J1210" s="564"/>
      <c r="K1210" s="564"/>
      <c r="L1210" s="564"/>
      <c r="M1210" s="564"/>
      <c r="N1210" s="564"/>
      <c r="O1210" s="564"/>
      <c r="P1210" s="564"/>
      <c r="Q1210" s="564"/>
      <c r="R1210" s="564"/>
      <c r="S1210" s="564"/>
      <c r="T1210" s="564"/>
      <c r="U1210" s="564"/>
      <c r="V1210" s="564"/>
      <c r="W1210" s="564"/>
      <c r="X1210" s="564"/>
      <c r="Y1210" s="564"/>
      <c r="Z1210" s="564"/>
      <c r="AA1210" s="564"/>
      <c r="AB1210" s="556"/>
      <c r="AC1210" s="556"/>
      <c r="AD1210" s="74"/>
      <c r="AE1210" s="74"/>
      <c r="AF1210" s="74"/>
      <c r="AG1210" s="74"/>
      <c r="AH1210" s="74"/>
      <c r="AI1210" s="74"/>
      <c r="AJ1210" s="74"/>
      <c r="AK1210" s="74"/>
      <c r="AL1210" s="74"/>
      <c r="AM1210" s="74"/>
      <c r="AN1210" s="74"/>
      <c r="AO1210" s="74"/>
      <c r="AP1210" s="74"/>
      <c r="AQ1210" s="74"/>
      <c r="AR1210" s="74"/>
      <c r="AS1210" s="565"/>
      <c r="AT1210" s="556"/>
    </row>
    <row r="1211" spans="1:46" hidden="1" x14ac:dyDescent="0.45">
      <c r="A1211" s="556"/>
      <c r="B1211" s="556"/>
      <c r="C1211" s="556"/>
      <c r="D1211" s="556"/>
      <c r="E1211" s="556"/>
      <c r="F1211" s="564"/>
      <c r="G1211" s="564"/>
      <c r="H1211" s="564"/>
      <c r="I1211" s="564"/>
      <c r="J1211" s="564"/>
      <c r="K1211" s="564"/>
      <c r="L1211" s="564"/>
      <c r="M1211" s="564"/>
      <c r="N1211" s="564"/>
      <c r="O1211" s="564"/>
      <c r="P1211" s="564"/>
      <c r="Q1211" s="564"/>
      <c r="R1211" s="564"/>
      <c r="S1211" s="564"/>
      <c r="T1211" s="564"/>
      <c r="U1211" s="564"/>
      <c r="V1211" s="564"/>
      <c r="W1211" s="564"/>
      <c r="X1211" s="564"/>
      <c r="Y1211" s="564"/>
      <c r="Z1211" s="564"/>
      <c r="AA1211" s="564"/>
      <c r="AB1211" s="556"/>
      <c r="AC1211" s="556"/>
      <c r="AD1211" s="74"/>
      <c r="AE1211" s="74"/>
      <c r="AF1211" s="74"/>
      <c r="AG1211" s="74"/>
      <c r="AH1211" s="74"/>
      <c r="AI1211" s="74"/>
      <c r="AJ1211" s="74"/>
      <c r="AK1211" s="74"/>
      <c r="AL1211" s="74"/>
      <c r="AM1211" s="74"/>
      <c r="AN1211" s="74"/>
      <c r="AO1211" s="74"/>
      <c r="AP1211" s="74"/>
      <c r="AQ1211" s="74"/>
      <c r="AR1211" s="74"/>
      <c r="AS1211" s="565"/>
      <c r="AT1211" s="556"/>
    </row>
    <row r="1212" spans="1:46" hidden="1" x14ac:dyDescent="0.45">
      <c r="A1212" s="556"/>
      <c r="B1212" s="556"/>
      <c r="C1212" s="556"/>
      <c r="D1212" s="556"/>
      <c r="E1212" s="556"/>
      <c r="F1212" s="564"/>
      <c r="G1212" s="564"/>
      <c r="H1212" s="564"/>
      <c r="I1212" s="564"/>
      <c r="J1212" s="564"/>
      <c r="K1212" s="564"/>
      <c r="L1212" s="564"/>
      <c r="M1212" s="564"/>
      <c r="N1212" s="564"/>
      <c r="O1212" s="564"/>
      <c r="P1212" s="564"/>
      <c r="Q1212" s="564"/>
      <c r="R1212" s="564"/>
      <c r="S1212" s="564"/>
      <c r="T1212" s="564"/>
      <c r="U1212" s="564"/>
      <c r="V1212" s="564"/>
      <c r="W1212" s="564"/>
      <c r="X1212" s="564"/>
      <c r="Y1212" s="564"/>
      <c r="Z1212" s="564"/>
      <c r="AA1212" s="564"/>
      <c r="AB1212" s="556"/>
      <c r="AC1212" s="556"/>
      <c r="AD1212" s="74"/>
      <c r="AE1212" s="74"/>
      <c r="AF1212" s="74"/>
      <c r="AG1212" s="74"/>
      <c r="AH1212" s="74"/>
      <c r="AI1212" s="74"/>
      <c r="AJ1212" s="74"/>
      <c r="AK1212" s="74"/>
      <c r="AL1212" s="74"/>
      <c r="AM1212" s="74"/>
      <c r="AN1212" s="74"/>
      <c r="AO1212" s="74"/>
      <c r="AP1212" s="74"/>
      <c r="AQ1212" s="74"/>
      <c r="AR1212" s="74"/>
      <c r="AS1212" s="565"/>
      <c r="AT1212" s="556"/>
    </row>
    <row r="1213" spans="1:46" hidden="1" x14ac:dyDescent="0.45">
      <c r="A1213" s="556"/>
      <c r="B1213" s="556"/>
      <c r="C1213" s="556"/>
      <c r="D1213" s="556"/>
      <c r="E1213" s="556"/>
      <c r="F1213" s="564"/>
      <c r="G1213" s="564"/>
      <c r="H1213" s="564"/>
      <c r="I1213" s="564"/>
      <c r="J1213" s="564"/>
      <c r="K1213" s="564"/>
      <c r="L1213" s="564"/>
      <c r="M1213" s="564"/>
      <c r="N1213" s="564"/>
      <c r="O1213" s="564"/>
      <c r="P1213" s="564"/>
      <c r="Q1213" s="564"/>
      <c r="R1213" s="564"/>
      <c r="S1213" s="564"/>
      <c r="T1213" s="564"/>
      <c r="U1213" s="564"/>
      <c r="V1213" s="564"/>
      <c r="W1213" s="564"/>
      <c r="X1213" s="564"/>
      <c r="Y1213" s="564"/>
      <c r="Z1213" s="564"/>
      <c r="AA1213" s="564"/>
      <c r="AB1213" s="556"/>
      <c r="AC1213" s="556"/>
      <c r="AD1213" s="74"/>
      <c r="AE1213" s="74"/>
      <c r="AF1213" s="74"/>
      <c r="AG1213" s="74"/>
      <c r="AH1213" s="74"/>
      <c r="AI1213" s="74"/>
      <c r="AJ1213" s="74"/>
      <c r="AK1213" s="74"/>
      <c r="AL1213" s="74"/>
      <c r="AM1213" s="74"/>
      <c r="AN1213" s="74"/>
      <c r="AO1213" s="74"/>
      <c r="AP1213" s="74"/>
      <c r="AQ1213" s="74"/>
      <c r="AR1213" s="74"/>
      <c r="AS1213" s="565"/>
      <c r="AT1213" s="556"/>
    </row>
    <row r="1214" spans="1:46" hidden="1" x14ac:dyDescent="0.45">
      <c r="A1214" s="556"/>
      <c r="B1214" s="556"/>
      <c r="C1214" s="556"/>
      <c r="D1214" s="556"/>
      <c r="E1214" s="556"/>
      <c r="F1214" s="564"/>
      <c r="G1214" s="564"/>
      <c r="H1214" s="564"/>
      <c r="I1214" s="564"/>
      <c r="J1214" s="564"/>
      <c r="K1214" s="564"/>
      <c r="L1214" s="564"/>
      <c r="M1214" s="564"/>
      <c r="N1214" s="564"/>
      <c r="O1214" s="564"/>
      <c r="P1214" s="564"/>
      <c r="Q1214" s="564"/>
      <c r="R1214" s="564"/>
      <c r="S1214" s="564"/>
      <c r="T1214" s="564"/>
      <c r="U1214" s="564"/>
      <c r="V1214" s="564"/>
      <c r="W1214" s="564"/>
      <c r="X1214" s="564"/>
      <c r="Y1214" s="564"/>
      <c r="Z1214" s="564"/>
      <c r="AA1214" s="564"/>
      <c r="AB1214" s="556"/>
      <c r="AC1214" s="556"/>
      <c r="AD1214" s="74"/>
      <c r="AE1214" s="74"/>
      <c r="AF1214" s="74"/>
      <c r="AG1214" s="74"/>
      <c r="AH1214" s="74"/>
      <c r="AI1214" s="74"/>
      <c r="AJ1214" s="74"/>
      <c r="AK1214" s="74"/>
      <c r="AL1214" s="74"/>
      <c r="AM1214" s="74"/>
      <c r="AN1214" s="74"/>
      <c r="AO1214" s="74"/>
      <c r="AP1214" s="74"/>
      <c r="AQ1214" s="74"/>
      <c r="AR1214" s="74"/>
      <c r="AS1214" s="565"/>
      <c r="AT1214" s="556"/>
    </row>
    <row r="1215" spans="1:46" hidden="1" x14ac:dyDescent="0.45">
      <c r="A1215" s="556"/>
      <c r="B1215" s="556"/>
      <c r="C1215" s="556"/>
      <c r="D1215" s="556"/>
      <c r="E1215" s="556"/>
      <c r="F1215" s="564"/>
      <c r="G1215" s="564"/>
      <c r="H1215" s="564"/>
      <c r="I1215" s="564"/>
      <c r="J1215" s="564"/>
      <c r="K1215" s="564"/>
      <c r="L1215" s="564"/>
      <c r="M1215" s="564"/>
      <c r="N1215" s="564"/>
      <c r="O1215" s="564"/>
      <c r="P1215" s="564"/>
      <c r="Q1215" s="564"/>
      <c r="R1215" s="564"/>
      <c r="S1215" s="564"/>
      <c r="T1215" s="564"/>
      <c r="U1215" s="564"/>
      <c r="V1215" s="564"/>
      <c r="W1215" s="564"/>
      <c r="X1215" s="564"/>
      <c r="Y1215" s="564"/>
      <c r="Z1215" s="564"/>
      <c r="AA1215" s="564"/>
      <c r="AB1215" s="556"/>
      <c r="AC1215" s="556"/>
      <c r="AD1215" s="74"/>
      <c r="AE1215" s="74"/>
      <c r="AF1215" s="74"/>
      <c r="AG1215" s="74"/>
      <c r="AH1215" s="74"/>
      <c r="AI1215" s="74"/>
      <c r="AJ1215" s="74"/>
      <c r="AK1215" s="74"/>
      <c r="AL1215" s="74"/>
      <c r="AM1215" s="74"/>
      <c r="AN1215" s="74"/>
      <c r="AO1215" s="74"/>
      <c r="AP1215" s="74"/>
      <c r="AQ1215" s="74"/>
      <c r="AR1215" s="74"/>
      <c r="AS1215" s="565"/>
      <c r="AT1215" s="556"/>
    </row>
    <row r="1216" spans="1:46" hidden="1" x14ac:dyDescent="0.45">
      <c r="A1216" s="556"/>
      <c r="B1216" s="556"/>
      <c r="C1216" s="556"/>
      <c r="D1216" s="556"/>
      <c r="E1216" s="556"/>
      <c r="F1216" s="564"/>
      <c r="G1216" s="564"/>
      <c r="H1216" s="564"/>
      <c r="I1216" s="564"/>
      <c r="J1216" s="564"/>
      <c r="K1216" s="564"/>
      <c r="L1216" s="564"/>
      <c r="M1216" s="564"/>
      <c r="N1216" s="564"/>
      <c r="O1216" s="564"/>
      <c r="P1216" s="564"/>
      <c r="Q1216" s="564"/>
      <c r="R1216" s="564"/>
      <c r="S1216" s="564"/>
      <c r="T1216" s="564"/>
      <c r="U1216" s="564"/>
      <c r="V1216" s="564"/>
      <c r="W1216" s="564"/>
      <c r="X1216" s="564"/>
      <c r="Y1216" s="564"/>
      <c r="Z1216" s="564"/>
      <c r="AA1216" s="564"/>
      <c r="AB1216" s="556"/>
      <c r="AC1216" s="556"/>
      <c r="AD1216" s="74"/>
      <c r="AE1216" s="74"/>
      <c r="AF1216" s="74"/>
      <c r="AG1216" s="74"/>
      <c r="AH1216" s="74"/>
      <c r="AI1216" s="74"/>
      <c r="AJ1216" s="74"/>
      <c r="AK1216" s="74"/>
      <c r="AL1216" s="74"/>
      <c r="AM1216" s="74"/>
      <c r="AN1216" s="74"/>
      <c r="AO1216" s="74"/>
      <c r="AP1216" s="74"/>
      <c r="AQ1216" s="74"/>
      <c r="AR1216" s="74"/>
      <c r="AS1216" s="565"/>
      <c r="AT1216" s="556"/>
    </row>
    <row r="1217" spans="1:46" hidden="1" x14ac:dyDescent="0.45">
      <c r="A1217" s="556"/>
      <c r="B1217" s="556"/>
      <c r="C1217" s="556"/>
      <c r="D1217" s="556"/>
      <c r="E1217" s="556"/>
      <c r="F1217" s="564"/>
      <c r="G1217" s="564"/>
      <c r="H1217" s="564"/>
      <c r="I1217" s="564"/>
      <c r="J1217" s="564"/>
      <c r="K1217" s="564"/>
      <c r="L1217" s="564"/>
      <c r="M1217" s="564"/>
      <c r="N1217" s="564"/>
      <c r="O1217" s="564"/>
      <c r="P1217" s="564"/>
      <c r="Q1217" s="564"/>
      <c r="R1217" s="564"/>
      <c r="S1217" s="564"/>
      <c r="T1217" s="564"/>
      <c r="U1217" s="564"/>
      <c r="V1217" s="564"/>
      <c r="W1217" s="564"/>
      <c r="X1217" s="564"/>
      <c r="Y1217" s="564"/>
      <c r="Z1217" s="564"/>
      <c r="AA1217" s="564"/>
      <c r="AB1217" s="556"/>
      <c r="AC1217" s="556"/>
      <c r="AD1217" s="74"/>
      <c r="AE1217" s="74"/>
      <c r="AF1217" s="74"/>
      <c r="AG1217" s="74"/>
      <c r="AH1217" s="74"/>
      <c r="AI1217" s="74"/>
      <c r="AJ1217" s="74"/>
      <c r="AK1217" s="74"/>
      <c r="AL1217" s="74"/>
      <c r="AM1217" s="74"/>
      <c r="AN1217" s="74"/>
      <c r="AO1217" s="74"/>
      <c r="AP1217" s="74"/>
      <c r="AQ1217" s="74"/>
      <c r="AR1217" s="74"/>
      <c r="AS1217" s="565"/>
      <c r="AT1217" s="556"/>
    </row>
    <row r="1218" spans="1:46" hidden="1" x14ac:dyDescent="0.45">
      <c r="A1218" s="556"/>
      <c r="B1218" s="556"/>
      <c r="C1218" s="556"/>
      <c r="D1218" s="556"/>
      <c r="E1218" s="556"/>
      <c r="F1218" s="564"/>
      <c r="G1218" s="564"/>
      <c r="H1218" s="564"/>
      <c r="I1218" s="564"/>
      <c r="J1218" s="564"/>
      <c r="K1218" s="564"/>
      <c r="L1218" s="564"/>
      <c r="M1218" s="564"/>
      <c r="N1218" s="564"/>
      <c r="O1218" s="564"/>
      <c r="P1218" s="564"/>
      <c r="Q1218" s="564"/>
      <c r="R1218" s="564"/>
      <c r="S1218" s="564"/>
      <c r="T1218" s="564"/>
      <c r="U1218" s="564"/>
      <c r="V1218" s="564"/>
      <c r="W1218" s="564"/>
      <c r="X1218" s="564"/>
      <c r="Y1218" s="564"/>
      <c r="Z1218" s="564"/>
      <c r="AA1218" s="564"/>
      <c r="AB1218" s="556"/>
      <c r="AC1218" s="556"/>
      <c r="AD1218" s="74"/>
      <c r="AE1218" s="74"/>
      <c r="AF1218" s="74"/>
      <c r="AG1218" s="74"/>
      <c r="AH1218" s="74"/>
      <c r="AI1218" s="74"/>
      <c r="AJ1218" s="74"/>
      <c r="AK1218" s="74"/>
      <c r="AL1218" s="74"/>
      <c r="AM1218" s="74"/>
      <c r="AN1218" s="74"/>
      <c r="AO1218" s="74"/>
      <c r="AP1218" s="74"/>
      <c r="AQ1218" s="74"/>
      <c r="AR1218" s="74"/>
      <c r="AS1218" s="565"/>
      <c r="AT1218" s="556"/>
    </row>
    <row r="1219" spans="1:46" hidden="1" x14ac:dyDescent="0.45">
      <c r="A1219" s="556"/>
      <c r="B1219" s="556"/>
      <c r="C1219" s="556"/>
      <c r="D1219" s="556"/>
      <c r="E1219" s="556"/>
      <c r="F1219" s="564"/>
      <c r="G1219" s="564"/>
      <c r="H1219" s="564"/>
      <c r="I1219" s="564"/>
      <c r="J1219" s="564"/>
      <c r="K1219" s="564"/>
      <c r="L1219" s="564"/>
      <c r="M1219" s="564"/>
      <c r="N1219" s="564"/>
      <c r="O1219" s="564"/>
      <c r="P1219" s="564"/>
      <c r="Q1219" s="564"/>
      <c r="R1219" s="564"/>
      <c r="S1219" s="564"/>
      <c r="T1219" s="564"/>
      <c r="U1219" s="564"/>
      <c r="V1219" s="564"/>
      <c r="W1219" s="564"/>
      <c r="X1219" s="564"/>
      <c r="Y1219" s="564"/>
      <c r="Z1219" s="564"/>
      <c r="AA1219" s="564"/>
      <c r="AB1219" s="556"/>
      <c r="AC1219" s="556"/>
      <c r="AD1219" s="74"/>
      <c r="AE1219" s="74"/>
      <c r="AF1219" s="74"/>
      <c r="AG1219" s="74"/>
      <c r="AH1219" s="74"/>
      <c r="AI1219" s="74"/>
      <c r="AJ1219" s="74"/>
      <c r="AK1219" s="74"/>
      <c r="AL1219" s="74"/>
      <c r="AM1219" s="74"/>
      <c r="AN1219" s="74"/>
      <c r="AO1219" s="74"/>
      <c r="AP1219" s="74"/>
      <c r="AQ1219" s="74"/>
      <c r="AR1219" s="74"/>
      <c r="AS1219" s="565"/>
      <c r="AT1219" s="556"/>
    </row>
    <row r="1220" spans="1:46" hidden="1" x14ac:dyDescent="0.45">
      <c r="A1220" s="556"/>
      <c r="B1220" s="556"/>
      <c r="C1220" s="556"/>
      <c r="D1220" s="556"/>
      <c r="E1220" s="556"/>
      <c r="F1220" s="564"/>
      <c r="G1220" s="564"/>
      <c r="H1220" s="564"/>
      <c r="I1220" s="564"/>
      <c r="J1220" s="564"/>
      <c r="K1220" s="564"/>
      <c r="L1220" s="564"/>
      <c r="M1220" s="564"/>
      <c r="N1220" s="564"/>
      <c r="O1220" s="564"/>
      <c r="P1220" s="564"/>
      <c r="Q1220" s="564"/>
      <c r="R1220" s="564"/>
      <c r="S1220" s="564"/>
      <c r="T1220" s="564"/>
      <c r="U1220" s="564"/>
      <c r="V1220" s="564"/>
      <c r="W1220" s="564"/>
      <c r="X1220" s="564"/>
      <c r="Y1220" s="564"/>
      <c r="Z1220" s="564"/>
      <c r="AA1220" s="564"/>
      <c r="AB1220" s="556"/>
      <c r="AC1220" s="556"/>
      <c r="AD1220" s="74"/>
      <c r="AE1220" s="74"/>
      <c r="AF1220" s="74"/>
      <c r="AG1220" s="74"/>
      <c r="AH1220" s="74"/>
      <c r="AI1220" s="74"/>
      <c r="AJ1220" s="74"/>
      <c r="AK1220" s="74"/>
      <c r="AL1220" s="74"/>
      <c r="AM1220" s="74"/>
      <c r="AN1220" s="74"/>
      <c r="AO1220" s="74"/>
      <c r="AP1220" s="74"/>
      <c r="AQ1220" s="74"/>
      <c r="AR1220" s="74"/>
      <c r="AS1220" s="565"/>
      <c r="AT1220" s="556"/>
    </row>
    <row r="1221" spans="1:46" hidden="1" x14ac:dyDescent="0.45">
      <c r="A1221" s="556"/>
      <c r="B1221" s="556"/>
      <c r="C1221" s="556"/>
      <c r="D1221" s="556"/>
      <c r="E1221" s="556"/>
      <c r="F1221" s="564"/>
      <c r="G1221" s="564"/>
      <c r="H1221" s="564"/>
      <c r="I1221" s="564"/>
      <c r="J1221" s="564"/>
      <c r="K1221" s="564"/>
      <c r="L1221" s="564"/>
      <c r="M1221" s="564"/>
      <c r="N1221" s="564"/>
      <c r="O1221" s="564"/>
      <c r="P1221" s="564"/>
      <c r="Q1221" s="564"/>
      <c r="R1221" s="564"/>
      <c r="S1221" s="564"/>
      <c r="T1221" s="564"/>
      <c r="U1221" s="564"/>
      <c r="V1221" s="564"/>
      <c r="W1221" s="564"/>
      <c r="X1221" s="564"/>
      <c r="Y1221" s="564"/>
      <c r="Z1221" s="564"/>
      <c r="AA1221" s="564"/>
      <c r="AB1221" s="556"/>
      <c r="AC1221" s="556"/>
      <c r="AD1221" s="74"/>
      <c r="AE1221" s="74"/>
      <c r="AF1221" s="74"/>
      <c r="AG1221" s="74"/>
      <c r="AH1221" s="74"/>
      <c r="AI1221" s="74"/>
      <c r="AJ1221" s="74"/>
      <c r="AK1221" s="74"/>
      <c r="AL1221" s="74"/>
      <c r="AM1221" s="74"/>
      <c r="AN1221" s="74"/>
      <c r="AO1221" s="74"/>
      <c r="AP1221" s="74"/>
      <c r="AQ1221" s="74"/>
      <c r="AR1221" s="74"/>
      <c r="AS1221" s="565"/>
      <c r="AT1221" s="556"/>
    </row>
    <row r="1222" spans="1:46" hidden="1" x14ac:dyDescent="0.45">
      <c r="A1222" s="556"/>
      <c r="B1222" s="556"/>
      <c r="C1222" s="556"/>
      <c r="D1222" s="556"/>
      <c r="E1222" s="556"/>
      <c r="F1222" s="564"/>
      <c r="G1222" s="564"/>
      <c r="H1222" s="564"/>
      <c r="I1222" s="564"/>
      <c r="J1222" s="564"/>
      <c r="K1222" s="564"/>
      <c r="L1222" s="564"/>
      <c r="M1222" s="564"/>
      <c r="N1222" s="564"/>
      <c r="O1222" s="564"/>
      <c r="P1222" s="564"/>
      <c r="Q1222" s="564"/>
      <c r="R1222" s="564"/>
      <c r="S1222" s="564"/>
      <c r="T1222" s="564"/>
      <c r="U1222" s="564"/>
      <c r="V1222" s="564"/>
      <c r="W1222" s="564"/>
      <c r="X1222" s="564"/>
      <c r="Y1222" s="564"/>
      <c r="Z1222" s="564"/>
      <c r="AA1222" s="564"/>
      <c r="AB1222" s="556"/>
      <c r="AC1222" s="556"/>
      <c r="AD1222" s="74"/>
      <c r="AE1222" s="74"/>
      <c r="AF1222" s="74"/>
      <c r="AG1222" s="74"/>
      <c r="AH1222" s="74"/>
      <c r="AI1222" s="74"/>
      <c r="AJ1222" s="74"/>
      <c r="AK1222" s="74"/>
      <c r="AL1222" s="74"/>
      <c r="AM1222" s="74"/>
      <c r="AN1222" s="74"/>
      <c r="AO1222" s="74"/>
      <c r="AP1222" s="74"/>
      <c r="AQ1222" s="74"/>
      <c r="AR1222" s="74"/>
      <c r="AS1222" s="565"/>
      <c r="AT1222" s="556"/>
    </row>
    <row r="1223" spans="1:46" hidden="1" x14ac:dyDescent="0.45">
      <c r="A1223" s="556"/>
      <c r="B1223" s="556"/>
      <c r="C1223" s="556"/>
      <c r="D1223" s="556"/>
      <c r="E1223" s="556"/>
      <c r="F1223" s="564"/>
      <c r="G1223" s="564"/>
      <c r="H1223" s="564"/>
      <c r="I1223" s="564"/>
      <c r="J1223" s="564"/>
      <c r="K1223" s="564"/>
      <c r="L1223" s="564"/>
      <c r="M1223" s="564"/>
      <c r="N1223" s="564"/>
      <c r="O1223" s="564"/>
      <c r="P1223" s="564"/>
      <c r="Q1223" s="564"/>
      <c r="R1223" s="564"/>
      <c r="S1223" s="564"/>
      <c r="T1223" s="564"/>
      <c r="U1223" s="564"/>
      <c r="V1223" s="564"/>
      <c r="W1223" s="564"/>
      <c r="X1223" s="564"/>
      <c r="Y1223" s="564"/>
      <c r="Z1223" s="564"/>
      <c r="AA1223" s="564"/>
      <c r="AB1223" s="556"/>
      <c r="AC1223" s="556"/>
      <c r="AD1223" s="74"/>
      <c r="AE1223" s="74"/>
      <c r="AF1223" s="74"/>
      <c r="AG1223" s="74"/>
      <c r="AH1223" s="74"/>
      <c r="AI1223" s="74"/>
      <c r="AJ1223" s="74"/>
      <c r="AK1223" s="74"/>
      <c r="AL1223" s="74"/>
      <c r="AM1223" s="74"/>
      <c r="AN1223" s="74"/>
      <c r="AO1223" s="74"/>
      <c r="AP1223" s="74"/>
      <c r="AQ1223" s="74"/>
      <c r="AR1223" s="74"/>
      <c r="AS1223" s="565"/>
      <c r="AT1223" s="556"/>
    </row>
    <row r="1224" spans="1:46" hidden="1" x14ac:dyDescent="0.45">
      <c r="A1224" s="556"/>
      <c r="B1224" s="556"/>
      <c r="C1224" s="556"/>
      <c r="D1224" s="556"/>
      <c r="E1224" s="556"/>
      <c r="F1224" s="564"/>
      <c r="G1224" s="564"/>
      <c r="H1224" s="564"/>
      <c r="I1224" s="564"/>
      <c r="J1224" s="564"/>
      <c r="K1224" s="564"/>
      <c r="L1224" s="564"/>
      <c r="M1224" s="564"/>
      <c r="N1224" s="564"/>
      <c r="O1224" s="564"/>
      <c r="P1224" s="564"/>
      <c r="Q1224" s="564"/>
      <c r="R1224" s="564"/>
      <c r="S1224" s="564"/>
      <c r="T1224" s="564"/>
      <c r="U1224" s="564"/>
      <c r="V1224" s="564"/>
      <c r="W1224" s="564"/>
      <c r="X1224" s="564"/>
      <c r="Y1224" s="564"/>
      <c r="Z1224" s="564"/>
      <c r="AA1224" s="564"/>
      <c r="AB1224" s="556"/>
      <c r="AC1224" s="556"/>
      <c r="AD1224" s="74"/>
      <c r="AE1224" s="74"/>
      <c r="AF1224" s="74"/>
      <c r="AG1224" s="74"/>
      <c r="AH1224" s="74"/>
      <c r="AI1224" s="74"/>
      <c r="AJ1224" s="74"/>
      <c r="AK1224" s="74"/>
      <c r="AL1224" s="74"/>
      <c r="AM1224" s="74"/>
      <c r="AN1224" s="74"/>
      <c r="AO1224" s="74"/>
      <c r="AP1224" s="74"/>
      <c r="AQ1224" s="74"/>
      <c r="AR1224" s="74"/>
      <c r="AS1224" s="565"/>
      <c r="AT1224" s="556"/>
    </row>
    <row r="1225" spans="1:46" hidden="1" x14ac:dyDescent="0.45">
      <c r="A1225" s="556"/>
      <c r="B1225" s="556"/>
      <c r="C1225" s="556"/>
      <c r="D1225" s="556"/>
      <c r="E1225" s="556"/>
      <c r="F1225" s="564"/>
      <c r="G1225" s="564"/>
      <c r="H1225" s="564"/>
      <c r="I1225" s="564"/>
      <c r="J1225" s="564"/>
      <c r="K1225" s="564"/>
      <c r="L1225" s="564"/>
      <c r="M1225" s="564"/>
      <c r="N1225" s="564"/>
      <c r="O1225" s="564"/>
      <c r="P1225" s="564"/>
      <c r="Q1225" s="564"/>
      <c r="R1225" s="564"/>
      <c r="S1225" s="564"/>
      <c r="T1225" s="564"/>
      <c r="U1225" s="564"/>
      <c r="V1225" s="564"/>
      <c r="W1225" s="564"/>
      <c r="X1225" s="564"/>
      <c r="Y1225" s="564"/>
      <c r="Z1225" s="564"/>
      <c r="AA1225" s="564"/>
      <c r="AB1225" s="556"/>
      <c r="AC1225" s="556"/>
      <c r="AD1225" s="74"/>
      <c r="AE1225" s="74"/>
      <c r="AF1225" s="74"/>
      <c r="AG1225" s="74"/>
      <c r="AH1225" s="74"/>
      <c r="AI1225" s="74"/>
      <c r="AJ1225" s="74"/>
      <c r="AK1225" s="74"/>
      <c r="AL1225" s="74"/>
      <c r="AM1225" s="74"/>
      <c r="AN1225" s="74"/>
      <c r="AO1225" s="74"/>
      <c r="AP1225" s="74"/>
      <c r="AQ1225" s="74"/>
      <c r="AR1225" s="74"/>
      <c r="AS1225" s="565"/>
      <c r="AT1225" s="556"/>
    </row>
    <row r="1226" spans="1:46" hidden="1" x14ac:dyDescent="0.45">
      <c r="A1226" s="556"/>
      <c r="B1226" s="556"/>
      <c r="C1226" s="556"/>
      <c r="D1226" s="556"/>
      <c r="E1226" s="556"/>
      <c r="F1226" s="564"/>
      <c r="G1226" s="564"/>
      <c r="H1226" s="564"/>
      <c r="I1226" s="564"/>
      <c r="J1226" s="564"/>
      <c r="K1226" s="564"/>
      <c r="L1226" s="564"/>
      <c r="M1226" s="564"/>
      <c r="N1226" s="564"/>
      <c r="O1226" s="564"/>
      <c r="P1226" s="564"/>
      <c r="Q1226" s="564"/>
      <c r="R1226" s="564"/>
      <c r="S1226" s="564"/>
      <c r="T1226" s="564"/>
      <c r="U1226" s="564"/>
      <c r="V1226" s="564"/>
      <c r="W1226" s="564"/>
      <c r="X1226" s="564"/>
      <c r="Y1226" s="564"/>
      <c r="Z1226" s="564"/>
      <c r="AA1226" s="564"/>
      <c r="AB1226" s="556"/>
      <c r="AC1226" s="556"/>
      <c r="AD1226" s="74"/>
      <c r="AE1226" s="74"/>
      <c r="AF1226" s="74"/>
      <c r="AG1226" s="74"/>
      <c r="AH1226" s="74"/>
      <c r="AI1226" s="74"/>
      <c r="AJ1226" s="74"/>
      <c r="AK1226" s="74"/>
      <c r="AL1226" s="74"/>
      <c r="AM1226" s="74"/>
      <c r="AN1226" s="74"/>
      <c r="AO1226" s="74"/>
      <c r="AP1226" s="74"/>
      <c r="AQ1226" s="74"/>
      <c r="AR1226" s="74"/>
      <c r="AS1226" s="565"/>
      <c r="AT1226" s="556"/>
    </row>
    <row r="1227" spans="1:46" hidden="1" x14ac:dyDescent="0.45">
      <c r="A1227" s="556"/>
      <c r="B1227" s="556"/>
      <c r="C1227" s="556"/>
      <c r="D1227" s="556"/>
      <c r="E1227" s="556"/>
      <c r="F1227" s="564"/>
      <c r="G1227" s="564"/>
      <c r="H1227" s="564"/>
      <c r="I1227" s="564"/>
      <c r="J1227" s="564"/>
      <c r="K1227" s="564"/>
      <c r="L1227" s="564"/>
      <c r="M1227" s="564"/>
      <c r="N1227" s="564"/>
      <c r="O1227" s="564"/>
      <c r="P1227" s="564"/>
      <c r="Q1227" s="564"/>
      <c r="R1227" s="564"/>
      <c r="S1227" s="564"/>
      <c r="T1227" s="564"/>
      <c r="U1227" s="564"/>
      <c r="V1227" s="564"/>
      <c r="W1227" s="564"/>
      <c r="X1227" s="564"/>
      <c r="Y1227" s="564"/>
      <c r="Z1227" s="564"/>
      <c r="AA1227" s="564"/>
      <c r="AB1227" s="556"/>
      <c r="AC1227" s="556"/>
      <c r="AD1227" s="74"/>
      <c r="AE1227" s="74"/>
      <c r="AF1227" s="74"/>
      <c r="AG1227" s="74"/>
      <c r="AH1227" s="74"/>
      <c r="AI1227" s="74"/>
      <c r="AJ1227" s="74"/>
      <c r="AK1227" s="74"/>
      <c r="AL1227" s="74"/>
      <c r="AM1227" s="74"/>
      <c r="AN1227" s="74"/>
      <c r="AO1227" s="74"/>
      <c r="AP1227" s="74"/>
      <c r="AQ1227" s="74"/>
      <c r="AR1227" s="74"/>
      <c r="AS1227" s="565"/>
      <c r="AT1227" s="556"/>
    </row>
    <row r="1228" spans="1:46" hidden="1" x14ac:dyDescent="0.45">
      <c r="A1228" s="556"/>
      <c r="B1228" s="556"/>
      <c r="C1228" s="556"/>
      <c r="D1228" s="556"/>
      <c r="E1228" s="556"/>
      <c r="F1228" s="564"/>
      <c r="G1228" s="564"/>
      <c r="H1228" s="564"/>
      <c r="I1228" s="564"/>
      <c r="J1228" s="564"/>
      <c r="K1228" s="564"/>
      <c r="L1228" s="564"/>
      <c r="M1228" s="564"/>
      <c r="N1228" s="564"/>
      <c r="O1228" s="564"/>
      <c r="P1228" s="564"/>
      <c r="Q1228" s="564"/>
      <c r="R1228" s="564"/>
      <c r="S1228" s="564"/>
      <c r="T1228" s="564"/>
      <c r="U1228" s="564"/>
      <c r="V1228" s="564"/>
      <c r="W1228" s="564"/>
      <c r="X1228" s="564"/>
      <c r="Y1228" s="564"/>
      <c r="Z1228" s="564"/>
      <c r="AA1228" s="564"/>
      <c r="AB1228" s="556"/>
      <c r="AC1228" s="556"/>
      <c r="AD1228" s="74"/>
      <c r="AE1228" s="74"/>
      <c r="AF1228" s="74"/>
      <c r="AG1228" s="74"/>
      <c r="AH1228" s="74"/>
      <c r="AI1228" s="74"/>
      <c r="AJ1228" s="74"/>
      <c r="AK1228" s="74"/>
      <c r="AL1228" s="74"/>
      <c r="AM1228" s="74"/>
      <c r="AN1228" s="74"/>
      <c r="AO1228" s="74"/>
      <c r="AP1228" s="74"/>
      <c r="AQ1228" s="74"/>
      <c r="AR1228" s="74"/>
      <c r="AS1228" s="565"/>
      <c r="AT1228" s="556"/>
    </row>
    <row r="1229" spans="1:46" hidden="1" x14ac:dyDescent="0.45">
      <c r="A1229" s="556"/>
      <c r="B1229" s="556"/>
      <c r="C1229" s="556"/>
      <c r="D1229" s="556"/>
      <c r="E1229" s="556"/>
      <c r="F1229" s="564"/>
      <c r="G1229" s="564"/>
      <c r="H1229" s="564"/>
      <c r="I1229" s="564"/>
      <c r="J1229" s="564"/>
      <c r="K1229" s="564"/>
      <c r="L1229" s="564"/>
      <c r="M1229" s="564"/>
      <c r="N1229" s="564"/>
      <c r="O1229" s="564"/>
      <c r="P1229" s="564"/>
      <c r="Q1229" s="564"/>
      <c r="R1229" s="564"/>
      <c r="S1229" s="564"/>
      <c r="T1229" s="564"/>
      <c r="U1229" s="564"/>
      <c r="V1229" s="564"/>
      <c r="W1229" s="564"/>
      <c r="X1229" s="564"/>
      <c r="Y1229" s="564"/>
      <c r="Z1229" s="564"/>
      <c r="AA1229" s="564"/>
      <c r="AB1229" s="556"/>
      <c r="AC1229" s="556"/>
      <c r="AD1229" s="74"/>
      <c r="AE1229" s="74"/>
      <c r="AF1229" s="74"/>
      <c r="AG1229" s="74"/>
      <c r="AH1229" s="74"/>
      <c r="AI1229" s="74"/>
      <c r="AJ1229" s="74"/>
      <c r="AK1229" s="74"/>
      <c r="AL1229" s="74"/>
      <c r="AM1229" s="74"/>
      <c r="AN1229" s="74"/>
      <c r="AO1229" s="74"/>
      <c r="AP1229" s="74"/>
      <c r="AQ1229" s="74"/>
      <c r="AR1229" s="74"/>
      <c r="AS1229" s="565"/>
      <c r="AT1229" s="556"/>
    </row>
    <row r="1230" spans="1:46" hidden="1" x14ac:dyDescent="0.45">
      <c r="A1230" s="556"/>
      <c r="B1230" s="556"/>
      <c r="C1230" s="556"/>
      <c r="D1230" s="556"/>
      <c r="E1230" s="556"/>
      <c r="F1230" s="564"/>
      <c r="G1230" s="564"/>
      <c r="H1230" s="564"/>
      <c r="I1230" s="564"/>
      <c r="J1230" s="564"/>
      <c r="K1230" s="564"/>
      <c r="L1230" s="564"/>
      <c r="M1230" s="564"/>
      <c r="N1230" s="564"/>
      <c r="O1230" s="564"/>
      <c r="P1230" s="564"/>
      <c r="Q1230" s="564"/>
      <c r="R1230" s="564"/>
      <c r="S1230" s="564"/>
      <c r="T1230" s="564"/>
      <c r="U1230" s="564"/>
      <c r="V1230" s="564"/>
      <c r="W1230" s="564"/>
      <c r="X1230" s="564"/>
      <c r="Y1230" s="564"/>
      <c r="Z1230" s="564"/>
      <c r="AA1230" s="564"/>
      <c r="AB1230" s="556"/>
      <c r="AC1230" s="556"/>
      <c r="AD1230" s="74"/>
      <c r="AE1230" s="74"/>
      <c r="AF1230" s="74"/>
      <c r="AG1230" s="74"/>
      <c r="AH1230" s="74"/>
      <c r="AI1230" s="74"/>
      <c r="AJ1230" s="74"/>
      <c r="AK1230" s="74"/>
      <c r="AL1230" s="74"/>
      <c r="AM1230" s="74"/>
      <c r="AN1230" s="74"/>
      <c r="AO1230" s="74"/>
      <c r="AP1230" s="74"/>
      <c r="AQ1230" s="74"/>
      <c r="AR1230" s="74"/>
      <c r="AS1230" s="565"/>
      <c r="AT1230" s="556"/>
    </row>
    <row r="1231" spans="1:46" hidden="1" x14ac:dyDescent="0.45">
      <c r="A1231" s="556"/>
      <c r="B1231" s="556"/>
      <c r="C1231" s="556"/>
      <c r="D1231" s="556"/>
      <c r="E1231" s="556"/>
      <c r="F1231" s="564"/>
      <c r="G1231" s="564"/>
      <c r="H1231" s="564"/>
      <c r="I1231" s="564"/>
      <c r="J1231" s="564"/>
      <c r="K1231" s="564"/>
      <c r="L1231" s="564"/>
      <c r="M1231" s="564"/>
      <c r="N1231" s="564"/>
      <c r="O1231" s="564"/>
      <c r="P1231" s="564"/>
      <c r="Q1231" s="564"/>
      <c r="R1231" s="564"/>
      <c r="S1231" s="564"/>
      <c r="T1231" s="564"/>
      <c r="U1231" s="564"/>
      <c r="V1231" s="564"/>
      <c r="W1231" s="564"/>
      <c r="X1231" s="564"/>
      <c r="Y1231" s="564"/>
      <c r="Z1231" s="564"/>
      <c r="AA1231" s="564"/>
      <c r="AB1231" s="556"/>
      <c r="AC1231" s="556"/>
      <c r="AD1231" s="74"/>
      <c r="AE1231" s="74"/>
      <c r="AF1231" s="74"/>
      <c r="AG1231" s="74"/>
      <c r="AH1231" s="74"/>
      <c r="AI1231" s="74"/>
      <c r="AJ1231" s="74"/>
      <c r="AK1231" s="74"/>
      <c r="AL1231" s="74"/>
      <c r="AM1231" s="74"/>
      <c r="AN1231" s="74"/>
      <c r="AO1231" s="74"/>
      <c r="AP1231" s="74"/>
      <c r="AQ1231" s="74"/>
      <c r="AR1231" s="74"/>
      <c r="AS1231" s="565"/>
      <c r="AT1231" s="556"/>
    </row>
    <row r="1232" spans="1:46" hidden="1" x14ac:dyDescent="0.45">
      <c r="A1232" s="556"/>
      <c r="B1232" s="556"/>
      <c r="C1232" s="556"/>
      <c r="D1232" s="556"/>
      <c r="E1232" s="556"/>
      <c r="F1232" s="564"/>
      <c r="G1232" s="564"/>
      <c r="H1232" s="564"/>
      <c r="I1232" s="564"/>
      <c r="J1232" s="564"/>
      <c r="K1232" s="564"/>
      <c r="L1232" s="564"/>
      <c r="M1232" s="564"/>
      <c r="N1232" s="564"/>
      <c r="O1232" s="564"/>
      <c r="P1232" s="564"/>
      <c r="Q1232" s="564"/>
      <c r="R1232" s="564"/>
      <c r="S1232" s="564"/>
      <c r="T1232" s="564"/>
      <c r="U1232" s="564"/>
      <c r="V1232" s="564"/>
      <c r="W1232" s="564"/>
      <c r="X1232" s="564"/>
      <c r="Y1232" s="564"/>
      <c r="Z1232" s="564"/>
      <c r="AA1232" s="564"/>
      <c r="AB1232" s="556"/>
      <c r="AC1232" s="556"/>
      <c r="AD1232" s="74"/>
      <c r="AE1232" s="74"/>
      <c r="AF1232" s="74"/>
      <c r="AG1232" s="74"/>
      <c r="AH1232" s="74"/>
      <c r="AI1232" s="74"/>
      <c r="AJ1232" s="74"/>
      <c r="AK1232" s="74"/>
      <c r="AL1232" s="74"/>
      <c r="AM1232" s="74"/>
      <c r="AN1232" s="74"/>
      <c r="AO1232" s="74"/>
      <c r="AP1232" s="74"/>
      <c r="AQ1232" s="74"/>
      <c r="AR1232" s="74"/>
      <c r="AS1232" s="565"/>
      <c r="AT1232" s="556"/>
    </row>
    <row r="1233" spans="1:46" hidden="1" x14ac:dyDescent="0.45">
      <c r="A1233" s="556"/>
      <c r="B1233" s="556"/>
      <c r="C1233" s="556"/>
      <c r="D1233" s="556"/>
      <c r="E1233" s="556"/>
      <c r="F1233" s="564"/>
      <c r="G1233" s="564"/>
      <c r="H1233" s="564"/>
      <c r="I1233" s="564"/>
      <c r="J1233" s="564"/>
      <c r="K1233" s="564"/>
      <c r="L1233" s="564"/>
      <c r="M1233" s="564"/>
      <c r="N1233" s="564"/>
      <c r="O1233" s="564"/>
      <c r="P1233" s="564"/>
      <c r="Q1233" s="564"/>
      <c r="R1233" s="564"/>
      <c r="S1233" s="564"/>
      <c r="T1233" s="564"/>
      <c r="U1233" s="564"/>
      <c r="V1233" s="564"/>
      <c r="W1233" s="564"/>
      <c r="X1233" s="564"/>
      <c r="Y1233" s="564"/>
      <c r="Z1233" s="564"/>
      <c r="AA1233" s="564"/>
      <c r="AB1233" s="556"/>
      <c r="AC1233" s="556"/>
      <c r="AD1233" s="74"/>
      <c r="AE1233" s="74"/>
      <c r="AF1233" s="74"/>
      <c r="AG1233" s="74"/>
      <c r="AH1233" s="74"/>
      <c r="AI1233" s="74"/>
      <c r="AJ1233" s="74"/>
      <c r="AK1233" s="74"/>
      <c r="AL1233" s="74"/>
      <c r="AM1233" s="74"/>
      <c r="AN1233" s="74"/>
      <c r="AO1233" s="74"/>
      <c r="AP1233" s="74"/>
      <c r="AQ1233" s="74"/>
      <c r="AR1233" s="74"/>
      <c r="AS1233" s="565"/>
      <c r="AT1233" s="556"/>
    </row>
    <row r="1234" spans="1:46" hidden="1" x14ac:dyDescent="0.45">
      <c r="A1234" s="556"/>
      <c r="B1234" s="556"/>
      <c r="C1234" s="556"/>
      <c r="D1234" s="556"/>
      <c r="E1234" s="556"/>
      <c r="F1234" s="564"/>
      <c r="G1234" s="564"/>
      <c r="H1234" s="564"/>
      <c r="I1234" s="564"/>
      <c r="J1234" s="564"/>
      <c r="K1234" s="564"/>
      <c r="L1234" s="564"/>
      <c r="M1234" s="564"/>
      <c r="N1234" s="564"/>
      <c r="O1234" s="564"/>
      <c r="P1234" s="564"/>
      <c r="Q1234" s="564"/>
      <c r="R1234" s="564"/>
      <c r="S1234" s="564"/>
      <c r="T1234" s="564"/>
      <c r="U1234" s="564"/>
      <c r="V1234" s="564"/>
      <c r="W1234" s="564"/>
      <c r="X1234" s="564"/>
      <c r="Y1234" s="564"/>
      <c r="Z1234" s="564"/>
      <c r="AA1234" s="564"/>
      <c r="AB1234" s="556"/>
      <c r="AC1234" s="556"/>
      <c r="AD1234" s="74"/>
      <c r="AE1234" s="74"/>
      <c r="AF1234" s="74"/>
      <c r="AG1234" s="74"/>
      <c r="AH1234" s="74"/>
      <c r="AI1234" s="74"/>
      <c r="AJ1234" s="74"/>
      <c r="AK1234" s="74"/>
      <c r="AL1234" s="74"/>
      <c r="AM1234" s="74"/>
      <c r="AN1234" s="74"/>
      <c r="AO1234" s="74"/>
      <c r="AP1234" s="74"/>
      <c r="AQ1234" s="74"/>
      <c r="AR1234" s="74"/>
      <c r="AS1234" s="565"/>
      <c r="AT1234" s="556"/>
    </row>
    <row r="1235" spans="1:46" hidden="1" x14ac:dyDescent="0.45">
      <c r="A1235" s="556"/>
      <c r="B1235" s="556"/>
      <c r="C1235" s="556"/>
      <c r="D1235" s="556"/>
      <c r="E1235" s="556"/>
      <c r="F1235" s="564"/>
      <c r="G1235" s="564"/>
      <c r="H1235" s="564"/>
      <c r="I1235" s="564"/>
      <c r="J1235" s="564"/>
      <c r="K1235" s="564"/>
      <c r="L1235" s="564"/>
      <c r="M1235" s="564"/>
      <c r="N1235" s="564"/>
      <c r="O1235" s="564"/>
      <c r="P1235" s="564"/>
      <c r="Q1235" s="564"/>
      <c r="R1235" s="564"/>
      <c r="S1235" s="564"/>
      <c r="T1235" s="564"/>
      <c r="U1235" s="564"/>
      <c r="V1235" s="564"/>
      <c r="W1235" s="564"/>
      <c r="X1235" s="564"/>
      <c r="Y1235" s="564"/>
      <c r="Z1235" s="564"/>
      <c r="AA1235" s="564"/>
      <c r="AB1235" s="556"/>
      <c r="AC1235" s="556"/>
      <c r="AD1235" s="74"/>
      <c r="AE1235" s="74"/>
      <c r="AF1235" s="74"/>
      <c r="AG1235" s="74"/>
      <c r="AH1235" s="74"/>
      <c r="AI1235" s="74"/>
      <c r="AJ1235" s="74"/>
      <c r="AK1235" s="74"/>
      <c r="AL1235" s="74"/>
      <c r="AM1235" s="74"/>
      <c r="AN1235" s="74"/>
      <c r="AO1235" s="74"/>
      <c r="AP1235" s="74"/>
      <c r="AQ1235" s="74"/>
      <c r="AR1235" s="74"/>
      <c r="AS1235" s="565"/>
      <c r="AT1235" s="556"/>
    </row>
    <row r="1236" spans="1:46" hidden="1" x14ac:dyDescent="0.45">
      <c r="A1236" s="556"/>
      <c r="B1236" s="556"/>
      <c r="C1236" s="556"/>
      <c r="D1236" s="556"/>
      <c r="E1236" s="556"/>
      <c r="F1236" s="564"/>
      <c r="G1236" s="564"/>
      <c r="H1236" s="564"/>
      <c r="I1236" s="564"/>
      <c r="J1236" s="564"/>
      <c r="K1236" s="564"/>
      <c r="L1236" s="564"/>
      <c r="M1236" s="564"/>
      <c r="N1236" s="564"/>
      <c r="O1236" s="564"/>
      <c r="P1236" s="564"/>
      <c r="Q1236" s="564"/>
      <c r="R1236" s="564"/>
      <c r="S1236" s="564"/>
      <c r="T1236" s="564"/>
      <c r="U1236" s="564"/>
      <c r="V1236" s="564"/>
      <c r="W1236" s="564"/>
      <c r="X1236" s="564"/>
      <c r="Y1236" s="564"/>
      <c r="Z1236" s="564"/>
      <c r="AA1236" s="564"/>
      <c r="AB1236" s="556"/>
      <c r="AC1236" s="556"/>
      <c r="AD1236" s="74"/>
      <c r="AE1236" s="74"/>
      <c r="AF1236" s="74"/>
      <c r="AG1236" s="74"/>
      <c r="AH1236" s="74"/>
      <c r="AI1236" s="74"/>
      <c r="AJ1236" s="74"/>
      <c r="AK1236" s="74"/>
      <c r="AL1236" s="74"/>
      <c r="AM1236" s="74"/>
      <c r="AN1236" s="74"/>
      <c r="AO1236" s="74"/>
      <c r="AP1236" s="74"/>
      <c r="AQ1236" s="74"/>
      <c r="AR1236" s="74"/>
      <c r="AS1236" s="565"/>
      <c r="AT1236" s="556"/>
    </row>
    <row r="1237" spans="1:46" hidden="1" x14ac:dyDescent="0.45">
      <c r="A1237" s="556"/>
      <c r="B1237" s="556"/>
      <c r="C1237" s="556"/>
      <c r="D1237" s="556"/>
      <c r="E1237" s="556"/>
      <c r="F1237" s="564"/>
      <c r="G1237" s="564"/>
      <c r="H1237" s="564"/>
      <c r="I1237" s="564"/>
      <c r="J1237" s="564"/>
      <c r="K1237" s="564"/>
      <c r="L1237" s="564"/>
      <c r="M1237" s="564"/>
      <c r="N1237" s="564"/>
      <c r="O1237" s="564"/>
      <c r="P1237" s="564"/>
      <c r="Q1237" s="564"/>
      <c r="R1237" s="564"/>
      <c r="S1237" s="564"/>
      <c r="T1237" s="564"/>
      <c r="U1237" s="564"/>
      <c r="V1237" s="564"/>
      <c r="W1237" s="564"/>
      <c r="X1237" s="564"/>
      <c r="Y1237" s="564"/>
      <c r="Z1237" s="564"/>
      <c r="AA1237" s="564"/>
      <c r="AB1237" s="556"/>
      <c r="AC1237" s="556"/>
      <c r="AD1237" s="74"/>
      <c r="AE1237" s="74"/>
      <c r="AF1237" s="74"/>
      <c r="AG1237" s="74"/>
      <c r="AH1237" s="74"/>
      <c r="AI1237" s="74"/>
      <c r="AJ1237" s="74"/>
      <c r="AK1237" s="74"/>
      <c r="AL1237" s="74"/>
      <c r="AM1237" s="74"/>
      <c r="AN1237" s="74"/>
      <c r="AO1237" s="74"/>
      <c r="AP1237" s="74"/>
      <c r="AQ1237" s="74"/>
      <c r="AR1237" s="74"/>
      <c r="AS1237" s="565"/>
      <c r="AT1237" s="556"/>
    </row>
    <row r="1238" spans="1:46" hidden="1" x14ac:dyDescent="0.45">
      <c r="A1238" s="556"/>
      <c r="B1238" s="556"/>
      <c r="C1238" s="556"/>
      <c r="D1238" s="556"/>
      <c r="E1238" s="556"/>
      <c r="F1238" s="564"/>
      <c r="G1238" s="564"/>
      <c r="H1238" s="564"/>
      <c r="I1238" s="564"/>
      <c r="J1238" s="564"/>
      <c r="K1238" s="564"/>
      <c r="L1238" s="564"/>
      <c r="M1238" s="564"/>
      <c r="N1238" s="564"/>
      <c r="O1238" s="564"/>
      <c r="P1238" s="564"/>
      <c r="Q1238" s="564"/>
      <c r="R1238" s="564"/>
      <c r="S1238" s="564"/>
      <c r="T1238" s="564"/>
      <c r="U1238" s="564"/>
      <c r="V1238" s="564"/>
      <c r="W1238" s="564"/>
      <c r="X1238" s="564"/>
      <c r="Y1238" s="564"/>
      <c r="Z1238" s="564"/>
      <c r="AA1238" s="564"/>
      <c r="AB1238" s="556"/>
      <c r="AC1238" s="556"/>
      <c r="AD1238" s="74"/>
      <c r="AE1238" s="74"/>
      <c r="AF1238" s="74"/>
      <c r="AG1238" s="74"/>
      <c r="AH1238" s="74"/>
      <c r="AI1238" s="74"/>
      <c r="AJ1238" s="74"/>
      <c r="AK1238" s="74"/>
      <c r="AL1238" s="74"/>
      <c r="AM1238" s="74"/>
      <c r="AN1238" s="74"/>
      <c r="AO1238" s="74"/>
      <c r="AP1238" s="74"/>
      <c r="AQ1238" s="74"/>
      <c r="AR1238" s="74"/>
      <c r="AS1238" s="565"/>
      <c r="AT1238" s="556"/>
    </row>
    <row r="1239" spans="1:46" hidden="1" x14ac:dyDescent="0.45">
      <c r="A1239" s="556"/>
      <c r="B1239" s="556"/>
      <c r="C1239" s="556"/>
      <c r="D1239" s="556"/>
      <c r="E1239" s="556"/>
      <c r="F1239" s="564"/>
      <c r="G1239" s="564"/>
      <c r="H1239" s="564"/>
      <c r="I1239" s="564"/>
      <c r="J1239" s="564"/>
      <c r="K1239" s="564"/>
      <c r="L1239" s="564"/>
      <c r="M1239" s="564"/>
      <c r="N1239" s="564"/>
      <c r="O1239" s="564"/>
      <c r="P1239" s="564"/>
      <c r="Q1239" s="564"/>
      <c r="R1239" s="564"/>
      <c r="S1239" s="564"/>
      <c r="T1239" s="564"/>
      <c r="U1239" s="564"/>
      <c r="V1239" s="564"/>
      <c r="W1239" s="564"/>
      <c r="X1239" s="564"/>
      <c r="Y1239" s="564"/>
      <c r="Z1239" s="564"/>
      <c r="AA1239" s="564"/>
      <c r="AB1239" s="556"/>
      <c r="AC1239" s="556"/>
      <c r="AD1239" s="74"/>
      <c r="AE1239" s="74"/>
      <c r="AF1239" s="74"/>
      <c r="AG1239" s="74"/>
      <c r="AH1239" s="74"/>
      <c r="AI1239" s="74"/>
      <c r="AJ1239" s="74"/>
      <c r="AK1239" s="74"/>
      <c r="AL1239" s="74"/>
      <c r="AM1239" s="74"/>
      <c r="AN1239" s="74"/>
      <c r="AO1239" s="74"/>
      <c r="AP1239" s="74"/>
      <c r="AQ1239" s="74"/>
      <c r="AR1239" s="74"/>
      <c r="AS1239" s="565"/>
      <c r="AT1239" s="556"/>
    </row>
    <row r="1240" spans="1:46" hidden="1" x14ac:dyDescent="0.45">
      <c r="A1240" s="556"/>
      <c r="B1240" s="556"/>
      <c r="C1240" s="556"/>
      <c r="D1240" s="556"/>
      <c r="E1240" s="556"/>
      <c r="F1240" s="564"/>
      <c r="G1240" s="564"/>
      <c r="H1240" s="564"/>
      <c r="I1240" s="564"/>
      <c r="J1240" s="564"/>
      <c r="K1240" s="564"/>
      <c r="L1240" s="564"/>
      <c r="M1240" s="564"/>
      <c r="N1240" s="564"/>
      <c r="O1240" s="564"/>
      <c r="P1240" s="564"/>
      <c r="Q1240" s="564"/>
      <c r="R1240" s="564"/>
      <c r="S1240" s="564"/>
      <c r="T1240" s="564"/>
      <c r="U1240" s="564"/>
      <c r="V1240" s="564"/>
      <c r="W1240" s="564"/>
      <c r="X1240" s="564"/>
      <c r="Y1240" s="564"/>
      <c r="Z1240" s="564"/>
      <c r="AA1240" s="564"/>
      <c r="AB1240" s="556"/>
      <c r="AC1240" s="556"/>
      <c r="AD1240" s="74"/>
      <c r="AE1240" s="74"/>
      <c r="AF1240" s="74"/>
      <c r="AG1240" s="74"/>
      <c r="AH1240" s="74"/>
      <c r="AI1240" s="74"/>
      <c r="AJ1240" s="74"/>
      <c r="AK1240" s="74"/>
      <c r="AL1240" s="74"/>
      <c r="AM1240" s="74"/>
      <c r="AN1240" s="74"/>
      <c r="AO1240" s="74"/>
      <c r="AP1240" s="74"/>
      <c r="AQ1240" s="74"/>
      <c r="AR1240" s="74"/>
      <c r="AS1240" s="565"/>
      <c r="AT1240" s="556"/>
    </row>
    <row r="1241" spans="1:46" hidden="1" x14ac:dyDescent="0.45">
      <c r="A1241" s="556"/>
      <c r="B1241" s="556"/>
      <c r="C1241" s="556"/>
      <c r="D1241" s="556"/>
      <c r="E1241" s="556"/>
      <c r="F1241" s="564"/>
      <c r="G1241" s="564"/>
      <c r="H1241" s="564"/>
      <c r="I1241" s="564"/>
      <c r="J1241" s="564"/>
      <c r="K1241" s="564"/>
      <c r="L1241" s="564"/>
      <c r="M1241" s="564"/>
      <c r="N1241" s="564"/>
      <c r="O1241" s="564"/>
      <c r="P1241" s="564"/>
      <c r="Q1241" s="564"/>
      <c r="R1241" s="564"/>
      <c r="S1241" s="564"/>
      <c r="T1241" s="564"/>
      <c r="U1241" s="564"/>
      <c r="V1241" s="564"/>
      <c r="W1241" s="564"/>
      <c r="X1241" s="564"/>
      <c r="Y1241" s="564"/>
      <c r="Z1241" s="564"/>
      <c r="AA1241" s="564"/>
      <c r="AB1241" s="556"/>
      <c r="AC1241" s="556"/>
      <c r="AD1241" s="74"/>
      <c r="AE1241" s="74"/>
      <c r="AF1241" s="74"/>
      <c r="AG1241" s="74"/>
      <c r="AH1241" s="74"/>
      <c r="AI1241" s="74"/>
      <c r="AJ1241" s="74"/>
      <c r="AK1241" s="74"/>
      <c r="AL1241" s="74"/>
      <c r="AM1241" s="74"/>
      <c r="AN1241" s="74"/>
      <c r="AO1241" s="74"/>
      <c r="AP1241" s="74"/>
      <c r="AQ1241" s="74"/>
      <c r="AR1241" s="74"/>
      <c r="AS1241" s="565"/>
      <c r="AT1241" s="556"/>
    </row>
    <row r="1242" spans="1:46" hidden="1" x14ac:dyDescent="0.45">
      <c r="A1242" s="556"/>
      <c r="B1242" s="556"/>
      <c r="C1242" s="556"/>
      <c r="D1242" s="556"/>
      <c r="E1242" s="556"/>
      <c r="F1242" s="564"/>
      <c r="G1242" s="564"/>
      <c r="H1242" s="564"/>
      <c r="I1242" s="564"/>
      <c r="J1242" s="564"/>
      <c r="K1242" s="564"/>
      <c r="L1242" s="564"/>
      <c r="M1242" s="564"/>
      <c r="N1242" s="564"/>
      <c r="O1242" s="564"/>
      <c r="P1242" s="564"/>
      <c r="Q1242" s="564"/>
      <c r="R1242" s="564"/>
      <c r="S1242" s="564"/>
      <c r="T1242" s="564"/>
      <c r="U1242" s="564"/>
      <c r="V1242" s="564"/>
      <c r="W1242" s="564"/>
      <c r="X1242" s="564"/>
      <c r="Y1242" s="564"/>
      <c r="Z1242" s="564"/>
      <c r="AA1242" s="564"/>
      <c r="AB1242" s="556"/>
      <c r="AC1242" s="556"/>
      <c r="AD1242" s="74"/>
      <c r="AE1242" s="74"/>
      <c r="AF1242" s="74"/>
      <c r="AG1242" s="74"/>
      <c r="AH1242" s="74"/>
      <c r="AI1242" s="74"/>
      <c r="AJ1242" s="74"/>
      <c r="AK1242" s="74"/>
      <c r="AL1242" s="74"/>
      <c r="AM1242" s="74"/>
      <c r="AN1242" s="74"/>
      <c r="AO1242" s="74"/>
      <c r="AP1242" s="74"/>
      <c r="AQ1242" s="74"/>
      <c r="AR1242" s="74"/>
      <c r="AS1242" s="565"/>
      <c r="AT1242" s="556"/>
    </row>
    <row r="1243" spans="1:46" hidden="1" x14ac:dyDescent="0.45">
      <c r="A1243" s="556"/>
      <c r="B1243" s="556"/>
      <c r="C1243" s="556"/>
      <c r="D1243" s="556"/>
      <c r="E1243" s="556"/>
      <c r="F1243" s="564"/>
      <c r="G1243" s="564"/>
      <c r="H1243" s="564"/>
      <c r="I1243" s="564"/>
      <c r="J1243" s="564"/>
      <c r="K1243" s="564"/>
      <c r="L1243" s="564"/>
      <c r="M1243" s="564"/>
      <c r="N1243" s="564"/>
      <c r="O1243" s="564"/>
      <c r="P1243" s="564"/>
      <c r="Q1243" s="564"/>
      <c r="R1243" s="564"/>
      <c r="S1243" s="564"/>
      <c r="T1243" s="564"/>
      <c r="U1243" s="564"/>
      <c r="V1243" s="564"/>
      <c r="W1243" s="564"/>
      <c r="X1243" s="564"/>
      <c r="Y1243" s="564"/>
      <c r="Z1243" s="564"/>
      <c r="AA1243" s="564"/>
      <c r="AB1243" s="556"/>
      <c r="AC1243" s="556"/>
      <c r="AD1243" s="74"/>
      <c r="AE1243" s="74"/>
      <c r="AF1243" s="74"/>
      <c r="AG1243" s="74"/>
      <c r="AH1243" s="74"/>
      <c r="AI1243" s="74"/>
      <c r="AJ1243" s="74"/>
      <c r="AK1243" s="74"/>
      <c r="AL1243" s="74"/>
      <c r="AM1243" s="74"/>
      <c r="AN1243" s="74"/>
      <c r="AO1243" s="74"/>
      <c r="AP1243" s="74"/>
      <c r="AQ1243" s="74"/>
      <c r="AR1243" s="74"/>
      <c r="AS1243" s="565"/>
      <c r="AT1243" s="556"/>
    </row>
    <row r="1244" spans="1:46" hidden="1" x14ac:dyDescent="0.45">
      <c r="A1244" s="556"/>
      <c r="B1244" s="556"/>
      <c r="C1244" s="556"/>
      <c r="D1244" s="556"/>
      <c r="E1244" s="556"/>
      <c r="F1244" s="564"/>
      <c r="G1244" s="564"/>
      <c r="H1244" s="564"/>
      <c r="I1244" s="564"/>
      <c r="J1244" s="564"/>
      <c r="K1244" s="564"/>
      <c r="L1244" s="564"/>
      <c r="M1244" s="564"/>
      <c r="N1244" s="564"/>
      <c r="O1244" s="564"/>
      <c r="P1244" s="564"/>
      <c r="Q1244" s="564"/>
      <c r="R1244" s="564"/>
      <c r="S1244" s="564"/>
      <c r="T1244" s="564"/>
      <c r="U1244" s="564"/>
      <c r="V1244" s="564"/>
      <c r="W1244" s="564"/>
      <c r="X1244" s="564"/>
      <c r="Y1244" s="564"/>
      <c r="Z1244" s="564"/>
      <c r="AA1244" s="564"/>
      <c r="AB1244" s="556"/>
      <c r="AC1244" s="556"/>
      <c r="AD1244" s="74"/>
      <c r="AE1244" s="74"/>
      <c r="AF1244" s="74"/>
      <c r="AG1244" s="74"/>
      <c r="AH1244" s="74"/>
      <c r="AI1244" s="74"/>
      <c r="AJ1244" s="74"/>
      <c r="AK1244" s="74"/>
      <c r="AL1244" s="74"/>
      <c r="AM1244" s="74"/>
      <c r="AN1244" s="74"/>
      <c r="AO1244" s="74"/>
      <c r="AP1244" s="74"/>
      <c r="AQ1244" s="74"/>
      <c r="AR1244" s="74"/>
      <c r="AS1244" s="565"/>
      <c r="AT1244" s="556"/>
    </row>
    <row r="1245" spans="1:46" hidden="1" x14ac:dyDescent="0.45">
      <c r="A1245" s="556"/>
      <c r="B1245" s="556"/>
      <c r="C1245" s="556"/>
      <c r="D1245" s="556"/>
      <c r="E1245" s="556"/>
      <c r="F1245" s="564"/>
      <c r="G1245" s="564"/>
      <c r="H1245" s="564"/>
      <c r="I1245" s="564"/>
      <c r="J1245" s="564"/>
      <c r="K1245" s="564"/>
      <c r="L1245" s="564"/>
      <c r="M1245" s="564"/>
      <c r="N1245" s="564"/>
      <c r="O1245" s="564"/>
      <c r="P1245" s="564"/>
      <c r="Q1245" s="564"/>
      <c r="R1245" s="564"/>
      <c r="S1245" s="564"/>
      <c r="T1245" s="564"/>
      <c r="U1245" s="564"/>
      <c r="V1245" s="564"/>
      <c r="W1245" s="564"/>
      <c r="X1245" s="564"/>
      <c r="Y1245" s="564"/>
      <c r="Z1245" s="564"/>
      <c r="AA1245" s="564"/>
      <c r="AB1245" s="556"/>
      <c r="AC1245" s="556"/>
      <c r="AD1245" s="74"/>
      <c r="AE1245" s="74"/>
      <c r="AF1245" s="74"/>
      <c r="AG1245" s="74"/>
      <c r="AH1245" s="74"/>
      <c r="AI1245" s="74"/>
      <c r="AJ1245" s="74"/>
      <c r="AK1245" s="74"/>
      <c r="AL1245" s="74"/>
      <c r="AM1245" s="74"/>
      <c r="AN1245" s="74"/>
      <c r="AO1245" s="74"/>
      <c r="AP1245" s="74"/>
      <c r="AQ1245" s="74"/>
      <c r="AR1245" s="74"/>
      <c r="AS1245" s="565"/>
      <c r="AT1245" s="556"/>
    </row>
    <row r="1246" spans="1:46" hidden="1" x14ac:dyDescent="0.45">
      <c r="A1246" s="556"/>
      <c r="B1246" s="556"/>
      <c r="C1246" s="556"/>
      <c r="D1246" s="556"/>
      <c r="E1246" s="556"/>
      <c r="F1246" s="564"/>
      <c r="G1246" s="564"/>
      <c r="H1246" s="564"/>
      <c r="I1246" s="564"/>
      <c r="J1246" s="564"/>
      <c r="K1246" s="564"/>
      <c r="L1246" s="564"/>
      <c r="M1246" s="564"/>
      <c r="N1246" s="564"/>
      <c r="O1246" s="564"/>
      <c r="P1246" s="564"/>
      <c r="Q1246" s="564"/>
      <c r="R1246" s="564"/>
      <c r="S1246" s="564"/>
      <c r="T1246" s="564"/>
      <c r="U1246" s="564"/>
      <c r="V1246" s="564"/>
      <c r="W1246" s="564"/>
      <c r="X1246" s="564"/>
      <c r="Y1246" s="564"/>
      <c r="Z1246" s="564"/>
      <c r="AA1246" s="564"/>
      <c r="AB1246" s="556"/>
      <c r="AC1246" s="556"/>
      <c r="AD1246" s="74"/>
      <c r="AE1246" s="74"/>
      <c r="AF1246" s="74"/>
      <c r="AG1246" s="74"/>
      <c r="AH1246" s="74"/>
      <c r="AI1246" s="74"/>
      <c r="AJ1246" s="74"/>
      <c r="AK1246" s="74"/>
      <c r="AL1246" s="74"/>
      <c r="AM1246" s="74"/>
      <c r="AN1246" s="74"/>
      <c r="AO1246" s="74"/>
      <c r="AP1246" s="74"/>
      <c r="AQ1246" s="74"/>
      <c r="AR1246" s="74"/>
      <c r="AS1246" s="565"/>
      <c r="AT1246" s="556"/>
    </row>
    <row r="1247" spans="1:46" hidden="1" x14ac:dyDescent="0.45">
      <c r="A1247" s="556"/>
      <c r="B1247" s="556"/>
      <c r="C1247" s="556"/>
      <c r="D1247" s="556"/>
      <c r="E1247" s="556"/>
      <c r="F1247" s="564"/>
      <c r="G1247" s="564"/>
      <c r="H1247" s="564"/>
      <c r="I1247" s="564"/>
      <c r="J1247" s="564"/>
      <c r="K1247" s="564"/>
      <c r="L1247" s="564"/>
      <c r="M1247" s="564"/>
      <c r="N1247" s="564"/>
      <c r="O1247" s="564"/>
      <c r="P1247" s="564"/>
      <c r="Q1247" s="564"/>
      <c r="R1247" s="564"/>
      <c r="S1247" s="564"/>
      <c r="T1247" s="564"/>
      <c r="U1247" s="564"/>
      <c r="V1247" s="564"/>
      <c r="W1247" s="564"/>
      <c r="X1247" s="564"/>
      <c r="Y1247" s="564"/>
      <c r="Z1247" s="564"/>
      <c r="AA1247" s="564"/>
      <c r="AB1247" s="556"/>
      <c r="AC1247" s="556"/>
      <c r="AD1247" s="74"/>
      <c r="AE1247" s="74"/>
      <c r="AF1247" s="74"/>
      <c r="AG1247" s="74"/>
      <c r="AH1247" s="74"/>
      <c r="AI1247" s="74"/>
      <c r="AJ1247" s="74"/>
      <c r="AK1247" s="74"/>
      <c r="AL1247" s="74"/>
      <c r="AM1247" s="74"/>
      <c r="AN1247" s="74"/>
      <c r="AO1247" s="74"/>
      <c r="AP1247" s="74"/>
      <c r="AQ1247" s="74"/>
      <c r="AR1247" s="74"/>
      <c r="AS1247" s="565"/>
      <c r="AT1247" s="556"/>
    </row>
    <row r="1248" spans="1:46" hidden="1" x14ac:dyDescent="0.45">
      <c r="A1248" s="556"/>
      <c r="B1248" s="556"/>
      <c r="C1248" s="556"/>
      <c r="D1248" s="556"/>
      <c r="E1248" s="556"/>
      <c r="F1248" s="564"/>
      <c r="G1248" s="564"/>
      <c r="H1248" s="564"/>
      <c r="I1248" s="564"/>
      <c r="J1248" s="564"/>
      <c r="K1248" s="564"/>
      <c r="L1248" s="564"/>
      <c r="M1248" s="564"/>
      <c r="N1248" s="564"/>
      <c r="O1248" s="564"/>
      <c r="P1248" s="564"/>
      <c r="Q1248" s="564"/>
      <c r="R1248" s="564"/>
      <c r="S1248" s="564"/>
      <c r="T1248" s="564"/>
      <c r="U1248" s="564"/>
      <c r="V1248" s="564"/>
      <c r="W1248" s="564"/>
      <c r="X1248" s="564"/>
      <c r="Y1248" s="564"/>
      <c r="Z1248" s="564"/>
      <c r="AA1248" s="564"/>
      <c r="AB1248" s="556"/>
      <c r="AC1248" s="556"/>
      <c r="AD1248" s="74"/>
      <c r="AE1248" s="74"/>
      <c r="AF1248" s="74"/>
      <c r="AG1248" s="74"/>
      <c r="AH1248" s="74"/>
      <c r="AI1248" s="74"/>
      <c r="AJ1248" s="74"/>
      <c r="AK1248" s="74"/>
      <c r="AL1248" s="74"/>
      <c r="AM1248" s="74"/>
      <c r="AN1248" s="74"/>
      <c r="AO1248" s="74"/>
      <c r="AP1248" s="74"/>
      <c r="AQ1248" s="74"/>
      <c r="AR1248" s="74"/>
      <c r="AS1248" s="565"/>
      <c r="AT1248" s="556"/>
    </row>
    <row r="1249" spans="1:46" hidden="1" x14ac:dyDescent="0.45">
      <c r="A1249" s="556"/>
      <c r="B1249" s="556"/>
      <c r="C1249" s="556"/>
      <c r="D1249" s="556"/>
      <c r="E1249" s="556"/>
      <c r="F1249" s="564"/>
      <c r="G1249" s="564"/>
      <c r="H1249" s="564"/>
      <c r="I1249" s="564"/>
      <c r="J1249" s="564"/>
      <c r="K1249" s="564"/>
      <c r="L1249" s="564"/>
      <c r="M1249" s="564"/>
      <c r="N1249" s="564"/>
      <c r="O1249" s="564"/>
      <c r="P1249" s="564"/>
      <c r="Q1249" s="564"/>
      <c r="R1249" s="564"/>
      <c r="S1249" s="564"/>
      <c r="T1249" s="564"/>
      <c r="U1249" s="564"/>
      <c r="V1249" s="564"/>
      <c r="W1249" s="564"/>
      <c r="X1249" s="564"/>
      <c r="Y1249" s="564"/>
      <c r="Z1249" s="564"/>
      <c r="AA1249" s="564"/>
      <c r="AB1249" s="556"/>
      <c r="AC1249" s="556"/>
      <c r="AD1249" s="74"/>
      <c r="AE1249" s="74"/>
      <c r="AF1249" s="74"/>
      <c r="AG1249" s="74"/>
      <c r="AH1249" s="74"/>
      <c r="AI1249" s="74"/>
      <c r="AJ1249" s="74"/>
      <c r="AK1249" s="74"/>
      <c r="AL1249" s="74"/>
      <c r="AM1249" s="74"/>
      <c r="AN1249" s="74"/>
      <c r="AO1249" s="74"/>
      <c r="AP1249" s="74"/>
      <c r="AQ1249" s="74"/>
      <c r="AR1249" s="74"/>
      <c r="AS1249" s="565"/>
      <c r="AT1249" s="556"/>
    </row>
    <row r="1250" spans="1:46" hidden="1" x14ac:dyDescent="0.45">
      <c r="A1250" s="556"/>
      <c r="B1250" s="556"/>
      <c r="C1250" s="556"/>
      <c r="D1250" s="556"/>
      <c r="E1250" s="556"/>
      <c r="F1250" s="564"/>
      <c r="G1250" s="564"/>
      <c r="H1250" s="564"/>
      <c r="I1250" s="564"/>
      <c r="J1250" s="564"/>
      <c r="K1250" s="564"/>
      <c r="L1250" s="564"/>
      <c r="M1250" s="564"/>
      <c r="N1250" s="564"/>
      <c r="O1250" s="564"/>
      <c r="P1250" s="564"/>
      <c r="Q1250" s="564"/>
      <c r="R1250" s="564"/>
      <c r="S1250" s="564"/>
      <c r="T1250" s="564"/>
      <c r="U1250" s="564"/>
      <c r="V1250" s="564"/>
      <c r="W1250" s="564"/>
      <c r="X1250" s="564"/>
      <c r="Y1250" s="564"/>
      <c r="Z1250" s="564"/>
      <c r="AA1250" s="564"/>
      <c r="AB1250" s="556"/>
      <c r="AC1250" s="556"/>
      <c r="AD1250" s="74"/>
      <c r="AE1250" s="74"/>
      <c r="AF1250" s="74"/>
      <c r="AG1250" s="74"/>
      <c r="AH1250" s="74"/>
      <c r="AI1250" s="74"/>
      <c r="AJ1250" s="74"/>
      <c r="AK1250" s="74"/>
      <c r="AL1250" s="74"/>
      <c r="AM1250" s="74"/>
      <c r="AN1250" s="74"/>
      <c r="AO1250" s="74"/>
      <c r="AP1250" s="74"/>
      <c r="AQ1250" s="74"/>
      <c r="AR1250" s="74"/>
      <c r="AS1250" s="565"/>
      <c r="AT1250" s="556"/>
    </row>
    <row r="1251" spans="1:46" hidden="1" x14ac:dyDescent="0.45">
      <c r="A1251" s="556"/>
      <c r="B1251" s="556"/>
      <c r="C1251" s="556"/>
      <c r="D1251" s="556"/>
      <c r="E1251" s="556"/>
      <c r="F1251" s="564"/>
      <c r="G1251" s="564"/>
      <c r="H1251" s="564"/>
      <c r="I1251" s="564"/>
      <c r="J1251" s="564"/>
      <c r="K1251" s="564"/>
      <c r="L1251" s="564"/>
      <c r="M1251" s="564"/>
      <c r="N1251" s="564"/>
      <c r="O1251" s="564"/>
      <c r="P1251" s="564"/>
      <c r="Q1251" s="564"/>
      <c r="R1251" s="564"/>
      <c r="S1251" s="564"/>
      <c r="T1251" s="564"/>
      <c r="U1251" s="564"/>
      <c r="V1251" s="564"/>
      <c r="W1251" s="564"/>
      <c r="X1251" s="564"/>
      <c r="Y1251" s="564"/>
      <c r="Z1251" s="564"/>
      <c r="AA1251" s="564"/>
      <c r="AB1251" s="556"/>
      <c r="AC1251" s="556"/>
      <c r="AD1251" s="74"/>
      <c r="AE1251" s="74"/>
      <c r="AF1251" s="74"/>
      <c r="AG1251" s="74"/>
      <c r="AH1251" s="74"/>
      <c r="AI1251" s="74"/>
      <c r="AJ1251" s="74"/>
      <c r="AK1251" s="74"/>
      <c r="AL1251" s="74"/>
      <c r="AM1251" s="74"/>
      <c r="AN1251" s="74"/>
      <c r="AO1251" s="74"/>
      <c r="AP1251" s="74"/>
      <c r="AQ1251" s="74"/>
      <c r="AR1251" s="74"/>
      <c r="AS1251" s="565"/>
      <c r="AT1251" s="556"/>
    </row>
    <row r="1252" spans="1:46" hidden="1" x14ac:dyDescent="0.45">
      <c r="A1252" s="556"/>
      <c r="B1252" s="556"/>
      <c r="C1252" s="556"/>
      <c r="D1252" s="556"/>
      <c r="E1252" s="556"/>
      <c r="F1252" s="564"/>
      <c r="G1252" s="564"/>
      <c r="H1252" s="564"/>
      <c r="I1252" s="564"/>
      <c r="J1252" s="564"/>
      <c r="K1252" s="564"/>
      <c r="L1252" s="564"/>
      <c r="M1252" s="564"/>
      <c r="N1252" s="564"/>
      <c r="O1252" s="564"/>
      <c r="P1252" s="564"/>
      <c r="Q1252" s="564"/>
      <c r="R1252" s="564"/>
      <c r="S1252" s="564"/>
      <c r="T1252" s="564"/>
      <c r="U1252" s="564"/>
      <c r="V1252" s="564"/>
      <c r="W1252" s="564"/>
      <c r="X1252" s="564"/>
      <c r="Y1252" s="564"/>
      <c r="Z1252" s="564"/>
      <c r="AA1252" s="564"/>
      <c r="AB1252" s="556"/>
      <c r="AC1252" s="556"/>
      <c r="AD1252" s="74"/>
      <c r="AE1252" s="74"/>
      <c r="AF1252" s="74"/>
      <c r="AG1252" s="74"/>
      <c r="AH1252" s="74"/>
      <c r="AI1252" s="74"/>
      <c r="AJ1252" s="74"/>
      <c r="AK1252" s="74"/>
      <c r="AL1252" s="74"/>
      <c r="AM1252" s="74"/>
      <c r="AN1252" s="74"/>
      <c r="AO1252" s="74"/>
      <c r="AP1252" s="74"/>
      <c r="AQ1252" s="74"/>
      <c r="AR1252" s="74"/>
      <c r="AS1252" s="565"/>
      <c r="AT1252" s="556"/>
    </row>
    <row r="1253" spans="1:46" hidden="1" x14ac:dyDescent="0.45">
      <c r="A1253" s="556"/>
      <c r="B1253" s="556"/>
      <c r="C1253" s="556"/>
      <c r="D1253" s="556"/>
      <c r="E1253" s="556"/>
      <c r="F1253" s="564"/>
      <c r="G1253" s="564"/>
      <c r="H1253" s="564"/>
      <c r="I1253" s="564"/>
      <c r="J1253" s="564"/>
      <c r="K1253" s="564"/>
      <c r="L1253" s="564"/>
      <c r="M1253" s="564"/>
      <c r="N1253" s="564"/>
      <c r="O1253" s="564"/>
      <c r="P1253" s="564"/>
      <c r="Q1253" s="564"/>
      <c r="R1253" s="564"/>
      <c r="S1253" s="564"/>
      <c r="T1253" s="564"/>
      <c r="U1253" s="564"/>
      <c r="V1253" s="564"/>
      <c r="W1253" s="564"/>
      <c r="X1253" s="564"/>
      <c r="Y1253" s="564"/>
      <c r="Z1253" s="564"/>
      <c r="AA1253" s="564"/>
      <c r="AB1253" s="556"/>
      <c r="AC1253" s="556"/>
      <c r="AD1253" s="74"/>
      <c r="AE1253" s="74"/>
      <c r="AF1253" s="74"/>
      <c r="AG1253" s="74"/>
      <c r="AH1253" s="74"/>
      <c r="AI1253" s="74"/>
      <c r="AJ1253" s="74"/>
      <c r="AK1253" s="74"/>
      <c r="AL1253" s="74"/>
      <c r="AM1253" s="74"/>
      <c r="AN1253" s="74"/>
      <c r="AO1253" s="74"/>
      <c r="AP1253" s="74"/>
      <c r="AQ1253" s="74"/>
      <c r="AR1253" s="74"/>
      <c r="AS1253" s="565"/>
      <c r="AT1253" s="556"/>
    </row>
    <row r="1254" spans="1:46" hidden="1" x14ac:dyDescent="0.45">
      <c r="A1254" s="556"/>
      <c r="B1254" s="556"/>
      <c r="C1254" s="556"/>
      <c r="D1254" s="556"/>
      <c r="E1254" s="556"/>
      <c r="F1254" s="564"/>
      <c r="G1254" s="564"/>
      <c r="H1254" s="564"/>
      <c r="I1254" s="564"/>
      <c r="J1254" s="564"/>
      <c r="K1254" s="564"/>
      <c r="L1254" s="564"/>
      <c r="M1254" s="564"/>
      <c r="N1254" s="564"/>
      <c r="O1254" s="564"/>
      <c r="P1254" s="564"/>
      <c r="Q1254" s="564"/>
      <c r="R1254" s="564"/>
      <c r="S1254" s="564"/>
      <c r="T1254" s="564"/>
      <c r="U1254" s="564"/>
      <c r="V1254" s="564"/>
      <c r="W1254" s="564"/>
      <c r="X1254" s="564"/>
      <c r="Y1254" s="564"/>
      <c r="Z1254" s="564"/>
      <c r="AA1254" s="564"/>
      <c r="AB1254" s="556"/>
      <c r="AC1254" s="556"/>
      <c r="AD1254" s="74"/>
      <c r="AE1254" s="74"/>
      <c r="AF1254" s="74"/>
      <c r="AG1254" s="74"/>
      <c r="AH1254" s="74"/>
      <c r="AI1254" s="74"/>
      <c r="AJ1254" s="74"/>
      <c r="AK1254" s="74"/>
      <c r="AL1254" s="74"/>
      <c r="AM1254" s="74"/>
      <c r="AN1254" s="74"/>
      <c r="AO1254" s="74"/>
      <c r="AP1254" s="74"/>
      <c r="AQ1254" s="74"/>
      <c r="AR1254" s="74"/>
      <c r="AS1254" s="565"/>
      <c r="AT1254" s="556"/>
    </row>
    <row r="1255" spans="1:46" hidden="1" x14ac:dyDescent="0.45">
      <c r="A1255" s="556"/>
      <c r="B1255" s="556"/>
      <c r="C1255" s="556"/>
      <c r="D1255" s="556"/>
      <c r="E1255" s="556"/>
      <c r="F1255" s="564"/>
      <c r="G1255" s="564"/>
      <c r="H1255" s="564"/>
      <c r="I1255" s="564"/>
      <c r="J1255" s="564"/>
      <c r="K1255" s="564"/>
      <c r="L1255" s="564"/>
      <c r="M1255" s="564"/>
      <c r="N1255" s="564"/>
      <c r="O1255" s="564"/>
      <c r="P1255" s="564"/>
      <c r="Q1255" s="564"/>
      <c r="R1255" s="564"/>
      <c r="S1255" s="564"/>
      <c r="T1255" s="564"/>
      <c r="U1255" s="564"/>
      <c r="V1255" s="564"/>
      <c r="W1255" s="564"/>
      <c r="X1255" s="564"/>
      <c r="Y1255" s="564"/>
      <c r="Z1255" s="564"/>
      <c r="AA1255" s="564"/>
      <c r="AB1255" s="556"/>
      <c r="AC1255" s="556"/>
      <c r="AD1255" s="74"/>
      <c r="AE1255" s="74"/>
      <c r="AF1255" s="74"/>
      <c r="AG1255" s="74"/>
      <c r="AH1255" s="74"/>
      <c r="AI1255" s="74"/>
      <c r="AJ1255" s="74"/>
      <c r="AK1255" s="74"/>
      <c r="AL1255" s="74"/>
      <c r="AM1255" s="74"/>
      <c r="AN1255" s="74"/>
      <c r="AO1255" s="74"/>
      <c r="AP1255" s="74"/>
      <c r="AQ1255" s="74"/>
      <c r="AR1255" s="74"/>
      <c r="AS1255" s="565"/>
      <c r="AT1255" s="556"/>
    </row>
    <row r="1256" spans="1:46" hidden="1" x14ac:dyDescent="0.45">
      <c r="A1256" s="556"/>
      <c r="B1256" s="556"/>
      <c r="C1256" s="556"/>
      <c r="D1256" s="556"/>
      <c r="E1256" s="556"/>
      <c r="F1256" s="564"/>
      <c r="G1256" s="564"/>
      <c r="H1256" s="564"/>
      <c r="I1256" s="564"/>
      <c r="J1256" s="564"/>
      <c r="K1256" s="564"/>
      <c r="L1256" s="564"/>
      <c r="M1256" s="564"/>
      <c r="N1256" s="564"/>
      <c r="O1256" s="564"/>
      <c r="P1256" s="564"/>
      <c r="Q1256" s="564"/>
      <c r="R1256" s="564"/>
      <c r="S1256" s="564"/>
      <c r="T1256" s="564"/>
      <c r="U1256" s="564"/>
      <c r="V1256" s="564"/>
      <c r="W1256" s="564"/>
      <c r="X1256" s="564"/>
      <c r="Y1256" s="564"/>
      <c r="Z1256" s="564"/>
      <c r="AA1256" s="564"/>
      <c r="AB1256" s="556"/>
      <c r="AC1256" s="556"/>
      <c r="AD1256" s="74"/>
      <c r="AE1256" s="74"/>
      <c r="AF1256" s="74"/>
      <c r="AG1256" s="74"/>
      <c r="AH1256" s="74"/>
      <c r="AI1256" s="74"/>
      <c r="AJ1256" s="74"/>
      <c r="AK1256" s="74"/>
      <c r="AL1256" s="74"/>
      <c r="AM1256" s="74"/>
      <c r="AN1256" s="74"/>
      <c r="AO1256" s="74"/>
      <c r="AP1256" s="74"/>
      <c r="AQ1256" s="74"/>
      <c r="AR1256" s="74"/>
      <c r="AS1256" s="565"/>
      <c r="AT1256" s="556"/>
    </row>
    <row r="1257" spans="1:46" hidden="1" x14ac:dyDescent="0.45">
      <c r="A1257" s="556"/>
      <c r="B1257" s="556"/>
      <c r="C1257" s="556"/>
      <c r="D1257" s="556"/>
      <c r="E1257" s="556"/>
      <c r="F1257" s="564"/>
      <c r="G1257" s="564"/>
      <c r="H1257" s="564"/>
      <c r="I1257" s="564"/>
      <c r="J1257" s="564"/>
      <c r="K1257" s="564"/>
      <c r="L1257" s="564"/>
      <c r="M1257" s="564"/>
      <c r="N1257" s="564"/>
      <c r="O1257" s="564"/>
      <c r="P1257" s="564"/>
      <c r="Q1257" s="564"/>
      <c r="R1257" s="564"/>
      <c r="S1257" s="564"/>
      <c r="T1257" s="564"/>
      <c r="U1257" s="564"/>
      <c r="V1257" s="564"/>
      <c r="W1257" s="564"/>
      <c r="X1257" s="564"/>
      <c r="Y1257" s="564"/>
      <c r="Z1257" s="564"/>
      <c r="AA1257" s="564"/>
      <c r="AB1257" s="556"/>
      <c r="AC1257" s="556"/>
      <c r="AD1257" s="74"/>
      <c r="AE1257" s="74"/>
      <c r="AF1257" s="74"/>
      <c r="AG1257" s="74"/>
      <c r="AH1257" s="74"/>
      <c r="AI1257" s="74"/>
      <c r="AJ1257" s="74"/>
      <c r="AK1257" s="74"/>
      <c r="AL1257" s="74"/>
      <c r="AM1257" s="74"/>
      <c r="AN1257" s="74"/>
      <c r="AO1257" s="74"/>
      <c r="AP1257" s="74"/>
      <c r="AQ1257" s="74"/>
      <c r="AR1257" s="74"/>
      <c r="AS1257" s="565"/>
      <c r="AT1257" s="556"/>
    </row>
    <row r="1258" spans="1:46" hidden="1" x14ac:dyDescent="0.45">
      <c r="A1258" s="556"/>
      <c r="B1258" s="556"/>
      <c r="C1258" s="556"/>
      <c r="D1258" s="556"/>
      <c r="E1258" s="556"/>
      <c r="F1258" s="564"/>
      <c r="G1258" s="564"/>
      <c r="H1258" s="564"/>
      <c r="I1258" s="564"/>
      <c r="J1258" s="564"/>
      <c r="K1258" s="564"/>
      <c r="L1258" s="564"/>
      <c r="M1258" s="564"/>
      <c r="N1258" s="564"/>
      <c r="O1258" s="564"/>
      <c r="P1258" s="564"/>
      <c r="Q1258" s="564"/>
      <c r="R1258" s="564"/>
      <c r="S1258" s="564"/>
      <c r="T1258" s="564"/>
      <c r="U1258" s="564"/>
      <c r="V1258" s="564"/>
      <c r="W1258" s="564"/>
      <c r="X1258" s="564"/>
      <c r="Y1258" s="564"/>
      <c r="Z1258" s="564"/>
      <c r="AA1258" s="564"/>
      <c r="AB1258" s="556"/>
      <c r="AC1258" s="556"/>
      <c r="AD1258" s="74"/>
      <c r="AE1258" s="74"/>
      <c r="AF1258" s="74"/>
      <c r="AG1258" s="74"/>
      <c r="AH1258" s="74"/>
      <c r="AI1258" s="74"/>
      <c r="AJ1258" s="74"/>
      <c r="AK1258" s="74"/>
      <c r="AL1258" s="74"/>
      <c r="AM1258" s="74"/>
      <c r="AN1258" s="74"/>
      <c r="AO1258" s="74"/>
      <c r="AP1258" s="74"/>
      <c r="AQ1258" s="74"/>
      <c r="AR1258" s="74"/>
      <c r="AS1258" s="565"/>
      <c r="AT1258" s="556"/>
    </row>
    <row r="1259" spans="1:46" hidden="1" x14ac:dyDescent="0.45">
      <c r="A1259" s="556"/>
      <c r="B1259" s="556"/>
      <c r="C1259" s="556"/>
      <c r="D1259" s="556"/>
      <c r="E1259" s="556"/>
      <c r="F1259" s="564"/>
      <c r="G1259" s="564"/>
      <c r="H1259" s="564"/>
      <c r="I1259" s="564"/>
      <c r="J1259" s="564"/>
      <c r="K1259" s="564"/>
      <c r="L1259" s="564"/>
      <c r="M1259" s="564"/>
      <c r="N1259" s="564"/>
      <c r="O1259" s="564"/>
      <c r="P1259" s="564"/>
      <c r="Q1259" s="564"/>
      <c r="R1259" s="564"/>
      <c r="S1259" s="564"/>
      <c r="T1259" s="564"/>
      <c r="U1259" s="564"/>
      <c r="V1259" s="564"/>
      <c r="W1259" s="564"/>
      <c r="X1259" s="564"/>
      <c r="Y1259" s="564"/>
      <c r="Z1259" s="564"/>
      <c r="AA1259" s="564"/>
      <c r="AB1259" s="556"/>
      <c r="AC1259" s="556"/>
      <c r="AD1259" s="74"/>
      <c r="AE1259" s="74"/>
      <c r="AF1259" s="74"/>
      <c r="AG1259" s="74"/>
      <c r="AH1259" s="74"/>
      <c r="AI1259" s="74"/>
      <c r="AJ1259" s="74"/>
      <c r="AK1259" s="74"/>
      <c r="AL1259" s="74"/>
      <c r="AM1259" s="74"/>
      <c r="AN1259" s="74"/>
      <c r="AO1259" s="74"/>
      <c r="AP1259" s="74"/>
      <c r="AQ1259" s="74"/>
      <c r="AR1259" s="74"/>
      <c r="AS1259" s="565"/>
      <c r="AT1259" s="556"/>
    </row>
    <row r="1260" spans="1:46" hidden="1" x14ac:dyDescent="0.45">
      <c r="A1260" s="556"/>
      <c r="B1260" s="556"/>
      <c r="C1260" s="556"/>
      <c r="D1260" s="556"/>
      <c r="E1260" s="556"/>
      <c r="F1260" s="564"/>
      <c r="G1260" s="564"/>
      <c r="H1260" s="564"/>
      <c r="I1260" s="564"/>
      <c r="J1260" s="564"/>
      <c r="K1260" s="564"/>
      <c r="L1260" s="564"/>
      <c r="M1260" s="564"/>
      <c r="N1260" s="564"/>
      <c r="O1260" s="564"/>
      <c r="P1260" s="564"/>
      <c r="Q1260" s="564"/>
      <c r="R1260" s="564"/>
      <c r="S1260" s="564"/>
      <c r="T1260" s="564"/>
      <c r="U1260" s="564"/>
      <c r="V1260" s="564"/>
      <c r="W1260" s="564"/>
      <c r="X1260" s="564"/>
      <c r="Y1260" s="564"/>
      <c r="Z1260" s="564"/>
      <c r="AA1260" s="564"/>
      <c r="AB1260" s="556"/>
      <c r="AC1260" s="556"/>
      <c r="AD1260" s="74"/>
      <c r="AE1260" s="74"/>
      <c r="AF1260" s="74"/>
      <c r="AG1260" s="74"/>
      <c r="AH1260" s="74"/>
      <c r="AI1260" s="74"/>
      <c r="AJ1260" s="74"/>
      <c r="AK1260" s="74"/>
      <c r="AL1260" s="74"/>
      <c r="AM1260" s="74"/>
      <c r="AN1260" s="74"/>
      <c r="AO1260" s="74"/>
      <c r="AP1260" s="74"/>
      <c r="AQ1260" s="74"/>
      <c r="AR1260" s="74"/>
      <c r="AS1260" s="565"/>
      <c r="AT1260" s="556"/>
    </row>
    <row r="1261" spans="1:46" hidden="1" x14ac:dyDescent="0.45">
      <c r="A1261" s="556"/>
      <c r="B1261" s="556"/>
      <c r="C1261" s="556"/>
      <c r="D1261" s="556"/>
      <c r="E1261" s="556"/>
      <c r="F1261" s="564"/>
      <c r="G1261" s="564"/>
      <c r="H1261" s="564"/>
      <c r="I1261" s="564"/>
      <c r="J1261" s="564"/>
      <c r="K1261" s="564"/>
      <c r="L1261" s="564"/>
      <c r="M1261" s="564"/>
      <c r="N1261" s="564"/>
      <c r="O1261" s="564"/>
      <c r="P1261" s="564"/>
      <c r="Q1261" s="564"/>
      <c r="R1261" s="564"/>
      <c r="S1261" s="564"/>
      <c r="T1261" s="564"/>
      <c r="U1261" s="564"/>
      <c r="V1261" s="564"/>
      <c r="W1261" s="564"/>
      <c r="X1261" s="564"/>
      <c r="Y1261" s="564"/>
      <c r="Z1261" s="564"/>
      <c r="AA1261" s="564"/>
      <c r="AB1261" s="556"/>
      <c r="AC1261" s="556"/>
      <c r="AD1261" s="74"/>
      <c r="AE1261" s="74"/>
      <c r="AF1261" s="74"/>
      <c r="AG1261" s="74"/>
      <c r="AH1261" s="74"/>
      <c r="AI1261" s="74"/>
      <c r="AJ1261" s="74"/>
      <c r="AK1261" s="74"/>
      <c r="AL1261" s="74"/>
      <c r="AM1261" s="74"/>
      <c r="AN1261" s="74"/>
      <c r="AO1261" s="74"/>
      <c r="AP1261" s="74"/>
      <c r="AQ1261" s="74"/>
      <c r="AR1261" s="74"/>
      <c r="AS1261" s="565"/>
      <c r="AT1261" s="556"/>
    </row>
    <row r="1262" spans="1:46" hidden="1" x14ac:dyDescent="0.45">
      <c r="A1262" s="556"/>
      <c r="B1262" s="556"/>
      <c r="C1262" s="556"/>
      <c r="D1262" s="556"/>
      <c r="E1262" s="556"/>
      <c r="F1262" s="564"/>
      <c r="G1262" s="564"/>
      <c r="H1262" s="564"/>
      <c r="I1262" s="564"/>
      <c r="J1262" s="564"/>
      <c r="K1262" s="564"/>
      <c r="L1262" s="564"/>
      <c r="M1262" s="564"/>
      <c r="N1262" s="564"/>
      <c r="O1262" s="564"/>
      <c r="P1262" s="564"/>
      <c r="Q1262" s="564"/>
      <c r="R1262" s="564"/>
      <c r="S1262" s="564"/>
      <c r="T1262" s="564"/>
      <c r="U1262" s="564"/>
      <c r="V1262" s="564"/>
      <c r="W1262" s="564"/>
      <c r="X1262" s="564"/>
      <c r="Y1262" s="564"/>
      <c r="Z1262" s="564"/>
      <c r="AA1262" s="564"/>
      <c r="AB1262" s="556"/>
      <c r="AC1262" s="556"/>
      <c r="AD1262" s="74"/>
      <c r="AE1262" s="74"/>
      <c r="AF1262" s="74"/>
      <c r="AG1262" s="74"/>
      <c r="AH1262" s="74"/>
      <c r="AI1262" s="74"/>
      <c r="AJ1262" s="74"/>
      <c r="AK1262" s="74"/>
      <c r="AL1262" s="74"/>
      <c r="AM1262" s="74"/>
      <c r="AN1262" s="74"/>
      <c r="AO1262" s="74"/>
      <c r="AP1262" s="74"/>
      <c r="AQ1262" s="74"/>
      <c r="AR1262" s="74"/>
      <c r="AS1262" s="565"/>
      <c r="AT1262" s="556"/>
    </row>
    <row r="1263" spans="1:46" hidden="1" x14ac:dyDescent="0.45">
      <c r="A1263" s="556"/>
      <c r="B1263" s="556"/>
      <c r="C1263" s="556"/>
      <c r="D1263" s="556"/>
      <c r="E1263" s="556"/>
      <c r="F1263" s="564"/>
      <c r="G1263" s="564"/>
      <c r="H1263" s="564"/>
      <c r="I1263" s="564"/>
      <c r="J1263" s="564"/>
      <c r="K1263" s="564"/>
      <c r="L1263" s="564"/>
      <c r="M1263" s="564"/>
      <c r="N1263" s="564"/>
      <c r="O1263" s="564"/>
      <c r="P1263" s="564"/>
      <c r="Q1263" s="564"/>
      <c r="R1263" s="564"/>
      <c r="S1263" s="564"/>
      <c r="T1263" s="564"/>
      <c r="U1263" s="564"/>
      <c r="V1263" s="564"/>
      <c r="W1263" s="564"/>
      <c r="X1263" s="564"/>
      <c r="Y1263" s="564"/>
      <c r="Z1263" s="564"/>
      <c r="AA1263" s="564"/>
      <c r="AB1263" s="556"/>
      <c r="AC1263" s="556"/>
      <c r="AD1263" s="74"/>
      <c r="AE1263" s="74"/>
      <c r="AF1263" s="74"/>
      <c r="AG1263" s="74"/>
      <c r="AH1263" s="74"/>
      <c r="AI1263" s="74"/>
      <c r="AJ1263" s="74"/>
      <c r="AK1263" s="74"/>
      <c r="AL1263" s="74"/>
      <c r="AM1263" s="74"/>
      <c r="AN1263" s="74"/>
      <c r="AO1263" s="74"/>
      <c r="AP1263" s="74"/>
      <c r="AQ1263" s="74"/>
      <c r="AR1263" s="74"/>
      <c r="AS1263" s="565"/>
      <c r="AT1263" s="556"/>
    </row>
    <row r="1264" spans="1:46" hidden="1" x14ac:dyDescent="0.45">
      <c r="A1264" s="556"/>
      <c r="B1264" s="556"/>
      <c r="C1264" s="556"/>
      <c r="D1264" s="556"/>
      <c r="E1264" s="556"/>
      <c r="F1264" s="564"/>
      <c r="G1264" s="564"/>
      <c r="H1264" s="564"/>
      <c r="I1264" s="564"/>
      <c r="J1264" s="564"/>
      <c r="K1264" s="564"/>
      <c r="L1264" s="564"/>
      <c r="M1264" s="564"/>
      <c r="N1264" s="564"/>
      <c r="O1264" s="564"/>
      <c r="P1264" s="564"/>
      <c r="Q1264" s="564"/>
      <c r="R1264" s="564"/>
      <c r="S1264" s="564"/>
      <c r="T1264" s="564"/>
      <c r="U1264" s="564"/>
      <c r="V1264" s="564"/>
      <c r="W1264" s="564"/>
      <c r="X1264" s="564"/>
      <c r="Y1264" s="564"/>
      <c r="Z1264" s="564"/>
      <c r="AA1264" s="564"/>
      <c r="AB1264" s="556"/>
      <c r="AC1264" s="556"/>
      <c r="AD1264" s="74"/>
      <c r="AE1264" s="74"/>
      <c r="AF1264" s="74"/>
      <c r="AG1264" s="74"/>
      <c r="AH1264" s="74"/>
      <c r="AI1264" s="74"/>
      <c r="AJ1264" s="74"/>
      <c r="AK1264" s="74"/>
      <c r="AL1264" s="74"/>
      <c r="AM1264" s="74"/>
      <c r="AN1264" s="74"/>
      <c r="AO1264" s="74"/>
      <c r="AP1264" s="74"/>
      <c r="AQ1264" s="74"/>
      <c r="AR1264" s="74"/>
      <c r="AS1264" s="565"/>
      <c r="AT1264" s="556"/>
    </row>
    <row r="1265" spans="1:46" hidden="1" x14ac:dyDescent="0.45">
      <c r="A1265" s="556"/>
      <c r="B1265" s="556"/>
      <c r="C1265" s="556"/>
      <c r="D1265" s="556"/>
      <c r="E1265" s="556"/>
      <c r="F1265" s="564"/>
      <c r="G1265" s="564"/>
      <c r="H1265" s="564"/>
      <c r="I1265" s="564"/>
      <c r="J1265" s="564"/>
      <c r="K1265" s="564"/>
      <c r="L1265" s="564"/>
      <c r="M1265" s="564"/>
      <c r="N1265" s="564"/>
      <c r="O1265" s="564"/>
      <c r="P1265" s="564"/>
      <c r="Q1265" s="564"/>
      <c r="R1265" s="564"/>
      <c r="S1265" s="564"/>
      <c r="T1265" s="564"/>
      <c r="U1265" s="564"/>
      <c r="V1265" s="564"/>
      <c r="W1265" s="564"/>
      <c r="X1265" s="564"/>
      <c r="Y1265" s="564"/>
      <c r="Z1265" s="564"/>
      <c r="AA1265" s="564"/>
      <c r="AB1265" s="556"/>
      <c r="AC1265" s="556"/>
      <c r="AD1265" s="74"/>
      <c r="AE1265" s="74"/>
      <c r="AF1265" s="74"/>
      <c r="AG1265" s="74"/>
      <c r="AH1265" s="74"/>
      <c r="AI1265" s="74"/>
      <c r="AJ1265" s="74"/>
      <c r="AK1265" s="74"/>
      <c r="AL1265" s="74"/>
      <c r="AM1265" s="74"/>
      <c r="AN1265" s="74"/>
      <c r="AO1265" s="74"/>
      <c r="AP1265" s="74"/>
      <c r="AQ1265" s="74"/>
      <c r="AR1265" s="74"/>
      <c r="AS1265" s="565"/>
      <c r="AT1265" s="556"/>
    </row>
    <row r="1266" spans="1:46" hidden="1" x14ac:dyDescent="0.45">
      <c r="A1266" s="556"/>
      <c r="B1266" s="556"/>
      <c r="C1266" s="556"/>
      <c r="D1266" s="556"/>
      <c r="E1266" s="556"/>
      <c r="F1266" s="564"/>
      <c r="G1266" s="564"/>
      <c r="H1266" s="564"/>
      <c r="I1266" s="564"/>
      <c r="J1266" s="564"/>
      <c r="K1266" s="564"/>
      <c r="L1266" s="564"/>
      <c r="M1266" s="564"/>
      <c r="N1266" s="564"/>
      <c r="O1266" s="564"/>
      <c r="P1266" s="564"/>
      <c r="Q1266" s="564"/>
      <c r="R1266" s="564"/>
      <c r="S1266" s="564"/>
      <c r="T1266" s="564"/>
      <c r="U1266" s="564"/>
      <c r="V1266" s="564"/>
      <c r="W1266" s="564"/>
      <c r="X1266" s="564"/>
      <c r="Y1266" s="564"/>
      <c r="Z1266" s="564"/>
      <c r="AA1266" s="564"/>
      <c r="AB1266" s="556"/>
      <c r="AC1266" s="556"/>
      <c r="AD1266" s="74"/>
      <c r="AE1266" s="74"/>
      <c r="AF1266" s="74"/>
      <c r="AG1266" s="74"/>
      <c r="AH1266" s="74"/>
      <c r="AI1266" s="74"/>
      <c r="AJ1266" s="74"/>
      <c r="AK1266" s="74"/>
      <c r="AL1266" s="74"/>
      <c r="AM1266" s="74"/>
      <c r="AN1266" s="74"/>
      <c r="AO1266" s="74"/>
      <c r="AP1266" s="74"/>
      <c r="AQ1266" s="74"/>
      <c r="AR1266" s="74"/>
      <c r="AS1266" s="565"/>
      <c r="AT1266" s="556"/>
    </row>
    <row r="1267" spans="1:46" hidden="1" x14ac:dyDescent="0.45">
      <c r="A1267" s="556"/>
      <c r="B1267" s="556"/>
      <c r="C1267" s="556"/>
      <c r="D1267" s="556"/>
      <c r="E1267" s="556"/>
      <c r="F1267" s="564"/>
      <c r="G1267" s="564"/>
      <c r="H1267" s="564"/>
      <c r="I1267" s="564"/>
      <c r="J1267" s="564"/>
      <c r="K1267" s="564"/>
      <c r="L1267" s="564"/>
      <c r="M1267" s="564"/>
      <c r="N1267" s="564"/>
      <c r="O1267" s="564"/>
      <c r="P1267" s="564"/>
      <c r="Q1267" s="564"/>
      <c r="R1267" s="564"/>
      <c r="S1267" s="564"/>
      <c r="T1267" s="564"/>
      <c r="U1267" s="564"/>
      <c r="V1267" s="564"/>
      <c r="W1267" s="564"/>
      <c r="X1267" s="564"/>
      <c r="Y1267" s="564"/>
      <c r="Z1267" s="564"/>
      <c r="AA1267" s="564"/>
      <c r="AB1267" s="556"/>
      <c r="AC1267" s="556"/>
      <c r="AD1267" s="74"/>
      <c r="AE1267" s="74"/>
      <c r="AF1267" s="74"/>
      <c r="AG1267" s="74"/>
      <c r="AH1267" s="74"/>
      <c r="AI1267" s="74"/>
      <c r="AJ1267" s="74"/>
      <c r="AK1267" s="74"/>
      <c r="AL1267" s="74"/>
      <c r="AM1267" s="74"/>
      <c r="AN1267" s="74"/>
      <c r="AO1267" s="74"/>
      <c r="AP1267" s="74"/>
      <c r="AQ1267" s="74"/>
      <c r="AR1267" s="74"/>
      <c r="AS1267" s="565"/>
      <c r="AT1267" s="556"/>
    </row>
    <row r="1268" spans="1:46" hidden="1" x14ac:dyDescent="0.45">
      <c r="A1268" s="556"/>
      <c r="B1268" s="556"/>
      <c r="C1268" s="556"/>
      <c r="D1268" s="556"/>
      <c r="E1268" s="556"/>
      <c r="F1268" s="564"/>
      <c r="G1268" s="564"/>
      <c r="H1268" s="564"/>
      <c r="I1268" s="564"/>
      <c r="J1268" s="564"/>
      <c r="K1268" s="564"/>
      <c r="L1268" s="564"/>
      <c r="M1268" s="564"/>
      <c r="N1268" s="564"/>
      <c r="O1268" s="564"/>
      <c r="P1268" s="564"/>
      <c r="Q1268" s="564"/>
      <c r="R1268" s="564"/>
      <c r="S1268" s="564"/>
      <c r="T1268" s="564"/>
      <c r="U1268" s="564"/>
      <c r="V1268" s="564"/>
      <c r="W1268" s="564"/>
      <c r="X1268" s="564"/>
      <c r="Y1268" s="564"/>
      <c r="Z1268" s="564"/>
      <c r="AA1268" s="564"/>
      <c r="AB1268" s="556"/>
      <c r="AC1268" s="556"/>
      <c r="AD1268" s="74"/>
      <c r="AE1268" s="74"/>
      <c r="AF1268" s="74"/>
      <c r="AG1268" s="74"/>
      <c r="AH1268" s="74"/>
      <c r="AI1268" s="74"/>
      <c r="AJ1268" s="74"/>
      <c r="AK1268" s="74"/>
      <c r="AL1268" s="74"/>
      <c r="AM1268" s="74"/>
      <c r="AN1268" s="74"/>
      <c r="AO1268" s="74"/>
      <c r="AP1268" s="74"/>
      <c r="AQ1268" s="74"/>
      <c r="AR1268" s="74"/>
      <c r="AS1268" s="565"/>
      <c r="AT1268" s="556"/>
    </row>
    <row r="1269" spans="1:46" hidden="1" x14ac:dyDescent="0.45">
      <c r="A1269" s="556"/>
      <c r="B1269" s="556"/>
      <c r="C1269" s="556"/>
      <c r="D1269" s="556"/>
      <c r="E1269" s="556"/>
      <c r="F1269" s="564"/>
      <c r="G1269" s="564"/>
      <c r="H1269" s="564"/>
      <c r="I1269" s="564"/>
      <c r="J1269" s="564"/>
      <c r="K1269" s="564"/>
      <c r="L1269" s="564"/>
      <c r="M1269" s="564"/>
      <c r="N1269" s="564"/>
      <c r="O1269" s="564"/>
      <c r="P1269" s="564"/>
      <c r="Q1269" s="564"/>
      <c r="R1269" s="564"/>
      <c r="S1269" s="564"/>
      <c r="T1269" s="564"/>
      <c r="U1269" s="564"/>
      <c r="V1269" s="564"/>
      <c r="W1269" s="564"/>
      <c r="X1269" s="564"/>
      <c r="Y1269" s="564"/>
      <c r="Z1269" s="564"/>
      <c r="AA1269" s="564"/>
      <c r="AB1269" s="556"/>
      <c r="AC1269" s="556"/>
      <c r="AD1269" s="74"/>
      <c r="AE1269" s="74"/>
      <c r="AF1269" s="74"/>
      <c r="AG1269" s="74"/>
      <c r="AH1269" s="74"/>
      <c r="AI1269" s="74"/>
      <c r="AJ1269" s="74"/>
      <c r="AK1269" s="74"/>
      <c r="AL1269" s="74"/>
      <c r="AM1269" s="74"/>
      <c r="AN1269" s="74"/>
      <c r="AO1269" s="74"/>
      <c r="AP1269" s="74"/>
      <c r="AQ1269" s="74"/>
      <c r="AR1269" s="74"/>
      <c r="AS1269" s="565"/>
      <c r="AT1269" s="556"/>
    </row>
    <row r="1270" spans="1:46" hidden="1" x14ac:dyDescent="0.45">
      <c r="A1270" s="556"/>
      <c r="B1270" s="556"/>
      <c r="C1270" s="556"/>
      <c r="D1270" s="556"/>
      <c r="E1270" s="556"/>
      <c r="F1270" s="564"/>
      <c r="G1270" s="564"/>
      <c r="H1270" s="564"/>
      <c r="I1270" s="564"/>
      <c r="J1270" s="564"/>
      <c r="K1270" s="564"/>
      <c r="L1270" s="564"/>
      <c r="M1270" s="564"/>
      <c r="N1270" s="564"/>
      <c r="O1270" s="564"/>
      <c r="P1270" s="564"/>
      <c r="Q1270" s="564"/>
      <c r="R1270" s="564"/>
      <c r="S1270" s="564"/>
      <c r="T1270" s="564"/>
      <c r="U1270" s="564"/>
      <c r="V1270" s="564"/>
      <c r="W1270" s="564"/>
      <c r="X1270" s="564"/>
      <c r="Y1270" s="564"/>
      <c r="Z1270" s="564"/>
      <c r="AA1270" s="564"/>
      <c r="AB1270" s="556"/>
      <c r="AC1270" s="556"/>
      <c r="AD1270" s="74"/>
      <c r="AE1270" s="74"/>
      <c r="AF1270" s="74"/>
      <c r="AG1270" s="74"/>
      <c r="AH1270" s="74"/>
      <c r="AI1270" s="74"/>
      <c r="AJ1270" s="74"/>
      <c r="AK1270" s="74"/>
      <c r="AL1270" s="74"/>
      <c r="AM1270" s="74"/>
      <c r="AN1270" s="74"/>
      <c r="AO1270" s="74"/>
      <c r="AP1270" s="74"/>
      <c r="AQ1270" s="74"/>
      <c r="AR1270" s="74"/>
      <c r="AS1270" s="565"/>
      <c r="AT1270" s="556"/>
    </row>
    <row r="1271" spans="1:46" hidden="1" x14ac:dyDescent="0.45">
      <c r="A1271" s="556"/>
      <c r="B1271" s="556"/>
      <c r="C1271" s="556"/>
      <c r="D1271" s="556"/>
      <c r="E1271" s="556"/>
      <c r="F1271" s="564"/>
      <c r="G1271" s="564"/>
      <c r="H1271" s="564"/>
      <c r="I1271" s="564"/>
      <c r="J1271" s="564"/>
      <c r="K1271" s="564"/>
      <c r="L1271" s="564"/>
      <c r="M1271" s="564"/>
      <c r="N1271" s="564"/>
      <c r="O1271" s="564"/>
      <c r="P1271" s="564"/>
      <c r="Q1271" s="564"/>
      <c r="R1271" s="564"/>
      <c r="S1271" s="564"/>
      <c r="T1271" s="564"/>
      <c r="U1271" s="564"/>
      <c r="V1271" s="564"/>
      <c r="W1271" s="564"/>
      <c r="X1271" s="564"/>
      <c r="Y1271" s="564"/>
      <c r="Z1271" s="564"/>
      <c r="AA1271" s="564"/>
      <c r="AB1271" s="556"/>
      <c r="AC1271" s="556"/>
      <c r="AD1271" s="74"/>
      <c r="AE1271" s="74"/>
      <c r="AF1271" s="74"/>
      <c r="AG1271" s="74"/>
      <c r="AH1271" s="74"/>
      <c r="AI1271" s="74"/>
      <c r="AJ1271" s="74"/>
      <c r="AK1271" s="74"/>
      <c r="AL1271" s="74"/>
      <c r="AM1271" s="74"/>
      <c r="AN1271" s="74"/>
      <c r="AO1271" s="74"/>
      <c r="AP1271" s="74"/>
      <c r="AQ1271" s="74"/>
      <c r="AR1271" s="74"/>
      <c r="AS1271" s="565"/>
      <c r="AT1271" s="556"/>
    </row>
    <row r="1272" spans="1:46" hidden="1" x14ac:dyDescent="0.45">
      <c r="A1272" s="556"/>
      <c r="B1272" s="556"/>
      <c r="C1272" s="556"/>
      <c r="D1272" s="556"/>
      <c r="E1272" s="556"/>
      <c r="F1272" s="564"/>
      <c r="G1272" s="564"/>
      <c r="H1272" s="564"/>
      <c r="I1272" s="564"/>
      <c r="J1272" s="564"/>
      <c r="K1272" s="564"/>
      <c r="L1272" s="564"/>
      <c r="M1272" s="564"/>
      <c r="N1272" s="564"/>
      <c r="O1272" s="564"/>
      <c r="P1272" s="564"/>
      <c r="Q1272" s="564"/>
      <c r="R1272" s="564"/>
      <c r="S1272" s="564"/>
      <c r="T1272" s="564"/>
      <c r="U1272" s="564"/>
      <c r="V1272" s="564"/>
      <c r="W1272" s="564"/>
      <c r="X1272" s="564"/>
      <c r="Y1272" s="564"/>
      <c r="Z1272" s="564"/>
      <c r="AA1272" s="564"/>
      <c r="AB1272" s="556"/>
      <c r="AC1272" s="556"/>
      <c r="AD1272" s="74"/>
      <c r="AE1272" s="74"/>
      <c r="AF1272" s="74"/>
      <c r="AG1272" s="74"/>
      <c r="AH1272" s="74"/>
      <c r="AI1272" s="74"/>
      <c r="AJ1272" s="74"/>
      <c r="AK1272" s="74"/>
      <c r="AL1272" s="74"/>
      <c r="AM1272" s="74"/>
      <c r="AN1272" s="74"/>
      <c r="AO1272" s="74"/>
      <c r="AP1272" s="74"/>
      <c r="AQ1272" s="74"/>
      <c r="AR1272" s="74"/>
      <c r="AS1272" s="565"/>
      <c r="AT1272" s="556"/>
    </row>
    <row r="1273" spans="1:46" hidden="1" x14ac:dyDescent="0.45">
      <c r="A1273" s="556"/>
      <c r="B1273" s="556"/>
      <c r="C1273" s="556"/>
      <c r="D1273" s="556"/>
      <c r="E1273" s="556"/>
      <c r="F1273" s="564"/>
      <c r="G1273" s="564"/>
      <c r="H1273" s="564"/>
      <c r="I1273" s="564"/>
      <c r="J1273" s="564"/>
      <c r="K1273" s="564"/>
      <c r="L1273" s="564"/>
      <c r="M1273" s="564"/>
      <c r="N1273" s="564"/>
      <c r="O1273" s="564"/>
      <c r="P1273" s="564"/>
      <c r="Q1273" s="564"/>
      <c r="R1273" s="564"/>
      <c r="S1273" s="564"/>
      <c r="T1273" s="564"/>
      <c r="U1273" s="564"/>
      <c r="V1273" s="564"/>
      <c r="W1273" s="564"/>
      <c r="X1273" s="564"/>
      <c r="Y1273" s="564"/>
      <c r="Z1273" s="564"/>
      <c r="AA1273" s="564"/>
      <c r="AB1273" s="556"/>
      <c r="AC1273" s="556"/>
      <c r="AD1273" s="74"/>
      <c r="AE1273" s="74"/>
      <c r="AF1273" s="74"/>
      <c r="AG1273" s="74"/>
      <c r="AH1273" s="74"/>
      <c r="AI1273" s="74"/>
      <c r="AJ1273" s="74"/>
      <c r="AK1273" s="74"/>
      <c r="AL1273" s="74"/>
      <c r="AM1273" s="74"/>
      <c r="AN1273" s="74"/>
      <c r="AO1273" s="74"/>
      <c r="AP1273" s="74"/>
      <c r="AQ1273" s="74"/>
      <c r="AR1273" s="74"/>
      <c r="AS1273" s="565"/>
      <c r="AT1273" s="556"/>
    </row>
    <row r="1274" spans="1:46" hidden="1" x14ac:dyDescent="0.45">
      <c r="A1274" s="556"/>
      <c r="B1274" s="556"/>
      <c r="C1274" s="556"/>
      <c r="D1274" s="556"/>
      <c r="E1274" s="556"/>
      <c r="F1274" s="564"/>
      <c r="G1274" s="564"/>
      <c r="H1274" s="564"/>
      <c r="I1274" s="564"/>
      <c r="J1274" s="564"/>
      <c r="K1274" s="564"/>
      <c r="L1274" s="564"/>
      <c r="M1274" s="564"/>
      <c r="N1274" s="564"/>
      <c r="O1274" s="564"/>
      <c r="P1274" s="564"/>
      <c r="Q1274" s="564"/>
      <c r="R1274" s="564"/>
      <c r="S1274" s="564"/>
      <c r="T1274" s="564"/>
      <c r="U1274" s="564"/>
      <c r="V1274" s="564"/>
      <c r="W1274" s="564"/>
      <c r="X1274" s="564"/>
      <c r="Y1274" s="564"/>
      <c r="Z1274" s="564"/>
      <c r="AA1274" s="564"/>
      <c r="AB1274" s="556"/>
      <c r="AC1274" s="556"/>
      <c r="AD1274" s="74"/>
      <c r="AE1274" s="74"/>
      <c r="AF1274" s="74"/>
      <c r="AG1274" s="74"/>
      <c r="AH1274" s="74"/>
      <c r="AI1274" s="74"/>
      <c r="AJ1274" s="74"/>
      <c r="AK1274" s="74"/>
      <c r="AL1274" s="74"/>
      <c r="AM1274" s="74"/>
      <c r="AN1274" s="74"/>
      <c r="AO1274" s="74"/>
      <c r="AP1274" s="74"/>
      <c r="AQ1274" s="74"/>
      <c r="AR1274" s="74"/>
      <c r="AS1274" s="565"/>
      <c r="AT1274" s="556"/>
    </row>
    <row r="1275" spans="1:46" hidden="1" x14ac:dyDescent="0.45">
      <c r="A1275" s="556"/>
      <c r="B1275" s="556"/>
      <c r="C1275" s="556"/>
      <c r="D1275" s="556"/>
      <c r="E1275" s="556"/>
      <c r="F1275" s="564"/>
      <c r="G1275" s="564"/>
      <c r="H1275" s="564"/>
      <c r="I1275" s="564"/>
      <c r="J1275" s="564"/>
      <c r="K1275" s="564"/>
      <c r="L1275" s="564"/>
      <c r="M1275" s="564"/>
      <c r="N1275" s="564"/>
      <c r="O1275" s="564"/>
      <c r="P1275" s="564"/>
      <c r="Q1275" s="564"/>
      <c r="R1275" s="564"/>
      <c r="S1275" s="564"/>
      <c r="T1275" s="564"/>
      <c r="U1275" s="564"/>
      <c r="V1275" s="564"/>
      <c r="W1275" s="564"/>
      <c r="X1275" s="564"/>
      <c r="Y1275" s="564"/>
      <c r="Z1275" s="564"/>
      <c r="AA1275" s="564"/>
      <c r="AB1275" s="556"/>
      <c r="AC1275" s="556"/>
      <c r="AD1275" s="74"/>
      <c r="AE1275" s="74"/>
      <c r="AF1275" s="74"/>
      <c r="AG1275" s="74"/>
      <c r="AH1275" s="74"/>
      <c r="AI1275" s="74"/>
      <c r="AJ1275" s="74"/>
      <c r="AK1275" s="74"/>
      <c r="AL1275" s="74"/>
      <c r="AM1275" s="74"/>
      <c r="AN1275" s="74"/>
      <c r="AO1275" s="74"/>
      <c r="AP1275" s="74"/>
      <c r="AQ1275" s="74"/>
      <c r="AR1275" s="74"/>
      <c r="AS1275" s="565"/>
      <c r="AT1275" s="556"/>
    </row>
    <row r="1276" spans="1:46" hidden="1" x14ac:dyDescent="0.45">
      <c r="A1276" s="556"/>
      <c r="B1276" s="556"/>
      <c r="C1276" s="556"/>
      <c r="D1276" s="556"/>
      <c r="E1276" s="556"/>
      <c r="F1276" s="564"/>
      <c r="G1276" s="564"/>
      <c r="H1276" s="564"/>
      <c r="I1276" s="564"/>
      <c r="J1276" s="564"/>
      <c r="K1276" s="564"/>
      <c r="L1276" s="564"/>
      <c r="M1276" s="564"/>
      <c r="N1276" s="564"/>
      <c r="O1276" s="564"/>
      <c r="P1276" s="564"/>
      <c r="Q1276" s="564"/>
      <c r="R1276" s="564"/>
      <c r="S1276" s="564"/>
      <c r="T1276" s="564"/>
      <c r="U1276" s="564"/>
      <c r="V1276" s="564"/>
      <c r="W1276" s="564"/>
      <c r="X1276" s="564"/>
      <c r="Y1276" s="564"/>
      <c r="Z1276" s="564"/>
      <c r="AA1276" s="564"/>
      <c r="AB1276" s="556"/>
      <c r="AC1276" s="556"/>
      <c r="AD1276" s="74"/>
      <c r="AE1276" s="74"/>
      <c r="AF1276" s="74"/>
      <c r="AG1276" s="74"/>
      <c r="AH1276" s="74"/>
      <c r="AI1276" s="74"/>
      <c r="AJ1276" s="74"/>
      <c r="AK1276" s="74"/>
      <c r="AL1276" s="74"/>
      <c r="AM1276" s="74"/>
      <c r="AN1276" s="74"/>
      <c r="AO1276" s="74"/>
      <c r="AP1276" s="74"/>
      <c r="AQ1276" s="74"/>
      <c r="AR1276" s="74"/>
      <c r="AS1276" s="565"/>
      <c r="AT1276" s="556"/>
    </row>
    <row r="1277" spans="1:46" hidden="1" x14ac:dyDescent="0.45">
      <c r="A1277" s="556"/>
      <c r="B1277" s="556"/>
      <c r="C1277" s="556"/>
      <c r="D1277" s="556"/>
      <c r="E1277" s="556"/>
      <c r="F1277" s="564"/>
      <c r="G1277" s="564"/>
      <c r="H1277" s="564"/>
      <c r="I1277" s="564"/>
      <c r="J1277" s="564"/>
      <c r="K1277" s="564"/>
      <c r="L1277" s="564"/>
      <c r="M1277" s="564"/>
      <c r="N1277" s="564"/>
      <c r="O1277" s="564"/>
      <c r="P1277" s="564"/>
      <c r="Q1277" s="564"/>
      <c r="R1277" s="564"/>
      <c r="S1277" s="564"/>
      <c r="T1277" s="564"/>
      <c r="U1277" s="564"/>
      <c r="V1277" s="564"/>
      <c r="W1277" s="564"/>
      <c r="X1277" s="564"/>
      <c r="Y1277" s="564"/>
      <c r="Z1277" s="564"/>
      <c r="AA1277" s="564"/>
      <c r="AB1277" s="556"/>
      <c r="AC1277" s="556"/>
      <c r="AD1277" s="74"/>
      <c r="AE1277" s="74"/>
      <c r="AF1277" s="74"/>
      <c r="AG1277" s="74"/>
      <c r="AH1277" s="74"/>
      <c r="AI1277" s="74"/>
      <c r="AJ1277" s="74"/>
      <c r="AK1277" s="74"/>
      <c r="AL1277" s="74"/>
      <c r="AM1277" s="74"/>
      <c r="AN1277" s="74"/>
      <c r="AO1277" s="74"/>
      <c r="AP1277" s="74"/>
      <c r="AQ1277" s="74"/>
      <c r="AR1277" s="74"/>
      <c r="AS1277" s="565"/>
      <c r="AT1277" s="556"/>
    </row>
    <row r="1278" spans="1:46" hidden="1" x14ac:dyDescent="0.45">
      <c r="A1278" s="556"/>
      <c r="B1278" s="556"/>
      <c r="C1278" s="556"/>
      <c r="D1278" s="556"/>
      <c r="E1278" s="556"/>
      <c r="F1278" s="564"/>
      <c r="G1278" s="564"/>
      <c r="H1278" s="564"/>
      <c r="I1278" s="564"/>
      <c r="J1278" s="564"/>
      <c r="K1278" s="564"/>
      <c r="L1278" s="564"/>
      <c r="M1278" s="564"/>
      <c r="N1278" s="564"/>
      <c r="O1278" s="564"/>
      <c r="P1278" s="564"/>
      <c r="Q1278" s="564"/>
      <c r="R1278" s="564"/>
      <c r="S1278" s="564"/>
      <c r="T1278" s="564"/>
      <c r="U1278" s="564"/>
      <c r="V1278" s="564"/>
      <c r="W1278" s="564"/>
      <c r="X1278" s="564"/>
      <c r="Y1278" s="564"/>
      <c r="Z1278" s="564"/>
      <c r="AA1278" s="564"/>
      <c r="AB1278" s="556"/>
      <c r="AC1278" s="556"/>
      <c r="AD1278" s="74"/>
      <c r="AE1278" s="74"/>
      <c r="AF1278" s="74"/>
      <c r="AG1278" s="74"/>
      <c r="AH1278" s="74"/>
      <c r="AI1278" s="74"/>
      <c r="AJ1278" s="74"/>
      <c r="AK1278" s="74"/>
      <c r="AL1278" s="74"/>
      <c r="AM1278" s="74"/>
      <c r="AN1278" s="74"/>
      <c r="AO1278" s="74"/>
      <c r="AP1278" s="74"/>
      <c r="AQ1278" s="74"/>
      <c r="AR1278" s="74"/>
      <c r="AS1278" s="565"/>
      <c r="AT1278" s="556"/>
    </row>
    <row r="1279" spans="1:46" hidden="1" x14ac:dyDescent="0.45">
      <c r="A1279" s="556"/>
      <c r="B1279" s="556"/>
      <c r="C1279" s="556"/>
      <c r="D1279" s="556"/>
      <c r="E1279" s="556"/>
      <c r="F1279" s="564"/>
      <c r="G1279" s="564"/>
      <c r="H1279" s="564"/>
      <c r="I1279" s="564"/>
      <c r="J1279" s="564"/>
      <c r="K1279" s="564"/>
      <c r="L1279" s="564"/>
      <c r="M1279" s="564"/>
      <c r="N1279" s="564"/>
      <c r="O1279" s="564"/>
      <c r="P1279" s="564"/>
      <c r="Q1279" s="564"/>
      <c r="R1279" s="564"/>
      <c r="S1279" s="564"/>
      <c r="T1279" s="564"/>
      <c r="U1279" s="564"/>
      <c r="V1279" s="564"/>
      <c r="W1279" s="564"/>
      <c r="X1279" s="564"/>
      <c r="Y1279" s="564"/>
      <c r="Z1279" s="564"/>
      <c r="AA1279" s="564"/>
      <c r="AB1279" s="556"/>
      <c r="AC1279" s="556"/>
      <c r="AD1279" s="74"/>
      <c r="AE1279" s="74"/>
      <c r="AF1279" s="74"/>
      <c r="AG1279" s="74"/>
      <c r="AH1279" s="74"/>
      <c r="AI1279" s="74"/>
      <c r="AJ1279" s="74"/>
      <c r="AK1279" s="74"/>
      <c r="AL1279" s="74"/>
      <c r="AM1279" s="74"/>
      <c r="AN1279" s="74"/>
      <c r="AO1279" s="74"/>
      <c r="AP1279" s="74"/>
      <c r="AQ1279" s="74"/>
      <c r="AR1279" s="74"/>
      <c r="AS1279" s="565"/>
      <c r="AT1279" s="556"/>
    </row>
    <row r="1280" spans="1:46" hidden="1" x14ac:dyDescent="0.45">
      <c r="A1280" s="556"/>
      <c r="B1280" s="556"/>
      <c r="C1280" s="556"/>
      <c r="D1280" s="556"/>
      <c r="E1280" s="556"/>
      <c r="F1280" s="564"/>
      <c r="G1280" s="564"/>
      <c r="H1280" s="564"/>
      <c r="I1280" s="564"/>
      <c r="J1280" s="564"/>
      <c r="K1280" s="564"/>
      <c r="L1280" s="564"/>
      <c r="M1280" s="564"/>
      <c r="N1280" s="564"/>
      <c r="O1280" s="564"/>
      <c r="P1280" s="564"/>
      <c r="Q1280" s="564"/>
      <c r="R1280" s="564"/>
      <c r="S1280" s="564"/>
      <c r="T1280" s="564"/>
      <c r="U1280" s="564"/>
      <c r="V1280" s="564"/>
      <c r="W1280" s="564"/>
      <c r="X1280" s="564"/>
      <c r="Y1280" s="564"/>
      <c r="Z1280" s="564"/>
      <c r="AA1280" s="564"/>
      <c r="AB1280" s="556"/>
      <c r="AC1280" s="556"/>
      <c r="AD1280" s="74"/>
      <c r="AE1280" s="74"/>
      <c r="AF1280" s="74"/>
      <c r="AG1280" s="74"/>
      <c r="AH1280" s="74"/>
      <c r="AI1280" s="74"/>
      <c r="AJ1280" s="74"/>
      <c r="AK1280" s="74"/>
      <c r="AL1280" s="74"/>
      <c r="AM1280" s="74"/>
      <c r="AN1280" s="74"/>
      <c r="AO1280" s="74"/>
      <c r="AP1280" s="74"/>
      <c r="AQ1280" s="74"/>
      <c r="AR1280" s="74"/>
      <c r="AS1280" s="565"/>
      <c r="AT1280" s="556"/>
    </row>
    <row r="1281" spans="1:46" hidden="1" x14ac:dyDescent="0.45">
      <c r="A1281" s="556"/>
      <c r="B1281" s="556"/>
      <c r="C1281" s="556"/>
      <c r="D1281" s="556"/>
      <c r="E1281" s="556"/>
      <c r="F1281" s="564"/>
      <c r="G1281" s="564"/>
      <c r="H1281" s="564"/>
      <c r="I1281" s="564"/>
      <c r="J1281" s="564"/>
      <c r="K1281" s="564"/>
      <c r="L1281" s="564"/>
      <c r="M1281" s="564"/>
      <c r="N1281" s="564"/>
      <c r="O1281" s="564"/>
      <c r="P1281" s="564"/>
      <c r="Q1281" s="564"/>
      <c r="R1281" s="564"/>
      <c r="S1281" s="564"/>
      <c r="T1281" s="564"/>
      <c r="U1281" s="564"/>
      <c r="V1281" s="564"/>
      <c r="W1281" s="564"/>
      <c r="X1281" s="564"/>
      <c r="Y1281" s="564"/>
      <c r="Z1281" s="564"/>
      <c r="AA1281" s="564"/>
      <c r="AB1281" s="556"/>
      <c r="AC1281" s="556"/>
      <c r="AD1281" s="74"/>
      <c r="AE1281" s="74"/>
      <c r="AF1281" s="74"/>
      <c r="AG1281" s="74"/>
      <c r="AH1281" s="74"/>
      <c r="AI1281" s="74"/>
      <c r="AJ1281" s="74"/>
      <c r="AK1281" s="74"/>
      <c r="AL1281" s="74"/>
      <c r="AM1281" s="74"/>
      <c r="AN1281" s="74"/>
      <c r="AO1281" s="74"/>
      <c r="AP1281" s="74"/>
      <c r="AQ1281" s="74"/>
      <c r="AR1281" s="74"/>
      <c r="AS1281" s="565"/>
      <c r="AT1281" s="556"/>
    </row>
    <row r="1282" spans="1:46" hidden="1" x14ac:dyDescent="0.45">
      <c r="A1282" s="556"/>
      <c r="B1282" s="556"/>
      <c r="C1282" s="556"/>
      <c r="D1282" s="556"/>
      <c r="E1282" s="556"/>
      <c r="F1282" s="564"/>
      <c r="G1282" s="564"/>
      <c r="H1282" s="564"/>
      <c r="I1282" s="564"/>
      <c r="J1282" s="564"/>
      <c r="K1282" s="564"/>
      <c r="L1282" s="564"/>
      <c r="M1282" s="564"/>
      <c r="N1282" s="564"/>
      <c r="O1282" s="564"/>
      <c r="P1282" s="564"/>
      <c r="Q1282" s="564"/>
      <c r="R1282" s="564"/>
      <c r="S1282" s="564"/>
      <c r="T1282" s="564"/>
      <c r="U1282" s="564"/>
      <c r="V1282" s="564"/>
      <c r="W1282" s="564"/>
      <c r="X1282" s="564"/>
      <c r="Y1282" s="564"/>
      <c r="Z1282" s="564"/>
      <c r="AA1282" s="564"/>
      <c r="AB1282" s="556"/>
      <c r="AC1282" s="556"/>
      <c r="AD1282" s="74"/>
      <c r="AE1282" s="74"/>
      <c r="AF1282" s="74"/>
      <c r="AG1282" s="74"/>
      <c r="AH1282" s="74"/>
      <c r="AI1282" s="74"/>
      <c r="AJ1282" s="74"/>
      <c r="AK1282" s="74"/>
      <c r="AL1282" s="74"/>
      <c r="AM1282" s="74"/>
      <c r="AN1282" s="74"/>
      <c r="AO1282" s="74"/>
      <c r="AP1282" s="74"/>
      <c r="AQ1282" s="74"/>
      <c r="AR1282" s="74"/>
      <c r="AS1282" s="565"/>
      <c r="AT1282" s="556"/>
    </row>
    <row r="1283" spans="1:46" hidden="1" x14ac:dyDescent="0.45">
      <c r="A1283" s="556"/>
      <c r="B1283" s="556"/>
      <c r="C1283" s="556"/>
      <c r="D1283" s="556"/>
      <c r="E1283" s="556"/>
      <c r="F1283" s="564"/>
      <c r="G1283" s="564"/>
      <c r="H1283" s="564"/>
      <c r="I1283" s="564"/>
      <c r="J1283" s="564"/>
      <c r="K1283" s="564"/>
      <c r="L1283" s="564"/>
      <c r="M1283" s="564"/>
      <c r="N1283" s="564"/>
      <c r="O1283" s="564"/>
      <c r="P1283" s="564"/>
      <c r="Q1283" s="564"/>
      <c r="R1283" s="564"/>
      <c r="S1283" s="564"/>
      <c r="T1283" s="564"/>
      <c r="U1283" s="564"/>
      <c r="V1283" s="564"/>
      <c r="W1283" s="564"/>
      <c r="X1283" s="564"/>
      <c r="Y1283" s="564"/>
      <c r="Z1283" s="564"/>
      <c r="AA1283" s="564"/>
      <c r="AB1283" s="556"/>
      <c r="AC1283" s="556"/>
      <c r="AD1283" s="74"/>
      <c r="AE1283" s="74"/>
      <c r="AF1283" s="74"/>
      <c r="AG1283" s="74"/>
      <c r="AH1283" s="74"/>
      <c r="AI1283" s="74"/>
      <c r="AJ1283" s="74"/>
      <c r="AK1283" s="74"/>
      <c r="AL1283" s="74"/>
      <c r="AM1283" s="74"/>
      <c r="AN1283" s="74"/>
      <c r="AO1283" s="74"/>
      <c r="AP1283" s="74"/>
      <c r="AQ1283" s="74"/>
      <c r="AR1283" s="74"/>
      <c r="AS1283" s="565"/>
      <c r="AT1283" s="556"/>
    </row>
    <row r="1284" spans="1:46" hidden="1" x14ac:dyDescent="0.45">
      <c r="A1284" s="556"/>
      <c r="B1284" s="556"/>
      <c r="C1284" s="556"/>
      <c r="D1284" s="556"/>
      <c r="E1284" s="556"/>
      <c r="F1284" s="564"/>
      <c r="G1284" s="564"/>
      <c r="H1284" s="564"/>
      <c r="I1284" s="564"/>
      <c r="J1284" s="564"/>
      <c r="K1284" s="564"/>
      <c r="L1284" s="564"/>
      <c r="M1284" s="564"/>
      <c r="N1284" s="564"/>
      <c r="O1284" s="564"/>
      <c r="P1284" s="564"/>
      <c r="Q1284" s="564"/>
      <c r="R1284" s="564"/>
      <c r="S1284" s="564"/>
      <c r="T1284" s="564"/>
      <c r="U1284" s="564"/>
      <c r="V1284" s="564"/>
      <c r="W1284" s="564"/>
      <c r="X1284" s="564"/>
      <c r="Y1284" s="564"/>
      <c r="Z1284" s="564"/>
      <c r="AA1284" s="564"/>
      <c r="AB1284" s="556"/>
      <c r="AC1284" s="556"/>
      <c r="AD1284" s="74"/>
      <c r="AE1284" s="74"/>
      <c r="AF1284" s="74"/>
      <c r="AG1284" s="74"/>
      <c r="AH1284" s="74"/>
      <c r="AI1284" s="74"/>
      <c r="AJ1284" s="74"/>
      <c r="AK1284" s="74"/>
      <c r="AL1284" s="74"/>
      <c r="AM1284" s="74"/>
      <c r="AN1284" s="74"/>
      <c r="AO1284" s="74"/>
      <c r="AP1284" s="74"/>
      <c r="AQ1284" s="74"/>
      <c r="AR1284" s="74"/>
      <c r="AS1284" s="565"/>
      <c r="AT1284" s="556"/>
    </row>
    <row r="1285" spans="1:46" hidden="1" x14ac:dyDescent="0.45">
      <c r="A1285" s="556"/>
      <c r="B1285" s="556"/>
      <c r="C1285" s="556"/>
      <c r="D1285" s="556"/>
      <c r="E1285" s="556"/>
      <c r="F1285" s="564"/>
      <c r="G1285" s="564"/>
      <c r="H1285" s="564"/>
      <c r="I1285" s="564"/>
      <c r="J1285" s="564"/>
      <c r="K1285" s="564"/>
      <c r="L1285" s="564"/>
      <c r="M1285" s="564"/>
      <c r="N1285" s="564"/>
      <c r="O1285" s="564"/>
      <c r="P1285" s="564"/>
      <c r="Q1285" s="564"/>
      <c r="R1285" s="564"/>
      <c r="S1285" s="564"/>
      <c r="T1285" s="564"/>
      <c r="U1285" s="564"/>
      <c r="V1285" s="564"/>
      <c r="W1285" s="564"/>
      <c r="X1285" s="564"/>
      <c r="Y1285" s="564"/>
      <c r="Z1285" s="564"/>
      <c r="AA1285" s="564"/>
      <c r="AB1285" s="556"/>
      <c r="AC1285" s="556"/>
      <c r="AD1285" s="74"/>
      <c r="AE1285" s="74"/>
      <c r="AF1285" s="74"/>
      <c r="AG1285" s="74"/>
      <c r="AH1285" s="74"/>
      <c r="AI1285" s="74"/>
      <c r="AJ1285" s="74"/>
      <c r="AK1285" s="74"/>
      <c r="AL1285" s="74"/>
      <c r="AM1285" s="74"/>
      <c r="AN1285" s="74"/>
      <c r="AO1285" s="74"/>
      <c r="AP1285" s="74"/>
      <c r="AQ1285" s="74"/>
      <c r="AR1285" s="74"/>
      <c r="AS1285" s="565"/>
      <c r="AT1285" s="556"/>
    </row>
    <row r="1286" spans="1:46" hidden="1" x14ac:dyDescent="0.45">
      <c r="A1286" s="556"/>
      <c r="B1286" s="556"/>
      <c r="C1286" s="556"/>
      <c r="D1286" s="556"/>
      <c r="E1286" s="556"/>
      <c r="F1286" s="564"/>
      <c r="G1286" s="564"/>
      <c r="H1286" s="564"/>
      <c r="I1286" s="564"/>
      <c r="J1286" s="564"/>
      <c r="K1286" s="564"/>
      <c r="L1286" s="564"/>
      <c r="M1286" s="564"/>
      <c r="N1286" s="564"/>
      <c r="O1286" s="564"/>
      <c r="P1286" s="564"/>
      <c r="Q1286" s="564"/>
      <c r="R1286" s="564"/>
      <c r="S1286" s="564"/>
      <c r="T1286" s="564"/>
      <c r="U1286" s="564"/>
      <c r="V1286" s="564"/>
      <c r="W1286" s="564"/>
      <c r="X1286" s="564"/>
      <c r="Y1286" s="564"/>
      <c r="Z1286" s="564"/>
      <c r="AA1286" s="564"/>
      <c r="AB1286" s="556"/>
      <c r="AC1286" s="556"/>
      <c r="AD1286" s="74"/>
      <c r="AE1286" s="74"/>
      <c r="AF1286" s="74"/>
      <c r="AG1286" s="74"/>
      <c r="AH1286" s="74"/>
      <c r="AI1286" s="74"/>
      <c r="AJ1286" s="74"/>
      <c r="AK1286" s="74"/>
      <c r="AL1286" s="74"/>
      <c r="AM1286" s="74"/>
      <c r="AN1286" s="74"/>
      <c r="AO1286" s="74"/>
      <c r="AP1286" s="74"/>
      <c r="AQ1286" s="74"/>
      <c r="AR1286" s="74"/>
      <c r="AS1286" s="565"/>
      <c r="AT1286" s="556"/>
    </row>
    <row r="1287" spans="1:46" hidden="1" x14ac:dyDescent="0.45">
      <c r="A1287" s="556"/>
      <c r="B1287" s="556"/>
      <c r="C1287" s="556"/>
      <c r="D1287" s="556"/>
      <c r="E1287" s="556"/>
      <c r="F1287" s="564"/>
      <c r="G1287" s="564"/>
      <c r="H1287" s="564"/>
      <c r="I1287" s="564"/>
      <c r="J1287" s="564"/>
      <c r="K1287" s="564"/>
      <c r="L1287" s="564"/>
      <c r="M1287" s="564"/>
      <c r="N1287" s="564"/>
      <c r="O1287" s="564"/>
      <c r="P1287" s="564"/>
      <c r="Q1287" s="564"/>
      <c r="R1287" s="564"/>
      <c r="S1287" s="564"/>
      <c r="T1287" s="564"/>
      <c r="U1287" s="564"/>
      <c r="V1287" s="564"/>
      <c r="W1287" s="564"/>
      <c r="X1287" s="564"/>
      <c r="Y1287" s="564"/>
      <c r="Z1287" s="564"/>
      <c r="AA1287" s="564"/>
      <c r="AB1287" s="556"/>
      <c r="AC1287" s="556"/>
      <c r="AD1287" s="74"/>
      <c r="AE1287" s="74"/>
      <c r="AF1287" s="74"/>
      <c r="AG1287" s="74"/>
      <c r="AH1287" s="74"/>
      <c r="AI1287" s="74"/>
      <c r="AJ1287" s="74"/>
      <c r="AK1287" s="74"/>
      <c r="AL1287" s="74"/>
      <c r="AM1287" s="74"/>
      <c r="AN1287" s="74"/>
      <c r="AO1287" s="74"/>
      <c r="AP1287" s="74"/>
      <c r="AQ1287" s="74"/>
      <c r="AR1287" s="74"/>
      <c r="AS1287" s="565"/>
      <c r="AT1287" s="556"/>
    </row>
    <row r="1288" spans="1:46" hidden="1" x14ac:dyDescent="0.45">
      <c r="A1288" s="556"/>
      <c r="B1288" s="556"/>
      <c r="C1288" s="556"/>
      <c r="D1288" s="556"/>
      <c r="E1288" s="556"/>
      <c r="F1288" s="564"/>
      <c r="G1288" s="564"/>
      <c r="H1288" s="564"/>
      <c r="I1288" s="564"/>
      <c r="J1288" s="564"/>
      <c r="K1288" s="564"/>
      <c r="L1288" s="564"/>
      <c r="M1288" s="564"/>
      <c r="N1288" s="564"/>
      <c r="O1288" s="564"/>
      <c r="P1288" s="564"/>
      <c r="Q1288" s="564"/>
      <c r="R1288" s="564"/>
      <c r="S1288" s="564"/>
      <c r="T1288" s="564"/>
      <c r="U1288" s="564"/>
      <c r="V1288" s="564"/>
      <c r="W1288" s="564"/>
      <c r="X1288" s="564"/>
      <c r="Y1288" s="564"/>
      <c r="Z1288" s="564"/>
      <c r="AA1288" s="564"/>
      <c r="AB1288" s="556"/>
      <c r="AC1288" s="556"/>
      <c r="AD1288" s="74"/>
      <c r="AE1288" s="74"/>
      <c r="AF1288" s="74"/>
      <c r="AG1288" s="74"/>
      <c r="AH1288" s="74"/>
      <c r="AI1288" s="74"/>
      <c r="AJ1288" s="74"/>
      <c r="AK1288" s="74"/>
      <c r="AL1288" s="74"/>
      <c r="AM1288" s="74"/>
      <c r="AN1288" s="74"/>
      <c r="AO1288" s="74"/>
      <c r="AP1288" s="74"/>
      <c r="AQ1288" s="74"/>
      <c r="AR1288" s="74"/>
      <c r="AS1288" s="565"/>
      <c r="AT1288" s="556"/>
    </row>
    <row r="1289" spans="1:46" hidden="1" x14ac:dyDescent="0.45">
      <c r="A1289" s="556"/>
      <c r="B1289" s="556"/>
      <c r="C1289" s="556"/>
      <c r="D1289" s="556"/>
      <c r="E1289" s="556"/>
      <c r="F1289" s="564"/>
      <c r="G1289" s="564"/>
      <c r="H1289" s="564"/>
      <c r="I1289" s="564"/>
      <c r="J1289" s="564"/>
      <c r="K1289" s="564"/>
      <c r="L1289" s="564"/>
      <c r="M1289" s="564"/>
      <c r="N1289" s="564"/>
      <c r="O1289" s="564"/>
      <c r="P1289" s="564"/>
      <c r="Q1289" s="564"/>
      <c r="R1289" s="564"/>
      <c r="S1289" s="564"/>
      <c r="T1289" s="564"/>
      <c r="U1289" s="564"/>
      <c r="V1289" s="564"/>
      <c r="W1289" s="564"/>
      <c r="X1289" s="564"/>
      <c r="Y1289" s="564"/>
      <c r="Z1289" s="564"/>
      <c r="AA1289" s="564"/>
      <c r="AB1289" s="556"/>
      <c r="AC1289" s="556"/>
      <c r="AD1289" s="74"/>
      <c r="AE1289" s="74"/>
      <c r="AF1289" s="74"/>
      <c r="AG1289" s="74"/>
      <c r="AH1289" s="74"/>
      <c r="AI1289" s="74"/>
      <c r="AJ1289" s="74"/>
      <c r="AK1289" s="74"/>
      <c r="AL1289" s="74"/>
      <c r="AM1289" s="74"/>
      <c r="AN1289" s="74"/>
      <c r="AO1289" s="74"/>
      <c r="AP1289" s="74"/>
      <c r="AQ1289" s="74"/>
      <c r="AR1289" s="74"/>
      <c r="AS1289" s="565"/>
      <c r="AT1289" s="556"/>
    </row>
    <row r="1290" spans="1:46" hidden="1" x14ac:dyDescent="0.45">
      <c r="A1290" s="556"/>
      <c r="B1290" s="556"/>
      <c r="C1290" s="556"/>
      <c r="D1290" s="556"/>
      <c r="E1290" s="556"/>
      <c r="F1290" s="564"/>
      <c r="G1290" s="564"/>
      <c r="H1290" s="564"/>
      <c r="I1290" s="564"/>
      <c r="J1290" s="564"/>
      <c r="K1290" s="564"/>
      <c r="L1290" s="564"/>
      <c r="M1290" s="564"/>
      <c r="N1290" s="564"/>
      <c r="O1290" s="564"/>
      <c r="P1290" s="564"/>
      <c r="Q1290" s="564"/>
      <c r="R1290" s="564"/>
      <c r="S1290" s="564"/>
      <c r="T1290" s="564"/>
      <c r="U1290" s="564"/>
      <c r="V1290" s="564"/>
      <c r="W1290" s="564"/>
      <c r="X1290" s="564"/>
      <c r="Y1290" s="564"/>
      <c r="Z1290" s="564"/>
      <c r="AA1290" s="564"/>
      <c r="AB1290" s="556"/>
      <c r="AC1290" s="556"/>
      <c r="AD1290" s="74"/>
      <c r="AE1290" s="74"/>
      <c r="AF1290" s="74"/>
      <c r="AG1290" s="74"/>
      <c r="AH1290" s="74"/>
      <c r="AI1290" s="74"/>
      <c r="AJ1290" s="74"/>
      <c r="AK1290" s="74"/>
      <c r="AL1290" s="74"/>
      <c r="AM1290" s="74"/>
      <c r="AN1290" s="74"/>
      <c r="AO1290" s="74"/>
      <c r="AP1290" s="74"/>
      <c r="AQ1290" s="74"/>
      <c r="AR1290" s="74"/>
      <c r="AS1290" s="565"/>
      <c r="AT1290" s="556"/>
    </row>
    <row r="1291" spans="1:46" hidden="1" x14ac:dyDescent="0.45">
      <c r="A1291" s="556"/>
      <c r="B1291" s="556"/>
      <c r="C1291" s="556"/>
      <c r="D1291" s="556"/>
      <c r="E1291" s="556"/>
      <c r="F1291" s="564"/>
      <c r="G1291" s="564"/>
      <c r="H1291" s="564"/>
      <c r="I1291" s="564"/>
      <c r="J1291" s="564"/>
      <c r="K1291" s="564"/>
      <c r="L1291" s="564"/>
      <c r="M1291" s="564"/>
      <c r="N1291" s="564"/>
      <c r="O1291" s="564"/>
      <c r="P1291" s="564"/>
      <c r="Q1291" s="564"/>
      <c r="R1291" s="564"/>
      <c r="S1291" s="564"/>
      <c r="T1291" s="564"/>
      <c r="U1291" s="564"/>
      <c r="V1291" s="564"/>
      <c r="W1291" s="564"/>
      <c r="X1291" s="564"/>
      <c r="Y1291" s="564"/>
      <c r="Z1291" s="564"/>
      <c r="AA1291" s="564"/>
      <c r="AB1291" s="556"/>
      <c r="AC1291" s="556"/>
      <c r="AD1291" s="74"/>
      <c r="AE1291" s="74"/>
      <c r="AF1291" s="74"/>
      <c r="AG1291" s="74"/>
      <c r="AH1291" s="74"/>
      <c r="AI1291" s="74"/>
      <c r="AJ1291" s="74"/>
      <c r="AK1291" s="74"/>
      <c r="AL1291" s="74"/>
      <c r="AM1291" s="74"/>
      <c r="AN1291" s="74"/>
      <c r="AO1291" s="74"/>
      <c r="AP1291" s="74"/>
      <c r="AQ1291" s="74"/>
      <c r="AR1291" s="74"/>
      <c r="AS1291" s="565"/>
      <c r="AT1291" s="556"/>
    </row>
    <row r="1292" spans="1:46" hidden="1" x14ac:dyDescent="0.45">
      <c r="A1292" s="556"/>
      <c r="B1292" s="556"/>
      <c r="C1292" s="556"/>
      <c r="D1292" s="556"/>
      <c r="E1292" s="556"/>
      <c r="F1292" s="564"/>
      <c r="G1292" s="564"/>
      <c r="H1292" s="564"/>
      <c r="I1292" s="564"/>
      <c r="J1292" s="564"/>
      <c r="K1292" s="564"/>
      <c r="L1292" s="564"/>
      <c r="M1292" s="564"/>
      <c r="N1292" s="564"/>
      <c r="O1292" s="564"/>
      <c r="P1292" s="564"/>
      <c r="Q1292" s="564"/>
      <c r="R1292" s="564"/>
      <c r="S1292" s="564"/>
      <c r="T1292" s="564"/>
      <c r="U1292" s="564"/>
      <c r="V1292" s="564"/>
      <c r="W1292" s="564"/>
      <c r="X1292" s="564"/>
      <c r="Y1292" s="564"/>
      <c r="Z1292" s="564"/>
      <c r="AA1292" s="564"/>
      <c r="AB1292" s="556"/>
      <c r="AC1292" s="556"/>
      <c r="AD1292" s="74"/>
      <c r="AE1292" s="74"/>
      <c r="AF1292" s="74"/>
      <c r="AG1292" s="74"/>
      <c r="AH1292" s="74"/>
      <c r="AI1292" s="74"/>
      <c r="AJ1292" s="74"/>
      <c r="AK1292" s="74"/>
      <c r="AL1292" s="74"/>
      <c r="AM1292" s="74"/>
      <c r="AN1292" s="74"/>
      <c r="AO1292" s="74"/>
      <c r="AP1292" s="74"/>
      <c r="AQ1292" s="74"/>
      <c r="AR1292" s="74"/>
      <c r="AS1292" s="565"/>
      <c r="AT1292" s="556"/>
    </row>
    <row r="1293" spans="1:46" hidden="1" x14ac:dyDescent="0.45">
      <c r="A1293" s="556"/>
      <c r="B1293" s="556"/>
      <c r="C1293" s="556"/>
      <c r="D1293" s="556"/>
      <c r="E1293" s="556"/>
      <c r="F1293" s="564"/>
      <c r="G1293" s="564"/>
      <c r="H1293" s="564"/>
      <c r="I1293" s="564"/>
      <c r="J1293" s="564"/>
      <c r="K1293" s="564"/>
      <c r="L1293" s="564"/>
      <c r="M1293" s="564"/>
      <c r="N1293" s="564"/>
      <c r="O1293" s="564"/>
      <c r="P1293" s="564"/>
      <c r="Q1293" s="564"/>
      <c r="R1293" s="564"/>
      <c r="S1293" s="564"/>
      <c r="T1293" s="564"/>
      <c r="U1293" s="564"/>
      <c r="V1293" s="564"/>
      <c r="W1293" s="564"/>
      <c r="X1293" s="564"/>
      <c r="Y1293" s="564"/>
      <c r="Z1293" s="564"/>
      <c r="AA1293" s="564"/>
      <c r="AB1293" s="556"/>
      <c r="AC1293" s="556"/>
      <c r="AD1293" s="74"/>
      <c r="AE1293" s="74"/>
      <c r="AF1293" s="74"/>
      <c r="AG1293" s="74"/>
      <c r="AH1293" s="74"/>
      <c r="AI1293" s="74"/>
      <c r="AJ1293" s="74"/>
      <c r="AK1293" s="74"/>
      <c r="AL1293" s="74"/>
      <c r="AM1293" s="74"/>
      <c r="AN1293" s="74"/>
      <c r="AO1293" s="74"/>
      <c r="AP1293" s="74"/>
      <c r="AQ1293" s="74"/>
      <c r="AR1293" s="74"/>
      <c r="AS1293" s="565"/>
      <c r="AT1293" s="556"/>
    </row>
    <row r="1294" spans="1:46" hidden="1" x14ac:dyDescent="0.45">
      <c r="A1294" s="556"/>
      <c r="B1294" s="556"/>
      <c r="C1294" s="556"/>
      <c r="D1294" s="556"/>
      <c r="E1294" s="556"/>
      <c r="F1294" s="564"/>
      <c r="G1294" s="564"/>
      <c r="H1294" s="564"/>
      <c r="I1294" s="564"/>
      <c r="J1294" s="564"/>
      <c r="K1294" s="564"/>
      <c r="L1294" s="564"/>
      <c r="M1294" s="564"/>
      <c r="N1294" s="564"/>
      <c r="O1294" s="564"/>
      <c r="P1294" s="564"/>
      <c r="Q1294" s="564"/>
      <c r="R1294" s="564"/>
      <c r="S1294" s="564"/>
      <c r="T1294" s="564"/>
      <c r="U1294" s="564"/>
      <c r="V1294" s="564"/>
      <c r="W1294" s="564"/>
      <c r="X1294" s="564"/>
      <c r="Y1294" s="564"/>
      <c r="Z1294" s="564"/>
      <c r="AA1294" s="564"/>
      <c r="AB1294" s="556"/>
      <c r="AC1294" s="556"/>
      <c r="AD1294" s="74"/>
      <c r="AE1294" s="74"/>
      <c r="AF1294" s="74"/>
      <c r="AG1294" s="74"/>
      <c r="AH1294" s="74"/>
      <c r="AI1294" s="74"/>
      <c r="AJ1294" s="74"/>
      <c r="AK1294" s="74"/>
      <c r="AL1294" s="74"/>
      <c r="AM1294" s="74"/>
      <c r="AN1294" s="74"/>
      <c r="AO1294" s="74"/>
      <c r="AP1294" s="74"/>
      <c r="AQ1294" s="74"/>
      <c r="AR1294" s="74"/>
      <c r="AS1294" s="565"/>
      <c r="AT1294" s="556"/>
    </row>
    <row r="1295" spans="1:46" hidden="1" x14ac:dyDescent="0.45">
      <c r="A1295" s="556"/>
      <c r="B1295" s="556"/>
      <c r="C1295" s="556"/>
      <c r="D1295" s="556"/>
      <c r="E1295" s="556"/>
      <c r="F1295" s="564"/>
      <c r="G1295" s="564"/>
      <c r="H1295" s="564"/>
      <c r="I1295" s="564"/>
      <c r="J1295" s="564"/>
      <c r="K1295" s="564"/>
      <c r="L1295" s="564"/>
      <c r="M1295" s="564"/>
      <c r="N1295" s="564"/>
      <c r="O1295" s="564"/>
      <c r="P1295" s="564"/>
      <c r="Q1295" s="564"/>
      <c r="R1295" s="564"/>
      <c r="S1295" s="564"/>
      <c r="T1295" s="564"/>
      <c r="U1295" s="564"/>
      <c r="V1295" s="564"/>
      <c r="W1295" s="564"/>
      <c r="X1295" s="564"/>
      <c r="Y1295" s="564"/>
      <c r="Z1295" s="564"/>
      <c r="AA1295" s="564"/>
      <c r="AB1295" s="556"/>
      <c r="AC1295" s="556"/>
      <c r="AD1295" s="74"/>
      <c r="AE1295" s="74"/>
      <c r="AF1295" s="74"/>
      <c r="AG1295" s="74"/>
      <c r="AH1295" s="74"/>
      <c r="AI1295" s="74"/>
      <c r="AJ1295" s="74"/>
      <c r="AK1295" s="74"/>
      <c r="AL1295" s="74"/>
      <c r="AM1295" s="74"/>
      <c r="AN1295" s="74"/>
      <c r="AO1295" s="74"/>
      <c r="AP1295" s="74"/>
      <c r="AQ1295" s="74"/>
      <c r="AR1295" s="74"/>
      <c r="AS1295" s="565"/>
      <c r="AT1295" s="556"/>
    </row>
    <row r="1296" spans="1:46" hidden="1" x14ac:dyDescent="0.45">
      <c r="A1296" s="556"/>
      <c r="B1296" s="556"/>
      <c r="C1296" s="556"/>
      <c r="D1296" s="556"/>
      <c r="E1296" s="556"/>
      <c r="F1296" s="564"/>
      <c r="G1296" s="564"/>
      <c r="H1296" s="564"/>
      <c r="I1296" s="564"/>
      <c r="J1296" s="564"/>
      <c r="K1296" s="564"/>
      <c r="L1296" s="564"/>
      <c r="M1296" s="564"/>
      <c r="N1296" s="564"/>
      <c r="O1296" s="564"/>
      <c r="P1296" s="564"/>
      <c r="Q1296" s="564"/>
      <c r="R1296" s="564"/>
      <c r="S1296" s="564"/>
      <c r="T1296" s="564"/>
      <c r="U1296" s="564"/>
      <c r="V1296" s="564"/>
      <c r="W1296" s="564"/>
      <c r="X1296" s="564"/>
      <c r="Y1296" s="564"/>
      <c r="Z1296" s="564"/>
      <c r="AA1296" s="564"/>
      <c r="AB1296" s="556"/>
      <c r="AC1296" s="556"/>
      <c r="AD1296" s="74"/>
      <c r="AE1296" s="74"/>
      <c r="AF1296" s="74"/>
      <c r="AG1296" s="74"/>
      <c r="AH1296" s="74"/>
      <c r="AI1296" s="74"/>
      <c r="AJ1296" s="74"/>
      <c r="AK1296" s="74"/>
      <c r="AL1296" s="74"/>
      <c r="AM1296" s="74"/>
      <c r="AN1296" s="74"/>
      <c r="AO1296" s="74"/>
      <c r="AP1296" s="74"/>
      <c r="AQ1296" s="74"/>
      <c r="AR1296" s="74"/>
      <c r="AS1296" s="565"/>
      <c r="AT1296" s="556"/>
    </row>
    <row r="1297" spans="1:46" hidden="1" x14ac:dyDescent="0.45">
      <c r="A1297" s="556"/>
      <c r="B1297" s="556"/>
      <c r="C1297" s="556"/>
      <c r="D1297" s="556"/>
      <c r="E1297" s="556"/>
      <c r="F1297" s="564"/>
      <c r="G1297" s="564"/>
      <c r="H1297" s="564"/>
      <c r="I1297" s="564"/>
      <c r="J1297" s="564"/>
      <c r="K1297" s="564"/>
      <c r="L1297" s="564"/>
      <c r="M1297" s="564"/>
      <c r="N1297" s="564"/>
      <c r="O1297" s="564"/>
      <c r="P1297" s="564"/>
      <c r="Q1297" s="564"/>
      <c r="R1297" s="564"/>
      <c r="S1297" s="564"/>
      <c r="T1297" s="564"/>
      <c r="U1297" s="564"/>
      <c r="V1297" s="564"/>
      <c r="W1297" s="564"/>
      <c r="X1297" s="564"/>
      <c r="Y1297" s="564"/>
      <c r="Z1297" s="564"/>
      <c r="AA1297" s="564"/>
      <c r="AB1297" s="556"/>
      <c r="AC1297" s="556"/>
      <c r="AD1297" s="74"/>
      <c r="AE1297" s="74"/>
      <c r="AF1297" s="74"/>
      <c r="AG1297" s="74"/>
      <c r="AH1297" s="74"/>
      <c r="AI1297" s="74"/>
      <c r="AJ1297" s="74"/>
      <c r="AK1297" s="74"/>
      <c r="AL1297" s="74"/>
      <c r="AM1297" s="74"/>
      <c r="AN1297" s="74"/>
      <c r="AO1297" s="74"/>
      <c r="AP1297" s="74"/>
      <c r="AQ1297" s="74"/>
      <c r="AR1297" s="74"/>
      <c r="AS1297" s="565"/>
      <c r="AT1297" s="556"/>
    </row>
    <row r="1298" spans="1:46" hidden="1" x14ac:dyDescent="0.45">
      <c r="A1298" s="556"/>
      <c r="B1298" s="556"/>
      <c r="C1298" s="556"/>
      <c r="D1298" s="556"/>
      <c r="E1298" s="556"/>
      <c r="F1298" s="564"/>
      <c r="G1298" s="564"/>
      <c r="H1298" s="564"/>
      <c r="I1298" s="564"/>
      <c r="J1298" s="564"/>
      <c r="K1298" s="564"/>
      <c r="L1298" s="564"/>
      <c r="M1298" s="564"/>
      <c r="N1298" s="564"/>
      <c r="O1298" s="564"/>
      <c r="P1298" s="564"/>
      <c r="Q1298" s="564"/>
      <c r="R1298" s="564"/>
      <c r="S1298" s="564"/>
      <c r="T1298" s="564"/>
      <c r="U1298" s="564"/>
      <c r="V1298" s="564"/>
      <c r="W1298" s="564"/>
      <c r="X1298" s="564"/>
      <c r="Y1298" s="564"/>
      <c r="Z1298" s="564"/>
      <c r="AA1298" s="564"/>
      <c r="AB1298" s="556"/>
      <c r="AC1298" s="556"/>
      <c r="AD1298" s="74"/>
      <c r="AE1298" s="74"/>
      <c r="AF1298" s="74"/>
      <c r="AG1298" s="74"/>
      <c r="AH1298" s="74"/>
      <c r="AI1298" s="74"/>
      <c r="AJ1298" s="74"/>
      <c r="AK1298" s="74"/>
      <c r="AL1298" s="74"/>
      <c r="AM1298" s="74"/>
      <c r="AN1298" s="74"/>
      <c r="AO1298" s="74"/>
      <c r="AP1298" s="74"/>
      <c r="AQ1298" s="74"/>
      <c r="AR1298" s="74"/>
      <c r="AS1298" s="565"/>
      <c r="AT1298" s="556"/>
    </row>
    <row r="1299" spans="1:46" hidden="1" x14ac:dyDescent="0.45">
      <c r="A1299" s="556"/>
      <c r="B1299" s="556"/>
      <c r="C1299" s="556"/>
      <c r="D1299" s="556"/>
      <c r="E1299" s="556"/>
      <c r="F1299" s="564"/>
      <c r="G1299" s="564"/>
      <c r="H1299" s="564"/>
      <c r="I1299" s="564"/>
      <c r="J1299" s="564"/>
      <c r="K1299" s="564"/>
      <c r="L1299" s="564"/>
      <c r="M1299" s="564"/>
      <c r="N1299" s="564"/>
      <c r="O1299" s="564"/>
      <c r="P1299" s="564"/>
      <c r="Q1299" s="564"/>
      <c r="R1299" s="564"/>
      <c r="S1299" s="564"/>
      <c r="T1299" s="564"/>
      <c r="U1299" s="564"/>
      <c r="V1299" s="564"/>
      <c r="W1299" s="564"/>
      <c r="X1299" s="564"/>
      <c r="Y1299" s="564"/>
      <c r="Z1299" s="564"/>
      <c r="AA1299" s="564"/>
      <c r="AB1299" s="556"/>
      <c r="AC1299" s="556"/>
      <c r="AD1299" s="74"/>
      <c r="AE1299" s="74"/>
      <c r="AF1299" s="74"/>
      <c r="AG1299" s="74"/>
      <c r="AH1299" s="74"/>
      <c r="AI1299" s="74"/>
      <c r="AJ1299" s="74"/>
      <c r="AK1299" s="74"/>
      <c r="AL1299" s="74"/>
      <c r="AM1299" s="74"/>
      <c r="AN1299" s="74"/>
      <c r="AO1299" s="74"/>
      <c r="AP1299" s="74"/>
      <c r="AQ1299" s="74"/>
      <c r="AR1299" s="74"/>
      <c r="AS1299" s="565"/>
      <c r="AT1299" s="556"/>
    </row>
    <row r="1300" spans="1:46" hidden="1" x14ac:dyDescent="0.45">
      <c r="A1300" s="556"/>
      <c r="B1300" s="556"/>
      <c r="C1300" s="556"/>
      <c r="D1300" s="556"/>
      <c r="E1300" s="556"/>
      <c r="F1300" s="564"/>
      <c r="G1300" s="564"/>
      <c r="H1300" s="564"/>
      <c r="I1300" s="564"/>
      <c r="J1300" s="564"/>
      <c r="K1300" s="564"/>
      <c r="L1300" s="564"/>
      <c r="M1300" s="564"/>
      <c r="N1300" s="564"/>
      <c r="O1300" s="564"/>
      <c r="P1300" s="564"/>
      <c r="Q1300" s="564"/>
      <c r="R1300" s="564"/>
      <c r="S1300" s="564"/>
      <c r="T1300" s="564"/>
      <c r="U1300" s="564"/>
      <c r="V1300" s="564"/>
      <c r="W1300" s="564"/>
      <c r="X1300" s="564"/>
      <c r="Y1300" s="564"/>
      <c r="Z1300" s="564"/>
      <c r="AA1300" s="564"/>
      <c r="AB1300" s="556"/>
      <c r="AC1300" s="556"/>
      <c r="AD1300" s="74"/>
      <c r="AE1300" s="74"/>
      <c r="AF1300" s="74"/>
      <c r="AG1300" s="74"/>
      <c r="AH1300" s="74"/>
      <c r="AI1300" s="74"/>
      <c r="AJ1300" s="74"/>
      <c r="AK1300" s="74"/>
      <c r="AL1300" s="74"/>
      <c r="AM1300" s="74"/>
      <c r="AN1300" s="74"/>
      <c r="AO1300" s="74"/>
      <c r="AP1300" s="74"/>
      <c r="AQ1300" s="74"/>
      <c r="AR1300" s="74"/>
      <c r="AS1300" s="565"/>
      <c r="AT1300" s="556"/>
    </row>
    <row r="1301" spans="1:46" hidden="1" x14ac:dyDescent="0.45">
      <c r="A1301" s="556"/>
      <c r="B1301" s="556"/>
      <c r="C1301" s="556"/>
      <c r="D1301" s="556"/>
      <c r="E1301" s="556"/>
      <c r="F1301" s="564"/>
      <c r="G1301" s="564"/>
      <c r="H1301" s="564"/>
      <c r="I1301" s="564"/>
      <c r="J1301" s="564"/>
      <c r="K1301" s="564"/>
      <c r="L1301" s="564"/>
      <c r="M1301" s="564"/>
      <c r="N1301" s="564"/>
      <c r="O1301" s="564"/>
      <c r="P1301" s="564"/>
      <c r="Q1301" s="564"/>
      <c r="R1301" s="564"/>
      <c r="S1301" s="564"/>
      <c r="T1301" s="564"/>
      <c r="U1301" s="564"/>
      <c r="V1301" s="564"/>
      <c r="W1301" s="564"/>
      <c r="X1301" s="564"/>
      <c r="Y1301" s="564"/>
      <c r="Z1301" s="564"/>
      <c r="AA1301" s="564"/>
      <c r="AB1301" s="556"/>
      <c r="AC1301" s="556"/>
      <c r="AD1301" s="74"/>
      <c r="AE1301" s="74"/>
      <c r="AF1301" s="74"/>
      <c r="AG1301" s="74"/>
      <c r="AH1301" s="74"/>
      <c r="AI1301" s="74"/>
      <c r="AJ1301" s="74"/>
      <c r="AK1301" s="74"/>
      <c r="AL1301" s="74"/>
      <c r="AM1301" s="74"/>
      <c r="AN1301" s="74"/>
      <c r="AO1301" s="74"/>
      <c r="AP1301" s="74"/>
      <c r="AQ1301" s="74"/>
      <c r="AR1301" s="74"/>
      <c r="AS1301" s="565"/>
      <c r="AT1301" s="556"/>
    </row>
    <row r="1302" spans="1:46" hidden="1" x14ac:dyDescent="0.45">
      <c r="A1302" s="556"/>
      <c r="B1302" s="556"/>
      <c r="C1302" s="556"/>
      <c r="D1302" s="556"/>
      <c r="E1302" s="556"/>
      <c r="F1302" s="564"/>
      <c r="G1302" s="564"/>
      <c r="H1302" s="564"/>
      <c r="I1302" s="564"/>
      <c r="J1302" s="564"/>
      <c r="K1302" s="564"/>
      <c r="L1302" s="564"/>
      <c r="M1302" s="564"/>
      <c r="N1302" s="564"/>
      <c r="O1302" s="564"/>
      <c r="P1302" s="564"/>
      <c r="Q1302" s="564"/>
      <c r="R1302" s="564"/>
      <c r="S1302" s="564"/>
      <c r="T1302" s="564"/>
      <c r="U1302" s="564"/>
      <c r="V1302" s="564"/>
      <c r="W1302" s="564"/>
      <c r="X1302" s="564"/>
      <c r="Y1302" s="564"/>
      <c r="Z1302" s="564"/>
      <c r="AA1302" s="564"/>
      <c r="AB1302" s="556"/>
      <c r="AC1302" s="556"/>
      <c r="AD1302" s="74"/>
      <c r="AE1302" s="74"/>
      <c r="AF1302" s="74"/>
      <c r="AG1302" s="74"/>
      <c r="AH1302" s="74"/>
      <c r="AI1302" s="74"/>
      <c r="AJ1302" s="74"/>
      <c r="AK1302" s="74"/>
      <c r="AL1302" s="74"/>
      <c r="AM1302" s="74"/>
      <c r="AN1302" s="74"/>
      <c r="AO1302" s="74"/>
      <c r="AP1302" s="74"/>
      <c r="AQ1302" s="74"/>
      <c r="AR1302" s="74"/>
      <c r="AS1302" s="565"/>
      <c r="AT1302" s="556"/>
    </row>
    <row r="1303" spans="1:46" hidden="1" x14ac:dyDescent="0.45">
      <c r="A1303" s="556"/>
      <c r="B1303" s="556"/>
      <c r="C1303" s="556"/>
      <c r="D1303" s="556"/>
      <c r="E1303" s="556"/>
      <c r="F1303" s="564"/>
      <c r="G1303" s="564"/>
      <c r="H1303" s="564"/>
      <c r="I1303" s="564"/>
      <c r="J1303" s="564"/>
      <c r="K1303" s="564"/>
      <c r="L1303" s="564"/>
      <c r="M1303" s="564"/>
      <c r="N1303" s="564"/>
      <c r="O1303" s="564"/>
      <c r="P1303" s="564"/>
      <c r="Q1303" s="564"/>
      <c r="R1303" s="564"/>
      <c r="S1303" s="564"/>
      <c r="T1303" s="564"/>
      <c r="U1303" s="564"/>
      <c r="V1303" s="564"/>
      <c r="W1303" s="564"/>
      <c r="X1303" s="564"/>
      <c r="Y1303" s="564"/>
      <c r="Z1303" s="564"/>
      <c r="AA1303" s="564"/>
      <c r="AB1303" s="556"/>
      <c r="AC1303" s="556"/>
      <c r="AD1303" s="74"/>
      <c r="AE1303" s="74"/>
      <c r="AF1303" s="74"/>
      <c r="AG1303" s="74"/>
      <c r="AH1303" s="74"/>
      <c r="AI1303" s="74"/>
      <c r="AJ1303" s="74"/>
      <c r="AK1303" s="74"/>
      <c r="AL1303" s="74"/>
      <c r="AM1303" s="74"/>
      <c r="AN1303" s="74"/>
      <c r="AO1303" s="74"/>
      <c r="AP1303" s="74"/>
      <c r="AQ1303" s="74"/>
      <c r="AR1303" s="74"/>
      <c r="AS1303" s="565"/>
      <c r="AT1303" s="556"/>
    </row>
    <row r="1304" spans="1:46" hidden="1" x14ac:dyDescent="0.45">
      <c r="A1304" s="556"/>
      <c r="B1304" s="556"/>
      <c r="C1304" s="556"/>
      <c r="D1304" s="556"/>
      <c r="E1304" s="556"/>
      <c r="F1304" s="564"/>
      <c r="G1304" s="564"/>
      <c r="H1304" s="564"/>
      <c r="I1304" s="564"/>
      <c r="J1304" s="564"/>
      <c r="K1304" s="564"/>
      <c r="L1304" s="564"/>
      <c r="M1304" s="564"/>
      <c r="N1304" s="564"/>
      <c r="O1304" s="564"/>
      <c r="P1304" s="564"/>
      <c r="Q1304" s="564"/>
      <c r="R1304" s="564"/>
      <c r="S1304" s="564"/>
      <c r="T1304" s="564"/>
      <c r="U1304" s="564"/>
      <c r="V1304" s="564"/>
      <c r="W1304" s="564"/>
      <c r="X1304" s="564"/>
      <c r="Y1304" s="564"/>
      <c r="Z1304" s="564"/>
      <c r="AA1304" s="564"/>
      <c r="AB1304" s="556"/>
      <c r="AC1304" s="556"/>
      <c r="AD1304" s="74"/>
      <c r="AE1304" s="74"/>
      <c r="AF1304" s="74"/>
      <c r="AG1304" s="74"/>
      <c r="AH1304" s="74"/>
      <c r="AI1304" s="74"/>
      <c r="AJ1304" s="74"/>
      <c r="AK1304" s="74"/>
      <c r="AL1304" s="74"/>
      <c r="AM1304" s="74"/>
      <c r="AN1304" s="74"/>
      <c r="AO1304" s="74"/>
      <c r="AP1304" s="74"/>
      <c r="AQ1304" s="74"/>
      <c r="AR1304" s="74"/>
      <c r="AS1304" s="565"/>
      <c r="AT1304" s="556"/>
    </row>
    <row r="1305" spans="1:46" hidden="1" x14ac:dyDescent="0.45">
      <c r="A1305" s="556"/>
      <c r="B1305" s="556"/>
      <c r="C1305" s="556"/>
      <c r="D1305" s="556"/>
      <c r="E1305" s="556"/>
      <c r="F1305" s="564"/>
      <c r="G1305" s="564"/>
      <c r="H1305" s="564"/>
      <c r="I1305" s="564"/>
      <c r="J1305" s="564"/>
      <c r="K1305" s="564"/>
      <c r="L1305" s="564"/>
      <c r="M1305" s="564"/>
      <c r="N1305" s="564"/>
      <c r="O1305" s="564"/>
      <c r="P1305" s="564"/>
      <c r="Q1305" s="564"/>
      <c r="R1305" s="564"/>
      <c r="S1305" s="564"/>
      <c r="T1305" s="564"/>
      <c r="U1305" s="564"/>
      <c r="V1305" s="564"/>
      <c r="W1305" s="564"/>
      <c r="X1305" s="564"/>
      <c r="Y1305" s="564"/>
      <c r="Z1305" s="564"/>
      <c r="AA1305" s="564"/>
      <c r="AB1305" s="556"/>
      <c r="AC1305" s="556"/>
      <c r="AD1305" s="74"/>
      <c r="AE1305" s="74"/>
      <c r="AF1305" s="74"/>
      <c r="AG1305" s="74"/>
      <c r="AH1305" s="74"/>
      <c r="AI1305" s="74"/>
      <c r="AJ1305" s="74"/>
      <c r="AK1305" s="74"/>
      <c r="AL1305" s="74"/>
      <c r="AM1305" s="74"/>
      <c r="AN1305" s="74"/>
      <c r="AO1305" s="74"/>
      <c r="AP1305" s="74"/>
      <c r="AQ1305" s="74"/>
      <c r="AR1305" s="74"/>
      <c r="AS1305" s="565"/>
      <c r="AT1305" s="556"/>
    </row>
    <row r="1306" spans="1:46" hidden="1" x14ac:dyDescent="0.45">
      <c r="A1306" s="556"/>
      <c r="B1306" s="556"/>
      <c r="C1306" s="556"/>
      <c r="D1306" s="556"/>
      <c r="E1306" s="556"/>
      <c r="F1306" s="564"/>
      <c r="G1306" s="564"/>
      <c r="H1306" s="564"/>
      <c r="I1306" s="564"/>
      <c r="J1306" s="564"/>
      <c r="K1306" s="564"/>
      <c r="L1306" s="564"/>
      <c r="M1306" s="564"/>
      <c r="N1306" s="564"/>
      <c r="O1306" s="564"/>
      <c r="P1306" s="564"/>
      <c r="Q1306" s="564"/>
      <c r="R1306" s="564"/>
      <c r="S1306" s="564"/>
      <c r="T1306" s="564"/>
      <c r="U1306" s="564"/>
      <c r="V1306" s="564"/>
      <c r="W1306" s="564"/>
      <c r="X1306" s="564"/>
      <c r="Y1306" s="564"/>
      <c r="Z1306" s="564"/>
      <c r="AA1306" s="564"/>
      <c r="AB1306" s="556"/>
      <c r="AC1306" s="556"/>
      <c r="AD1306" s="74"/>
      <c r="AE1306" s="74"/>
      <c r="AF1306" s="74"/>
      <c r="AG1306" s="74"/>
      <c r="AH1306" s="74"/>
      <c r="AI1306" s="74"/>
      <c r="AJ1306" s="74"/>
      <c r="AK1306" s="74"/>
      <c r="AL1306" s="74"/>
      <c r="AM1306" s="74"/>
      <c r="AN1306" s="74"/>
      <c r="AO1306" s="74"/>
      <c r="AP1306" s="74"/>
      <c r="AQ1306" s="74"/>
      <c r="AR1306" s="74"/>
      <c r="AS1306" s="565"/>
      <c r="AT1306" s="556"/>
    </row>
    <row r="1307" spans="1:46" hidden="1" x14ac:dyDescent="0.45">
      <c r="A1307" s="556"/>
      <c r="B1307" s="556"/>
      <c r="C1307" s="556"/>
      <c r="D1307" s="556"/>
      <c r="E1307" s="556"/>
      <c r="F1307" s="564"/>
      <c r="G1307" s="564"/>
      <c r="H1307" s="564"/>
      <c r="I1307" s="564"/>
      <c r="J1307" s="564"/>
      <c r="K1307" s="564"/>
      <c r="L1307" s="564"/>
      <c r="M1307" s="564"/>
      <c r="N1307" s="564"/>
      <c r="O1307" s="564"/>
      <c r="P1307" s="564"/>
      <c r="Q1307" s="564"/>
      <c r="R1307" s="564"/>
      <c r="S1307" s="564"/>
      <c r="T1307" s="564"/>
      <c r="U1307" s="564"/>
      <c r="V1307" s="564"/>
      <c r="W1307" s="564"/>
      <c r="X1307" s="564"/>
      <c r="Y1307" s="564"/>
      <c r="Z1307" s="564"/>
      <c r="AA1307" s="564"/>
      <c r="AB1307" s="556"/>
      <c r="AC1307" s="556"/>
      <c r="AD1307" s="74"/>
      <c r="AE1307" s="74"/>
      <c r="AF1307" s="74"/>
      <c r="AG1307" s="74"/>
      <c r="AH1307" s="74"/>
      <c r="AI1307" s="74"/>
      <c r="AJ1307" s="74"/>
      <c r="AK1307" s="74"/>
      <c r="AL1307" s="74"/>
      <c r="AM1307" s="74"/>
      <c r="AN1307" s="74"/>
      <c r="AO1307" s="74"/>
      <c r="AP1307" s="74"/>
      <c r="AQ1307" s="74"/>
      <c r="AR1307" s="74"/>
      <c r="AS1307" s="565"/>
      <c r="AT1307" s="556"/>
    </row>
    <row r="1308" spans="1:46" hidden="1" x14ac:dyDescent="0.45"/>
    <row r="1309" spans="1:46" hidden="1" x14ac:dyDescent="0.45"/>
    <row r="1310" spans="1:46" hidden="1" x14ac:dyDescent="0.45"/>
    <row r="1311" spans="1:46" hidden="1" x14ac:dyDescent="0.45"/>
    <row r="1312" spans="1:46" hidden="1" x14ac:dyDescent="0.45"/>
  </sheetData>
  <dataConsolidate/>
  <customSheetViews>
    <customSheetView guid="{CF822260-65C0-11DB-9743-000854DFF85C}" scale="50" showRuler="0">
      <selection activeCell="Q3" sqref="Q3"/>
      <pageMargins left="0.59055118110236227" right="0.59055118110236227" top="0.39370078740157483" bottom="0.39370078740157483" header="0" footer="0"/>
      <pageSetup scale="43" orientation="landscape" horizontalDpi="300" verticalDpi="300" r:id="rId1"/>
      <headerFooter alignWithMargins="0"/>
    </customSheetView>
    <customSheetView guid="{15A61C62-840D-11DA-A6CD-BDC37E227F7F}" scale="50" showRuler="0">
      <selection activeCell="Q3" sqref="Q3"/>
      <pageMargins left="0.59055118110236227" right="0.59055118110236227" top="0.39370078740157483" bottom="0.39370078740157483" header="0" footer="0"/>
      <pageSetup scale="43" orientation="landscape" horizontalDpi="300" verticalDpi="300" r:id="rId2"/>
      <headerFooter alignWithMargins="0"/>
    </customSheetView>
    <customSheetView guid="{0083E5B0-44AE-40B5-9617-6484D451C028}" scale="50" showPageBreaks="1" hiddenColumns="1" showRuler="0" topLeftCell="I1">
      <selection activeCell="AA7" sqref="AA7"/>
      <pageMargins left="0.59055118110236227" right="0.16" top="0.39370078740157483" bottom="0.39370078740157483" header="0" footer="0"/>
      <pageSetup scale="43" orientation="landscape" horizontalDpi="300" verticalDpi="300" r:id="rId3"/>
      <headerFooter alignWithMargins="0"/>
    </customSheetView>
    <customSheetView guid="{781ED8A8-51CE-4197-9E83-B42C8B1C8CEA}" scale="50" hiddenColumns="1" showRuler="0" topLeftCell="A7">
      <selection activeCell="B10" sqref="B10"/>
      <pageMargins left="0.59055118110236227" right="0.16" top="0.39370078740157483" bottom="0.39370078740157483" header="0" footer="0"/>
      <pageSetup scale="43" orientation="landscape" horizontalDpi="300" verticalDpi="300" r:id="rId4"/>
      <headerFooter alignWithMargins="0"/>
    </customSheetView>
  </customSheetViews>
  <mergeCells count="65">
    <mergeCell ref="AI17:AS17"/>
    <mergeCell ref="AI16:AS16"/>
    <mergeCell ref="AI14:AS14"/>
    <mergeCell ref="AI15:AS15"/>
    <mergeCell ref="AD18:AF18"/>
    <mergeCell ref="AD17:AF17"/>
    <mergeCell ref="AD16:AF16"/>
    <mergeCell ref="AG14:AH14"/>
    <mergeCell ref="F1:AA1"/>
    <mergeCell ref="A1:E1"/>
    <mergeCell ref="W2:AS2"/>
    <mergeCell ref="C2:D2"/>
    <mergeCell ref="E2:S2"/>
    <mergeCell ref="T2:V2"/>
    <mergeCell ref="AH1:AI1"/>
    <mergeCell ref="AJ1:AO1"/>
    <mergeCell ref="A8:AB8"/>
    <mergeCell ref="AB9:AB10"/>
    <mergeCell ref="A9:D10"/>
    <mergeCell ref="AG13:AH13"/>
    <mergeCell ref="AG11:AH11"/>
    <mergeCell ref="AG12:AH12"/>
    <mergeCell ref="AG9:AH10"/>
    <mergeCell ref="AD8:AS8"/>
    <mergeCell ref="AD11:AF11"/>
    <mergeCell ref="AD13:AF13"/>
    <mergeCell ref="AD12:AF12"/>
    <mergeCell ref="AD9:AF10"/>
    <mergeCell ref="G9:K9"/>
    <mergeCell ref="E9:E10"/>
    <mergeCell ref="F9:F10"/>
    <mergeCell ref="M9:AA10"/>
    <mergeCell ref="AD19:AS19"/>
    <mergeCell ref="AG18:AH18"/>
    <mergeCell ref="AG17:AH17"/>
    <mergeCell ref="AI13:AS13"/>
    <mergeCell ref="AI12:AS12"/>
    <mergeCell ref="AI9:AS10"/>
    <mergeCell ref="AI11:AS11"/>
    <mergeCell ref="AG15:AH15"/>
    <mergeCell ref="AG16:AH16"/>
    <mergeCell ref="AD15:AF15"/>
    <mergeCell ref="AD14:AF14"/>
    <mergeCell ref="AI18:AS18"/>
    <mergeCell ref="AD50:AE50"/>
    <mergeCell ref="AG50:AH50"/>
    <mergeCell ref="AI50:AP50"/>
    <mergeCell ref="AD54:AE54"/>
    <mergeCell ref="AD52:AE52"/>
    <mergeCell ref="AG52:AH52"/>
    <mergeCell ref="AI52:AP52"/>
    <mergeCell ref="AD53:AE53"/>
    <mergeCell ref="AG53:AH53"/>
    <mergeCell ref="AI53:AP53"/>
    <mergeCell ref="AD51:AE51"/>
    <mergeCell ref="AG51:AH51"/>
    <mergeCell ref="AI51:AP51"/>
    <mergeCell ref="AD56:AE56"/>
    <mergeCell ref="AG56:AH56"/>
    <mergeCell ref="AI56:AP56"/>
    <mergeCell ref="AG54:AH54"/>
    <mergeCell ref="AI54:AP54"/>
    <mergeCell ref="AD55:AE55"/>
    <mergeCell ref="AG55:AH55"/>
    <mergeCell ref="AI55:AP55"/>
  </mergeCells>
  <phoneticPr fontId="0" type="noConversion"/>
  <conditionalFormatting sqref="E11 E53">
    <cfRule type="expression" dxfId="1" priority="1" stopIfTrue="1">
      <formula>IF($A$11&gt;0,)</formula>
    </cfRule>
  </conditionalFormatting>
  <dataValidations count="10">
    <dataValidation type="list" allowBlank="1" showDropDown="1" showInputMessage="1" showErrorMessage="1" errorTitle="ERROR" error="SE DEBE INGRESAR &quot;X&quot;" promptTitle="IZQUIERDA" prompt="MARCA CON X" sqref="G11:G56">
      <formula1>"X,x"</formula1>
    </dataValidation>
    <dataValidation type="list" allowBlank="1" showInputMessage="1" showErrorMessage="1" errorTitle="ERROR" error="NO COINCIDE" sqref="E11:E56">
      <formula1>$AG$11:$AG$14</formula1>
    </dataValidation>
    <dataValidation type="list" allowBlank="1" showInputMessage="1" showErrorMessage="1" errorTitle="ERROR" error="NO COINCIDE" sqref="F11:F56">
      <formula1>CANTOS</formula1>
    </dataValidation>
    <dataValidation type="list" allowBlank="1" showDropDown="1" showInputMessage="1" showErrorMessage="1" errorTitle="ERROR" error="SE DEBE INGRESAR &quot;X&quot;" promptTitle="CENTRO" prompt="MARCA CON X" sqref="I11:I56">
      <formula1>"X,x"</formula1>
    </dataValidation>
    <dataValidation type="list" allowBlank="1" showDropDown="1" showInputMessage="1" showErrorMessage="1" errorTitle="ERROR" error="SE DEBE INGRESAR &quot;X&quot;" promptTitle="DERECHA" prompt="MARCA CON X" sqref="K11:K56">
      <formula1>"X,x"</formula1>
    </dataValidation>
    <dataValidation allowBlank="1" showInputMessage="1" showErrorMessage="1" promptTitle="NOTA" prompt="INTRODUCIR EN HOJA 5" sqref="T2 AH2:AS2"/>
    <dataValidation type="textLength" operator="equal" allowBlank="1" showInputMessage="1" showErrorMessage="1" errorTitle="ERROR" error="INGRESAR DATOS EN HOJA 5" promptTitle="NOTA" prompt="INTRODUCIR EN HOJA 5" sqref="W2:AG2 AJ1:AS1">
      <formula1>0</formula1>
    </dataValidation>
    <dataValidation allowBlank="1" showInputMessage="1" showErrorMessage="1" promptTitle="NOTA" prompt="ESPECIFICACION" sqref="D11:D56"/>
    <dataValidation type="list" allowBlank="1" showDropDown="1" showInputMessage="1" showErrorMessage="1" errorTitle="ERROR" error="NO ES VALIDO" promptTitle="LARGO" prompt="MEDIDA EN CM" sqref="C11:C56">
      <formula1>LARGOS</formula1>
    </dataValidation>
    <dataValidation type="list" allowBlank="1" showInputMessage="1" showErrorMessage="1" errorTitle="ERROR" error="NO ES VALIDO" promptTitle="ANCHO" prompt="MEDIDA EN CM_x000a_MICRO DER_x000a_MICRO SEN_x000a_MICRO IZQ_x000a_DIAMETRO_x000a_PITO P_x000a_PITO Q" sqref="A11:A56">
      <formula1>ANCHOS</formula1>
    </dataValidation>
  </dataValidations>
  <printOptions horizontalCentered="1" verticalCentered="1"/>
  <pageMargins left="0.15748031496062992" right="0.19685039370078741" top="0.23622047244094491" bottom="0.27559055118110237" header="0" footer="0"/>
  <pageSetup scale="70" orientation="landscape" r:id="rId5"/>
  <headerFooter alignWithMargins="0">
    <oddFooter>&amp;L&amp;A&amp;C&amp;"Arial,Negrita"FAMOC DEPANEL Confidencial&amp;RPágina &amp;P</oddFooter>
  </headerFooter>
  <drawing r:id="rId6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 enableFormatConditionsCalculation="0">
    <tabColor indexed="47"/>
  </sheetPr>
  <dimension ref="A1:IE1306"/>
  <sheetViews>
    <sheetView showGridLines="0" showZeros="0" zoomScale="90" zoomScaleNormal="96" workbookViewId="0">
      <selection activeCell="S26" sqref="S26"/>
    </sheetView>
  </sheetViews>
  <sheetFormatPr baseColWidth="10" defaultColWidth="0" defaultRowHeight="33" customHeight="1" zeroHeight="1" x14ac:dyDescent="0.45"/>
  <cols>
    <col min="1" max="1" width="11.7109375" style="30" customWidth="1"/>
    <col min="2" max="2" width="2.42578125" style="30" customWidth="1"/>
    <col min="3" max="3" width="5.7109375" style="30" customWidth="1"/>
    <col min="4" max="4" width="21.140625" style="567" customWidth="1"/>
    <col min="5" max="5" width="7.5703125" style="30" customWidth="1"/>
    <col min="6" max="6" width="7.5703125" style="567" customWidth="1"/>
    <col min="7" max="7" width="2.85546875" style="567" customWidth="1"/>
    <col min="8" max="8" width="3.85546875" style="567" hidden="1" customWidth="1"/>
    <col min="9" max="9" width="2.85546875" style="567" customWidth="1"/>
    <col min="10" max="10" width="2.85546875" style="567" hidden="1" customWidth="1"/>
    <col min="11" max="11" width="2.85546875" style="567" customWidth="1"/>
    <col min="12" max="12" width="9.42578125" style="567" hidden="1" customWidth="1"/>
    <col min="13" max="27" width="4.7109375" style="567" customWidth="1"/>
    <col min="28" max="28" width="4.7109375" style="30" customWidth="1"/>
    <col min="29" max="29" width="1" style="30" customWidth="1"/>
    <col min="30" max="30" width="4.42578125" style="30" customWidth="1"/>
    <col min="31" max="31" width="0.140625" style="30" customWidth="1"/>
    <col min="32" max="32" width="3.42578125" style="30" customWidth="1"/>
    <col min="33" max="37" width="2.85546875" style="30" customWidth="1"/>
    <col min="38" max="38" width="4.28515625" style="30" customWidth="1"/>
    <col min="39" max="39" width="2.5703125" style="30" hidden="1" customWidth="1"/>
    <col min="40" max="40" width="2.28515625" style="30" hidden="1" customWidth="1"/>
    <col min="41" max="42" width="2.85546875" style="30" customWidth="1"/>
    <col min="43" max="43" width="5.7109375" style="30" customWidth="1"/>
    <col min="44" max="44" width="5" style="30" customWidth="1"/>
    <col min="45" max="45" width="8.140625" style="36" customWidth="1"/>
    <col min="46" max="46" width="2" style="30" customWidth="1"/>
    <col min="47" max="49" width="13.7109375" style="699" hidden="1" customWidth="1"/>
    <col min="50" max="52" width="16.5703125" style="699" hidden="1" customWidth="1"/>
    <col min="53" max="53" width="0" style="699" hidden="1" customWidth="1"/>
    <col min="54" max="54" width="5.140625" style="699" hidden="1" customWidth="1"/>
    <col min="55" max="57" width="13.7109375" style="699" hidden="1" customWidth="1"/>
    <col min="58" max="60" width="16.5703125" style="699" hidden="1" customWidth="1"/>
    <col min="61" max="61" width="14.5703125" style="699" hidden="1" customWidth="1"/>
    <col min="62" max="62" width="4.42578125" style="699" hidden="1" customWidth="1"/>
    <col min="63" max="65" width="13.7109375" style="699" hidden="1" customWidth="1"/>
    <col min="66" max="74" width="16.5703125" style="699" hidden="1" customWidth="1"/>
    <col min="75" max="75" width="10.85546875" style="699" hidden="1" customWidth="1"/>
    <col min="76" max="76" width="6.5703125" style="699" hidden="1" customWidth="1"/>
    <col min="77" max="77" width="32.7109375" style="698" hidden="1" customWidth="1"/>
    <col min="78" max="79" width="15" style="699" hidden="1" customWidth="1"/>
    <col min="80" max="80" width="6.42578125" style="699" hidden="1" customWidth="1"/>
    <col min="81" max="81" width="49.28515625" style="698" hidden="1" customWidth="1"/>
    <col min="82" max="82" width="12.140625" style="699" hidden="1" customWidth="1"/>
    <col min="83" max="83" width="5.42578125" style="699" hidden="1" customWidth="1"/>
    <col min="84" max="86" width="13.7109375" style="699" hidden="1" customWidth="1"/>
    <col min="87" max="91" width="16.5703125" style="699" hidden="1" customWidth="1"/>
    <col min="92" max="92" width="10.85546875" style="699" hidden="1" customWidth="1"/>
    <col min="93" max="93" width="9.85546875" style="699" hidden="1" customWidth="1"/>
    <col min="94" max="96" width="13.7109375" style="699" hidden="1" customWidth="1"/>
    <col min="97" max="99" width="16.5703125" style="699" hidden="1" customWidth="1"/>
    <col min="100" max="100" width="12.140625" style="699" hidden="1" customWidth="1"/>
    <col min="101" max="101" width="4.42578125" style="699" hidden="1" customWidth="1"/>
    <col min="102" max="102" width="11.140625" style="557" hidden="1" customWidth="1"/>
    <col min="103" max="103" width="11.140625" style="556" hidden="1" customWidth="1"/>
    <col min="104" max="104" width="4.85546875" style="556" hidden="1" customWidth="1"/>
    <col min="105" max="105" width="11.28515625" style="556" hidden="1" customWidth="1"/>
    <col min="106" max="106" width="12.42578125" style="557" hidden="1" customWidth="1"/>
    <col min="107" max="107" width="3.28515625" style="556" hidden="1" customWidth="1"/>
    <col min="108" max="108" width="26.140625" style="556" hidden="1" customWidth="1"/>
    <col min="109" max="109" width="2.5703125" style="556" hidden="1" customWidth="1"/>
    <col min="110" max="110" width="24" style="556" hidden="1" customWidth="1"/>
    <col min="111" max="111" width="2.140625" style="556" hidden="1" customWidth="1"/>
    <col min="112" max="112" width="24" style="556" hidden="1" customWidth="1"/>
    <col min="113" max="113" width="2.140625" style="556" hidden="1" customWidth="1"/>
    <col min="114" max="114" width="29.42578125" style="556" hidden="1" customWidth="1"/>
    <col min="115" max="115" width="2.140625" style="556" hidden="1" customWidth="1"/>
    <col min="116" max="116" width="29" style="556" hidden="1" customWidth="1"/>
    <col min="117" max="117" width="2.28515625" style="556" hidden="1" customWidth="1"/>
    <col min="118" max="118" width="19.7109375" style="556" hidden="1" customWidth="1"/>
    <col min="119" max="119" width="3.28515625" style="556" hidden="1" customWidth="1"/>
    <col min="120" max="120" width="21.28515625" style="556" hidden="1" customWidth="1"/>
    <col min="121" max="121" width="3.140625" style="556" hidden="1" customWidth="1"/>
    <col min="122" max="122" width="0" style="556" hidden="1" customWidth="1"/>
    <col min="123" max="123" width="2.140625" style="556" hidden="1" customWidth="1"/>
    <col min="124" max="124" width="0" style="556" hidden="1" customWidth="1"/>
    <col min="125" max="125" width="6.28515625" style="556" hidden="1" customWidth="1"/>
    <col min="126" max="164" width="0" style="556" hidden="1" customWidth="1"/>
    <col min="165" max="165" width="37.28515625" style="556" hidden="1" customWidth="1"/>
    <col min="166" max="174" width="0" style="556" hidden="1" customWidth="1"/>
    <col min="175" max="176" width="14.5703125" style="556" hidden="1" customWidth="1"/>
    <col min="177" max="177" width="0" style="556" hidden="1" customWidth="1"/>
    <col min="178" max="203" width="14.5703125" style="556" hidden="1" customWidth="1"/>
    <col min="204" max="206" width="0" style="556" hidden="1" customWidth="1"/>
    <col min="207" max="207" width="26" style="556" hidden="1" customWidth="1"/>
    <col min="208" max="208" width="0" style="556" hidden="1" customWidth="1"/>
    <col min="209" max="209" width="14.85546875" style="556" hidden="1" customWidth="1"/>
    <col min="210" max="211" width="0" style="556" hidden="1" customWidth="1"/>
    <col min="212" max="220" width="14.5703125" style="556" hidden="1" customWidth="1"/>
    <col min="221" max="221" width="0" style="556" hidden="1" customWidth="1"/>
    <col min="222" max="228" width="14.5703125" style="556" hidden="1" customWidth="1"/>
    <col min="229" max="230" width="0" style="556" hidden="1" customWidth="1"/>
    <col min="231" max="231" width="14.5703125" style="556" hidden="1" customWidth="1"/>
    <col min="232" max="233" width="0" style="556" hidden="1" customWidth="1"/>
    <col min="234" max="239" width="14.5703125" style="556" hidden="1" customWidth="1"/>
    <col min="240" max="16384" width="0" style="556" hidden="1"/>
  </cols>
  <sheetData>
    <row r="1" spans="1:209" ht="39.950000000000003" customHeight="1" x14ac:dyDescent="0.45">
      <c r="A1" s="1510"/>
      <c r="B1" s="1510"/>
      <c r="C1" s="1510"/>
      <c r="D1" s="1510"/>
      <c r="E1" s="1510"/>
      <c r="F1" s="1509" t="s">
        <v>98</v>
      </c>
      <c r="G1" s="1509"/>
      <c r="H1" s="1509"/>
      <c r="I1" s="1509"/>
      <c r="J1" s="1509"/>
      <c r="K1" s="1509"/>
      <c r="L1" s="1509"/>
      <c r="M1" s="1509"/>
      <c r="N1" s="1509"/>
      <c r="O1" s="1509"/>
      <c r="P1" s="1509"/>
      <c r="Q1" s="1509"/>
      <c r="R1" s="1509"/>
      <c r="S1" s="1509"/>
      <c r="T1" s="1509"/>
      <c r="U1" s="1509"/>
      <c r="V1" s="1509"/>
      <c r="W1" s="1509"/>
      <c r="X1" s="1509"/>
      <c r="Y1" s="1509"/>
      <c r="Z1" s="1509"/>
      <c r="AA1" s="1509"/>
      <c r="AH1" s="1514" t="s">
        <v>1091</v>
      </c>
      <c r="AI1" s="1514"/>
      <c r="AJ1" s="1533">
        <f>+'5 ALMACEN '!W1</f>
        <v>0</v>
      </c>
      <c r="AK1" s="1533"/>
      <c r="AL1" s="1533"/>
      <c r="AM1" s="1533"/>
      <c r="AN1" s="1533"/>
      <c r="AO1" s="1533"/>
      <c r="AS1" s="713"/>
      <c r="AT1" s="556"/>
      <c r="AU1" s="698"/>
      <c r="AV1" s="698"/>
      <c r="AW1" s="698"/>
      <c r="AX1" s="698"/>
      <c r="AY1" s="698"/>
      <c r="AZ1" s="698"/>
      <c r="BA1" s="698"/>
      <c r="BB1" s="698"/>
      <c r="BC1" s="698"/>
      <c r="BD1" s="698"/>
      <c r="BE1" s="698"/>
      <c r="BF1" s="698"/>
      <c r="BG1" s="698"/>
      <c r="BH1" s="698"/>
      <c r="BI1" s="698"/>
      <c r="BJ1" s="698"/>
      <c r="BK1" s="698"/>
      <c r="BL1" s="698"/>
      <c r="BM1" s="698"/>
      <c r="BN1" s="698"/>
      <c r="BO1" s="698"/>
      <c r="BP1" s="698"/>
      <c r="BQ1" s="698"/>
      <c r="BR1" s="698"/>
      <c r="BS1" s="698"/>
      <c r="BT1" s="698"/>
      <c r="BU1" s="698"/>
      <c r="BV1" s="698"/>
      <c r="BW1" s="698"/>
      <c r="BX1" s="698"/>
      <c r="BZ1" s="698"/>
      <c r="CA1" s="698"/>
      <c r="CB1" s="698"/>
      <c r="CD1" s="698"/>
      <c r="CE1" s="698"/>
      <c r="CF1" s="698"/>
      <c r="CG1" s="698"/>
      <c r="CH1" s="698"/>
      <c r="CI1" s="698"/>
      <c r="CJ1" s="698"/>
      <c r="CK1" s="698"/>
      <c r="CL1" s="698"/>
      <c r="CM1" s="698"/>
      <c r="CN1" s="698"/>
      <c r="CO1" s="698"/>
      <c r="CP1" s="698"/>
      <c r="CQ1" s="698"/>
      <c r="CR1" s="698"/>
      <c r="CS1" s="698"/>
      <c r="CT1" s="698"/>
      <c r="CU1" s="698"/>
      <c r="CV1" s="698"/>
      <c r="CW1" s="698"/>
      <c r="CY1" s="557"/>
      <c r="CZ1" s="557"/>
      <c r="DA1" s="557"/>
      <c r="DC1" s="557"/>
      <c r="DD1" s="557"/>
      <c r="DE1" s="557"/>
      <c r="DF1" s="557"/>
      <c r="DG1" s="557"/>
      <c r="DH1" s="557"/>
      <c r="DI1" s="557"/>
      <c r="DJ1" s="557"/>
      <c r="DK1" s="557"/>
      <c r="DL1" s="557"/>
      <c r="DM1" s="557"/>
      <c r="DN1" s="557"/>
      <c r="DO1" s="557"/>
      <c r="DP1" s="557"/>
      <c r="DQ1" s="557"/>
      <c r="DR1" s="557"/>
      <c r="DS1" s="557"/>
      <c r="DT1" s="557"/>
      <c r="DU1" s="557"/>
      <c r="DV1" s="557"/>
      <c r="DW1" s="557"/>
      <c r="DX1" s="557"/>
      <c r="DY1" s="557"/>
      <c r="DZ1" s="557"/>
      <c r="EA1" s="557"/>
      <c r="EB1" s="557"/>
      <c r="EC1" s="557"/>
      <c r="ED1" s="557"/>
      <c r="EE1" s="557"/>
      <c r="EF1" s="557"/>
      <c r="EG1" s="557"/>
      <c r="EH1" s="557"/>
      <c r="EI1" s="557"/>
      <c r="EJ1" s="557"/>
      <c r="EK1" s="557"/>
      <c r="EL1" s="557"/>
      <c r="EM1" s="557"/>
      <c r="EN1" s="557"/>
      <c r="EO1" s="557"/>
      <c r="EP1" s="557"/>
      <c r="EQ1" s="557"/>
      <c r="ER1" s="557"/>
      <c r="ES1" s="557"/>
      <c r="ET1" s="557"/>
      <c r="EU1" s="557"/>
      <c r="EV1" s="557"/>
      <c r="EW1" s="557"/>
      <c r="EX1" s="557"/>
      <c r="EY1" s="557"/>
      <c r="EZ1" s="557"/>
      <c r="FA1" s="557"/>
      <c r="FB1" s="557"/>
      <c r="FC1" s="557"/>
      <c r="FD1" s="557"/>
      <c r="FE1" s="557"/>
      <c r="FF1" s="557"/>
      <c r="FG1" s="557"/>
      <c r="FH1" s="557"/>
      <c r="FI1" s="557"/>
      <c r="FJ1" s="557"/>
      <c r="FK1" s="557"/>
      <c r="FL1" s="557"/>
      <c r="FM1" s="557"/>
      <c r="FN1" s="557"/>
      <c r="FO1" s="557"/>
      <c r="FP1" s="557"/>
      <c r="FQ1" s="557"/>
      <c r="FR1" s="557"/>
      <c r="FS1" s="557"/>
      <c r="FT1" s="557"/>
      <c r="FU1" s="557"/>
      <c r="FV1" s="557"/>
      <c r="FW1" s="557"/>
      <c r="FX1" s="557"/>
      <c r="FY1" s="557"/>
      <c r="FZ1" s="557"/>
      <c r="GA1" s="557"/>
      <c r="GB1" s="557"/>
      <c r="GC1" s="557"/>
      <c r="GD1" s="557"/>
      <c r="GE1" s="557"/>
      <c r="GF1" s="557"/>
      <c r="GG1" s="557"/>
      <c r="GH1" s="557"/>
      <c r="GI1" s="557"/>
      <c r="GJ1" s="557"/>
      <c r="GK1" s="557"/>
      <c r="GL1" s="557"/>
      <c r="GM1" s="557"/>
      <c r="GN1" s="557"/>
      <c r="GO1" s="557"/>
      <c r="GP1" s="557"/>
      <c r="GQ1" s="557"/>
      <c r="GR1" s="557"/>
      <c r="GS1" s="557"/>
      <c r="GT1" s="557"/>
      <c r="GU1" s="557"/>
      <c r="GV1" s="557"/>
      <c r="GW1" s="557"/>
      <c r="GX1" s="557"/>
      <c r="GY1" s="557"/>
      <c r="GZ1" s="557"/>
      <c r="HA1" s="557"/>
    </row>
    <row r="2" spans="1:209" ht="16.5" customHeight="1" x14ac:dyDescent="0.45">
      <c r="A2" s="65"/>
      <c r="B2" s="65"/>
      <c r="C2" s="1511" t="s">
        <v>99</v>
      </c>
      <c r="D2" s="1511"/>
      <c r="E2" s="1534"/>
      <c r="F2" s="1534"/>
      <c r="G2" s="1534"/>
      <c r="H2" s="1534"/>
      <c r="I2" s="1534"/>
      <c r="J2" s="1534"/>
      <c r="K2" s="1534"/>
      <c r="L2" s="1534"/>
      <c r="M2" s="1534"/>
      <c r="N2" s="1534"/>
      <c r="O2" s="1534"/>
      <c r="P2" s="1534"/>
      <c r="Q2" s="1534"/>
      <c r="R2" s="1534"/>
      <c r="S2" s="1534"/>
      <c r="T2" s="1513" t="s">
        <v>97</v>
      </c>
      <c r="U2" s="1513"/>
      <c r="V2" s="1513"/>
      <c r="W2" s="1512">
        <f>+'5 ALMACEN '!S2</f>
        <v>0</v>
      </c>
      <c r="X2" s="1512"/>
      <c r="Y2" s="1512"/>
      <c r="Z2" s="1512"/>
      <c r="AA2" s="1512"/>
      <c r="AB2" s="1512"/>
      <c r="AC2" s="1512"/>
      <c r="AD2" s="1512"/>
      <c r="AE2" s="1512"/>
      <c r="AF2" s="1512"/>
      <c r="AG2" s="1512"/>
      <c r="AH2" s="1512"/>
      <c r="AI2" s="1512"/>
      <c r="AJ2" s="1512"/>
      <c r="AK2" s="1512"/>
      <c r="AL2" s="1512"/>
      <c r="AM2" s="1512"/>
      <c r="AN2" s="1512"/>
      <c r="AO2" s="1512"/>
      <c r="AP2" s="1512"/>
      <c r="AQ2" s="1512"/>
      <c r="AR2" s="1512"/>
      <c r="AS2" s="1512"/>
      <c r="AT2" s="556"/>
      <c r="EM2" s="557"/>
      <c r="EN2" s="557"/>
      <c r="EO2" s="557"/>
      <c r="EP2" s="557"/>
      <c r="EQ2" s="557"/>
      <c r="ER2" s="557"/>
      <c r="ES2" s="557"/>
      <c r="ET2" s="557"/>
      <c r="EU2" s="557"/>
      <c r="EV2" s="557"/>
      <c r="EW2" s="557"/>
      <c r="EX2" s="557"/>
      <c r="EY2" s="557"/>
      <c r="EZ2" s="557"/>
      <c r="FA2" s="557"/>
      <c r="FB2" s="557"/>
      <c r="FC2" s="557"/>
      <c r="FD2" s="557"/>
      <c r="FE2" s="557"/>
      <c r="FF2" s="557"/>
      <c r="FG2" s="557"/>
      <c r="FH2" s="557"/>
      <c r="FI2" s="557"/>
      <c r="FJ2" s="557"/>
      <c r="FK2" s="557"/>
      <c r="FL2" s="557"/>
      <c r="FM2" s="557"/>
      <c r="FN2" s="557"/>
      <c r="FO2" s="557"/>
      <c r="FP2" s="557"/>
      <c r="FQ2" s="557"/>
      <c r="FR2" s="557"/>
      <c r="FS2" s="557"/>
      <c r="FT2" s="557"/>
      <c r="FU2" s="557"/>
      <c r="FV2" s="557"/>
      <c r="FW2" s="557"/>
      <c r="FX2" s="557"/>
      <c r="FY2" s="557"/>
      <c r="FZ2" s="557"/>
      <c r="GA2" s="557"/>
      <c r="GB2" s="557"/>
      <c r="GC2" s="557"/>
      <c r="GD2" s="557"/>
      <c r="GE2" s="557"/>
      <c r="GF2" s="557"/>
      <c r="GG2" s="557"/>
      <c r="GH2" s="557"/>
      <c r="GI2" s="557"/>
      <c r="GJ2" s="557"/>
      <c r="GK2" s="557"/>
      <c r="GL2" s="557"/>
      <c r="GM2" s="557"/>
      <c r="GN2" s="557"/>
      <c r="GO2" s="557"/>
      <c r="GP2" s="557"/>
      <c r="GQ2" s="557"/>
      <c r="GR2" s="557"/>
      <c r="GS2" s="557"/>
      <c r="GT2" s="557"/>
      <c r="GU2" s="557"/>
      <c r="GV2" s="557"/>
      <c r="GW2" s="557"/>
      <c r="GX2" s="557"/>
      <c r="GY2" s="557"/>
      <c r="GZ2" s="557"/>
      <c r="HA2" s="557"/>
    </row>
    <row r="3" spans="1:209" ht="22.5" customHeight="1" x14ac:dyDescent="0.45">
      <c r="A3" s="1002"/>
      <c r="B3" s="1002"/>
      <c r="C3" s="1264" t="s">
        <v>3</v>
      </c>
      <c r="D3" s="1002"/>
      <c r="E3" s="1265"/>
      <c r="F3" s="1265"/>
      <c r="G3" s="1265"/>
      <c r="H3" s="1265"/>
      <c r="I3" s="1265"/>
      <c r="J3" s="1265"/>
      <c r="K3" s="1265"/>
      <c r="L3" s="1265"/>
      <c r="M3" s="1265"/>
      <c r="N3" s="1265"/>
      <c r="O3" s="1265"/>
      <c r="P3" s="1265"/>
      <c r="Q3" s="1265"/>
      <c r="R3" s="1265"/>
      <c r="S3" s="1265"/>
      <c r="T3" s="1002"/>
      <c r="U3" s="1002"/>
      <c r="V3" s="1002"/>
      <c r="W3" s="1002"/>
      <c r="X3" s="1002"/>
      <c r="Y3" s="1002"/>
      <c r="Z3" s="1002"/>
      <c r="AA3" s="1002"/>
      <c r="AB3" s="1002"/>
      <c r="AC3" s="1002"/>
      <c r="AD3" s="1002"/>
      <c r="AE3" s="1002"/>
      <c r="AF3" s="1002"/>
      <c r="AG3" s="1002"/>
      <c r="AH3" s="1002"/>
      <c r="AI3" s="1002"/>
      <c r="AJ3" s="1002"/>
      <c r="AK3" s="1002"/>
      <c r="AL3" s="1002"/>
      <c r="AM3" s="1002"/>
      <c r="AN3" s="1002"/>
      <c r="AO3" s="1002"/>
      <c r="AP3" s="1002"/>
      <c r="AQ3" s="1002"/>
      <c r="AR3" s="1002"/>
      <c r="AS3" s="1002"/>
      <c r="AT3" s="556"/>
      <c r="EM3" s="557"/>
      <c r="EN3" s="557"/>
      <c r="EO3" s="557"/>
      <c r="EP3" s="557"/>
      <c r="EQ3" s="557"/>
      <c r="ER3" s="557"/>
      <c r="ES3" s="557"/>
      <c r="ET3" s="557"/>
      <c r="EU3" s="557"/>
      <c r="EV3" s="557"/>
      <c r="EW3" s="557"/>
      <c r="EX3" s="557"/>
      <c r="EY3" s="557"/>
      <c r="EZ3" s="557"/>
      <c r="FA3" s="557"/>
      <c r="FB3" s="557"/>
      <c r="FC3" s="557"/>
      <c r="FD3" s="557"/>
      <c r="FE3" s="557"/>
      <c r="FF3" s="557"/>
      <c r="FG3" s="557"/>
      <c r="FH3" s="557"/>
      <c r="FI3" s="557"/>
      <c r="FJ3" s="557"/>
      <c r="FK3" s="557"/>
      <c r="FL3" s="557"/>
      <c r="FM3" s="557"/>
      <c r="FN3" s="557"/>
      <c r="FO3" s="557"/>
      <c r="FP3" s="557"/>
      <c r="FQ3" s="557"/>
      <c r="FR3" s="557"/>
      <c r="FS3" s="557"/>
      <c r="FT3" s="557"/>
      <c r="FU3" s="557"/>
      <c r="FV3" s="557"/>
      <c r="FW3" s="557"/>
      <c r="FX3" s="557"/>
      <c r="FY3" s="557"/>
      <c r="FZ3" s="557"/>
      <c r="GA3" s="557"/>
      <c r="GB3" s="557"/>
      <c r="GC3" s="557"/>
      <c r="GD3" s="557"/>
      <c r="GE3" s="557"/>
      <c r="GF3" s="557"/>
      <c r="GG3" s="557"/>
      <c r="GH3" s="557"/>
      <c r="GI3" s="557"/>
      <c r="GJ3" s="557"/>
      <c r="GK3" s="557"/>
      <c r="GL3" s="557"/>
      <c r="GM3" s="557"/>
      <c r="GN3" s="557"/>
      <c r="GO3" s="557"/>
      <c r="GP3" s="557"/>
      <c r="GQ3" s="557"/>
      <c r="GR3" s="557"/>
      <c r="GS3" s="557"/>
      <c r="GT3" s="557"/>
      <c r="GU3" s="557"/>
      <c r="GV3" s="557"/>
      <c r="GW3" s="557"/>
      <c r="GX3" s="557"/>
      <c r="GY3" s="557"/>
      <c r="GZ3" s="557"/>
      <c r="HA3" s="557"/>
    </row>
    <row r="4" spans="1:209" ht="7.5" hidden="1" customHeight="1" x14ac:dyDescent="0.45">
      <c r="A4" s="1002"/>
      <c r="B4" s="1002"/>
      <c r="C4" s="1002"/>
      <c r="D4" s="1002"/>
      <c r="E4" s="1002">
        <f>+AG11</f>
        <v>0</v>
      </c>
      <c r="F4" s="1002">
        <f>+AG15</f>
        <v>0</v>
      </c>
      <c r="G4" s="1002"/>
      <c r="H4" s="1002"/>
      <c r="I4" s="1002"/>
      <c r="J4" s="1002"/>
      <c r="K4" s="1002"/>
      <c r="L4" s="1002"/>
      <c r="M4" s="1002"/>
      <c r="N4" s="1002"/>
      <c r="O4" s="1002"/>
      <c r="P4" s="1002"/>
      <c r="Q4" s="1002"/>
      <c r="R4" s="1002"/>
      <c r="S4" s="1002"/>
      <c r="T4" s="1002"/>
      <c r="U4" s="1002"/>
      <c r="V4" s="1002"/>
      <c r="W4" s="1002"/>
      <c r="X4" s="1002"/>
      <c r="Y4" s="1002"/>
      <c r="Z4" s="1002"/>
      <c r="AA4" s="1002"/>
      <c r="AB4" s="1002"/>
      <c r="AC4" s="1002"/>
      <c r="AD4" s="1002"/>
      <c r="AE4" s="1002"/>
      <c r="AF4" s="1002"/>
      <c r="AG4" s="1002"/>
      <c r="AH4" s="1002"/>
      <c r="AI4" s="1002"/>
      <c r="AJ4" s="1002"/>
      <c r="AK4" s="1002"/>
      <c r="AL4" s="1002"/>
      <c r="AM4" s="1002"/>
      <c r="AN4" s="1002"/>
      <c r="AO4" s="1002"/>
      <c r="AP4" s="1002"/>
      <c r="AQ4" s="1002"/>
      <c r="AR4" s="1002"/>
      <c r="AS4" s="1002"/>
      <c r="AT4" s="556"/>
      <c r="EM4" s="557"/>
      <c r="EN4" s="557"/>
      <c r="EO4" s="557"/>
      <c r="EP4" s="557"/>
      <c r="EQ4" s="557"/>
      <c r="ER4" s="557"/>
      <c r="ES4" s="557"/>
      <c r="ET4" s="557"/>
      <c r="EU4" s="557"/>
      <c r="EV4" s="557"/>
      <c r="EW4" s="557"/>
      <c r="EX4" s="557"/>
      <c r="EY4" s="557"/>
      <c r="EZ4" s="557"/>
      <c r="FA4" s="557"/>
      <c r="FB4" s="557"/>
      <c r="FC4" s="557"/>
      <c r="FD4" s="557"/>
      <c r="FE4" s="557"/>
      <c r="FF4" s="557"/>
      <c r="FG4" s="557"/>
      <c r="FH4" s="557"/>
      <c r="FI4" s="557"/>
      <c r="FJ4" s="557"/>
      <c r="FK4" s="557"/>
      <c r="FL4" s="557"/>
      <c r="FM4" s="557"/>
      <c r="FN4" s="557"/>
      <c r="FO4" s="557"/>
      <c r="FP4" s="557"/>
      <c r="FQ4" s="557"/>
      <c r="FR4" s="557"/>
      <c r="FS4" s="557"/>
      <c r="FT4" s="557"/>
      <c r="FU4" s="557"/>
      <c r="FV4" s="557"/>
      <c r="FW4" s="557"/>
      <c r="FX4" s="557"/>
      <c r="FY4" s="557"/>
      <c r="FZ4" s="557"/>
      <c r="GA4" s="557"/>
      <c r="GB4" s="557"/>
      <c r="GC4" s="557"/>
      <c r="GD4" s="557"/>
      <c r="GE4" s="557"/>
      <c r="GF4" s="557"/>
      <c r="GG4" s="557"/>
      <c r="GH4" s="557"/>
      <c r="GI4" s="557"/>
      <c r="GJ4" s="557"/>
      <c r="GK4" s="557"/>
      <c r="GL4" s="557"/>
      <c r="GM4" s="557"/>
      <c r="GN4" s="557"/>
      <c r="GO4" s="557"/>
      <c r="GP4" s="557"/>
      <c r="GQ4" s="557"/>
      <c r="GR4" s="557"/>
      <c r="GS4" s="557"/>
      <c r="GT4" s="557"/>
      <c r="GU4" s="557"/>
      <c r="GV4" s="557"/>
      <c r="GW4" s="557"/>
      <c r="GX4" s="557"/>
      <c r="GY4" s="557"/>
      <c r="GZ4" s="557"/>
      <c r="HA4" s="557"/>
    </row>
    <row r="5" spans="1:209" ht="7.5" hidden="1" customHeight="1" x14ac:dyDescent="0.45">
      <c r="A5" s="1002"/>
      <c r="B5" s="1002"/>
      <c r="C5" s="1002"/>
      <c r="D5" s="1002"/>
      <c r="E5" s="1002">
        <f>+AG12</f>
        <v>0</v>
      </c>
      <c r="F5" s="1002">
        <f>+AG16</f>
        <v>0</v>
      </c>
      <c r="G5" s="1002"/>
      <c r="H5" s="1002"/>
      <c r="I5" s="1002"/>
      <c r="J5" s="1002"/>
      <c r="K5" s="1002"/>
      <c r="L5" s="1002"/>
      <c r="M5" s="1002"/>
      <c r="N5" s="1002"/>
      <c r="O5" s="1002"/>
      <c r="P5" s="1002"/>
      <c r="Q5" s="1002"/>
      <c r="R5" s="1002"/>
      <c r="S5" s="1002"/>
      <c r="T5" s="1002"/>
      <c r="U5" s="1002"/>
      <c r="V5" s="1002"/>
      <c r="W5" s="1002"/>
      <c r="X5" s="1002"/>
      <c r="Y5" s="1002"/>
      <c r="Z5" s="1002"/>
      <c r="AA5" s="1002"/>
      <c r="AB5" s="1002"/>
      <c r="AC5" s="1002"/>
      <c r="AD5" s="1002"/>
      <c r="AE5" s="1002"/>
      <c r="AF5" s="1002"/>
      <c r="AG5" s="1002"/>
      <c r="AH5" s="1002"/>
      <c r="AI5" s="1002"/>
      <c r="AJ5" s="1002"/>
      <c r="AK5" s="1002"/>
      <c r="AL5" s="1002"/>
      <c r="AM5" s="1002"/>
      <c r="AN5" s="1002"/>
      <c r="AO5" s="1002"/>
      <c r="AP5" s="1002"/>
      <c r="AQ5" s="1002"/>
      <c r="AR5" s="1002"/>
      <c r="AS5" s="1002"/>
      <c r="AT5" s="556"/>
      <c r="EM5" s="557"/>
      <c r="EN5" s="557"/>
      <c r="EO5" s="557"/>
      <c r="EP5" s="557"/>
      <c r="EQ5" s="557"/>
      <c r="ER5" s="557"/>
      <c r="ES5" s="557"/>
      <c r="ET5" s="557"/>
      <c r="EU5" s="557"/>
      <c r="EV5" s="557"/>
      <c r="EW5" s="557"/>
      <c r="EX5" s="557"/>
      <c r="EY5" s="557"/>
      <c r="EZ5" s="557"/>
      <c r="FA5" s="557"/>
      <c r="FB5" s="557"/>
      <c r="FC5" s="557"/>
      <c r="FD5" s="557"/>
      <c r="FE5" s="557"/>
      <c r="FF5" s="557"/>
      <c r="FG5" s="557"/>
      <c r="FH5" s="557"/>
      <c r="FI5" s="557"/>
      <c r="FJ5" s="557"/>
      <c r="FK5" s="557"/>
      <c r="FL5" s="557"/>
      <c r="FM5" s="557"/>
      <c r="FN5" s="557"/>
      <c r="FO5" s="557"/>
      <c r="FP5" s="557"/>
      <c r="FQ5" s="557"/>
      <c r="FR5" s="557"/>
      <c r="FS5" s="557"/>
      <c r="FT5" s="557"/>
      <c r="FU5" s="557"/>
      <c r="FV5" s="557"/>
      <c r="FW5" s="557"/>
      <c r="FX5" s="557"/>
      <c r="FY5" s="557"/>
      <c r="FZ5" s="557"/>
      <c r="GA5" s="557"/>
      <c r="GB5" s="557"/>
      <c r="GC5" s="557"/>
      <c r="GD5" s="557"/>
      <c r="GE5" s="557"/>
      <c r="GF5" s="557"/>
      <c r="GG5" s="557"/>
      <c r="GH5" s="557"/>
      <c r="GI5" s="557"/>
      <c r="GJ5" s="557"/>
      <c r="GK5" s="557"/>
      <c r="GL5" s="557"/>
      <c r="GM5" s="557"/>
      <c r="GN5" s="557"/>
      <c r="GO5" s="557"/>
      <c r="GP5" s="557"/>
      <c r="GQ5" s="557"/>
      <c r="GR5" s="557"/>
      <c r="GS5" s="557"/>
      <c r="GT5" s="557"/>
      <c r="GU5" s="557"/>
      <c r="GV5" s="557"/>
      <c r="GW5" s="557"/>
      <c r="GX5" s="557"/>
      <c r="GY5" s="557"/>
      <c r="GZ5" s="557"/>
      <c r="HA5" s="557"/>
    </row>
    <row r="6" spans="1:209" ht="7.5" hidden="1" customHeight="1" x14ac:dyDescent="0.45">
      <c r="A6" s="1002"/>
      <c r="B6" s="1002"/>
      <c r="C6" s="1002"/>
      <c r="D6" s="1002"/>
      <c r="E6" s="1002">
        <f>+AG13</f>
        <v>0</v>
      </c>
      <c r="F6" s="1002"/>
      <c r="G6" s="1002"/>
      <c r="H6" s="1002"/>
      <c r="I6" s="1002"/>
      <c r="J6" s="1002"/>
      <c r="K6" s="1002"/>
      <c r="L6" s="1002"/>
      <c r="M6" s="1002"/>
      <c r="N6" s="1002"/>
      <c r="O6" s="1002"/>
      <c r="P6" s="1002"/>
      <c r="Q6" s="1002"/>
      <c r="R6" s="1002"/>
      <c r="S6" s="1002"/>
      <c r="T6" s="1002"/>
      <c r="U6" s="1002"/>
      <c r="V6" s="1002"/>
      <c r="W6" s="1002"/>
      <c r="X6" s="1002"/>
      <c r="Y6" s="1002"/>
      <c r="Z6" s="1002"/>
      <c r="AA6" s="1002"/>
      <c r="AB6" s="1002"/>
      <c r="AC6" s="1002"/>
      <c r="AD6" s="1002"/>
      <c r="AE6" s="1002"/>
      <c r="AF6" s="1002"/>
      <c r="AG6" s="1002"/>
      <c r="AH6" s="1002"/>
      <c r="AI6" s="1002"/>
      <c r="AJ6" s="1002"/>
      <c r="AK6" s="1002"/>
      <c r="AL6" s="1002"/>
      <c r="AM6" s="1002"/>
      <c r="AN6" s="1002"/>
      <c r="AO6" s="1002"/>
      <c r="AP6" s="1002"/>
      <c r="AQ6" s="1002"/>
      <c r="AR6" s="1002"/>
      <c r="AS6" s="1002"/>
      <c r="AT6" s="556"/>
      <c r="EM6" s="557"/>
      <c r="EN6" s="557"/>
      <c r="EO6" s="557"/>
      <c r="EP6" s="557"/>
      <c r="EQ6" s="557"/>
      <c r="ER6" s="557"/>
      <c r="ES6" s="557"/>
      <c r="ET6" s="557"/>
      <c r="EU6" s="557"/>
      <c r="EV6" s="557"/>
      <c r="EW6" s="557"/>
      <c r="EX6" s="557"/>
      <c r="EY6" s="557"/>
      <c r="EZ6" s="557"/>
      <c r="FA6" s="557"/>
      <c r="FB6" s="557"/>
      <c r="FC6" s="557"/>
      <c r="FD6" s="557"/>
      <c r="FE6" s="557"/>
      <c r="FF6" s="557"/>
      <c r="FG6" s="557"/>
      <c r="FH6" s="557"/>
      <c r="FI6" s="557"/>
      <c r="FJ6" s="557"/>
      <c r="FK6" s="557"/>
      <c r="FL6" s="557"/>
      <c r="FM6" s="557"/>
      <c r="FN6" s="557"/>
      <c r="FO6" s="557"/>
      <c r="FP6" s="557"/>
      <c r="FQ6" s="557"/>
      <c r="FR6" s="557"/>
      <c r="FS6" s="557"/>
      <c r="FT6" s="557"/>
      <c r="FU6" s="557"/>
      <c r="FV6" s="557"/>
      <c r="FW6" s="557"/>
      <c r="FX6" s="557"/>
      <c r="FY6" s="557"/>
      <c r="FZ6" s="557"/>
      <c r="GA6" s="557"/>
      <c r="GB6" s="557"/>
      <c r="GC6" s="557"/>
      <c r="GD6" s="557"/>
      <c r="GE6" s="557"/>
      <c r="GF6" s="557"/>
      <c r="GG6" s="557"/>
      <c r="GH6" s="557"/>
      <c r="GI6" s="557"/>
      <c r="GJ6" s="557"/>
      <c r="GK6" s="557"/>
      <c r="GL6" s="557"/>
      <c r="GM6" s="557"/>
      <c r="GN6" s="557"/>
      <c r="GO6" s="557"/>
      <c r="GP6" s="557"/>
      <c r="GQ6" s="557"/>
      <c r="GR6" s="557"/>
      <c r="GS6" s="557"/>
      <c r="GT6" s="557"/>
      <c r="GU6" s="557"/>
      <c r="GV6" s="557"/>
      <c r="GW6" s="557"/>
      <c r="GX6" s="557"/>
      <c r="GY6" s="557"/>
      <c r="GZ6" s="557"/>
      <c r="HA6" s="557"/>
    </row>
    <row r="7" spans="1:209" ht="7.5" hidden="1" customHeight="1" x14ac:dyDescent="0.45">
      <c r="A7" s="1002"/>
      <c r="B7" s="1002"/>
      <c r="C7" s="1002"/>
      <c r="D7" s="1002"/>
      <c r="E7" s="1002">
        <f>+AG14</f>
        <v>0</v>
      </c>
      <c r="F7" s="1002"/>
      <c r="G7" s="1002"/>
      <c r="H7" s="1002"/>
      <c r="I7" s="1002"/>
      <c r="J7" s="1002"/>
      <c r="K7" s="1002"/>
      <c r="L7" s="1002"/>
      <c r="M7" s="1002"/>
      <c r="N7" s="1002"/>
      <c r="O7" s="1002"/>
      <c r="P7" s="1002"/>
      <c r="Q7" s="1002"/>
      <c r="R7" s="1002"/>
      <c r="S7" s="1002"/>
      <c r="T7" s="1002"/>
      <c r="U7" s="1002"/>
      <c r="V7" s="1002"/>
      <c r="W7" s="1002"/>
      <c r="X7" s="1002"/>
      <c r="Y7" s="1002"/>
      <c r="Z7" s="1002"/>
      <c r="AA7" s="1002"/>
      <c r="AB7" s="1002"/>
      <c r="AC7" s="1002"/>
      <c r="AD7" s="1002"/>
      <c r="AE7" s="1002"/>
      <c r="AF7" s="1002"/>
      <c r="AG7" s="1002"/>
      <c r="AH7" s="1002"/>
      <c r="AI7" s="1002"/>
      <c r="AJ7" s="1002"/>
      <c r="AK7" s="1002"/>
      <c r="AL7" s="1002"/>
      <c r="AM7" s="1002"/>
      <c r="AN7" s="1002"/>
      <c r="AO7" s="1002"/>
      <c r="AP7" s="1002"/>
      <c r="AQ7" s="1002"/>
      <c r="AR7" s="1002"/>
      <c r="AS7" s="1002"/>
      <c r="AT7" s="556"/>
      <c r="EM7" s="557"/>
      <c r="EN7" s="557"/>
      <c r="EO7" s="557"/>
      <c r="EP7" s="557"/>
      <c r="EQ7" s="557"/>
      <c r="ER7" s="557"/>
      <c r="ES7" s="557"/>
      <c r="ET7" s="557"/>
      <c r="EU7" s="557"/>
      <c r="EV7" s="557"/>
      <c r="EW7" s="557"/>
      <c r="EX7" s="557"/>
      <c r="EY7" s="557"/>
      <c r="EZ7" s="557"/>
      <c r="FA7" s="557"/>
      <c r="FB7" s="557"/>
      <c r="FC7" s="557"/>
      <c r="FD7" s="557"/>
      <c r="FE7" s="557"/>
      <c r="FF7" s="557"/>
      <c r="FG7" s="557"/>
      <c r="FH7" s="557"/>
      <c r="FI7" s="557"/>
      <c r="FJ7" s="557"/>
      <c r="FK7" s="557"/>
      <c r="FL7" s="557"/>
      <c r="FM7" s="557"/>
      <c r="FN7" s="557"/>
      <c r="FO7" s="557"/>
      <c r="FP7" s="557"/>
      <c r="FQ7" s="557"/>
      <c r="FR7" s="557"/>
      <c r="FS7" s="557"/>
      <c r="FT7" s="557"/>
      <c r="FU7" s="557"/>
      <c r="FV7" s="557"/>
      <c r="FW7" s="557"/>
      <c r="FX7" s="557"/>
      <c r="FY7" s="557"/>
      <c r="FZ7" s="557"/>
      <c r="GA7" s="557"/>
      <c r="GB7" s="557"/>
      <c r="GC7" s="557"/>
      <c r="GD7" s="557"/>
      <c r="GE7" s="557"/>
      <c r="GF7" s="557"/>
      <c r="GG7" s="557"/>
      <c r="GH7" s="557"/>
      <c r="GI7" s="557"/>
      <c r="GJ7" s="557"/>
      <c r="GK7" s="557"/>
      <c r="GL7" s="557"/>
      <c r="GM7" s="557"/>
      <c r="GN7" s="557"/>
      <c r="GO7" s="557"/>
      <c r="GP7" s="557"/>
      <c r="GQ7" s="557"/>
      <c r="GR7" s="557"/>
      <c r="GS7" s="557"/>
      <c r="GT7" s="557"/>
      <c r="GU7" s="557"/>
      <c r="GV7" s="557"/>
      <c r="GW7" s="557"/>
      <c r="GX7" s="557"/>
      <c r="GY7" s="557"/>
      <c r="GZ7" s="557"/>
      <c r="HA7" s="557"/>
    </row>
    <row r="8" spans="1:209" s="55" customFormat="1" ht="16.5" customHeight="1" x14ac:dyDescent="0.2">
      <c r="A8" s="1506" t="s">
        <v>3</v>
      </c>
      <c r="B8" s="1506"/>
      <c r="C8" s="1506"/>
      <c r="D8" s="1506"/>
      <c r="E8" s="1506"/>
      <c r="F8" s="1506"/>
      <c r="G8" s="1506"/>
      <c r="H8" s="1506"/>
      <c r="I8" s="1506"/>
      <c r="J8" s="1506"/>
      <c r="K8" s="1506"/>
      <c r="L8" s="1506"/>
      <c r="M8" s="1506"/>
      <c r="N8" s="1506"/>
      <c r="O8" s="1506"/>
      <c r="P8" s="1506"/>
      <c r="Q8" s="1506"/>
      <c r="R8" s="1506"/>
      <c r="S8" s="1506"/>
      <c r="T8" s="1506"/>
      <c r="U8" s="1506"/>
      <c r="V8" s="1506"/>
      <c r="W8" s="1506"/>
      <c r="X8" s="1506"/>
      <c r="Y8" s="1506"/>
      <c r="Z8" s="1506"/>
      <c r="AA8" s="1506"/>
      <c r="AB8" s="1506"/>
      <c r="AD8" s="919"/>
      <c r="AE8" s="919"/>
      <c r="AF8" s="919"/>
      <c r="AG8" s="1527" t="s">
        <v>94</v>
      </c>
      <c r="AH8" s="1527"/>
      <c r="AI8" s="1527"/>
      <c r="AJ8" s="1527"/>
      <c r="AK8" s="1527"/>
      <c r="AL8" s="1527"/>
      <c r="AM8" s="1527"/>
      <c r="AN8" s="1527"/>
      <c r="AO8" s="1527"/>
      <c r="AP8" s="1527"/>
      <c r="AQ8" s="1527"/>
      <c r="AR8" s="1527"/>
      <c r="AS8" s="1527"/>
      <c r="AU8" s="700"/>
      <c r="AV8" s="700"/>
      <c r="AW8" s="700"/>
      <c r="AX8" s="700"/>
      <c r="AY8" s="700"/>
      <c r="AZ8" s="700"/>
      <c r="BA8" s="700"/>
      <c r="BB8" s="700"/>
      <c r="BC8" s="700"/>
      <c r="BD8" s="700"/>
      <c r="BE8" s="700"/>
      <c r="BF8" s="700"/>
      <c r="BG8" s="700"/>
      <c r="BH8" s="700"/>
      <c r="BI8" s="700"/>
      <c r="BJ8" s="700"/>
      <c r="BK8" s="700"/>
      <c r="BL8" s="700"/>
      <c r="BM8" s="700"/>
      <c r="BN8" s="700"/>
      <c r="BO8" s="700"/>
      <c r="BP8" s="700"/>
      <c r="BQ8" s="700"/>
      <c r="BR8" s="700"/>
      <c r="BS8" s="700"/>
      <c r="BT8" s="700"/>
      <c r="BU8" s="700"/>
      <c r="BV8" s="700"/>
      <c r="BW8" s="700"/>
      <c r="BX8" s="700"/>
      <c r="BY8" s="925"/>
      <c r="BZ8" s="700"/>
      <c r="CA8" s="700"/>
      <c r="CB8" s="700"/>
      <c r="CC8" s="925"/>
      <c r="CD8" s="700"/>
      <c r="CE8" s="700"/>
      <c r="CF8" s="700"/>
      <c r="CG8" s="700"/>
      <c r="CH8" s="700"/>
      <c r="CI8" s="700"/>
      <c r="CJ8" s="700"/>
      <c r="CK8" s="700"/>
      <c r="CL8" s="700"/>
      <c r="CM8" s="700"/>
      <c r="CN8" s="700"/>
      <c r="CO8" s="700"/>
      <c r="CP8" s="700"/>
      <c r="CQ8" s="700"/>
      <c r="CR8" s="700"/>
      <c r="CS8" s="700"/>
      <c r="CT8" s="700"/>
      <c r="CU8" s="700"/>
      <c r="CV8" s="700"/>
      <c r="CW8" s="700"/>
      <c r="CX8" s="926"/>
      <c r="DB8" s="926"/>
    </row>
    <row r="9" spans="1:209" s="55" customFormat="1" ht="13.5" customHeight="1" x14ac:dyDescent="0.2">
      <c r="A9" s="1405" t="s">
        <v>1</v>
      </c>
      <c r="B9" s="1407"/>
      <c r="C9" s="1407"/>
      <c r="D9" s="1407"/>
      <c r="E9" s="1497" t="s">
        <v>689</v>
      </c>
      <c r="F9" s="1499" t="s">
        <v>690</v>
      </c>
      <c r="G9" s="1494" t="s">
        <v>992</v>
      </c>
      <c r="H9" s="1495"/>
      <c r="I9" s="1495"/>
      <c r="J9" s="1495"/>
      <c r="K9" s="1496"/>
      <c r="L9" s="559"/>
      <c r="M9" s="1501" t="s">
        <v>86</v>
      </c>
      <c r="N9" s="1502"/>
      <c r="O9" s="1502"/>
      <c r="P9" s="1502"/>
      <c r="Q9" s="1502"/>
      <c r="R9" s="1502"/>
      <c r="S9" s="1502"/>
      <c r="T9" s="1502"/>
      <c r="U9" s="1502"/>
      <c r="V9" s="1502"/>
      <c r="W9" s="1502"/>
      <c r="X9" s="1502"/>
      <c r="Y9" s="1502"/>
      <c r="Z9" s="1502"/>
      <c r="AA9" s="1502"/>
      <c r="AB9" s="1507" t="s">
        <v>45</v>
      </c>
      <c r="AC9" s="560"/>
      <c r="AD9" s="920"/>
      <c r="AE9" s="30"/>
      <c r="AF9" s="30"/>
      <c r="AG9" s="1535" t="s">
        <v>7</v>
      </c>
      <c r="AH9" s="1537"/>
      <c r="AI9" s="1535" t="s">
        <v>1</v>
      </c>
      <c r="AJ9" s="1536"/>
      <c r="AK9" s="1536"/>
      <c r="AL9" s="1536"/>
      <c r="AM9" s="1536"/>
      <c r="AN9" s="1536"/>
      <c r="AO9" s="1536"/>
      <c r="AP9" s="1536"/>
      <c r="AQ9" s="1536"/>
      <c r="AR9" s="1536"/>
      <c r="AS9" s="1537"/>
      <c r="AT9" s="539"/>
      <c r="AW9" s="700"/>
      <c r="AX9" s="700"/>
      <c r="AY9" s="700"/>
      <c r="AZ9" s="700"/>
      <c r="BA9" s="700"/>
      <c r="BB9" s="700"/>
      <c r="BC9" s="700"/>
      <c r="BD9" s="700"/>
      <c r="BE9" s="700"/>
      <c r="BF9" s="700"/>
      <c r="BG9" s="700"/>
      <c r="BH9" s="700"/>
      <c r="BI9" s="700"/>
      <c r="BJ9" s="700"/>
      <c r="BK9" s="700"/>
      <c r="BL9" s="700"/>
      <c r="BM9" s="700"/>
      <c r="BN9" s="700"/>
      <c r="BO9" s="700"/>
      <c r="BP9" s="700"/>
      <c r="BQ9" s="700"/>
      <c r="BR9" s="700"/>
      <c r="BS9" s="700"/>
      <c r="BT9" s="700"/>
      <c r="BU9" s="700"/>
      <c r="BV9" s="700"/>
      <c r="BW9" s="700"/>
      <c r="BX9" s="700"/>
      <c r="BY9" s="700"/>
      <c r="BZ9" s="700"/>
      <c r="CA9" s="700"/>
      <c r="CB9" s="700"/>
      <c r="CC9" s="700"/>
      <c r="CD9" s="700"/>
      <c r="CE9" s="700"/>
      <c r="CF9" s="700"/>
      <c r="CG9" s="700"/>
      <c r="CH9" s="700"/>
      <c r="CI9" s="700"/>
      <c r="CJ9" s="700"/>
      <c r="CK9" s="700"/>
      <c r="CL9" s="700"/>
      <c r="CM9" s="700"/>
      <c r="CN9" s="700"/>
      <c r="CO9" s="700"/>
      <c r="CP9" s="700"/>
      <c r="CQ9" s="700"/>
      <c r="CR9" s="700"/>
      <c r="CS9" s="700"/>
      <c r="CT9" s="700"/>
      <c r="CU9" s="700"/>
      <c r="CV9" s="700"/>
      <c r="CW9" s="700"/>
    </row>
    <row r="10" spans="1:209" s="55" customFormat="1" ht="13.5" customHeight="1" x14ac:dyDescent="0.2">
      <c r="A10" s="1406"/>
      <c r="B10" s="1408"/>
      <c r="C10" s="1408"/>
      <c r="D10" s="1408"/>
      <c r="E10" s="1498"/>
      <c r="F10" s="1500"/>
      <c r="G10" s="915" t="s">
        <v>1038</v>
      </c>
      <c r="H10" s="558"/>
      <c r="I10" s="915" t="s">
        <v>1039</v>
      </c>
      <c r="J10" s="558"/>
      <c r="K10" s="915" t="s">
        <v>1040</v>
      </c>
      <c r="L10" s="559"/>
      <c r="M10" s="1503"/>
      <c r="N10" s="1504"/>
      <c r="O10" s="1504"/>
      <c r="P10" s="1504"/>
      <c r="Q10" s="1504"/>
      <c r="R10" s="1504"/>
      <c r="S10" s="1504"/>
      <c r="T10" s="1504"/>
      <c r="U10" s="1504"/>
      <c r="V10" s="1504"/>
      <c r="W10" s="1504"/>
      <c r="X10" s="1504"/>
      <c r="Y10" s="1504"/>
      <c r="Z10" s="1504"/>
      <c r="AA10" s="1504"/>
      <c r="AB10" s="1508"/>
      <c r="AC10" s="560"/>
      <c r="AG10" s="1538"/>
      <c r="AH10" s="1540"/>
      <c r="AI10" s="1538"/>
      <c r="AJ10" s="1539"/>
      <c r="AK10" s="1539"/>
      <c r="AL10" s="1539"/>
      <c r="AM10" s="1539"/>
      <c r="AN10" s="1539"/>
      <c r="AO10" s="1539"/>
      <c r="AP10" s="1539"/>
      <c r="AQ10" s="1539"/>
      <c r="AR10" s="1539"/>
      <c r="AS10" s="1540"/>
      <c r="AT10" s="539"/>
      <c r="AW10" s="700"/>
      <c r="AX10" s="700"/>
      <c r="AY10" s="700"/>
      <c r="AZ10" s="700"/>
      <c r="BA10" s="700"/>
      <c r="BB10" s="700"/>
      <c r="BC10" s="700"/>
      <c r="BD10" s="700"/>
      <c r="BE10" s="700"/>
      <c r="BF10" s="700"/>
      <c r="BG10" s="700"/>
      <c r="BH10" s="700"/>
      <c r="BI10" s="700"/>
      <c r="BJ10" s="700"/>
      <c r="BK10" s="700"/>
      <c r="BL10" s="700"/>
      <c r="BM10" s="700"/>
      <c r="BN10" s="700"/>
      <c r="BO10" s="700"/>
      <c r="BP10" s="700"/>
      <c r="BQ10" s="700"/>
      <c r="BR10" s="700"/>
      <c r="BS10" s="700"/>
      <c r="BT10" s="700"/>
      <c r="BU10" s="700"/>
      <c r="BV10" s="700"/>
      <c r="BW10" s="700"/>
      <c r="BX10" s="700"/>
      <c r="BY10" s="700"/>
      <c r="BZ10" s="700"/>
      <c r="CA10" s="700"/>
      <c r="CB10" s="700"/>
      <c r="CC10" s="700"/>
      <c r="CD10" s="700"/>
      <c r="CE10" s="700"/>
      <c r="CF10" s="700"/>
      <c r="CG10" s="700"/>
      <c r="CH10" s="700"/>
      <c r="CI10" s="700"/>
      <c r="CJ10" s="700"/>
      <c r="CK10" s="700"/>
      <c r="CL10" s="700"/>
      <c r="CM10" s="700"/>
      <c r="CN10" s="700"/>
      <c r="CO10" s="700"/>
      <c r="CP10" s="700"/>
      <c r="CQ10" s="700"/>
      <c r="CR10" s="700"/>
      <c r="CS10" s="700"/>
      <c r="CT10" s="700"/>
      <c r="CU10" s="700"/>
      <c r="CV10" s="700"/>
      <c r="CW10" s="700"/>
    </row>
    <row r="11" spans="1:209" ht="15" customHeight="1" x14ac:dyDescent="0.45">
      <c r="A11" s="1170"/>
      <c r="B11" s="944"/>
      <c r="C11" s="921"/>
      <c r="D11" s="921"/>
      <c r="E11" s="922"/>
      <c r="F11" s="922"/>
      <c r="G11" s="916"/>
      <c r="H11" s="917">
        <f>IF(OR(G11="x",G11="X",),$AB11,0)</f>
        <v>0</v>
      </c>
      <c r="I11" s="916"/>
      <c r="J11" s="917">
        <f>IF(OR(I11="x",I11="X",),$AB11,0)</f>
        <v>0</v>
      </c>
      <c r="K11" s="916"/>
      <c r="L11" s="917">
        <f>IF(OR(K11="x",K11="X",),$AB11,0)</f>
        <v>0</v>
      </c>
      <c r="M11" s="950"/>
      <c r="N11" s="951"/>
      <c r="O11" s="951"/>
      <c r="P11" s="951"/>
      <c r="Q11" s="951"/>
      <c r="R11" s="951"/>
      <c r="S11" s="951"/>
      <c r="T11" s="951"/>
      <c r="U11" s="951"/>
      <c r="V11" s="951"/>
      <c r="W11" s="951"/>
      <c r="X11" s="951"/>
      <c r="Y11" s="951"/>
      <c r="Z11" s="951"/>
      <c r="AA11" s="951"/>
      <c r="AB11" s="957">
        <f>COUNTA(M11:AA11)</f>
        <v>0</v>
      </c>
      <c r="AC11" s="45"/>
      <c r="AD11" s="1544" t="s">
        <v>805</v>
      </c>
      <c r="AE11" s="1545"/>
      <c r="AF11" s="1546"/>
      <c r="AG11" s="1528">
        <f>+'4 SUPERFICIES'!AG11</f>
        <v>0</v>
      </c>
      <c r="AH11" s="1529"/>
      <c r="AI11" s="1530">
        <f>+'4 SUPERFICIES'!AI11</f>
        <v>0</v>
      </c>
      <c r="AJ11" s="1531"/>
      <c r="AK11" s="1531"/>
      <c r="AL11" s="1531"/>
      <c r="AM11" s="1531"/>
      <c r="AN11" s="1531"/>
      <c r="AO11" s="1531"/>
      <c r="AP11" s="1531"/>
      <c r="AQ11" s="1531"/>
      <c r="AR11" s="1531"/>
      <c r="AS11" s="1532"/>
      <c r="AT11" s="556"/>
    </row>
    <row r="12" spans="1:209" ht="15" customHeight="1" x14ac:dyDescent="0.45">
      <c r="A12" s="1170"/>
      <c r="B12" s="944" t="str">
        <f t="shared" ref="B12:B56" si="0">IF(A12&gt;0,"x"," ")</f>
        <v xml:space="preserve"> </v>
      </c>
      <c r="C12" s="921"/>
      <c r="D12" s="921"/>
      <c r="E12" s="922"/>
      <c r="F12" s="922"/>
      <c r="G12" s="916"/>
      <c r="H12" s="917">
        <f t="shared" ref="H12:H56" si="1">IF(OR(G12="x",G12="X",),AB12,0)</f>
        <v>0</v>
      </c>
      <c r="I12" s="916"/>
      <c r="J12" s="917">
        <f t="shared" ref="J12:J56" si="2">IF(OR(I12="x",I12="X",),$AB12,0)</f>
        <v>0</v>
      </c>
      <c r="K12" s="916"/>
      <c r="L12" s="917">
        <f t="shared" ref="L12:L56" si="3">IF(OR(K12="x",K12="X",),$AB12,0)</f>
        <v>0</v>
      </c>
      <c r="M12" s="952"/>
      <c r="N12" s="953"/>
      <c r="O12" s="953"/>
      <c r="P12" s="953"/>
      <c r="Q12" s="953"/>
      <c r="R12" s="953"/>
      <c r="S12" s="953"/>
      <c r="T12" s="953"/>
      <c r="U12" s="953"/>
      <c r="V12" s="953"/>
      <c r="W12" s="953"/>
      <c r="X12" s="953"/>
      <c r="Y12" s="953"/>
      <c r="Z12" s="953"/>
      <c r="AA12" s="953"/>
      <c r="AB12" s="957">
        <f t="shared" ref="AB12:AB38" si="4">COUNTA(M12:AA12)</f>
        <v>0</v>
      </c>
      <c r="AC12" s="44"/>
      <c r="AD12" s="1541" t="s">
        <v>805</v>
      </c>
      <c r="AE12" s="1542"/>
      <c r="AF12" s="1543"/>
      <c r="AG12" s="1528">
        <f>+'4 SUPERFICIES'!AG12</f>
        <v>0</v>
      </c>
      <c r="AH12" s="1529"/>
      <c r="AI12" s="1530">
        <f>+'4 SUPERFICIES'!AI12</f>
        <v>0</v>
      </c>
      <c r="AJ12" s="1531"/>
      <c r="AK12" s="1531"/>
      <c r="AL12" s="1531"/>
      <c r="AM12" s="1531"/>
      <c r="AN12" s="1531"/>
      <c r="AO12" s="1531"/>
      <c r="AP12" s="1531"/>
      <c r="AQ12" s="1531"/>
      <c r="AR12" s="1531"/>
      <c r="AS12" s="1532"/>
      <c r="AT12" s="556"/>
    </row>
    <row r="13" spans="1:209" ht="15" customHeight="1" x14ac:dyDescent="0.45">
      <c r="A13" s="1170"/>
      <c r="B13" s="944" t="str">
        <f t="shared" si="0"/>
        <v xml:space="preserve"> </v>
      </c>
      <c r="C13" s="921"/>
      <c r="D13" s="921"/>
      <c r="E13" s="922"/>
      <c r="F13" s="922"/>
      <c r="G13" s="916"/>
      <c r="H13" s="917">
        <f t="shared" si="1"/>
        <v>0</v>
      </c>
      <c r="I13" s="916"/>
      <c r="J13" s="917">
        <f t="shared" si="2"/>
        <v>0</v>
      </c>
      <c r="K13" s="916"/>
      <c r="L13" s="917">
        <f t="shared" si="3"/>
        <v>0</v>
      </c>
      <c r="M13" s="950"/>
      <c r="N13" s="951"/>
      <c r="O13" s="951"/>
      <c r="P13" s="951"/>
      <c r="Q13" s="951"/>
      <c r="R13" s="951"/>
      <c r="S13" s="951"/>
      <c r="T13" s="951"/>
      <c r="U13" s="951"/>
      <c r="V13" s="951"/>
      <c r="W13" s="951"/>
      <c r="X13" s="951"/>
      <c r="Y13" s="951"/>
      <c r="Z13" s="951"/>
      <c r="AA13" s="951"/>
      <c r="AB13" s="957">
        <f t="shared" si="4"/>
        <v>0</v>
      </c>
      <c r="AC13" s="44"/>
      <c r="AD13" s="1541" t="s">
        <v>806</v>
      </c>
      <c r="AE13" s="1542"/>
      <c r="AF13" s="1543"/>
      <c r="AG13" s="1528">
        <f>+'4 SUPERFICIES'!AG13</f>
        <v>0</v>
      </c>
      <c r="AH13" s="1529"/>
      <c r="AI13" s="1530">
        <f>+'4 SUPERFICIES'!AI13</f>
        <v>0</v>
      </c>
      <c r="AJ13" s="1531"/>
      <c r="AK13" s="1531"/>
      <c r="AL13" s="1531"/>
      <c r="AM13" s="1531"/>
      <c r="AN13" s="1531"/>
      <c r="AO13" s="1531"/>
      <c r="AP13" s="1531"/>
      <c r="AQ13" s="1531"/>
      <c r="AR13" s="1531"/>
      <c r="AS13" s="1532"/>
      <c r="AT13" s="556"/>
    </row>
    <row r="14" spans="1:209" ht="15" customHeight="1" x14ac:dyDescent="0.45">
      <c r="A14" s="1170"/>
      <c r="B14" s="944" t="str">
        <f t="shared" si="0"/>
        <v xml:space="preserve"> </v>
      </c>
      <c r="C14" s="921"/>
      <c r="D14" s="921"/>
      <c r="E14" s="922"/>
      <c r="F14" s="922"/>
      <c r="G14" s="916"/>
      <c r="H14" s="917">
        <f t="shared" si="1"/>
        <v>0</v>
      </c>
      <c r="I14" s="916"/>
      <c r="J14" s="917">
        <f t="shared" si="2"/>
        <v>0</v>
      </c>
      <c r="K14" s="916"/>
      <c r="L14" s="917">
        <f t="shared" si="3"/>
        <v>0</v>
      </c>
      <c r="M14" s="952"/>
      <c r="N14" s="953"/>
      <c r="O14" s="953"/>
      <c r="P14" s="953"/>
      <c r="Q14" s="953"/>
      <c r="R14" s="953"/>
      <c r="S14" s="953"/>
      <c r="T14" s="953"/>
      <c r="U14" s="953"/>
      <c r="V14" s="953"/>
      <c r="W14" s="953"/>
      <c r="X14" s="953"/>
      <c r="Y14" s="953"/>
      <c r="Z14" s="953"/>
      <c r="AA14" s="953"/>
      <c r="AB14" s="957">
        <f t="shared" si="4"/>
        <v>0</v>
      </c>
      <c r="AC14" s="44"/>
      <c r="AD14" s="1541" t="s">
        <v>806</v>
      </c>
      <c r="AE14" s="1542"/>
      <c r="AF14" s="1543"/>
      <c r="AG14" s="1528">
        <f>+'4 SUPERFICIES'!AG14</f>
        <v>0</v>
      </c>
      <c r="AH14" s="1529"/>
      <c r="AI14" s="1530">
        <f>+'4 SUPERFICIES'!AI14</f>
        <v>0</v>
      </c>
      <c r="AJ14" s="1531"/>
      <c r="AK14" s="1531"/>
      <c r="AL14" s="1531"/>
      <c r="AM14" s="1531"/>
      <c r="AN14" s="1531"/>
      <c r="AO14" s="1531"/>
      <c r="AP14" s="1531"/>
      <c r="AQ14" s="1531"/>
      <c r="AR14" s="1531"/>
      <c r="AS14" s="1532"/>
      <c r="AT14" s="556"/>
    </row>
    <row r="15" spans="1:209" ht="15" customHeight="1" x14ac:dyDescent="0.45">
      <c r="A15" s="1170"/>
      <c r="B15" s="944" t="str">
        <f t="shared" si="0"/>
        <v xml:space="preserve"> </v>
      </c>
      <c r="C15" s="921"/>
      <c r="D15" s="921"/>
      <c r="E15" s="922"/>
      <c r="F15" s="922"/>
      <c r="G15" s="916"/>
      <c r="H15" s="917">
        <f t="shared" si="1"/>
        <v>0</v>
      </c>
      <c r="I15" s="916"/>
      <c r="J15" s="917">
        <f t="shared" si="2"/>
        <v>0</v>
      </c>
      <c r="K15" s="916"/>
      <c r="L15" s="917">
        <f t="shared" si="3"/>
        <v>0</v>
      </c>
      <c r="M15" s="950"/>
      <c r="N15" s="951"/>
      <c r="O15" s="951"/>
      <c r="P15" s="951"/>
      <c r="Q15" s="951"/>
      <c r="R15" s="951"/>
      <c r="S15" s="951"/>
      <c r="T15" s="951"/>
      <c r="U15" s="951"/>
      <c r="V15" s="951"/>
      <c r="W15" s="951"/>
      <c r="X15" s="951"/>
      <c r="Y15" s="951"/>
      <c r="Z15" s="951"/>
      <c r="AA15" s="951"/>
      <c r="AB15" s="957">
        <f t="shared" si="4"/>
        <v>0</v>
      </c>
      <c r="AC15" s="44"/>
      <c r="AD15" s="1541" t="s">
        <v>753</v>
      </c>
      <c r="AE15" s="1542"/>
      <c r="AF15" s="1543"/>
      <c r="AG15" s="1528">
        <f>+'4 SUPERFICIES'!AG15</f>
        <v>0</v>
      </c>
      <c r="AH15" s="1529"/>
      <c r="AI15" s="1530">
        <f>+'4 SUPERFICIES'!AI15</f>
        <v>0</v>
      </c>
      <c r="AJ15" s="1531"/>
      <c r="AK15" s="1531"/>
      <c r="AL15" s="1531"/>
      <c r="AM15" s="1531"/>
      <c r="AN15" s="1531"/>
      <c r="AO15" s="1531"/>
      <c r="AP15" s="1531"/>
      <c r="AQ15" s="1531"/>
      <c r="AR15" s="1531"/>
      <c r="AS15" s="1532"/>
      <c r="AT15" s="556"/>
    </row>
    <row r="16" spans="1:209" ht="15" customHeight="1" x14ac:dyDescent="0.45">
      <c r="A16" s="1170"/>
      <c r="B16" s="944" t="str">
        <f t="shared" si="0"/>
        <v xml:space="preserve"> </v>
      </c>
      <c r="C16" s="921"/>
      <c r="D16" s="921"/>
      <c r="E16" s="922"/>
      <c r="F16" s="922"/>
      <c r="G16" s="916"/>
      <c r="H16" s="917">
        <f t="shared" si="1"/>
        <v>0</v>
      </c>
      <c r="I16" s="916"/>
      <c r="J16" s="917">
        <f t="shared" si="2"/>
        <v>0</v>
      </c>
      <c r="K16" s="916"/>
      <c r="L16" s="917">
        <f t="shared" si="3"/>
        <v>0</v>
      </c>
      <c r="M16" s="952"/>
      <c r="N16" s="953"/>
      <c r="O16" s="953"/>
      <c r="P16" s="953"/>
      <c r="Q16" s="953"/>
      <c r="R16" s="953"/>
      <c r="S16" s="953"/>
      <c r="T16" s="953"/>
      <c r="U16" s="953"/>
      <c r="V16" s="953"/>
      <c r="W16" s="953"/>
      <c r="X16" s="953"/>
      <c r="Y16" s="953"/>
      <c r="Z16" s="953"/>
      <c r="AA16" s="953"/>
      <c r="AB16" s="957">
        <f t="shared" si="4"/>
        <v>0</v>
      </c>
      <c r="AC16" s="44"/>
      <c r="AD16" s="1541" t="s">
        <v>753</v>
      </c>
      <c r="AE16" s="1542"/>
      <c r="AF16" s="1543"/>
      <c r="AG16" s="1528">
        <f>+'4 SUPERFICIES'!AG16</f>
        <v>0</v>
      </c>
      <c r="AH16" s="1529"/>
      <c r="AI16" s="1530">
        <f>+'4 SUPERFICIES'!AI16</f>
        <v>0</v>
      </c>
      <c r="AJ16" s="1531"/>
      <c r="AK16" s="1531"/>
      <c r="AL16" s="1531"/>
      <c r="AM16" s="1531"/>
      <c r="AN16" s="1531"/>
      <c r="AO16" s="1531"/>
      <c r="AP16" s="1531"/>
      <c r="AQ16" s="1531"/>
      <c r="AR16" s="1531"/>
      <c r="AS16" s="1532"/>
      <c r="AT16" s="556"/>
    </row>
    <row r="17" spans="1:46" ht="15" customHeight="1" x14ac:dyDescent="0.45">
      <c r="A17" s="1170"/>
      <c r="B17" s="944" t="str">
        <f t="shared" si="0"/>
        <v xml:space="preserve"> </v>
      </c>
      <c r="C17" s="921"/>
      <c r="D17" s="921"/>
      <c r="E17" s="922"/>
      <c r="F17" s="922"/>
      <c r="G17" s="916"/>
      <c r="H17" s="917">
        <f t="shared" si="1"/>
        <v>0</v>
      </c>
      <c r="I17" s="916"/>
      <c r="J17" s="917">
        <f t="shared" si="2"/>
        <v>0</v>
      </c>
      <c r="K17" s="916"/>
      <c r="L17" s="917">
        <f t="shared" si="3"/>
        <v>0</v>
      </c>
      <c r="M17" s="950"/>
      <c r="N17" s="951"/>
      <c r="O17" s="951"/>
      <c r="P17" s="951"/>
      <c r="Q17" s="951"/>
      <c r="R17" s="951"/>
      <c r="S17" s="951"/>
      <c r="T17" s="951"/>
      <c r="U17" s="951"/>
      <c r="V17" s="951"/>
      <c r="W17" s="951"/>
      <c r="X17" s="951"/>
      <c r="Y17" s="951"/>
      <c r="Z17" s="951"/>
      <c r="AA17" s="951"/>
      <c r="AB17" s="957">
        <f t="shared" si="4"/>
        <v>0</v>
      </c>
      <c r="AC17" s="44"/>
      <c r="AD17" s="1547" t="s">
        <v>1107</v>
      </c>
      <c r="AE17" s="1548"/>
      <c r="AF17" s="1549"/>
      <c r="AG17" s="1528">
        <f>+'4 SUPERFICIES'!AG17</f>
        <v>0</v>
      </c>
      <c r="AH17" s="1529"/>
      <c r="AI17" s="1530">
        <f>+'4 SUPERFICIES'!AI17</f>
        <v>0</v>
      </c>
      <c r="AJ17" s="1531"/>
      <c r="AK17" s="1531"/>
      <c r="AL17" s="1531"/>
      <c r="AM17" s="1531"/>
      <c r="AN17" s="1531"/>
      <c r="AO17" s="1531"/>
      <c r="AP17" s="1531"/>
      <c r="AQ17" s="1531"/>
      <c r="AR17" s="1531"/>
      <c r="AS17" s="1532"/>
      <c r="AT17" s="556"/>
    </row>
    <row r="18" spans="1:46" ht="15" customHeight="1" x14ac:dyDescent="0.45">
      <c r="A18" s="1170"/>
      <c r="B18" s="944" t="str">
        <f t="shared" si="0"/>
        <v xml:space="preserve"> </v>
      </c>
      <c r="C18" s="921"/>
      <c r="D18" s="921"/>
      <c r="E18" s="922"/>
      <c r="F18" s="922"/>
      <c r="G18" s="916"/>
      <c r="H18" s="917">
        <f t="shared" si="1"/>
        <v>0</v>
      </c>
      <c r="I18" s="916"/>
      <c r="J18" s="917">
        <f t="shared" si="2"/>
        <v>0</v>
      </c>
      <c r="K18" s="916"/>
      <c r="L18" s="917">
        <f t="shared" si="3"/>
        <v>0</v>
      </c>
      <c r="M18" s="952"/>
      <c r="N18" s="953"/>
      <c r="O18" s="953"/>
      <c r="P18" s="953"/>
      <c r="Q18" s="953"/>
      <c r="R18" s="953"/>
      <c r="S18" s="953"/>
      <c r="T18" s="953"/>
      <c r="U18" s="953"/>
      <c r="V18" s="953"/>
      <c r="W18" s="953"/>
      <c r="X18" s="953"/>
      <c r="Y18" s="953"/>
      <c r="Z18" s="953"/>
      <c r="AA18" s="953"/>
      <c r="AB18" s="957">
        <f t="shared" si="4"/>
        <v>0</v>
      </c>
      <c r="AC18" s="44"/>
      <c r="AD18" s="1547" t="s">
        <v>1107</v>
      </c>
      <c r="AE18" s="1548"/>
      <c r="AF18" s="1549"/>
      <c r="AG18" s="1528">
        <f>+'4 SUPERFICIES'!AG18</f>
        <v>0</v>
      </c>
      <c r="AH18" s="1529"/>
      <c r="AI18" s="1530">
        <f>+'4 SUPERFICIES'!AI18</f>
        <v>0</v>
      </c>
      <c r="AJ18" s="1531"/>
      <c r="AK18" s="1531"/>
      <c r="AL18" s="1531"/>
      <c r="AM18" s="1531"/>
      <c r="AN18" s="1531"/>
      <c r="AO18" s="1531"/>
      <c r="AP18" s="1531"/>
      <c r="AQ18" s="1531"/>
      <c r="AR18" s="1531"/>
      <c r="AS18" s="1532"/>
      <c r="AT18" s="556"/>
    </row>
    <row r="19" spans="1:46" ht="15" customHeight="1" x14ac:dyDescent="0.45">
      <c r="A19" s="1170"/>
      <c r="B19" s="944" t="str">
        <f t="shared" si="0"/>
        <v xml:space="preserve"> </v>
      </c>
      <c r="C19" s="921"/>
      <c r="D19" s="921"/>
      <c r="E19" s="922"/>
      <c r="F19" s="922"/>
      <c r="G19" s="916"/>
      <c r="H19" s="917">
        <f t="shared" si="1"/>
        <v>0</v>
      </c>
      <c r="I19" s="916"/>
      <c r="J19" s="917">
        <f t="shared" si="2"/>
        <v>0</v>
      </c>
      <c r="K19" s="916"/>
      <c r="L19" s="917">
        <f t="shared" si="3"/>
        <v>0</v>
      </c>
      <c r="M19" s="950"/>
      <c r="N19" s="951"/>
      <c r="O19" s="951"/>
      <c r="P19" s="951"/>
      <c r="Q19" s="951"/>
      <c r="R19" s="951"/>
      <c r="S19" s="951"/>
      <c r="T19" s="951"/>
      <c r="U19" s="951"/>
      <c r="V19" s="951"/>
      <c r="W19" s="951"/>
      <c r="X19" s="951"/>
      <c r="Y19" s="951"/>
      <c r="Z19" s="951"/>
      <c r="AA19" s="951"/>
      <c r="AB19" s="957">
        <f t="shared" si="4"/>
        <v>0</v>
      </c>
      <c r="AC19" s="44"/>
      <c r="AD19" s="1553" t="s">
        <v>11</v>
      </c>
      <c r="AE19" s="1553"/>
      <c r="AF19" s="1553"/>
      <c r="AG19" s="1553"/>
      <c r="AH19" s="1553"/>
      <c r="AI19" s="1553"/>
      <c r="AJ19" s="1553"/>
      <c r="AK19" s="1553"/>
      <c r="AL19" s="1553"/>
      <c r="AM19" s="1553"/>
      <c r="AN19" s="1553"/>
      <c r="AO19" s="1553"/>
      <c r="AP19" s="1553"/>
      <c r="AQ19" s="1553"/>
      <c r="AR19" s="1553"/>
      <c r="AS19" s="1554"/>
      <c r="AT19" s="556"/>
    </row>
    <row r="20" spans="1:46" ht="15" customHeight="1" x14ac:dyDescent="0.45">
      <c r="A20" s="1170"/>
      <c r="B20" s="944" t="str">
        <f t="shared" si="0"/>
        <v xml:space="preserve"> </v>
      </c>
      <c r="C20" s="921"/>
      <c r="D20" s="921"/>
      <c r="E20" s="922"/>
      <c r="F20" s="922"/>
      <c r="G20" s="916"/>
      <c r="H20" s="917">
        <f t="shared" si="1"/>
        <v>0</v>
      </c>
      <c r="I20" s="916"/>
      <c r="J20" s="917">
        <f t="shared" si="2"/>
        <v>0</v>
      </c>
      <c r="K20" s="916"/>
      <c r="L20" s="917">
        <f t="shared" si="3"/>
        <v>0</v>
      </c>
      <c r="M20" s="952"/>
      <c r="N20" s="953"/>
      <c r="O20" s="953"/>
      <c r="P20" s="953"/>
      <c r="Q20" s="953"/>
      <c r="R20" s="953"/>
      <c r="S20" s="953"/>
      <c r="T20" s="953"/>
      <c r="U20" s="953"/>
      <c r="V20" s="953"/>
      <c r="W20" s="953"/>
      <c r="X20" s="953"/>
      <c r="Y20" s="953"/>
      <c r="Z20" s="953"/>
      <c r="AA20" s="953"/>
      <c r="AB20" s="957">
        <f t="shared" si="4"/>
        <v>0</v>
      </c>
      <c r="AC20" s="44"/>
      <c r="AD20" s="1181"/>
      <c r="AE20" s="1182"/>
      <c r="AF20" s="1182"/>
      <c r="AG20" s="1182"/>
      <c r="AH20" s="1182"/>
      <c r="AI20" s="1182"/>
      <c r="AJ20" s="1182"/>
      <c r="AK20" s="1182"/>
      <c r="AL20" s="1182"/>
      <c r="AM20" s="1182"/>
      <c r="AN20" s="1182"/>
      <c r="AO20" s="1182"/>
      <c r="AP20" s="1182"/>
      <c r="AQ20" s="1182"/>
      <c r="AR20" s="1182"/>
      <c r="AS20" s="1187"/>
      <c r="AT20" s="556"/>
    </row>
    <row r="21" spans="1:46" ht="15" customHeight="1" x14ac:dyDescent="0.45">
      <c r="A21" s="1170"/>
      <c r="B21" s="944" t="str">
        <f t="shared" si="0"/>
        <v xml:space="preserve"> </v>
      </c>
      <c r="C21" s="921"/>
      <c r="D21" s="921"/>
      <c r="E21" s="922"/>
      <c r="F21" s="922"/>
      <c r="G21" s="916"/>
      <c r="H21" s="917">
        <f t="shared" si="1"/>
        <v>0</v>
      </c>
      <c r="I21" s="916"/>
      <c r="J21" s="917">
        <f t="shared" si="2"/>
        <v>0</v>
      </c>
      <c r="K21" s="916"/>
      <c r="L21" s="917">
        <f t="shared" si="3"/>
        <v>0</v>
      </c>
      <c r="M21" s="950"/>
      <c r="N21" s="951"/>
      <c r="O21" s="951"/>
      <c r="P21" s="951"/>
      <c r="Q21" s="951"/>
      <c r="R21" s="951"/>
      <c r="S21" s="951"/>
      <c r="T21" s="951"/>
      <c r="U21" s="951"/>
      <c r="V21" s="951"/>
      <c r="W21" s="951"/>
      <c r="X21" s="951"/>
      <c r="Y21" s="951"/>
      <c r="Z21" s="951"/>
      <c r="AA21" s="951"/>
      <c r="AB21" s="957">
        <f t="shared" si="4"/>
        <v>0</v>
      </c>
      <c r="AC21" s="44"/>
      <c r="AD21" s="1181"/>
      <c r="AE21" s="1182"/>
      <c r="AF21" s="1182"/>
      <c r="AG21" s="1182"/>
      <c r="AH21" s="1182"/>
      <c r="AI21" s="1182"/>
      <c r="AJ21" s="1182"/>
      <c r="AK21" s="1182"/>
      <c r="AL21" s="1182"/>
      <c r="AM21" s="1182"/>
      <c r="AN21" s="1182"/>
      <c r="AO21" s="1182"/>
      <c r="AP21" s="1182"/>
      <c r="AQ21" s="1182"/>
      <c r="AR21" s="1182"/>
      <c r="AS21" s="1187"/>
      <c r="AT21" s="556"/>
    </row>
    <row r="22" spans="1:46" ht="15" customHeight="1" x14ac:dyDescent="0.45">
      <c r="A22" s="1170"/>
      <c r="B22" s="944" t="str">
        <f t="shared" si="0"/>
        <v xml:space="preserve"> </v>
      </c>
      <c r="C22" s="921"/>
      <c r="D22" s="921"/>
      <c r="E22" s="922"/>
      <c r="F22" s="922"/>
      <c r="G22" s="916"/>
      <c r="H22" s="917">
        <f t="shared" si="1"/>
        <v>0</v>
      </c>
      <c r="I22" s="916"/>
      <c r="J22" s="917">
        <f t="shared" si="2"/>
        <v>0</v>
      </c>
      <c r="K22" s="916"/>
      <c r="L22" s="917">
        <f t="shared" si="3"/>
        <v>0</v>
      </c>
      <c r="M22" s="952"/>
      <c r="N22" s="953"/>
      <c r="O22" s="953"/>
      <c r="P22" s="953"/>
      <c r="Q22" s="953"/>
      <c r="R22" s="953"/>
      <c r="S22" s="953"/>
      <c r="T22" s="953"/>
      <c r="U22" s="953"/>
      <c r="V22" s="953"/>
      <c r="W22" s="953"/>
      <c r="X22" s="953"/>
      <c r="Y22" s="953"/>
      <c r="Z22" s="953"/>
      <c r="AA22" s="953"/>
      <c r="AB22" s="957">
        <f t="shared" si="4"/>
        <v>0</v>
      </c>
      <c r="AC22" s="44"/>
      <c r="AD22" s="1181"/>
      <c r="AE22" s="1182"/>
      <c r="AF22" s="1182"/>
      <c r="AG22" s="1182"/>
      <c r="AH22" s="1182"/>
      <c r="AI22" s="1182"/>
      <c r="AJ22" s="1182"/>
      <c r="AK22" s="1182"/>
      <c r="AL22" s="1182"/>
      <c r="AM22" s="1182"/>
      <c r="AN22" s="1182"/>
      <c r="AO22" s="1182"/>
      <c r="AP22" s="1182"/>
      <c r="AQ22" s="1182"/>
      <c r="AR22" s="1182"/>
      <c r="AS22" s="1187"/>
      <c r="AT22" s="556"/>
    </row>
    <row r="23" spans="1:46" ht="15" customHeight="1" x14ac:dyDescent="0.45">
      <c r="A23" s="1170"/>
      <c r="B23" s="944" t="str">
        <f t="shared" si="0"/>
        <v xml:space="preserve"> </v>
      </c>
      <c r="C23" s="921"/>
      <c r="D23" s="921"/>
      <c r="E23" s="922"/>
      <c r="F23" s="922"/>
      <c r="G23" s="916"/>
      <c r="H23" s="917">
        <f t="shared" si="1"/>
        <v>0</v>
      </c>
      <c r="I23" s="916"/>
      <c r="J23" s="917">
        <f t="shared" si="2"/>
        <v>0</v>
      </c>
      <c r="K23" s="916"/>
      <c r="L23" s="917">
        <f t="shared" si="3"/>
        <v>0</v>
      </c>
      <c r="M23" s="950"/>
      <c r="N23" s="951"/>
      <c r="O23" s="951"/>
      <c r="P23" s="951"/>
      <c r="Q23" s="951"/>
      <c r="R23" s="951"/>
      <c r="S23" s="951"/>
      <c r="T23" s="951"/>
      <c r="U23" s="951"/>
      <c r="V23" s="951"/>
      <c r="W23" s="951"/>
      <c r="X23" s="951"/>
      <c r="Y23" s="951"/>
      <c r="Z23" s="951"/>
      <c r="AA23" s="951"/>
      <c r="AB23" s="957">
        <f t="shared" si="4"/>
        <v>0</v>
      </c>
      <c r="AC23" s="44"/>
      <c r="AD23" s="1181"/>
      <c r="AE23" s="1182"/>
      <c r="AF23" s="1182"/>
      <c r="AG23" s="1182"/>
      <c r="AH23" s="1182"/>
      <c r="AI23" s="1182"/>
      <c r="AJ23" s="1182"/>
      <c r="AK23" s="1182"/>
      <c r="AL23" s="1182"/>
      <c r="AM23" s="1182"/>
      <c r="AN23" s="1182"/>
      <c r="AO23" s="1182"/>
      <c r="AP23" s="1182"/>
      <c r="AQ23" s="1182"/>
      <c r="AR23" s="1182"/>
      <c r="AS23" s="1187"/>
      <c r="AT23" s="556"/>
    </row>
    <row r="24" spans="1:46" ht="15" customHeight="1" x14ac:dyDescent="0.45">
      <c r="A24" s="1170"/>
      <c r="B24" s="944" t="str">
        <f t="shared" si="0"/>
        <v xml:space="preserve"> </v>
      </c>
      <c r="C24" s="921"/>
      <c r="D24" s="921"/>
      <c r="E24" s="922"/>
      <c r="F24" s="922"/>
      <c r="G24" s="916"/>
      <c r="H24" s="917">
        <f t="shared" si="1"/>
        <v>0</v>
      </c>
      <c r="I24" s="916"/>
      <c r="J24" s="917">
        <f t="shared" si="2"/>
        <v>0</v>
      </c>
      <c r="K24" s="916"/>
      <c r="L24" s="917">
        <f t="shared" si="3"/>
        <v>0</v>
      </c>
      <c r="M24" s="952"/>
      <c r="N24" s="953"/>
      <c r="O24" s="953"/>
      <c r="P24" s="953"/>
      <c r="Q24" s="953"/>
      <c r="R24" s="953"/>
      <c r="S24" s="953"/>
      <c r="T24" s="953"/>
      <c r="U24" s="953"/>
      <c r="V24" s="953"/>
      <c r="W24" s="953"/>
      <c r="X24" s="953"/>
      <c r="Y24" s="953"/>
      <c r="Z24" s="953"/>
      <c r="AA24" s="953"/>
      <c r="AB24" s="957">
        <f t="shared" si="4"/>
        <v>0</v>
      </c>
      <c r="AC24" s="44"/>
      <c r="AD24" s="1181"/>
      <c r="AE24" s="1182"/>
      <c r="AF24" s="1182"/>
      <c r="AG24" s="1182"/>
      <c r="AH24" s="1182"/>
      <c r="AI24" s="1182"/>
      <c r="AJ24" s="1182"/>
      <c r="AK24" s="1182"/>
      <c r="AL24" s="1182"/>
      <c r="AM24" s="1182"/>
      <c r="AN24" s="1182"/>
      <c r="AO24" s="1182"/>
      <c r="AP24" s="1182"/>
      <c r="AQ24" s="1182"/>
      <c r="AR24" s="1182"/>
      <c r="AS24" s="1187"/>
      <c r="AT24" s="556"/>
    </row>
    <row r="25" spans="1:46" ht="15" customHeight="1" x14ac:dyDescent="0.45">
      <c r="A25" s="1170"/>
      <c r="B25" s="944" t="str">
        <f t="shared" si="0"/>
        <v xml:space="preserve"> </v>
      </c>
      <c r="C25" s="921"/>
      <c r="D25" s="921"/>
      <c r="E25" s="923"/>
      <c r="F25" s="922"/>
      <c r="G25" s="916"/>
      <c r="H25" s="917">
        <f t="shared" si="1"/>
        <v>0</v>
      </c>
      <c r="I25" s="916"/>
      <c r="J25" s="917">
        <f t="shared" si="2"/>
        <v>0</v>
      </c>
      <c r="K25" s="916"/>
      <c r="L25" s="917">
        <f t="shared" si="3"/>
        <v>0</v>
      </c>
      <c r="M25" s="950"/>
      <c r="N25" s="951"/>
      <c r="O25" s="951"/>
      <c r="P25" s="951"/>
      <c r="Q25" s="951"/>
      <c r="R25" s="951"/>
      <c r="S25" s="951"/>
      <c r="T25" s="951"/>
      <c r="U25" s="951"/>
      <c r="V25" s="951"/>
      <c r="W25" s="951"/>
      <c r="X25" s="951"/>
      <c r="Y25" s="951"/>
      <c r="Z25" s="951"/>
      <c r="AA25" s="951"/>
      <c r="AB25" s="957">
        <f t="shared" si="4"/>
        <v>0</v>
      </c>
      <c r="AC25" s="44"/>
      <c r="AD25" s="1181"/>
      <c r="AE25" s="1182"/>
      <c r="AF25" s="1182"/>
      <c r="AG25" s="1182"/>
      <c r="AH25" s="1182"/>
      <c r="AI25" s="1182"/>
      <c r="AJ25" s="1182"/>
      <c r="AK25" s="1182"/>
      <c r="AL25" s="1182"/>
      <c r="AM25" s="1182"/>
      <c r="AN25" s="1182"/>
      <c r="AO25" s="1182"/>
      <c r="AP25" s="1182"/>
      <c r="AQ25" s="1182"/>
      <c r="AR25" s="1182"/>
      <c r="AS25" s="1187"/>
      <c r="AT25" s="556"/>
    </row>
    <row r="26" spans="1:46" ht="15" customHeight="1" x14ac:dyDescent="0.45">
      <c r="A26" s="1170"/>
      <c r="B26" s="944" t="str">
        <f t="shared" si="0"/>
        <v xml:space="preserve"> </v>
      </c>
      <c r="C26" s="921"/>
      <c r="D26" s="921"/>
      <c r="E26" s="923"/>
      <c r="F26" s="922"/>
      <c r="G26" s="916"/>
      <c r="H26" s="917">
        <f t="shared" si="1"/>
        <v>0</v>
      </c>
      <c r="I26" s="916"/>
      <c r="J26" s="917">
        <f t="shared" si="2"/>
        <v>0</v>
      </c>
      <c r="K26" s="916"/>
      <c r="L26" s="917">
        <f t="shared" si="3"/>
        <v>0</v>
      </c>
      <c r="M26" s="952"/>
      <c r="N26" s="953"/>
      <c r="O26" s="953"/>
      <c r="P26" s="953"/>
      <c r="Q26" s="953"/>
      <c r="R26" s="953"/>
      <c r="S26" s="953"/>
      <c r="T26" s="953"/>
      <c r="U26" s="953"/>
      <c r="V26" s="953"/>
      <c r="W26" s="953"/>
      <c r="X26" s="953"/>
      <c r="Y26" s="953"/>
      <c r="Z26" s="953"/>
      <c r="AA26" s="953"/>
      <c r="AB26" s="957">
        <f t="shared" si="4"/>
        <v>0</v>
      </c>
      <c r="AC26" s="44"/>
      <c r="AD26" s="1181"/>
      <c r="AE26" s="1182"/>
      <c r="AF26" s="1182"/>
      <c r="AG26" s="1182"/>
      <c r="AH26" s="1182"/>
      <c r="AI26" s="1182"/>
      <c r="AJ26" s="1182"/>
      <c r="AK26" s="1182"/>
      <c r="AL26" s="1182"/>
      <c r="AM26" s="1182"/>
      <c r="AN26" s="1182"/>
      <c r="AO26" s="1182"/>
      <c r="AP26" s="1182"/>
      <c r="AQ26" s="1182"/>
      <c r="AR26" s="1182"/>
      <c r="AS26" s="1187"/>
      <c r="AT26" s="556"/>
    </row>
    <row r="27" spans="1:46" ht="15" customHeight="1" x14ac:dyDescent="0.45">
      <c r="A27" s="1170"/>
      <c r="B27" s="944" t="str">
        <f t="shared" si="0"/>
        <v xml:space="preserve"> </v>
      </c>
      <c r="C27" s="921"/>
      <c r="D27" s="921"/>
      <c r="E27" s="923"/>
      <c r="F27" s="922"/>
      <c r="G27" s="916"/>
      <c r="H27" s="917">
        <f t="shared" si="1"/>
        <v>0</v>
      </c>
      <c r="I27" s="916"/>
      <c r="J27" s="917">
        <f t="shared" si="2"/>
        <v>0</v>
      </c>
      <c r="K27" s="916"/>
      <c r="L27" s="917">
        <f t="shared" si="3"/>
        <v>0</v>
      </c>
      <c r="M27" s="950"/>
      <c r="N27" s="951"/>
      <c r="O27" s="951"/>
      <c r="P27" s="951"/>
      <c r="Q27" s="951"/>
      <c r="R27" s="951"/>
      <c r="S27" s="951"/>
      <c r="T27" s="951"/>
      <c r="U27" s="951"/>
      <c r="V27" s="951"/>
      <c r="W27" s="951"/>
      <c r="X27" s="951"/>
      <c r="Y27" s="951"/>
      <c r="Z27" s="951"/>
      <c r="AA27" s="951"/>
      <c r="AB27" s="957">
        <f t="shared" si="4"/>
        <v>0</v>
      </c>
      <c r="AC27" s="44"/>
      <c r="AD27" s="1181"/>
      <c r="AE27" s="1182">
        <v>0</v>
      </c>
      <c r="AF27" s="1182"/>
      <c r="AG27" s="1182"/>
      <c r="AH27" s="1182"/>
      <c r="AI27" s="1182"/>
      <c r="AJ27" s="1182"/>
      <c r="AK27" s="1182"/>
      <c r="AL27" s="1182"/>
      <c r="AM27" s="1182"/>
      <c r="AN27" s="1182"/>
      <c r="AO27" s="1182"/>
      <c r="AP27" s="1182"/>
      <c r="AQ27" s="1182"/>
      <c r="AR27" s="1182"/>
      <c r="AS27" s="1187"/>
      <c r="AT27" s="556"/>
    </row>
    <row r="28" spans="1:46" ht="15" customHeight="1" x14ac:dyDescent="0.45">
      <c r="A28" s="1170"/>
      <c r="B28" s="944" t="str">
        <f t="shared" si="0"/>
        <v xml:space="preserve"> </v>
      </c>
      <c r="C28" s="921"/>
      <c r="D28" s="921"/>
      <c r="E28" s="923"/>
      <c r="F28" s="922"/>
      <c r="G28" s="916"/>
      <c r="H28" s="917">
        <f t="shared" si="1"/>
        <v>0</v>
      </c>
      <c r="I28" s="916"/>
      <c r="J28" s="917">
        <f t="shared" si="2"/>
        <v>0</v>
      </c>
      <c r="K28" s="916"/>
      <c r="L28" s="917">
        <f t="shared" si="3"/>
        <v>0</v>
      </c>
      <c r="M28" s="952"/>
      <c r="N28" s="953"/>
      <c r="O28" s="953"/>
      <c r="P28" s="953"/>
      <c r="Q28" s="953"/>
      <c r="R28" s="953"/>
      <c r="S28" s="953"/>
      <c r="T28" s="953"/>
      <c r="U28" s="953"/>
      <c r="V28" s="953"/>
      <c r="W28" s="953"/>
      <c r="X28" s="953"/>
      <c r="Y28" s="953"/>
      <c r="Z28" s="953"/>
      <c r="AA28" s="953"/>
      <c r="AB28" s="957">
        <f t="shared" si="4"/>
        <v>0</v>
      </c>
      <c r="AC28" s="44"/>
      <c r="AD28" s="1181"/>
      <c r="AE28" s="1182"/>
      <c r="AF28" s="1182"/>
      <c r="AG28" s="1182"/>
      <c r="AH28" s="1182"/>
      <c r="AI28" s="1182"/>
      <c r="AJ28" s="1182"/>
      <c r="AK28" s="1182"/>
      <c r="AL28" s="1182"/>
      <c r="AM28" s="1182"/>
      <c r="AN28" s="1182"/>
      <c r="AO28" s="1182"/>
      <c r="AP28" s="1182"/>
      <c r="AQ28" s="1182"/>
      <c r="AR28" s="1182"/>
      <c r="AS28" s="1187"/>
      <c r="AT28" s="556"/>
    </row>
    <row r="29" spans="1:46" ht="15" customHeight="1" x14ac:dyDescent="0.45">
      <c r="A29" s="1170"/>
      <c r="B29" s="944" t="str">
        <f t="shared" si="0"/>
        <v xml:space="preserve"> </v>
      </c>
      <c r="C29" s="921"/>
      <c r="D29" s="921"/>
      <c r="E29" s="923"/>
      <c r="F29" s="922"/>
      <c r="G29" s="916"/>
      <c r="H29" s="917">
        <f t="shared" si="1"/>
        <v>0</v>
      </c>
      <c r="I29" s="916"/>
      <c r="J29" s="917">
        <f t="shared" si="2"/>
        <v>0</v>
      </c>
      <c r="K29" s="916"/>
      <c r="L29" s="917">
        <f t="shared" si="3"/>
        <v>0</v>
      </c>
      <c r="M29" s="950"/>
      <c r="N29" s="951"/>
      <c r="O29" s="951"/>
      <c r="P29" s="951"/>
      <c r="Q29" s="951"/>
      <c r="R29" s="951"/>
      <c r="S29" s="951"/>
      <c r="T29" s="951"/>
      <c r="U29" s="951"/>
      <c r="V29" s="951"/>
      <c r="W29" s="951"/>
      <c r="X29" s="951"/>
      <c r="Y29" s="951"/>
      <c r="Z29" s="951"/>
      <c r="AA29" s="951"/>
      <c r="AB29" s="957">
        <f t="shared" si="4"/>
        <v>0</v>
      </c>
      <c r="AC29" s="44"/>
      <c r="AD29" s="1181"/>
      <c r="AE29" s="1182"/>
      <c r="AF29" s="1182"/>
      <c r="AG29" s="1182"/>
      <c r="AH29" s="1182"/>
      <c r="AI29" s="1182"/>
      <c r="AJ29" s="1182"/>
      <c r="AK29" s="1182"/>
      <c r="AL29" s="1182"/>
      <c r="AM29" s="1182"/>
      <c r="AN29" s="1182"/>
      <c r="AO29" s="1182"/>
      <c r="AP29" s="1182"/>
      <c r="AQ29" s="1182"/>
      <c r="AR29" s="1182"/>
      <c r="AS29" s="1187"/>
      <c r="AT29" s="556"/>
    </row>
    <row r="30" spans="1:46" ht="15" customHeight="1" x14ac:dyDescent="0.45">
      <c r="A30" s="1170"/>
      <c r="B30" s="944" t="str">
        <f t="shared" si="0"/>
        <v xml:space="preserve"> </v>
      </c>
      <c r="C30" s="921"/>
      <c r="D30" s="921"/>
      <c r="E30" s="923"/>
      <c r="F30" s="922"/>
      <c r="G30" s="916"/>
      <c r="H30" s="917">
        <f t="shared" si="1"/>
        <v>0</v>
      </c>
      <c r="I30" s="916"/>
      <c r="J30" s="917">
        <f t="shared" si="2"/>
        <v>0</v>
      </c>
      <c r="K30" s="916"/>
      <c r="L30" s="917">
        <f t="shared" si="3"/>
        <v>0</v>
      </c>
      <c r="M30" s="952"/>
      <c r="N30" s="953"/>
      <c r="O30" s="953"/>
      <c r="P30" s="953"/>
      <c r="Q30" s="953"/>
      <c r="R30" s="953"/>
      <c r="S30" s="953"/>
      <c r="T30" s="953"/>
      <c r="U30" s="953"/>
      <c r="V30" s="953"/>
      <c r="W30" s="953"/>
      <c r="X30" s="953"/>
      <c r="Y30" s="953"/>
      <c r="Z30" s="953"/>
      <c r="AA30" s="953"/>
      <c r="AB30" s="957">
        <f t="shared" si="4"/>
        <v>0</v>
      </c>
      <c r="AC30" s="44"/>
      <c r="AD30" s="1181"/>
      <c r="AE30" s="1182"/>
      <c r="AF30" s="1182"/>
      <c r="AG30" s="1182"/>
      <c r="AH30" s="1182"/>
      <c r="AI30" s="1182"/>
      <c r="AJ30" s="1182"/>
      <c r="AK30" s="1182"/>
      <c r="AL30" s="1182"/>
      <c r="AM30" s="1182"/>
      <c r="AN30" s="1182"/>
      <c r="AO30" s="1182"/>
      <c r="AP30" s="1182"/>
      <c r="AQ30" s="1182"/>
      <c r="AR30" s="1182"/>
      <c r="AS30" s="1187"/>
      <c r="AT30" s="556"/>
    </row>
    <row r="31" spans="1:46" ht="15" customHeight="1" x14ac:dyDescent="0.45">
      <c r="A31" s="1170"/>
      <c r="B31" s="944" t="str">
        <f t="shared" si="0"/>
        <v xml:space="preserve"> </v>
      </c>
      <c r="C31" s="921"/>
      <c r="D31" s="921"/>
      <c r="E31" s="923"/>
      <c r="F31" s="922"/>
      <c r="G31" s="916"/>
      <c r="H31" s="917">
        <f t="shared" si="1"/>
        <v>0</v>
      </c>
      <c r="I31" s="916"/>
      <c r="J31" s="917">
        <f t="shared" si="2"/>
        <v>0</v>
      </c>
      <c r="K31" s="916"/>
      <c r="L31" s="917">
        <f t="shared" si="3"/>
        <v>0</v>
      </c>
      <c r="M31" s="950"/>
      <c r="N31" s="951"/>
      <c r="O31" s="951"/>
      <c r="P31" s="951"/>
      <c r="Q31" s="951"/>
      <c r="R31" s="951"/>
      <c r="S31" s="951"/>
      <c r="T31" s="951"/>
      <c r="U31" s="951"/>
      <c r="V31" s="951"/>
      <c r="W31" s="951"/>
      <c r="X31" s="951"/>
      <c r="Y31" s="951"/>
      <c r="Z31" s="951"/>
      <c r="AA31" s="951"/>
      <c r="AB31" s="957">
        <f t="shared" si="4"/>
        <v>0</v>
      </c>
      <c r="AC31" s="44"/>
      <c r="AD31" s="1181"/>
      <c r="AE31" s="1182"/>
      <c r="AF31" s="1182"/>
      <c r="AG31" s="1182"/>
      <c r="AH31" s="1182"/>
      <c r="AI31" s="1182"/>
      <c r="AJ31" s="1182"/>
      <c r="AK31" s="1182"/>
      <c r="AL31" s="1182"/>
      <c r="AM31" s="1182"/>
      <c r="AN31" s="1182"/>
      <c r="AO31" s="1182"/>
      <c r="AP31" s="1182"/>
      <c r="AQ31" s="1182"/>
      <c r="AR31" s="1182"/>
      <c r="AS31" s="1187"/>
      <c r="AT31" s="556"/>
    </row>
    <row r="32" spans="1:46" ht="15" customHeight="1" x14ac:dyDescent="0.45">
      <c r="A32" s="1170"/>
      <c r="B32" s="944" t="str">
        <f t="shared" si="0"/>
        <v xml:space="preserve"> </v>
      </c>
      <c r="C32" s="921"/>
      <c r="D32" s="921"/>
      <c r="E32" s="923"/>
      <c r="F32" s="922"/>
      <c r="G32" s="916"/>
      <c r="H32" s="917">
        <f t="shared" si="1"/>
        <v>0</v>
      </c>
      <c r="I32" s="916"/>
      <c r="J32" s="917">
        <f t="shared" si="2"/>
        <v>0</v>
      </c>
      <c r="K32" s="916"/>
      <c r="L32" s="917">
        <f t="shared" si="3"/>
        <v>0</v>
      </c>
      <c r="M32" s="952"/>
      <c r="N32" s="953"/>
      <c r="O32" s="953"/>
      <c r="P32" s="953"/>
      <c r="Q32" s="953"/>
      <c r="R32" s="953"/>
      <c r="S32" s="953"/>
      <c r="T32" s="953"/>
      <c r="U32" s="953"/>
      <c r="V32" s="953"/>
      <c r="W32" s="953"/>
      <c r="X32" s="953"/>
      <c r="Y32" s="953"/>
      <c r="Z32" s="953"/>
      <c r="AA32" s="953"/>
      <c r="AB32" s="957">
        <f t="shared" si="4"/>
        <v>0</v>
      </c>
      <c r="AC32" s="44"/>
      <c r="AD32" s="1181"/>
      <c r="AE32" s="1182"/>
      <c r="AF32" s="1182"/>
      <c r="AG32" s="1182"/>
      <c r="AH32" s="1182"/>
      <c r="AI32" s="1182"/>
      <c r="AJ32" s="1182"/>
      <c r="AK32" s="1182"/>
      <c r="AL32" s="1182"/>
      <c r="AM32" s="1182"/>
      <c r="AN32" s="1182"/>
      <c r="AO32" s="1182"/>
      <c r="AP32" s="1182"/>
      <c r="AQ32" s="1182"/>
      <c r="AR32" s="1182"/>
      <c r="AS32" s="1187"/>
      <c r="AT32" s="556"/>
    </row>
    <row r="33" spans="1:46" ht="15" customHeight="1" x14ac:dyDescent="0.45">
      <c r="A33" s="1170"/>
      <c r="B33" s="944" t="str">
        <f t="shared" si="0"/>
        <v xml:space="preserve"> </v>
      </c>
      <c r="C33" s="921"/>
      <c r="D33" s="921"/>
      <c r="E33" s="923"/>
      <c r="F33" s="922"/>
      <c r="G33" s="935"/>
      <c r="H33" s="917">
        <f t="shared" si="1"/>
        <v>0</v>
      </c>
      <c r="I33" s="935"/>
      <c r="J33" s="917">
        <f t="shared" si="2"/>
        <v>0</v>
      </c>
      <c r="K33" s="935"/>
      <c r="L33" s="917">
        <f t="shared" si="3"/>
        <v>0</v>
      </c>
      <c r="M33" s="950"/>
      <c r="N33" s="951"/>
      <c r="O33" s="951"/>
      <c r="P33" s="951"/>
      <c r="Q33" s="951"/>
      <c r="R33" s="951"/>
      <c r="S33" s="951"/>
      <c r="T33" s="951"/>
      <c r="U33" s="951"/>
      <c r="V33" s="951"/>
      <c r="W33" s="951"/>
      <c r="X33" s="951"/>
      <c r="Y33" s="951"/>
      <c r="Z33" s="951"/>
      <c r="AA33" s="951"/>
      <c r="AB33" s="957">
        <f t="shared" si="4"/>
        <v>0</v>
      </c>
      <c r="AC33" s="44"/>
      <c r="AD33" s="1181"/>
      <c r="AE33" s="1182"/>
      <c r="AF33" s="1182"/>
      <c r="AG33" s="1182"/>
      <c r="AH33" s="1182"/>
      <c r="AI33" s="1182"/>
      <c r="AJ33" s="1182"/>
      <c r="AK33" s="1182"/>
      <c r="AL33" s="1182"/>
      <c r="AM33" s="1182"/>
      <c r="AN33" s="1182"/>
      <c r="AO33" s="1182"/>
      <c r="AP33" s="1182"/>
      <c r="AQ33" s="1182"/>
      <c r="AR33" s="1182"/>
      <c r="AS33" s="1187"/>
      <c r="AT33" s="556"/>
    </row>
    <row r="34" spans="1:46" ht="15" customHeight="1" x14ac:dyDescent="0.45">
      <c r="A34" s="1170"/>
      <c r="B34" s="944" t="str">
        <f t="shared" si="0"/>
        <v xml:space="preserve"> </v>
      </c>
      <c r="C34" s="921"/>
      <c r="D34" s="921"/>
      <c r="E34" s="923"/>
      <c r="F34" s="922"/>
      <c r="G34" s="916"/>
      <c r="H34" s="917">
        <f t="shared" si="1"/>
        <v>0</v>
      </c>
      <c r="I34" s="916"/>
      <c r="J34" s="917">
        <f t="shared" si="2"/>
        <v>0</v>
      </c>
      <c r="K34" s="916"/>
      <c r="L34" s="917">
        <f t="shared" si="3"/>
        <v>0</v>
      </c>
      <c r="M34" s="952"/>
      <c r="N34" s="953"/>
      <c r="O34" s="953"/>
      <c r="P34" s="953"/>
      <c r="Q34" s="953"/>
      <c r="R34" s="953"/>
      <c r="S34" s="953"/>
      <c r="T34" s="953"/>
      <c r="U34" s="953"/>
      <c r="V34" s="953"/>
      <c r="W34" s="953"/>
      <c r="X34" s="953"/>
      <c r="Y34" s="953"/>
      <c r="Z34" s="953"/>
      <c r="AA34" s="953"/>
      <c r="AB34" s="957">
        <f t="shared" si="4"/>
        <v>0</v>
      </c>
      <c r="AC34" s="44"/>
      <c r="AD34" s="1181"/>
      <c r="AE34" s="1182"/>
      <c r="AF34" s="1182"/>
      <c r="AG34" s="1182"/>
      <c r="AH34" s="1182"/>
      <c r="AI34" s="1182"/>
      <c r="AJ34" s="1182"/>
      <c r="AK34" s="1182"/>
      <c r="AL34" s="1182"/>
      <c r="AM34" s="1182"/>
      <c r="AN34" s="1182"/>
      <c r="AO34" s="1182"/>
      <c r="AP34" s="1182"/>
      <c r="AQ34" s="1182"/>
      <c r="AR34" s="1182"/>
      <c r="AS34" s="1187"/>
      <c r="AT34" s="556"/>
    </row>
    <row r="35" spans="1:46" ht="15" customHeight="1" x14ac:dyDescent="0.45">
      <c r="A35" s="1170"/>
      <c r="B35" s="944" t="str">
        <f t="shared" si="0"/>
        <v xml:space="preserve"> </v>
      </c>
      <c r="C35" s="921"/>
      <c r="D35" s="921"/>
      <c r="E35" s="923"/>
      <c r="F35" s="922"/>
      <c r="G35" s="916"/>
      <c r="H35" s="917">
        <f t="shared" si="1"/>
        <v>0</v>
      </c>
      <c r="I35" s="916"/>
      <c r="J35" s="917">
        <f t="shared" si="2"/>
        <v>0</v>
      </c>
      <c r="K35" s="916"/>
      <c r="L35" s="917">
        <f t="shared" si="3"/>
        <v>0</v>
      </c>
      <c r="M35" s="950"/>
      <c r="N35" s="951"/>
      <c r="O35" s="951"/>
      <c r="P35" s="951"/>
      <c r="Q35" s="951"/>
      <c r="R35" s="951"/>
      <c r="S35" s="951"/>
      <c r="T35" s="951"/>
      <c r="U35" s="951"/>
      <c r="V35" s="951"/>
      <c r="W35" s="951"/>
      <c r="X35" s="951"/>
      <c r="Y35" s="951"/>
      <c r="Z35" s="951"/>
      <c r="AA35" s="954"/>
      <c r="AB35" s="957">
        <f t="shared" si="4"/>
        <v>0</v>
      </c>
      <c r="AC35" s="44"/>
      <c r="AD35" s="1181"/>
      <c r="AE35" s="1182"/>
      <c r="AF35" s="1182"/>
      <c r="AG35" s="1182"/>
      <c r="AH35" s="1182"/>
      <c r="AI35" s="1182"/>
      <c r="AJ35" s="1182"/>
      <c r="AK35" s="1182"/>
      <c r="AL35" s="1182"/>
      <c r="AM35" s="1182"/>
      <c r="AN35" s="1182"/>
      <c r="AO35" s="1182"/>
      <c r="AP35" s="1182"/>
      <c r="AQ35" s="1182"/>
      <c r="AR35" s="1182"/>
      <c r="AS35" s="1187"/>
      <c r="AT35" s="556"/>
    </row>
    <row r="36" spans="1:46" ht="15" customHeight="1" x14ac:dyDescent="0.45">
      <c r="A36" s="1170"/>
      <c r="B36" s="944" t="str">
        <f t="shared" si="0"/>
        <v xml:space="preserve"> </v>
      </c>
      <c r="C36" s="921"/>
      <c r="D36" s="921"/>
      <c r="E36" s="923"/>
      <c r="F36" s="922"/>
      <c r="G36" s="916"/>
      <c r="H36" s="917">
        <f t="shared" si="1"/>
        <v>0</v>
      </c>
      <c r="I36" s="916"/>
      <c r="J36" s="917">
        <f t="shared" si="2"/>
        <v>0</v>
      </c>
      <c r="K36" s="916"/>
      <c r="L36" s="917">
        <f t="shared" si="3"/>
        <v>0</v>
      </c>
      <c r="M36" s="952"/>
      <c r="N36" s="953"/>
      <c r="O36" s="953"/>
      <c r="P36" s="953"/>
      <c r="Q36" s="953"/>
      <c r="R36" s="953"/>
      <c r="S36" s="953"/>
      <c r="T36" s="953"/>
      <c r="U36" s="953"/>
      <c r="V36" s="953"/>
      <c r="W36" s="953"/>
      <c r="X36" s="953"/>
      <c r="Y36" s="953"/>
      <c r="Z36" s="953"/>
      <c r="AA36" s="953"/>
      <c r="AB36" s="957">
        <f t="shared" si="4"/>
        <v>0</v>
      </c>
      <c r="AC36" s="44"/>
      <c r="AD36" s="1181"/>
      <c r="AE36" s="1182"/>
      <c r="AF36" s="1182"/>
      <c r="AG36" s="1182"/>
      <c r="AH36" s="1182"/>
      <c r="AI36" s="1182"/>
      <c r="AJ36" s="1182"/>
      <c r="AK36" s="1182"/>
      <c r="AL36" s="1182"/>
      <c r="AM36" s="1182"/>
      <c r="AN36" s="1182"/>
      <c r="AO36" s="1182"/>
      <c r="AP36" s="1182"/>
      <c r="AQ36" s="1182"/>
      <c r="AR36" s="1182"/>
      <c r="AS36" s="1187"/>
      <c r="AT36" s="556"/>
    </row>
    <row r="37" spans="1:46" ht="15" customHeight="1" x14ac:dyDescent="0.45">
      <c r="A37" s="1170"/>
      <c r="B37" s="944" t="str">
        <f t="shared" si="0"/>
        <v xml:space="preserve"> </v>
      </c>
      <c r="C37" s="921"/>
      <c r="D37" s="921"/>
      <c r="E37" s="923"/>
      <c r="F37" s="922"/>
      <c r="G37" s="916"/>
      <c r="H37" s="917">
        <f t="shared" si="1"/>
        <v>0</v>
      </c>
      <c r="I37" s="916"/>
      <c r="J37" s="917">
        <f t="shared" si="2"/>
        <v>0</v>
      </c>
      <c r="K37" s="916"/>
      <c r="L37" s="917">
        <f t="shared" si="3"/>
        <v>0</v>
      </c>
      <c r="M37" s="950"/>
      <c r="N37" s="951"/>
      <c r="O37" s="951"/>
      <c r="P37" s="951"/>
      <c r="Q37" s="951"/>
      <c r="R37" s="951"/>
      <c r="S37" s="951"/>
      <c r="T37" s="951"/>
      <c r="U37" s="951"/>
      <c r="V37" s="951"/>
      <c r="W37" s="951"/>
      <c r="X37" s="951"/>
      <c r="Y37" s="951"/>
      <c r="Z37" s="951"/>
      <c r="AA37" s="954"/>
      <c r="AB37" s="957">
        <f t="shared" si="4"/>
        <v>0</v>
      </c>
      <c r="AC37" s="44"/>
      <c r="AD37" s="1181"/>
      <c r="AE37" s="1182"/>
      <c r="AF37" s="1182"/>
      <c r="AG37" s="1182"/>
      <c r="AH37" s="1182"/>
      <c r="AI37" s="1182"/>
      <c r="AJ37" s="1182"/>
      <c r="AK37" s="1182"/>
      <c r="AL37" s="1182"/>
      <c r="AM37" s="1182"/>
      <c r="AN37" s="1182"/>
      <c r="AO37" s="1182"/>
      <c r="AP37" s="1182"/>
      <c r="AQ37" s="1182"/>
      <c r="AR37" s="1182"/>
      <c r="AS37" s="1187"/>
      <c r="AT37" s="556"/>
    </row>
    <row r="38" spans="1:46" ht="15" customHeight="1" x14ac:dyDescent="0.45">
      <c r="A38" s="1170"/>
      <c r="B38" s="944" t="str">
        <f t="shared" si="0"/>
        <v xml:space="preserve"> </v>
      </c>
      <c r="C38" s="921"/>
      <c r="D38" s="921"/>
      <c r="E38" s="923"/>
      <c r="F38" s="922"/>
      <c r="G38" s="916"/>
      <c r="H38" s="917">
        <f t="shared" si="1"/>
        <v>0</v>
      </c>
      <c r="I38" s="916"/>
      <c r="J38" s="917">
        <f t="shared" si="2"/>
        <v>0</v>
      </c>
      <c r="K38" s="916"/>
      <c r="L38" s="917">
        <f t="shared" si="3"/>
        <v>0</v>
      </c>
      <c r="M38" s="955"/>
      <c r="N38" s="956"/>
      <c r="O38" s="956"/>
      <c r="P38" s="956"/>
      <c r="Q38" s="956"/>
      <c r="R38" s="956"/>
      <c r="S38" s="956"/>
      <c r="T38" s="956"/>
      <c r="U38" s="956"/>
      <c r="V38" s="956"/>
      <c r="W38" s="956"/>
      <c r="X38" s="956"/>
      <c r="Y38" s="956"/>
      <c r="Z38" s="956"/>
      <c r="AA38" s="956"/>
      <c r="AB38" s="957">
        <f t="shared" si="4"/>
        <v>0</v>
      </c>
      <c r="AC38" s="44"/>
      <c r="AD38" s="1181"/>
      <c r="AE38" s="1182"/>
      <c r="AF38" s="1182"/>
      <c r="AG38" s="1182"/>
      <c r="AH38" s="1182"/>
      <c r="AI38" s="1182"/>
      <c r="AJ38" s="1182"/>
      <c r="AK38" s="1182"/>
      <c r="AL38" s="1182"/>
      <c r="AM38" s="1182"/>
      <c r="AN38" s="1182"/>
      <c r="AO38" s="1182"/>
      <c r="AP38" s="1182"/>
      <c r="AQ38" s="1182"/>
      <c r="AR38" s="1182"/>
      <c r="AS38" s="1187"/>
      <c r="AT38" s="556"/>
    </row>
    <row r="39" spans="1:46" ht="15" customHeight="1" x14ac:dyDescent="0.45">
      <c r="A39" s="1170"/>
      <c r="B39" s="944" t="str">
        <f t="shared" si="0"/>
        <v xml:space="preserve"> </v>
      </c>
      <c r="C39" s="921"/>
      <c r="D39" s="921"/>
      <c r="E39" s="923"/>
      <c r="F39" s="922"/>
      <c r="G39" s="916"/>
      <c r="H39" s="917">
        <f t="shared" si="1"/>
        <v>0</v>
      </c>
      <c r="I39" s="916"/>
      <c r="J39" s="917">
        <f t="shared" si="2"/>
        <v>0</v>
      </c>
      <c r="K39" s="916"/>
      <c r="L39" s="917">
        <f t="shared" si="3"/>
        <v>0</v>
      </c>
      <c r="M39" s="955"/>
      <c r="N39" s="956"/>
      <c r="O39" s="956"/>
      <c r="P39" s="956"/>
      <c r="Q39" s="956"/>
      <c r="R39" s="956"/>
      <c r="S39" s="956"/>
      <c r="T39" s="956"/>
      <c r="U39" s="956"/>
      <c r="V39" s="956"/>
      <c r="W39" s="956"/>
      <c r="X39" s="956"/>
      <c r="Y39" s="956"/>
      <c r="Z39" s="956"/>
      <c r="AA39" s="956"/>
      <c r="AB39" s="957">
        <f t="shared" ref="AB39:AB49" si="5">COUNTA(M39:AA39)</f>
        <v>0</v>
      </c>
      <c r="AC39" s="562"/>
      <c r="AD39" s="1181"/>
      <c r="AE39" s="1188"/>
      <c r="AF39" s="1188"/>
      <c r="AG39" s="1188"/>
      <c r="AH39" s="1188"/>
      <c r="AI39" s="1188"/>
      <c r="AJ39" s="1188"/>
      <c r="AK39" s="1188"/>
      <c r="AL39" s="1188"/>
      <c r="AM39" s="1188"/>
      <c r="AN39" s="1188"/>
      <c r="AO39" s="1188"/>
      <c r="AP39" s="1188"/>
      <c r="AQ39" s="1188"/>
      <c r="AR39" s="1188"/>
      <c r="AS39" s="1189"/>
      <c r="AT39" s="556"/>
    </row>
    <row r="40" spans="1:46" ht="15" customHeight="1" x14ac:dyDescent="0.45">
      <c r="A40" s="1170"/>
      <c r="B40" s="944" t="str">
        <f t="shared" si="0"/>
        <v xml:space="preserve"> </v>
      </c>
      <c r="C40" s="921"/>
      <c r="D40" s="921"/>
      <c r="E40" s="923"/>
      <c r="F40" s="922"/>
      <c r="G40" s="916"/>
      <c r="H40" s="917">
        <f t="shared" si="1"/>
        <v>0</v>
      </c>
      <c r="I40" s="916"/>
      <c r="J40" s="917">
        <f t="shared" si="2"/>
        <v>0</v>
      </c>
      <c r="K40" s="916"/>
      <c r="L40" s="917">
        <f t="shared" si="3"/>
        <v>0</v>
      </c>
      <c r="M40" s="955"/>
      <c r="N40" s="956"/>
      <c r="O40" s="956"/>
      <c r="P40" s="956"/>
      <c r="Q40" s="956"/>
      <c r="R40" s="956"/>
      <c r="S40" s="956"/>
      <c r="T40" s="956"/>
      <c r="U40" s="956"/>
      <c r="V40" s="956"/>
      <c r="W40" s="956"/>
      <c r="X40" s="956"/>
      <c r="Y40" s="956"/>
      <c r="Z40" s="956"/>
      <c r="AA40" s="956"/>
      <c r="AB40" s="957">
        <f t="shared" si="5"/>
        <v>0</v>
      </c>
      <c r="AC40" s="556"/>
      <c r="AD40" s="1181"/>
      <c r="AE40" s="1188"/>
      <c r="AF40" s="1188"/>
      <c r="AG40" s="1188"/>
      <c r="AH40" s="1188"/>
      <c r="AI40" s="1188"/>
      <c r="AJ40" s="1188"/>
      <c r="AK40" s="1188"/>
      <c r="AL40" s="1188"/>
      <c r="AM40" s="1188"/>
      <c r="AN40" s="1188"/>
      <c r="AO40" s="1188"/>
      <c r="AP40" s="1188"/>
      <c r="AQ40" s="1188"/>
      <c r="AR40" s="1188"/>
      <c r="AS40" s="1189"/>
      <c r="AT40" s="556"/>
    </row>
    <row r="41" spans="1:46" ht="15" customHeight="1" x14ac:dyDescent="0.45">
      <c r="A41" s="1170"/>
      <c r="B41" s="944" t="str">
        <f t="shared" si="0"/>
        <v xml:space="preserve"> </v>
      </c>
      <c r="C41" s="921"/>
      <c r="D41" s="921"/>
      <c r="E41" s="923"/>
      <c r="F41" s="922"/>
      <c r="G41" s="916"/>
      <c r="H41" s="917">
        <f t="shared" si="1"/>
        <v>0</v>
      </c>
      <c r="I41" s="916"/>
      <c r="J41" s="917">
        <f t="shared" si="2"/>
        <v>0</v>
      </c>
      <c r="K41" s="916"/>
      <c r="L41" s="917">
        <f t="shared" si="3"/>
        <v>0</v>
      </c>
      <c r="M41" s="955"/>
      <c r="N41" s="956"/>
      <c r="O41" s="956"/>
      <c r="P41" s="956"/>
      <c r="Q41" s="956"/>
      <c r="R41" s="956"/>
      <c r="S41" s="956"/>
      <c r="T41" s="956"/>
      <c r="U41" s="956"/>
      <c r="V41" s="956"/>
      <c r="W41" s="956"/>
      <c r="X41" s="956"/>
      <c r="Y41" s="956"/>
      <c r="Z41" s="956"/>
      <c r="AA41" s="956"/>
      <c r="AB41" s="957">
        <f t="shared" si="5"/>
        <v>0</v>
      </c>
      <c r="AC41" s="556"/>
      <c r="AD41" s="1181"/>
      <c r="AE41" s="1188"/>
      <c r="AF41" s="1188"/>
      <c r="AG41" s="1188"/>
      <c r="AH41" s="1188"/>
      <c r="AI41" s="1188"/>
      <c r="AJ41" s="1188"/>
      <c r="AK41" s="1188"/>
      <c r="AL41" s="1188"/>
      <c r="AM41" s="1188"/>
      <c r="AN41" s="1188"/>
      <c r="AO41" s="1188"/>
      <c r="AP41" s="1188"/>
      <c r="AQ41" s="1188"/>
      <c r="AR41" s="1188"/>
      <c r="AS41" s="1189"/>
      <c r="AT41" s="556"/>
    </row>
    <row r="42" spans="1:46" ht="15" customHeight="1" x14ac:dyDescent="0.45">
      <c r="A42" s="1170"/>
      <c r="B42" s="944" t="str">
        <f t="shared" si="0"/>
        <v xml:space="preserve"> </v>
      </c>
      <c r="C42" s="921"/>
      <c r="D42" s="921"/>
      <c r="E42" s="923"/>
      <c r="F42" s="922"/>
      <c r="G42" s="916"/>
      <c r="H42" s="917">
        <f t="shared" si="1"/>
        <v>0</v>
      </c>
      <c r="I42" s="916"/>
      <c r="J42" s="917">
        <f t="shared" si="2"/>
        <v>0</v>
      </c>
      <c r="K42" s="916"/>
      <c r="L42" s="917">
        <f t="shared" si="3"/>
        <v>0</v>
      </c>
      <c r="M42" s="955"/>
      <c r="N42" s="956"/>
      <c r="O42" s="956"/>
      <c r="P42" s="956"/>
      <c r="Q42" s="956"/>
      <c r="R42" s="956"/>
      <c r="S42" s="956"/>
      <c r="T42" s="956"/>
      <c r="U42" s="956"/>
      <c r="V42" s="956"/>
      <c r="W42" s="956"/>
      <c r="X42" s="956"/>
      <c r="Y42" s="956"/>
      <c r="Z42" s="956"/>
      <c r="AA42" s="956"/>
      <c r="AB42" s="957">
        <f t="shared" si="5"/>
        <v>0</v>
      </c>
      <c r="AC42" s="556"/>
      <c r="AD42" s="1181"/>
      <c r="AE42" s="1188"/>
      <c r="AF42" s="1188"/>
      <c r="AG42" s="1188"/>
      <c r="AH42" s="1188"/>
      <c r="AI42" s="1188"/>
      <c r="AJ42" s="1188"/>
      <c r="AK42" s="1188"/>
      <c r="AL42" s="1188"/>
      <c r="AM42" s="1188"/>
      <c r="AN42" s="1188"/>
      <c r="AO42" s="1188"/>
      <c r="AP42" s="1188"/>
      <c r="AQ42" s="1188"/>
      <c r="AR42" s="1188"/>
      <c r="AS42" s="1189"/>
      <c r="AT42" s="556"/>
    </row>
    <row r="43" spans="1:46" ht="15" customHeight="1" x14ac:dyDescent="0.45">
      <c r="A43" s="1170"/>
      <c r="B43" s="944" t="str">
        <f t="shared" si="0"/>
        <v xml:space="preserve"> </v>
      </c>
      <c r="C43" s="921"/>
      <c r="D43" s="921"/>
      <c r="E43" s="923"/>
      <c r="F43" s="922"/>
      <c r="G43" s="916"/>
      <c r="H43" s="917">
        <f t="shared" si="1"/>
        <v>0</v>
      </c>
      <c r="I43" s="916"/>
      <c r="J43" s="917">
        <f t="shared" si="2"/>
        <v>0</v>
      </c>
      <c r="K43" s="916"/>
      <c r="L43" s="917">
        <f t="shared" si="3"/>
        <v>0</v>
      </c>
      <c r="M43" s="955"/>
      <c r="N43" s="956"/>
      <c r="O43" s="956"/>
      <c r="P43" s="956"/>
      <c r="Q43" s="956"/>
      <c r="R43" s="956"/>
      <c r="S43" s="956"/>
      <c r="T43" s="956"/>
      <c r="U43" s="956"/>
      <c r="V43" s="956"/>
      <c r="W43" s="956"/>
      <c r="X43" s="956"/>
      <c r="Y43" s="956"/>
      <c r="Z43" s="956"/>
      <c r="AA43" s="956"/>
      <c r="AB43" s="957">
        <f t="shared" si="5"/>
        <v>0</v>
      </c>
      <c r="AC43" s="556"/>
      <c r="AD43" s="1181"/>
      <c r="AE43" s="1188"/>
      <c r="AF43" s="1188"/>
      <c r="AG43" s="1188"/>
      <c r="AH43" s="1188"/>
      <c r="AI43" s="1188"/>
      <c r="AJ43" s="1188"/>
      <c r="AK43" s="1188"/>
      <c r="AL43" s="1188"/>
      <c r="AM43" s="1188"/>
      <c r="AN43" s="1188"/>
      <c r="AO43" s="1188"/>
      <c r="AP43" s="1188"/>
      <c r="AQ43" s="1188"/>
      <c r="AR43" s="1188"/>
      <c r="AS43" s="1189"/>
      <c r="AT43" s="556"/>
    </row>
    <row r="44" spans="1:46" ht="15" customHeight="1" x14ac:dyDescent="0.45">
      <c r="A44" s="1170"/>
      <c r="B44" s="944" t="str">
        <f t="shared" si="0"/>
        <v xml:space="preserve"> </v>
      </c>
      <c r="C44" s="921"/>
      <c r="D44" s="921"/>
      <c r="E44" s="923"/>
      <c r="F44" s="922"/>
      <c r="G44" s="916"/>
      <c r="H44" s="917">
        <f t="shared" si="1"/>
        <v>0</v>
      </c>
      <c r="I44" s="916"/>
      <c r="J44" s="917">
        <f t="shared" si="2"/>
        <v>0</v>
      </c>
      <c r="K44" s="916"/>
      <c r="L44" s="917">
        <f t="shared" si="3"/>
        <v>0</v>
      </c>
      <c r="M44" s="955"/>
      <c r="N44" s="956"/>
      <c r="O44" s="956"/>
      <c r="P44" s="956"/>
      <c r="Q44" s="956"/>
      <c r="R44" s="956"/>
      <c r="S44" s="956"/>
      <c r="T44" s="956"/>
      <c r="U44" s="956"/>
      <c r="V44" s="956"/>
      <c r="W44" s="956"/>
      <c r="X44" s="956"/>
      <c r="Y44" s="956"/>
      <c r="Z44" s="956"/>
      <c r="AA44" s="956"/>
      <c r="AB44" s="957">
        <f t="shared" si="5"/>
        <v>0</v>
      </c>
      <c r="AC44" s="556"/>
      <c r="AD44" s="1181"/>
      <c r="AE44" s="1188"/>
      <c r="AF44" s="1188"/>
      <c r="AG44" s="1188"/>
      <c r="AH44" s="1188"/>
      <c r="AI44" s="1188"/>
      <c r="AJ44" s="1188"/>
      <c r="AK44" s="1188"/>
      <c r="AL44" s="1188"/>
      <c r="AM44" s="1188"/>
      <c r="AN44" s="1188"/>
      <c r="AO44" s="1188"/>
      <c r="AP44" s="1188"/>
      <c r="AQ44" s="1188"/>
      <c r="AR44" s="1188"/>
      <c r="AS44" s="1189"/>
      <c r="AT44" s="556"/>
    </row>
    <row r="45" spans="1:46" ht="15" customHeight="1" x14ac:dyDescent="0.45">
      <c r="A45" s="1170"/>
      <c r="B45" s="944" t="str">
        <f t="shared" si="0"/>
        <v xml:space="preserve"> </v>
      </c>
      <c r="C45" s="921"/>
      <c r="D45" s="921"/>
      <c r="E45" s="923"/>
      <c r="F45" s="922"/>
      <c r="G45" s="916"/>
      <c r="H45" s="917">
        <f t="shared" si="1"/>
        <v>0</v>
      </c>
      <c r="I45" s="916"/>
      <c r="J45" s="917">
        <f t="shared" si="2"/>
        <v>0</v>
      </c>
      <c r="K45" s="916"/>
      <c r="L45" s="917">
        <f t="shared" si="3"/>
        <v>0</v>
      </c>
      <c r="M45" s="955"/>
      <c r="N45" s="956"/>
      <c r="O45" s="956"/>
      <c r="P45" s="956"/>
      <c r="Q45" s="956"/>
      <c r="R45" s="956"/>
      <c r="S45" s="956"/>
      <c r="T45" s="956"/>
      <c r="U45" s="956"/>
      <c r="V45" s="956"/>
      <c r="W45" s="956"/>
      <c r="X45" s="956"/>
      <c r="Y45" s="956"/>
      <c r="Z45" s="956"/>
      <c r="AA45" s="956"/>
      <c r="AB45" s="957">
        <f t="shared" si="5"/>
        <v>0</v>
      </c>
      <c r="AC45" s="556"/>
      <c r="AD45" s="1181"/>
      <c r="AE45" s="1188"/>
      <c r="AF45" s="1188"/>
      <c r="AG45" s="1188"/>
      <c r="AH45" s="1188"/>
      <c r="AI45" s="1188"/>
      <c r="AJ45" s="1188"/>
      <c r="AK45" s="1188"/>
      <c r="AL45" s="1188"/>
      <c r="AM45" s="1188"/>
      <c r="AN45" s="1188"/>
      <c r="AO45" s="1188"/>
      <c r="AP45" s="1188"/>
      <c r="AQ45" s="1188"/>
      <c r="AR45" s="1188"/>
      <c r="AS45" s="1189"/>
      <c r="AT45" s="556"/>
    </row>
    <row r="46" spans="1:46" ht="15" customHeight="1" x14ac:dyDescent="0.45">
      <c r="A46" s="1170"/>
      <c r="B46" s="944" t="str">
        <f t="shared" si="0"/>
        <v xml:space="preserve"> </v>
      </c>
      <c r="C46" s="921"/>
      <c r="D46" s="921"/>
      <c r="E46" s="923"/>
      <c r="F46" s="922"/>
      <c r="G46" s="916"/>
      <c r="H46" s="917">
        <f t="shared" si="1"/>
        <v>0</v>
      </c>
      <c r="I46" s="916"/>
      <c r="J46" s="917">
        <f t="shared" si="2"/>
        <v>0</v>
      </c>
      <c r="K46" s="916"/>
      <c r="L46" s="917">
        <f t="shared" si="3"/>
        <v>0</v>
      </c>
      <c r="M46" s="955"/>
      <c r="N46" s="956"/>
      <c r="O46" s="956"/>
      <c r="P46" s="956"/>
      <c r="Q46" s="956"/>
      <c r="R46" s="956"/>
      <c r="S46" s="956"/>
      <c r="T46" s="956"/>
      <c r="U46" s="956"/>
      <c r="V46" s="956"/>
      <c r="W46" s="956"/>
      <c r="X46" s="956"/>
      <c r="Y46" s="956"/>
      <c r="Z46" s="956"/>
      <c r="AA46" s="956"/>
      <c r="AB46" s="957">
        <f t="shared" si="5"/>
        <v>0</v>
      </c>
      <c r="AC46" s="556"/>
      <c r="AD46" s="1181"/>
      <c r="AE46" s="1188"/>
      <c r="AF46" s="1188"/>
      <c r="AG46" s="1188"/>
      <c r="AH46" s="1188"/>
      <c r="AI46" s="1188"/>
      <c r="AJ46" s="1188"/>
      <c r="AK46" s="1188"/>
      <c r="AL46" s="1188"/>
      <c r="AM46" s="1188"/>
      <c r="AN46" s="1188"/>
      <c r="AO46" s="1188"/>
      <c r="AP46" s="1188"/>
      <c r="AQ46" s="1188"/>
      <c r="AR46" s="1188"/>
      <c r="AS46" s="1189"/>
      <c r="AT46" s="556"/>
    </row>
    <row r="47" spans="1:46" ht="15" customHeight="1" x14ac:dyDescent="0.45">
      <c r="A47" s="1170"/>
      <c r="B47" s="944" t="str">
        <f t="shared" si="0"/>
        <v xml:space="preserve"> </v>
      </c>
      <c r="C47" s="921"/>
      <c r="D47" s="921"/>
      <c r="E47" s="923"/>
      <c r="F47" s="922"/>
      <c r="G47" s="916"/>
      <c r="H47" s="917">
        <f t="shared" si="1"/>
        <v>0</v>
      </c>
      <c r="I47" s="916"/>
      <c r="J47" s="917">
        <f t="shared" si="2"/>
        <v>0</v>
      </c>
      <c r="K47" s="916"/>
      <c r="L47" s="917">
        <f t="shared" si="3"/>
        <v>0</v>
      </c>
      <c r="M47" s="955"/>
      <c r="N47" s="956"/>
      <c r="O47" s="956"/>
      <c r="P47" s="956"/>
      <c r="Q47" s="956"/>
      <c r="R47" s="956"/>
      <c r="S47" s="956"/>
      <c r="T47" s="956"/>
      <c r="U47" s="956"/>
      <c r="V47" s="956"/>
      <c r="W47" s="956"/>
      <c r="X47" s="956"/>
      <c r="Y47" s="956"/>
      <c r="Z47" s="956"/>
      <c r="AA47" s="956"/>
      <c r="AB47" s="957">
        <f t="shared" si="5"/>
        <v>0</v>
      </c>
      <c r="AC47" s="556"/>
      <c r="AD47" s="1234"/>
      <c r="AE47" s="1188"/>
      <c r="AF47" s="1188"/>
      <c r="AG47" s="1188"/>
      <c r="AH47" s="1188"/>
      <c r="AI47" s="1188"/>
      <c r="AJ47" s="1188"/>
      <c r="AK47" s="1188"/>
      <c r="AL47" s="1188"/>
      <c r="AM47" s="1188"/>
      <c r="AN47" s="1188"/>
      <c r="AO47" s="1188"/>
      <c r="AP47" s="1188"/>
      <c r="AQ47" s="1188"/>
      <c r="AR47" s="1188"/>
      <c r="AS47" s="1189"/>
      <c r="AT47" s="556"/>
    </row>
    <row r="48" spans="1:46" ht="15" customHeight="1" x14ac:dyDescent="0.45">
      <c r="A48" s="1170"/>
      <c r="B48" s="944" t="str">
        <f t="shared" si="0"/>
        <v xml:space="preserve"> </v>
      </c>
      <c r="C48" s="921"/>
      <c r="D48" s="921"/>
      <c r="E48" s="923"/>
      <c r="F48" s="922"/>
      <c r="G48" s="916"/>
      <c r="H48" s="917">
        <f t="shared" si="1"/>
        <v>0</v>
      </c>
      <c r="I48" s="916"/>
      <c r="J48" s="917">
        <f t="shared" si="2"/>
        <v>0</v>
      </c>
      <c r="K48" s="916"/>
      <c r="L48" s="917">
        <f t="shared" si="3"/>
        <v>0</v>
      </c>
      <c r="M48" s="955"/>
      <c r="N48" s="956"/>
      <c r="O48" s="956"/>
      <c r="P48" s="956"/>
      <c r="Q48" s="956"/>
      <c r="R48" s="956"/>
      <c r="S48" s="956"/>
      <c r="T48" s="956"/>
      <c r="U48" s="956"/>
      <c r="V48" s="956"/>
      <c r="W48" s="956"/>
      <c r="X48" s="956"/>
      <c r="Y48" s="956"/>
      <c r="Z48" s="956"/>
      <c r="AA48" s="956"/>
      <c r="AB48" s="957">
        <f t="shared" si="5"/>
        <v>0</v>
      </c>
      <c r="AC48" s="563"/>
      <c r="AD48" s="1257" t="s">
        <v>1217</v>
      </c>
      <c r="AE48" s="1258"/>
      <c r="AF48" s="1258"/>
      <c r="AG48" s="1258"/>
      <c r="AH48" s="1258"/>
      <c r="AI48" s="1258"/>
      <c r="AJ48" s="1258"/>
      <c r="AK48" s="1259"/>
      <c r="AL48" s="1182"/>
      <c r="AM48" s="1182"/>
      <c r="AN48" s="1182"/>
      <c r="AO48" s="1182"/>
      <c r="AP48" s="1182"/>
      <c r="AQ48" s="1182"/>
      <c r="AR48" s="1182"/>
      <c r="AS48" s="1251"/>
      <c r="AT48" s="556"/>
    </row>
    <row r="49" spans="1:46" ht="15" customHeight="1" x14ac:dyDescent="0.45">
      <c r="A49" s="1170"/>
      <c r="B49" s="944" t="str">
        <f t="shared" si="0"/>
        <v xml:space="preserve"> </v>
      </c>
      <c r="C49" s="921"/>
      <c r="D49" s="921"/>
      <c r="E49" s="923"/>
      <c r="F49" s="922"/>
      <c r="G49" s="916"/>
      <c r="H49" s="917">
        <f t="shared" si="1"/>
        <v>0</v>
      </c>
      <c r="I49" s="916"/>
      <c r="J49" s="917">
        <f t="shared" si="2"/>
        <v>0</v>
      </c>
      <c r="K49" s="916"/>
      <c r="L49" s="917">
        <f t="shared" si="3"/>
        <v>0</v>
      </c>
      <c r="M49" s="955"/>
      <c r="N49" s="956"/>
      <c r="O49" s="956"/>
      <c r="P49" s="956"/>
      <c r="Q49" s="956"/>
      <c r="R49" s="956"/>
      <c r="S49" s="956"/>
      <c r="T49" s="956"/>
      <c r="U49" s="956"/>
      <c r="V49" s="956"/>
      <c r="W49" s="956"/>
      <c r="X49" s="956"/>
      <c r="Y49" s="956"/>
      <c r="Z49" s="956"/>
      <c r="AA49" s="956"/>
      <c r="AB49" s="957">
        <f t="shared" si="5"/>
        <v>0</v>
      </c>
      <c r="AC49" s="556"/>
      <c r="AD49" s="1555" t="s">
        <v>8</v>
      </c>
      <c r="AE49" s="1555"/>
      <c r="AF49" s="1236"/>
      <c r="AG49" s="1556" t="s">
        <v>1218</v>
      </c>
      <c r="AH49" s="1556"/>
      <c r="AI49" s="1556" t="s">
        <v>114</v>
      </c>
      <c r="AJ49" s="1556"/>
      <c r="AK49" s="1556"/>
      <c r="AL49" s="1556"/>
      <c r="AM49" s="1556"/>
      <c r="AN49" s="1556"/>
      <c r="AO49" s="1556"/>
      <c r="AP49" s="1556"/>
      <c r="AQ49" s="1236" t="s">
        <v>1275</v>
      </c>
      <c r="AR49" s="1236" t="s">
        <v>1276</v>
      </c>
      <c r="AS49" s="1187"/>
      <c r="AT49" s="556"/>
    </row>
    <row r="50" spans="1:46" ht="15" customHeight="1" x14ac:dyDescent="0.45">
      <c r="A50" s="1170"/>
      <c r="B50" s="944" t="str">
        <f t="shared" si="0"/>
        <v xml:space="preserve"> </v>
      </c>
      <c r="C50" s="921"/>
      <c r="D50" s="921"/>
      <c r="E50" s="923"/>
      <c r="F50" s="922"/>
      <c r="G50" s="916"/>
      <c r="H50" s="917">
        <f t="shared" si="1"/>
        <v>0</v>
      </c>
      <c r="I50" s="916"/>
      <c r="J50" s="917">
        <f t="shared" si="2"/>
        <v>0</v>
      </c>
      <c r="K50" s="916"/>
      <c r="L50" s="917">
        <f t="shared" si="3"/>
        <v>0</v>
      </c>
      <c r="M50" s="955"/>
      <c r="N50" s="956"/>
      <c r="O50" s="956"/>
      <c r="P50" s="956"/>
      <c r="Q50" s="956"/>
      <c r="R50" s="956"/>
      <c r="S50" s="956"/>
      <c r="T50" s="956"/>
      <c r="U50" s="956"/>
      <c r="V50" s="956"/>
      <c r="W50" s="956"/>
      <c r="X50" s="956"/>
      <c r="Y50" s="956"/>
      <c r="Z50" s="956"/>
      <c r="AA50" s="956"/>
      <c r="AB50" s="957">
        <f t="shared" ref="AB50:AB56" si="6">COUNTA(M50:AA50)</f>
        <v>0</v>
      </c>
      <c r="AC50" s="556"/>
      <c r="AD50" s="1551">
        <v>26</v>
      </c>
      <c r="AE50" s="1552"/>
      <c r="AF50" s="1057" t="s">
        <v>1285</v>
      </c>
      <c r="AG50" s="1550"/>
      <c r="AH50" s="1550"/>
      <c r="AI50" s="1550"/>
      <c r="AJ50" s="1550"/>
      <c r="AK50" s="1550"/>
      <c r="AL50" s="1550"/>
      <c r="AM50" s="1550"/>
      <c r="AN50" s="1550"/>
      <c r="AO50" s="1550"/>
      <c r="AP50" s="1550"/>
      <c r="AQ50" s="1057"/>
      <c r="AR50" s="1057"/>
      <c r="AS50" s="1187"/>
      <c r="AT50" s="556"/>
    </row>
    <row r="51" spans="1:46" ht="15" customHeight="1" x14ac:dyDescent="0.45">
      <c r="A51" s="1170"/>
      <c r="B51" s="944" t="str">
        <f t="shared" si="0"/>
        <v xml:space="preserve"> </v>
      </c>
      <c r="C51" s="921"/>
      <c r="D51" s="921"/>
      <c r="E51" s="923"/>
      <c r="F51" s="922"/>
      <c r="G51" s="916"/>
      <c r="H51" s="917">
        <f t="shared" si="1"/>
        <v>0</v>
      </c>
      <c r="I51" s="916"/>
      <c r="J51" s="917">
        <f t="shared" si="2"/>
        <v>0</v>
      </c>
      <c r="K51" s="916"/>
      <c r="L51" s="917">
        <f t="shared" si="3"/>
        <v>0</v>
      </c>
      <c r="M51" s="955"/>
      <c r="N51" s="956"/>
      <c r="O51" s="956"/>
      <c r="P51" s="956"/>
      <c r="Q51" s="956"/>
      <c r="R51" s="956"/>
      <c r="S51" s="956"/>
      <c r="T51" s="956"/>
      <c r="U51" s="956"/>
      <c r="V51" s="956"/>
      <c r="W51" s="956"/>
      <c r="X51" s="956"/>
      <c r="Y51" s="956"/>
      <c r="Z51" s="956"/>
      <c r="AA51" s="956"/>
      <c r="AB51" s="957">
        <f t="shared" si="6"/>
        <v>0</v>
      </c>
      <c r="AC51" s="556"/>
      <c r="AD51" s="1551">
        <v>26</v>
      </c>
      <c r="AE51" s="1552"/>
      <c r="AF51" s="1057" t="s">
        <v>1285</v>
      </c>
      <c r="AG51" s="1550"/>
      <c r="AH51" s="1550"/>
      <c r="AI51" s="1550"/>
      <c r="AJ51" s="1550"/>
      <c r="AK51" s="1550"/>
      <c r="AL51" s="1550"/>
      <c r="AM51" s="1550"/>
      <c r="AN51" s="1550"/>
      <c r="AO51" s="1550"/>
      <c r="AP51" s="1550"/>
      <c r="AQ51" s="1057"/>
      <c r="AR51" s="1057"/>
      <c r="AS51" s="1187"/>
      <c r="AT51" s="556"/>
    </row>
    <row r="52" spans="1:46" ht="15" customHeight="1" x14ac:dyDescent="0.45">
      <c r="A52" s="1170"/>
      <c r="B52" s="944" t="str">
        <f t="shared" si="0"/>
        <v xml:space="preserve"> </v>
      </c>
      <c r="C52" s="921"/>
      <c r="D52" s="921"/>
      <c r="E52" s="922"/>
      <c r="F52" s="922"/>
      <c r="G52" s="916"/>
      <c r="H52" s="917">
        <f t="shared" si="1"/>
        <v>0</v>
      </c>
      <c r="I52" s="916"/>
      <c r="J52" s="917">
        <f t="shared" si="2"/>
        <v>0</v>
      </c>
      <c r="K52" s="916"/>
      <c r="L52" s="917">
        <f t="shared" si="3"/>
        <v>0</v>
      </c>
      <c r="M52" s="950"/>
      <c r="N52" s="956"/>
      <c r="O52" s="956"/>
      <c r="P52" s="956"/>
      <c r="Q52" s="956"/>
      <c r="R52" s="956"/>
      <c r="S52" s="956"/>
      <c r="T52" s="956"/>
      <c r="U52" s="956"/>
      <c r="V52" s="956"/>
      <c r="W52" s="956"/>
      <c r="X52" s="956"/>
      <c r="Y52" s="956"/>
      <c r="Z52" s="956"/>
      <c r="AA52" s="956"/>
      <c r="AB52" s="957">
        <f t="shared" si="6"/>
        <v>0</v>
      </c>
      <c r="AC52" s="556"/>
      <c r="AD52" s="1551">
        <v>26</v>
      </c>
      <c r="AE52" s="1552"/>
      <c r="AF52" s="1057" t="s">
        <v>1285</v>
      </c>
      <c r="AG52" s="1550"/>
      <c r="AH52" s="1550"/>
      <c r="AI52" s="1550"/>
      <c r="AJ52" s="1550"/>
      <c r="AK52" s="1550"/>
      <c r="AL52" s="1550"/>
      <c r="AM52" s="1550"/>
      <c r="AN52" s="1550"/>
      <c r="AO52" s="1550"/>
      <c r="AP52" s="1550"/>
      <c r="AQ52" s="1057"/>
      <c r="AR52" s="1057"/>
      <c r="AS52" s="1187"/>
      <c r="AT52" s="556"/>
    </row>
    <row r="53" spans="1:46" ht="15" customHeight="1" x14ac:dyDescent="0.45">
      <c r="A53" s="1170"/>
      <c r="B53" s="944" t="str">
        <f t="shared" si="0"/>
        <v xml:space="preserve"> </v>
      </c>
      <c r="C53" s="921"/>
      <c r="D53" s="921"/>
      <c r="E53" s="922"/>
      <c r="F53" s="922"/>
      <c r="G53" s="916"/>
      <c r="H53" s="917">
        <f t="shared" si="1"/>
        <v>0</v>
      </c>
      <c r="I53" s="916"/>
      <c r="J53" s="917">
        <f t="shared" si="2"/>
        <v>0</v>
      </c>
      <c r="K53" s="916"/>
      <c r="L53" s="917">
        <f t="shared" si="3"/>
        <v>0</v>
      </c>
      <c r="M53" s="952"/>
      <c r="N53" s="956"/>
      <c r="O53" s="956"/>
      <c r="P53" s="956"/>
      <c r="Q53" s="956"/>
      <c r="R53" s="956"/>
      <c r="S53" s="956"/>
      <c r="T53" s="956"/>
      <c r="U53" s="956"/>
      <c r="V53" s="956"/>
      <c r="W53" s="956"/>
      <c r="X53" s="956"/>
      <c r="Y53" s="956"/>
      <c r="Z53" s="956"/>
      <c r="AA53" s="956"/>
      <c r="AB53" s="957">
        <f t="shared" si="6"/>
        <v>0</v>
      </c>
      <c r="AC53" s="556"/>
      <c r="AD53" s="1551">
        <v>26</v>
      </c>
      <c r="AE53" s="1552"/>
      <c r="AF53" s="1057" t="s">
        <v>1285</v>
      </c>
      <c r="AG53" s="1550"/>
      <c r="AH53" s="1550"/>
      <c r="AI53" s="1550"/>
      <c r="AJ53" s="1550"/>
      <c r="AK53" s="1550"/>
      <c r="AL53" s="1550"/>
      <c r="AM53" s="1550"/>
      <c r="AN53" s="1550"/>
      <c r="AO53" s="1550"/>
      <c r="AP53" s="1550"/>
      <c r="AQ53" s="1057"/>
      <c r="AR53" s="1057"/>
      <c r="AS53" s="1187"/>
      <c r="AT53" s="556"/>
    </row>
    <row r="54" spans="1:46" ht="15" customHeight="1" x14ac:dyDescent="0.45">
      <c r="A54" s="1170"/>
      <c r="B54" s="944" t="str">
        <f t="shared" si="0"/>
        <v xml:space="preserve"> </v>
      </c>
      <c r="C54" s="921"/>
      <c r="D54" s="921"/>
      <c r="E54" s="922"/>
      <c r="F54" s="922"/>
      <c r="G54" s="916"/>
      <c r="H54" s="917">
        <f t="shared" si="1"/>
        <v>0</v>
      </c>
      <c r="I54" s="916"/>
      <c r="J54" s="917">
        <f t="shared" si="2"/>
        <v>0</v>
      </c>
      <c r="K54" s="916"/>
      <c r="L54" s="917">
        <f t="shared" si="3"/>
        <v>0</v>
      </c>
      <c r="M54" s="950"/>
      <c r="N54" s="956"/>
      <c r="O54" s="956"/>
      <c r="P54" s="956"/>
      <c r="Q54" s="956"/>
      <c r="R54" s="956"/>
      <c r="S54" s="956"/>
      <c r="T54" s="956"/>
      <c r="U54" s="956"/>
      <c r="V54" s="956"/>
      <c r="W54" s="956"/>
      <c r="X54" s="956"/>
      <c r="Y54" s="956"/>
      <c r="Z54" s="956"/>
      <c r="AA54" s="956"/>
      <c r="AB54" s="957">
        <f t="shared" si="6"/>
        <v>0</v>
      </c>
      <c r="AC54" s="556"/>
      <c r="AD54" s="1551">
        <v>61</v>
      </c>
      <c r="AE54" s="1552"/>
      <c r="AF54" s="1057" t="s">
        <v>1285</v>
      </c>
      <c r="AG54" s="1550"/>
      <c r="AH54" s="1550"/>
      <c r="AI54" s="1550"/>
      <c r="AJ54" s="1550"/>
      <c r="AK54" s="1550"/>
      <c r="AL54" s="1550"/>
      <c r="AM54" s="1550"/>
      <c r="AN54" s="1550"/>
      <c r="AO54" s="1550"/>
      <c r="AP54" s="1550"/>
      <c r="AQ54" s="1235"/>
      <c r="AR54" s="1057"/>
      <c r="AS54" s="1187"/>
      <c r="AT54" s="556"/>
    </row>
    <row r="55" spans="1:46" ht="15" customHeight="1" x14ac:dyDescent="0.45">
      <c r="A55" s="1170"/>
      <c r="B55" s="944" t="str">
        <f t="shared" si="0"/>
        <v xml:space="preserve"> </v>
      </c>
      <c r="C55" s="921"/>
      <c r="D55" s="921"/>
      <c r="E55" s="922"/>
      <c r="F55" s="922"/>
      <c r="G55" s="916"/>
      <c r="H55" s="917">
        <f t="shared" si="1"/>
        <v>0</v>
      </c>
      <c r="I55" s="916"/>
      <c r="J55" s="917">
        <f t="shared" si="2"/>
        <v>0</v>
      </c>
      <c r="K55" s="916"/>
      <c r="L55" s="917">
        <f t="shared" si="3"/>
        <v>0</v>
      </c>
      <c r="M55" s="950"/>
      <c r="N55" s="956"/>
      <c r="O55" s="956"/>
      <c r="P55" s="956"/>
      <c r="Q55" s="956"/>
      <c r="R55" s="956"/>
      <c r="S55" s="956"/>
      <c r="T55" s="956"/>
      <c r="U55" s="956"/>
      <c r="V55" s="956"/>
      <c r="W55" s="956"/>
      <c r="X55" s="956"/>
      <c r="Y55" s="956"/>
      <c r="Z55" s="956"/>
      <c r="AA55" s="956"/>
      <c r="AB55" s="957">
        <f t="shared" si="6"/>
        <v>0</v>
      </c>
      <c r="AC55" s="556"/>
      <c r="AD55" s="1551">
        <v>61</v>
      </c>
      <c r="AE55" s="1552"/>
      <c r="AF55" s="1057" t="s">
        <v>1285</v>
      </c>
      <c r="AG55" s="1550"/>
      <c r="AH55" s="1550"/>
      <c r="AI55" s="1550"/>
      <c r="AJ55" s="1550"/>
      <c r="AK55" s="1550"/>
      <c r="AL55" s="1550"/>
      <c r="AM55" s="1550"/>
      <c r="AN55" s="1550"/>
      <c r="AO55" s="1550"/>
      <c r="AP55" s="1550"/>
      <c r="AQ55" s="1235"/>
      <c r="AR55" s="1057"/>
      <c r="AS55" s="1187"/>
      <c r="AT55" s="556"/>
    </row>
    <row r="56" spans="1:46" ht="15.75" customHeight="1" x14ac:dyDescent="0.45">
      <c r="A56" s="1170"/>
      <c r="B56" s="944" t="str">
        <f t="shared" si="0"/>
        <v xml:space="preserve"> </v>
      </c>
      <c r="C56" s="921"/>
      <c r="D56" s="921"/>
      <c r="E56" s="923"/>
      <c r="F56" s="922"/>
      <c r="G56" s="916"/>
      <c r="H56" s="917">
        <f t="shared" si="1"/>
        <v>0</v>
      </c>
      <c r="I56" s="916"/>
      <c r="J56" s="917">
        <f t="shared" si="2"/>
        <v>0</v>
      </c>
      <c r="K56" s="916"/>
      <c r="L56" s="917">
        <f t="shared" si="3"/>
        <v>0</v>
      </c>
      <c r="M56" s="955"/>
      <c r="N56" s="956"/>
      <c r="O56" s="956"/>
      <c r="P56" s="956"/>
      <c r="Q56" s="956"/>
      <c r="R56" s="956"/>
      <c r="S56" s="956"/>
      <c r="T56" s="956"/>
      <c r="U56" s="956"/>
      <c r="V56" s="956"/>
      <c r="W56" s="956"/>
      <c r="X56" s="956"/>
      <c r="Y56" s="956"/>
      <c r="Z56" s="956"/>
      <c r="AA56" s="956"/>
      <c r="AB56" s="957">
        <f t="shared" si="6"/>
        <v>0</v>
      </c>
      <c r="AC56" s="556"/>
      <c r="AD56" s="1550"/>
      <c r="AE56" s="1550"/>
      <c r="AF56" s="1057" t="str">
        <f>IF(AD56&gt;0,"X"," ")</f>
        <v xml:space="preserve"> </v>
      </c>
      <c r="AG56" s="1550"/>
      <c r="AH56" s="1550"/>
      <c r="AI56" s="1550"/>
      <c r="AJ56" s="1550"/>
      <c r="AK56" s="1550"/>
      <c r="AL56" s="1550"/>
      <c r="AM56" s="1550"/>
      <c r="AN56" s="1550"/>
      <c r="AO56" s="1550"/>
      <c r="AP56" s="1550"/>
      <c r="AQ56" s="1235"/>
      <c r="AR56" s="1235"/>
      <c r="AS56" s="1190"/>
      <c r="AT56" s="556">
        <f>+AQ52+AQ53+AQ54+AQ55+AQ56</f>
        <v>0</v>
      </c>
    </row>
    <row r="57" spans="1:46" ht="19.5" hidden="1" customHeight="1" x14ac:dyDescent="0.45">
      <c r="A57" s="556"/>
      <c r="B57" s="556"/>
      <c r="C57" s="556"/>
      <c r="D57" s="564"/>
      <c r="E57" s="556"/>
      <c r="F57" s="564"/>
      <c r="G57" s="564"/>
      <c r="H57" s="564"/>
      <c r="I57" s="564"/>
      <c r="J57" s="564"/>
      <c r="K57" s="564"/>
      <c r="L57" s="564"/>
      <c r="M57" s="564"/>
      <c r="N57" s="564"/>
      <c r="O57" s="564"/>
      <c r="P57" s="564"/>
      <c r="Q57" s="564"/>
      <c r="R57" s="564"/>
      <c r="S57" s="564"/>
      <c r="T57" s="564"/>
      <c r="U57" s="564"/>
      <c r="V57" s="564"/>
      <c r="W57" s="564"/>
      <c r="X57" s="564"/>
      <c r="Y57" s="564"/>
      <c r="Z57" s="564"/>
      <c r="AA57" s="564"/>
      <c r="AB57" s="556"/>
      <c r="AC57" s="556"/>
      <c r="AD57" s="556"/>
      <c r="AE57" s="556"/>
      <c r="AF57" s="556"/>
      <c r="AG57" s="556"/>
      <c r="AH57" s="556"/>
      <c r="AI57" s="556"/>
      <c r="AJ57" s="556"/>
      <c r="AK57" s="556"/>
      <c r="AL57" s="556"/>
      <c r="AM57" s="556"/>
      <c r="AN57" s="556"/>
      <c r="AO57" s="556"/>
      <c r="AP57" s="556"/>
      <c r="AQ57" s="556"/>
      <c r="AR57" s="556"/>
      <c r="AS57" s="565"/>
      <c r="AT57" s="556"/>
    </row>
    <row r="58" spans="1:46" hidden="1" x14ac:dyDescent="0.45">
      <c r="A58" s="556"/>
      <c r="B58" s="556"/>
      <c r="C58" s="556"/>
      <c r="D58" s="564"/>
      <c r="E58" s="556"/>
      <c r="F58" s="564"/>
      <c r="G58" s="564"/>
      <c r="H58" s="564"/>
      <c r="I58" s="564"/>
      <c r="J58" s="564"/>
      <c r="K58" s="564"/>
      <c r="L58" s="564"/>
      <c r="M58" s="564"/>
      <c r="N58" s="564"/>
      <c r="O58" s="564"/>
      <c r="P58" s="564"/>
      <c r="Q58" s="564"/>
      <c r="R58" s="564"/>
      <c r="S58" s="564"/>
      <c r="T58" s="564"/>
      <c r="U58" s="564"/>
      <c r="V58" s="564"/>
      <c r="W58" s="564"/>
      <c r="X58" s="564"/>
      <c r="Y58" s="564"/>
      <c r="Z58" s="564"/>
      <c r="AA58" s="564"/>
      <c r="AB58" s="556"/>
      <c r="AC58" s="556"/>
      <c r="AD58" s="556"/>
      <c r="AE58" s="556"/>
      <c r="AF58" s="556"/>
      <c r="AG58" s="556"/>
      <c r="AH58" s="556"/>
      <c r="AI58" s="556"/>
      <c r="AJ58" s="556"/>
      <c r="AK58" s="556"/>
      <c r="AL58" s="556"/>
      <c r="AM58" s="556"/>
      <c r="AN58" s="556"/>
      <c r="AO58" s="556"/>
      <c r="AP58" s="556"/>
      <c r="AQ58" s="556"/>
      <c r="AR58" s="556"/>
      <c r="AS58" s="565"/>
      <c r="AT58" s="556"/>
    </row>
    <row r="59" spans="1:46" hidden="1" x14ac:dyDescent="0.45">
      <c r="A59" s="556"/>
      <c r="B59" s="556"/>
      <c r="C59" s="556"/>
      <c r="D59" s="564"/>
      <c r="E59" s="556"/>
      <c r="F59" s="564"/>
      <c r="G59" s="564"/>
      <c r="H59" s="564"/>
      <c r="I59" s="564"/>
      <c r="J59" s="564"/>
      <c r="K59" s="564"/>
      <c r="L59" s="564"/>
      <c r="M59" s="564"/>
      <c r="N59" s="564"/>
      <c r="O59" s="564"/>
      <c r="P59" s="564"/>
      <c r="Q59" s="564"/>
      <c r="R59" s="564"/>
      <c r="S59" s="564"/>
      <c r="T59" s="564"/>
      <c r="U59" s="564"/>
      <c r="V59" s="564"/>
      <c r="W59" s="564"/>
      <c r="X59" s="564"/>
      <c r="Y59" s="564"/>
      <c r="Z59" s="564"/>
      <c r="AA59" s="564"/>
      <c r="AB59" s="556"/>
      <c r="AC59" s="556"/>
      <c r="AD59" s="556"/>
      <c r="AE59" s="556"/>
      <c r="AF59" s="556"/>
      <c r="AG59" s="556"/>
      <c r="AH59" s="556"/>
      <c r="AI59" s="556"/>
      <c r="AJ59" s="556"/>
      <c r="AK59" s="556"/>
      <c r="AL59" s="556"/>
      <c r="AM59" s="556"/>
      <c r="AN59" s="556"/>
      <c r="AO59" s="556"/>
      <c r="AP59" s="556"/>
      <c r="AQ59" s="556"/>
      <c r="AR59" s="556"/>
      <c r="AS59" s="565"/>
      <c r="AT59" s="556"/>
    </row>
    <row r="60" spans="1:46" hidden="1" x14ac:dyDescent="0.45">
      <c r="A60" s="556"/>
      <c r="B60" s="556"/>
      <c r="C60" s="556"/>
      <c r="D60" s="564"/>
      <c r="E60" s="556"/>
      <c r="F60" s="564"/>
      <c r="G60" s="564"/>
      <c r="H60" s="564"/>
      <c r="I60" s="564"/>
      <c r="J60" s="564"/>
      <c r="K60" s="564"/>
      <c r="L60" s="564"/>
      <c r="M60" s="564"/>
      <c r="N60" s="564"/>
      <c r="O60" s="564"/>
      <c r="P60" s="564"/>
      <c r="Q60" s="564"/>
      <c r="R60" s="564"/>
      <c r="S60" s="564"/>
      <c r="T60" s="564"/>
      <c r="U60" s="564"/>
      <c r="V60" s="564"/>
      <c r="W60" s="564"/>
      <c r="X60" s="564"/>
      <c r="Y60" s="564"/>
      <c r="Z60" s="564"/>
      <c r="AA60" s="564"/>
      <c r="AB60" s="556"/>
      <c r="AC60" s="556"/>
      <c r="AD60" s="556"/>
      <c r="AE60" s="556"/>
      <c r="AF60" s="556"/>
      <c r="AG60" s="556"/>
      <c r="AH60" s="556"/>
      <c r="AI60" s="556"/>
      <c r="AJ60" s="556"/>
      <c r="AK60" s="556"/>
      <c r="AL60" s="556"/>
      <c r="AM60" s="556"/>
      <c r="AN60" s="556"/>
      <c r="AO60" s="556"/>
      <c r="AP60" s="556"/>
      <c r="AQ60" s="556"/>
      <c r="AR60" s="556"/>
      <c r="AS60" s="565"/>
      <c r="AT60" s="556"/>
    </row>
    <row r="61" spans="1:46" hidden="1" x14ac:dyDescent="0.45">
      <c r="A61" s="556"/>
      <c r="B61" s="556"/>
      <c r="C61" s="556"/>
      <c r="D61" s="564"/>
      <c r="E61" s="556"/>
      <c r="F61" s="564"/>
      <c r="G61" s="564"/>
      <c r="H61" s="564"/>
      <c r="I61" s="564"/>
      <c r="J61" s="564"/>
      <c r="K61" s="564"/>
      <c r="L61" s="564"/>
      <c r="M61" s="564"/>
      <c r="N61" s="564"/>
      <c r="O61" s="564"/>
      <c r="P61" s="564"/>
      <c r="Q61" s="564"/>
      <c r="R61" s="564"/>
      <c r="S61" s="564"/>
      <c r="T61" s="564"/>
      <c r="U61" s="564"/>
      <c r="V61" s="564"/>
      <c r="W61" s="564"/>
      <c r="X61" s="564"/>
      <c r="Y61" s="564"/>
      <c r="Z61" s="564"/>
      <c r="AA61" s="564"/>
      <c r="AB61" s="556"/>
      <c r="AC61" s="556"/>
      <c r="AD61" s="556"/>
      <c r="AE61" s="556"/>
      <c r="AF61" s="556"/>
      <c r="AG61" s="556"/>
      <c r="AH61" s="556"/>
      <c r="AI61" s="556"/>
      <c r="AJ61" s="556"/>
      <c r="AK61" s="556"/>
      <c r="AL61" s="556"/>
      <c r="AM61" s="556"/>
      <c r="AN61" s="556"/>
      <c r="AO61" s="556"/>
      <c r="AP61" s="556"/>
      <c r="AQ61" s="556"/>
      <c r="AR61" s="556"/>
      <c r="AS61" s="565"/>
      <c r="AT61" s="556"/>
    </row>
    <row r="62" spans="1:46" hidden="1" x14ac:dyDescent="0.45">
      <c r="A62" s="556"/>
      <c r="B62" s="556"/>
      <c r="C62" s="556"/>
      <c r="D62" s="564"/>
      <c r="E62" s="556"/>
      <c r="F62" s="564"/>
      <c r="G62" s="564"/>
      <c r="H62" s="564"/>
      <c r="I62" s="564"/>
      <c r="J62" s="564"/>
      <c r="K62" s="564"/>
      <c r="L62" s="564"/>
      <c r="M62" s="564"/>
      <c r="N62" s="564"/>
      <c r="O62" s="564"/>
      <c r="P62" s="564"/>
      <c r="Q62" s="564"/>
      <c r="R62" s="564"/>
      <c r="S62" s="564"/>
      <c r="T62" s="564"/>
      <c r="U62" s="564"/>
      <c r="V62" s="564"/>
      <c r="W62" s="564"/>
      <c r="X62" s="564"/>
      <c r="Y62" s="564"/>
      <c r="Z62" s="564"/>
      <c r="AA62" s="564"/>
      <c r="AB62" s="556"/>
      <c r="AC62" s="556"/>
      <c r="AD62" s="556"/>
      <c r="AE62" s="556"/>
      <c r="AF62" s="556"/>
      <c r="AG62" s="556"/>
      <c r="AH62" s="556"/>
      <c r="AI62" s="556"/>
      <c r="AJ62" s="556"/>
      <c r="AK62" s="556"/>
      <c r="AL62" s="556"/>
      <c r="AM62" s="556"/>
      <c r="AN62" s="556"/>
      <c r="AO62" s="556"/>
      <c r="AP62" s="556"/>
      <c r="AQ62" s="556"/>
      <c r="AR62" s="556"/>
      <c r="AS62" s="565"/>
      <c r="AT62" s="556"/>
    </row>
    <row r="63" spans="1:46" hidden="1" x14ac:dyDescent="0.45">
      <c r="A63" s="556"/>
      <c r="B63" s="556"/>
      <c r="C63" s="556"/>
      <c r="D63" s="564"/>
      <c r="E63" s="556"/>
      <c r="F63" s="564"/>
      <c r="G63" s="564"/>
      <c r="H63" s="564"/>
      <c r="I63" s="564"/>
      <c r="J63" s="564"/>
      <c r="K63" s="564"/>
      <c r="L63" s="564"/>
      <c r="M63" s="564"/>
      <c r="N63" s="564"/>
      <c r="O63" s="564"/>
      <c r="P63" s="564"/>
      <c r="Q63" s="564"/>
      <c r="R63" s="564"/>
      <c r="S63" s="564"/>
      <c r="T63" s="564"/>
      <c r="U63" s="564"/>
      <c r="V63" s="564"/>
      <c r="W63" s="564"/>
      <c r="X63" s="564"/>
      <c r="Y63" s="564"/>
      <c r="Z63" s="564"/>
      <c r="AA63" s="564"/>
      <c r="AB63" s="556"/>
      <c r="AC63" s="556"/>
      <c r="AD63" s="556"/>
      <c r="AE63" s="556"/>
      <c r="AF63" s="556"/>
      <c r="AG63" s="556"/>
      <c r="AH63" s="556"/>
      <c r="AI63" s="556"/>
      <c r="AJ63" s="556"/>
      <c r="AK63" s="556"/>
      <c r="AL63" s="556"/>
      <c r="AM63" s="556"/>
      <c r="AN63" s="556"/>
      <c r="AO63" s="556"/>
      <c r="AP63" s="556"/>
      <c r="AQ63" s="556"/>
      <c r="AR63" s="556"/>
      <c r="AS63" s="565"/>
      <c r="AT63" s="556"/>
    </row>
    <row r="64" spans="1:46" hidden="1" x14ac:dyDescent="0.45">
      <c r="A64" s="556"/>
      <c r="B64" s="556"/>
      <c r="C64" s="556"/>
      <c r="D64" s="564"/>
      <c r="E64" s="556"/>
      <c r="F64" s="564"/>
      <c r="G64" s="564"/>
      <c r="H64" s="564"/>
      <c r="I64" s="564"/>
      <c r="J64" s="564"/>
      <c r="K64" s="564"/>
      <c r="L64" s="564"/>
      <c r="M64" s="564"/>
      <c r="N64" s="564"/>
      <c r="O64" s="564"/>
      <c r="P64" s="564"/>
      <c r="Q64" s="564"/>
      <c r="R64" s="564"/>
      <c r="S64" s="564"/>
      <c r="T64" s="564"/>
      <c r="U64" s="564"/>
      <c r="V64" s="564"/>
      <c r="W64" s="564"/>
      <c r="X64" s="564"/>
      <c r="Y64" s="564"/>
      <c r="Z64" s="564"/>
      <c r="AA64" s="564"/>
      <c r="AB64" s="556"/>
      <c r="AC64" s="556"/>
      <c r="AD64" s="556"/>
      <c r="AE64" s="556"/>
      <c r="AF64" s="556"/>
      <c r="AG64" s="556"/>
      <c r="AH64" s="556"/>
      <c r="AI64" s="556"/>
      <c r="AJ64" s="556"/>
      <c r="AK64" s="556"/>
      <c r="AL64" s="556"/>
      <c r="AM64" s="556"/>
      <c r="AN64" s="556"/>
      <c r="AO64" s="556"/>
      <c r="AP64" s="556"/>
      <c r="AQ64" s="556"/>
      <c r="AR64" s="556"/>
      <c r="AS64" s="565"/>
      <c r="AT64" s="556"/>
    </row>
    <row r="65" spans="1:46" hidden="1" x14ac:dyDescent="0.45">
      <c r="A65" s="556"/>
      <c r="B65" s="556"/>
      <c r="C65" s="556"/>
      <c r="D65" s="564"/>
      <c r="E65" s="556"/>
      <c r="F65" s="564"/>
      <c r="G65" s="564"/>
      <c r="H65" s="564"/>
      <c r="I65" s="564"/>
      <c r="J65" s="564"/>
      <c r="K65" s="564"/>
      <c r="L65" s="564"/>
      <c r="M65" s="564"/>
      <c r="N65" s="564"/>
      <c r="O65" s="564"/>
      <c r="P65" s="564"/>
      <c r="Q65" s="564"/>
      <c r="R65" s="564"/>
      <c r="S65" s="564"/>
      <c r="T65" s="564"/>
      <c r="U65" s="564"/>
      <c r="V65" s="564"/>
      <c r="W65" s="564"/>
      <c r="X65" s="564"/>
      <c r="Y65" s="564"/>
      <c r="Z65" s="564"/>
      <c r="AA65" s="564"/>
      <c r="AB65" s="556"/>
      <c r="AC65" s="556"/>
      <c r="AD65" s="556"/>
      <c r="AE65" s="556"/>
      <c r="AF65" s="556"/>
      <c r="AG65" s="556"/>
      <c r="AH65" s="556"/>
      <c r="AI65" s="556"/>
      <c r="AJ65" s="556"/>
      <c r="AK65" s="556"/>
      <c r="AL65" s="556"/>
      <c r="AM65" s="556"/>
      <c r="AN65" s="556"/>
      <c r="AO65" s="556"/>
      <c r="AP65" s="556"/>
      <c r="AQ65" s="556"/>
      <c r="AR65" s="556"/>
      <c r="AS65" s="565"/>
      <c r="AT65" s="556"/>
    </row>
    <row r="66" spans="1:46" hidden="1" x14ac:dyDescent="0.45">
      <c r="A66" s="556"/>
      <c r="B66" s="556"/>
      <c r="C66" s="556"/>
      <c r="D66" s="564"/>
      <c r="E66" s="556"/>
      <c r="F66" s="564"/>
      <c r="G66" s="564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564"/>
      <c r="S66" s="564"/>
      <c r="T66" s="564"/>
      <c r="U66" s="564"/>
      <c r="V66" s="564"/>
      <c r="W66" s="564"/>
      <c r="X66" s="564"/>
      <c r="Y66" s="564"/>
      <c r="Z66" s="564"/>
      <c r="AA66" s="564"/>
      <c r="AB66" s="556"/>
      <c r="AC66" s="556"/>
      <c r="AD66" s="556"/>
      <c r="AE66" s="556"/>
      <c r="AF66" s="556"/>
      <c r="AG66" s="556"/>
      <c r="AH66" s="556"/>
      <c r="AI66" s="556"/>
      <c r="AJ66" s="556"/>
      <c r="AK66" s="556"/>
      <c r="AL66" s="556"/>
      <c r="AM66" s="556"/>
      <c r="AN66" s="556"/>
      <c r="AO66" s="556"/>
      <c r="AP66" s="556"/>
      <c r="AQ66" s="556"/>
      <c r="AR66" s="556"/>
      <c r="AS66" s="565"/>
      <c r="AT66" s="556"/>
    </row>
    <row r="67" spans="1:46" hidden="1" x14ac:dyDescent="0.45">
      <c r="A67" s="556"/>
      <c r="B67" s="556"/>
      <c r="C67" s="556"/>
      <c r="D67" s="564"/>
      <c r="E67" s="556"/>
      <c r="F67" s="564"/>
      <c r="G67" s="564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564"/>
      <c r="S67" s="564"/>
      <c r="T67" s="564"/>
      <c r="U67" s="564"/>
      <c r="V67" s="564"/>
      <c r="W67" s="564"/>
      <c r="X67" s="564"/>
      <c r="Y67" s="564"/>
      <c r="Z67" s="564"/>
      <c r="AA67" s="564"/>
      <c r="AB67" s="556"/>
      <c r="AC67" s="556"/>
      <c r="AD67" s="556"/>
      <c r="AE67" s="556"/>
      <c r="AF67" s="556"/>
      <c r="AG67" s="556"/>
      <c r="AH67" s="556"/>
      <c r="AI67" s="556"/>
      <c r="AJ67" s="556"/>
      <c r="AK67" s="556"/>
      <c r="AL67" s="556"/>
      <c r="AM67" s="556"/>
      <c r="AN67" s="556"/>
      <c r="AO67" s="556"/>
      <c r="AP67" s="556"/>
      <c r="AQ67" s="556"/>
      <c r="AR67" s="556"/>
      <c r="AS67" s="565"/>
      <c r="AT67" s="556"/>
    </row>
    <row r="68" spans="1:46" hidden="1" x14ac:dyDescent="0.45">
      <c r="A68" s="556"/>
      <c r="B68" s="556"/>
      <c r="C68" s="556"/>
      <c r="D68" s="564"/>
      <c r="E68" s="556"/>
      <c r="F68" s="564"/>
      <c r="G68" s="564"/>
      <c r="H68" s="564"/>
      <c r="I68" s="564"/>
      <c r="J68" s="564"/>
      <c r="K68" s="564"/>
      <c r="L68" s="564"/>
      <c r="M68" s="564"/>
      <c r="N68" s="564"/>
      <c r="O68" s="564"/>
      <c r="P68" s="564"/>
      <c r="Q68" s="564"/>
      <c r="R68" s="564"/>
      <c r="S68" s="564"/>
      <c r="T68" s="564"/>
      <c r="U68" s="564"/>
      <c r="V68" s="564"/>
      <c r="W68" s="564"/>
      <c r="X68" s="564"/>
      <c r="Y68" s="564"/>
      <c r="Z68" s="564"/>
      <c r="AA68" s="564"/>
      <c r="AB68" s="556"/>
      <c r="AC68" s="556"/>
      <c r="AD68" s="556"/>
      <c r="AE68" s="556"/>
      <c r="AF68" s="556"/>
      <c r="AG68" s="556"/>
      <c r="AH68" s="556"/>
      <c r="AI68" s="556"/>
      <c r="AJ68" s="556"/>
      <c r="AK68" s="556"/>
      <c r="AL68" s="556"/>
      <c r="AM68" s="556"/>
      <c r="AN68" s="556"/>
      <c r="AO68" s="556"/>
      <c r="AP68" s="556"/>
      <c r="AQ68" s="556"/>
      <c r="AR68" s="556"/>
      <c r="AS68" s="565"/>
      <c r="AT68" s="556"/>
    </row>
    <row r="69" spans="1:46" hidden="1" x14ac:dyDescent="0.45">
      <c r="A69" s="556"/>
      <c r="B69" s="556"/>
      <c r="C69" s="556"/>
      <c r="D69" s="564"/>
      <c r="E69" s="556"/>
      <c r="F69" s="564"/>
      <c r="G69" s="564"/>
      <c r="H69" s="564"/>
      <c r="I69" s="564"/>
      <c r="J69" s="564"/>
      <c r="K69" s="564"/>
      <c r="L69" s="564"/>
      <c r="M69" s="564"/>
      <c r="N69" s="564"/>
      <c r="O69" s="564"/>
      <c r="P69" s="564"/>
      <c r="Q69" s="564"/>
      <c r="R69" s="564"/>
      <c r="S69" s="564"/>
      <c r="T69" s="564"/>
      <c r="U69" s="564"/>
      <c r="V69" s="564"/>
      <c r="W69" s="564"/>
      <c r="X69" s="564"/>
      <c r="Y69" s="564"/>
      <c r="Z69" s="564"/>
      <c r="AA69" s="564"/>
      <c r="AB69" s="556"/>
      <c r="AC69" s="556"/>
      <c r="AD69" s="556"/>
      <c r="AE69" s="556"/>
      <c r="AF69" s="556"/>
      <c r="AG69" s="556"/>
      <c r="AH69" s="556"/>
      <c r="AI69" s="556"/>
      <c r="AJ69" s="556"/>
      <c r="AK69" s="556"/>
      <c r="AL69" s="556"/>
      <c r="AM69" s="556"/>
      <c r="AN69" s="556"/>
      <c r="AO69" s="556"/>
      <c r="AP69" s="556"/>
      <c r="AQ69" s="556"/>
      <c r="AR69" s="556"/>
      <c r="AS69" s="565"/>
      <c r="AT69" s="556"/>
    </row>
    <row r="70" spans="1:46" hidden="1" x14ac:dyDescent="0.45">
      <c r="A70" s="556"/>
      <c r="B70" s="556"/>
      <c r="C70" s="556"/>
      <c r="D70" s="564"/>
      <c r="E70" s="556"/>
      <c r="F70" s="564"/>
      <c r="G70" s="564"/>
      <c r="H70" s="564"/>
      <c r="I70" s="564"/>
      <c r="J70" s="564"/>
      <c r="K70" s="564"/>
      <c r="L70" s="564"/>
      <c r="M70" s="564"/>
      <c r="N70" s="564"/>
      <c r="O70" s="564"/>
      <c r="P70" s="564"/>
      <c r="Q70" s="564"/>
      <c r="R70" s="564"/>
      <c r="S70" s="564"/>
      <c r="T70" s="564"/>
      <c r="U70" s="564"/>
      <c r="V70" s="564"/>
      <c r="W70" s="564"/>
      <c r="X70" s="564"/>
      <c r="Y70" s="564"/>
      <c r="Z70" s="564"/>
      <c r="AA70" s="564"/>
      <c r="AB70" s="556"/>
      <c r="AC70" s="556"/>
      <c r="AD70" s="556"/>
      <c r="AE70" s="556"/>
      <c r="AF70" s="556"/>
      <c r="AG70" s="556"/>
      <c r="AH70" s="556"/>
      <c r="AI70" s="556"/>
      <c r="AJ70" s="556"/>
      <c r="AK70" s="556"/>
      <c r="AL70" s="556"/>
      <c r="AM70" s="556"/>
      <c r="AN70" s="556"/>
      <c r="AO70" s="556"/>
      <c r="AP70" s="556"/>
      <c r="AQ70" s="556"/>
      <c r="AR70" s="556"/>
      <c r="AS70" s="565"/>
      <c r="AT70" s="556"/>
    </row>
    <row r="71" spans="1:46" hidden="1" x14ac:dyDescent="0.45">
      <c r="A71" s="556"/>
      <c r="B71" s="556"/>
      <c r="C71" s="556"/>
      <c r="D71" s="564"/>
      <c r="E71" s="556"/>
      <c r="F71" s="564"/>
      <c r="G71" s="564"/>
      <c r="H71" s="564"/>
      <c r="I71" s="564"/>
      <c r="J71" s="564"/>
      <c r="K71" s="564"/>
      <c r="L71" s="564"/>
      <c r="M71" s="564"/>
      <c r="N71" s="564"/>
      <c r="O71" s="564"/>
      <c r="P71" s="564"/>
      <c r="Q71" s="564"/>
      <c r="R71" s="564"/>
      <c r="S71" s="564"/>
      <c r="T71" s="564"/>
      <c r="U71" s="564"/>
      <c r="V71" s="564"/>
      <c r="W71" s="564"/>
      <c r="X71" s="564"/>
      <c r="Y71" s="564"/>
      <c r="Z71" s="564"/>
      <c r="AA71" s="564"/>
      <c r="AB71" s="556"/>
      <c r="AC71" s="556"/>
      <c r="AD71" s="556"/>
      <c r="AE71" s="556"/>
      <c r="AF71" s="556"/>
      <c r="AG71" s="556"/>
      <c r="AH71" s="556"/>
      <c r="AI71" s="556"/>
      <c r="AJ71" s="556"/>
      <c r="AK71" s="556"/>
      <c r="AL71" s="556"/>
      <c r="AM71" s="556"/>
      <c r="AN71" s="556"/>
      <c r="AO71" s="556"/>
      <c r="AP71" s="556"/>
      <c r="AQ71" s="556"/>
      <c r="AR71" s="556"/>
      <c r="AS71" s="565"/>
      <c r="AT71" s="556"/>
    </row>
    <row r="72" spans="1:46" hidden="1" x14ac:dyDescent="0.45">
      <c r="A72" s="556"/>
      <c r="B72" s="556"/>
      <c r="C72" s="556"/>
      <c r="D72" s="564"/>
      <c r="E72" s="556"/>
      <c r="F72" s="564"/>
      <c r="G72" s="564"/>
      <c r="H72" s="564"/>
      <c r="I72" s="564"/>
      <c r="J72" s="564"/>
      <c r="K72" s="564"/>
      <c r="L72" s="564"/>
      <c r="M72" s="564"/>
      <c r="N72" s="564"/>
      <c r="O72" s="564"/>
      <c r="P72" s="564"/>
      <c r="Q72" s="564"/>
      <c r="R72" s="564"/>
      <c r="S72" s="564"/>
      <c r="T72" s="564"/>
      <c r="U72" s="564"/>
      <c r="V72" s="564"/>
      <c r="W72" s="564"/>
      <c r="X72" s="564"/>
      <c r="Y72" s="564"/>
      <c r="Z72" s="564"/>
      <c r="AA72" s="564"/>
      <c r="AB72" s="556"/>
      <c r="AC72" s="556"/>
      <c r="AD72" s="556"/>
      <c r="AE72" s="556"/>
      <c r="AF72" s="556"/>
      <c r="AG72" s="556"/>
      <c r="AH72" s="556"/>
      <c r="AI72" s="556"/>
      <c r="AJ72" s="556"/>
      <c r="AK72" s="556"/>
      <c r="AL72" s="556"/>
      <c r="AM72" s="556"/>
      <c r="AN72" s="556"/>
      <c r="AO72" s="556"/>
      <c r="AP72" s="556"/>
      <c r="AQ72" s="556"/>
      <c r="AR72" s="556"/>
      <c r="AS72" s="565"/>
      <c r="AT72" s="556"/>
    </row>
    <row r="73" spans="1:46" hidden="1" x14ac:dyDescent="0.45">
      <c r="A73" s="556"/>
      <c r="B73" s="556"/>
      <c r="C73" s="556"/>
      <c r="D73" s="564"/>
      <c r="E73" s="556"/>
      <c r="F73" s="564"/>
      <c r="G73" s="564"/>
      <c r="H73" s="564"/>
      <c r="I73" s="564"/>
      <c r="J73" s="564"/>
      <c r="K73" s="564"/>
      <c r="L73" s="564"/>
      <c r="M73" s="564"/>
      <c r="N73" s="564"/>
      <c r="O73" s="564"/>
      <c r="P73" s="564"/>
      <c r="Q73" s="564"/>
      <c r="R73" s="564"/>
      <c r="S73" s="564"/>
      <c r="T73" s="564"/>
      <c r="U73" s="564"/>
      <c r="V73" s="564"/>
      <c r="W73" s="564"/>
      <c r="X73" s="564"/>
      <c r="Y73" s="564"/>
      <c r="Z73" s="564"/>
      <c r="AA73" s="564"/>
      <c r="AB73" s="556"/>
      <c r="AC73" s="556"/>
      <c r="AD73" s="556"/>
      <c r="AE73" s="556"/>
      <c r="AF73" s="556"/>
      <c r="AG73" s="556"/>
      <c r="AH73" s="556"/>
      <c r="AI73" s="556"/>
      <c r="AJ73" s="556"/>
      <c r="AK73" s="556"/>
      <c r="AL73" s="556"/>
      <c r="AM73" s="556"/>
      <c r="AN73" s="556"/>
      <c r="AO73" s="556"/>
      <c r="AP73" s="556"/>
      <c r="AQ73" s="556"/>
      <c r="AR73" s="556"/>
      <c r="AS73" s="565"/>
      <c r="AT73" s="556"/>
    </row>
    <row r="74" spans="1:46" hidden="1" x14ac:dyDescent="0.45">
      <c r="A74" s="556"/>
      <c r="B74" s="556"/>
      <c r="C74" s="556"/>
      <c r="D74" s="564"/>
      <c r="E74" s="556"/>
      <c r="F74" s="564"/>
      <c r="G74" s="564"/>
      <c r="H74" s="564"/>
      <c r="I74" s="564"/>
      <c r="J74" s="564"/>
      <c r="K74" s="564"/>
      <c r="L74" s="564"/>
      <c r="M74" s="564"/>
      <c r="N74" s="564"/>
      <c r="O74" s="564"/>
      <c r="P74" s="564"/>
      <c r="Q74" s="564"/>
      <c r="R74" s="564"/>
      <c r="S74" s="564"/>
      <c r="T74" s="564"/>
      <c r="U74" s="564"/>
      <c r="V74" s="564"/>
      <c r="W74" s="564"/>
      <c r="X74" s="564"/>
      <c r="Y74" s="564"/>
      <c r="Z74" s="564"/>
      <c r="AA74" s="564"/>
      <c r="AB74" s="556"/>
      <c r="AC74" s="556"/>
      <c r="AD74" s="556"/>
      <c r="AE74" s="556"/>
      <c r="AF74" s="556"/>
      <c r="AG74" s="556"/>
      <c r="AH74" s="556"/>
      <c r="AI74" s="556"/>
      <c r="AJ74" s="556"/>
      <c r="AK74" s="556"/>
      <c r="AL74" s="556"/>
      <c r="AM74" s="556"/>
      <c r="AN74" s="556"/>
      <c r="AO74" s="556"/>
      <c r="AP74" s="556"/>
      <c r="AQ74" s="556"/>
      <c r="AR74" s="556"/>
      <c r="AS74" s="565"/>
      <c r="AT74" s="556"/>
    </row>
    <row r="75" spans="1:46" hidden="1" x14ac:dyDescent="0.45">
      <c r="A75" s="556"/>
      <c r="B75" s="556"/>
      <c r="C75" s="556"/>
      <c r="D75" s="564"/>
      <c r="E75" s="556"/>
      <c r="F75" s="564"/>
      <c r="G75" s="564"/>
      <c r="H75" s="564"/>
      <c r="I75" s="564"/>
      <c r="J75" s="564"/>
      <c r="K75" s="564"/>
      <c r="L75" s="564"/>
      <c r="M75" s="564"/>
      <c r="N75" s="564"/>
      <c r="O75" s="564"/>
      <c r="P75" s="564"/>
      <c r="Q75" s="564"/>
      <c r="R75" s="564"/>
      <c r="S75" s="564"/>
      <c r="T75" s="564"/>
      <c r="U75" s="564"/>
      <c r="V75" s="564"/>
      <c r="W75" s="564"/>
      <c r="X75" s="564"/>
      <c r="Y75" s="564"/>
      <c r="Z75" s="564"/>
      <c r="AA75" s="564"/>
      <c r="AB75" s="556"/>
      <c r="AC75" s="556"/>
      <c r="AD75" s="556"/>
      <c r="AE75" s="556"/>
      <c r="AF75" s="556"/>
      <c r="AG75" s="556"/>
      <c r="AH75" s="556"/>
      <c r="AI75" s="556"/>
      <c r="AJ75" s="556"/>
      <c r="AK75" s="556"/>
      <c r="AL75" s="556"/>
      <c r="AM75" s="556"/>
      <c r="AN75" s="556"/>
      <c r="AO75" s="556"/>
      <c r="AP75" s="556"/>
      <c r="AQ75" s="556"/>
      <c r="AR75" s="556"/>
      <c r="AS75" s="565"/>
      <c r="AT75" s="556"/>
    </row>
    <row r="76" spans="1:46" hidden="1" x14ac:dyDescent="0.45">
      <c r="A76" s="556"/>
      <c r="B76" s="556"/>
      <c r="C76" s="556"/>
      <c r="D76" s="564"/>
      <c r="E76" s="556"/>
      <c r="F76" s="564"/>
      <c r="G76" s="564"/>
      <c r="H76" s="564"/>
      <c r="I76" s="564"/>
      <c r="J76" s="564"/>
      <c r="K76" s="564"/>
      <c r="L76" s="564"/>
      <c r="M76" s="564"/>
      <c r="N76" s="564"/>
      <c r="O76" s="564"/>
      <c r="P76" s="564"/>
      <c r="Q76" s="564"/>
      <c r="R76" s="564"/>
      <c r="S76" s="564"/>
      <c r="T76" s="564"/>
      <c r="U76" s="564"/>
      <c r="V76" s="564"/>
      <c r="W76" s="564"/>
      <c r="X76" s="564"/>
      <c r="Y76" s="564"/>
      <c r="Z76" s="564"/>
      <c r="AA76" s="564"/>
      <c r="AB76" s="556"/>
      <c r="AC76" s="556"/>
      <c r="AD76" s="556"/>
      <c r="AE76" s="556"/>
      <c r="AF76" s="556"/>
      <c r="AG76" s="556"/>
      <c r="AH76" s="556"/>
      <c r="AI76" s="556"/>
      <c r="AJ76" s="556"/>
      <c r="AK76" s="556"/>
      <c r="AL76" s="556"/>
      <c r="AM76" s="556"/>
      <c r="AN76" s="556"/>
      <c r="AO76" s="556"/>
      <c r="AP76" s="556"/>
      <c r="AQ76" s="556"/>
      <c r="AR76" s="556"/>
      <c r="AS76" s="565"/>
      <c r="AT76" s="556"/>
    </row>
    <row r="77" spans="1:46" hidden="1" x14ac:dyDescent="0.45">
      <c r="A77" s="556"/>
      <c r="B77" s="556"/>
      <c r="C77" s="556"/>
      <c r="D77" s="564"/>
      <c r="E77" s="556"/>
      <c r="F77" s="564"/>
      <c r="G77" s="564"/>
      <c r="H77" s="564"/>
      <c r="I77" s="564"/>
      <c r="J77" s="564"/>
      <c r="K77" s="564"/>
      <c r="L77" s="564"/>
      <c r="M77" s="564"/>
      <c r="N77" s="564"/>
      <c r="O77" s="564"/>
      <c r="P77" s="564"/>
      <c r="Q77" s="564"/>
      <c r="R77" s="564"/>
      <c r="S77" s="564"/>
      <c r="T77" s="564"/>
      <c r="U77" s="564"/>
      <c r="V77" s="564"/>
      <c r="W77" s="564"/>
      <c r="X77" s="564"/>
      <c r="Y77" s="564"/>
      <c r="Z77" s="564"/>
      <c r="AA77" s="564"/>
      <c r="AB77" s="556"/>
      <c r="AC77" s="556"/>
      <c r="AD77" s="556"/>
      <c r="AE77" s="556"/>
      <c r="AF77" s="556"/>
      <c r="AG77" s="556"/>
      <c r="AH77" s="556"/>
      <c r="AI77" s="556"/>
      <c r="AJ77" s="556"/>
      <c r="AK77" s="556"/>
      <c r="AL77" s="556"/>
      <c r="AM77" s="556"/>
      <c r="AN77" s="556"/>
      <c r="AO77" s="556"/>
      <c r="AP77" s="556"/>
      <c r="AQ77" s="556"/>
      <c r="AR77" s="556"/>
      <c r="AS77" s="565"/>
      <c r="AT77" s="556"/>
    </row>
    <row r="78" spans="1:46" hidden="1" x14ac:dyDescent="0.45">
      <c r="A78" s="556"/>
      <c r="B78" s="556"/>
      <c r="C78" s="556"/>
      <c r="D78" s="564"/>
      <c r="E78" s="556"/>
      <c r="F78" s="564"/>
      <c r="G78" s="564"/>
      <c r="H78" s="564"/>
      <c r="I78" s="564"/>
      <c r="J78" s="564"/>
      <c r="K78" s="564"/>
      <c r="L78" s="564"/>
      <c r="M78" s="564"/>
      <c r="N78" s="564"/>
      <c r="O78" s="564"/>
      <c r="P78" s="564"/>
      <c r="Q78" s="564"/>
      <c r="R78" s="564"/>
      <c r="S78" s="564"/>
      <c r="T78" s="564"/>
      <c r="U78" s="564"/>
      <c r="V78" s="564"/>
      <c r="W78" s="564"/>
      <c r="X78" s="564"/>
      <c r="Y78" s="564"/>
      <c r="Z78" s="564"/>
      <c r="AA78" s="564"/>
      <c r="AB78" s="556"/>
      <c r="AC78" s="556"/>
      <c r="AD78" s="556"/>
      <c r="AE78" s="556"/>
      <c r="AF78" s="556"/>
      <c r="AG78" s="556"/>
      <c r="AH78" s="556"/>
      <c r="AI78" s="556"/>
      <c r="AJ78" s="556"/>
      <c r="AK78" s="556"/>
      <c r="AL78" s="556"/>
      <c r="AM78" s="556"/>
      <c r="AN78" s="556"/>
      <c r="AO78" s="556"/>
      <c r="AP78" s="556"/>
      <c r="AQ78" s="556"/>
      <c r="AR78" s="556"/>
      <c r="AS78" s="565"/>
      <c r="AT78" s="556"/>
    </row>
    <row r="79" spans="1:46" hidden="1" x14ac:dyDescent="0.45">
      <c r="A79" s="556"/>
      <c r="B79" s="556"/>
      <c r="C79" s="556"/>
      <c r="D79" s="564"/>
      <c r="E79" s="556"/>
      <c r="F79" s="564"/>
      <c r="G79" s="564"/>
      <c r="H79" s="564"/>
      <c r="I79" s="564"/>
      <c r="J79" s="564"/>
      <c r="K79" s="564"/>
      <c r="L79" s="564"/>
      <c r="M79" s="564"/>
      <c r="N79" s="564"/>
      <c r="O79" s="564"/>
      <c r="P79" s="564"/>
      <c r="Q79" s="564"/>
      <c r="R79" s="564"/>
      <c r="S79" s="564"/>
      <c r="T79" s="564"/>
      <c r="U79" s="564"/>
      <c r="V79" s="564"/>
      <c r="W79" s="564"/>
      <c r="X79" s="564"/>
      <c r="Y79" s="564"/>
      <c r="Z79" s="564"/>
      <c r="AA79" s="564"/>
      <c r="AB79" s="556"/>
      <c r="AC79" s="556"/>
      <c r="AD79" s="556"/>
      <c r="AE79" s="556"/>
      <c r="AF79" s="556"/>
      <c r="AG79" s="556"/>
      <c r="AH79" s="556"/>
      <c r="AI79" s="556"/>
      <c r="AJ79" s="556"/>
      <c r="AK79" s="556"/>
      <c r="AL79" s="556"/>
      <c r="AM79" s="556"/>
      <c r="AN79" s="556"/>
      <c r="AO79" s="556"/>
      <c r="AP79" s="556"/>
      <c r="AQ79" s="556"/>
      <c r="AR79" s="556"/>
      <c r="AS79" s="565"/>
      <c r="AT79" s="556"/>
    </row>
    <row r="80" spans="1:46" hidden="1" x14ac:dyDescent="0.45">
      <c r="A80" s="556"/>
      <c r="B80" s="556"/>
      <c r="C80" s="556"/>
      <c r="D80" s="564"/>
      <c r="E80" s="556"/>
      <c r="F80" s="564"/>
      <c r="G80" s="564"/>
      <c r="H80" s="564"/>
      <c r="I80" s="564"/>
      <c r="J80" s="564"/>
      <c r="K80" s="564"/>
      <c r="L80" s="564"/>
      <c r="M80" s="564"/>
      <c r="N80" s="564"/>
      <c r="O80" s="564"/>
      <c r="P80" s="564"/>
      <c r="Q80" s="564"/>
      <c r="R80" s="564"/>
      <c r="S80" s="564"/>
      <c r="T80" s="564"/>
      <c r="U80" s="564"/>
      <c r="V80" s="564"/>
      <c r="W80" s="564"/>
      <c r="X80" s="564"/>
      <c r="Y80" s="564"/>
      <c r="Z80" s="564"/>
      <c r="AA80" s="564"/>
      <c r="AB80" s="556"/>
      <c r="AC80" s="556"/>
      <c r="AD80" s="556"/>
      <c r="AE80" s="556"/>
      <c r="AF80" s="556"/>
      <c r="AG80" s="556"/>
      <c r="AH80" s="556"/>
      <c r="AI80" s="556"/>
      <c r="AJ80" s="556"/>
      <c r="AK80" s="556"/>
      <c r="AL80" s="556"/>
      <c r="AM80" s="556"/>
      <c r="AN80" s="556"/>
      <c r="AO80" s="556"/>
      <c r="AP80" s="556"/>
      <c r="AQ80" s="556"/>
      <c r="AR80" s="556"/>
      <c r="AS80" s="565"/>
      <c r="AT80" s="556"/>
    </row>
    <row r="81" spans="1:46" hidden="1" x14ac:dyDescent="0.45">
      <c r="A81" s="556"/>
      <c r="B81" s="556"/>
      <c r="C81" s="556"/>
      <c r="D81" s="564"/>
      <c r="E81" s="556"/>
      <c r="F81" s="564"/>
      <c r="G81" s="564"/>
      <c r="H81" s="564"/>
      <c r="I81" s="564"/>
      <c r="J81" s="564"/>
      <c r="K81" s="564"/>
      <c r="L81" s="564"/>
      <c r="M81" s="564"/>
      <c r="N81" s="564"/>
      <c r="O81" s="564"/>
      <c r="P81" s="564"/>
      <c r="Q81" s="564"/>
      <c r="R81" s="564"/>
      <c r="S81" s="564"/>
      <c r="T81" s="564"/>
      <c r="U81" s="564"/>
      <c r="V81" s="564"/>
      <c r="W81" s="564"/>
      <c r="X81" s="564"/>
      <c r="Y81" s="564"/>
      <c r="Z81" s="564"/>
      <c r="AA81" s="564"/>
      <c r="AB81" s="556"/>
      <c r="AC81" s="556"/>
      <c r="AD81" s="556"/>
      <c r="AE81" s="556"/>
      <c r="AF81" s="556"/>
      <c r="AG81" s="556"/>
      <c r="AH81" s="556"/>
      <c r="AI81" s="556"/>
      <c r="AJ81" s="556"/>
      <c r="AK81" s="556"/>
      <c r="AL81" s="556"/>
      <c r="AM81" s="556"/>
      <c r="AN81" s="556"/>
      <c r="AO81" s="556"/>
      <c r="AP81" s="556"/>
      <c r="AQ81" s="556"/>
      <c r="AR81" s="556"/>
      <c r="AS81" s="565"/>
      <c r="AT81" s="556"/>
    </row>
    <row r="82" spans="1:46" hidden="1" x14ac:dyDescent="0.45">
      <c r="A82" s="556"/>
      <c r="B82" s="556"/>
      <c r="C82" s="556"/>
      <c r="D82" s="564"/>
      <c r="E82" s="556"/>
      <c r="F82" s="564"/>
      <c r="G82" s="564"/>
      <c r="H82" s="564"/>
      <c r="I82" s="564"/>
      <c r="J82" s="564"/>
      <c r="K82" s="564"/>
      <c r="L82" s="564"/>
      <c r="M82" s="564"/>
      <c r="N82" s="564"/>
      <c r="O82" s="564"/>
      <c r="P82" s="564"/>
      <c r="Q82" s="564"/>
      <c r="R82" s="564"/>
      <c r="S82" s="564"/>
      <c r="T82" s="564"/>
      <c r="U82" s="564"/>
      <c r="V82" s="564"/>
      <c r="W82" s="564"/>
      <c r="X82" s="564"/>
      <c r="Y82" s="564"/>
      <c r="Z82" s="564"/>
      <c r="AA82" s="564"/>
      <c r="AB82" s="556"/>
      <c r="AC82" s="556"/>
      <c r="AD82" s="556"/>
      <c r="AE82" s="556"/>
      <c r="AF82" s="556"/>
      <c r="AG82" s="556"/>
      <c r="AH82" s="556"/>
      <c r="AI82" s="556"/>
      <c r="AJ82" s="556"/>
      <c r="AK82" s="556"/>
      <c r="AL82" s="556"/>
      <c r="AM82" s="556"/>
      <c r="AN82" s="556"/>
      <c r="AO82" s="556"/>
      <c r="AP82" s="556"/>
      <c r="AQ82" s="556"/>
      <c r="AR82" s="556"/>
      <c r="AS82" s="565"/>
      <c r="AT82" s="556"/>
    </row>
    <row r="83" spans="1:46" hidden="1" x14ac:dyDescent="0.45">
      <c r="A83" s="556"/>
      <c r="B83" s="556"/>
      <c r="C83" s="556"/>
      <c r="D83" s="564"/>
      <c r="E83" s="556"/>
      <c r="F83" s="564"/>
      <c r="G83" s="564"/>
      <c r="H83" s="564"/>
      <c r="I83" s="564"/>
      <c r="J83" s="564"/>
      <c r="K83" s="564"/>
      <c r="L83" s="564"/>
      <c r="M83" s="564"/>
      <c r="N83" s="564"/>
      <c r="O83" s="564"/>
      <c r="P83" s="564"/>
      <c r="Q83" s="564"/>
      <c r="R83" s="564"/>
      <c r="S83" s="564"/>
      <c r="T83" s="564"/>
      <c r="U83" s="564"/>
      <c r="V83" s="564"/>
      <c r="W83" s="564"/>
      <c r="X83" s="564"/>
      <c r="Y83" s="564"/>
      <c r="Z83" s="564"/>
      <c r="AA83" s="564"/>
      <c r="AB83" s="556"/>
      <c r="AC83" s="556"/>
      <c r="AD83" s="556"/>
      <c r="AE83" s="556"/>
      <c r="AF83" s="556"/>
      <c r="AG83" s="556"/>
      <c r="AH83" s="556"/>
      <c r="AI83" s="556"/>
      <c r="AJ83" s="556"/>
      <c r="AK83" s="556"/>
      <c r="AL83" s="556"/>
      <c r="AM83" s="556"/>
      <c r="AN83" s="556"/>
      <c r="AO83" s="556"/>
      <c r="AP83" s="556"/>
      <c r="AQ83" s="556"/>
      <c r="AR83" s="556"/>
      <c r="AS83" s="565"/>
      <c r="AT83" s="556"/>
    </row>
    <row r="84" spans="1:46" hidden="1" x14ac:dyDescent="0.45">
      <c r="A84" s="556"/>
      <c r="B84" s="556"/>
      <c r="C84" s="556"/>
      <c r="D84" s="564"/>
      <c r="E84" s="556"/>
      <c r="F84" s="564"/>
      <c r="G84" s="564"/>
      <c r="H84" s="564"/>
      <c r="I84" s="564"/>
      <c r="J84" s="564"/>
      <c r="K84" s="564"/>
      <c r="L84" s="564"/>
      <c r="M84" s="564"/>
      <c r="N84" s="564"/>
      <c r="O84" s="564"/>
      <c r="P84" s="564"/>
      <c r="Q84" s="564"/>
      <c r="R84" s="564"/>
      <c r="S84" s="564"/>
      <c r="T84" s="564"/>
      <c r="U84" s="564"/>
      <c r="V84" s="564"/>
      <c r="W84" s="564"/>
      <c r="X84" s="564"/>
      <c r="Y84" s="564"/>
      <c r="Z84" s="564"/>
      <c r="AA84" s="564"/>
      <c r="AB84" s="556"/>
      <c r="AC84" s="556"/>
      <c r="AD84" s="556"/>
      <c r="AE84" s="556"/>
      <c r="AF84" s="556"/>
      <c r="AG84" s="556"/>
      <c r="AH84" s="556"/>
      <c r="AI84" s="556"/>
      <c r="AJ84" s="556"/>
      <c r="AK84" s="556"/>
      <c r="AL84" s="556"/>
      <c r="AM84" s="556"/>
      <c r="AN84" s="556"/>
      <c r="AO84" s="556"/>
      <c r="AP84" s="556"/>
      <c r="AQ84" s="556"/>
      <c r="AR84" s="556"/>
      <c r="AS84" s="565"/>
      <c r="AT84" s="556"/>
    </row>
    <row r="85" spans="1:46" hidden="1" x14ac:dyDescent="0.45">
      <c r="A85" s="556"/>
      <c r="B85" s="556"/>
      <c r="C85" s="556"/>
      <c r="D85" s="564"/>
      <c r="E85" s="556"/>
      <c r="F85" s="564"/>
      <c r="G85" s="564"/>
      <c r="H85" s="564"/>
      <c r="I85" s="564"/>
      <c r="J85" s="564"/>
      <c r="K85" s="564"/>
      <c r="L85" s="564"/>
      <c r="M85" s="564"/>
      <c r="N85" s="564"/>
      <c r="O85" s="564"/>
      <c r="P85" s="564"/>
      <c r="Q85" s="564"/>
      <c r="R85" s="564"/>
      <c r="S85" s="564"/>
      <c r="T85" s="564"/>
      <c r="U85" s="564"/>
      <c r="V85" s="564"/>
      <c r="W85" s="564"/>
      <c r="X85" s="564"/>
      <c r="Y85" s="564"/>
      <c r="Z85" s="564"/>
      <c r="AA85" s="564"/>
      <c r="AB85" s="556"/>
      <c r="AC85" s="556"/>
      <c r="AD85" s="556"/>
      <c r="AE85" s="556"/>
      <c r="AF85" s="556"/>
      <c r="AG85" s="556"/>
      <c r="AH85" s="556"/>
      <c r="AI85" s="556"/>
      <c r="AJ85" s="556"/>
      <c r="AK85" s="556"/>
      <c r="AL85" s="556"/>
      <c r="AM85" s="556"/>
      <c r="AN85" s="556"/>
      <c r="AO85" s="556"/>
      <c r="AP85" s="556"/>
      <c r="AQ85" s="556"/>
      <c r="AR85" s="556"/>
      <c r="AS85" s="565"/>
      <c r="AT85" s="556"/>
    </row>
    <row r="86" spans="1:46" hidden="1" x14ac:dyDescent="0.45">
      <c r="A86" s="556"/>
      <c r="B86" s="556"/>
      <c r="C86" s="556"/>
      <c r="D86" s="564"/>
      <c r="E86" s="556"/>
      <c r="F86" s="564"/>
      <c r="G86" s="564"/>
      <c r="H86" s="564"/>
      <c r="I86" s="564"/>
      <c r="J86" s="564"/>
      <c r="K86" s="564"/>
      <c r="L86" s="564"/>
      <c r="M86" s="564"/>
      <c r="N86" s="564"/>
      <c r="O86" s="564"/>
      <c r="P86" s="564"/>
      <c r="Q86" s="564"/>
      <c r="R86" s="564"/>
      <c r="S86" s="564"/>
      <c r="T86" s="564"/>
      <c r="U86" s="564"/>
      <c r="V86" s="564"/>
      <c r="W86" s="564"/>
      <c r="X86" s="564"/>
      <c r="Y86" s="564"/>
      <c r="Z86" s="564"/>
      <c r="AA86" s="564"/>
      <c r="AB86" s="556"/>
      <c r="AC86" s="556"/>
      <c r="AD86" s="556"/>
      <c r="AE86" s="556"/>
      <c r="AF86" s="556"/>
      <c r="AG86" s="556"/>
      <c r="AH86" s="556"/>
      <c r="AI86" s="556"/>
      <c r="AJ86" s="556"/>
      <c r="AK86" s="556"/>
      <c r="AL86" s="556"/>
      <c r="AM86" s="556"/>
      <c r="AN86" s="556"/>
      <c r="AO86" s="556"/>
      <c r="AP86" s="556"/>
      <c r="AQ86" s="556"/>
      <c r="AR86" s="556"/>
      <c r="AS86" s="565"/>
      <c r="AT86" s="556"/>
    </row>
    <row r="87" spans="1:46" hidden="1" x14ac:dyDescent="0.45">
      <c r="A87" s="556"/>
      <c r="B87" s="556"/>
      <c r="C87" s="556"/>
      <c r="D87" s="564"/>
      <c r="E87" s="556"/>
      <c r="F87" s="564"/>
      <c r="G87" s="564"/>
      <c r="H87" s="564"/>
      <c r="I87" s="564"/>
      <c r="J87" s="564"/>
      <c r="K87" s="564"/>
      <c r="L87" s="564"/>
      <c r="M87" s="564"/>
      <c r="N87" s="564"/>
      <c r="O87" s="564"/>
      <c r="P87" s="564"/>
      <c r="Q87" s="564"/>
      <c r="R87" s="564"/>
      <c r="S87" s="564"/>
      <c r="T87" s="564"/>
      <c r="U87" s="564"/>
      <c r="V87" s="564"/>
      <c r="W87" s="564"/>
      <c r="X87" s="564"/>
      <c r="Y87" s="564"/>
      <c r="Z87" s="564"/>
      <c r="AA87" s="564"/>
      <c r="AB87" s="556"/>
      <c r="AC87" s="556"/>
      <c r="AD87" s="556"/>
      <c r="AE87" s="556"/>
      <c r="AF87" s="556"/>
      <c r="AG87" s="556"/>
      <c r="AH87" s="556"/>
      <c r="AI87" s="556"/>
      <c r="AJ87" s="556"/>
      <c r="AK87" s="556"/>
      <c r="AL87" s="556"/>
      <c r="AM87" s="556"/>
      <c r="AN87" s="556"/>
      <c r="AO87" s="556"/>
      <c r="AP87" s="556"/>
      <c r="AQ87" s="556"/>
      <c r="AR87" s="556"/>
      <c r="AS87" s="565"/>
      <c r="AT87" s="556"/>
    </row>
    <row r="88" spans="1:46" hidden="1" x14ac:dyDescent="0.45">
      <c r="A88" s="556"/>
      <c r="B88" s="556"/>
      <c r="C88" s="556"/>
      <c r="D88" s="564"/>
      <c r="E88" s="556"/>
      <c r="F88" s="564"/>
      <c r="G88" s="564"/>
      <c r="H88" s="564"/>
      <c r="I88" s="564"/>
      <c r="J88" s="564"/>
      <c r="K88" s="564"/>
      <c r="L88" s="564"/>
      <c r="M88" s="564"/>
      <c r="N88" s="564"/>
      <c r="O88" s="564"/>
      <c r="P88" s="564"/>
      <c r="Q88" s="564"/>
      <c r="R88" s="564"/>
      <c r="S88" s="564"/>
      <c r="T88" s="564"/>
      <c r="U88" s="564"/>
      <c r="V88" s="564"/>
      <c r="W88" s="564"/>
      <c r="X88" s="564"/>
      <c r="Y88" s="564"/>
      <c r="Z88" s="564"/>
      <c r="AA88" s="564"/>
      <c r="AB88" s="556"/>
      <c r="AC88" s="556"/>
      <c r="AD88" s="556"/>
      <c r="AE88" s="556"/>
      <c r="AF88" s="556"/>
      <c r="AG88" s="556"/>
      <c r="AH88" s="556"/>
      <c r="AI88" s="556"/>
      <c r="AJ88" s="556"/>
      <c r="AK88" s="556"/>
      <c r="AL88" s="556"/>
      <c r="AM88" s="556"/>
      <c r="AN88" s="556"/>
      <c r="AO88" s="556"/>
      <c r="AP88" s="556"/>
      <c r="AQ88" s="556"/>
      <c r="AR88" s="556"/>
      <c r="AS88" s="565"/>
      <c r="AT88" s="556"/>
    </row>
    <row r="89" spans="1:46" hidden="1" x14ac:dyDescent="0.45">
      <c r="A89" s="556"/>
      <c r="B89" s="556"/>
      <c r="C89" s="556"/>
      <c r="D89" s="564"/>
      <c r="E89" s="556"/>
      <c r="F89" s="564"/>
      <c r="G89" s="564"/>
      <c r="H89" s="564"/>
      <c r="I89" s="564"/>
      <c r="J89" s="564"/>
      <c r="K89" s="564"/>
      <c r="L89" s="564"/>
      <c r="M89" s="564"/>
      <c r="N89" s="564"/>
      <c r="O89" s="564"/>
      <c r="P89" s="564"/>
      <c r="Q89" s="564"/>
      <c r="R89" s="564"/>
      <c r="S89" s="564"/>
      <c r="T89" s="564"/>
      <c r="U89" s="564"/>
      <c r="V89" s="564"/>
      <c r="W89" s="564"/>
      <c r="X89" s="564"/>
      <c r="Y89" s="564"/>
      <c r="Z89" s="564"/>
      <c r="AA89" s="564"/>
      <c r="AB89" s="556"/>
      <c r="AC89" s="556"/>
      <c r="AD89" s="556"/>
      <c r="AE89" s="556"/>
      <c r="AF89" s="556"/>
      <c r="AG89" s="556"/>
      <c r="AH89" s="556"/>
      <c r="AI89" s="556"/>
      <c r="AJ89" s="556"/>
      <c r="AK89" s="556"/>
      <c r="AL89" s="556"/>
      <c r="AM89" s="556"/>
      <c r="AN89" s="556"/>
      <c r="AO89" s="556"/>
      <c r="AP89" s="556"/>
      <c r="AQ89" s="556"/>
      <c r="AR89" s="556"/>
      <c r="AS89" s="565"/>
      <c r="AT89" s="556"/>
    </row>
    <row r="90" spans="1:46" hidden="1" x14ac:dyDescent="0.45">
      <c r="A90" s="556"/>
      <c r="B90" s="556"/>
      <c r="C90" s="556"/>
      <c r="D90" s="564"/>
      <c r="E90" s="556"/>
      <c r="F90" s="564"/>
      <c r="G90" s="564"/>
      <c r="H90" s="564"/>
      <c r="I90" s="564"/>
      <c r="J90" s="564"/>
      <c r="K90" s="564"/>
      <c r="L90" s="564"/>
      <c r="M90" s="564"/>
      <c r="N90" s="564"/>
      <c r="O90" s="564"/>
      <c r="P90" s="564"/>
      <c r="Q90" s="564"/>
      <c r="R90" s="564"/>
      <c r="S90" s="564"/>
      <c r="T90" s="564"/>
      <c r="U90" s="564"/>
      <c r="V90" s="564"/>
      <c r="W90" s="564"/>
      <c r="X90" s="564"/>
      <c r="Y90" s="564"/>
      <c r="Z90" s="564"/>
      <c r="AA90" s="564"/>
      <c r="AB90" s="556"/>
      <c r="AC90" s="556"/>
      <c r="AD90" s="556"/>
      <c r="AE90" s="556"/>
      <c r="AF90" s="556"/>
      <c r="AG90" s="556"/>
      <c r="AH90" s="556"/>
      <c r="AI90" s="556"/>
      <c r="AJ90" s="556"/>
      <c r="AK90" s="556"/>
      <c r="AL90" s="556"/>
      <c r="AM90" s="556"/>
      <c r="AN90" s="556"/>
      <c r="AO90" s="556"/>
      <c r="AP90" s="556"/>
      <c r="AQ90" s="556"/>
      <c r="AR90" s="556"/>
      <c r="AS90" s="565"/>
      <c r="AT90" s="556"/>
    </row>
    <row r="91" spans="1:46" hidden="1" x14ac:dyDescent="0.45">
      <c r="A91" s="556"/>
      <c r="B91" s="556"/>
      <c r="C91" s="556"/>
      <c r="D91" s="564"/>
      <c r="E91" s="556"/>
      <c r="F91" s="564"/>
      <c r="G91" s="564"/>
      <c r="H91" s="564"/>
      <c r="I91" s="564"/>
      <c r="J91" s="564"/>
      <c r="K91" s="564"/>
      <c r="L91" s="564"/>
      <c r="M91" s="564"/>
      <c r="N91" s="564"/>
      <c r="O91" s="564"/>
      <c r="P91" s="564"/>
      <c r="Q91" s="564"/>
      <c r="R91" s="564"/>
      <c r="S91" s="564"/>
      <c r="T91" s="564"/>
      <c r="U91" s="564"/>
      <c r="V91" s="564"/>
      <c r="W91" s="564"/>
      <c r="X91" s="564"/>
      <c r="Y91" s="564"/>
      <c r="Z91" s="564"/>
      <c r="AA91" s="564"/>
      <c r="AB91" s="556"/>
      <c r="AC91" s="556"/>
      <c r="AD91" s="556"/>
      <c r="AE91" s="556"/>
      <c r="AF91" s="556"/>
      <c r="AG91" s="556"/>
      <c r="AH91" s="556"/>
      <c r="AI91" s="556"/>
      <c r="AJ91" s="556"/>
      <c r="AK91" s="556"/>
      <c r="AL91" s="556"/>
      <c r="AM91" s="556"/>
      <c r="AN91" s="556"/>
      <c r="AO91" s="556"/>
      <c r="AP91" s="556"/>
      <c r="AQ91" s="556"/>
      <c r="AR91" s="556"/>
      <c r="AS91" s="565"/>
      <c r="AT91" s="556"/>
    </row>
    <row r="92" spans="1:46" hidden="1" x14ac:dyDescent="0.45">
      <c r="A92" s="556"/>
      <c r="B92" s="556"/>
      <c r="C92" s="556"/>
      <c r="D92" s="564"/>
      <c r="E92" s="556"/>
      <c r="F92" s="564"/>
      <c r="G92" s="564"/>
      <c r="H92" s="564"/>
      <c r="I92" s="564"/>
      <c r="J92" s="564"/>
      <c r="K92" s="564"/>
      <c r="L92" s="564"/>
      <c r="M92" s="564"/>
      <c r="N92" s="564"/>
      <c r="O92" s="564"/>
      <c r="P92" s="564"/>
      <c r="Q92" s="564"/>
      <c r="R92" s="564"/>
      <c r="S92" s="564"/>
      <c r="T92" s="564"/>
      <c r="U92" s="564"/>
      <c r="V92" s="564"/>
      <c r="W92" s="564"/>
      <c r="X92" s="564"/>
      <c r="Y92" s="564"/>
      <c r="Z92" s="564"/>
      <c r="AA92" s="564"/>
      <c r="AB92" s="556"/>
      <c r="AC92" s="556"/>
      <c r="AD92" s="556"/>
      <c r="AE92" s="556"/>
      <c r="AF92" s="556"/>
      <c r="AG92" s="556"/>
      <c r="AH92" s="556"/>
      <c r="AI92" s="556"/>
      <c r="AJ92" s="556"/>
      <c r="AK92" s="556"/>
      <c r="AL92" s="556"/>
      <c r="AM92" s="556"/>
      <c r="AN92" s="556"/>
      <c r="AO92" s="556"/>
      <c r="AP92" s="556"/>
      <c r="AQ92" s="556"/>
      <c r="AR92" s="556"/>
      <c r="AS92" s="565"/>
      <c r="AT92" s="556"/>
    </row>
    <row r="93" spans="1:46" hidden="1" x14ac:dyDescent="0.45">
      <c r="A93" s="556"/>
      <c r="B93" s="556"/>
      <c r="C93" s="556"/>
      <c r="D93" s="564"/>
      <c r="E93" s="556"/>
      <c r="F93" s="564"/>
      <c r="G93" s="564"/>
      <c r="H93" s="564"/>
      <c r="I93" s="564"/>
      <c r="J93" s="564"/>
      <c r="K93" s="564"/>
      <c r="L93" s="564"/>
      <c r="M93" s="564"/>
      <c r="N93" s="564"/>
      <c r="O93" s="564"/>
      <c r="P93" s="564"/>
      <c r="Q93" s="564"/>
      <c r="R93" s="564"/>
      <c r="S93" s="564"/>
      <c r="T93" s="564"/>
      <c r="U93" s="564"/>
      <c r="V93" s="564"/>
      <c r="W93" s="564"/>
      <c r="X93" s="564"/>
      <c r="Y93" s="564"/>
      <c r="Z93" s="564"/>
      <c r="AA93" s="564"/>
      <c r="AB93" s="556"/>
      <c r="AC93" s="556"/>
      <c r="AD93" s="556"/>
      <c r="AE93" s="556"/>
      <c r="AF93" s="556"/>
      <c r="AG93" s="556"/>
      <c r="AH93" s="556"/>
      <c r="AI93" s="556"/>
      <c r="AJ93" s="556"/>
      <c r="AK93" s="556"/>
      <c r="AL93" s="556"/>
      <c r="AM93" s="556"/>
      <c r="AN93" s="556"/>
      <c r="AO93" s="556"/>
      <c r="AP93" s="556"/>
      <c r="AQ93" s="556"/>
      <c r="AR93" s="556"/>
      <c r="AS93" s="565"/>
      <c r="AT93" s="556"/>
    </row>
    <row r="94" spans="1:46" hidden="1" x14ac:dyDescent="0.45">
      <c r="A94" s="556"/>
      <c r="B94" s="556"/>
      <c r="C94" s="556"/>
      <c r="D94" s="564"/>
      <c r="E94" s="556"/>
      <c r="F94" s="564"/>
      <c r="G94" s="564"/>
      <c r="H94" s="564"/>
      <c r="I94" s="564"/>
      <c r="J94" s="564"/>
      <c r="K94" s="564"/>
      <c r="L94" s="564"/>
      <c r="M94" s="564"/>
      <c r="N94" s="564"/>
      <c r="O94" s="564"/>
      <c r="P94" s="564"/>
      <c r="Q94" s="564"/>
      <c r="R94" s="564"/>
      <c r="S94" s="564"/>
      <c r="T94" s="564"/>
      <c r="U94" s="564"/>
      <c r="V94" s="564"/>
      <c r="W94" s="564"/>
      <c r="X94" s="564"/>
      <c r="Y94" s="564"/>
      <c r="Z94" s="564"/>
      <c r="AA94" s="564"/>
      <c r="AB94" s="556"/>
      <c r="AC94" s="556"/>
      <c r="AD94" s="556"/>
      <c r="AE94" s="556"/>
      <c r="AF94" s="556"/>
      <c r="AG94" s="556"/>
      <c r="AH94" s="556"/>
      <c r="AI94" s="556"/>
      <c r="AJ94" s="556"/>
      <c r="AK94" s="556"/>
      <c r="AL94" s="556"/>
      <c r="AM94" s="556"/>
      <c r="AN94" s="556"/>
      <c r="AO94" s="556"/>
      <c r="AP94" s="556"/>
      <c r="AQ94" s="556"/>
      <c r="AR94" s="556"/>
      <c r="AS94" s="565"/>
      <c r="AT94" s="556"/>
    </row>
    <row r="95" spans="1:46" hidden="1" x14ac:dyDescent="0.45">
      <c r="A95" s="556"/>
      <c r="B95" s="556"/>
      <c r="C95" s="556"/>
      <c r="D95" s="564"/>
      <c r="E95" s="556"/>
      <c r="F95" s="564"/>
      <c r="G95" s="564"/>
      <c r="H95" s="564"/>
      <c r="I95" s="564"/>
      <c r="J95" s="564"/>
      <c r="K95" s="564"/>
      <c r="L95" s="564"/>
      <c r="M95" s="564"/>
      <c r="N95" s="564"/>
      <c r="O95" s="564"/>
      <c r="P95" s="564"/>
      <c r="Q95" s="564"/>
      <c r="R95" s="564"/>
      <c r="S95" s="564"/>
      <c r="T95" s="564"/>
      <c r="U95" s="564"/>
      <c r="V95" s="564"/>
      <c r="W95" s="564"/>
      <c r="X95" s="564"/>
      <c r="Y95" s="564"/>
      <c r="Z95" s="564"/>
      <c r="AA95" s="564"/>
      <c r="AB95" s="556"/>
      <c r="AC95" s="556"/>
      <c r="AD95" s="556"/>
      <c r="AE95" s="556"/>
      <c r="AF95" s="556"/>
      <c r="AG95" s="556"/>
      <c r="AH95" s="556"/>
      <c r="AI95" s="556"/>
      <c r="AJ95" s="556"/>
      <c r="AK95" s="556"/>
      <c r="AL95" s="556"/>
      <c r="AM95" s="556"/>
      <c r="AN95" s="556"/>
      <c r="AO95" s="556"/>
      <c r="AP95" s="556"/>
      <c r="AQ95" s="556"/>
      <c r="AR95" s="556"/>
      <c r="AS95" s="565"/>
      <c r="AT95" s="556"/>
    </row>
    <row r="96" spans="1:46" hidden="1" x14ac:dyDescent="0.45">
      <c r="A96" s="556"/>
      <c r="B96" s="556"/>
      <c r="C96" s="556"/>
      <c r="D96" s="564"/>
      <c r="E96" s="556"/>
      <c r="F96" s="564"/>
      <c r="G96" s="564"/>
      <c r="H96" s="564"/>
      <c r="I96" s="564"/>
      <c r="J96" s="564"/>
      <c r="K96" s="564"/>
      <c r="L96" s="564"/>
      <c r="M96" s="564"/>
      <c r="N96" s="564"/>
      <c r="O96" s="564"/>
      <c r="P96" s="564"/>
      <c r="Q96" s="564"/>
      <c r="R96" s="564"/>
      <c r="S96" s="564"/>
      <c r="T96" s="564"/>
      <c r="U96" s="564"/>
      <c r="V96" s="564"/>
      <c r="W96" s="564"/>
      <c r="X96" s="564"/>
      <c r="Y96" s="564"/>
      <c r="Z96" s="564"/>
      <c r="AA96" s="564"/>
      <c r="AB96" s="556"/>
      <c r="AC96" s="556"/>
      <c r="AD96" s="556"/>
      <c r="AE96" s="556"/>
      <c r="AF96" s="556"/>
      <c r="AG96" s="556"/>
      <c r="AH96" s="556"/>
      <c r="AI96" s="556"/>
      <c r="AJ96" s="556"/>
      <c r="AK96" s="556"/>
      <c r="AL96" s="556"/>
      <c r="AM96" s="556"/>
      <c r="AN96" s="556"/>
      <c r="AO96" s="556"/>
      <c r="AP96" s="556"/>
      <c r="AQ96" s="556"/>
      <c r="AR96" s="556"/>
      <c r="AS96" s="565"/>
      <c r="AT96" s="556"/>
    </row>
    <row r="97" spans="1:46" hidden="1" x14ac:dyDescent="0.45">
      <c r="A97" s="556"/>
      <c r="B97" s="556"/>
      <c r="C97" s="556"/>
      <c r="D97" s="564"/>
      <c r="E97" s="556"/>
      <c r="F97" s="564"/>
      <c r="G97" s="564"/>
      <c r="H97" s="564"/>
      <c r="I97" s="564"/>
      <c r="J97" s="564"/>
      <c r="K97" s="564"/>
      <c r="L97" s="564"/>
      <c r="M97" s="564"/>
      <c r="N97" s="564"/>
      <c r="O97" s="564"/>
      <c r="P97" s="564"/>
      <c r="Q97" s="564"/>
      <c r="R97" s="564"/>
      <c r="S97" s="564"/>
      <c r="T97" s="564"/>
      <c r="U97" s="564"/>
      <c r="V97" s="564"/>
      <c r="W97" s="564"/>
      <c r="X97" s="564"/>
      <c r="Y97" s="564"/>
      <c r="Z97" s="564"/>
      <c r="AA97" s="564"/>
      <c r="AB97" s="556"/>
      <c r="AC97" s="556"/>
      <c r="AD97" s="556"/>
      <c r="AE97" s="556"/>
      <c r="AF97" s="556"/>
      <c r="AG97" s="556"/>
      <c r="AH97" s="556"/>
      <c r="AI97" s="556"/>
      <c r="AJ97" s="556"/>
      <c r="AK97" s="556"/>
      <c r="AL97" s="556"/>
      <c r="AM97" s="556"/>
      <c r="AN97" s="556"/>
      <c r="AO97" s="556"/>
      <c r="AP97" s="556"/>
      <c r="AQ97" s="556"/>
      <c r="AR97" s="556"/>
      <c r="AS97" s="565"/>
      <c r="AT97" s="556"/>
    </row>
    <row r="98" spans="1:46" hidden="1" x14ac:dyDescent="0.45">
      <c r="A98" s="556"/>
      <c r="B98" s="556"/>
      <c r="C98" s="556"/>
      <c r="D98" s="564"/>
      <c r="E98" s="556"/>
      <c r="F98" s="564"/>
      <c r="G98" s="564"/>
      <c r="H98" s="564"/>
      <c r="I98" s="564"/>
      <c r="J98" s="564"/>
      <c r="K98" s="564"/>
      <c r="L98" s="564"/>
      <c r="M98" s="564"/>
      <c r="N98" s="564"/>
      <c r="O98" s="564"/>
      <c r="P98" s="564"/>
      <c r="Q98" s="564"/>
      <c r="R98" s="564"/>
      <c r="S98" s="564"/>
      <c r="T98" s="564"/>
      <c r="U98" s="564"/>
      <c r="V98" s="564"/>
      <c r="W98" s="564"/>
      <c r="X98" s="564"/>
      <c r="Y98" s="564"/>
      <c r="Z98" s="564"/>
      <c r="AA98" s="564"/>
      <c r="AB98" s="556"/>
      <c r="AC98" s="556"/>
      <c r="AD98" s="556"/>
      <c r="AE98" s="556"/>
      <c r="AF98" s="556"/>
      <c r="AG98" s="556"/>
      <c r="AH98" s="556"/>
      <c r="AI98" s="556"/>
      <c r="AJ98" s="556"/>
      <c r="AK98" s="556"/>
      <c r="AL98" s="556"/>
      <c r="AM98" s="556"/>
      <c r="AN98" s="556"/>
      <c r="AO98" s="556"/>
      <c r="AP98" s="556"/>
      <c r="AQ98" s="556"/>
      <c r="AR98" s="556"/>
      <c r="AS98" s="565"/>
      <c r="AT98" s="556"/>
    </row>
    <row r="99" spans="1:46" hidden="1" x14ac:dyDescent="0.45">
      <c r="A99" s="556"/>
      <c r="B99" s="556"/>
      <c r="C99" s="556"/>
      <c r="D99" s="564"/>
      <c r="E99" s="556"/>
      <c r="F99" s="564"/>
      <c r="G99" s="564"/>
      <c r="H99" s="564"/>
      <c r="I99" s="564"/>
      <c r="J99" s="564"/>
      <c r="K99" s="564"/>
      <c r="L99" s="564"/>
      <c r="M99" s="564"/>
      <c r="N99" s="564"/>
      <c r="O99" s="564"/>
      <c r="P99" s="564"/>
      <c r="Q99" s="564"/>
      <c r="R99" s="564"/>
      <c r="S99" s="564"/>
      <c r="T99" s="564"/>
      <c r="U99" s="564"/>
      <c r="V99" s="564"/>
      <c r="W99" s="564"/>
      <c r="X99" s="564"/>
      <c r="Y99" s="564"/>
      <c r="Z99" s="564"/>
      <c r="AA99" s="564"/>
      <c r="AB99" s="556"/>
      <c r="AC99" s="556"/>
      <c r="AD99" s="556"/>
      <c r="AE99" s="556"/>
      <c r="AF99" s="556"/>
      <c r="AG99" s="556"/>
      <c r="AH99" s="556"/>
      <c r="AI99" s="556"/>
      <c r="AJ99" s="556"/>
      <c r="AK99" s="556"/>
      <c r="AL99" s="556"/>
      <c r="AM99" s="556"/>
      <c r="AN99" s="556"/>
      <c r="AO99" s="556"/>
      <c r="AP99" s="556"/>
      <c r="AQ99" s="556"/>
      <c r="AR99" s="556"/>
      <c r="AS99" s="565"/>
      <c r="AT99" s="556"/>
    </row>
    <row r="100" spans="1:46" hidden="1" x14ac:dyDescent="0.45">
      <c r="A100" s="556"/>
      <c r="B100" s="556"/>
      <c r="C100" s="556"/>
      <c r="D100" s="564"/>
      <c r="E100" s="556"/>
      <c r="F100" s="564"/>
      <c r="G100" s="564"/>
      <c r="H100" s="564"/>
      <c r="I100" s="564"/>
      <c r="J100" s="564"/>
      <c r="K100" s="564"/>
      <c r="L100" s="564"/>
      <c r="M100" s="564"/>
      <c r="N100" s="564"/>
      <c r="O100" s="564"/>
      <c r="P100" s="564"/>
      <c r="Q100" s="564"/>
      <c r="R100" s="564"/>
      <c r="S100" s="564"/>
      <c r="T100" s="564"/>
      <c r="U100" s="564"/>
      <c r="V100" s="564"/>
      <c r="W100" s="564"/>
      <c r="X100" s="564"/>
      <c r="Y100" s="564"/>
      <c r="Z100" s="564"/>
      <c r="AA100" s="564"/>
      <c r="AB100" s="556"/>
      <c r="AC100" s="556"/>
      <c r="AD100" s="556"/>
      <c r="AE100" s="556"/>
      <c r="AF100" s="556"/>
      <c r="AG100" s="556"/>
      <c r="AH100" s="556"/>
      <c r="AI100" s="556"/>
      <c r="AJ100" s="556"/>
      <c r="AK100" s="556"/>
      <c r="AL100" s="556"/>
      <c r="AM100" s="556"/>
      <c r="AN100" s="556"/>
      <c r="AO100" s="556"/>
      <c r="AP100" s="556"/>
      <c r="AQ100" s="556"/>
      <c r="AR100" s="556"/>
      <c r="AS100" s="565"/>
      <c r="AT100" s="556"/>
    </row>
    <row r="101" spans="1:46" hidden="1" x14ac:dyDescent="0.45">
      <c r="A101" s="556"/>
      <c r="B101" s="556"/>
      <c r="C101" s="556"/>
      <c r="D101" s="564"/>
      <c r="E101" s="556"/>
      <c r="F101" s="564"/>
      <c r="G101" s="564"/>
      <c r="H101" s="564"/>
      <c r="I101" s="564"/>
      <c r="J101" s="564"/>
      <c r="K101" s="564"/>
      <c r="L101" s="564"/>
      <c r="M101" s="564"/>
      <c r="N101" s="564"/>
      <c r="O101" s="564"/>
      <c r="P101" s="564"/>
      <c r="Q101" s="564"/>
      <c r="R101" s="564"/>
      <c r="S101" s="564"/>
      <c r="T101" s="564"/>
      <c r="U101" s="564"/>
      <c r="V101" s="564"/>
      <c r="W101" s="564"/>
      <c r="X101" s="564"/>
      <c r="Y101" s="564"/>
      <c r="Z101" s="564"/>
      <c r="AA101" s="564"/>
      <c r="AB101" s="556"/>
      <c r="AC101" s="556"/>
      <c r="AD101" s="556"/>
      <c r="AE101" s="556"/>
      <c r="AF101" s="556"/>
      <c r="AG101" s="556"/>
      <c r="AH101" s="556"/>
      <c r="AI101" s="556"/>
      <c r="AJ101" s="556"/>
      <c r="AK101" s="556"/>
      <c r="AL101" s="556"/>
      <c r="AM101" s="556"/>
      <c r="AN101" s="556"/>
      <c r="AO101" s="556"/>
      <c r="AP101" s="556"/>
      <c r="AQ101" s="556"/>
      <c r="AR101" s="556"/>
      <c r="AS101" s="565"/>
      <c r="AT101" s="556"/>
    </row>
    <row r="102" spans="1:46" hidden="1" x14ac:dyDescent="0.45">
      <c r="A102" s="556"/>
      <c r="B102" s="556"/>
      <c r="C102" s="556"/>
      <c r="D102" s="564"/>
      <c r="E102" s="556"/>
      <c r="F102" s="564"/>
      <c r="G102" s="564"/>
      <c r="H102" s="564"/>
      <c r="I102" s="564"/>
      <c r="J102" s="564"/>
      <c r="K102" s="564"/>
      <c r="L102" s="564"/>
      <c r="M102" s="564"/>
      <c r="N102" s="564"/>
      <c r="O102" s="564"/>
      <c r="P102" s="564"/>
      <c r="Q102" s="564"/>
      <c r="R102" s="564"/>
      <c r="S102" s="564"/>
      <c r="T102" s="564"/>
      <c r="U102" s="564"/>
      <c r="V102" s="564"/>
      <c r="W102" s="564"/>
      <c r="X102" s="564"/>
      <c r="Y102" s="564"/>
      <c r="Z102" s="564"/>
      <c r="AA102" s="564"/>
      <c r="AB102" s="556"/>
      <c r="AC102" s="556"/>
      <c r="AD102" s="556"/>
      <c r="AE102" s="556"/>
      <c r="AF102" s="556"/>
      <c r="AG102" s="556"/>
      <c r="AH102" s="556"/>
      <c r="AI102" s="556"/>
      <c r="AJ102" s="556"/>
      <c r="AK102" s="556"/>
      <c r="AL102" s="556"/>
      <c r="AM102" s="556"/>
      <c r="AN102" s="556"/>
      <c r="AO102" s="556"/>
      <c r="AP102" s="556"/>
      <c r="AQ102" s="556"/>
      <c r="AR102" s="556"/>
      <c r="AS102" s="565"/>
      <c r="AT102" s="556"/>
    </row>
    <row r="103" spans="1:46" hidden="1" x14ac:dyDescent="0.45">
      <c r="A103" s="556"/>
      <c r="B103" s="556"/>
      <c r="C103" s="556"/>
      <c r="D103" s="564"/>
      <c r="E103" s="556"/>
      <c r="F103" s="564"/>
      <c r="G103" s="564"/>
      <c r="H103" s="564"/>
      <c r="I103" s="564"/>
      <c r="J103" s="564"/>
      <c r="K103" s="564"/>
      <c r="L103" s="564"/>
      <c r="M103" s="564"/>
      <c r="N103" s="564"/>
      <c r="O103" s="564"/>
      <c r="P103" s="564"/>
      <c r="Q103" s="564"/>
      <c r="R103" s="564"/>
      <c r="S103" s="564"/>
      <c r="T103" s="564"/>
      <c r="U103" s="564"/>
      <c r="V103" s="564"/>
      <c r="W103" s="564"/>
      <c r="X103" s="564"/>
      <c r="Y103" s="564"/>
      <c r="Z103" s="564"/>
      <c r="AA103" s="564"/>
      <c r="AB103" s="556"/>
      <c r="AC103" s="556"/>
      <c r="AD103" s="556"/>
      <c r="AE103" s="556"/>
      <c r="AF103" s="556"/>
      <c r="AG103" s="556"/>
      <c r="AH103" s="556"/>
      <c r="AI103" s="556"/>
      <c r="AJ103" s="556"/>
      <c r="AK103" s="556"/>
      <c r="AL103" s="556"/>
      <c r="AM103" s="556"/>
      <c r="AN103" s="556"/>
      <c r="AO103" s="556"/>
      <c r="AP103" s="556"/>
      <c r="AQ103" s="556"/>
      <c r="AR103" s="556"/>
      <c r="AS103" s="565"/>
      <c r="AT103" s="556"/>
    </row>
    <row r="104" spans="1:46" hidden="1" x14ac:dyDescent="0.45">
      <c r="A104" s="556"/>
      <c r="B104" s="556"/>
      <c r="C104" s="556"/>
      <c r="D104" s="564"/>
      <c r="E104" s="556"/>
      <c r="F104" s="564"/>
      <c r="G104" s="564"/>
      <c r="H104" s="564"/>
      <c r="I104" s="564"/>
      <c r="J104" s="564"/>
      <c r="K104" s="564"/>
      <c r="L104" s="564"/>
      <c r="M104" s="564"/>
      <c r="N104" s="564"/>
      <c r="O104" s="564"/>
      <c r="P104" s="564"/>
      <c r="Q104" s="564"/>
      <c r="R104" s="564"/>
      <c r="S104" s="564"/>
      <c r="T104" s="564"/>
      <c r="U104" s="564"/>
      <c r="V104" s="564"/>
      <c r="W104" s="564"/>
      <c r="X104" s="564"/>
      <c r="Y104" s="564"/>
      <c r="Z104" s="564"/>
      <c r="AA104" s="564"/>
      <c r="AB104" s="556"/>
      <c r="AC104" s="556"/>
      <c r="AD104" s="556"/>
      <c r="AE104" s="556"/>
      <c r="AF104" s="556"/>
      <c r="AG104" s="556"/>
      <c r="AH104" s="556"/>
      <c r="AI104" s="556"/>
      <c r="AJ104" s="556"/>
      <c r="AK104" s="556"/>
      <c r="AL104" s="556"/>
      <c r="AM104" s="556"/>
      <c r="AN104" s="556"/>
      <c r="AO104" s="556"/>
      <c r="AP104" s="556"/>
      <c r="AQ104" s="556"/>
      <c r="AR104" s="556"/>
      <c r="AS104" s="565"/>
      <c r="AT104" s="556"/>
    </row>
    <row r="105" spans="1:46" hidden="1" x14ac:dyDescent="0.45">
      <c r="A105" s="556"/>
      <c r="B105" s="556"/>
      <c r="C105" s="556"/>
      <c r="D105" s="564"/>
      <c r="E105" s="556"/>
      <c r="F105" s="564"/>
      <c r="G105" s="564"/>
      <c r="H105" s="564"/>
      <c r="I105" s="564"/>
      <c r="J105" s="564"/>
      <c r="K105" s="564"/>
      <c r="L105" s="564"/>
      <c r="M105" s="564"/>
      <c r="N105" s="564"/>
      <c r="O105" s="564"/>
      <c r="P105" s="564"/>
      <c r="Q105" s="564"/>
      <c r="R105" s="564"/>
      <c r="S105" s="564"/>
      <c r="T105" s="564"/>
      <c r="U105" s="564"/>
      <c r="V105" s="564"/>
      <c r="W105" s="564"/>
      <c r="X105" s="564"/>
      <c r="Y105" s="564"/>
      <c r="Z105" s="564"/>
      <c r="AA105" s="564"/>
      <c r="AB105" s="556"/>
      <c r="AC105" s="556"/>
      <c r="AD105" s="556"/>
      <c r="AE105" s="556"/>
      <c r="AF105" s="556"/>
      <c r="AG105" s="556"/>
      <c r="AH105" s="556"/>
      <c r="AI105" s="556"/>
      <c r="AJ105" s="556"/>
      <c r="AK105" s="556"/>
      <c r="AL105" s="556"/>
      <c r="AM105" s="556"/>
      <c r="AN105" s="556"/>
      <c r="AO105" s="556"/>
      <c r="AP105" s="556"/>
      <c r="AQ105" s="556"/>
      <c r="AR105" s="556"/>
      <c r="AS105" s="565"/>
      <c r="AT105" s="556"/>
    </row>
    <row r="106" spans="1:46" hidden="1" x14ac:dyDescent="0.45">
      <c r="A106" s="556"/>
      <c r="B106" s="556"/>
      <c r="C106" s="556"/>
      <c r="D106" s="564"/>
      <c r="E106" s="556"/>
      <c r="F106" s="564"/>
      <c r="G106" s="564"/>
      <c r="H106" s="564"/>
      <c r="I106" s="564"/>
      <c r="J106" s="564"/>
      <c r="K106" s="564"/>
      <c r="L106" s="564"/>
      <c r="M106" s="564"/>
      <c r="N106" s="564"/>
      <c r="O106" s="564"/>
      <c r="P106" s="564"/>
      <c r="Q106" s="564"/>
      <c r="R106" s="564"/>
      <c r="S106" s="564"/>
      <c r="T106" s="564"/>
      <c r="U106" s="564"/>
      <c r="V106" s="564"/>
      <c r="W106" s="564"/>
      <c r="X106" s="564"/>
      <c r="Y106" s="564"/>
      <c r="Z106" s="564"/>
      <c r="AA106" s="564"/>
      <c r="AB106" s="556"/>
      <c r="AC106" s="556"/>
      <c r="AD106" s="556"/>
      <c r="AE106" s="556"/>
      <c r="AF106" s="556"/>
      <c r="AG106" s="556"/>
      <c r="AH106" s="556"/>
      <c r="AI106" s="556"/>
      <c r="AJ106" s="556"/>
      <c r="AK106" s="556"/>
      <c r="AL106" s="556"/>
      <c r="AM106" s="556"/>
      <c r="AN106" s="556"/>
      <c r="AO106" s="556"/>
      <c r="AP106" s="556"/>
      <c r="AQ106" s="556"/>
      <c r="AR106" s="556"/>
      <c r="AS106" s="565"/>
      <c r="AT106" s="556"/>
    </row>
    <row r="107" spans="1:46" hidden="1" x14ac:dyDescent="0.45">
      <c r="A107" s="556"/>
      <c r="B107" s="556"/>
      <c r="C107" s="556"/>
      <c r="D107" s="564"/>
      <c r="E107" s="556"/>
      <c r="F107" s="564"/>
      <c r="G107" s="564"/>
      <c r="H107" s="564"/>
      <c r="I107" s="564"/>
      <c r="J107" s="564"/>
      <c r="K107" s="564"/>
      <c r="L107" s="564"/>
      <c r="M107" s="564"/>
      <c r="N107" s="564"/>
      <c r="O107" s="564"/>
      <c r="P107" s="564"/>
      <c r="Q107" s="564"/>
      <c r="R107" s="564"/>
      <c r="S107" s="564"/>
      <c r="T107" s="564"/>
      <c r="U107" s="564"/>
      <c r="V107" s="564"/>
      <c r="W107" s="564"/>
      <c r="X107" s="564"/>
      <c r="Y107" s="564"/>
      <c r="Z107" s="564"/>
      <c r="AA107" s="564"/>
      <c r="AB107" s="556"/>
      <c r="AC107" s="556"/>
      <c r="AD107" s="556"/>
      <c r="AE107" s="556"/>
      <c r="AF107" s="556"/>
      <c r="AG107" s="556"/>
      <c r="AH107" s="556"/>
      <c r="AI107" s="556"/>
      <c r="AJ107" s="556"/>
      <c r="AK107" s="556"/>
      <c r="AL107" s="556"/>
      <c r="AM107" s="556"/>
      <c r="AN107" s="556"/>
      <c r="AO107" s="556"/>
      <c r="AP107" s="556"/>
      <c r="AQ107" s="556"/>
      <c r="AR107" s="556"/>
      <c r="AS107" s="565"/>
      <c r="AT107" s="556"/>
    </row>
    <row r="108" spans="1:46" hidden="1" x14ac:dyDescent="0.45">
      <c r="A108" s="556"/>
      <c r="B108" s="556"/>
      <c r="C108" s="556"/>
      <c r="D108" s="564"/>
      <c r="E108" s="556"/>
      <c r="F108" s="564"/>
      <c r="G108" s="564"/>
      <c r="H108" s="564"/>
      <c r="I108" s="564"/>
      <c r="J108" s="564"/>
      <c r="K108" s="564"/>
      <c r="L108" s="564"/>
      <c r="M108" s="564"/>
      <c r="N108" s="564"/>
      <c r="O108" s="564"/>
      <c r="P108" s="564"/>
      <c r="Q108" s="564"/>
      <c r="R108" s="564"/>
      <c r="S108" s="564"/>
      <c r="T108" s="564"/>
      <c r="U108" s="564"/>
      <c r="V108" s="564"/>
      <c r="W108" s="564"/>
      <c r="X108" s="564"/>
      <c r="Y108" s="564"/>
      <c r="Z108" s="564"/>
      <c r="AA108" s="564"/>
      <c r="AB108" s="556"/>
      <c r="AC108" s="556"/>
      <c r="AD108" s="556"/>
      <c r="AE108" s="556"/>
      <c r="AF108" s="556"/>
      <c r="AG108" s="556"/>
      <c r="AH108" s="556"/>
      <c r="AI108" s="556"/>
      <c r="AJ108" s="556"/>
      <c r="AK108" s="556"/>
      <c r="AL108" s="556"/>
      <c r="AM108" s="556"/>
      <c r="AN108" s="556"/>
      <c r="AO108" s="556"/>
      <c r="AP108" s="556"/>
      <c r="AQ108" s="556"/>
      <c r="AR108" s="556"/>
      <c r="AS108" s="565"/>
      <c r="AT108" s="556"/>
    </row>
    <row r="109" spans="1:46" hidden="1" x14ac:dyDescent="0.45">
      <c r="A109" s="556"/>
      <c r="B109" s="556"/>
      <c r="C109" s="556"/>
      <c r="D109" s="564"/>
      <c r="E109" s="556"/>
      <c r="F109" s="564"/>
      <c r="G109" s="564"/>
      <c r="H109" s="564"/>
      <c r="I109" s="564"/>
      <c r="J109" s="564"/>
      <c r="K109" s="564"/>
      <c r="L109" s="564"/>
      <c r="M109" s="564"/>
      <c r="N109" s="564"/>
      <c r="O109" s="564"/>
      <c r="P109" s="564"/>
      <c r="Q109" s="564"/>
      <c r="R109" s="564"/>
      <c r="S109" s="564"/>
      <c r="T109" s="564"/>
      <c r="U109" s="564"/>
      <c r="V109" s="564"/>
      <c r="W109" s="564"/>
      <c r="X109" s="564"/>
      <c r="Y109" s="564"/>
      <c r="Z109" s="564"/>
      <c r="AA109" s="564"/>
      <c r="AB109" s="556"/>
      <c r="AC109" s="556"/>
      <c r="AD109" s="556"/>
      <c r="AE109" s="556"/>
      <c r="AF109" s="556"/>
      <c r="AG109" s="556"/>
      <c r="AH109" s="556"/>
      <c r="AI109" s="556"/>
      <c r="AJ109" s="556"/>
      <c r="AK109" s="556"/>
      <c r="AL109" s="556"/>
      <c r="AM109" s="556"/>
      <c r="AN109" s="556"/>
      <c r="AO109" s="556"/>
      <c r="AP109" s="556"/>
      <c r="AQ109" s="556"/>
      <c r="AR109" s="556"/>
      <c r="AS109" s="565"/>
      <c r="AT109" s="556"/>
    </row>
    <row r="110" spans="1:46" hidden="1" x14ac:dyDescent="0.45">
      <c r="A110" s="556"/>
      <c r="B110" s="556"/>
      <c r="C110" s="556"/>
      <c r="D110" s="564"/>
      <c r="E110" s="556"/>
      <c r="F110" s="564"/>
      <c r="G110" s="564"/>
      <c r="H110" s="564"/>
      <c r="I110" s="564"/>
      <c r="J110" s="564"/>
      <c r="K110" s="564"/>
      <c r="L110" s="564"/>
      <c r="M110" s="564"/>
      <c r="N110" s="564"/>
      <c r="O110" s="564"/>
      <c r="P110" s="564"/>
      <c r="Q110" s="564"/>
      <c r="R110" s="564"/>
      <c r="S110" s="564"/>
      <c r="T110" s="564"/>
      <c r="U110" s="564"/>
      <c r="V110" s="564"/>
      <c r="W110" s="564"/>
      <c r="X110" s="564"/>
      <c r="Y110" s="564"/>
      <c r="Z110" s="564"/>
      <c r="AA110" s="564"/>
      <c r="AB110" s="556"/>
      <c r="AC110" s="556"/>
      <c r="AD110" s="556"/>
      <c r="AE110" s="556"/>
      <c r="AF110" s="556"/>
      <c r="AG110" s="556"/>
      <c r="AH110" s="556"/>
      <c r="AI110" s="556"/>
      <c r="AJ110" s="556"/>
      <c r="AK110" s="556"/>
      <c r="AL110" s="556"/>
      <c r="AM110" s="556"/>
      <c r="AN110" s="556"/>
      <c r="AO110" s="556"/>
      <c r="AP110" s="556"/>
      <c r="AQ110" s="556"/>
      <c r="AR110" s="556"/>
      <c r="AS110" s="565"/>
      <c r="AT110" s="556"/>
    </row>
    <row r="111" spans="1:46" hidden="1" x14ac:dyDescent="0.45">
      <c r="A111" s="556"/>
      <c r="B111" s="556"/>
      <c r="C111" s="556"/>
      <c r="D111" s="564"/>
      <c r="E111" s="556"/>
      <c r="F111" s="564"/>
      <c r="G111" s="564"/>
      <c r="H111" s="564"/>
      <c r="I111" s="564"/>
      <c r="J111" s="564"/>
      <c r="K111" s="564"/>
      <c r="L111" s="564"/>
      <c r="M111" s="564"/>
      <c r="N111" s="564"/>
      <c r="O111" s="564"/>
      <c r="P111" s="564"/>
      <c r="Q111" s="564"/>
      <c r="R111" s="564"/>
      <c r="S111" s="564"/>
      <c r="T111" s="564"/>
      <c r="U111" s="564"/>
      <c r="V111" s="564"/>
      <c r="W111" s="564"/>
      <c r="X111" s="564"/>
      <c r="Y111" s="564"/>
      <c r="Z111" s="564"/>
      <c r="AA111" s="564"/>
      <c r="AB111" s="556"/>
      <c r="AC111" s="556"/>
      <c r="AD111" s="556"/>
      <c r="AE111" s="556"/>
      <c r="AF111" s="556"/>
      <c r="AG111" s="556"/>
      <c r="AH111" s="556"/>
      <c r="AI111" s="556"/>
      <c r="AJ111" s="556"/>
      <c r="AK111" s="556"/>
      <c r="AL111" s="556"/>
      <c r="AM111" s="556"/>
      <c r="AN111" s="556"/>
      <c r="AO111" s="556"/>
      <c r="AP111" s="556"/>
      <c r="AQ111" s="556"/>
      <c r="AR111" s="556"/>
      <c r="AS111" s="565"/>
      <c r="AT111" s="556"/>
    </row>
    <row r="112" spans="1:46" hidden="1" x14ac:dyDescent="0.45">
      <c r="A112" s="556"/>
      <c r="B112" s="556"/>
      <c r="C112" s="556"/>
      <c r="D112" s="564"/>
      <c r="E112" s="556"/>
      <c r="F112" s="564"/>
      <c r="G112" s="564"/>
      <c r="H112" s="564"/>
      <c r="I112" s="564"/>
      <c r="J112" s="564"/>
      <c r="K112" s="564"/>
      <c r="L112" s="564"/>
      <c r="M112" s="564"/>
      <c r="N112" s="564"/>
      <c r="O112" s="564"/>
      <c r="P112" s="564"/>
      <c r="Q112" s="564"/>
      <c r="R112" s="564"/>
      <c r="S112" s="564"/>
      <c r="T112" s="564"/>
      <c r="U112" s="564"/>
      <c r="V112" s="564"/>
      <c r="W112" s="564"/>
      <c r="X112" s="564"/>
      <c r="Y112" s="564"/>
      <c r="Z112" s="564"/>
      <c r="AA112" s="564"/>
      <c r="AB112" s="556"/>
      <c r="AC112" s="556"/>
      <c r="AD112" s="556"/>
      <c r="AE112" s="556"/>
      <c r="AF112" s="556"/>
      <c r="AG112" s="556"/>
      <c r="AH112" s="556"/>
      <c r="AI112" s="556"/>
      <c r="AJ112" s="556"/>
      <c r="AK112" s="556"/>
      <c r="AL112" s="556"/>
      <c r="AM112" s="556"/>
      <c r="AN112" s="556"/>
      <c r="AO112" s="556"/>
      <c r="AP112" s="556"/>
      <c r="AQ112" s="556"/>
      <c r="AR112" s="556"/>
      <c r="AS112" s="565"/>
      <c r="AT112" s="556"/>
    </row>
    <row r="113" spans="1:46" hidden="1" x14ac:dyDescent="0.45">
      <c r="A113" s="556"/>
      <c r="B113" s="556"/>
      <c r="C113" s="556"/>
      <c r="D113" s="564"/>
      <c r="E113" s="556"/>
      <c r="F113" s="564"/>
      <c r="G113" s="564"/>
      <c r="H113" s="564"/>
      <c r="I113" s="564"/>
      <c r="J113" s="564"/>
      <c r="K113" s="564"/>
      <c r="L113" s="564"/>
      <c r="M113" s="564"/>
      <c r="N113" s="564"/>
      <c r="O113" s="564"/>
      <c r="P113" s="564"/>
      <c r="Q113" s="564"/>
      <c r="R113" s="564"/>
      <c r="S113" s="564"/>
      <c r="T113" s="564"/>
      <c r="U113" s="564"/>
      <c r="V113" s="564"/>
      <c r="W113" s="564"/>
      <c r="X113" s="564"/>
      <c r="Y113" s="564"/>
      <c r="Z113" s="564"/>
      <c r="AA113" s="564"/>
      <c r="AB113" s="556"/>
      <c r="AC113" s="556"/>
      <c r="AD113" s="556"/>
      <c r="AE113" s="556"/>
      <c r="AF113" s="556"/>
      <c r="AG113" s="556"/>
      <c r="AH113" s="556"/>
      <c r="AI113" s="556"/>
      <c r="AJ113" s="556"/>
      <c r="AK113" s="556"/>
      <c r="AL113" s="556"/>
      <c r="AM113" s="556"/>
      <c r="AN113" s="556"/>
      <c r="AO113" s="556"/>
      <c r="AP113" s="556"/>
      <c r="AQ113" s="556"/>
      <c r="AR113" s="556"/>
      <c r="AS113" s="565"/>
      <c r="AT113" s="556"/>
    </row>
    <row r="114" spans="1:46" hidden="1" x14ac:dyDescent="0.45">
      <c r="A114" s="556"/>
      <c r="B114" s="556"/>
      <c r="C114" s="556"/>
      <c r="D114" s="564"/>
      <c r="E114" s="556"/>
      <c r="F114" s="564"/>
      <c r="G114" s="564"/>
      <c r="H114" s="564"/>
      <c r="I114" s="564"/>
      <c r="J114" s="564"/>
      <c r="K114" s="564"/>
      <c r="L114" s="564"/>
      <c r="M114" s="564"/>
      <c r="N114" s="564"/>
      <c r="O114" s="564"/>
      <c r="P114" s="564"/>
      <c r="Q114" s="564"/>
      <c r="R114" s="564"/>
      <c r="S114" s="564"/>
      <c r="T114" s="564"/>
      <c r="U114" s="564"/>
      <c r="V114" s="564"/>
      <c r="W114" s="564"/>
      <c r="X114" s="564"/>
      <c r="Y114" s="564"/>
      <c r="Z114" s="564"/>
      <c r="AA114" s="564"/>
      <c r="AB114" s="556"/>
      <c r="AC114" s="556"/>
      <c r="AD114" s="556"/>
      <c r="AE114" s="556"/>
      <c r="AF114" s="556"/>
      <c r="AG114" s="556"/>
      <c r="AH114" s="556"/>
      <c r="AI114" s="556"/>
      <c r="AJ114" s="556"/>
      <c r="AK114" s="556"/>
      <c r="AL114" s="556"/>
      <c r="AM114" s="556"/>
      <c r="AN114" s="556"/>
      <c r="AO114" s="556"/>
      <c r="AP114" s="556"/>
      <c r="AQ114" s="556"/>
      <c r="AR114" s="556"/>
      <c r="AS114" s="565"/>
      <c r="AT114" s="556"/>
    </row>
    <row r="115" spans="1:46" hidden="1" x14ac:dyDescent="0.45">
      <c r="A115" s="556"/>
      <c r="B115" s="556"/>
      <c r="C115" s="556"/>
      <c r="D115" s="564"/>
      <c r="E115" s="556"/>
      <c r="F115" s="564"/>
      <c r="G115" s="564"/>
      <c r="H115" s="564"/>
      <c r="I115" s="564"/>
      <c r="J115" s="564"/>
      <c r="K115" s="564"/>
      <c r="L115" s="564"/>
      <c r="M115" s="564"/>
      <c r="N115" s="564"/>
      <c r="O115" s="564"/>
      <c r="P115" s="564"/>
      <c r="Q115" s="564"/>
      <c r="R115" s="564"/>
      <c r="S115" s="564"/>
      <c r="T115" s="564"/>
      <c r="U115" s="564"/>
      <c r="V115" s="564"/>
      <c r="W115" s="564"/>
      <c r="X115" s="564"/>
      <c r="Y115" s="564"/>
      <c r="Z115" s="564"/>
      <c r="AA115" s="564"/>
      <c r="AB115" s="556"/>
      <c r="AC115" s="556"/>
      <c r="AD115" s="556"/>
      <c r="AE115" s="556"/>
      <c r="AF115" s="556"/>
      <c r="AG115" s="556"/>
      <c r="AH115" s="556"/>
      <c r="AI115" s="556"/>
      <c r="AJ115" s="556"/>
      <c r="AK115" s="556"/>
      <c r="AL115" s="556"/>
      <c r="AM115" s="556"/>
      <c r="AN115" s="556"/>
      <c r="AO115" s="556"/>
      <c r="AP115" s="556"/>
      <c r="AQ115" s="556"/>
      <c r="AR115" s="556"/>
      <c r="AS115" s="565"/>
      <c r="AT115" s="556"/>
    </row>
    <row r="116" spans="1:46" hidden="1" x14ac:dyDescent="0.45">
      <c r="A116" s="556"/>
      <c r="B116" s="556"/>
      <c r="C116" s="556"/>
      <c r="D116" s="564"/>
      <c r="E116" s="556"/>
      <c r="F116" s="564"/>
      <c r="G116" s="564"/>
      <c r="H116" s="564"/>
      <c r="I116" s="564"/>
      <c r="J116" s="564"/>
      <c r="K116" s="564"/>
      <c r="L116" s="564"/>
      <c r="M116" s="564"/>
      <c r="N116" s="564"/>
      <c r="O116" s="564"/>
      <c r="P116" s="564"/>
      <c r="Q116" s="564"/>
      <c r="R116" s="564"/>
      <c r="S116" s="564"/>
      <c r="T116" s="564"/>
      <c r="U116" s="564"/>
      <c r="V116" s="564"/>
      <c r="W116" s="564"/>
      <c r="X116" s="564"/>
      <c r="Y116" s="564"/>
      <c r="Z116" s="564"/>
      <c r="AA116" s="564"/>
      <c r="AB116" s="556"/>
      <c r="AC116" s="556"/>
      <c r="AD116" s="556"/>
      <c r="AE116" s="556"/>
      <c r="AF116" s="556"/>
      <c r="AG116" s="556"/>
      <c r="AH116" s="556"/>
      <c r="AI116" s="556"/>
      <c r="AJ116" s="556"/>
      <c r="AK116" s="556"/>
      <c r="AL116" s="556"/>
      <c r="AM116" s="556"/>
      <c r="AN116" s="556"/>
      <c r="AO116" s="556"/>
      <c r="AP116" s="556"/>
      <c r="AQ116" s="556"/>
      <c r="AR116" s="556"/>
      <c r="AS116" s="565"/>
      <c r="AT116" s="556"/>
    </row>
    <row r="117" spans="1:46" hidden="1" x14ac:dyDescent="0.45">
      <c r="A117" s="556"/>
      <c r="B117" s="556"/>
      <c r="C117" s="556"/>
      <c r="D117" s="564"/>
      <c r="E117" s="556"/>
      <c r="F117" s="564"/>
      <c r="G117" s="564"/>
      <c r="H117" s="564"/>
      <c r="I117" s="564"/>
      <c r="J117" s="564"/>
      <c r="K117" s="564"/>
      <c r="L117" s="564"/>
      <c r="M117" s="564"/>
      <c r="N117" s="564"/>
      <c r="O117" s="564"/>
      <c r="P117" s="564"/>
      <c r="Q117" s="564"/>
      <c r="R117" s="564"/>
      <c r="S117" s="564"/>
      <c r="T117" s="564"/>
      <c r="U117" s="564"/>
      <c r="V117" s="564"/>
      <c r="W117" s="564"/>
      <c r="X117" s="564"/>
      <c r="Y117" s="564"/>
      <c r="Z117" s="564"/>
      <c r="AA117" s="564"/>
      <c r="AB117" s="556"/>
      <c r="AC117" s="556"/>
      <c r="AD117" s="556"/>
      <c r="AE117" s="556"/>
      <c r="AF117" s="556"/>
      <c r="AG117" s="556"/>
      <c r="AH117" s="556"/>
      <c r="AI117" s="556"/>
      <c r="AJ117" s="556"/>
      <c r="AK117" s="556"/>
      <c r="AL117" s="556"/>
      <c r="AM117" s="556"/>
      <c r="AN117" s="556"/>
      <c r="AO117" s="556"/>
      <c r="AP117" s="556"/>
      <c r="AQ117" s="556"/>
      <c r="AR117" s="556"/>
      <c r="AS117" s="565"/>
      <c r="AT117" s="556"/>
    </row>
    <row r="118" spans="1:46" hidden="1" x14ac:dyDescent="0.45">
      <c r="A118" s="556"/>
      <c r="B118" s="556"/>
      <c r="C118" s="556"/>
      <c r="D118" s="564"/>
      <c r="E118" s="556"/>
      <c r="F118" s="564"/>
      <c r="G118" s="564"/>
      <c r="H118" s="564"/>
      <c r="I118" s="564"/>
      <c r="J118" s="564"/>
      <c r="K118" s="564"/>
      <c r="L118" s="564"/>
      <c r="M118" s="564"/>
      <c r="N118" s="564"/>
      <c r="O118" s="564"/>
      <c r="P118" s="564"/>
      <c r="Q118" s="564"/>
      <c r="R118" s="564"/>
      <c r="S118" s="564"/>
      <c r="T118" s="564"/>
      <c r="U118" s="564"/>
      <c r="V118" s="564"/>
      <c r="W118" s="564"/>
      <c r="X118" s="564"/>
      <c r="Y118" s="564"/>
      <c r="Z118" s="564"/>
      <c r="AA118" s="564"/>
      <c r="AB118" s="556"/>
      <c r="AC118" s="556"/>
      <c r="AD118" s="556"/>
      <c r="AE118" s="556"/>
      <c r="AF118" s="556"/>
      <c r="AG118" s="556"/>
      <c r="AH118" s="556"/>
      <c r="AI118" s="556"/>
      <c r="AJ118" s="556"/>
      <c r="AK118" s="556"/>
      <c r="AL118" s="556"/>
      <c r="AM118" s="556"/>
      <c r="AN118" s="556"/>
      <c r="AO118" s="556"/>
      <c r="AP118" s="556"/>
      <c r="AQ118" s="556"/>
      <c r="AR118" s="556"/>
      <c r="AS118" s="565"/>
      <c r="AT118" s="556"/>
    </row>
    <row r="119" spans="1:46" hidden="1" x14ac:dyDescent="0.45">
      <c r="A119" s="556"/>
      <c r="B119" s="556"/>
      <c r="C119" s="556"/>
      <c r="D119" s="564"/>
      <c r="E119" s="556"/>
      <c r="F119" s="564"/>
      <c r="G119" s="564"/>
      <c r="H119" s="564"/>
      <c r="I119" s="564"/>
      <c r="J119" s="564"/>
      <c r="K119" s="564"/>
      <c r="L119" s="564"/>
      <c r="M119" s="564"/>
      <c r="N119" s="564"/>
      <c r="O119" s="564"/>
      <c r="P119" s="564"/>
      <c r="Q119" s="564"/>
      <c r="R119" s="564"/>
      <c r="S119" s="564"/>
      <c r="T119" s="564"/>
      <c r="U119" s="564"/>
      <c r="V119" s="564"/>
      <c r="W119" s="564"/>
      <c r="X119" s="564"/>
      <c r="Y119" s="564"/>
      <c r="Z119" s="564"/>
      <c r="AA119" s="564"/>
      <c r="AB119" s="556"/>
      <c r="AC119" s="556"/>
      <c r="AD119" s="556"/>
      <c r="AE119" s="556"/>
      <c r="AF119" s="556"/>
      <c r="AG119" s="556"/>
      <c r="AH119" s="556"/>
      <c r="AI119" s="556"/>
      <c r="AJ119" s="556"/>
      <c r="AK119" s="556"/>
      <c r="AL119" s="556"/>
      <c r="AM119" s="556"/>
      <c r="AN119" s="556"/>
      <c r="AO119" s="556"/>
      <c r="AP119" s="556"/>
      <c r="AQ119" s="556"/>
      <c r="AR119" s="556"/>
      <c r="AS119" s="565"/>
      <c r="AT119" s="556"/>
    </row>
    <row r="120" spans="1:46" hidden="1" x14ac:dyDescent="0.45">
      <c r="A120" s="556"/>
      <c r="B120" s="556"/>
      <c r="C120" s="556"/>
      <c r="D120" s="564"/>
      <c r="E120" s="556"/>
      <c r="F120" s="564"/>
      <c r="G120" s="564"/>
      <c r="H120" s="564"/>
      <c r="I120" s="564"/>
      <c r="J120" s="564"/>
      <c r="K120" s="564"/>
      <c r="L120" s="564"/>
      <c r="M120" s="564"/>
      <c r="N120" s="564"/>
      <c r="O120" s="564"/>
      <c r="P120" s="564"/>
      <c r="Q120" s="564"/>
      <c r="R120" s="564"/>
      <c r="S120" s="564"/>
      <c r="T120" s="564"/>
      <c r="U120" s="564"/>
      <c r="V120" s="564"/>
      <c r="W120" s="564"/>
      <c r="X120" s="564"/>
      <c r="Y120" s="564"/>
      <c r="Z120" s="564"/>
      <c r="AA120" s="564"/>
      <c r="AB120" s="556"/>
      <c r="AC120" s="556"/>
      <c r="AD120" s="556"/>
      <c r="AE120" s="556"/>
      <c r="AF120" s="556"/>
      <c r="AG120" s="556"/>
      <c r="AH120" s="556"/>
      <c r="AI120" s="556"/>
      <c r="AJ120" s="556"/>
      <c r="AK120" s="556"/>
      <c r="AL120" s="556"/>
      <c r="AM120" s="556"/>
      <c r="AN120" s="556"/>
      <c r="AO120" s="556"/>
      <c r="AP120" s="556"/>
      <c r="AQ120" s="556"/>
      <c r="AR120" s="556"/>
      <c r="AS120" s="565"/>
      <c r="AT120" s="556"/>
    </row>
    <row r="121" spans="1:46" hidden="1" x14ac:dyDescent="0.45">
      <c r="A121" s="556"/>
      <c r="B121" s="556"/>
      <c r="C121" s="556"/>
      <c r="D121" s="564"/>
      <c r="E121" s="556"/>
      <c r="F121" s="564"/>
      <c r="G121" s="564"/>
      <c r="H121" s="564"/>
      <c r="I121" s="564"/>
      <c r="J121" s="564"/>
      <c r="K121" s="564"/>
      <c r="L121" s="564"/>
      <c r="M121" s="564"/>
      <c r="N121" s="564"/>
      <c r="O121" s="564"/>
      <c r="P121" s="564"/>
      <c r="Q121" s="564"/>
      <c r="R121" s="564"/>
      <c r="S121" s="564"/>
      <c r="T121" s="564"/>
      <c r="U121" s="564"/>
      <c r="V121" s="564"/>
      <c r="W121" s="564"/>
      <c r="X121" s="564"/>
      <c r="Y121" s="564"/>
      <c r="Z121" s="564"/>
      <c r="AA121" s="564"/>
      <c r="AB121" s="556"/>
      <c r="AC121" s="556"/>
      <c r="AD121" s="556"/>
      <c r="AE121" s="556"/>
      <c r="AF121" s="556"/>
      <c r="AG121" s="556"/>
      <c r="AH121" s="556"/>
      <c r="AI121" s="556"/>
      <c r="AJ121" s="556"/>
      <c r="AK121" s="556"/>
      <c r="AL121" s="556"/>
      <c r="AM121" s="556"/>
      <c r="AN121" s="556"/>
      <c r="AO121" s="556"/>
      <c r="AP121" s="556"/>
      <c r="AQ121" s="556"/>
      <c r="AR121" s="556"/>
      <c r="AS121" s="565"/>
      <c r="AT121" s="556"/>
    </row>
    <row r="122" spans="1:46" hidden="1" x14ac:dyDescent="0.45">
      <c r="A122" s="556"/>
      <c r="B122" s="556"/>
      <c r="C122" s="556"/>
      <c r="D122" s="564"/>
      <c r="E122" s="556"/>
      <c r="F122" s="564"/>
      <c r="G122" s="564"/>
      <c r="H122" s="564"/>
      <c r="I122" s="564"/>
      <c r="J122" s="564"/>
      <c r="K122" s="564"/>
      <c r="L122" s="564"/>
      <c r="M122" s="564"/>
      <c r="N122" s="564"/>
      <c r="O122" s="564"/>
      <c r="P122" s="564"/>
      <c r="Q122" s="564"/>
      <c r="R122" s="564"/>
      <c r="S122" s="564"/>
      <c r="T122" s="564"/>
      <c r="U122" s="564"/>
      <c r="V122" s="564"/>
      <c r="W122" s="564"/>
      <c r="X122" s="564"/>
      <c r="Y122" s="564"/>
      <c r="Z122" s="564"/>
      <c r="AA122" s="564"/>
      <c r="AB122" s="556"/>
      <c r="AC122" s="556"/>
      <c r="AD122" s="556"/>
      <c r="AE122" s="556"/>
      <c r="AF122" s="556"/>
      <c r="AG122" s="556"/>
      <c r="AH122" s="556"/>
      <c r="AI122" s="556"/>
      <c r="AJ122" s="556"/>
      <c r="AK122" s="556"/>
      <c r="AL122" s="556"/>
      <c r="AM122" s="556"/>
      <c r="AN122" s="556"/>
      <c r="AO122" s="556"/>
      <c r="AP122" s="556"/>
      <c r="AQ122" s="556"/>
      <c r="AR122" s="556"/>
      <c r="AS122" s="565"/>
      <c r="AT122" s="556"/>
    </row>
    <row r="123" spans="1:46" hidden="1" x14ac:dyDescent="0.45">
      <c r="A123" s="556"/>
      <c r="B123" s="556"/>
      <c r="C123" s="556"/>
      <c r="D123" s="564"/>
      <c r="E123" s="556"/>
      <c r="F123" s="564"/>
      <c r="G123" s="564"/>
      <c r="H123" s="564"/>
      <c r="I123" s="564"/>
      <c r="J123" s="564"/>
      <c r="K123" s="564"/>
      <c r="L123" s="564"/>
      <c r="M123" s="564"/>
      <c r="N123" s="564"/>
      <c r="O123" s="564"/>
      <c r="P123" s="564"/>
      <c r="Q123" s="564"/>
      <c r="R123" s="564"/>
      <c r="S123" s="564"/>
      <c r="T123" s="564"/>
      <c r="U123" s="564"/>
      <c r="V123" s="564"/>
      <c r="W123" s="564"/>
      <c r="X123" s="564"/>
      <c r="Y123" s="564"/>
      <c r="Z123" s="564"/>
      <c r="AA123" s="564"/>
      <c r="AB123" s="556"/>
      <c r="AC123" s="556"/>
      <c r="AD123" s="556"/>
      <c r="AE123" s="556"/>
      <c r="AF123" s="556"/>
      <c r="AG123" s="556"/>
      <c r="AH123" s="556"/>
      <c r="AI123" s="556"/>
      <c r="AJ123" s="556"/>
      <c r="AK123" s="556"/>
      <c r="AL123" s="556"/>
      <c r="AM123" s="556"/>
      <c r="AN123" s="556"/>
      <c r="AO123" s="556"/>
      <c r="AP123" s="556"/>
      <c r="AQ123" s="556"/>
      <c r="AR123" s="556"/>
      <c r="AS123" s="565"/>
      <c r="AT123" s="556"/>
    </row>
    <row r="124" spans="1:46" hidden="1" x14ac:dyDescent="0.45">
      <c r="A124" s="556"/>
      <c r="B124" s="556"/>
      <c r="C124" s="556"/>
      <c r="D124" s="564"/>
      <c r="E124" s="556"/>
      <c r="F124" s="564"/>
      <c r="G124" s="564"/>
      <c r="H124" s="564"/>
      <c r="I124" s="564"/>
      <c r="J124" s="564"/>
      <c r="K124" s="564"/>
      <c r="L124" s="564"/>
      <c r="M124" s="564"/>
      <c r="N124" s="564"/>
      <c r="O124" s="564"/>
      <c r="P124" s="564"/>
      <c r="Q124" s="564"/>
      <c r="R124" s="564"/>
      <c r="S124" s="564"/>
      <c r="T124" s="564"/>
      <c r="U124" s="564"/>
      <c r="V124" s="564"/>
      <c r="W124" s="564"/>
      <c r="X124" s="564"/>
      <c r="Y124" s="564"/>
      <c r="Z124" s="564"/>
      <c r="AA124" s="564"/>
      <c r="AB124" s="556"/>
      <c r="AC124" s="556"/>
      <c r="AD124" s="556"/>
      <c r="AE124" s="556"/>
      <c r="AF124" s="556"/>
      <c r="AG124" s="556"/>
      <c r="AH124" s="556"/>
      <c r="AI124" s="556"/>
      <c r="AJ124" s="556"/>
      <c r="AK124" s="556"/>
      <c r="AL124" s="556"/>
      <c r="AM124" s="556"/>
      <c r="AN124" s="556"/>
      <c r="AO124" s="556"/>
      <c r="AP124" s="556"/>
      <c r="AQ124" s="556"/>
      <c r="AR124" s="556"/>
      <c r="AS124" s="565"/>
      <c r="AT124" s="556"/>
    </row>
    <row r="125" spans="1:46" hidden="1" x14ac:dyDescent="0.45">
      <c r="A125" s="556"/>
      <c r="B125" s="556"/>
      <c r="C125" s="556"/>
      <c r="D125" s="564"/>
      <c r="E125" s="556"/>
      <c r="F125" s="564"/>
      <c r="G125" s="564"/>
      <c r="H125" s="564"/>
      <c r="I125" s="564"/>
      <c r="J125" s="564"/>
      <c r="K125" s="564"/>
      <c r="L125" s="564"/>
      <c r="M125" s="564"/>
      <c r="N125" s="564"/>
      <c r="O125" s="564"/>
      <c r="P125" s="564"/>
      <c r="Q125" s="564"/>
      <c r="R125" s="564"/>
      <c r="S125" s="564"/>
      <c r="T125" s="564"/>
      <c r="U125" s="564"/>
      <c r="V125" s="564"/>
      <c r="W125" s="564"/>
      <c r="X125" s="564"/>
      <c r="Y125" s="564"/>
      <c r="Z125" s="564"/>
      <c r="AA125" s="564"/>
      <c r="AB125" s="556"/>
      <c r="AC125" s="556"/>
      <c r="AD125" s="556"/>
      <c r="AE125" s="556"/>
      <c r="AF125" s="556"/>
      <c r="AG125" s="556"/>
      <c r="AH125" s="556"/>
      <c r="AI125" s="556"/>
      <c r="AJ125" s="556"/>
      <c r="AK125" s="556"/>
      <c r="AL125" s="556"/>
      <c r="AM125" s="556"/>
      <c r="AN125" s="556"/>
      <c r="AO125" s="556"/>
      <c r="AP125" s="556"/>
      <c r="AQ125" s="556"/>
      <c r="AR125" s="556"/>
      <c r="AS125" s="565"/>
      <c r="AT125" s="556"/>
    </row>
    <row r="126" spans="1:46" hidden="1" x14ac:dyDescent="0.45">
      <c r="A126" s="556"/>
      <c r="B126" s="556"/>
      <c r="C126" s="556"/>
      <c r="D126" s="564"/>
      <c r="E126" s="556"/>
      <c r="F126" s="564"/>
      <c r="G126" s="564"/>
      <c r="H126" s="564"/>
      <c r="I126" s="564"/>
      <c r="J126" s="564"/>
      <c r="K126" s="564"/>
      <c r="L126" s="564"/>
      <c r="M126" s="564"/>
      <c r="N126" s="564"/>
      <c r="O126" s="564"/>
      <c r="P126" s="564"/>
      <c r="Q126" s="564"/>
      <c r="R126" s="564"/>
      <c r="S126" s="564"/>
      <c r="T126" s="564"/>
      <c r="U126" s="564"/>
      <c r="V126" s="564"/>
      <c r="W126" s="564"/>
      <c r="X126" s="564"/>
      <c r="Y126" s="564"/>
      <c r="Z126" s="564"/>
      <c r="AA126" s="564"/>
      <c r="AB126" s="556"/>
      <c r="AC126" s="556"/>
      <c r="AD126" s="556"/>
      <c r="AE126" s="556"/>
      <c r="AF126" s="556"/>
      <c r="AG126" s="556"/>
      <c r="AH126" s="556"/>
      <c r="AI126" s="556"/>
      <c r="AJ126" s="556"/>
      <c r="AK126" s="556"/>
      <c r="AL126" s="556"/>
      <c r="AM126" s="556"/>
      <c r="AN126" s="556"/>
      <c r="AO126" s="556"/>
      <c r="AP126" s="556"/>
      <c r="AQ126" s="556"/>
      <c r="AR126" s="556"/>
      <c r="AS126" s="565"/>
      <c r="AT126" s="556"/>
    </row>
    <row r="127" spans="1:46" hidden="1" x14ac:dyDescent="0.45">
      <c r="A127" s="556"/>
      <c r="B127" s="556"/>
      <c r="C127" s="556"/>
      <c r="D127" s="564"/>
      <c r="E127" s="556"/>
      <c r="F127" s="564"/>
      <c r="G127" s="564"/>
      <c r="H127" s="564"/>
      <c r="I127" s="564"/>
      <c r="J127" s="564"/>
      <c r="K127" s="564"/>
      <c r="L127" s="564"/>
      <c r="M127" s="564"/>
      <c r="N127" s="564"/>
      <c r="O127" s="564"/>
      <c r="P127" s="564"/>
      <c r="Q127" s="564"/>
      <c r="R127" s="564"/>
      <c r="S127" s="564"/>
      <c r="T127" s="564"/>
      <c r="U127" s="564"/>
      <c r="V127" s="564"/>
      <c r="W127" s="564"/>
      <c r="X127" s="564"/>
      <c r="Y127" s="564"/>
      <c r="Z127" s="564"/>
      <c r="AA127" s="564"/>
      <c r="AB127" s="556"/>
      <c r="AC127" s="556"/>
      <c r="AD127" s="556"/>
      <c r="AE127" s="556"/>
      <c r="AF127" s="556"/>
      <c r="AG127" s="556"/>
      <c r="AH127" s="556"/>
      <c r="AI127" s="556"/>
      <c r="AJ127" s="556"/>
      <c r="AK127" s="556"/>
      <c r="AL127" s="556"/>
      <c r="AM127" s="556"/>
      <c r="AN127" s="556"/>
      <c r="AO127" s="556"/>
      <c r="AP127" s="556"/>
      <c r="AQ127" s="556"/>
      <c r="AR127" s="556"/>
      <c r="AS127" s="565"/>
      <c r="AT127" s="556"/>
    </row>
    <row r="128" spans="1:46" hidden="1" x14ac:dyDescent="0.45">
      <c r="A128" s="556"/>
      <c r="B128" s="556"/>
      <c r="C128" s="556"/>
      <c r="D128" s="564"/>
      <c r="E128" s="556"/>
      <c r="F128" s="564"/>
      <c r="G128" s="564"/>
      <c r="H128" s="564"/>
      <c r="I128" s="564"/>
      <c r="J128" s="564"/>
      <c r="K128" s="564"/>
      <c r="L128" s="564"/>
      <c r="M128" s="564"/>
      <c r="N128" s="564"/>
      <c r="O128" s="564"/>
      <c r="P128" s="564"/>
      <c r="Q128" s="564"/>
      <c r="R128" s="564"/>
      <c r="S128" s="564"/>
      <c r="T128" s="564"/>
      <c r="U128" s="564"/>
      <c r="V128" s="564"/>
      <c r="W128" s="564"/>
      <c r="X128" s="564"/>
      <c r="Y128" s="564"/>
      <c r="Z128" s="564"/>
      <c r="AA128" s="564"/>
      <c r="AB128" s="556"/>
      <c r="AC128" s="556"/>
      <c r="AD128" s="556"/>
      <c r="AE128" s="556"/>
      <c r="AF128" s="556"/>
      <c r="AG128" s="556"/>
      <c r="AH128" s="556"/>
      <c r="AI128" s="556"/>
      <c r="AJ128" s="556"/>
      <c r="AK128" s="556"/>
      <c r="AL128" s="556"/>
      <c r="AM128" s="556"/>
      <c r="AN128" s="556"/>
      <c r="AO128" s="556"/>
      <c r="AP128" s="556"/>
      <c r="AQ128" s="556"/>
      <c r="AR128" s="556"/>
      <c r="AS128" s="565"/>
      <c r="AT128" s="556"/>
    </row>
    <row r="129" spans="1:46" hidden="1" x14ac:dyDescent="0.45">
      <c r="A129" s="556"/>
      <c r="B129" s="556"/>
      <c r="C129" s="556"/>
      <c r="D129" s="564"/>
      <c r="E129" s="556"/>
      <c r="F129" s="564"/>
      <c r="G129" s="564"/>
      <c r="H129" s="564"/>
      <c r="I129" s="564"/>
      <c r="J129" s="564"/>
      <c r="K129" s="564"/>
      <c r="L129" s="564"/>
      <c r="M129" s="564"/>
      <c r="N129" s="564"/>
      <c r="O129" s="564"/>
      <c r="P129" s="564"/>
      <c r="Q129" s="564"/>
      <c r="R129" s="564"/>
      <c r="S129" s="564"/>
      <c r="T129" s="564"/>
      <c r="U129" s="564"/>
      <c r="V129" s="564"/>
      <c r="W129" s="564"/>
      <c r="X129" s="564"/>
      <c r="Y129" s="564"/>
      <c r="Z129" s="564"/>
      <c r="AA129" s="564"/>
      <c r="AB129" s="556"/>
      <c r="AC129" s="556"/>
      <c r="AD129" s="556"/>
      <c r="AE129" s="556"/>
      <c r="AF129" s="556"/>
      <c r="AG129" s="556"/>
      <c r="AH129" s="556"/>
      <c r="AI129" s="556"/>
      <c r="AJ129" s="556"/>
      <c r="AK129" s="556"/>
      <c r="AL129" s="556"/>
      <c r="AM129" s="556"/>
      <c r="AN129" s="556"/>
      <c r="AO129" s="556"/>
      <c r="AP129" s="556"/>
      <c r="AQ129" s="556"/>
      <c r="AR129" s="556"/>
      <c r="AS129" s="565"/>
      <c r="AT129" s="556"/>
    </row>
    <row r="130" spans="1:46" hidden="1" x14ac:dyDescent="0.45">
      <c r="A130" s="556"/>
      <c r="B130" s="556"/>
      <c r="C130" s="556"/>
      <c r="D130" s="564"/>
      <c r="E130" s="556"/>
      <c r="F130" s="564"/>
      <c r="G130" s="564"/>
      <c r="H130" s="564"/>
      <c r="I130" s="564"/>
      <c r="J130" s="564"/>
      <c r="K130" s="564"/>
      <c r="L130" s="564"/>
      <c r="M130" s="564"/>
      <c r="N130" s="564"/>
      <c r="O130" s="564"/>
      <c r="P130" s="564"/>
      <c r="Q130" s="564"/>
      <c r="R130" s="564"/>
      <c r="S130" s="564"/>
      <c r="T130" s="564"/>
      <c r="U130" s="564"/>
      <c r="V130" s="564"/>
      <c r="W130" s="564"/>
      <c r="X130" s="564"/>
      <c r="Y130" s="564"/>
      <c r="Z130" s="564"/>
      <c r="AA130" s="564"/>
      <c r="AB130" s="556"/>
      <c r="AC130" s="556"/>
      <c r="AD130" s="556"/>
      <c r="AE130" s="556"/>
      <c r="AF130" s="556"/>
      <c r="AG130" s="556"/>
      <c r="AH130" s="556"/>
      <c r="AI130" s="556"/>
      <c r="AJ130" s="556"/>
      <c r="AK130" s="556"/>
      <c r="AL130" s="556"/>
      <c r="AM130" s="556"/>
      <c r="AN130" s="556"/>
      <c r="AO130" s="556"/>
      <c r="AP130" s="556"/>
      <c r="AQ130" s="556"/>
      <c r="AR130" s="556"/>
      <c r="AS130" s="565"/>
      <c r="AT130" s="556"/>
    </row>
    <row r="131" spans="1:46" hidden="1" x14ac:dyDescent="0.45">
      <c r="A131" s="556"/>
      <c r="B131" s="556"/>
      <c r="C131" s="556"/>
      <c r="D131" s="564"/>
      <c r="E131" s="556"/>
      <c r="F131" s="564"/>
      <c r="G131" s="564"/>
      <c r="H131" s="564"/>
      <c r="I131" s="564"/>
      <c r="J131" s="564"/>
      <c r="K131" s="564"/>
      <c r="L131" s="564"/>
      <c r="M131" s="564"/>
      <c r="N131" s="564"/>
      <c r="O131" s="564"/>
      <c r="P131" s="564"/>
      <c r="Q131" s="564"/>
      <c r="R131" s="564"/>
      <c r="S131" s="564"/>
      <c r="T131" s="564"/>
      <c r="U131" s="564"/>
      <c r="V131" s="564"/>
      <c r="W131" s="564"/>
      <c r="X131" s="564"/>
      <c r="Y131" s="564"/>
      <c r="Z131" s="564"/>
      <c r="AA131" s="564"/>
      <c r="AB131" s="556"/>
      <c r="AC131" s="556"/>
      <c r="AD131" s="556"/>
      <c r="AE131" s="556"/>
      <c r="AF131" s="556"/>
      <c r="AG131" s="556"/>
      <c r="AH131" s="556"/>
      <c r="AI131" s="556"/>
      <c r="AJ131" s="556"/>
      <c r="AK131" s="556"/>
      <c r="AL131" s="556"/>
      <c r="AM131" s="556"/>
      <c r="AN131" s="556"/>
      <c r="AO131" s="556"/>
      <c r="AP131" s="556"/>
      <c r="AQ131" s="556"/>
      <c r="AR131" s="556"/>
      <c r="AS131" s="565"/>
      <c r="AT131" s="556"/>
    </row>
    <row r="132" spans="1:46" hidden="1" x14ac:dyDescent="0.45">
      <c r="A132" s="556"/>
      <c r="B132" s="556"/>
      <c r="C132" s="556"/>
      <c r="D132" s="564"/>
      <c r="E132" s="556"/>
      <c r="F132" s="564"/>
      <c r="G132" s="564"/>
      <c r="H132" s="564"/>
      <c r="I132" s="564"/>
      <c r="J132" s="564"/>
      <c r="K132" s="564"/>
      <c r="L132" s="564"/>
      <c r="M132" s="564"/>
      <c r="N132" s="564"/>
      <c r="O132" s="564"/>
      <c r="P132" s="564"/>
      <c r="Q132" s="564"/>
      <c r="R132" s="564"/>
      <c r="S132" s="564"/>
      <c r="T132" s="564"/>
      <c r="U132" s="564"/>
      <c r="V132" s="564"/>
      <c r="W132" s="564"/>
      <c r="X132" s="564"/>
      <c r="Y132" s="564"/>
      <c r="Z132" s="564"/>
      <c r="AA132" s="564"/>
      <c r="AB132" s="556"/>
      <c r="AC132" s="556"/>
      <c r="AD132" s="556"/>
      <c r="AE132" s="556"/>
      <c r="AF132" s="556"/>
      <c r="AG132" s="556"/>
      <c r="AH132" s="556"/>
      <c r="AI132" s="556"/>
      <c r="AJ132" s="556"/>
      <c r="AK132" s="556"/>
      <c r="AL132" s="556"/>
      <c r="AM132" s="556"/>
      <c r="AN132" s="556"/>
      <c r="AO132" s="556"/>
      <c r="AP132" s="556"/>
      <c r="AQ132" s="556"/>
      <c r="AR132" s="556"/>
      <c r="AS132" s="565"/>
      <c r="AT132" s="556"/>
    </row>
    <row r="133" spans="1:46" hidden="1" x14ac:dyDescent="0.45">
      <c r="A133" s="556"/>
      <c r="B133" s="556"/>
      <c r="C133" s="556"/>
      <c r="D133" s="564"/>
      <c r="E133" s="556"/>
      <c r="F133" s="564"/>
      <c r="G133" s="564"/>
      <c r="H133" s="564"/>
      <c r="I133" s="564"/>
      <c r="J133" s="564"/>
      <c r="K133" s="564"/>
      <c r="L133" s="564"/>
      <c r="M133" s="564"/>
      <c r="N133" s="564"/>
      <c r="O133" s="564"/>
      <c r="P133" s="564"/>
      <c r="Q133" s="564"/>
      <c r="R133" s="564"/>
      <c r="S133" s="564"/>
      <c r="T133" s="564"/>
      <c r="U133" s="564"/>
      <c r="V133" s="564"/>
      <c r="W133" s="564"/>
      <c r="X133" s="564"/>
      <c r="Y133" s="564"/>
      <c r="Z133" s="564"/>
      <c r="AA133" s="564"/>
      <c r="AB133" s="556"/>
      <c r="AC133" s="556"/>
      <c r="AD133" s="556"/>
      <c r="AE133" s="556"/>
      <c r="AF133" s="556"/>
      <c r="AG133" s="556"/>
      <c r="AH133" s="556"/>
      <c r="AI133" s="556"/>
      <c r="AJ133" s="556"/>
      <c r="AK133" s="556"/>
      <c r="AL133" s="556"/>
      <c r="AM133" s="556"/>
      <c r="AN133" s="556"/>
      <c r="AO133" s="556"/>
      <c r="AP133" s="556"/>
      <c r="AQ133" s="556"/>
      <c r="AR133" s="556"/>
      <c r="AS133" s="565"/>
      <c r="AT133" s="556"/>
    </row>
    <row r="134" spans="1:46" hidden="1" x14ac:dyDescent="0.45">
      <c r="A134" s="556"/>
      <c r="B134" s="556"/>
      <c r="C134" s="556"/>
      <c r="D134" s="564"/>
      <c r="E134" s="556"/>
      <c r="F134" s="564"/>
      <c r="G134" s="564"/>
      <c r="H134" s="564"/>
      <c r="I134" s="564"/>
      <c r="J134" s="564"/>
      <c r="K134" s="564"/>
      <c r="L134" s="564"/>
      <c r="M134" s="564"/>
      <c r="N134" s="564"/>
      <c r="O134" s="564"/>
      <c r="P134" s="564"/>
      <c r="Q134" s="564"/>
      <c r="R134" s="564"/>
      <c r="S134" s="564"/>
      <c r="T134" s="564"/>
      <c r="U134" s="564"/>
      <c r="V134" s="564"/>
      <c r="W134" s="564"/>
      <c r="X134" s="564"/>
      <c r="Y134" s="564"/>
      <c r="Z134" s="564"/>
      <c r="AA134" s="564"/>
      <c r="AB134" s="556"/>
      <c r="AC134" s="556"/>
      <c r="AD134" s="556"/>
      <c r="AE134" s="556"/>
      <c r="AF134" s="556"/>
      <c r="AG134" s="556"/>
      <c r="AH134" s="556"/>
      <c r="AI134" s="556"/>
      <c r="AJ134" s="556"/>
      <c r="AK134" s="556"/>
      <c r="AL134" s="556"/>
      <c r="AM134" s="556"/>
      <c r="AN134" s="556"/>
      <c r="AO134" s="556"/>
      <c r="AP134" s="556"/>
      <c r="AQ134" s="556"/>
      <c r="AR134" s="556"/>
      <c r="AS134" s="565"/>
      <c r="AT134" s="556"/>
    </row>
    <row r="135" spans="1:46" ht="12.75" hidden="1" customHeight="1" x14ac:dyDescent="0.45">
      <c r="A135" s="556"/>
      <c r="B135" s="556"/>
      <c r="C135" s="556"/>
      <c r="D135" s="564"/>
      <c r="E135" s="556"/>
      <c r="F135" s="564"/>
      <c r="G135" s="564"/>
      <c r="H135" s="564"/>
      <c r="I135" s="564"/>
      <c r="J135" s="564"/>
      <c r="K135" s="564"/>
      <c r="L135" s="564"/>
      <c r="M135" s="564"/>
      <c r="N135" s="564"/>
      <c r="O135" s="564"/>
      <c r="P135" s="564"/>
      <c r="Q135" s="564"/>
      <c r="R135" s="564"/>
      <c r="S135" s="564"/>
      <c r="T135" s="564"/>
      <c r="U135" s="564"/>
      <c r="V135" s="564"/>
      <c r="W135" s="564"/>
      <c r="X135" s="564"/>
      <c r="Y135" s="564"/>
      <c r="Z135" s="564"/>
      <c r="AA135" s="564"/>
      <c r="AB135" s="556"/>
      <c r="AC135" s="556"/>
      <c r="AD135" s="556"/>
      <c r="AE135" s="556"/>
      <c r="AF135" s="556"/>
      <c r="AG135" s="556"/>
      <c r="AH135" s="556"/>
      <c r="AI135" s="556"/>
      <c r="AJ135" s="556"/>
      <c r="AK135" s="556"/>
      <c r="AL135" s="556"/>
      <c r="AM135" s="556"/>
      <c r="AN135" s="556"/>
      <c r="AO135" s="556"/>
      <c r="AP135" s="556"/>
      <c r="AQ135" s="556"/>
      <c r="AR135" s="556"/>
      <c r="AS135" s="565"/>
      <c r="AT135" s="556"/>
    </row>
    <row r="136" spans="1:46" hidden="1" x14ac:dyDescent="0.45">
      <c r="A136" s="556"/>
      <c r="B136" s="556"/>
      <c r="C136" s="556"/>
      <c r="D136" s="564"/>
      <c r="E136" s="556"/>
      <c r="F136" s="564"/>
      <c r="G136" s="564"/>
      <c r="H136" s="564"/>
      <c r="I136" s="564"/>
      <c r="J136" s="564"/>
      <c r="K136" s="564"/>
      <c r="L136" s="564"/>
      <c r="M136" s="564"/>
      <c r="N136" s="564"/>
      <c r="O136" s="564"/>
      <c r="P136" s="564"/>
      <c r="Q136" s="564"/>
      <c r="R136" s="564"/>
      <c r="S136" s="564"/>
      <c r="T136" s="564"/>
      <c r="U136" s="564"/>
      <c r="V136" s="564"/>
      <c r="W136" s="564"/>
      <c r="X136" s="564"/>
      <c r="Y136" s="564"/>
      <c r="Z136" s="564"/>
      <c r="AA136" s="564"/>
      <c r="AB136" s="556"/>
      <c r="AC136" s="556"/>
      <c r="AD136" s="556"/>
      <c r="AE136" s="556"/>
      <c r="AF136" s="556"/>
      <c r="AG136" s="556"/>
      <c r="AH136" s="556"/>
      <c r="AI136" s="556"/>
      <c r="AJ136" s="556"/>
      <c r="AK136" s="556"/>
      <c r="AL136" s="556"/>
      <c r="AM136" s="556"/>
      <c r="AN136" s="556"/>
      <c r="AO136" s="556"/>
      <c r="AP136" s="556"/>
      <c r="AQ136" s="556"/>
      <c r="AR136" s="556"/>
      <c r="AS136" s="565"/>
      <c r="AT136" s="556"/>
    </row>
    <row r="137" spans="1:46" hidden="1" x14ac:dyDescent="0.45">
      <c r="A137" s="556"/>
      <c r="B137" s="556"/>
      <c r="C137" s="556"/>
      <c r="D137" s="564"/>
      <c r="E137" s="556"/>
      <c r="F137" s="564"/>
      <c r="G137" s="564"/>
      <c r="H137" s="564"/>
      <c r="I137" s="564"/>
      <c r="J137" s="564"/>
      <c r="K137" s="564"/>
      <c r="L137" s="564"/>
      <c r="M137" s="564"/>
      <c r="N137" s="564"/>
      <c r="O137" s="564"/>
      <c r="P137" s="564"/>
      <c r="Q137" s="564"/>
      <c r="R137" s="564"/>
      <c r="S137" s="564"/>
      <c r="T137" s="564"/>
      <c r="U137" s="564"/>
      <c r="V137" s="564"/>
      <c r="W137" s="564"/>
      <c r="X137" s="564"/>
      <c r="Y137" s="564"/>
      <c r="Z137" s="564"/>
      <c r="AA137" s="564"/>
      <c r="AB137" s="556"/>
      <c r="AC137" s="556"/>
      <c r="AD137" s="556"/>
      <c r="AE137" s="556"/>
      <c r="AF137" s="556"/>
      <c r="AG137" s="556"/>
      <c r="AH137" s="556"/>
      <c r="AI137" s="556"/>
      <c r="AJ137" s="556"/>
      <c r="AK137" s="556"/>
      <c r="AL137" s="556"/>
      <c r="AM137" s="556"/>
      <c r="AN137" s="556"/>
      <c r="AO137" s="556"/>
      <c r="AP137" s="556"/>
      <c r="AQ137" s="556"/>
      <c r="AR137" s="556"/>
      <c r="AS137" s="565"/>
      <c r="AT137" s="556"/>
    </row>
    <row r="138" spans="1:46" hidden="1" x14ac:dyDescent="0.45">
      <c r="A138" s="556"/>
      <c r="B138" s="556"/>
      <c r="C138" s="556"/>
      <c r="D138" s="564"/>
      <c r="E138" s="556"/>
      <c r="F138" s="564"/>
      <c r="G138" s="564"/>
      <c r="H138" s="564"/>
      <c r="I138" s="564"/>
      <c r="J138" s="564"/>
      <c r="K138" s="564"/>
      <c r="L138" s="564"/>
      <c r="M138" s="564"/>
      <c r="N138" s="564"/>
      <c r="O138" s="564"/>
      <c r="P138" s="564"/>
      <c r="Q138" s="564"/>
      <c r="R138" s="564"/>
      <c r="S138" s="564"/>
      <c r="T138" s="564"/>
      <c r="U138" s="564"/>
      <c r="V138" s="564"/>
      <c r="W138" s="564"/>
      <c r="X138" s="564"/>
      <c r="Y138" s="564"/>
      <c r="Z138" s="564"/>
      <c r="AA138" s="564"/>
      <c r="AB138" s="556"/>
      <c r="AC138" s="556"/>
      <c r="AD138" s="556"/>
      <c r="AE138" s="556"/>
      <c r="AF138" s="556"/>
      <c r="AG138" s="556"/>
      <c r="AH138" s="556"/>
      <c r="AI138" s="556"/>
      <c r="AJ138" s="556"/>
      <c r="AK138" s="556"/>
      <c r="AL138" s="556"/>
      <c r="AM138" s="556"/>
      <c r="AN138" s="556"/>
      <c r="AO138" s="556"/>
      <c r="AP138" s="556"/>
      <c r="AQ138" s="556"/>
      <c r="AR138" s="556"/>
      <c r="AS138" s="565"/>
      <c r="AT138" s="556"/>
    </row>
    <row r="139" spans="1:46" hidden="1" x14ac:dyDescent="0.45">
      <c r="A139" s="556"/>
      <c r="B139" s="556"/>
      <c r="C139" s="556"/>
      <c r="D139" s="564"/>
      <c r="E139" s="556"/>
      <c r="F139" s="564"/>
      <c r="G139" s="564"/>
      <c r="H139" s="564"/>
      <c r="I139" s="564"/>
      <c r="J139" s="564"/>
      <c r="K139" s="564"/>
      <c r="L139" s="564"/>
      <c r="M139" s="564"/>
      <c r="N139" s="564"/>
      <c r="O139" s="564"/>
      <c r="P139" s="564"/>
      <c r="Q139" s="564"/>
      <c r="R139" s="564"/>
      <c r="S139" s="564"/>
      <c r="T139" s="564"/>
      <c r="U139" s="564"/>
      <c r="V139" s="564"/>
      <c r="W139" s="564"/>
      <c r="X139" s="564"/>
      <c r="Y139" s="564"/>
      <c r="Z139" s="564"/>
      <c r="AA139" s="564"/>
      <c r="AB139" s="556"/>
      <c r="AC139" s="556"/>
      <c r="AD139" s="556"/>
      <c r="AE139" s="556"/>
      <c r="AF139" s="556"/>
      <c r="AG139" s="556"/>
      <c r="AH139" s="556"/>
      <c r="AI139" s="556"/>
      <c r="AJ139" s="556"/>
      <c r="AK139" s="556"/>
      <c r="AL139" s="556"/>
      <c r="AM139" s="556"/>
      <c r="AN139" s="556"/>
      <c r="AO139" s="556"/>
      <c r="AP139" s="556"/>
      <c r="AQ139" s="556"/>
      <c r="AR139" s="556"/>
      <c r="AS139" s="565"/>
      <c r="AT139" s="556"/>
    </row>
    <row r="140" spans="1:46" hidden="1" x14ac:dyDescent="0.45">
      <c r="A140" s="556"/>
      <c r="B140" s="556"/>
      <c r="C140" s="556"/>
      <c r="D140" s="564"/>
      <c r="E140" s="556"/>
      <c r="F140" s="564"/>
      <c r="G140" s="564"/>
      <c r="H140" s="564"/>
      <c r="I140" s="564"/>
      <c r="J140" s="564"/>
      <c r="K140" s="564"/>
      <c r="L140" s="564"/>
      <c r="M140" s="564"/>
      <c r="N140" s="564"/>
      <c r="O140" s="564"/>
      <c r="P140" s="564"/>
      <c r="Q140" s="564"/>
      <c r="R140" s="564"/>
      <c r="S140" s="564"/>
      <c r="T140" s="564"/>
      <c r="U140" s="564"/>
      <c r="V140" s="564"/>
      <c r="W140" s="564"/>
      <c r="X140" s="564"/>
      <c r="Y140" s="564"/>
      <c r="Z140" s="564"/>
      <c r="AA140" s="564"/>
      <c r="AB140" s="556"/>
      <c r="AC140" s="556"/>
      <c r="AD140" s="556"/>
      <c r="AE140" s="556"/>
      <c r="AF140" s="556"/>
      <c r="AG140" s="556"/>
      <c r="AH140" s="556"/>
      <c r="AI140" s="556"/>
      <c r="AJ140" s="556"/>
      <c r="AK140" s="556"/>
      <c r="AL140" s="556"/>
      <c r="AM140" s="556"/>
      <c r="AN140" s="556"/>
      <c r="AO140" s="556"/>
      <c r="AP140" s="556"/>
      <c r="AQ140" s="556"/>
      <c r="AR140" s="556"/>
      <c r="AS140" s="565"/>
      <c r="AT140" s="556"/>
    </row>
    <row r="141" spans="1:46" hidden="1" x14ac:dyDescent="0.45">
      <c r="A141" s="556"/>
      <c r="B141" s="556"/>
      <c r="C141" s="556"/>
      <c r="D141" s="564"/>
      <c r="E141" s="556"/>
      <c r="F141" s="564"/>
      <c r="G141" s="564"/>
      <c r="H141" s="564"/>
      <c r="I141" s="564"/>
      <c r="J141" s="564"/>
      <c r="K141" s="564"/>
      <c r="L141" s="564"/>
      <c r="M141" s="564"/>
      <c r="N141" s="564"/>
      <c r="O141" s="564"/>
      <c r="P141" s="564"/>
      <c r="Q141" s="564"/>
      <c r="R141" s="564"/>
      <c r="S141" s="564"/>
      <c r="T141" s="564"/>
      <c r="U141" s="564"/>
      <c r="V141" s="564"/>
      <c r="W141" s="564"/>
      <c r="X141" s="564"/>
      <c r="Y141" s="564"/>
      <c r="Z141" s="564"/>
      <c r="AA141" s="564"/>
      <c r="AB141" s="556"/>
      <c r="AC141" s="556"/>
      <c r="AD141" s="556"/>
      <c r="AE141" s="556"/>
      <c r="AF141" s="556"/>
      <c r="AG141" s="556"/>
      <c r="AH141" s="556"/>
      <c r="AI141" s="556"/>
      <c r="AJ141" s="556"/>
      <c r="AK141" s="556"/>
      <c r="AL141" s="556"/>
      <c r="AM141" s="556"/>
      <c r="AN141" s="556"/>
      <c r="AO141" s="556"/>
      <c r="AP141" s="556"/>
      <c r="AQ141" s="556"/>
      <c r="AR141" s="556"/>
      <c r="AS141" s="565"/>
      <c r="AT141" s="556"/>
    </row>
    <row r="142" spans="1:46" hidden="1" x14ac:dyDescent="0.45">
      <c r="A142" s="556"/>
      <c r="B142" s="556"/>
      <c r="C142" s="556"/>
      <c r="D142" s="564"/>
      <c r="E142" s="556"/>
      <c r="F142" s="564"/>
      <c r="G142" s="564"/>
      <c r="H142" s="564"/>
      <c r="I142" s="564"/>
      <c r="J142" s="564"/>
      <c r="K142" s="564"/>
      <c r="L142" s="564"/>
      <c r="M142" s="564"/>
      <c r="N142" s="564"/>
      <c r="O142" s="564"/>
      <c r="P142" s="564"/>
      <c r="Q142" s="564"/>
      <c r="R142" s="564"/>
      <c r="S142" s="564"/>
      <c r="T142" s="564"/>
      <c r="U142" s="564"/>
      <c r="V142" s="564"/>
      <c r="W142" s="564"/>
      <c r="X142" s="564"/>
      <c r="Y142" s="564"/>
      <c r="Z142" s="564"/>
      <c r="AA142" s="564"/>
      <c r="AB142" s="556"/>
      <c r="AC142" s="556"/>
      <c r="AD142" s="556"/>
      <c r="AE142" s="556"/>
      <c r="AF142" s="556"/>
      <c r="AG142" s="556"/>
      <c r="AH142" s="556"/>
      <c r="AI142" s="556"/>
      <c r="AJ142" s="556"/>
      <c r="AK142" s="556"/>
      <c r="AL142" s="556"/>
      <c r="AM142" s="556"/>
      <c r="AN142" s="556"/>
      <c r="AO142" s="556"/>
      <c r="AP142" s="556"/>
      <c r="AQ142" s="556"/>
      <c r="AR142" s="556"/>
      <c r="AS142" s="565"/>
      <c r="AT142" s="556"/>
    </row>
    <row r="143" spans="1:46" hidden="1" x14ac:dyDescent="0.45">
      <c r="A143" s="556"/>
      <c r="B143" s="556"/>
      <c r="C143" s="556"/>
      <c r="D143" s="564"/>
      <c r="E143" s="556"/>
      <c r="F143" s="564"/>
      <c r="G143" s="564"/>
      <c r="H143" s="564"/>
      <c r="I143" s="564"/>
      <c r="J143" s="564"/>
      <c r="K143" s="564"/>
      <c r="L143" s="564"/>
      <c r="M143" s="564"/>
      <c r="N143" s="564"/>
      <c r="O143" s="564"/>
      <c r="P143" s="564"/>
      <c r="Q143" s="564"/>
      <c r="R143" s="564"/>
      <c r="S143" s="564"/>
      <c r="T143" s="564"/>
      <c r="U143" s="564"/>
      <c r="V143" s="564"/>
      <c r="W143" s="564"/>
      <c r="X143" s="564"/>
      <c r="Y143" s="564"/>
      <c r="Z143" s="564"/>
      <c r="AA143" s="564"/>
      <c r="AB143" s="556"/>
      <c r="AC143" s="556"/>
      <c r="AD143" s="556"/>
      <c r="AE143" s="556"/>
      <c r="AF143" s="556"/>
      <c r="AG143" s="556"/>
      <c r="AH143" s="556"/>
      <c r="AI143" s="556"/>
      <c r="AJ143" s="556"/>
      <c r="AK143" s="556"/>
      <c r="AL143" s="556"/>
      <c r="AM143" s="556"/>
      <c r="AN143" s="556"/>
      <c r="AO143" s="556"/>
      <c r="AP143" s="556"/>
      <c r="AQ143" s="556"/>
      <c r="AR143" s="556"/>
      <c r="AS143" s="565"/>
      <c r="AT143" s="556"/>
    </row>
    <row r="144" spans="1:46" hidden="1" x14ac:dyDescent="0.45">
      <c r="A144" s="556"/>
      <c r="B144" s="556"/>
      <c r="C144" s="556"/>
      <c r="D144" s="564"/>
      <c r="E144" s="556"/>
      <c r="F144" s="564"/>
      <c r="G144" s="564"/>
      <c r="H144" s="564"/>
      <c r="I144" s="564"/>
      <c r="J144" s="564"/>
      <c r="K144" s="564"/>
      <c r="L144" s="564"/>
      <c r="M144" s="564"/>
      <c r="N144" s="564"/>
      <c r="O144" s="564"/>
      <c r="P144" s="564"/>
      <c r="Q144" s="564"/>
      <c r="R144" s="564"/>
      <c r="S144" s="564"/>
      <c r="T144" s="564"/>
      <c r="U144" s="564"/>
      <c r="V144" s="564"/>
      <c r="W144" s="564"/>
      <c r="X144" s="564"/>
      <c r="Y144" s="564"/>
      <c r="Z144" s="564"/>
      <c r="AA144" s="564"/>
      <c r="AB144" s="556"/>
      <c r="AC144" s="556"/>
      <c r="AD144" s="556"/>
      <c r="AE144" s="556"/>
      <c r="AF144" s="556"/>
      <c r="AG144" s="556"/>
      <c r="AH144" s="556"/>
      <c r="AI144" s="556"/>
      <c r="AJ144" s="556"/>
      <c r="AK144" s="556"/>
      <c r="AL144" s="556"/>
      <c r="AM144" s="556"/>
      <c r="AN144" s="556"/>
      <c r="AO144" s="556"/>
      <c r="AP144" s="556"/>
      <c r="AQ144" s="556"/>
      <c r="AR144" s="556"/>
      <c r="AS144" s="565"/>
      <c r="AT144" s="556"/>
    </row>
    <row r="145" spans="1:46" hidden="1" x14ac:dyDescent="0.45">
      <c r="A145" s="556"/>
      <c r="B145" s="556"/>
      <c r="C145" s="556"/>
      <c r="D145" s="564"/>
      <c r="E145" s="556"/>
      <c r="F145" s="564"/>
      <c r="G145" s="564"/>
      <c r="H145" s="564"/>
      <c r="I145" s="564"/>
      <c r="J145" s="564"/>
      <c r="K145" s="564"/>
      <c r="L145" s="564"/>
      <c r="M145" s="564"/>
      <c r="N145" s="564"/>
      <c r="O145" s="564"/>
      <c r="P145" s="564"/>
      <c r="Q145" s="564"/>
      <c r="R145" s="564"/>
      <c r="S145" s="564"/>
      <c r="T145" s="564"/>
      <c r="U145" s="564"/>
      <c r="V145" s="564"/>
      <c r="W145" s="564"/>
      <c r="X145" s="564"/>
      <c r="Y145" s="564"/>
      <c r="Z145" s="564"/>
      <c r="AA145" s="564"/>
      <c r="AB145" s="556"/>
      <c r="AC145" s="556"/>
      <c r="AD145" s="556"/>
      <c r="AE145" s="556"/>
      <c r="AF145" s="556"/>
      <c r="AG145" s="556"/>
      <c r="AH145" s="556"/>
      <c r="AI145" s="556"/>
      <c r="AJ145" s="556"/>
      <c r="AK145" s="556"/>
      <c r="AL145" s="556"/>
      <c r="AM145" s="556"/>
      <c r="AN145" s="556"/>
      <c r="AO145" s="556"/>
      <c r="AP145" s="556"/>
      <c r="AQ145" s="556"/>
      <c r="AR145" s="556"/>
      <c r="AS145" s="565"/>
      <c r="AT145" s="556"/>
    </row>
    <row r="146" spans="1:46" hidden="1" x14ac:dyDescent="0.45">
      <c r="A146" s="556"/>
      <c r="B146" s="556"/>
      <c r="C146" s="556"/>
      <c r="D146" s="564"/>
      <c r="E146" s="556"/>
      <c r="F146" s="564"/>
      <c r="G146" s="564"/>
      <c r="H146" s="564"/>
      <c r="I146" s="564"/>
      <c r="J146" s="564"/>
      <c r="K146" s="564"/>
      <c r="L146" s="564"/>
      <c r="M146" s="564"/>
      <c r="N146" s="564"/>
      <c r="O146" s="564"/>
      <c r="P146" s="564"/>
      <c r="Q146" s="564"/>
      <c r="R146" s="564"/>
      <c r="S146" s="564"/>
      <c r="T146" s="564"/>
      <c r="U146" s="564"/>
      <c r="V146" s="564"/>
      <c r="W146" s="564"/>
      <c r="X146" s="564"/>
      <c r="Y146" s="564"/>
      <c r="Z146" s="564"/>
      <c r="AA146" s="564"/>
      <c r="AB146" s="556"/>
      <c r="AC146" s="556"/>
      <c r="AD146" s="556"/>
      <c r="AE146" s="556"/>
      <c r="AF146" s="556"/>
      <c r="AG146" s="556"/>
      <c r="AH146" s="556"/>
      <c r="AI146" s="556"/>
      <c r="AJ146" s="556"/>
      <c r="AK146" s="556"/>
      <c r="AL146" s="556"/>
      <c r="AM146" s="556"/>
      <c r="AN146" s="556"/>
      <c r="AO146" s="556"/>
      <c r="AP146" s="556"/>
      <c r="AQ146" s="556"/>
      <c r="AR146" s="556"/>
      <c r="AS146" s="565"/>
      <c r="AT146" s="556"/>
    </row>
    <row r="147" spans="1:46" hidden="1" x14ac:dyDescent="0.45">
      <c r="A147" s="556"/>
      <c r="B147" s="556"/>
      <c r="C147" s="556"/>
      <c r="D147" s="564"/>
      <c r="E147" s="556"/>
      <c r="F147" s="564"/>
      <c r="G147" s="564"/>
      <c r="H147" s="564"/>
      <c r="I147" s="564"/>
      <c r="J147" s="564"/>
      <c r="K147" s="564"/>
      <c r="L147" s="564"/>
      <c r="M147" s="564"/>
      <c r="N147" s="564"/>
      <c r="O147" s="564"/>
      <c r="P147" s="564"/>
      <c r="Q147" s="564"/>
      <c r="R147" s="564"/>
      <c r="S147" s="564"/>
      <c r="T147" s="564"/>
      <c r="U147" s="564"/>
      <c r="V147" s="564"/>
      <c r="W147" s="564"/>
      <c r="X147" s="564"/>
      <c r="Y147" s="564"/>
      <c r="Z147" s="564"/>
      <c r="AA147" s="564"/>
      <c r="AB147" s="556"/>
      <c r="AC147" s="556"/>
      <c r="AD147" s="556"/>
      <c r="AE147" s="556"/>
      <c r="AF147" s="556"/>
      <c r="AG147" s="556"/>
      <c r="AH147" s="556"/>
      <c r="AI147" s="556"/>
      <c r="AJ147" s="556"/>
      <c r="AK147" s="556"/>
      <c r="AL147" s="556"/>
      <c r="AM147" s="556"/>
      <c r="AN147" s="556"/>
      <c r="AO147" s="556"/>
      <c r="AP147" s="556"/>
      <c r="AQ147" s="556"/>
      <c r="AR147" s="556"/>
      <c r="AS147" s="565"/>
      <c r="AT147" s="556"/>
    </row>
    <row r="148" spans="1:46" hidden="1" x14ac:dyDescent="0.45">
      <c r="A148" s="556"/>
      <c r="B148" s="556"/>
      <c r="C148" s="556"/>
      <c r="D148" s="564"/>
      <c r="E148" s="556"/>
      <c r="F148" s="564"/>
      <c r="G148" s="564"/>
      <c r="H148" s="564"/>
      <c r="I148" s="564"/>
      <c r="J148" s="564"/>
      <c r="K148" s="564"/>
      <c r="L148" s="564"/>
      <c r="M148" s="564"/>
      <c r="N148" s="564"/>
      <c r="O148" s="564"/>
      <c r="P148" s="564"/>
      <c r="Q148" s="564"/>
      <c r="R148" s="564"/>
      <c r="S148" s="564"/>
      <c r="T148" s="564"/>
      <c r="U148" s="564"/>
      <c r="V148" s="564"/>
      <c r="W148" s="564"/>
      <c r="X148" s="564"/>
      <c r="Y148" s="564"/>
      <c r="Z148" s="564"/>
      <c r="AA148" s="564"/>
      <c r="AB148" s="556"/>
      <c r="AC148" s="556"/>
      <c r="AD148" s="556"/>
      <c r="AE148" s="556"/>
      <c r="AF148" s="556"/>
      <c r="AG148" s="556"/>
      <c r="AH148" s="556"/>
      <c r="AI148" s="556"/>
      <c r="AJ148" s="556"/>
      <c r="AK148" s="556"/>
      <c r="AL148" s="556"/>
      <c r="AM148" s="556"/>
      <c r="AN148" s="556"/>
      <c r="AO148" s="556"/>
      <c r="AP148" s="556"/>
      <c r="AQ148" s="556"/>
      <c r="AR148" s="556"/>
      <c r="AS148" s="565"/>
      <c r="AT148" s="556"/>
    </row>
    <row r="149" spans="1:46" hidden="1" x14ac:dyDescent="0.45">
      <c r="A149" s="556"/>
      <c r="B149" s="556"/>
      <c r="C149" s="556"/>
      <c r="D149" s="564"/>
      <c r="E149" s="556"/>
      <c r="F149" s="564"/>
      <c r="G149" s="564"/>
      <c r="H149" s="564"/>
      <c r="I149" s="564"/>
      <c r="J149" s="564"/>
      <c r="K149" s="564"/>
      <c r="L149" s="564"/>
      <c r="M149" s="564"/>
      <c r="N149" s="564"/>
      <c r="O149" s="564"/>
      <c r="P149" s="564"/>
      <c r="Q149" s="564"/>
      <c r="R149" s="564"/>
      <c r="S149" s="564"/>
      <c r="T149" s="564"/>
      <c r="U149" s="564"/>
      <c r="V149" s="564"/>
      <c r="W149" s="564"/>
      <c r="X149" s="564"/>
      <c r="Y149" s="564"/>
      <c r="Z149" s="564"/>
      <c r="AA149" s="564"/>
      <c r="AB149" s="556"/>
      <c r="AC149" s="556"/>
      <c r="AD149" s="556"/>
      <c r="AE149" s="556"/>
      <c r="AF149" s="556"/>
      <c r="AG149" s="556"/>
      <c r="AH149" s="556"/>
      <c r="AI149" s="556"/>
      <c r="AJ149" s="556"/>
      <c r="AK149" s="556"/>
      <c r="AL149" s="556"/>
      <c r="AM149" s="556"/>
      <c r="AN149" s="556"/>
      <c r="AO149" s="556"/>
      <c r="AP149" s="556"/>
      <c r="AQ149" s="556"/>
      <c r="AR149" s="556"/>
      <c r="AS149" s="565"/>
      <c r="AT149" s="556"/>
    </row>
    <row r="150" spans="1:46" hidden="1" x14ac:dyDescent="0.45">
      <c r="A150" s="556"/>
      <c r="B150" s="556"/>
      <c r="C150" s="556"/>
      <c r="D150" s="564"/>
      <c r="E150" s="556"/>
      <c r="F150" s="564"/>
      <c r="G150" s="564"/>
      <c r="H150" s="564"/>
      <c r="I150" s="564"/>
      <c r="J150" s="564"/>
      <c r="K150" s="564"/>
      <c r="L150" s="564"/>
      <c r="M150" s="564"/>
      <c r="N150" s="564"/>
      <c r="O150" s="564"/>
      <c r="P150" s="564"/>
      <c r="Q150" s="564"/>
      <c r="R150" s="564"/>
      <c r="S150" s="564"/>
      <c r="T150" s="564"/>
      <c r="U150" s="564"/>
      <c r="V150" s="564"/>
      <c r="W150" s="564"/>
      <c r="X150" s="564"/>
      <c r="Y150" s="564"/>
      <c r="Z150" s="564"/>
      <c r="AA150" s="564"/>
      <c r="AB150" s="556"/>
      <c r="AC150" s="556"/>
      <c r="AD150" s="556"/>
      <c r="AE150" s="556"/>
      <c r="AF150" s="556"/>
      <c r="AG150" s="556"/>
      <c r="AH150" s="556"/>
      <c r="AI150" s="556"/>
      <c r="AJ150" s="556"/>
      <c r="AK150" s="556"/>
      <c r="AL150" s="556"/>
      <c r="AM150" s="556"/>
      <c r="AN150" s="556"/>
      <c r="AO150" s="556"/>
      <c r="AP150" s="556"/>
      <c r="AQ150" s="556"/>
      <c r="AR150" s="556"/>
      <c r="AS150" s="565"/>
      <c r="AT150" s="556"/>
    </row>
    <row r="151" spans="1:46" hidden="1" x14ac:dyDescent="0.45">
      <c r="A151" s="556"/>
      <c r="B151" s="556"/>
      <c r="C151" s="556"/>
      <c r="D151" s="564"/>
      <c r="E151" s="556"/>
      <c r="F151" s="564"/>
      <c r="G151" s="564"/>
      <c r="H151" s="564"/>
      <c r="I151" s="564"/>
      <c r="J151" s="564"/>
      <c r="K151" s="564"/>
      <c r="L151" s="564"/>
      <c r="M151" s="564"/>
      <c r="N151" s="564"/>
      <c r="O151" s="564"/>
      <c r="P151" s="564"/>
      <c r="Q151" s="564"/>
      <c r="R151" s="564"/>
      <c r="S151" s="564"/>
      <c r="T151" s="564"/>
      <c r="U151" s="564"/>
      <c r="V151" s="564"/>
      <c r="W151" s="564"/>
      <c r="X151" s="564"/>
      <c r="Y151" s="564"/>
      <c r="Z151" s="564"/>
      <c r="AA151" s="564"/>
      <c r="AB151" s="556"/>
      <c r="AC151" s="556"/>
      <c r="AD151" s="556"/>
      <c r="AE151" s="556"/>
      <c r="AF151" s="556"/>
      <c r="AG151" s="556"/>
      <c r="AH151" s="556"/>
      <c r="AI151" s="556"/>
      <c r="AJ151" s="556"/>
      <c r="AK151" s="556"/>
      <c r="AL151" s="556"/>
      <c r="AM151" s="556"/>
      <c r="AN151" s="556"/>
      <c r="AO151" s="556"/>
      <c r="AP151" s="556"/>
      <c r="AQ151" s="556"/>
      <c r="AR151" s="556"/>
      <c r="AS151" s="565"/>
      <c r="AT151" s="556"/>
    </row>
    <row r="152" spans="1:46" hidden="1" x14ac:dyDescent="0.45">
      <c r="A152" s="556"/>
      <c r="B152" s="556"/>
      <c r="C152" s="556"/>
      <c r="D152" s="564"/>
      <c r="E152" s="556"/>
      <c r="F152" s="564"/>
      <c r="G152" s="564"/>
      <c r="H152" s="564"/>
      <c r="I152" s="564"/>
      <c r="J152" s="564"/>
      <c r="K152" s="564"/>
      <c r="L152" s="564"/>
      <c r="M152" s="564"/>
      <c r="N152" s="564"/>
      <c r="O152" s="564"/>
      <c r="P152" s="564"/>
      <c r="Q152" s="564"/>
      <c r="R152" s="564"/>
      <c r="S152" s="564"/>
      <c r="T152" s="564"/>
      <c r="U152" s="564"/>
      <c r="V152" s="564"/>
      <c r="W152" s="564"/>
      <c r="X152" s="564"/>
      <c r="Y152" s="564"/>
      <c r="Z152" s="564"/>
      <c r="AA152" s="564"/>
      <c r="AB152" s="556"/>
      <c r="AC152" s="556"/>
      <c r="AD152" s="556"/>
      <c r="AE152" s="556"/>
      <c r="AF152" s="556"/>
      <c r="AG152" s="556"/>
      <c r="AH152" s="556"/>
      <c r="AI152" s="556"/>
      <c r="AJ152" s="556"/>
      <c r="AK152" s="556"/>
      <c r="AL152" s="556"/>
      <c r="AM152" s="556"/>
      <c r="AN152" s="556"/>
      <c r="AO152" s="556"/>
      <c r="AP152" s="556"/>
      <c r="AQ152" s="556"/>
      <c r="AR152" s="556"/>
      <c r="AS152" s="565"/>
      <c r="AT152" s="556"/>
    </row>
    <row r="153" spans="1:46" hidden="1" x14ac:dyDescent="0.45">
      <c r="A153" s="556"/>
      <c r="B153" s="556"/>
      <c r="C153" s="556"/>
      <c r="D153" s="564"/>
      <c r="E153" s="556"/>
      <c r="F153" s="564"/>
      <c r="G153" s="564"/>
      <c r="H153" s="564"/>
      <c r="I153" s="564"/>
      <c r="J153" s="564"/>
      <c r="K153" s="564"/>
      <c r="L153" s="564"/>
      <c r="M153" s="564"/>
      <c r="N153" s="564"/>
      <c r="O153" s="564"/>
      <c r="P153" s="564"/>
      <c r="Q153" s="564"/>
      <c r="R153" s="564"/>
      <c r="S153" s="564"/>
      <c r="T153" s="564"/>
      <c r="U153" s="564"/>
      <c r="V153" s="564"/>
      <c r="W153" s="564"/>
      <c r="X153" s="564"/>
      <c r="Y153" s="564"/>
      <c r="Z153" s="564"/>
      <c r="AA153" s="564"/>
      <c r="AB153" s="556"/>
      <c r="AC153" s="556"/>
      <c r="AD153" s="556"/>
      <c r="AE153" s="556"/>
      <c r="AF153" s="556"/>
      <c r="AG153" s="556"/>
      <c r="AH153" s="556"/>
      <c r="AI153" s="556"/>
      <c r="AJ153" s="556"/>
      <c r="AK153" s="556"/>
      <c r="AL153" s="556"/>
      <c r="AM153" s="556"/>
      <c r="AN153" s="556"/>
      <c r="AO153" s="556"/>
      <c r="AP153" s="556"/>
      <c r="AQ153" s="556"/>
      <c r="AR153" s="556"/>
      <c r="AS153" s="565"/>
      <c r="AT153" s="556"/>
    </row>
    <row r="154" spans="1:46" hidden="1" x14ac:dyDescent="0.45">
      <c r="A154" s="556"/>
      <c r="B154" s="556"/>
      <c r="C154" s="556"/>
      <c r="D154" s="564"/>
      <c r="E154" s="556"/>
      <c r="F154" s="564"/>
      <c r="G154" s="564"/>
      <c r="H154" s="564"/>
      <c r="I154" s="564"/>
      <c r="J154" s="564"/>
      <c r="K154" s="564"/>
      <c r="L154" s="564"/>
      <c r="M154" s="564"/>
      <c r="N154" s="564"/>
      <c r="O154" s="564"/>
      <c r="P154" s="564"/>
      <c r="Q154" s="564"/>
      <c r="R154" s="564"/>
      <c r="S154" s="564"/>
      <c r="T154" s="564"/>
      <c r="U154" s="564"/>
      <c r="V154" s="564"/>
      <c r="W154" s="564"/>
      <c r="X154" s="564"/>
      <c r="Y154" s="564"/>
      <c r="Z154" s="564"/>
      <c r="AA154" s="564"/>
      <c r="AB154" s="556"/>
      <c r="AC154" s="556"/>
      <c r="AD154" s="556"/>
      <c r="AE154" s="556"/>
      <c r="AF154" s="556"/>
      <c r="AG154" s="556"/>
      <c r="AH154" s="556"/>
      <c r="AI154" s="556"/>
      <c r="AJ154" s="556"/>
      <c r="AK154" s="556"/>
      <c r="AL154" s="556"/>
      <c r="AM154" s="556"/>
      <c r="AN154" s="556"/>
      <c r="AO154" s="556"/>
      <c r="AP154" s="556"/>
      <c r="AQ154" s="556"/>
      <c r="AR154" s="556"/>
      <c r="AS154" s="565"/>
      <c r="AT154" s="556"/>
    </row>
    <row r="155" spans="1:46" hidden="1" x14ac:dyDescent="0.45">
      <c r="A155" s="556"/>
      <c r="B155" s="556"/>
      <c r="C155" s="556"/>
      <c r="D155" s="564"/>
      <c r="E155" s="556"/>
      <c r="F155" s="564"/>
      <c r="G155" s="564"/>
      <c r="H155" s="564"/>
      <c r="I155" s="564"/>
      <c r="J155" s="564"/>
      <c r="K155" s="564"/>
      <c r="L155" s="564"/>
      <c r="M155" s="564"/>
      <c r="N155" s="564"/>
      <c r="O155" s="564"/>
      <c r="P155" s="564"/>
      <c r="Q155" s="564"/>
      <c r="R155" s="564"/>
      <c r="S155" s="564"/>
      <c r="T155" s="564"/>
      <c r="U155" s="564"/>
      <c r="V155" s="564"/>
      <c r="W155" s="564"/>
      <c r="X155" s="564"/>
      <c r="Y155" s="564"/>
      <c r="Z155" s="564"/>
      <c r="AA155" s="564"/>
      <c r="AB155" s="556"/>
      <c r="AC155" s="556"/>
      <c r="AD155" s="556"/>
      <c r="AE155" s="556"/>
      <c r="AF155" s="556"/>
      <c r="AG155" s="556"/>
      <c r="AH155" s="556"/>
      <c r="AI155" s="556"/>
      <c r="AJ155" s="556"/>
      <c r="AK155" s="556"/>
      <c r="AL155" s="556"/>
      <c r="AM155" s="556"/>
      <c r="AN155" s="556"/>
      <c r="AO155" s="556"/>
      <c r="AP155" s="556"/>
      <c r="AQ155" s="556"/>
      <c r="AR155" s="556"/>
      <c r="AS155" s="565"/>
      <c r="AT155" s="556"/>
    </row>
    <row r="156" spans="1:46" hidden="1" x14ac:dyDescent="0.45">
      <c r="A156" s="556"/>
      <c r="B156" s="556"/>
      <c r="C156" s="556"/>
      <c r="D156" s="564"/>
      <c r="E156" s="556"/>
      <c r="F156" s="564"/>
      <c r="G156" s="564"/>
      <c r="H156" s="564"/>
      <c r="I156" s="564"/>
      <c r="J156" s="564"/>
      <c r="K156" s="564"/>
      <c r="L156" s="564"/>
      <c r="M156" s="564"/>
      <c r="N156" s="564"/>
      <c r="O156" s="564"/>
      <c r="P156" s="564"/>
      <c r="Q156" s="564"/>
      <c r="R156" s="564"/>
      <c r="S156" s="564"/>
      <c r="T156" s="564"/>
      <c r="U156" s="564"/>
      <c r="V156" s="564"/>
      <c r="W156" s="564"/>
      <c r="X156" s="564"/>
      <c r="Y156" s="564"/>
      <c r="Z156" s="564"/>
      <c r="AA156" s="564"/>
      <c r="AB156" s="556"/>
      <c r="AC156" s="556"/>
      <c r="AD156" s="556"/>
      <c r="AE156" s="556"/>
      <c r="AF156" s="556"/>
      <c r="AG156" s="556"/>
      <c r="AH156" s="556"/>
      <c r="AI156" s="556"/>
      <c r="AJ156" s="556"/>
      <c r="AK156" s="556"/>
      <c r="AL156" s="556"/>
      <c r="AM156" s="556"/>
      <c r="AN156" s="556"/>
      <c r="AO156" s="556"/>
      <c r="AP156" s="556"/>
      <c r="AQ156" s="556"/>
      <c r="AR156" s="556"/>
      <c r="AS156" s="565"/>
      <c r="AT156" s="556"/>
    </row>
    <row r="157" spans="1:46" hidden="1" x14ac:dyDescent="0.45">
      <c r="A157" s="556"/>
      <c r="B157" s="556"/>
      <c r="C157" s="556"/>
      <c r="D157" s="564"/>
      <c r="E157" s="556"/>
      <c r="F157" s="564"/>
      <c r="G157" s="564"/>
      <c r="H157" s="564"/>
      <c r="I157" s="564"/>
      <c r="J157" s="564"/>
      <c r="K157" s="564"/>
      <c r="L157" s="564"/>
      <c r="M157" s="564"/>
      <c r="N157" s="564"/>
      <c r="O157" s="564"/>
      <c r="P157" s="564"/>
      <c r="Q157" s="564"/>
      <c r="R157" s="564"/>
      <c r="S157" s="564"/>
      <c r="T157" s="564"/>
      <c r="U157" s="564"/>
      <c r="V157" s="564"/>
      <c r="W157" s="564"/>
      <c r="X157" s="564"/>
      <c r="Y157" s="564"/>
      <c r="Z157" s="564"/>
      <c r="AA157" s="564"/>
      <c r="AB157" s="556"/>
      <c r="AC157" s="556"/>
      <c r="AD157" s="556"/>
      <c r="AE157" s="556"/>
      <c r="AF157" s="556"/>
      <c r="AG157" s="556"/>
      <c r="AH157" s="556"/>
      <c r="AI157" s="556"/>
      <c r="AJ157" s="556"/>
      <c r="AK157" s="556"/>
      <c r="AL157" s="556"/>
      <c r="AM157" s="556"/>
      <c r="AN157" s="556"/>
      <c r="AO157" s="556"/>
      <c r="AP157" s="556"/>
      <c r="AQ157" s="556"/>
      <c r="AR157" s="556"/>
      <c r="AS157" s="565"/>
      <c r="AT157" s="556"/>
    </row>
    <row r="158" spans="1:46" hidden="1" x14ac:dyDescent="0.45">
      <c r="A158" s="556"/>
      <c r="B158" s="556"/>
      <c r="C158" s="556"/>
      <c r="D158" s="564"/>
      <c r="E158" s="556"/>
      <c r="F158" s="564"/>
      <c r="G158" s="564"/>
      <c r="H158" s="564"/>
      <c r="I158" s="564"/>
      <c r="J158" s="564"/>
      <c r="K158" s="564"/>
      <c r="L158" s="564"/>
      <c r="M158" s="564"/>
      <c r="N158" s="564"/>
      <c r="O158" s="564"/>
      <c r="P158" s="564"/>
      <c r="Q158" s="564"/>
      <c r="R158" s="564"/>
      <c r="S158" s="564"/>
      <c r="T158" s="564"/>
      <c r="U158" s="564"/>
      <c r="V158" s="564"/>
      <c r="W158" s="564"/>
      <c r="X158" s="564"/>
      <c r="Y158" s="564"/>
      <c r="Z158" s="564"/>
      <c r="AA158" s="564"/>
      <c r="AB158" s="556"/>
      <c r="AC158" s="556"/>
      <c r="AD158" s="556"/>
      <c r="AE158" s="556"/>
      <c r="AF158" s="556"/>
      <c r="AG158" s="556"/>
      <c r="AH158" s="556"/>
      <c r="AI158" s="556"/>
      <c r="AJ158" s="556"/>
      <c r="AK158" s="556"/>
      <c r="AL158" s="556"/>
      <c r="AM158" s="556"/>
      <c r="AN158" s="556"/>
      <c r="AO158" s="556"/>
      <c r="AP158" s="556"/>
      <c r="AQ158" s="556"/>
      <c r="AR158" s="556"/>
      <c r="AS158" s="565"/>
      <c r="AT158" s="556"/>
    </row>
    <row r="159" spans="1:46" hidden="1" x14ac:dyDescent="0.45">
      <c r="A159" s="556"/>
      <c r="B159" s="556"/>
      <c r="C159" s="556"/>
      <c r="D159" s="564"/>
      <c r="E159" s="556"/>
      <c r="F159" s="564"/>
      <c r="G159" s="564"/>
      <c r="H159" s="564"/>
      <c r="I159" s="564"/>
      <c r="J159" s="564"/>
      <c r="K159" s="564"/>
      <c r="L159" s="564"/>
      <c r="M159" s="564"/>
      <c r="N159" s="564"/>
      <c r="O159" s="564"/>
      <c r="P159" s="564"/>
      <c r="Q159" s="564"/>
      <c r="R159" s="564"/>
      <c r="S159" s="564"/>
      <c r="T159" s="564"/>
      <c r="U159" s="564"/>
      <c r="V159" s="564"/>
      <c r="W159" s="564"/>
      <c r="X159" s="564"/>
      <c r="Y159" s="564"/>
      <c r="Z159" s="564"/>
      <c r="AA159" s="564"/>
      <c r="AB159" s="556"/>
      <c r="AC159" s="556"/>
      <c r="AD159" s="556"/>
      <c r="AE159" s="556"/>
      <c r="AF159" s="556"/>
      <c r="AG159" s="556"/>
      <c r="AH159" s="556"/>
      <c r="AI159" s="556"/>
      <c r="AJ159" s="556"/>
      <c r="AK159" s="556"/>
      <c r="AL159" s="556"/>
      <c r="AM159" s="556"/>
      <c r="AN159" s="556"/>
      <c r="AO159" s="556"/>
      <c r="AP159" s="556"/>
      <c r="AQ159" s="556"/>
      <c r="AR159" s="556"/>
      <c r="AS159" s="565"/>
      <c r="AT159" s="556"/>
    </row>
    <row r="160" spans="1:46" hidden="1" x14ac:dyDescent="0.45">
      <c r="A160" s="556"/>
      <c r="B160" s="556"/>
      <c r="C160" s="556"/>
      <c r="D160" s="564"/>
      <c r="E160" s="556"/>
      <c r="F160" s="564"/>
      <c r="G160" s="564"/>
      <c r="H160" s="564"/>
      <c r="I160" s="564"/>
      <c r="J160" s="564"/>
      <c r="K160" s="564"/>
      <c r="L160" s="564"/>
      <c r="M160" s="564"/>
      <c r="N160" s="564"/>
      <c r="O160" s="564"/>
      <c r="P160" s="564"/>
      <c r="Q160" s="564"/>
      <c r="R160" s="564"/>
      <c r="S160" s="564"/>
      <c r="T160" s="564"/>
      <c r="U160" s="564"/>
      <c r="V160" s="564"/>
      <c r="W160" s="564"/>
      <c r="X160" s="564"/>
      <c r="Y160" s="564"/>
      <c r="Z160" s="564"/>
      <c r="AA160" s="564"/>
      <c r="AB160" s="556"/>
      <c r="AC160" s="556"/>
      <c r="AD160" s="556"/>
      <c r="AE160" s="556"/>
      <c r="AF160" s="556"/>
      <c r="AG160" s="556"/>
      <c r="AH160" s="556"/>
      <c r="AI160" s="556"/>
      <c r="AJ160" s="556"/>
      <c r="AK160" s="556"/>
      <c r="AL160" s="556"/>
      <c r="AM160" s="556"/>
      <c r="AN160" s="556"/>
      <c r="AO160" s="556"/>
      <c r="AP160" s="556"/>
      <c r="AQ160" s="556"/>
      <c r="AR160" s="556"/>
      <c r="AS160" s="565"/>
      <c r="AT160" s="556"/>
    </row>
    <row r="161" spans="1:46" hidden="1" x14ac:dyDescent="0.45">
      <c r="A161" s="556"/>
      <c r="B161" s="556"/>
      <c r="C161" s="556"/>
      <c r="D161" s="564"/>
      <c r="E161" s="556"/>
      <c r="F161" s="564"/>
      <c r="G161" s="564"/>
      <c r="H161" s="564"/>
      <c r="I161" s="564"/>
      <c r="J161" s="564"/>
      <c r="K161" s="564"/>
      <c r="L161" s="564"/>
      <c r="M161" s="564"/>
      <c r="N161" s="564"/>
      <c r="O161" s="564"/>
      <c r="P161" s="564"/>
      <c r="Q161" s="564"/>
      <c r="R161" s="564"/>
      <c r="S161" s="564"/>
      <c r="T161" s="564"/>
      <c r="U161" s="564"/>
      <c r="V161" s="564"/>
      <c r="W161" s="564"/>
      <c r="X161" s="564"/>
      <c r="Y161" s="564"/>
      <c r="Z161" s="564"/>
      <c r="AA161" s="564"/>
      <c r="AB161" s="556"/>
      <c r="AC161" s="556"/>
      <c r="AD161" s="556"/>
      <c r="AE161" s="556"/>
      <c r="AF161" s="556"/>
      <c r="AG161" s="556"/>
      <c r="AH161" s="556"/>
      <c r="AI161" s="556"/>
      <c r="AJ161" s="556"/>
      <c r="AK161" s="556"/>
      <c r="AL161" s="556"/>
      <c r="AM161" s="556"/>
      <c r="AN161" s="556"/>
      <c r="AO161" s="556"/>
      <c r="AP161" s="556"/>
      <c r="AQ161" s="556"/>
      <c r="AR161" s="556"/>
      <c r="AS161" s="565"/>
      <c r="AT161" s="556"/>
    </row>
    <row r="162" spans="1:46" hidden="1" x14ac:dyDescent="0.45">
      <c r="A162" s="556"/>
      <c r="B162" s="556"/>
      <c r="C162" s="556"/>
      <c r="D162" s="564"/>
      <c r="E162" s="556"/>
      <c r="F162" s="564"/>
      <c r="G162" s="564"/>
      <c r="H162" s="564"/>
      <c r="I162" s="564"/>
      <c r="J162" s="564"/>
      <c r="K162" s="564"/>
      <c r="L162" s="564"/>
      <c r="M162" s="564"/>
      <c r="N162" s="564"/>
      <c r="O162" s="564"/>
      <c r="P162" s="564"/>
      <c r="Q162" s="564"/>
      <c r="R162" s="564"/>
      <c r="S162" s="564"/>
      <c r="T162" s="564"/>
      <c r="U162" s="564"/>
      <c r="V162" s="564"/>
      <c r="W162" s="564"/>
      <c r="X162" s="564"/>
      <c r="Y162" s="564"/>
      <c r="Z162" s="564"/>
      <c r="AA162" s="564"/>
      <c r="AB162" s="556"/>
      <c r="AC162" s="556"/>
      <c r="AD162" s="556"/>
      <c r="AE162" s="556"/>
      <c r="AF162" s="556"/>
      <c r="AG162" s="556"/>
      <c r="AH162" s="556"/>
      <c r="AI162" s="556"/>
      <c r="AJ162" s="556"/>
      <c r="AK162" s="556"/>
      <c r="AL162" s="556"/>
      <c r="AM162" s="556"/>
      <c r="AN162" s="556"/>
      <c r="AO162" s="556"/>
      <c r="AP162" s="556"/>
      <c r="AQ162" s="556"/>
      <c r="AR162" s="556"/>
      <c r="AS162" s="565"/>
      <c r="AT162" s="556"/>
    </row>
    <row r="163" spans="1:46" hidden="1" x14ac:dyDescent="0.45">
      <c r="A163" s="556"/>
      <c r="B163" s="556"/>
      <c r="C163" s="556"/>
      <c r="D163" s="564"/>
      <c r="E163" s="556"/>
      <c r="F163" s="564"/>
      <c r="G163" s="564"/>
      <c r="H163" s="564"/>
      <c r="I163" s="564"/>
      <c r="J163" s="564"/>
      <c r="K163" s="564"/>
      <c r="L163" s="564"/>
      <c r="M163" s="564"/>
      <c r="N163" s="564"/>
      <c r="O163" s="564"/>
      <c r="P163" s="564"/>
      <c r="Q163" s="564"/>
      <c r="R163" s="564"/>
      <c r="S163" s="564"/>
      <c r="T163" s="564"/>
      <c r="U163" s="564"/>
      <c r="V163" s="564"/>
      <c r="W163" s="564"/>
      <c r="X163" s="564"/>
      <c r="Y163" s="564"/>
      <c r="Z163" s="564"/>
      <c r="AA163" s="564"/>
      <c r="AB163" s="556"/>
      <c r="AC163" s="556"/>
      <c r="AD163" s="556"/>
      <c r="AE163" s="556"/>
      <c r="AF163" s="556"/>
      <c r="AG163" s="556"/>
      <c r="AH163" s="556"/>
      <c r="AI163" s="556"/>
      <c r="AJ163" s="556"/>
      <c r="AK163" s="556"/>
      <c r="AL163" s="556"/>
      <c r="AM163" s="556"/>
      <c r="AN163" s="556"/>
      <c r="AO163" s="556"/>
      <c r="AP163" s="556"/>
      <c r="AQ163" s="556"/>
      <c r="AR163" s="556"/>
      <c r="AS163" s="565"/>
      <c r="AT163" s="556"/>
    </row>
    <row r="164" spans="1:46" hidden="1" x14ac:dyDescent="0.45">
      <c r="A164" s="556"/>
      <c r="B164" s="556"/>
      <c r="C164" s="556"/>
      <c r="D164" s="564"/>
      <c r="E164" s="556"/>
      <c r="F164" s="564"/>
      <c r="G164" s="564"/>
      <c r="H164" s="564"/>
      <c r="I164" s="564"/>
      <c r="J164" s="564"/>
      <c r="K164" s="564"/>
      <c r="L164" s="564"/>
      <c r="M164" s="564"/>
      <c r="N164" s="564"/>
      <c r="O164" s="564"/>
      <c r="P164" s="564"/>
      <c r="Q164" s="564"/>
      <c r="R164" s="564"/>
      <c r="S164" s="564"/>
      <c r="T164" s="564"/>
      <c r="U164" s="564"/>
      <c r="V164" s="564"/>
      <c r="W164" s="564"/>
      <c r="X164" s="564"/>
      <c r="Y164" s="564"/>
      <c r="Z164" s="564"/>
      <c r="AA164" s="564"/>
      <c r="AB164" s="556"/>
      <c r="AC164" s="556"/>
      <c r="AD164" s="556"/>
      <c r="AE164" s="556"/>
      <c r="AF164" s="556"/>
      <c r="AG164" s="556"/>
      <c r="AH164" s="556"/>
      <c r="AI164" s="556"/>
      <c r="AJ164" s="556"/>
      <c r="AK164" s="556"/>
      <c r="AL164" s="556"/>
      <c r="AM164" s="556"/>
      <c r="AN164" s="556"/>
      <c r="AO164" s="556"/>
      <c r="AP164" s="556"/>
      <c r="AQ164" s="556"/>
      <c r="AR164" s="556"/>
      <c r="AS164" s="565"/>
      <c r="AT164" s="556"/>
    </row>
    <row r="165" spans="1:46" hidden="1" x14ac:dyDescent="0.45">
      <c r="A165" s="556"/>
      <c r="B165" s="556"/>
      <c r="C165" s="556"/>
      <c r="D165" s="564"/>
      <c r="E165" s="556"/>
      <c r="F165" s="564"/>
      <c r="G165" s="564"/>
      <c r="H165" s="564"/>
      <c r="I165" s="564"/>
      <c r="J165" s="564"/>
      <c r="K165" s="564"/>
      <c r="L165" s="564"/>
      <c r="M165" s="564"/>
      <c r="N165" s="564"/>
      <c r="O165" s="564"/>
      <c r="P165" s="564"/>
      <c r="Q165" s="564"/>
      <c r="R165" s="564"/>
      <c r="S165" s="564"/>
      <c r="T165" s="564"/>
      <c r="U165" s="564"/>
      <c r="V165" s="564"/>
      <c r="W165" s="564"/>
      <c r="X165" s="564"/>
      <c r="Y165" s="564"/>
      <c r="Z165" s="564"/>
      <c r="AA165" s="564"/>
      <c r="AB165" s="556"/>
      <c r="AC165" s="556"/>
      <c r="AD165" s="556"/>
      <c r="AE165" s="556"/>
      <c r="AF165" s="556"/>
      <c r="AG165" s="556"/>
      <c r="AH165" s="556"/>
      <c r="AI165" s="556"/>
      <c r="AJ165" s="556"/>
      <c r="AK165" s="556"/>
      <c r="AL165" s="556"/>
      <c r="AM165" s="556"/>
      <c r="AN165" s="556"/>
      <c r="AO165" s="556"/>
      <c r="AP165" s="556"/>
      <c r="AQ165" s="556"/>
      <c r="AR165" s="556"/>
      <c r="AS165" s="565"/>
      <c r="AT165" s="556"/>
    </row>
    <row r="166" spans="1:46" hidden="1" x14ac:dyDescent="0.45">
      <c r="A166" s="556"/>
      <c r="B166" s="556"/>
      <c r="C166" s="556"/>
      <c r="D166" s="564"/>
      <c r="E166" s="556"/>
      <c r="F166" s="564"/>
      <c r="G166" s="564"/>
      <c r="H166" s="564"/>
      <c r="I166" s="564"/>
      <c r="J166" s="564"/>
      <c r="K166" s="564"/>
      <c r="L166" s="564"/>
      <c r="M166" s="564"/>
      <c r="N166" s="564"/>
      <c r="O166" s="564"/>
      <c r="P166" s="564"/>
      <c r="Q166" s="564"/>
      <c r="R166" s="564"/>
      <c r="S166" s="564"/>
      <c r="T166" s="564"/>
      <c r="U166" s="564"/>
      <c r="V166" s="564"/>
      <c r="W166" s="564"/>
      <c r="X166" s="564"/>
      <c r="Y166" s="564"/>
      <c r="Z166" s="564"/>
      <c r="AA166" s="564"/>
      <c r="AB166" s="556"/>
      <c r="AC166" s="556"/>
      <c r="AD166" s="556"/>
      <c r="AE166" s="556"/>
      <c r="AF166" s="556"/>
      <c r="AG166" s="556"/>
      <c r="AH166" s="556"/>
      <c r="AI166" s="556"/>
      <c r="AJ166" s="556"/>
      <c r="AK166" s="556"/>
      <c r="AL166" s="556"/>
      <c r="AM166" s="556"/>
      <c r="AN166" s="556"/>
      <c r="AO166" s="556"/>
      <c r="AP166" s="556"/>
      <c r="AQ166" s="556"/>
      <c r="AR166" s="556"/>
      <c r="AS166" s="565"/>
      <c r="AT166" s="556"/>
    </row>
    <row r="167" spans="1:46" hidden="1" x14ac:dyDescent="0.45">
      <c r="A167" s="556"/>
      <c r="B167" s="556"/>
      <c r="C167" s="556"/>
      <c r="D167" s="564"/>
      <c r="E167" s="556"/>
      <c r="F167" s="564"/>
      <c r="G167" s="564"/>
      <c r="H167" s="564"/>
      <c r="I167" s="564"/>
      <c r="J167" s="564"/>
      <c r="K167" s="564"/>
      <c r="L167" s="564"/>
      <c r="M167" s="564"/>
      <c r="N167" s="564"/>
      <c r="O167" s="564"/>
      <c r="P167" s="564"/>
      <c r="Q167" s="564"/>
      <c r="R167" s="564"/>
      <c r="S167" s="564"/>
      <c r="T167" s="564"/>
      <c r="U167" s="564"/>
      <c r="V167" s="564"/>
      <c r="W167" s="564"/>
      <c r="X167" s="564"/>
      <c r="Y167" s="564"/>
      <c r="Z167" s="564"/>
      <c r="AA167" s="564"/>
      <c r="AB167" s="556"/>
      <c r="AC167" s="556"/>
      <c r="AD167" s="556"/>
      <c r="AE167" s="556"/>
      <c r="AF167" s="556"/>
      <c r="AG167" s="556"/>
      <c r="AH167" s="556"/>
      <c r="AI167" s="556"/>
      <c r="AJ167" s="556"/>
      <c r="AK167" s="556"/>
      <c r="AL167" s="556"/>
      <c r="AM167" s="556"/>
      <c r="AN167" s="556"/>
      <c r="AO167" s="556"/>
      <c r="AP167" s="556"/>
      <c r="AQ167" s="556"/>
      <c r="AR167" s="556"/>
      <c r="AS167" s="565"/>
      <c r="AT167" s="556"/>
    </row>
    <row r="168" spans="1:46" hidden="1" x14ac:dyDescent="0.45">
      <c r="A168" s="556"/>
      <c r="B168" s="556"/>
      <c r="C168" s="556"/>
      <c r="D168" s="564"/>
      <c r="E168" s="556"/>
      <c r="F168" s="564"/>
      <c r="G168" s="564"/>
      <c r="H168" s="564"/>
      <c r="I168" s="564"/>
      <c r="J168" s="564"/>
      <c r="K168" s="564"/>
      <c r="L168" s="564"/>
      <c r="M168" s="564"/>
      <c r="N168" s="564"/>
      <c r="O168" s="564"/>
      <c r="P168" s="564"/>
      <c r="Q168" s="564"/>
      <c r="R168" s="564"/>
      <c r="S168" s="564"/>
      <c r="T168" s="564"/>
      <c r="U168" s="564"/>
      <c r="V168" s="564"/>
      <c r="W168" s="564"/>
      <c r="X168" s="564"/>
      <c r="Y168" s="564"/>
      <c r="Z168" s="564"/>
      <c r="AA168" s="564"/>
      <c r="AB168" s="556"/>
      <c r="AC168" s="556"/>
      <c r="AD168" s="556"/>
      <c r="AE168" s="556"/>
      <c r="AF168" s="556"/>
      <c r="AG168" s="556"/>
      <c r="AH168" s="556"/>
      <c r="AI168" s="556"/>
      <c r="AJ168" s="556"/>
      <c r="AK168" s="556"/>
      <c r="AL168" s="556"/>
      <c r="AM168" s="556"/>
      <c r="AN168" s="556"/>
      <c r="AO168" s="556"/>
      <c r="AP168" s="556"/>
      <c r="AQ168" s="556"/>
      <c r="AR168" s="556"/>
      <c r="AS168" s="565"/>
      <c r="AT168" s="556"/>
    </row>
    <row r="169" spans="1:46" hidden="1" x14ac:dyDescent="0.45">
      <c r="A169" s="556"/>
      <c r="B169" s="556"/>
      <c r="C169" s="556"/>
      <c r="D169" s="564"/>
      <c r="E169" s="556"/>
      <c r="F169" s="564"/>
      <c r="G169" s="564"/>
      <c r="H169" s="564"/>
      <c r="I169" s="564"/>
      <c r="J169" s="564"/>
      <c r="K169" s="564"/>
      <c r="L169" s="564"/>
      <c r="M169" s="564"/>
      <c r="N169" s="564"/>
      <c r="O169" s="564"/>
      <c r="P169" s="564"/>
      <c r="Q169" s="564"/>
      <c r="R169" s="564"/>
      <c r="S169" s="564"/>
      <c r="T169" s="564"/>
      <c r="U169" s="564"/>
      <c r="V169" s="564"/>
      <c r="W169" s="564"/>
      <c r="X169" s="564"/>
      <c r="Y169" s="564"/>
      <c r="Z169" s="564"/>
      <c r="AA169" s="564"/>
      <c r="AB169" s="556"/>
      <c r="AC169" s="556"/>
      <c r="AD169" s="556"/>
      <c r="AE169" s="556"/>
      <c r="AF169" s="556"/>
      <c r="AG169" s="556"/>
      <c r="AH169" s="556"/>
      <c r="AI169" s="556"/>
      <c r="AJ169" s="556"/>
      <c r="AK169" s="556"/>
      <c r="AL169" s="556"/>
      <c r="AM169" s="556"/>
      <c r="AN169" s="556"/>
      <c r="AO169" s="556"/>
      <c r="AP169" s="556"/>
      <c r="AQ169" s="556"/>
      <c r="AR169" s="556"/>
      <c r="AS169" s="565"/>
      <c r="AT169" s="556"/>
    </row>
    <row r="170" spans="1:46" hidden="1" x14ac:dyDescent="0.45">
      <c r="A170" s="556"/>
      <c r="B170" s="556"/>
      <c r="C170" s="556"/>
      <c r="D170" s="564"/>
      <c r="E170" s="556"/>
      <c r="F170" s="564"/>
      <c r="G170" s="564"/>
      <c r="H170" s="564"/>
      <c r="I170" s="564"/>
      <c r="J170" s="564"/>
      <c r="K170" s="564"/>
      <c r="L170" s="564"/>
      <c r="M170" s="564"/>
      <c r="N170" s="564"/>
      <c r="O170" s="564"/>
      <c r="P170" s="564"/>
      <c r="Q170" s="564"/>
      <c r="R170" s="564"/>
      <c r="S170" s="564"/>
      <c r="T170" s="564"/>
      <c r="U170" s="564"/>
      <c r="V170" s="564"/>
      <c r="W170" s="564"/>
      <c r="X170" s="564"/>
      <c r="Y170" s="564"/>
      <c r="Z170" s="564"/>
      <c r="AA170" s="564"/>
      <c r="AB170" s="556"/>
      <c r="AC170" s="556"/>
      <c r="AD170" s="556"/>
      <c r="AE170" s="556"/>
      <c r="AF170" s="556"/>
      <c r="AG170" s="556"/>
      <c r="AH170" s="556"/>
      <c r="AI170" s="556"/>
      <c r="AJ170" s="556"/>
      <c r="AK170" s="556"/>
      <c r="AL170" s="556"/>
      <c r="AM170" s="556"/>
      <c r="AN170" s="556"/>
      <c r="AO170" s="556"/>
      <c r="AP170" s="556"/>
      <c r="AQ170" s="556"/>
      <c r="AR170" s="556"/>
      <c r="AS170" s="565"/>
      <c r="AT170" s="556"/>
    </row>
    <row r="171" spans="1:46" hidden="1" x14ac:dyDescent="0.45">
      <c r="A171" s="556"/>
      <c r="B171" s="556"/>
      <c r="C171" s="556"/>
      <c r="D171" s="564"/>
      <c r="E171" s="556"/>
      <c r="F171" s="564"/>
      <c r="G171" s="564"/>
      <c r="H171" s="564"/>
      <c r="I171" s="564"/>
      <c r="J171" s="564"/>
      <c r="K171" s="564"/>
      <c r="L171" s="564"/>
      <c r="M171" s="564"/>
      <c r="N171" s="564"/>
      <c r="O171" s="564"/>
      <c r="P171" s="564"/>
      <c r="Q171" s="564"/>
      <c r="R171" s="564"/>
      <c r="S171" s="564"/>
      <c r="T171" s="564"/>
      <c r="U171" s="564"/>
      <c r="V171" s="564"/>
      <c r="W171" s="564"/>
      <c r="X171" s="564"/>
      <c r="Y171" s="564"/>
      <c r="Z171" s="564"/>
      <c r="AA171" s="564"/>
      <c r="AB171" s="556"/>
      <c r="AC171" s="556"/>
      <c r="AD171" s="556"/>
      <c r="AE171" s="556"/>
      <c r="AF171" s="556"/>
      <c r="AG171" s="556"/>
      <c r="AH171" s="556"/>
      <c r="AI171" s="556"/>
      <c r="AJ171" s="556"/>
      <c r="AK171" s="556"/>
      <c r="AL171" s="556"/>
      <c r="AM171" s="556"/>
      <c r="AN171" s="556"/>
      <c r="AO171" s="556"/>
      <c r="AP171" s="556"/>
      <c r="AQ171" s="556"/>
      <c r="AR171" s="556"/>
      <c r="AS171" s="565"/>
      <c r="AT171" s="556"/>
    </row>
    <row r="172" spans="1:46" hidden="1" x14ac:dyDescent="0.45">
      <c r="A172" s="556"/>
      <c r="B172" s="556"/>
      <c r="C172" s="556"/>
      <c r="D172" s="564"/>
      <c r="E172" s="556"/>
      <c r="F172" s="564"/>
      <c r="G172" s="564"/>
      <c r="H172" s="564"/>
      <c r="I172" s="564"/>
      <c r="J172" s="564"/>
      <c r="K172" s="564"/>
      <c r="L172" s="564"/>
      <c r="M172" s="564"/>
      <c r="N172" s="564"/>
      <c r="O172" s="564"/>
      <c r="P172" s="564"/>
      <c r="Q172" s="564"/>
      <c r="R172" s="564"/>
      <c r="S172" s="564"/>
      <c r="T172" s="564"/>
      <c r="U172" s="564"/>
      <c r="V172" s="564"/>
      <c r="W172" s="564"/>
      <c r="X172" s="564"/>
      <c r="Y172" s="564"/>
      <c r="Z172" s="564"/>
      <c r="AA172" s="564"/>
      <c r="AB172" s="556"/>
      <c r="AC172" s="556"/>
      <c r="AD172" s="556"/>
      <c r="AE172" s="556"/>
      <c r="AF172" s="556"/>
      <c r="AG172" s="556"/>
      <c r="AH172" s="556"/>
      <c r="AI172" s="556"/>
      <c r="AJ172" s="556"/>
      <c r="AK172" s="556"/>
      <c r="AL172" s="556"/>
      <c r="AM172" s="556"/>
      <c r="AN172" s="556"/>
      <c r="AO172" s="556"/>
      <c r="AP172" s="556"/>
      <c r="AQ172" s="556"/>
      <c r="AR172" s="556"/>
      <c r="AS172" s="565"/>
      <c r="AT172" s="556"/>
    </row>
    <row r="173" spans="1:46" hidden="1" x14ac:dyDescent="0.45">
      <c r="A173" s="556"/>
      <c r="B173" s="556"/>
      <c r="C173" s="556"/>
      <c r="D173" s="564"/>
      <c r="E173" s="556"/>
      <c r="F173" s="564"/>
      <c r="G173" s="564"/>
      <c r="H173" s="564"/>
      <c r="I173" s="564"/>
      <c r="J173" s="564"/>
      <c r="K173" s="564"/>
      <c r="L173" s="564"/>
      <c r="M173" s="564"/>
      <c r="N173" s="564"/>
      <c r="O173" s="564"/>
      <c r="P173" s="564"/>
      <c r="Q173" s="564"/>
      <c r="R173" s="564"/>
      <c r="S173" s="564"/>
      <c r="T173" s="564"/>
      <c r="U173" s="564"/>
      <c r="V173" s="564"/>
      <c r="W173" s="564"/>
      <c r="X173" s="564"/>
      <c r="Y173" s="564"/>
      <c r="Z173" s="564"/>
      <c r="AA173" s="564"/>
      <c r="AB173" s="556"/>
      <c r="AC173" s="556"/>
      <c r="AD173" s="556"/>
      <c r="AE173" s="556"/>
      <c r="AF173" s="556"/>
      <c r="AG173" s="556"/>
      <c r="AH173" s="556"/>
      <c r="AI173" s="556"/>
      <c r="AJ173" s="556"/>
      <c r="AK173" s="556"/>
      <c r="AL173" s="556"/>
      <c r="AM173" s="556"/>
      <c r="AN173" s="556"/>
      <c r="AO173" s="556"/>
      <c r="AP173" s="556"/>
      <c r="AQ173" s="556"/>
      <c r="AR173" s="556"/>
      <c r="AS173" s="565"/>
      <c r="AT173" s="556"/>
    </row>
    <row r="174" spans="1:46" hidden="1" x14ac:dyDescent="0.45">
      <c r="A174" s="556"/>
      <c r="B174" s="556"/>
      <c r="C174" s="556"/>
      <c r="D174" s="564"/>
      <c r="E174" s="556"/>
      <c r="F174" s="564"/>
      <c r="G174" s="564"/>
      <c r="H174" s="564"/>
      <c r="I174" s="564"/>
      <c r="J174" s="564"/>
      <c r="K174" s="564"/>
      <c r="L174" s="564"/>
      <c r="M174" s="564"/>
      <c r="N174" s="564"/>
      <c r="O174" s="564"/>
      <c r="P174" s="564"/>
      <c r="Q174" s="564"/>
      <c r="R174" s="564"/>
      <c r="S174" s="564"/>
      <c r="T174" s="564"/>
      <c r="U174" s="564"/>
      <c r="V174" s="564"/>
      <c r="W174" s="564"/>
      <c r="X174" s="564"/>
      <c r="Y174" s="564"/>
      <c r="Z174" s="564"/>
      <c r="AA174" s="564"/>
      <c r="AB174" s="556"/>
      <c r="AC174" s="556"/>
      <c r="AD174" s="556"/>
      <c r="AE174" s="556"/>
      <c r="AF174" s="556"/>
      <c r="AG174" s="556"/>
      <c r="AH174" s="556"/>
      <c r="AI174" s="556"/>
      <c r="AJ174" s="556"/>
      <c r="AK174" s="556"/>
      <c r="AL174" s="556"/>
      <c r="AM174" s="556"/>
      <c r="AN174" s="556"/>
      <c r="AO174" s="556"/>
      <c r="AP174" s="556"/>
      <c r="AQ174" s="556"/>
      <c r="AR174" s="556"/>
      <c r="AS174" s="565"/>
      <c r="AT174" s="556"/>
    </row>
    <row r="175" spans="1:46" hidden="1" x14ac:dyDescent="0.45">
      <c r="A175" s="556"/>
      <c r="B175" s="556"/>
      <c r="C175" s="556"/>
      <c r="D175" s="564"/>
      <c r="E175" s="556"/>
      <c r="F175" s="564"/>
      <c r="G175" s="564"/>
      <c r="H175" s="564"/>
      <c r="I175" s="564"/>
      <c r="J175" s="564"/>
      <c r="K175" s="564"/>
      <c r="L175" s="564"/>
      <c r="M175" s="564"/>
      <c r="N175" s="564"/>
      <c r="O175" s="564"/>
      <c r="P175" s="564"/>
      <c r="Q175" s="564"/>
      <c r="R175" s="564"/>
      <c r="S175" s="564"/>
      <c r="T175" s="564"/>
      <c r="U175" s="564"/>
      <c r="V175" s="564"/>
      <c r="W175" s="564"/>
      <c r="X175" s="564"/>
      <c r="Y175" s="564"/>
      <c r="Z175" s="564"/>
      <c r="AA175" s="564"/>
      <c r="AB175" s="556"/>
      <c r="AC175" s="556"/>
      <c r="AD175" s="556"/>
      <c r="AE175" s="556"/>
      <c r="AF175" s="556"/>
      <c r="AG175" s="556"/>
      <c r="AH175" s="556"/>
      <c r="AI175" s="556"/>
      <c r="AJ175" s="556"/>
      <c r="AK175" s="556"/>
      <c r="AL175" s="556"/>
      <c r="AM175" s="556"/>
      <c r="AN175" s="556"/>
      <c r="AO175" s="556"/>
      <c r="AP175" s="556"/>
      <c r="AQ175" s="556"/>
      <c r="AR175" s="556"/>
      <c r="AS175" s="565"/>
      <c r="AT175" s="556"/>
    </row>
    <row r="176" spans="1:46" hidden="1" x14ac:dyDescent="0.45">
      <c r="A176" s="556"/>
      <c r="B176" s="556"/>
      <c r="C176" s="556"/>
      <c r="D176" s="564"/>
      <c r="E176" s="556"/>
      <c r="F176" s="564"/>
      <c r="G176" s="564"/>
      <c r="H176" s="564"/>
      <c r="I176" s="564"/>
      <c r="J176" s="564"/>
      <c r="K176" s="564"/>
      <c r="L176" s="564"/>
      <c r="M176" s="564"/>
      <c r="N176" s="564"/>
      <c r="O176" s="564"/>
      <c r="P176" s="564"/>
      <c r="Q176" s="564"/>
      <c r="R176" s="564"/>
      <c r="S176" s="564"/>
      <c r="T176" s="564"/>
      <c r="U176" s="564"/>
      <c r="V176" s="564"/>
      <c r="W176" s="564"/>
      <c r="X176" s="564"/>
      <c r="Y176" s="564"/>
      <c r="Z176" s="564"/>
      <c r="AA176" s="564"/>
      <c r="AB176" s="556"/>
      <c r="AC176" s="556"/>
      <c r="AD176" s="556"/>
      <c r="AE176" s="556"/>
      <c r="AF176" s="556"/>
      <c r="AG176" s="556"/>
      <c r="AH176" s="556"/>
      <c r="AI176" s="556"/>
      <c r="AJ176" s="556"/>
      <c r="AK176" s="556"/>
      <c r="AL176" s="556"/>
      <c r="AM176" s="556"/>
      <c r="AN176" s="556"/>
      <c r="AO176" s="556"/>
      <c r="AP176" s="556"/>
      <c r="AQ176" s="556"/>
      <c r="AR176" s="556"/>
      <c r="AS176" s="565"/>
      <c r="AT176" s="556"/>
    </row>
    <row r="177" spans="1:46" hidden="1" x14ac:dyDescent="0.45">
      <c r="A177" s="556"/>
      <c r="B177" s="556"/>
      <c r="C177" s="556"/>
      <c r="D177" s="564"/>
      <c r="E177" s="556"/>
      <c r="F177" s="564"/>
      <c r="G177" s="564"/>
      <c r="H177" s="564"/>
      <c r="I177" s="564"/>
      <c r="J177" s="564"/>
      <c r="K177" s="564"/>
      <c r="L177" s="564"/>
      <c r="M177" s="564"/>
      <c r="N177" s="564"/>
      <c r="O177" s="564"/>
      <c r="P177" s="564"/>
      <c r="Q177" s="564"/>
      <c r="R177" s="564"/>
      <c r="S177" s="564"/>
      <c r="T177" s="564"/>
      <c r="U177" s="564"/>
      <c r="V177" s="564"/>
      <c r="W177" s="564"/>
      <c r="X177" s="564"/>
      <c r="Y177" s="564"/>
      <c r="Z177" s="564"/>
      <c r="AA177" s="564"/>
      <c r="AB177" s="556"/>
      <c r="AC177" s="556"/>
      <c r="AD177" s="556"/>
      <c r="AE177" s="556"/>
      <c r="AF177" s="556"/>
      <c r="AG177" s="556"/>
      <c r="AH177" s="556"/>
      <c r="AI177" s="556"/>
      <c r="AJ177" s="556"/>
      <c r="AK177" s="556"/>
      <c r="AL177" s="556"/>
      <c r="AM177" s="556"/>
      <c r="AN177" s="556"/>
      <c r="AO177" s="556"/>
      <c r="AP177" s="556"/>
      <c r="AQ177" s="556"/>
      <c r="AR177" s="556"/>
      <c r="AS177" s="565"/>
      <c r="AT177" s="556"/>
    </row>
    <row r="178" spans="1:46" hidden="1" x14ac:dyDescent="0.45">
      <c r="A178" s="556"/>
      <c r="B178" s="556"/>
      <c r="C178" s="556"/>
      <c r="D178" s="564"/>
      <c r="E178" s="556"/>
      <c r="F178" s="564"/>
      <c r="G178" s="564"/>
      <c r="H178" s="564"/>
      <c r="I178" s="564"/>
      <c r="J178" s="564"/>
      <c r="K178" s="564"/>
      <c r="L178" s="564"/>
      <c r="M178" s="564"/>
      <c r="N178" s="564"/>
      <c r="O178" s="564"/>
      <c r="P178" s="564"/>
      <c r="Q178" s="564"/>
      <c r="R178" s="564"/>
      <c r="S178" s="564"/>
      <c r="T178" s="564"/>
      <c r="U178" s="564"/>
      <c r="V178" s="564"/>
      <c r="W178" s="564"/>
      <c r="X178" s="564"/>
      <c r="Y178" s="564"/>
      <c r="Z178" s="564"/>
      <c r="AA178" s="564"/>
      <c r="AB178" s="556"/>
      <c r="AC178" s="556"/>
      <c r="AD178" s="556"/>
      <c r="AE178" s="556"/>
      <c r="AF178" s="556"/>
      <c r="AG178" s="556"/>
      <c r="AH178" s="556"/>
      <c r="AI178" s="556"/>
      <c r="AJ178" s="556"/>
      <c r="AK178" s="556"/>
      <c r="AL178" s="556"/>
      <c r="AM178" s="556"/>
      <c r="AN178" s="556"/>
      <c r="AO178" s="556"/>
      <c r="AP178" s="556"/>
      <c r="AQ178" s="556"/>
      <c r="AR178" s="556"/>
      <c r="AS178" s="565"/>
      <c r="AT178" s="556"/>
    </row>
    <row r="179" spans="1:46" hidden="1" x14ac:dyDescent="0.45">
      <c r="A179" s="556"/>
      <c r="B179" s="556"/>
      <c r="C179" s="556"/>
      <c r="D179" s="564"/>
      <c r="E179" s="556"/>
      <c r="F179" s="564"/>
      <c r="G179" s="564"/>
      <c r="H179" s="564"/>
      <c r="I179" s="564"/>
      <c r="J179" s="564"/>
      <c r="K179" s="564"/>
      <c r="L179" s="564"/>
      <c r="M179" s="564"/>
      <c r="N179" s="564"/>
      <c r="O179" s="564"/>
      <c r="P179" s="564"/>
      <c r="Q179" s="564"/>
      <c r="R179" s="564"/>
      <c r="S179" s="564"/>
      <c r="T179" s="564"/>
      <c r="U179" s="564"/>
      <c r="V179" s="564"/>
      <c r="W179" s="564"/>
      <c r="X179" s="564"/>
      <c r="Y179" s="564"/>
      <c r="Z179" s="564"/>
      <c r="AA179" s="564"/>
      <c r="AB179" s="556"/>
      <c r="AC179" s="556"/>
      <c r="AD179" s="556"/>
      <c r="AE179" s="556"/>
      <c r="AF179" s="556"/>
      <c r="AG179" s="556"/>
      <c r="AH179" s="556"/>
      <c r="AI179" s="556"/>
      <c r="AJ179" s="556"/>
      <c r="AK179" s="556"/>
      <c r="AL179" s="556"/>
      <c r="AM179" s="556"/>
      <c r="AN179" s="556"/>
      <c r="AO179" s="556"/>
      <c r="AP179" s="556"/>
      <c r="AQ179" s="556"/>
      <c r="AR179" s="556"/>
      <c r="AS179" s="565"/>
      <c r="AT179" s="556"/>
    </row>
    <row r="180" spans="1:46" hidden="1" x14ac:dyDescent="0.45">
      <c r="A180" s="556"/>
      <c r="B180" s="556"/>
      <c r="C180" s="556"/>
      <c r="D180" s="564"/>
      <c r="E180" s="556"/>
      <c r="F180" s="564"/>
      <c r="G180" s="564"/>
      <c r="H180" s="564"/>
      <c r="I180" s="564"/>
      <c r="J180" s="564"/>
      <c r="K180" s="564"/>
      <c r="L180" s="564"/>
      <c r="M180" s="564"/>
      <c r="N180" s="564"/>
      <c r="O180" s="564"/>
      <c r="P180" s="564"/>
      <c r="Q180" s="564"/>
      <c r="R180" s="564"/>
      <c r="S180" s="564"/>
      <c r="T180" s="564"/>
      <c r="U180" s="564"/>
      <c r="V180" s="564"/>
      <c r="W180" s="564"/>
      <c r="X180" s="564"/>
      <c r="Y180" s="564"/>
      <c r="Z180" s="564"/>
      <c r="AA180" s="564"/>
      <c r="AB180" s="556"/>
      <c r="AC180" s="556"/>
      <c r="AD180" s="556"/>
      <c r="AE180" s="556"/>
      <c r="AF180" s="556"/>
      <c r="AG180" s="556"/>
      <c r="AH180" s="556"/>
      <c r="AI180" s="556"/>
      <c r="AJ180" s="556"/>
      <c r="AK180" s="556"/>
      <c r="AL180" s="556"/>
      <c r="AM180" s="556"/>
      <c r="AN180" s="556"/>
      <c r="AO180" s="556"/>
      <c r="AP180" s="556"/>
      <c r="AQ180" s="556"/>
      <c r="AR180" s="556"/>
      <c r="AS180" s="565"/>
      <c r="AT180" s="556"/>
    </row>
    <row r="181" spans="1:46" hidden="1" x14ac:dyDescent="0.45">
      <c r="A181" s="556"/>
      <c r="B181" s="556"/>
      <c r="C181" s="556"/>
      <c r="D181" s="564"/>
      <c r="E181" s="556"/>
      <c r="F181" s="564"/>
      <c r="G181" s="564"/>
      <c r="H181" s="564"/>
      <c r="I181" s="564"/>
      <c r="J181" s="564"/>
      <c r="K181" s="564"/>
      <c r="L181" s="564"/>
      <c r="M181" s="564"/>
      <c r="N181" s="564"/>
      <c r="O181" s="564"/>
      <c r="P181" s="564"/>
      <c r="Q181" s="564"/>
      <c r="R181" s="564"/>
      <c r="S181" s="564"/>
      <c r="T181" s="564"/>
      <c r="U181" s="564"/>
      <c r="V181" s="564"/>
      <c r="W181" s="564"/>
      <c r="X181" s="564"/>
      <c r="Y181" s="564"/>
      <c r="Z181" s="564"/>
      <c r="AA181" s="564"/>
      <c r="AB181" s="556"/>
      <c r="AC181" s="556"/>
      <c r="AD181" s="556"/>
      <c r="AE181" s="556"/>
      <c r="AF181" s="556"/>
      <c r="AG181" s="556"/>
      <c r="AH181" s="556"/>
      <c r="AI181" s="556"/>
      <c r="AJ181" s="556"/>
      <c r="AK181" s="556"/>
      <c r="AL181" s="556"/>
      <c r="AM181" s="556"/>
      <c r="AN181" s="556"/>
      <c r="AO181" s="556"/>
      <c r="AP181" s="556"/>
      <c r="AQ181" s="556"/>
      <c r="AR181" s="556"/>
      <c r="AS181" s="565"/>
      <c r="AT181" s="556"/>
    </row>
    <row r="182" spans="1:46" hidden="1" x14ac:dyDescent="0.45">
      <c r="A182" s="556"/>
      <c r="B182" s="556"/>
      <c r="C182" s="556"/>
      <c r="D182" s="564"/>
      <c r="E182" s="556"/>
      <c r="F182" s="564"/>
      <c r="G182" s="564"/>
      <c r="H182" s="564"/>
      <c r="I182" s="564"/>
      <c r="J182" s="564"/>
      <c r="K182" s="564"/>
      <c r="L182" s="564"/>
      <c r="M182" s="564"/>
      <c r="N182" s="564"/>
      <c r="O182" s="564"/>
      <c r="P182" s="564"/>
      <c r="Q182" s="564"/>
      <c r="R182" s="564"/>
      <c r="S182" s="564"/>
      <c r="T182" s="564"/>
      <c r="U182" s="564"/>
      <c r="V182" s="564"/>
      <c r="W182" s="564"/>
      <c r="X182" s="564"/>
      <c r="Y182" s="564"/>
      <c r="Z182" s="564"/>
      <c r="AA182" s="564"/>
      <c r="AB182" s="556"/>
      <c r="AC182" s="556"/>
      <c r="AD182" s="556"/>
      <c r="AE182" s="556"/>
      <c r="AF182" s="556"/>
      <c r="AG182" s="556"/>
      <c r="AH182" s="556"/>
      <c r="AI182" s="556"/>
      <c r="AJ182" s="556"/>
      <c r="AK182" s="556"/>
      <c r="AL182" s="556"/>
      <c r="AM182" s="556"/>
      <c r="AN182" s="556"/>
      <c r="AO182" s="556"/>
      <c r="AP182" s="556"/>
      <c r="AQ182" s="556"/>
      <c r="AR182" s="556"/>
      <c r="AS182" s="565"/>
      <c r="AT182" s="556"/>
    </row>
    <row r="183" spans="1:46" hidden="1" x14ac:dyDescent="0.45">
      <c r="A183" s="556"/>
      <c r="B183" s="556"/>
      <c r="C183" s="556"/>
      <c r="D183" s="564"/>
      <c r="E183" s="556"/>
      <c r="F183" s="564"/>
      <c r="G183" s="564"/>
      <c r="H183" s="564"/>
      <c r="I183" s="564"/>
      <c r="J183" s="564"/>
      <c r="K183" s="564"/>
      <c r="L183" s="564"/>
      <c r="M183" s="564"/>
      <c r="N183" s="564"/>
      <c r="O183" s="564"/>
      <c r="P183" s="564"/>
      <c r="Q183" s="564"/>
      <c r="R183" s="564"/>
      <c r="S183" s="564"/>
      <c r="T183" s="564"/>
      <c r="U183" s="564"/>
      <c r="V183" s="564"/>
      <c r="W183" s="564"/>
      <c r="X183" s="564"/>
      <c r="Y183" s="564"/>
      <c r="Z183" s="564"/>
      <c r="AA183" s="564"/>
      <c r="AB183" s="556"/>
      <c r="AC183" s="556"/>
      <c r="AD183" s="556"/>
      <c r="AE183" s="556"/>
      <c r="AF183" s="556"/>
      <c r="AG183" s="556"/>
      <c r="AH183" s="556"/>
      <c r="AI183" s="556"/>
      <c r="AJ183" s="556"/>
      <c r="AK183" s="556"/>
      <c r="AL183" s="556"/>
      <c r="AM183" s="556"/>
      <c r="AN183" s="556"/>
      <c r="AO183" s="556"/>
      <c r="AP183" s="556"/>
      <c r="AQ183" s="556"/>
      <c r="AR183" s="556"/>
      <c r="AS183" s="565"/>
      <c r="AT183" s="556"/>
    </row>
    <row r="184" spans="1:46" hidden="1" x14ac:dyDescent="0.45">
      <c r="A184" s="556"/>
      <c r="B184" s="556"/>
      <c r="C184" s="556"/>
      <c r="D184" s="564"/>
      <c r="E184" s="556"/>
      <c r="F184" s="564"/>
      <c r="G184" s="564"/>
      <c r="H184" s="564"/>
      <c r="I184" s="564"/>
      <c r="J184" s="564"/>
      <c r="K184" s="564"/>
      <c r="L184" s="564"/>
      <c r="M184" s="564"/>
      <c r="N184" s="564"/>
      <c r="O184" s="564"/>
      <c r="P184" s="564"/>
      <c r="Q184" s="564"/>
      <c r="R184" s="564"/>
      <c r="S184" s="564"/>
      <c r="T184" s="564"/>
      <c r="U184" s="564"/>
      <c r="V184" s="564"/>
      <c r="W184" s="564"/>
      <c r="X184" s="564"/>
      <c r="Y184" s="564"/>
      <c r="Z184" s="564"/>
      <c r="AA184" s="564"/>
      <c r="AB184" s="556"/>
      <c r="AC184" s="556"/>
      <c r="AD184" s="556"/>
      <c r="AE184" s="556"/>
      <c r="AF184" s="556"/>
      <c r="AG184" s="556"/>
      <c r="AH184" s="556"/>
      <c r="AI184" s="556"/>
      <c r="AJ184" s="556"/>
      <c r="AK184" s="556"/>
      <c r="AL184" s="556"/>
      <c r="AM184" s="556"/>
      <c r="AN184" s="556"/>
      <c r="AO184" s="556"/>
      <c r="AP184" s="556"/>
      <c r="AQ184" s="556"/>
      <c r="AR184" s="556"/>
      <c r="AS184" s="565"/>
      <c r="AT184" s="556"/>
    </row>
    <row r="185" spans="1:46" hidden="1" x14ac:dyDescent="0.45">
      <c r="A185" s="556"/>
      <c r="B185" s="556"/>
      <c r="C185" s="556"/>
      <c r="D185" s="564"/>
      <c r="E185" s="556"/>
      <c r="F185" s="564"/>
      <c r="G185" s="564"/>
      <c r="H185" s="564"/>
      <c r="I185" s="564"/>
      <c r="J185" s="564"/>
      <c r="K185" s="564"/>
      <c r="L185" s="564"/>
      <c r="M185" s="564"/>
      <c r="N185" s="564"/>
      <c r="O185" s="564"/>
      <c r="P185" s="564"/>
      <c r="Q185" s="564"/>
      <c r="R185" s="564"/>
      <c r="S185" s="564"/>
      <c r="T185" s="564"/>
      <c r="U185" s="564"/>
      <c r="V185" s="564"/>
      <c r="W185" s="564"/>
      <c r="X185" s="564"/>
      <c r="Y185" s="564"/>
      <c r="Z185" s="564"/>
      <c r="AA185" s="564"/>
      <c r="AB185" s="556"/>
      <c r="AC185" s="556"/>
      <c r="AD185" s="556"/>
      <c r="AE185" s="556"/>
      <c r="AF185" s="556"/>
      <c r="AG185" s="556"/>
      <c r="AH185" s="556"/>
      <c r="AI185" s="556"/>
      <c r="AJ185" s="556"/>
      <c r="AK185" s="556"/>
      <c r="AL185" s="556"/>
      <c r="AM185" s="556"/>
      <c r="AN185" s="556"/>
      <c r="AO185" s="556"/>
      <c r="AP185" s="556"/>
      <c r="AQ185" s="556"/>
      <c r="AR185" s="556"/>
      <c r="AS185" s="565"/>
      <c r="AT185" s="556"/>
    </row>
    <row r="186" spans="1:46" hidden="1" x14ac:dyDescent="0.45">
      <c r="A186" s="556"/>
      <c r="B186" s="556"/>
      <c r="C186" s="556"/>
      <c r="D186" s="564"/>
      <c r="E186" s="556"/>
      <c r="F186" s="564"/>
      <c r="G186" s="564"/>
      <c r="H186" s="564"/>
      <c r="I186" s="564"/>
      <c r="J186" s="564"/>
      <c r="K186" s="564"/>
      <c r="L186" s="564"/>
      <c r="M186" s="564"/>
      <c r="N186" s="564"/>
      <c r="O186" s="564"/>
      <c r="P186" s="564"/>
      <c r="Q186" s="564"/>
      <c r="R186" s="564"/>
      <c r="S186" s="564"/>
      <c r="T186" s="564"/>
      <c r="U186" s="564"/>
      <c r="V186" s="564"/>
      <c r="W186" s="564"/>
      <c r="X186" s="564"/>
      <c r="Y186" s="564"/>
      <c r="Z186" s="564"/>
      <c r="AA186" s="564"/>
      <c r="AB186" s="556"/>
      <c r="AC186" s="556"/>
      <c r="AD186" s="556"/>
      <c r="AE186" s="556"/>
      <c r="AF186" s="556"/>
      <c r="AG186" s="556"/>
      <c r="AH186" s="556"/>
      <c r="AI186" s="556"/>
      <c r="AJ186" s="556"/>
      <c r="AK186" s="556"/>
      <c r="AL186" s="556"/>
      <c r="AM186" s="556"/>
      <c r="AN186" s="556"/>
      <c r="AO186" s="556"/>
      <c r="AP186" s="556"/>
      <c r="AQ186" s="556"/>
      <c r="AR186" s="556"/>
      <c r="AS186" s="565"/>
      <c r="AT186" s="556"/>
    </row>
    <row r="187" spans="1:46" hidden="1" x14ac:dyDescent="0.45">
      <c r="A187" s="556"/>
      <c r="B187" s="556"/>
      <c r="C187" s="556"/>
      <c r="D187" s="564"/>
      <c r="E187" s="556"/>
      <c r="F187" s="564"/>
      <c r="G187" s="564"/>
      <c r="H187" s="564"/>
      <c r="I187" s="564"/>
      <c r="J187" s="564"/>
      <c r="K187" s="564"/>
      <c r="L187" s="564"/>
      <c r="M187" s="564"/>
      <c r="N187" s="564"/>
      <c r="O187" s="564"/>
      <c r="P187" s="564"/>
      <c r="Q187" s="564"/>
      <c r="R187" s="564"/>
      <c r="S187" s="564"/>
      <c r="T187" s="564"/>
      <c r="U187" s="564"/>
      <c r="V187" s="564"/>
      <c r="W187" s="564"/>
      <c r="X187" s="564"/>
      <c r="Y187" s="564"/>
      <c r="Z187" s="564"/>
      <c r="AA187" s="564"/>
      <c r="AB187" s="556"/>
      <c r="AC187" s="556"/>
      <c r="AD187" s="556"/>
      <c r="AE187" s="556"/>
      <c r="AF187" s="556"/>
      <c r="AG187" s="556"/>
      <c r="AH187" s="556"/>
      <c r="AI187" s="556"/>
      <c r="AJ187" s="556"/>
      <c r="AK187" s="556"/>
      <c r="AL187" s="556"/>
      <c r="AM187" s="556"/>
      <c r="AN187" s="556"/>
      <c r="AO187" s="556"/>
      <c r="AP187" s="556"/>
      <c r="AQ187" s="556"/>
      <c r="AR187" s="556"/>
      <c r="AS187" s="565"/>
      <c r="AT187" s="556"/>
    </row>
    <row r="188" spans="1:46" hidden="1" x14ac:dyDescent="0.45">
      <c r="A188" s="556"/>
      <c r="B188" s="556"/>
      <c r="C188" s="556"/>
      <c r="D188" s="564"/>
      <c r="E188" s="556"/>
      <c r="F188" s="564"/>
      <c r="G188" s="564"/>
      <c r="H188" s="564"/>
      <c r="I188" s="564"/>
      <c r="J188" s="564"/>
      <c r="K188" s="564"/>
      <c r="L188" s="564"/>
      <c r="M188" s="564"/>
      <c r="N188" s="564"/>
      <c r="O188" s="564"/>
      <c r="P188" s="564"/>
      <c r="Q188" s="564"/>
      <c r="R188" s="564"/>
      <c r="S188" s="564"/>
      <c r="T188" s="564"/>
      <c r="U188" s="564"/>
      <c r="V188" s="564"/>
      <c r="W188" s="564"/>
      <c r="X188" s="564"/>
      <c r="Y188" s="564"/>
      <c r="Z188" s="564"/>
      <c r="AA188" s="564"/>
      <c r="AB188" s="556"/>
      <c r="AC188" s="556"/>
      <c r="AD188" s="556"/>
      <c r="AE188" s="556"/>
      <c r="AF188" s="556"/>
      <c r="AG188" s="556"/>
      <c r="AH188" s="556"/>
      <c r="AI188" s="556"/>
      <c r="AJ188" s="556"/>
      <c r="AK188" s="556"/>
      <c r="AL188" s="556"/>
      <c r="AM188" s="556"/>
      <c r="AN188" s="556"/>
      <c r="AO188" s="556"/>
      <c r="AP188" s="556"/>
      <c r="AQ188" s="556"/>
      <c r="AR188" s="556"/>
      <c r="AS188" s="565"/>
      <c r="AT188" s="556"/>
    </row>
    <row r="189" spans="1:46" hidden="1" x14ac:dyDescent="0.45">
      <c r="A189" s="556"/>
      <c r="B189" s="556"/>
      <c r="C189" s="556"/>
      <c r="D189" s="564"/>
      <c r="E189" s="556"/>
      <c r="F189" s="564"/>
      <c r="G189" s="564"/>
      <c r="H189" s="564"/>
      <c r="I189" s="564"/>
      <c r="J189" s="564"/>
      <c r="K189" s="564"/>
      <c r="L189" s="564"/>
      <c r="M189" s="564"/>
      <c r="N189" s="564"/>
      <c r="O189" s="564"/>
      <c r="P189" s="564"/>
      <c r="Q189" s="564"/>
      <c r="R189" s="564"/>
      <c r="S189" s="564"/>
      <c r="T189" s="564"/>
      <c r="U189" s="564"/>
      <c r="V189" s="564"/>
      <c r="W189" s="564"/>
      <c r="X189" s="564"/>
      <c r="Y189" s="564"/>
      <c r="Z189" s="564"/>
      <c r="AA189" s="564"/>
      <c r="AB189" s="556"/>
      <c r="AC189" s="556"/>
      <c r="AD189" s="556"/>
      <c r="AE189" s="556"/>
      <c r="AF189" s="556"/>
      <c r="AG189" s="556"/>
      <c r="AH189" s="556"/>
      <c r="AI189" s="556"/>
      <c r="AJ189" s="556"/>
      <c r="AK189" s="556"/>
      <c r="AL189" s="556"/>
      <c r="AM189" s="556"/>
      <c r="AN189" s="556"/>
      <c r="AO189" s="556"/>
      <c r="AP189" s="556"/>
      <c r="AQ189" s="556"/>
      <c r="AR189" s="556"/>
      <c r="AS189" s="565"/>
      <c r="AT189" s="556"/>
    </row>
    <row r="190" spans="1:46" hidden="1" x14ac:dyDescent="0.45">
      <c r="A190" s="556"/>
      <c r="B190" s="556"/>
      <c r="C190" s="556"/>
      <c r="D190" s="564"/>
      <c r="E190" s="556"/>
      <c r="F190" s="564"/>
      <c r="G190" s="564"/>
      <c r="H190" s="564"/>
      <c r="I190" s="564"/>
      <c r="J190" s="564"/>
      <c r="K190" s="564"/>
      <c r="L190" s="564"/>
      <c r="M190" s="564"/>
      <c r="N190" s="564"/>
      <c r="O190" s="564"/>
      <c r="P190" s="564"/>
      <c r="Q190" s="564"/>
      <c r="R190" s="564"/>
      <c r="S190" s="564"/>
      <c r="T190" s="564"/>
      <c r="U190" s="564"/>
      <c r="V190" s="564"/>
      <c r="W190" s="564"/>
      <c r="X190" s="564"/>
      <c r="Y190" s="564"/>
      <c r="Z190" s="564"/>
      <c r="AA190" s="564"/>
      <c r="AB190" s="556"/>
      <c r="AC190" s="556"/>
      <c r="AD190" s="556"/>
      <c r="AE190" s="556"/>
      <c r="AF190" s="556"/>
      <c r="AG190" s="556"/>
      <c r="AH190" s="556"/>
      <c r="AI190" s="556"/>
      <c r="AJ190" s="556"/>
      <c r="AK190" s="556"/>
      <c r="AL190" s="556"/>
      <c r="AM190" s="556"/>
      <c r="AN190" s="556"/>
      <c r="AO190" s="556"/>
      <c r="AP190" s="556"/>
      <c r="AQ190" s="556"/>
      <c r="AR190" s="556"/>
      <c r="AS190" s="565"/>
      <c r="AT190" s="556"/>
    </row>
    <row r="191" spans="1:46" hidden="1" x14ac:dyDescent="0.45">
      <c r="A191" s="556"/>
      <c r="B191" s="556"/>
      <c r="C191" s="556"/>
      <c r="D191" s="564"/>
      <c r="E191" s="556"/>
      <c r="F191" s="564"/>
      <c r="G191" s="564"/>
      <c r="H191" s="564"/>
      <c r="I191" s="564"/>
      <c r="J191" s="564"/>
      <c r="K191" s="564"/>
      <c r="L191" s="564"/>
      <c r="M191" s="564"/>
      <c r="N191" s="564"/>
      <c r="O191" s="564"/>
      <c r="P191" s="564"/>
      <c r="Q191" s="564"/>
      <c r="R191" s="564"/>
      <c r="S191" s="564"/>
      <c r="T191" s="564"/>
      <c r="U191" s="564"/>
      <c r="V191" s="564"/>
      <c r="W191" s="564"/>
      <c r="X191" s="564"/>
      <c r="Y191" s="564"/>
      <c r="Z191" s="564"/>
      <c r="AA191" s="564"/>
      <c r="AB191" s="556"/>
      <c r="AC191" s="556"/>
      <c r="AD191" s="556"/>
      <c r="AE191" s="556"/>
      <c r="AF191" s="556"/>
      <c r="AG191" s="556"/>
      <c r="AH191" s="556"/>
      <c r="AI191" s="556"/>
      <c r="AJ191" s="556"/>
      <c r="AK191" s="556"/>
      <c r="AL191" s="556"/>
      <c r="AM191" s="556"/>
      <c r="AN191" s="556"/>
      <c r="AO191" s="556"/>
      <c r="AP191" s="556"/>
      <c r="AQ191" s="556"/>
      <c r="AR191" s="556"/>
      <c r="AS191" s="565"/>
      <c r="AT191" s="556"/>
    </row>
    <row r="192" spans="1:46" hidden="1" x14ac:dyDescent="0.45">
      <c r="A192" s="556"/>
      <c r="B192" s="556"/>
      <c r="C192" s="556"/>
      <c r="D192" s="564"/>
      <c r="E192" s="556"/>
      <c r="F192" s="564"/>
      <c r="G192" s="564"/>
      <c r="H192" s="564"/>
      <c r="I192" s="564"/>
      <c r="J192" s="564"/>
      <c r="K192" s="564"/>
      <c r="L192" s="564"/>
      <c r="M192" s="564"/>
      <c r="N192" s="564"/>
      <c r="O192" s="564"/>
      <c r="P192" s="564"/>
      <c r="Q192" s="564"/>
      <c r="R192" s="564"/>
      <c r="S192" s="564"/>
      <c r="T192" s="564"/>
      <c r="U192" s="564"/>
      <c r="V192" s="564"/>
      <c r="W192" s="564"/>
      <c r="X192" s="564"/>
      <c r="Y192" s="564"/>
      <c r="Z192" s="564"/>
      <c r="AA192" s="564"/>
      <c r="AB192" s="556"/>
      <c r="AC192" s="556"/>
      <c r="AD192" s="556"/>
      <c r="AE192" s="556"/>
      <c r="AF192" s="556"/>
      <c r="AG192" s="556"/>
      <c r="AH192" s="556"/>
      <c r="AI192" s="556"/>
      <c r="AJ192" s="556"/>
      <c r="AK192" s="556"/>
      <c r="AL192" s="556"/>
      <c r="AM192" s="556"/>
      <c r="AN192" s="556"/>
      <c r="AO192" s="556"/>
      <c r="AP192" s="556"/>
      <c r="AQ192" s="556"/>
      <c r="AR192" s="556"/>
      <c r="AS192" s="565"/>
      <c r="AT192" s="556"/>
    </row>
    <row r="193" spans="1:46" hidden="1" x14ac:dyDescent="0.45">
      <c r="A193" s="556"/>
      <c r="B193" s="556"/>
      <c r="C193" s="556"/>
      <c r="D193" s="564"/>
      <c r="E193" s="556"/>
      <c r="F193" s="564"/>
      <c r="G193" s="564"/>
      <c r="H193" s="564"/>
      <c r="I193" s="564"/>
      <c r="J193" s="564"/>
      <c r="K193" s="564"/>
      <c r="L193" s="564"/>
      <c r="M193" s="564"/>
      <c r="N193" s="564"/>
      <c r="O193" s="564"/>
      <c r="P193" s="564"/>
      <c r="Q193" s="564"/>
      <c r="R193" s="564"/>
      <c r="S193" s="564"/>
      <c r="T193" s="564"/>
      <c r="U193" s="564"/>
      <c r="V193" s="564"/>
      <c r="W193" s="564"/>
      <c r="X193" s="564"/>
      <c r="Y193" s="564"/>
      <c r="Z193" s="564"/>
      <c r="AA193" s="564"/>
      <c r="AB193" s="556"/>
      <c r="AC193" s="556"/>
      <c r="AD193" s="556"/>
      <c r="AE193" s="556"/>
      <c r="AF193" s="556"/>
      <c r="AG193" s="556"/>
      <c r="AH193" s="556"/>
      <c r="AI193" s="556"/>
      <c r="AJ193" s="556"/>
      <c r="AK193" s="556"/>
      <c r="AL193" s="556"/>
      <c r="AM193" s="556"/>
      <c r="AN193" s="556"/>
      <c r="AO193" s="556"/>
      <c r="AP193" s="556"/>
      <c r="AQ193" s="556"/>
      <c r="AR193" s="556"/>
      <c r="AS193" s="565"/>
      <c r="AT193" s="556"/>
    </row>
    <row r="194" spans="1:46" hidden="1" x14ac:dyDescent="0.45">
      <c r="A194" s="556"/>
      <c r="B194" s="556"/>
      <c r="C194" s="556"/>
      <c r="D194" s="564"/>
      <c r="E194" s="556"/>
      <c r="F194" s="564"/>
      <c r="G194" s="564"/>
      <c r="H194" s="564"/>
      <c r="I194" s="564"/>
      <c r="J194" s="564"/>
      <c r="K194" s="564"/>
      <c r="L194" s="564"/>
      <c r="M194" s="564"/>
      <c r="N194" s="564"/>
      <c r="O194" s="564"/>
      <c r="P194" s="564"/>
      <c r="Q194" s="564"/>
      <c r="R194" s="564"/>
      <c r="S194" s="564"/>
      <c r="T194" s="564"/>
      <c r="U194" s="564"/>
      <c r="V194" s="564"/>
      <c r="W194" s="564"/>
      <c r="X194" s="564"/>
      <c r="Y194" s="564"/>
      <c r="Z194" s="564"/>
      <c r="AA194" s="564"/>
      <c r="AB194" s="556"/>
      <c r="AC194" s="556"/>
      <c r="AD194" s="556"/>
      <c r="AE194" s="556"/>
      <c r="AF194" s="556"/>
      <c r="AG194" s="556"/>
      <c r="AH194" s="556"/>
      <c r="AI194" s="556"/>
      <c r="AJ194" s="556"/>
      <c r="AK194" s="556"/>
      <c r="AL194" s="556"/>
      <c r="AM194" s="556"/>
      <c r="AN194" s="556"/>
      <c r="AO194" s="556"/>
      <c r="AP194" s="556"/>
      <c r="AQ194" s="556"/>
      <c r="AR194" s="556"/>
      <c r="AS194" s="565"/>
      <c r="AT194" s="556"/>
    </row>
    <row r="195" spans="1:46" hidden="1" x14ac:dyDescent="0.45">
      <c r="A195" s="556"/>
      <c r="B195" s="556"/>
      <c r="C195" s="556"/>
      <c r="D195" s="564"/>
      <c r="E195" s="556"/>
      <c r="F195" s="564"/>
      <c r="G195" s="564"/>
      <c r="H195" s="564"/>
      <c r="I195" s="564"/>
      <c r="J195" s="564"/>
      <c r="K195" s="564"/>
      <c r="L195" s="564"/>
      <c r="M195" s="564"/>
      <c r="N195" s="564"/>
      <c r="O195" s="564"/>
      <c r="P195" s="564"/>
      <c r="Q195" s="564"/>
      <c r="R195" s="564"/>
      <c r="S195" s="564"/>
      <c r="T195" s="564"/>
      <c r="U195" s="564"/>
      <c r="V195" s="564"/>
      <c r="W195" s="564"/>
      <c r="X195" s="564"/>
      <c r="Y195" s="564"/>
      <c r="Z195" s="564"/>
      <c r="AA195" s="564"/>
      <c r="AB195" s="556"/>
      <c r="AC195" s="556"/>
      <c r="AD195" s="556"/>
      <c r="AE195" s="556"/>
      <c r="AF195" s="556"/>
      <c r="AG195" s="556"/>
      <c r="AH195" s="556"/>
      <c r="AI195" s="556"/>
      <c r="AJ195" s="556"/>
      <c r="AK195" s="556"/>
      <c r="AL195" s="556"/>
      <c r="AM195" s="556"/>
      <c r="AN195" s="556"/>
      <c r="AO195" s="556"/>
      <c r="AP195" s="556"/>
      <c r="AQ195" s="556"/>
      <c r="AR195" s="556"/>
      <c r="AS195" s="565"/>
      <c r="AT195" s="556"/>
    </row>
    <row r="196" spans="1:46" hidden="1" x14ac:dyDescent="0.45">
      <c r="A196" s="556"/>
      <c r="B196" s="556"/>
      <c r="C196" s="556"/>
      <c r="D196" s="564"/>
      <c r="E196" s="556"/>
      <c r="F196" s="564"/>
      <c r="G196" s="564"/>
      <c r="H196" s="564"/>
      <c r="I196" s="564"/>
      <c r="J196" s="564"/>
      <c r="K196" s="564"/>
      <c r="L196" s="564"/>
      <c r="M196" s="564"/>
      <c r="N196" s="564"/>
      <c r="O196" s="564"/>
      <c r="P196" s="564"/>
      <c r="Q196" s="564"/>
      <c r="R196" s="564"/>
      <c r="S196" s="564"/>
      <c r="T196" s="564"/>
      <c r="U196" s="564"/>
      <c r="V196" s="564"/>
      <c r="W196" s="564"/>
      <c r="X196" s="564"/>
      <c r="Y196" s="564"/>
      <c r="Z196" s="564"/>
      <c r="AA196" s="564"/>
      <c r="AB196" s="556"/>
      <c r="AC196" s="556"/>
      <c r="AD196" s="556"/>
      <c r="AE196" s="556"/>
      <c r="AF196" s="556"/>
      <c r="AG196" s="556"/>
      <c r="AH196" s="556"/>
      <c r="AI196" s="556"/>
      <c r="AJ196" s="556"/>
      <c r="AK196" s="556"/>
      <c r="AL196" s="556"/>
      <c r="AM196" s="556"/>
      <c r="AN196" s="556"/>
      <c r="AO196" s="556"/>
      <c r="AP196" s="556"/>
      <c r="AQ196" s="556"/>
      <c r="AR196" s="556"/>
      <c r="AS196" s="565"/>
      <c r="AT196" s="556"/>
    </row>
    <row r="197" spans="1:46" hidden="1" x14ac:dyDescent="0.45">
      <c r="A197" s="556"/>
      <c r="B197" s="556"/>
      <c r="C197" s="556"/>
      <c r="D197" s="564"/>
      <c r="E197" s="556"/>
      <c r="F197" s="564"/>
      <c r="G197" s="564"/>
      <c r="H197" s="564"/>
      <c r="I197" s="564"/>
      <c r="J197" s="564"/>
      <c r="K197" s="564"/>
      <c r="L197" s="564"/>
      <c r="M197" s="564"/>
      <c r="N197" s="564"/>
      <c r="O197" s="564"/>
      <c r="P197" s="564"/>
      <c r="Q197" s="564"/>
      <c r="R197" s="564"/>
      <c r="S197" s="564"/>
      <c r="T197" s="564"/>
      <c r="U197" s="564"/>
      <c r="V197" s="564"/>
      <c r="W197" s="564"/>
      <c r="X197" s="564"/>
      <c r="Y197" s="564"/>
      <c r="Z197" s="564"/>
      <c r="AA197" s="564"/>
      <c r="AB197" s="556"/>
      <c r="AC197" s="556"/>
      <c r="AD197" s="556"/>
      <c r="AE197" s="556"/>
      <c r="AF197" s="556"/>
      <c r="AG197" s="556"/>
      <c r="AH197" s="556"/>
      <c r="AI197" s="556"/>
      <c r="AJ197" s="556"/>
      <c r="AK197" s="556"/>
      <c r="AL197" s="556"/>
      <c r="AM197" s="556"/>
      <c r="AN197" s="556"/>
      <c r="AO197" s="556"/>
      <c r="AP197" s="556"/>
      <c r="AQ197" s="556"/>
      <c r="AR197" s="556"/>
      <c r="AS197" s="565"/>
      <c r="AT197" s="556"/>
    </row>
    <row r="198" spans="1:46" hidden="1" x14ac:dyDescent="0.45">
      <c r="A198" s="556"/>
      <c r="B198" s="556"/>
      <c r="C198" s="556"/>
      <c r="D198" s="564"/>
      <c r="E198" s="556"/>
      <c r="F198" s="564"/>
      <c r="G198" s="564"/>
      <c r="H198" s="564"/>
      <c r="I198" s="564"/>
      <c r="J198" s="564"/>
      <c r="K198" s="564"/>
      <c r="L198" s="564"/>
      <c r="M198" s="564"/>
      <c r="N198" s="564"/>
      <c r="O198" s="564"/>
      <c r="P198" s="564"/>
      <c r="Q198" s="564"/>
      <c r="R198" s="564"/>
      <c r="S198" s="564"/>
      <c r="T198" s="564"/>
      <c r="U198" s="564"/>
      <c r="V198" s="564"/>
      <c r="W198" s="564"/>
      <c r="X198" s="564"/>
      <c r="Y198" s="564"/>
      <c r="Z198" s="564"/>
      <c r="AA198" s="564"/>
      <c r="AB198" s="556"/>
      <c r="AC198" s="556"/>
      <c r="AD198" s="556"/>
      <c r="AE198" s="556"/>
      <c r="AF198" s="556"/>
      <c r="AG198" s="556"/>
      <c r="AH198" s="556"/>
      <c r="AI198" s="556"/>
      <c r="AJ198" s="556"/>
      <c r="AK198" s="556"/>
      <c r="AL198" s="556"/>
      <c r="AM198" s="556"/>
      <c r="AN198" s="556"/>
      <c r="AO198" s="556"/>
      <c r="AP198" s="556"/>
      <c r="AQ198" s="556"/>
      <c r="AR198" s="556"/>
      <c r="AS198" s="565"/>
      <c r="AT198" s="556"/>
    </row>
    <row r="199" spans="1:46" hidden="1" x14ac:dyDescent="0.45">
      <c r="A199" s="556"/>
      <c r="B199" s="556"/>
      <c r="C199" s="556"/>
      <c r="D199" s="564"/>
      <c r="E199" s="556"/>
      <c r="F199" s="564"/>
      <c r="G199" s="564"/>
      <c r="H199" s="564"/>
      <c r="I199" s="564"/>
      <c r="J199" s="564"/>
      <c r="K199" s="564"/>
      <c r="L199" s="564"/>
      <c r="M199" s="564"/>
      <c r="N199" s="564"/>
      <c r="O199" s="564"/>
      <c r="P199" s="564"/>
      <c r="Q199" s="564"/>
      <c r="R199" s="564"/>
      <c r="S199" s="564"/>
      <c r="T199" s="564"/>
      <c r="U199" s="564"/>
      <c r="V199" s="564"/>
      <c r="W199" s="564"/>
      <c r="X199" s="564"/>
      <c r="Y199" s="564"/>
      <c r="Z199" s="564"/>
      <c r="AA199" s="564"/>
      <c r="AB199" s="556"/>
      <c r="AC199" s="556"/>
      <c r="AD199" s="556"/>
      <c r="AE199" s="556"/>
      <c r="AF199" s="556"/>
      <c r="AG199" s="556"/>
      <c r="AH199" s="556"/>
      <c r="AI199" s="556"/>
      <c r="AJ199" s="556"/>
      <c r="AK199" s="556"/>
      <c r="AL199" s="556"/>
      <c r="AM199" s="556"/>
      <c r="AN199" s="556"/>
      <c r="AO199" s="556"/>
      <c r="AP199" s="556"/>
      <c r="AQ199" s="556"/>
      <c r="AR199" s="556"/>
      <c r="AS199" s="565"/>
      <c r="AT199" s="556"/>
    </row>
    <row r="200" spans="1:46" hidden="1" x14ac:dyDescent="0.45">
      <c r="A200" s="556"/>
      <c r="B200" s="556"/>
      <c r="C200" s="556"/>
      <c r="D200" s="564"/>
      <c r="E200" s="556"/>
      <c r="F200" s="564"/>
      <c r="G200" s="564"/>
      <c r="H200" s="564"/>
      <c r="I200" s="564"/>
      <c r="J200" s="564"/>
      <c r="K200" s="564"/>
      <c r="L200" s="564"/>
      <c r="M200" s="564"/>
      <c r="N200" s="564"/>
      <c r="O200" s="564"/>
      <c r="P200" s="564"/>
      <c r="Q200" s="564"/>
      <c r="R200" s="564"/>
      <c r="S200" s="564"/>
      <c r="T200" s="564"/>
      <c r="U200" s="564"/>
      <c r="V200" s="564"/>
      <c r="W200" s="564"/>
      <c r="X200" s="564"/>
      <c r="Y200" s="564"/>
      <c r="Z200" s="564"/>
      <c r="AA200" s="564"/>
      <c r="AB200" s="556"/>
      <c r="AC200" s="556"/>
      <c r="AD200" s="556"/>
      <c r="AE200" s="556"/>
      <c r="AF200" s="556"/>
      <c r="AG200" s="556"/>
      <c r="AH200" s="556"/>
      <c r="AI200" s="556"/>
      <c r="AJ200" s="556"/>
      <c r="AK200" s="556"/>
      <c r="AL200" s="556"/>
      <c r="AM200" s="556"/>
      <c r="AN200" s="556"/>
      <c r="AO200" s="556"/>
      <c r="AP200" s="556"/>
      <c r="AQ200" s="556"/>
      <c r="AR200" s="556"/>
      <c r="AS200" s="565"/>
      <c r="AT200" s="556"/>
    </row>
    <row r="201" spans="1:46" hidden="1" x14ac:dyDescent="0.45">
      <c r="A201" s="556"/>
      <c r="B201" s="556"/>
      <c r="C201" s="556"/>
      <c r="D201" s="564"/>
      <c r="E201" s="556"/>
      <c r="F201" s="564"/>
      <c r="G201" s="564"/>
      <c r="H201" s="564"/>
      <c r="I201" s="564"/>
      <c r="J201" s="564"/>
      <c r="K201" s="564"/>
      <c r="L201" s="564"/>
      <c r="M201" s="564"/>
      <c r="N201" s="564"/>
      <c r="O201" s="564"/>
      <c r="P201" s="564"/>
      <c r="Q201" s="564"/>
      <c r="R201" s="564"/>
      <c r="S201" s="564"/>
      <c r="T201" s="564"/>
      <c r="U201" s="564"/>
      <c r="V201" s="564"/>
      <c r="W201" s="564"/>
      <c r="X201" s="564"/>
      <c r="Y201" s="564"/>
      <c r="Z201" s="564"/>
      <c r="AA201" s="564"/>
      <c r="AB201" s="556"/>
      <c r="AC201" s="556"/>
      <c r="AD201" s="556"/>
      <c r="AE201" s="556"/>
      <c r="AF201" s="556"/>
      <c r="AG201" s="556"/>
      <c r="AH201" s="556"/>
      <c r="AI201" s="556"/>
      <c r="AJ201" s="556"/>
      <c r="AK201" s="556"/>
      <c r="AL201" s="556"/>
      <c r="AM201" s="556"/>
      <c r="AN201" s="556"/>
      <c r="AO201" s="556"/>
      <c r="AP201" s="556"/>
      <c r="AQ201" s="556"/>
      <c r="AR201" s="556"/>
      <c r="AS201" s="565"/>
      <c r="AT201" s="556"/>
    </row>
    <row r="202" spans="1:46" hidden="1" x14ac:dyDescent="0.45">
      <c r="A202" s="556"/>
      <c r="B202" s="556"/>
      <c r="C202" s="556"/>
      <c r="D202" s="564"/>
      <c r="E202" s="556"/>
      <c r="F202" s="564"/>
      <c r="G202" s="564"/>
      <c r="H202" s="564"/>
      <c r="I202" s="564"/>
      <c r="J202" s="564"/>
      <c r="K202" s="564"/>
      <c r="L202" s="564"/>
      <c r="M202" s="564"/>
      <c r="N202" s="564"/>
      <c r="O202" s="564"/>
      <c r="P202" s="564"/>
      <c r="Q202" s="564"/>
      <c r="R202" s="564"/>
      <c r="S202" s="564"/>
      <c r="T202" s="564"/>
      <c r="U202" s="564"/>
      <c r="V202" s="564"/>
      <c r="W202" s="564"/>
      <c r="X202" s="564"/>
      <c r="Y202" s="564"/>
      <c r="Z202" s="564"/>
      <c r="AA202" s="564"/>
      <c r="AB202" s="556"/>
      <c r="AC202" s="556"/>
      <c r="AD202" s="556"/>
      <c r="AE202" s="556"/>
      <c r="AF202" s="556"/>
      <c r="AG202" s="556"/>
      <c r="AH202" s="556"/>
      <c r="AI202" s="556"/>
      <c r="AJ202" s="556"/>
      <c r="AK202" s="556"/>
      <c r="AL202" s="556"/>
      <c r="AM202" s="556"/>
      <c r="AN202" s="556"/>
      <c r="AO202" s="556"/>
      <c r="AP202" s="556"/>
      <c r="AQ202" s="556"/>
      <c r="AR202" s="556"/>
      <c r="AS202" s="565"/>
      <c r="AT202" s="556"/>
    </row>
    <row r="203" spans="1:46" hidden="1" x14ac:dyDescent="0.45">
      <c r="A203" s="556"/>
      <c r="B203" s="556"/>
      <c r="C203" s="556"/>
      <c r="D203" s="564"/>
      <c r="E203" s="556"/>
      <c r="F203" s="564"/>
      <c r="G203" s="564"/>
      <c r="H203" s="564"/>
      <c r="I203" s="564"/>
      <c r="J203" s="564"/>
      <c r="K203" s="564"/>
      <c r="L203" s="564"/>
      <c r="M203" s="564"/>
      <c r="N203" s="564"/>
      <c r="O203" s="564"/>
      <c r="P203" s="564"/>
      <c r="Q203" s="564"/>
      <c r="R203" s="564"/>
      <c r="S203" s="564"/>
      <c r="T203" s="564"/>
      <c r="U203" s="564"/>
      <c r="V203" s="564"/>
      <c r="W203" s="564"/>
      <c r="X203" s="564"/>
      <c r="Y203" s="564"/>
      <c r="Z203" s="564"/>
      <c r="AA203" s="564"/>
      <c r="AB203" s="556"/>
      <c r="AC203" s="556"/>
      <c r="AD203" s="556"/>
      <c r="AE203" s="556"/>
      <c r="AF203" s="556"/>
      <c r="AG203" s="556"/>
      <c r="AH203" s="556"/>
      <c r="AI203" s="556"/>
      <c r="AJ203" s="556"/>
      <c r="AK203" s="556"/>
      <c r="AL203" s="556"/>
      <c r="AM203" s="556"/>
      <c r="AN203" s="556"/>
      <c r="AO203" s="556"/>
      <c r="AP203" s="556"/>
      <c r="AQ203" s="556"/>
      <c r="AR203" s="556"/>
      <c r="AS203" s="565"/>
      <c r="AT203" s="556"/>
    </row>
    <row r="204" spans="1:46" hidden="1" x14ac:dyDescent="0.45">
      <c r="A204" s="556"/>
      <c r="B204" s="556"/>
      <c r="C204" s="556"/>
      <c r="D204" s="564"/>
      <c r="E204" s="556"/>
      <c r="F204" s="564"/>
      <c r="G204" s="564"/>
      <c r="H204" s="564"/>
      <c r="I204" s="564"/>
      <c r="J204" s="564"/>
      <c r="K204" s="564"/>
      <c r="L204" s="564"/>
      <c r="M204" s="564"/>
      <c r="N204" s="564"/>
      <c r="O204" s="564"/>
      <c r="P204" s="564"/>
      <c r="Q204" s="564"/>
      <c r="R204" s="564"/>
      <c r="S204" s="564"/>
      <c r="T204" s="564"/>
      <c r="U204" s="564"/>
      <c r="V204" s="564"/>
      <c r="W204" s="564"/>
      <c r="X204" s="564"/>
      <c r="Y204" s="564"/>
      <c r="Z204" s="564"/>
      <c r="AA204" s="564"/>
      <c r="AB204" s="556"/>
      <c r="AC204" s="556"/>
      <c r="AD204" s="556"/>
      <c r="AE204" s="556"/>
      <c r="AF204" s="556"/>
      <c r="AG204" s="556"/>
      <c r="AH204" s="556"/>
      <c r="AI204" s="556"/>
      <c r="AJ204" s="556"/>
      <c r="AK204" s="556"/>
      <c r="AL204" s="556"/>
      <c r="AM204" s="556"/>
      <c r="AN204" s="556"/>
      <c r="AO204" s="556"/>
      <c r="AP204" s="556"/>
      <c r="AQ204" s="556"/>
      <c r="AR204" s="556"/>
      <c r="AS204" s="565"/>
      <c r="AT204" s="556"/>
    </row>
    <row r="205" spans="1:46" hidden="1" x14ac:dyDescent="0.45">
      <c r="A205" s="556"/>
      <c r="B205" s="556"/>
      <c r="C205" s="556"/>
      <c r="D205" s="564"/>
      <c r="E205" s="556"/>
      <c r="F205" s="564"/>
      <c r="G205" s="564"/>
      <c r="H205" s="564"/>
      <c r="I205" s="564"/>
      <c r="J205" s="564"/>
      <c r="K205" s="564"/>
      <c r="L205" s="564"/>
      <c r="M205" s="564"/>
      <c r="N205" s="564"/>
      <c r="O205" s="564"/>
      <c r="P205" s="564"/>
      <c r="Q205" s="564"/>
      <c r="R205" s="564"/>
      <c r="S205" s="564"/>
      <c r="T205" s="564"/>
      <c r="U205" s="564"/>
      <c r="V205" s="564"/>
      <c r="W205" s="564"/>
      <c r="X205" s="564"/>
      <c r="Y205" s="564"/>
      <c r="Z205" s="564"/>
      <c r="AA205" s="564"/>
      <c r="AB205" s="556"/>
      <c r="AC205" s="556"/>
      <c r="AD205" s="556"/>
      <c r="AE205" s="556"/>
      <c r="AF205" s="556"/>
      <c r="AG205" s="556"/>
      <c r="AH205" s="556"/>
      <c r="AI205" s="556"/>
      <c r="AJ205" s="556"/>
      <c r="AK205" s="556"/>
      <c r="AL205" s="556"/>
      <c r="AM205" s="556"/>
      <c r="AN205" s="556"/>
      <c r="AO205" s="556"/>
      <c r="AP205" s="556"/>
      <c r="AQ205" s="556"/>
      <c r="AR205" s="556"/>
      <c r="AS205" s="565"/>
      <c r="AT205" s="556"/>
    </row>
    <row r="206" spans="1:46" hidden="1" x14ac:dyDescent="0.45">
      <c r="A206" s="556"/>
      <c r="B206" s="556"/>
      <c r="C206" s="556"/>
      <c r="D206" s="564"/>
      <c r="E206" s="556"/>
      <c r="F206" s="564"/>
      <c r="G206" s="564"/>
      <c r="H206" s="564"/>
      <c r="I206" s="564"/>
      <c r="J206" s="564"/>
      <c r="K206" s="564"/>
      <c r="L206" s="564"/>
      <c r="M206" s="564"/>
      <c r="N206" s="564"/>
      <c r="O206" s="564"/>
      <c r="P206" s="564"/>
      <c r="Q206" s="564"/>
      <c r="R206" s="564"/>
      <c r="S206" s="564"/>
      <c r="T206" s="564"/>
      <c r="U206" s="564"/>
      <c r="V206" s="564"/>
      <c r="W206" s="564"/>
      <c r="X206" s="564"/>
      <c r="Y206" s="564"/>
      <c r="Z206" s="564"/>
      <c r="AA206" s="564"/>
      <c r="AB206" s="556"/>
      <c r="AC206" s="556"/>
      <c r="AD206" s="556"/>
      <c r="AE206" s="556"/>
      <c r="AF206" s="556"/>
      <c r="AG206" s="556"/>
      <c r="AH206" s="556"/>
      <c r="AI206" s="556"/>
      <c r="AJ206" s="556"/>
      <c r="AK206" s="556"/>
      <c r="AL206" s="556"/>
      <c r="AM206" s="556"/>
      <c r="AN206" s="556"/>
      <c r="AO206" s="556"/>
      <c r="AP206" s="556"/>
      <c r="AQ206" s="556"/>
      <c r="AR206" s="556"/>
      <c r="AS206" s="565"/>
      <c r="AT206" s="556"/>
    </row>
    <row r="207" spans="1:46" hidden="1" x14ac:dyDescent="0.45">
      <c r="A207" s="556"/>
      <c r="B207" s="556"/>
      <c r="C207" s="556"/>
      <c r="D207" s="564"/>
      <c r="E207" s="556"/>
      <c r="F207" s="564"/>
      <c r="G207" s="564"/>
      <c r="H207" s="564"/>
      <c r="I207" s="564"/>
      <c r="J207" s="564"/>
      <c r="K207" s="564"/>
      <c r="L207" s="564"/>
      <c r="M207" s="564"/>
      <c r="N207" s="564"/>
      <c r="O207" s="564"/>
      <c r="P207" s="564"/>
      <c r="Q207" s="564"/>
      <c r="R207" s="564"/>
      <c r="S207" s="564"/>
      <c r="T207" s="564"/>
      <c r="U207" s="564"/>
      <c r="V207" s="564"/>
      <c r="W207" s="564"/>
      <c r="X207" s="564"/>
      <c r="Y207" s="564"/>
      <c r="Z207" s="564"/>
      <c r="AA207" s="564"/>
      <c r="AB207" s="556"/>
      <c r="AC207" s="556"/>
      <c r="AD207" s="556"/>
      <c r="AE207" s="556"/>
      <c r="AF207" s="556"/>
      <c r="AG207" s="556"/>
      <c r="AH207" s="556"/>
      <c r="AI207" s="556"/>
      <c r="AJ207" s="556"/>
      <c r="AK207" s="556"/>
      <c r="AL207" s="556"/>
      <c r="AM207" s="556"/>
      <c r="AN207" s="556"/>
      <c r="AO207" s="556"/>
      <c r="AP207" s="556"/>
      <c r="AQ207" s="556"/>
      <c r="AR207" s="556"/>
      <c r="AS207" s="565"/>
      <c r="AT207" s="556"/>
    </row>
    <row r="208" spans="1:46" hidden="1" x14ac:dyDescent="0.45">
      <c r="A208" s="556"/>
      <c r="B208" s="556"/>
      <c r="C208" s="556"/>
      <c r="D208" s="564"/>
      <c r="E208" s="556"/>
      <c r="F208" s="564"/>
      <c r="G208" s="564"/>
      <c r="H208" s="564"/>
      <c r="I208" s="564"/>
      <c r="J208" s="564"/>
      <c r="K208" s="564"/>
      <c r="L208" s="564"/>
      <c r="M208" s="564"/>
      <c r="N208" s="564"/>
      <c r="O208" s="564"/>
      <c r="P208" s="564"/>
      <c r="Q208" s="564"/>
      <c r="R208" s="564"/>
      <c r="S208" s="564"/>
      <c r="T208" s="564"/>
      <c r="U208" s="564"/>
      <c r="V208" s="564"/>
      <c r="W208" s="564"/>
      <c r="X208" s="564"/>
      <c r="Y208" s="564"/>
      <c r="Z208" s="564"/>
      <c r="AA208" s="564"/>
      <c r="AB208" s="556"/>
      <c r="AC208" s="556"/>
      <c r="AD208" s="556"/>
      <c r="AE208" s="556"/>
      <c r="AF208" s="556"/>
      <c r="AG208" s="556"/>
      <c r="AH208" s="556"/>
      <c r="AI208" s="556"/>
      <c r="AJ208" s="556"/>
      <c r="AK208" s="556"/>
      <c r="AL208" s="556"/>
      <c r="AM208" s="556"/>
      <c r="AN208" s="556"/>
      <c r="AO208" s="556"/>
      <c r="AP208" s="556"/>
      <c r="AQ208" s="556"/>
      <c r="AR208" s="556"/>
      <c r="AS208" s="565"/>
      <c r="AT208" s="556"/>
    </row>
    <row r="209" spans="1:46" hidden="1" x14ac:dyDescent="0.45">
      <c r="A209" s="556"/>
      <c r="B209" s="556"/>
      <c r="C209" s="556"/>
      <c r="D209" s="564"/>
      <c r="E209" s="556"/>
      <c r="F209" s="564"/>
      <c r="G209" s="564"/>
      <c r="H209" s="564"/>
      <c r="I209" s="564"/>
      <c r="J209" s="564"/>
      <c r="K209" s="564"/>
      <c r="L209" s="564"/>
      <c r="M209" s="564"/>
      <c r="N209" s="564"/>
      <c r="O209" s="564"/>
      <c r="P209" s="564"/>
      <c r="Q209" s="564"/>
      <c r="R209" s="564"/>
      <c r="S209" s="564"/>
      <c r="T209" s="564"/>
      <c r="U209" s="564"/>
      <c r="V209" s="564"/>
      <c r="W209" s="564"/>
      <c r="X209" s="564"/>
      <c r="Y209" s="564"/>
      <c r="Z209" s="564"/>
      <c r="AA209" s="564"/>
      <c r="AB209" s="556"/>
      <c r="AC209" s="556"/>
      <c r="AD209" s="556"/>
      <c r="AE209" s="556"/>
      <c r="AF209" s="556"/>
      <c r="AG209" s="556"/>
      <c r="AH209" s="556"/>
      <c r="AI209" s="556"/>
      <c r="AJ209" s="556"/>
      <c r="AK209" s="556"/>
      <c r="AL209" s="556"/>
      <c r="AM209" s="556"/>
      <c r="AN209" s="556"/>
      <c r="AO209" s="556"/>
      <c r="AP209" s="556"/>
      <c r="AQ209" s="556"/>
      <c r="AR209" s="556"/>
      <c r="AS209" s="565"/>
      <c r="AT209" s="556"/>
    </row>
    <row r="210" spans="1:46" hidden="1" x14ac:dyDescent="0.45">
      <c r="A210" s="556"/>
      <c r="B210" s="556"/>
      <c r="C210" s="556"/>
      <c r="D210" s="564"/>
      <c r="E210" s="556"/>
      <c r="F210" s="564"/>
      <c r="G210" s="564"/>
      <c r="H210" s="564"/>
      <c r="I210" s="564"/>
      <c r="J210" s="564"/>
      <c r="K210" s="564"/>
      <c r="L210" s="564"/>
      <c r="M210" s="564"/>
      <c r="N210" s="564"/>
      <c r="O210" s="564"/>
      <c r="P210" s="564"/>
      <c r="Q210" s="564"/>
      <c r="R210" s="564"/>
      <c r="S210" s="564"/>
      <c r="T210" s="564"/>
      <c r="U210" s="564"/>
      <c r="V210" s="564"/>
      <c r="W210" s="564"/>
      <c r="X210" s="564"/>
      <c r="Y210" s="564"/>
      <c r="Z210" s="564"/>
      <c r="AA210" s="564"/>
      <c r="AB210" s="556"/>
      <c r="AC210" s="556"/>
      <c r="AD210" s="556"/>
      <c r="AE210" s="556"/>
      <c r="AF210" s="556"/>
      <c r="AG210" s="556"/>
      <c r="AH210" s="556"/>
      <c r="AI210" s="556"/>
      <c r="AJ210" s="556"/>
      <c r="AK210" s="556"/>
      <c r="AL210" s="556"/>
      <c r="AM210" s="556"/>
      <c r="AN210" s="556"/>
      <c r="AO210" s="556"/>
      <c r="AP210" s="556"/>
      <c r="AQ210" s="556"/>
      <c r="AR210" s="556"/>
      <c r="AS210" s="565"/>
      <c r="AT210" s="556"/>
    </row>
    <row r="211" spans="1:46" hidden="1" x14ac:dyDescent="0.45">
      <c r="A211" s="556"/>
      <c r="B211" s="556"/>
      <c r="C211" s="556"/>
      <c r="D211" s="564"/>
      <c r="E211" s="556"/>
      <c r="F211" s="564"/>
      <c r="G211" s="564"/>
      <c r="H211" s="564"/>
      <c r="I211" s="564"/>
      <c r="J211" s="564"/>
      <c r="K211" s="564"/>
      <c r="L211" s="564"/>
      <c r="M211" s="564"/>
      <c r="N211" s="564"/>
      <c r="O211" s="564"/>
      <c r="P211" s="564"/>
      <c r="Q211" s="564"/>
      <c r="R211" s="564"/>
      <c r="S211" s="564"/>
      <c r="T211" s="564"/>
      <c r="U211" s="564"/>
      <c r="V211" s="564"/>
      <c r="W211" s="564"/>
      <c r="X211" s="564"/>
      <c r="Y211" s="564"/>
      <c r="Z211" s="564"/>
      <c r="AA211" s="564"/>
      <c r="AB211" s="556"/>
      <c r="AC211" s="556"/>
      <c r="AD211" s="556"/>
      <c r="AE211" s="556"/>
      <c r="AF211" s="556"/>
      <c r="AG211" s="556"/>
      <c r="AH211" s="556"/>
      <c r="AI211" s="556"/>
      <c r="AJ211" s="556"/>
      <c r="AK211" s="556"/>
      <c r="AL211" s="556"/>
      <c r="AM211" s="556"/>
      <c r="AN211" s="556"/>
      <c r="AO211" s="556"/>
      <c r="AP211" s="556"/>
      <c r="AQ211" s="556"/>
      <c r="AR211" s="556"/>
      <c r="AS211" s="565"/>
      <c r="AT211" s="556"/>
    </row>
    <row r="212" spans="1:46" hidden="1" x14ac:dyDescent="0.45">
      <c r="A212" s="556"/>
      <c r="B212" s="556"/>
      <c r="C212" s="556"/>
      <c r="D212" s="564"/>
      <c r="E212" s="556"/>
      <c r="F212" s="564"/>
      <c r="G212" s="564"/>
      <c r="H212" s="564"/>
      <c r="I212" s="564"/>
      <c r="J212" s="564"/>
      <c r="K212" s="564"/>
      <c r="L212" s="564"/>
      <c r="M212" s="564"/>
      <c r="N212" s="564"/>
      <c r="O212" s="564"/>
      <c r="P212" s="564"/>
      <c r="Q212" s="564"/>
      <c r="R212" s="564"/>
      <c r="S212" s="564"/>
      <c r="T212" s="564"/>
      <c r="U212" s="564"/>
      <c r="V212" s="564"/>
      <c r="W212" s="564"/>
      <c r="X212" s="564"/>
      <c r="Y212" s="564"/>
      <c r="Z212" s="564"/>
      <c r="AA212" s="564"/>
      <c r="AB212" s="556"/>
      <c r="AC212" s="556"/>
      <c r="AD212" s="556"/>
      <c r="AE212" s="556"/>
      <c r="AF212" s="556"/>
      <c r="AG212" s="556"/>
      <c r="AH212" s="556"/>
      <c r="AI212" s="556"/>
      <c r="AJ212" s="556"/>
      <c r="AK212" s="556"/>
      <c r="AL212" s="556"/>
      <c r="AM212" s="556"/>
      <c r="AN212" s="556"/>
      <c r="AO212" s="556"/>
      <c r="AP212" s="556"/>
      <c r="AQ212" s="556"/>
      <c r="AR212" s="556"/>
      <c r="AS212" s="565"/>
      <c r="AT212" s="556"/>
    </row>
    <row r="213" spans="1:46" hidden="1" x14ac:dyDescent="0.45">
      <c r="A213" s="556"/>
      <c r="B213" s="556"/>
      <c r="C213" s="556"/>
      <c r="D213" s="564"/>
      <c r="E213" s="556"/>
      <c r="F213" s="564"/>
      <c r="G213" s="564"/>
      <c r="H213" s="564"/>
      <c r="I213" s="564"/>
      <c r="J213" s="564"/>
      <c r="K213" s="564"/>
      <c r="L213" s="564"/>
      <c r="M213" s="564"/>
      <c r="N213" s="564"/>
      <c r="O213" s="564"/>
      <c r="P213" s="564"/>
      <c r="Q213" s="564"/>
      <c r="R213" s="564"/>
      <c r="S213" s="564"/>
      <c r="T213" s="564"/>
      <c r="U213" s="564"/>
      <c r="V213" s="564"/>
      <c r="W213" s="564"/>
      <c r="X213" s="564"/>
      <c r="Y213" s="564"/>
      <c r="Z213" s="564"/>
      <c r="AA213" s="564"/>
      <c r="AB213" s="556"/>
      <c r="AC213" s="556"/>
      <c r="AD213" s="556"/>
      <c r="AE213" s="556"/>
      <c r="AF213" s="556"/>
      <c r="AG213" s="556"/>
      <c r="AH213" s="556"/>
      <c r="AI213" s="556"/>
      <c r="AJ213" s="556"/>
      <c r="AK213" s="556"/>
      <c r="AL213" s="556"/>
      <c r="AM213" s="556"/>
      <c r="AN213" s="556"/>
      <c r="AO213" s="556"/>
      <c r="AP213" s="556"/>
      <c r="AQ213" s="556"/>
      <c r="AR213" s="556"/>
      <c r="AS213" s="565"/>
      <c r="AT213" s="556"/>
    </row>
    <row r="214" spans="1:46" hidden="1" x14ac:dyDescent="0.45">
      <c r="A214" s="556"/>
      <c r="B214" s="556"/>
      <c r="C214" s="556"/>
      <c r="D214" s="564"/>
      <c r="E214" s="556"/>
      <c r="F214" s="564"/>
      <c r="G214" s="564"/>
      <c r="H214" s="564"/>
      <c r="I214" s="564"/>
      <c r="J214" s="564"/>
      <c r="K214" s="564"/>
      <c r="L214" s="564"/>
      <c r="M214" s="564"/>
      <c r="N214" s="564"/>
      <c r="O214" s="564"/>
      <c r="P214" s="564"/>
      <c r="Q214" s="564"/>
      <c r="R214" s="564"/>
      <c r="S214" s="564"/>
      <c r="T214" s="564"/>
      <c r="U214" s="564"/>
      <c r="V214" s="564"/>
      <c r="W214" s="564"/>
      <c r="X214" s="564"/>
      <c r="Y214" s="564"/>
      <c r="Z214" s="564"/>
      <c r="AA214" s="564"/>
      <c r="AB214" s="556"/>
      <c r="AC214" s="556"/>
      <c r="AD214" s="556"/>
      <c r="AE214" s="556"/>
      <c r="AF214" s="556"/>
      <c r="AG214" s="556"/>
      <c r="AH214" s="556"/>
      <c r="AI214" s="556"/>
      <c r="AJ214" s="556"/>
      <c r="AK214" s="556"/>
      <c r="AL214" s="556"/>
      <c r="AM214" s="556"/>
      <c r="AN214" s="556"/>
      <c r="AO214" s="556"/>
      <c r="AP214" s="556"/>
      <c r="AQ214" s="556"/>
      <c r="AR214" s="556"/>
      <c r="AS214" s="565"/>
      <c r="AT214" s="556"/>
    </row>
    <row r="215" spans="1:46" hidden="1" x14ac:dyDescent="0.45">
      <c r="A215" s="556"/>
      <c r="B215" s="556"/>
      <c r="C215" s="556"/>
      <c r="D215" s="564"/>
      <c r="E215" s="556"/>
      <c r="F215" s="564"/>
      <c r="G215" s="564"/>
      <c r="H215" s="564"/>
      <c r="I215" s="564"/>
      <c r="J215" s="564"/>
      <c r="K215" s="564"/>
      <c r="L215" s="564"/>
      <c r="M215" s="564"/>
      <c r="N215" s="564"/>
      <c r="O215" s="564"/>
      <c r="P215" s="564"/>
      <c r="Q215" s="564"/>
      <c r="R215" s="564"/>
      <c r="S215" s="564"/>
      <c r="T215" s="564"/>
      <c r="U215" s="564"/>
      <c r="V215" s="564"/>
      <c r="W215" s="564"/>
      <c r="X215" s="564"/>
      <c r="Y215" s="564"/>
      <c r="Z215" s="564"/>
      <c r="AA215" s="564"/>
      <c r="AB215" s="556"/>
      <c r="AC215" s="556"/>
      <c r="AD215" s="556"/>
      <c r="AE215" s="556"/>
      <c r="AF215" s="556"/>
      <c r="AG215" s="556"/>
      <c r="AH215" s="556"/>
      <c r="AI215" s="556"/>
      <c r="AJ215" s="556"/>
      <c r="AK215" s="556"/>
      <c r="AL215" s="556"/>
      <c r="AM215" s="556"/>
      <c r="AN215" s="556"/>
      <c r="AO215" s="556"/>
      <c r="AP215" s="556"/>
      <c r="AQ215" s="556"/>
      <c r="AR215" s="556"/>
      <c r="AS215" s="565"/>
      <c r="AT215" s="556"/>
    </row>
    <row r="216" spans="1:46" hidden="1" x14ac:dyDescent="0.45">
      <c r="A216" s="556"/>
      <c r="B216" s="556"/>
      <c r="C216" s="556"/>
      <c r="D216" s="564"/>
      <c r="E216" s="556"/>
      <c r="F216" s="564"/>
      <c r="G216" s="564"/>
      <c r="H216" s="564"/>
      <c r="I216" s="564"/>
      <c r="J216" s="564"/>
      <c r="K216" s="564"/>
      <c r="L216" s="564"/>
      <c r="M216" s="564"/>
      <c r="N216" s="564"/>
      <c r="O216" s="564"/>
      <c r="P216" s="564"/>
      <c r="Q216" s="564"/>
      <c r="R216" s="564"/>
      <c r="S216" s="564"/>
      <c r="T216" s="564"/>
      <c r="U216" s="564"/>
      <c r="V216" s="564"/>
      <c r="W216" s="564"/>
      <c r="X216" s="564"/>
      <c r="Y216" s="564"/>
      <c r="Z216" s="564"/>
      <c r="AA216" s="564"/>
      <c r="AB216" s="556"/>
      <c r="AC216" s="556"/>
      <c r="AD216" s="556"/>
      <c r="AE216" s="556"/>
      <c r="AF216" s="556"/>
      <c r="AG216" s="556"/>
      <c r="AH216" s="556"/>
      <c r="AI216" s="556"/>
      <c r="AJ216" s="556"/>
      <c r="AK216" s="556"/>
      <c r="AL216" s="556"/>
      <c r="AM216" s="556"/>
      <c r="AN216" s="556"/>
      <c r="AO216" s="556"/>
      <c r="AP216" s="556"/>
      <c r="AQ216" s="556"/>
      <c r="AR216" s="556"/>
      <c r="AS216" s="565"/>
      <c r="AT216" s="556"/>
    </row>
    <row r="217" spans="1:46" hidden="1" x14ac:dyDescent="0.45">
      <c r="A217" s="556"/>
      <c r="B217" s="556"/>
      <c r="C217" s="556"/>
      <c r="D217" s="564"/>
      <c r="E217" s="556"/>
      <c r="F217" s="564"/>
      <c r="G217" s="564"/>
      <c r="H217" s="564"/>
      <c r="I217" s="564"/>
      <c r="J217" s="564"/>
      <c r="K217" s="564"/>
      <c r="L217" s="564"/>
      <c r="M217" s="564"/>
      <c r="N217" s="564"/>
      <c r="O217" s="564"/>
      <c r="P217" s="564"/>
      <c r="Q217" s="564"/>
      <c r="R217" s="564"/>
      <c r="S217" s="564"/>
      <c r="T217" s="564"/>
      <c r="U217" s="564"/>
      <c r="V217" s="564"/>
      <c r="W217" s="564"/>
      <c r="X217" s="564"/>
      <c r="Y217" s="564"/>
      <c r="Z217" s="564"/>
      <c r="AA217" s="564"/>
      <c r="AB217" s="556"/>
      <c r="AC217" s="556"/>
      <c r="AD217" s="556"/>
      <c r="AE217" s="556"/>
      <c r="AF217" s="556"/>
      <c r="AG217" s="556"/>
      <c r="AH217" s="556"/>
      <c r="AI217" s="556"/>
      <c r="AJ217" s="556"/>
      <c r="AK217" s="556"/>
      <c r="AL217" s="556"/>
      <c r="AM217" s="556"/>
      <c r="AN217" s="556"/>
      <c r="AO217" s="556"/>
      <c r="AP217" s="556"/>
      <c r="AQ217" s="556"/>
      <c r="AR217" s="556"/>
      <c r="AS217" s="565"/>
      <c r="AT217" s="556"/>
    </row>
    <row r="218" spans="1:46" hidden="1" x14ac:dyDescent="0.45">
      <c r="A218" s="556"/>
      <c r="B218" s="556"/>
      <c r="C218" s="556"/>
      <c r="D218" s="564"/>
      <c r="E218" s="556"/>
      <c r="F218" s="564"/>
      <c r="G218" s="564"/>
      <c r="H218" s="564"/>
      <c r="I218" s="564"/>
      <c r="J218" s="564"/>
      <c r="K218" s="564"/>
      <c r="L218" s="564"/>
      <c r="M218" s="564"/>
      <c r="N218" s="564"/>
      <c r="O218" s="564"/>
      <c r="P218" s="564"/>
      <c r="Q218" s="564"/>
      <c r="R218" s="564"/>
      <c r="S218" s="564"/>
      <c r="T218" s="564"/>
      <c r="U218" s="564"/>
      <c r="V218" s="564"/>
      <c r="W218" s="564"/>
      <c r="X218" s="564"/>
      <c r="Y218" s="564"/>
      <c r="Z218" s="564"/>
      <c r="AA218" s="564"/>
      <c r="AB218" s="556"/>
      <c r="AC218" s="556"/>
      <c r="AD218" s="556"/>
      <c r="AE218" s="556"/>
      <c r="AF218" s="556"/>
      <c r="AG218" s="556"/>
      <c r="AH218" s="556"/>
      <c r="AI218" s="556"/>
      <c r="AJ218" s="556"/>
      <c r="AK218" s="556"/>
      <c r="AL218" s="556"/>
      <c r="AM218" s="556"/>
      <c r="AN218" s="556"/>
      <c r="AO218" s="556"/>
      <c r="AP218" s="556"/>
      <c r="AQ218" s="556"/>
      <c r="AR218" s="556"/>
      <c r="AS218" s="565"/>
      <c r="AT218" s="556"/>
    </row>
    <row r="219" spans="1:46" hidden="1" x14ac:dyDescent="0.45">
      <c r="A219" s="556"/>
      <c r="B219" s="556"/>
      <c r="C219" s="556"/>
      <c r="D219" s="564"/>
      <c r="E219" s="556"/>
      <c r="F219" s="564"/>
      <c r="G219" s="564"/>
      <c r="H219" s="564"/>
      <c r="I219" s="564"/>
      <c r="J219" s="564"/>
      <c r="K219" s="564"/>
      <c r="L219" s="564"/>
      <c r="M219" s="564"/>
      <c r="N219" s="564"/>
      <c r="O219" s="564"/>
      <c r="P219" s="564"/>
      <c r="Q219" s="564"/>
      <c r="R219" s="564"/>
      <c r="S219" s="564"/>
      <c r="T219" s="564"/>
      <c r="U219" s="564"/>
      <c r="V219" s="564"/>
      <c r="W219" s="564"/>
      <c r="X219" s="564"/>
      <c r="Y219" s="564"/>
      <c r="Z219" s="564"/>
      <c r="AA219" s="564"/>
      <c r="AB219" s="556"/>
      <c r="AC219" s="556"/>
      <c r="AD219" s="556"/>
      <c r="AE219" s="556"/>
      <c r="AF219" s="556"/>
      <c r="AG219" s="556"/>
      <c r="AH219" s="556"/>
      <c r="AI219" s="556"/>
      <c r="AJ219" s="556"/>
      <c r="AK219" s="556"/>
      <c r="AL219" s="556"/>
      <c r="AM219" s="556"/>
      <c r="AN219" s="556"/>
      <c r="AO219" s="556"/>
      <c r="AP219" s="556"/>
      <c r="AQ219" s="556"/>
      <c r="AR219" s="556"/>
      <c r="AS219" s="565"/>
      <c r="AT219" s="556"/>
    </row>
    <row r="220" spans="1:46" hidden="1" x14ac:dyDescent="0.45">
      <c r="A220" s="556"/>
      <c r="B220" s="556"/>
      <c r="C220" s="556"/>
      <c r="D220" s="564"/>
      <c r="E220" s="556"/>
      <c r="F220" s="564"/>
      <c r="G220" s="564"/>
      <c r="H220" s="564"/>
      <c r="I220" s="564"/>
      <c r="J220" s="564"/>
      <c r="K220" s="564"/>
      <c r="L220" s="564"/>
      <c r="M220" s="564"/>
      <c r="N220" s="564"/>
      <c r="O220" s="564"/>
      <c r="P220" s="564"/>
      <c r="Q220" s="564"/>
      <c r="R220" s="564"/>
      <c r="S220" s="564"/>
      <c r="T220" s="564"/>
      <c r="U220" s="564"/>
      <c r="V220" s="564"/>
      <c r="W220" s="564"/>
      <c r="X220" s="564"/>
      <c r="Y220" s="564"/>
      <c r="Z220" s="564"/>
      <c r="AA220" s="564"/>
      <c r="AB220" s="556"/>
      <c r="AC220" s="556"/>
      <c r="AD220" s="556"/>
      <c r="AE220" s="556"/>
      <c r="AF220" s="556"/>
      <c r="AG220" s="556"/>
      <c r="AH220" s="556"/>
      <c r="AI220" s="556"/>
      <c r="AJ220" s="556"/>
      <c r="AK220" s="556"/>
      <c r="AL220" s="556"/>
      <c r="AM220" s="556"/>
      <c r="AN220" s="556"/>
      <c r="AO220" s="556"/>
      <c r="AP220" s="556"/>
      <c r="AQ220" s="556"/>
      <c r="AR220" s="556"/>
      <c r="AS220" s="565"/>
      <c r="AT220" s="556"/>
    </row>
    <row r="221" spans="1:46" hidden="1" x14ac:dyDescent="0.45">
      <c r="A221" s="556"/>
      <c r="B221" s="556"/>
      <c r="C221" s="556"/>
      <c r="D221" s="564"/>
      <c r="E221" s="556"/>
      <c r="F221" s="564"/>
      <c r="G221" s="564"/>
      <c r="H221" s="564"/>
      <c r="I221" s="564"/>
      <c r="J221" s="564"/>
      <c r="K221" s="564"/>
      <c r="L221" s="564"/>
      <c r="M221" s="564"/>
      <c r="N221" s="564"/>
      <c r="O221" s="564"/>
      <c r="P221" s="564"/>
      <c r="Q221" s="564"/>
      <c r="R221" s="564"/>
      <c r="S221" s="564"/>
      <c r="T221" s="564"/>
      <c r="U221" s="564"/>
      <c r="V221" s="564"/>
      <c r="W221" s="564"/>
      <c r="X221" s="564"/>
      <c r="Y221" s="564"/>
      <c r="Z221" s="564"/>
      <c r="AA221" s="564"/>
      <c r="AB221" s="556"/>
      <c r="AC221" s="556"/>
      <c r="AD221" s="556"/>
      <c r="AE221" s="556"/>
      <c r="AF221" s="556"/>
      <c r="AG221" s="556"/>
      <c r="AH221" s="556"/>
      <c r="AI221" s="556"/>
      <c r="AJ221" s="556"/>
      <c r="AK221" s="556"/>
      <c r="AL221" s="556"/>
      <c r="AM221" s="556"/>
      <c r="AN221" s="556"/>
      <c r="AO221" s="556"/>
      <c r="AP221" s="556"/>
      <c r="AQ221" s="556"/>
      <c r="AR221" s="556"/>
      <c r="AS221" s="565"/>
      <c r="AT221" s="556"/>
    </row>
    <row r="222" spans="1:46" hidden="1" x14ac:dyDescent="0.45">
      <c r="A222" s="556"/>
      <c r="B222" s="556"/>
      <c r="C222" s="556"/>
      <c r="D222" s="564"/>
      <c r="E222" s="556"/>
      <c r="F222" s="564"/>
      <c r="G222" s="564"/>
      <c r="H222" s="564"/>
      <c r="I222" s="564"/>
      <c r="J222" s="564"/>
      <c r="K222" s="564"/>
      <c r="L222" s="564"/>
      <c r="M222" s="564"/>
      <c r="N222" s="564"/>
      <c r="O222" s="564"/>
      <c r="P222" s="564"/>
      <c r="Q222" s="564"/>
      <c r="R222" s="564"/>
      <c r="S222" s="564"/>
      <c r="T222" s="564"/>
      <c r="U222" s="564"/>
      <c r="V222" s="564"/>
      <c r="W222" s="564"/>
      <c r="X222" s="564"/>
      <c r="Y222" s="564"/>
      <c r="Z222" s="564"/>
      <c r="AA222" s="564"/>
      <c r="AB222" s="556"/>
      <c r="AC222" s="556"/>
      <c r="AD222" s="556"/>
      <c r="AE222" s="556"/>
      <c r="AF222" s="556"/>
      <c r="AG222" s="556"/>
      <c r="AH222" s="556"/>
      <c r="AI222" s="556"/>
      <c r="AJ222" s="556"/>
      <c r="AK222" s="556"/>
      <c r="AL222" s="556"/>
      <c r="AM222" s="556"/>
      <c r="AN222" s="556"/>
      <c r="AO222" s="556"/>
      <c r="AP222" s="556"/>
      <c r="AQ222" s="556"/>
      <c r="AR222" s="556"/>
      <c r="AS222" s="565"/>
      <c r="AT222" s="556"/>
    </row>
    <row r="223" spans="1:46" hidden="1" x14ac:dyDescent="0.45">
      <c r="A223" s="556"/>
      <c r="B223" s="556"/>
      <c r="C223" s="556"/>
      <c r="D223" s="564"/>
      <c r="E223" s="556"/>
      <c r="F223" s="564"/>
      <c r="G223" s="564"/>
      <c r="H223" s="564"/>
      <c r="I223" s="564"/>
      <c r="J223" s="564"/>
      <c r="K223" s="564"/>
      <c r="L223" s="564"/>
      <c r="M223" s="564"/>
      <c r="N223" s="564"/>
      <c r="O223" s="564"/>
      <c r="P223" s="564"/>
      <c r="Q223" s="564"/>
      <c r="R223" s="564"/>
      <c r="S223" s="564"/>
      <c r="T223" s="564"/>
      <c r="U223" s="564"/>
      <c r="V223" s="564"/>
      <c r="W223" s="564"/>
      <c r="X223" s="564"/>
      <c r="Y223" s="564"/>
      <c r="Z223" s="564"/>
      <c r="AA223" s="564"/>
      <c r="AB223" s="556"/>
      <c r="AC223" s="556"/>
      <c r="AD223" s="556"/>
      <c r="AE223" s="556"/>
      <c r="AF223" s="556"/>
      <c r="AG223" s="556"/>
      <c r="AH223" s="556"/>
      <c r="AI223" s="556"/>
      <c r="AJ223" s="556"/>
      <c r="AK223" s="556"/>
      <c r="AL223" s="556"/>
      <c r="AM223" s="556"/>
      <c r="AN223" s="556"/>
      <c r="AO223" s="556"/>
      <c r="AP223" s="556"/>
      <c r="AQ223" s="556"/>
      <c r="AR223" s="556"/>
      <c r="AS223" s="565"/>
      <c r="AT223" s="556"/>
    </row>
    <row r="224" spans="1:46" hidden="1" x14ac:dyDescent="0.45">
      <c r="A224" s="556"/>
      <c r="B224" s="556"/>
      <c r="C224" s="556"/>
      <c r="D224" s="564"/>
      <c r="E224" s="556"/>
      <c r="F224" s="564"/>
      <c r="G224" s="564"/>
      <c r="H224" s="564"/>
      <c r="I224" s="564"/>
      <c r="J224" s="564"/>
      <c r="K224" s="564"/>
      <c r="L224" s="564"/>
      <c r="M224" s="564"/>
      <c r="N224" s="564"/>
      <c r="O224" s="564"/>
      <c r="P224" s="564"/>
      <c r="Q224" s="564"/>
      <c r="R224" s="564"/>
      <c r="S224" s="564"/>
      <c r="T224" s="564"/>
      <c r="U224" s="564"/>
      <c r="V224" s="564"/>
      <c r="W224" s="564"/>
      <c r="X224" s="564"/>
      <c r="Y224" s="564"/>
      <c r="Z224" s="564"/>
      <c r="AA224" s="564"/>
      <c r="AB224" s="556"/>
      <c r="AC224" s="556"/>
      <c r="AD224" s="556"/>
      <c r="AE224" s="556"/>
      <c r="AF224" s="556"/>
      <c r="AG224" s="556"/>
      <c r="AH224" s="556"/>
      <c r="AI224" s="556"/>
      <c r="AJ224" s="556"/>
      <c r="AK224" s="556"/>
      <c r="AL224" s="556"/>
      <c r="AM224" s="556"/>
      <c r="AN224" s="556"/>
      <c r="AO224" s="556"/>
      <c r="AP224" s="556"/>
      <c r="AQ224" s="556"/>
      <c r="AR224" s="556"/>
      <c r="AS224" s="565"/>
      <c r="AT224" s="556"/>
    </row>
    <row r="225" spans="1:46" hidden="1" x14ac:dyDescent="0.45">
      <c r="A225" s="556"/>
      <c r="B225" s="556"/>
      <c r="C225" s="556"/>
      <c r="D225" s="564"/>
      <c r="E225" s="556"/>
      <c r="F225" s="564"/>
      <c r="G225" s="564"/>
      <c r="H225" s="564"/>
      <c r="I225" s="564"/>
      <c r="J225" s="564"/>
      <c r="K225" s="564"/>
      <c r="L225" s="564"/>
      <c r="M225" s="564"/>
      <c r="N225" s="564"/>
      <c r="O225" s="564"/>
      <c r="P225" s="564"/>
      <c r="Q225" s="564"/>
      <c r="R225" s="564"/>
      <c r="S225" s="564"/>
      <c r="T225" s="564"/>
      <c r="U225" s="564"/>
      <c r="V225" s="564"/>
      <c r="W225" s="564"/>
      <c r="X225" s="564"/>
      <c r="Y225" s="564"/>
      <c r="Z225" s="564"/>
      <c r="AA225" s="564"/>
      <c r="AB225" s="556"/>
      <c r="AC225" s="556"/>
      <c r="AD225" s="556"/>
      <c r="AE225" s="556"/>
      <c r="AF225" s="556"/>
      <c r="AG225" s="556"/>
      <c r="AH225" s="556"/>
      <c r="AI225" s="556"/>
      <c r="AJ225" s="556"/>
      <c r="AK225" s="556"/>
      <c r="AL225" s="556"/>
      <c r="AM225" s="556"/>
      <c r="AN225" s="556"/>
      <c r="AO225" s="556"/>
      <c r="AP225" s="556"/>
      <c r="AQ225" s="556"/>
      <c r="AR225" s="556"/>
      <c r="AS225" s="565"/>
      <c r="AT225" s="556"/>
    </row>
    <row r="226" spans="1:46" hidden="1" x14ac:dyDescent="0.45">
      <c r="A226" s="556"/>
      <c r="B226" s="556"/>
      <c r="C226" s="556"/>
      <c r="D226" s="564"/>
      <c r="E226" s="556"/>
      <c r="F226" s="564"/>
      <c r="G226" s="564"/>
      <c r="H226" s="564"/>
      <c r="I226" s="564"/>
      <c r="J226" s="564"/>
      <c r="K226" s="564"/>
      <c r="L226" s="564"/>
      <c r="M226" s="564"/>
      <c r="N226" s="564"/>
      <c r="O226" s="564"/>
      <c r="P226" s="564"/>
      <c r="Q226" s="564"/>
      <c r="R226" s="564"/>
      <c r="S226" s="564"/>
      <c r="T226" s="564"/>
      <c r="U226" s="564"/>
      <c r="V226" s="564"/>
      <c r="W226" s="564"/>
      <c r="X226" s="564"/>
      <c r="Y226" s="564"/>
      <c r="Z226" s="564"/>
      <c r="AA226" s="564"/>
      <c r="AB226" s="556"/>
      <c r="AC226" s="556"/>
      <c r="AD226" s="556"/>
      <c r="AE226" s="556"/>
      <c r="AF226" s="556"/>
      <c r="AG226" s="556"/>
      <c r="AH226" s="556"/>
      <c r="AI226" s="556"/>
      <c r="AJ226" s="556"/>
      <c r="AK226" s="556"/>
      <c r="AL226" s="556"/>
      <c r="AM226" s="556"/>
      <c r="AN226" s="556"/>
      <c r="AO226" s="556"/>
      <c r="AP226" s="556"/>
      <c r="AQ226" s="556"/>
      <c r="AR226" s="556"/>
      <c r="AS226" s="565"/>
      <c r="AT226" s="556"/>
    </row>
    <row r="227" spans="1:46" hidden="1" x14ac:dyDescent="0.45">
      <c r="A227" s="556"/>
      <c r="B227" s="556"/>
      <c r="C227" s="556"/>
      <c r="D227" s="564"/>
      <c r="E227" s="556"/>
      <c r="F227" s="564"/>
      <c r="G227" s="564"/>
      <c r="H227" s="564"/>
      <c r="I227" s="564"/>
      <c r="J227" s="564"/>
      <c r="K227" s="564"/>
      <c r="L227" s="564"/>
      <c r="M227" s="564"/>
      <c r="N227" s="564"/>
      <c r="O227" s="564"/>
      <c r="P227" s="564"/>
      <c r="Q227" s="564"/>
      <c r="R227" s="564"/>
      <c r="S227" s="564"/>
      <c r="T227" s="564"/>
      <c r="U227" s="564"/>
      <c r="V227" s="564"/>
      <c r="W227" s="564"/>
      <c r="X227" s="564"/>
      <c r="Y227" s="564"/>
      <c r="Z227" s="564"/>
      <c r="AA227" s="564"/>
      <c r="AB227" s="556"/>
      <c r="AC227" s="556"/>
      <c r="AD227" s="556"/>
      <c r="AE227" s="556"/>
      <c r="AF227" s="556"/>
      <c r="AG227" s="556"/>
      <c r="AH227" s="556"/>
      <c r="AI227" s="556"/>
      <c r="AJ227" s="556"/>
      <c r="AK227" s="556"/>
      <c r="AL227" s="556"/>
      <c r="AM227" s="556"/>
      <c r="AN227" s="556"/>
      <c r="AO227" s="556"/>
      <c r="AP227" s="556"/>
      <c r="AQ227" s="556"/>
      <c r="AR227" s="556"/>
      <c r="AS227" s="565"/>
      <c r="AT227" s="556"/>
    </row>
    <row r="228" spans="1:46" hidden="1" x14ac:dyDescent="0.45">
      <c r="A228" s="556"/>
      <c r="B228" s="556"/>
      <c r="C228" s="556"/>
      <c r="D228" s="564"/>
      <c r="E228" s="556"/>
      <c r="F228" s="564"/>
      <c r="G228" s="564"/>
      <c r="H228" s="564"/>
      <c r="I228" s="564"/>
      <c r="J228" s="564"/>
      <c r="K228" s="564"/>
      <c r="L228" s="564"/>
      <c r="M228" s="564"/>
      <c r="N228" s="564"/>
      <c r="O228" s="564"/>
      <c r="P228" s="564"/>
      <c r="Q228" s="564"/>
      <c r="R228" s="564"/>
      <c r="S228" s="564"/>
      <c r="T228" s="564"/>
      <c r="U228" s="564"/>
      <c r="V228" s="564"/>
      <c r="W228" s="564"/>
      <c r="X228" s="564"/>
      <c r="Y228" s="564"/>
      <c r="Z228" s="564"/>
      <c r="AA228" s="564"/>
      <c r="AB228" s="556"/>
      <c r="AC228" s="556"/>
      <c r="AD228" s="556"/>
      <c r="AE228" s="556"/>
      <c r="AF228" s="556"/>
      <c r="AG228" s="556"/>
      <c r="AH228" s="556"/>
      <c r="AI228" s="556"/>
      <c r="AJ228" s="556"/>
      <c r="AK228" s="556"/>
      <c r="AL228" s="556"/>
      <c r="AM228" s="556"/>
      <c r="AN228" s="556"/>
      <c r="AO228" s="556"/>
      <c r="AP228" s="556"/>
      <c r="AQ228" s="556"/>
      <c r="AR228" s="556"/>
      <c r="AS228" s="565"/>
      <c r="AT228" s="556"/>
    </row>
    <row r="229" spans="1:46" hidden="1" x14ac:dyDescent="0.45">
      <c r="A229" s="556"/>
      <c r="B229" s="556"/>
      <c r="C229" s="556"/>
      <c r="D229" s="564"/>
      <c r="E229" s="556"/>
      <c r="F229" s="564"/>
      <c r="G229" s="564"/>
      <c r="H229" s="564"/>
      <c r="I229" s="564"/>
      <c r="J229" s="564"/>
      <c r="K229" s="564"/>
      <c r="L229" s="564"/>
      <c r="M229" s="564"/>
      <c r="N229" s="564"/>
      <c r="O229" s="564"/>
      <c r="P229" s="564"/>
      <c r="Q229" s="564"/>
      <c r="R229" s="564"/>
      <c r="S229" s="564"/>
      <c r="T229" s="564"/>
      <c r="U229" s="564"/>
      <c r="V229" s="564"/>
      <c r="W229" s="564"/>
      <c r="X229" s="564"/>
      <c r="Y229" s="564"/>
      <c r="Z229" s="564"/>
      <c r="AA229" s="564"/>
      <c r="AB229" s="556"/>
      <c r="AC229" s="556"/>
      <c r="AD229" s="556"/>
      <c r="AE229" s="556"/>
      <c r="AF229" s="556"/>
      <c r="AG229" s="556"/>
      <c r="AH229" s="556"/>
      <c r="AI229" s="556"/>
      <c r="AJ229" s="556"/>
      <c r="AK229" s="556"/>
      <c r="AL229" s="556"/>
      <c r="AM229" s="556"/>
      <c r="AN229" s="556"/>
      <c r="AO229" s="556"/>
      <c r="AP229" s="556"/>
      <c r="AQ229" s="556"/>
      <c r="AR229" s="556"/>
      <c r="AS229" s="565"/>
      <c r="AT229" s="556"/>
    </row>
    <row r="230" spans="1:46" hidden="1" x14ac:dyDescent="0.45">
      <c r="A230" s="556"/>
      <c r="B230" s="556"/>
      <c r="C230" s="556"/>
      <c r="D230" s="564"/>
      <c r="E230" s="556"/>
      <c r="F230" s="564"/>
      <c r="G230" s="564"/>
      <c r="H230" s="564"/>
      <c r="I230" s="564"/>
      <c r="J230" s="564"/>
      <c r="K230" s="564"/>
      <c r="L230" s="564"/>
      <c r="M230" s="564"/>
      <c r="N230" s="564"/>
      <c r="O230" s="564"/>
      <c r="P230" s="564"/>
      <c r="Q230" s="564"/>
      <c r="R230" s="564"/>
      <c r="S230" s="564"/>
      <c r="T230" s="564"/>
      <c r="U230" s="564"/>
      <c r="V230" s="564"/>
      <c r="W230" s="564"/>
      <c r="X230" s="564"/>
      <c r="Y230" s="564"/>
      <c r="Z230" s="564"/>
      <c r="AA230" s="564"/>
      <c r="AB230" s="556"/>
      <c r="AC230" s="556"/>
      <c r="AD230" s="556"/>
      <c r="AE230" s="556"/>
      <c r="AF230" s="556"/>
      <c r="AG230" s="556"/>
      <c r="AH230" s="556"/>
      <c r="AI230" s="556"/>
      <c r="AJ230" s="556"/>
      <c r="AK230" s="556"/>
      <c r="AL230" s="556"/>
      <c r="AM230" s="556"/>
      <c r="AN230" s="556"/>
      <c r="AO230" s="556"/>
      <c r="AP230" s="556"/>
      <c r="AQ230" s="556"/>
      <c r="AR230" s="556"/>
      <c r="AS230" s="565"/>
      <c r="AT230" s="556"/>
    </row>
    <row r="231" spans="1:46" hidden="1" x14ac:dyDescent="0.45">
      <c r="A231" s="556"/>
      <c r="B231" s="556"/>
      <c r="C231" s="556"/>
      <c r="D231" s="564"/>
      <c r="E231" s="556"/>
      <c r="F231" s="564"/>
      <c r="G231" s="564"/>
      <c r="H231" s="564"/>
      <c r="I231" s="564"/>
      <c r="J231" s="564"/>
      <c r="K231" s="564"/>
      <c r="L231" s="564"/>
      <c r="M231" s="564"/>
      <c r="N231" s="564"/>
      <c r="O231" s="564"/>
      <c r="P231" s="564"/>
      <c r="Q231" s="564"/>
      <c r="R231" s="564"/>
      <c r="S231" s="564"/>
      <c r="T231" s="564"/>
      <c r="U231" s="564"/>
      <c r="V231" s="564"/>
      <c r="W231" s="564"/>
      <c r="X231" s="564"/>
      <c r="Y231" s="564"/>
      <c r="Z231" s="564"/>
      <c r="AA231" s="564"/>
      <c r="AB231" s="556"/>
      <c r="AC231" s="556"/>
      <c r="AD231" s="556"/>
      <c r="AE231" s="556"/>
      <c r="AF231" s="556"/>
      <c r="AG231" s="556"/>
      <c r="AH231" s="556"/>
      <c r="AI231" s="556"/>
      <c r="AJ231" s="556"/>
      <c r="AK231" s="556"/>
      <c r="AL231" s="556"/>
      <c r="AM231" s="556"/>
      <c r="AN231" s="556"/>
      <c r="AO231" s="556"/>
      <c r="AP231" s="556"/>
      <c r="AQ231" s="556"/>
      <c r="AR231" s="556"/>
      <c r="AS231" s="565"/>
      <c r="AT231" s="556"/>
    </row>
    <row r="232" spans="1:46" hidden="1" x14ac:dyDescent="0.45">
      <c r="A232" s="556"/>
      <c r="B232" s="556"/>
      <c r="C232" s="556"/>
      <c r="D232" s="564"/>
      <c r="E232" s="556"/>
      <c r="F232" s="564"/>
      <c r="G232" s="564"/>
      <c r="H232" s="564"/>
      <c r="I232" s="564"/>
      <c r="J232" s="564"/>
      <c r="K232" s="564"/>
      <c r="L232" s="564"/>
      <c r="M232" s="564"/>
      <c r="N232" s="564"/>
      <c r="O232" s="564"/>
      <c r="P232" s="564"/>
      <c r="Q232" s="564"/>
      <c r="R232" s="564"/>
      <c r="S232" s="564"/>
      <c r="T232" s="564"/>
      <c r="U232" s="564"/>
      <c r="V232" s="564"/>
      <c r="W232" s="564"/>
      <c r="X232" s="564"/>
      <c r="Y232" s="564"/>
      <c r="Z232" s="564"/>
      <c r="AA232" s="564"/>
      <c r="AB232" s="556"/>
      <c r="AC232" s="556"/>
      <c r="AD232" s="556"/>
      <c r="AE232" s="556"/>
      <c r="AF232" s="556"/>
      <c r="AG232" s="556"/>
      <c r="AH232" s="556"/>
      <c r="AI232" s="556"/>
      <c r="AJ232" s="556"/>
      <c r="AK232" s="556"/>
      <c r="AL232" s="556"/>
      <c r="AM232" s="556"/>
      <c r="AN232" s="556"/>
      <c r="AO232" s="556"/>
      <c r="AP232" s="556"/>
      <c r="AQ232" s="556"/>
      <c r="AR232" s="556"/>
      <c r="AS232" s="565"/>
      <c r="AT232" s="556"/>
    </row>
    <row r="233" spans="1:46" hidden="1" x14ac:dyDescent="0.45">
      <c r="A233" s="556"/>
      <c r="B233" s="556"/>
      <c r="C233" s="556"/>
      <c r="D233" s="564"/>
      <c r="E233" s="556"/>
      <c r="F233" s="564"/>
      <c r="G233" s="564"/>
      <c r="H233" s="564"/>
      <c r="I233" s="564"/>
      <c r="J233" s="564"/>
      <c r="K233" s="564"/>
      <c r="L233" s="564"/>
      <c r="M233" s="564"/>
      <c r="N233" s="564"/>
      <c r="O233" s="564"/>
      <c r="P233" s="564"/>
      <c r="Q233" s="564"/>
      <c r="R233" s="564"/>
      <c r="S233" s="564"/>
      <c r="T233" s="564"/>
      <c r="U233" s="564"/>
      <c r="V233" s="564"/>
      <c r="W233" s="564"/>
      <c r="X233" s="564"/>
      <c r="Y233" s="564"/>
      <c r="Z233" s="564"/>
      <c r="AA233" s="564"/>
      <c r="AB233" s="556"/>
      <c r="AC233" s="556"/>
      <c r="AD233" s="556"/>
      <c r="AE233" s="556"/>
      <c r="AF233" s="556"/>
      <c r="AG233" s="556"/>
      <c r="AH233" s="556"/>
      <c r="AI233" s="556"/>
      <c r="AJ233" s="556"/>
      <c r="AK233" s="556"/>
      <c r="AL233" s="556"/>
      <c r="AM233" s="556"/>
      <c r="AN233" s="556"/>
      <c r="AO233" s="556"/>
      <c r="AP233" s="556"/>
      <c r="AQ233" s="556"/>
      <c r="AR233" s="556"/>
      <c r="AS233" s="565"/>
      <c r="AT233" s="556"/>
    </row>
    <row r="234" spans="1:46" hidden="1" x14ac:dyDescent="0.45">
      <c r="A234" s="556"/>
      <c r="B234" s="556"/>
      <c r="C234" s="556"/>
      <c r="D234" s="564"/>
      <c r="E234" s="556"/>
      <c r="F234" s="564"/>
      <c r="G234" s="564"/>
      <c r="H234" s="564"/>
      <c r="I234" s="564"/>
      <c r="J234" s="564"/>
      <c r="K234" s="564"/>
      <c r="L234" s="564"/>
      <c r="M234" s="564"/>
      <c r="N234" s="564"/>
      <c r="O234" s="564"/>
      <c r="P234" s="564"/>
      <c r="Q234" s="564"/>
      <c r="R234" s="564"/>
      <c r="S234" s="564"/>
      <c r="T234" s="564"/>
      <c r="U234" s="564"/>
      <c r="V234" s="564"/>
      <c r="W234" s="564"/>
      <c r="X234" s="564"/>
      <c r="Y234" s="564"/>
      <c r="Z234" s="564"/>
      <c r="AA234" s="564"/>
      <c r="AB234" s="556"/>
      <c r="AC234" s="556"/>
      <c r="AD234" s="556"/>
      <c r="AE234" s="556"/>
      <c r="AF234" s="556"/>
      <c r="AG234" s="556"/>
      <c r="AH234" s="556"/>
      <c r="AI234" s="556"/>
      <c r="AJ234" s="556"/>
      <c r="AK234" s="556"/>
      <c r="AL234" s="556"/>
      <c r="AM234" s="556"/>
      <c r="AN234" s="556"/>
      <c r="AO234" s="556"/>
      <c r="AP234" s="556"/>
      <c r="AQ234" s="556"/>
      <c r="AR234" s="556"/>
      <c r="AS234" s="565"/>
      <c r="AT234" s="556"/>
    </row>
    <row r="235" spans="1:46" hidden="1" x14ac:dyDescent="0.45">
      <c r="A235" s="556"/>
      <c r="B235" s="556"/>
      <c r="C235" s="556"/>
      <c r="D235" s="564"/>
      <c r="E235" s="556"/>
      <c r="F235" s="564"/>
      <c r="G235" s="564"/>
      <c r="H235" s="564"/>
      <c r="I235" s="564"/>
      <c r="J235" s="564"/>
      <c r="K235" s="564"/>
      <c r="L235" s="564"/>
      <c r="M235" s="564"/>
      <c r="N235" s="564"/>
      <c r="O235" s="564"/>
      <c r="P235" s="564"/>
      <c r="Q235" s="564"/>
      <c r="R235" s="564"/>
      <c r="S235" s="564"/>
      <c r="T235" s="564"/>
      <c r="U235" s="564"/>
      <c r="V235" s="564"/>
      <c r="W235" s="564"/>
      <c r="X235" s="564"/>
      <c r="Y235" s="564"/>
      <c r="Z235" s="564"/>
      <c r="AA235" s="564"/>
      <c r="AB235" s="556"/>
      <c r="AC235" s="556"/>
      <c r="AD235" s="556"/>
      <c r="AE235" s="556"/>
      <c r="AF235" s="556"/>
      <c r="AG235" s="556"/>
      <c r="AH235" s="556"/>
      <c r="AI235" s="556"/>
      <c r="AJ235" s="556"/>
      <c r="AK235" s="556"/>
      <c r="AL235" s="556"/>
      <c r="AM235" s="556"/>
      <c r="AN235" s="556"/>
      <c r="AO235" s="556"/>
      <c r="AP235" s="556"/>
      <c r="AQ235" s="556"/>
      <c r="AR235" s="556"/>
      <c r="AS235" s="565"/>
      <c r="AT235" s="556"/>
    </row>
    <row r="236" spans="1:46" hidden="1" x14ac:dyDescent="0.45">
      <c r="A236" s="556"/>
      <c r="B236" s="556"/>
      <c r="C236" s="556"/>
      <c r="D236" s="564"/>
      <c r="E236" s="556"/>
      <c r="F236" s="564"/>
      <c r="G236" s="564"/>
      <c r="H236" s="564"/>
      <c r="I236" s="564"/>
      <c r="J236" s="564"/>
      <c r="K236" s="564"/>
      <c r="L236" s="564"/>
      <c r="M236" s="564"/>
      <c r="N236" s="564"/>
      <c r="O236" s="564"/>
      <c r="P236" s="564"/>
      <c r="Q236" s="564"/>
      <c r="R236" s="564"/>
      <c r="S236" s="564"/>
      <c r="T236" s="564"/>
      <c r="U236" s="564"/>
      <c r="V236" s="564"/>
      <c r="W236" s="564"/>
      <c r="X236" s="564"/>
      <c r="Y236" s="564"/>
      <c r="Z236" s="564"/>
      <c r="AA236" s="564"/>
      <c r="AB236" s="556"/>
      <c r="AC236" s="556"/>
      <c r="AD236" s="556"/>
      <c r="AE236" s="556"/>
      <c r="AF236" s="556"/>
      <c r="AG236" s="556"/>
      <c r="AH236" s="556"/>
      <c r="AI236" s="556"/>
      <c r="AJ236" s="556"/>
      <c r="AK236" s="556"/>
      <c r="AL236" s="556"/>
      <c r="AM236" s="556"/>
      <c r="AN236" s="556"/>
      <c r="AO236" s="556"/>
      <c r="AP236" s="556"/>
      <c r="AQ236" s="556"/>
      <c r="AR236" s="556"/>
      <c r="AS236" s="565"/>
      <c r="AT236" s="556"/>
    </row>
    <row r="237" spans="1:46" hidden="1" x14ac:dyDescent="0.45">
      <c r="A237" s="556"/>
      <c r="B237" s="556"/>
      <c r="C237" s="556"/>
      <c r="D237" s="564"/>
      <c r="E237" s="556"/>
      <c r="F237" s="564"/>
      <c r="G237" s="564"/>
      <c r="H237" s="564"/>
      <c r="I237" s="564"/>
      <c r="J237" s="564"/>
      <c r="K237" s="564"/>
      <c r="L237" s="564"/>
      <c r="M237" s="564"/>
      <c r="N237" s="564"/>
      <c r="O237" s="564"/>
      <c r="P237" s="564"/>
      <c r="Q237" s="564"/>
      <c r="R237" s="564"/>
      <c r="S237" s="564"/>
      <c r="T237" s="564"/>
      <c r="U237" s="564"/>
      <c r="V237" s="564"/>
      <c r="W237" s="564"/>
      <c r="X237" s="564"/>
      <c r="Y237" s="564"/>
      <c r="Z237" s="564"/>
      <c r="AA237" s="564"/>
      <c r="AB237" s="556"/>
      <c r="AC237" s="556"/>
      <c r="AD237" s="556"/>
      <c r="AE237" s="556"/>
      <c r="AF237" s="556"/>
      <c r="AG237" s="556"/>
      <c r="AH237" s="556"/>
      <c r="AI237" s="556"/>
      <c r="AJ237" s="556"/>
      <c r="AK237" s="556"/>
      <c r="AL237" s="556"/>
      <c r="AM237" s="556"/>
      <c r="AN237" s="556"/>
      <c r="AO237" s="556"/>
      <c r="AP237" s="556"/>
      <c r="AQ237" s="556"/>
      <c r="AR237" s="556"/>
      <c r="AS237" s="565"/>
      <c r="AT237" s="556"/>
    </row>
    <row r="238" spans="1:46" hidden="1" x14ac:dyDescent="0.45">
      <c r="A238" s="556"/>
      <c r="B238" s="556"/>
      <c r="C238" s="556"/>
      <c r="D238" s="564"/>
      <c r="E238" s="556"/>
      <c r="F238" s="564"/>
      <c r="G238" s="564"/>
      <c r="H238" s="564"/>
      <c r="I238" s="564"/>
      <c r="J238" s="564"/>
      <c r="K238" s="564"/>
      <c r="L238" s="564"/>
      <c r="M238" s="564"/>
      <c r="N238" s="564"/>
      <c r="O238" s="564"/>
      <c r="P238" s="564"/>
      <c r="Q238" s="564"/>
      <c r="R238" s="564"/>
      <c r="S238" s="564"/>
      <c r="T238" s="564"/>
      <c r="U238" s="564"/>
      <c r="V238" s="564"/>
      <c r="W238" s="564"/>
      <c r="X238" s="564"/>
      <c r="Y238" s="564"/>
      <c r="Z238" s="564"/>
      <c r="AA238" s="564"/>
      <c r="AB238" s="556"/>
      <c r="AC238" s="556"/>
      <c r="AD238" s="556"/>
      <c r="AE238" s="556"/>
      <c r="AF238" s="556"/>
      <c r="AG238" s="556"/>
      <c r="AH238" s="556"/>
      <c r="AI238" s="556"/>
      <c r="AJ238" s="556"/>
      <c r="AK238" s="556"/>
      <c r="AL238" s="556"/>
      <c r="AM238" s="556"/>
      <c r="AN238" s="556"/>
      <c r="AO238" s="556"/>
      <c r="AP238" s="556"/>
      <c r="AQ238" s="556"/>
      <c r="AR238" s="556"/>
      <c r="AS238" s="565"/>
      <c r="AT238" s="556"/>
    </row>
    <row r="239" spans="1:46" hidden="1" x14ac:dyDescent="0.45">
      <c r="A239" s="556"/>
      <c r="B239" s="556"/>
      <c r="C239" s="556"/>
      <c r="D239" s="564"/>
      <c r="E239" s="556"/>
      <c r="F239" s="564"/>
      <c r="G239" s="564"/>
      <c r="H239" s="564"/>
      <c r="I239" s="564"/>
      <c r="J239" s="564"/>
      <c r="K239" s="564"/>
      <c r="L239" s="564"/>
      <c r="M239" s="564"/>
      <c r="N239" s="564"/>
      <c r="O239" s="564"/>
      <c r="P239" s="564"/>
      <c r="Q239" s="564"/>
      <c r="R239" s="564"/>
      <c r="S239" s="564"/>
      <c r="T239" s="564"/>
      <c r="U239" s="564"/>
      <c r="V239" s="564"/>
      <c r="W239" s="564"/>
      <c r="X239" s="564"/>
      <c r="Y239" s="564"/>
      <c r="Z239" s="564"/>
      <c r="AA239" s="564"/>
      <c r="AB239" s="556"/>
      <c r="AC239" s="556"/>
      <c r="AD239" s="556"/>
      <c r="AE239" s="556"/>
      <c r="AF239" s="556"/>
      <c r="AG239" s="556"/>
      <c r="AH239" s="556"/>
      <c r="AI239" s="556"/>
      <c r="AJ239" s="556"/>
      <c r="AK239" s="556"/>
      <c r="AL239" s="556"/>
      <c r="AM239" s="556"/>
      <c r="AN239" s="556"/>
      <c r="AO239" s="556"/>
      <c r="AP239" s="556"/>
      <c r="AQ239" s="556"/>
      <c r="AR239" s="556"/>
      <c r="AS239" s="565"/>
      <c r="AT239" s="556"/>
    </row>
    <row r="240" spans="1:46" hidden="1" x14ac:dyDescent="0.45">
      <c r="A240" s="556"/>
      <c r="B240" s="556"/>
      <c r="C240" s="556"/>
      <c r="D240" s="564"/>
      <c r="E240" s="556"/>
      <c r="F240" s="564"/>
      <c r="G240" s="564"/>
      <c r="H240" s="564"/>
      <c r="I240" s="564"/>
      <c r="J240" s="564"/>
      <c r="K240" s="564"/>
      <c r="L240" s="564"/>
      <c r="M240" s="564"/>
      <c r="N240" s="564"/>
      <c r="O240" s="564"/>
      <c r="P240" s="564"/>
      <c r="Q240" s="564"/>
      <c r="R240" s="564"/>
      <c r="S240" s="564"/>
      <c r="T240" s="564"/>
      <c r="U240" s="564"/>
      <c r="V240" s="564"/>
      <c r="W240" s="564"/>
      <c r="X240" s="564"/>
      <c r="Y240" s="564"/>
      <c r="Z240" s="564"/>
      <c r="AA240" s="564"/>
      <c r="AB240" s="556"/>
      <c r="AC240" s="556"/>
      <c r="AD240" s="556"/>
      <c r="AE240" s="556"/>
      <c r="AF240" s="556"/>
      <c r="AG240" s="556"/>
      <c r="AH240" s="556"/>
      <c r="AI240" s="556"/>
      <c r="AJ240" s="556"/>
      <c r="AK240" s="556"/>
      <c r="AL240" s="556"/>
      <c r="AM240" s="556"/>
      <c r="AN240" s="556"/>
      <c r="AO240" s="556"/>
      <c r="AP240" s="556"/>
      <c r="AQ240" s="556"/>
      <c r="AR240" s="556"/>
      <c r="AS240" s="565"/>
      <c r="AT240" s="556"/>
    </row>
    <row r="241" spans="1:46" hidden="1" x14ac:dyDescent="0.45">
      <c r="A241" s="556"/>
      <c r="B241" s="556"/>
      <c r="C241" s="556"/>
      <c r="D241" s="564"/>
      <c r="E241" s="556"/>
      <c r="F241" s="564"/>
      <c r="G241" s="564"/>
      <c r="H241" s="564"/>
      <c r="I241" s="564"/>
      <c r="J241" s="564"/>
      <c r="K241" s="564"/>
      <c r="L241" s="564"/>
      <c r="M241" s="564"/>
      <c r="N241" s="564"/>
      <c r="O241" s="564"/>
      <c r="P241" s="564"/>
      <c r="Q241" s="564"/>
      <c r="R241" s="564"/>
      <c r="S241" s="564"/>
      <c r="T241" s="564"/>
      <c r="U241" s="564"/>
      <c r="V241" s="564"/>
      <c r="W241" s="564"/>
      <c r="X241" s="564"/>
      <c r="Y241" s="564"/>
      <c r="Z241" s="564"/>
      <c r="AA241" s="564"/>
      <c r="AB241" s="556"/>
      <c r="AC241" s="556"/>
      <c r="AD241" s="556"/>
      <c r="AE241" s="556"/>
      <c r="AF241" s="556"/>
      <c r="AG241" s="556"/>
      <c r="AH241" s="556"/>
      <c r="AI241" s="556"/>
      <c r="AJ241" s="556"/>
      <c r="AK241" s="556"/>
      <c r="AL241" s="556"/>
      <c r="AM241" s="556"/>
      <c r="AN241" s="556"/>
      <c r="AO241" s="556"/>
      <c r="AP241" s="556"/>
      <c r="AQ241" s="556"/>
      <c r="AR241" s="556"/>
      <c r="AS241" s="565"/>
      <c r="AT241" s="556"/>
    </row>
    <row r="242" spans="1:46" hidden="1" x14ac:dyDescent="0.45">
      <c r="A242" s="556"/>
      <c r="B242" s="556"/>
      <c r="C242" s="556"/>
      <c r="D242" s="564"/>
      <c r="E242" s="556"/>
      <c r="F242" s="564"/>
      <c r="G242" s="564"/>
      <c r="H242" s="564"/>
      <c r="I242" s="564"/>
      <c r="J242" s="564"/>
      <c r="K242" s="564"/>
      <c r="L242" s="564"/>
      <c r="M242" s="564"/>
      <c r="N242" s="564"/>
      <c r="O242" s="564"/>
      <c r="P242" s="564"/>
      <c r="Q242" s="564"/>
      <c r="R242" s="564"/>
      <c r="S242" s="564"/>
      <c r="T242" s="564"/>
      <c r="U242" s="564"/>
      <c r="V242" s="564"/>
      <c r="W242" s="564"/>
      <c r="X242" s="564"/>
      <c r="Y242" s="564"/>
      <c r="Z242" s="564"/>
      <c r="AA242" s="564"/>
      <c r="AB242" s="556"/>
      <c r="AC242" s="556"/>
      <c r="AD242" s="556"/>
      <c r="AE242" s="556"/>
      <c r="AF242" s="556"/>
      <c r="AG242" s="556"/>
      <c r="AH242" s="556"/>
      <c r="AI242" s="556"/>
      <c r="AJ242" s="556"/>
      <c r="AK242" s="556"/>
      <c r="AL242" s="556"/>
      <c r="AM242" s="556"/>
      <c r="AN242" s="556"/>
      <c r="AO242" s="556"/>
      <c r="AP242" s="556"/>
      <c r="AQ242" s="556"/>
      <c r="AR242" s="556"/>
      <c r="AS242" s="565"/>
      <c r="AT242" s="556"/>
    </row>
    <row r="243" spans="1:46" hidden="1" x14ac:dyDescent="0.45">
      <c r="A243" s="556"/>
      <c r="B243" s="556"/>
      <c r="C243" s="556"/>
      <c r="D243" s="564"/>
      <c r="E243" s="556"/>
      <c r="F243" s="564"/>
      <c r="G243" s="564"/>
      <c r="H243" s="564"/>
      <c r="I243" s="564"/>
      <c r="J243" s="564"/>
      <c r="K243" s="564"/>
      <c r="L243" s="564"/>
      <c r="M243" s="564"/>
      <c r="N243" s="564"/>
      <c r="O243" s="564"/>
      <c r="P243" s="564"/>
      <c r="Q243" s="564"/>
      <c r="R243" s="564"/>
      <c r="S243" s="564"/>
      <c r="T243" s="564"/>
      <c r="U243" s="564"/>
      <c r="V243" s="564"/>
      <c r="W243" s="564"/>
      <c r="X243" s="564"/>
      <c r="Y243" s="564"/>
      <c r="Z243" s="564"/>
      <c r="AA243" s="564"/>
      <c r="AB243" s="556"/>
      <c r="AC243" s="556"/>
      <c r="AD243" s="556"/>
      <c r="AE243" s="556"/>
      <c r="AF243" s="556"/>
      <c r="AG243" s="556"/>
      <c r="AH243" s="556"/>
      <c r="AI243" s="556"/>
      <c r="AJ243" s="556"/>
      <c r="AK243" s="556"/>
      <c r="AL243" s="556"/>
      <c r="AM243" s="556"/>
      <c r="AN243" s="556"/>
      <c r="AO243" s="556"/>
      <c r="AP243" s="556"/>
      <c r="AQ243" s="556"/>
      <c r="AR243" s="556"/>
      <c r="AS243" s="565"/>
      <c r="AT243" s="556"/>
    </row>
    <row r="244" spans="1:46" hidden="1" x14ac:dyDescent="0.45">
      <c r="A244" s="556"/>
      <c r="B244" s="556"/>
      <c r="C244" s="556"/>
      <c r="D244" s="564"/>
      <c r="E244" s="556"/>
      <c r="F244" s="564"/>
      <c r="G244" s="564"/>
      <c r="H244" s="564"/>
      <c r="I244" s="564"/>
      <c r="J244" s="564"/>
      <c r="K244" s="564"/>
      <c r="L244" s="564"/>
      <c r="M244" s="564"/>
      <c r="N244" s="564"/>
      <c r="O244" s="564"/>
      <c r="P244" s="564"/>
      <c r="Q244" s="564"/>
      <c r="R244" s="564"/>
      <c r="S244" s="564"/>
      <c r="T244" s="564"/>
      <c r="U244" s="564"/>
      <c r="V244" s="564"/>
      <c r="W244" s="564"/>
      <c r="X244" s="564"/>
      <c r="Y244" s="564"/>
      <c r="Z244" s="564"/>
      <c r="AA244" s="564"/>
      <c r="AB244" s="556"/>
      <c r="AC244" s="556"/>
      <c r="AD244" s="556"/>
      <c r="AE244" s="556"/>
      <c r="AF244" s="556"/>
      <c r="AG244" s="556"/>
      <c r="AH244" s="556"/>
      <c r="AI244" s="556"/>
      <c r="AJ244" s="556"/>
      <c r="AK244" s="556"/>
      <c r="AL244" s="556"/>
      <c r="AM244" s="556"/>
      <c r="AN244" s="556"/>
      <c r="AO244" s="556"/>
      <c r="AP244" s="556"/>
      <c r="AQ244" s="556"/>
      <c r="AR244" s="556"/>
      <c r="AS244" s="565"/>
      <c r="AT244" s="556"/>
    </row>
    <row r="245" spans="1:46" hidden="1" x14ac:dyDescent="0.45">
      <c r="A245" s="556"/>
      <c r="B245" s="556"/>
      <c r="C245" s="556"/>
      <c r="D245" s="564"/>
      <c r="E245" s="556"/>
      <c r="F245" s="564"/>
      <c r="G245" s="564"/>
      <c r="H245" s="564"/>
      <c r="I245" s="564"/>
      <c r="J245" s="564"/>
      <c r="K245" s="564"/>
      <c r="L245" s="564"/>
      <c r="M245" s="564"/>
      <c r="N245" s="564"/>
      <c r="O245" s="564"/>
      <c r="P245" s="564"/>
      <c r="Q245" s="564"/>
      <c r="R245" s="564"/>
      <c r="S245" s="564"/>
      <c r="T245" s="564"/>
      <c r="U245" s="564"/>
      <c r="V245" s="564"/>
      <c r="W245" s="564"/>
      <c r="X245" s="564"/>
      <c r="Y245" s="564"/>
      <c r="Z245" s="564"/>
      <c r="AA245" s="564"/>
      <c r="AB245" s="556"/>
      <c r="AC245" s="556"/>
      <c r="AD245" s="556"/>
      <c r="AE245" s="556"/>
      <c r="AF245" s="556"/>
      <c r="AG245" s="556"/>
      <c r="AH245" s="556"/>
      <c r="AI245" s="556"/>
      <c r="AJ245" s="556"/>
      <c r="AK245" s="556"/>
      <c r="AL245" s="556"/>
      <c r="AM245" s="556"/>
      <c r="AN245" s="556"/>
      <c r="AO245" s="556"/>
      <c r="AP245" s="556"/>
      <c r="AQ245" s="556"/>
      <c r="AR245" s="556"/>
      <c r="AS245" s="565"/>
      <c r="AT245" s="556"/>
    </row>
    <row r="246" spans="1:46" hidden="1" x14ac:dyDescent="0.45">
      <c r="A246" s="556"/>
      <c r="B246" s="556"/>
      <c r="C246" s="556"/>
      <c r="D246" s="564"/>
      <c r="E246" s="556"/>
      <c r="F246" s="564"/>
      <c r="G246" s="564"/>
      <c r="H246" s="564"/>
      <c r="I246" s="564"/>
      <c r="J246" s="564"/>
      <c r="K246" s="564"/>
      <c r="L246" s="564"/>
      <c r="M246" s="564"/>
      <c r="N246" s="564"/>
      <c r="O246" s="564"/>
      <c r="P246" s="564"/>
      <c r="Q246" s="564"/>
      <c r="R246" s="564"/>
      <c r="S246" s="564"/>
      <c r="T246" s="564"/>
      <c r="U246" s="564"/>
      <c r="V246" s="564"/>
      <c r="W246" s="564"/>
      <c r="X246" s="564"/>
      <c r="Y246" s="564"/>
      <c r="Z246" s="564"/>
      <c r="AA246" s="564"/>
      <c r="AB246" s="556"/>
      <c r="AC246" s="556"/>
      <c r="AD246" s="556"/>
      <c r="AE246" s="556"/>
      <c r="AF246" s="556"/>
      <c r="AG246" s="556"/>
      <c r="AH246" s="556"/>
      <c r="AI246" s="556"/>
      <c r="AJ246" s="556"/>
      <c r="AK246" s="556"/>
      <c r="AL246" s="556"/>
      <c r="AM246" s="556"/>
      <c r="AN246" s="556"/>
      <c r="AO246" s="556"/>
      <c r="AP246" s="556"/>
      <c r="AQ246" s="556"/>
      <c r="AR246" s="556"/>
      <c r="AS246" s="565"/>
      <c r="AT246" s="556"/>
    </row>
    <row r="247" spans="1:46" hidden="1" x14ac:dyDescent="0.45">
      <c r="A247" s="556"/>
      <c r="B247" s="556"/>
      <c r="C247" s="556"/>
      <c r="D247" s="564"/>
      <c r="E247" s="556"/>
      <c r="F247" s="564"/>
      <c r="G247" s="564"/>
      <c r="H247" s="564"/>
      <c r="I247" s="564"/>
      <c r="J247" s="564"/>
      <c r="K247" s="564"/>
      <c r="L247" s="564"/>
      <c r="M247" s="564"/>
      <c r="N247" s="564"/>
      <c r="O247" s="564"/>
      <c r="P247" s="564"/>
      <c r="Q247" s="564"/>
      <c r="R247" s="564"/>
      <c r="S247" s="564"/>
      <c r="T247" s="564"/>
      <c r="U247" s="564"/>
      <c r="V247" s="564"/>
      <c r="W247" s="564"/>
      <c r="X247" s="564"/>
      <c r="Y247" s="564"/>
      <c r="Z247" s="564"/>
      <c r="AA247" s="564"/>
      <c r="AB247" s="556"/>
      <c r="AC247" s="556"/>
      <c r="AD247" s="556"/>
      <c r="AE247" s="556"/>
      <c r="AF247" s="556"/>
      <c r="AG247" s="556"/>
      <c r="AH247" s="556"/>
      <c r="AI247" s="556"/>
      <c r="AJ247" s="556"/>
      <c r="AK247" s="556"/>
      <c r="AL247" s="556"/>
      <c r="AM247" s="556"/>
      <c r="AN247" s="556"/>
      <c r="AO247" s="556"/>
      <c r="AP247" s="556"/>
      <c r="AQ247" s="556"/>
      <c r="AR247" s="556"/>
      <c r="AS247" s="565"/>
      <c r="AT247" s="556"/>
    </row>
    <row r="248" spans="1:46" hidden="1" x14ac:dyDescent="0.45">
      <c r="A248" s="556"/>
      <c r="B248" s="556"/>
      <c r="C248" s="556"/>
      <c r="D248" s="564"/>
      <c r="E248" s="556"/>
      <c r="F248" s="564"/>
      <c r="G248" s="564"/>
      <c r="H248" s="564"/>
      <c r="I248" s="564"/>
      <c r="J248" s="564"/>
      <c r="K248" s="564"/>
      <c r="L248" s="564"/>
      <c r="M248" s="564"/>
      <c r="N248" s="564"/>
      <c r="O248" s="564"/>
      <c r="P248" s="564"/>
      <c r="Q248" s="564"/>
      <c r="R248" s="564"/>
      <c r="S248" s="564"/>
      <c r="T248" s="564"/>
      <c r="U248" s="564"/>
      <c r="V248" s="564"/>
      <c r="W248" s="564"/>
      <c r="X248" s="564"/>
      <c r="Y248" s="564"/>
      <c r="Z248" s="564"/>
      <c r="AA248" s="564"/>
      <c r="AB248" s="556"/>
      <c r="AC248" s="556"/>
      <c r="AD248" s="556"/>
      <c r="AE248" s="556"/>
      <c r="AF248" s="556"/>
      <c r="AG248" s="556"/>
      <c r="AH248" s="556"/>
      <c r="AI248" s="556"/>
      <c r="AJ248" s="556"/>
      <c r="AK248" s="556"/>
      <c r="AL248" s="556"/>
      <c r="AM248" s="556"/>
      <c r="AN248" s="556"/>
      <c r="AO248" s="556"/>
      <c r="AP248" s="556"/>
      <c r="AQ248" s="556"/>
      <c r="AR248" s="556"/>
      <c r="AS248" s="565"/>
      <c r="AT248" s="556"/>
    </row>
    <row r="249" spans="1:46" hidden="1" x14ac:dyDescent="0.45">
      <c r="A249" s="556"/>
      <c r="B249" s="556"/>
      <c r="C249" s="556"/>
      <c r="D249" s="564"/>
      <c r="E249" s="556"/>
      <c r="F249" s="564"/>
      <c r="G249" s="564"/>
      <c r="H249" s="564"/>
      <c r="I249" s="564"/>
      <c r="J249" s="564"/>
      <c r="K249" s="564"/>
      <c r="L249" s="564"/>
      <c r="M249" s="564"/>
      <c r="N249" s="564"/>
      <c r="O249" s="564"/>
      <c r="P249" s="564"/>
      <c r="Q249" s="564"/>
      <c r="R249" s="564"/>
      <c r="S249" s="564"/>
      <c r="T249" s="564"/>
      <c r="U249" s="564"/>
      <c r="V249" s="564"/>
      <c r="W249" s="564"/>
      <c r="X249" s="564"/>
      <c r="Y249" s="564"/>
      <c r="Z249" s="564"/>
      <c r="AA249" s="564"/>
      <c r="AB249" s="556"/>
      <c r="AC249" s="556"/>
      <c r="AD249" s="556"/>
      <c r="AE249" s="556"/>
      <c r="AF249" s="556"/>
      <c r="AG249" s="556"/>
      <c r="AH249" s="556"/>
      <c r="AI249" s="556"/>
      <c r="AJ249" s="556"/>
      <c r="AK249" s="556"/>
      <c r="AL249" s="556"/>
      <c r="AM249" s="556"/>
      <c r="AN249" s="556"/>
      <c r="AO249" s="556"/>
      <c r="AP249" s="556"/>
      <c r="AQ249" s="556"/>
      <c r="AR249" s="556"/>
      <c r="AS249" s="565"/>
      <c r="AT249" s="556"/>
    </row>
    <row r="250" spans="1:46" hidden="1" x14ac:dyDescent="0.45">
      <c r="A250" s="556"/>
      <c r="B250" s="556"/>
      <c r="C250" s="556"/>
      <c r="D250" s="564"/>
      <c r="E250" s="556"/>
      <c r="F250" s="564"/>
      <c r="G250" s="564"/>
      <c r="H250" s="564"/>
      <c r="I250" s="564"/>
      <c r="J250" s="564"/>
      <c r="K250" s="564"/>
      <c r="L250" s="564"/>
      <c r="M250" s="564"/>
      <c r="N250" s="564"/>
      <c r="O250" s="564"/>
      <c r="P250" s="564"/>
      <c r="Q250" s="564"/>
      <c r="R250" s="564"/>
      <c r="S250" s="564"/>
      <c r="T250" s="564"/>
      <c r="U250" s="564"/>
      <c r="V250" s="564"/>
      <c r="W250" s="564"/>
      <c r="X250" s="564"/>
      <c r="Y250" s="564"/>
      <c r="Z250" s="564"/>
      <c r="AA250" s="564"/>
      <c r="AB250" s="556"/>
      <c r="AC250" s="556"/>
      <c r="AD250" s="556"/>
      <c r="AE250" s="556"/>
      <c r="AF250" s="556"/>
      <c r="AG250" s="556"/>
      <c r="AH250" s="556"/>
      <c r="AI250" s="556"/>
      <c r="AJ250" s="556"/>
      <c r="AK250" s="556"/>
      <c r="AL250" s="556"/>
      <c r="AM250" s="556"/>
      <c r="AN250" s="556"/>
      <c r="AO250" s="556"/>
      <c r="AP250" s="556"/>
      <c r="AQ250" s="556"/>
      <c r="AR250" s="556"/>
      <c r="AS250" s="565"/>
      <c r="AT250" s="556"/>
    </row>
    <row r="251" spans="1:46" hidden="1" x14ac:dyDescent="0.45">
      <c r="A251" s="556"/>
      <c r="B251" s="556"/>
      <c r="C251" s="556"/>
      <c r="D251" s="564"/>
      <c r="E251" s="556"/>
      <c r="F251" s="564"/>
      <c r="G251" s="564"/>
      <c r="H251" s="564"/>
      <c r="I251" s="564"/>
      <c r="J251" s="564"/>
      <c r="K251" s="564"/>
      <c r="L251" s="564"/>
      <c r="M251" s="564"/>
      <c r="N251" s="564"/>
      <c r="O251" s="564"/>
      <c r="P251" s="564"/>
      <c r="Q251" s="564"/>
      <c r="R251" s="564"/>
      <c r="S251" s="564"/>
      <c r="T251" s="564"/>
      <c r="U251" s="564"/>
      <c r="V251" s="564"/>
      <c r="W251" s="564"/>
      <c r="X251" s="564"/>
      <c r="Y251" s="564"/>
      <c r="Z251" s="564"/>
      <c r="AA251" s="564"/>
      <c r="AB251" s="556"/>
      <c r="AC251" s="556"/>
      <c r="AD251" s="556"/>
      <c r="AE251" s="556"/>
      <c r="AF251" s="556"/>
      <c r="AG251" s="556"/>
      <c r="AH251" s="556"/>
      <c r="AI251" s="556"/>
      <c r="AJ251" s="556"/>
      <c r="AK251" s="556"/>
      <c r="AL251" s="556"/>
      <c r="AM251" s="556"/>
      <c r="AN251" s="556"/>
      <c r="AO251" s="556"/>
      <c r="AP251" s="556"/>
      <c r="AQ251" s="556"/>
      <c r="AR251" s="556"/>
      <c r="AS251" s="565"/>
      <c r="AT251" s="556"/>
    </row>
    <row r="252" spans="1:46" hidden="1" x14ac:dyDescent="0.45">
      <c r="A252" s="556"/>
      <c r="B252" s="556"/>
      <c r="C252" s="556"/>
      <c r="D252" s="564"/>
      <c r="E252" s="556"/>
      <c r="F252" s="564"/>
      <c r="G252" s="564"/>
      <c r="H252" s="564"/>
      <c r="I252" s="564"/>
      <c r="J252" s="564"/>
      <c r="K252" s="564"/>
      <c r="L252" s="564"/>
      <c r="M252" s="564"/>
      <c r="N252" s="564"/>
      <c r="O252" s="564"/>
      <c r="P252" s="564"/>
      <c r="Q252" s="564"/>
      <c r="R252" s="564"/>
      <c r="S252" s="564"/>
      <c r="T252" s="564"/>
      <c r="U252" s="564"/>
      <c r="V252" s="564"/>
      <c r="W252" s="564"/>
      <c r="X252" s="564"/>
      <c r="Y252" s="564"/>
      <c r="Z252" s="564"/>
      <c r="AA252" s="564"/>
      <c r="AB252" s="556"/>
      <c r="AC252" s="556"/>
      <c r="AD252" s="556"/>
      <c r="AE252" s="556"/>
      <c r="AF252" s="556"/>
      <c r="AG252" s="556"/>
      <c r="AH252" s="556"/>
      <c r="AI252" s="556"/>
      <c r="AJ252" s="556"/>
      <c r="AK252" s="556"/>
      <c r="AL252" s="556"/>
      <c r="AM252" s="556"/>
      <c r="AN252" s="556"/>
      <c r="AO252" s="556"/>
      <c r="AP252" s="556"/>
      <c r="AQ252" s="556"/>
      <c r="AR252" s="556"/>
      <c r="AS252" s="565"/>
      <c r="AT252" s="556"/>
    </row>
    <row r="253" spans="1:46" hidden="1" x14ac:dyDescent="0.45">
      <c r="A253" s="556"/>
      <c r="B253" s="556"/>
      <c r="C253" s="556"/>
      <c r="D253" s="564"/>
      <c r="E253" s="556"/>
      <c r="F253" s="564"/>
      <c r="G253" s="564"/>
      <c r="H253" s="564"/>
      <c r="I253" s="564"/>
      <c r="J253" s="564"/>
      <c r="K253" s="564"/>
      <c r="L253" s="564"/>
      <c r="M253" s="564"/>
      <c r="N253" s="564"/>
      <c r="O253" s="564"/>
      <c r="P253" s="564"/>
      <c r="Q253" s="564"/>
      <c r="R253" s="564"/>
      <c r="S253" s="564"/>
      <c r="T253" s="564"/>
      <c r="U253" s="564"/>
      <c r="V253" s="564"/>
      <c r="W253" s="564"/>
      <c r="X253" s="564"/>
      <c r="Y253" s="564"/>
      <c r="Z253" s="564"/>
      <c r="AA253" s="564"/>
      <c r="AB253" s="556"/>
      <c r="AC253" s="556"/>
      <c r="AD253" s="556"/>
      <c r="AE253" s="556"/>
      <c r="AF253" s="556"/>
      <c r="AG253" s="556"/>
      <c r="AH253" s="556"/>
      <c r="AI253" s="556"/>
      <c r="AJ253" s="556"/>
      <c r="AK253" s="556"/>
      <c r="AL253" s="556"/>
      <c r="AM253" s="556"/>
      <c r="AN253" s="556"/>
      <c r="AO253" s="556"/>
      <c r="AP253" s="556"/>
      <c r="AQ253" s="556"/>
      <c r="AR253" s="556"/>
      <c r="AS253" s="565"/>
      <c r="AT253" s="556"/>
    </row>
    <row r="254" spans="1:46" hidden="1" x14ac:dyDescent="0.45">
      <c r="A254" s="556"/>
      <c r="B254" s="556"/>
      <c r="C254" s="556"/>
      <c r="D254" s="564"/>
      <c r="E254" s="556"/>
      <c r="F254" s="564"/>
      <c r="G254" s="564"/>
      <c r="H254" s="564"/>
      <c r="I254" s="564"/>
      <c r="J254" s="564"/>
      <c r="K254" s="564"/>
      <c r="L254" s="564"/>
      <c r="M254" s="564"/>
      <c r="N254" s="564"/>
      <c r="O254" s="564"/>
      <c r="P254" s="564"/>
      <c r="Q254" s="564"/>
      <c r="R254" s="564"/>
      <c r="S254" s="564"/>
      <c r="T254" s="564"/>
      <c r="U254" s="564"/>
      <c r="V254" s="564"/>
      <c r="W254" s="564"/>
      <c r="X254" s="564"/>
      <c r="Y254" s="564"/>
      <c r="Z254" s="564"/>
      <c r="AA254" s="564"/>
      <c r="AB254" s="556"/>
      <c r="AC254" s="556"/>
      <c r="AD254" s="556"/>
      <c r="AE254" s="556"/>
      <c r="AF254" s="556"/>
      <c r="AG254" s="556"/>
      <c r="AH254" s="556"/>
      <c r="AI254" s="556"/>
      <c r="AJ254" s="556"/>
      <c r="AK254" s="556"/>
      <c r="AL254" s="556"/>
      <c r="AM254" s="556"/>
      <c r="AN254" s="556"/>
      <c r="AO254" s="556"/>
      <c r="AP254" s="556"/>
      <c r="AQ254" s="556"/>
      <c r="AR254" s="556"/>
      <c r="AS254" s="565"/>
      <c r="AT254" s="556"/>
    </row>
    <row r="255" spans="1:46" hidden="1" x14ac:dyDescent="0.45">
      <c r="A255" s="556"/>
      <c r="B255" s="556"/>
      <c r="C255" s="556"/>
      <c r="D255" s="564"/>
      <c r="E255" s="556"/>
      <c r="F255" s="564"/>
      <c r="G255" s="564"/>
      <c r="H255" s="564"/>
      <c r="I255" s="564"/>
      <c r="J255" s="564"/>
      <c r="K255" s="564"/>
      <c r="L255" s="564"/>
      <c r="M255" s="564"/>
      <c r="N255" s="564"/>
      <c r="O255" s="564"/>
      <c r="P255" s="564"/>
      <c r="Q255" s="564"/>
      <c r="R255" s="564"/>
      <c r="S255" s="564"/>
      <c r="T255" s="564"/>
      <c r="U255" s="564"/>
      <c r="V255" s="564"/>
      <c r="W255" s="564"/>
      <c r="X255" s="564"/>
      <c r="Y255" s="564"/>
      <c r="Z255" s="564"/>
      <c r="AA255" s="564"/>
      <c r="AB255" s="556"/>
      <c r="AC255" s="556"/>
      <c r="AD255" s="556"/>
      <c r="AE255" s="556"/>
      <c r="AF255" s="556"/>
      <c r="AG255" s="556"/>
      <c r="AH255" s="556"/>
      <c r="AI255" s="556"/>
      <c r="AJ255" s="556"/>
      <c r="AK255" s="556"/>
      <c r="AL255" s="556"/>
      <c r="AM255" s="556"/>
      <c r="AN255" s="556"/>
      <c r="AO255" s="556"/>
      <c r="AP255" s="556"/>
      <c r="AQ255" s="556"/>
      <c r="AR255" s="556"/>
      <c r="AS255" s="565"/>
      <c r="AT255" s="556"/>
    </row>
    <row r="256" spans="1:46" hidden="1" x14ac:dyDescent="0.45">
      <c r="A256" s="556"/>
      <c r="B256" s="556"/>
      <c r="C256" s="556"/>
      <c r="D256" s="564"/>
      <c r="E256" s="556"/>
      <c r="F256" s="564"/>
      <c r="G256" s="564"/>
      <c r="H256" s="564"/>
      <c r="I256" s="564"/>
      <c r="J256" s="564"/>
      <c r="K256" s="564"/>
      <c r="L256" s="564"/>
      <c r="M256" s="564"/>
      <c r="N256" s="564"/>
      <c r="O256" s="564"/>
      <c r="P256" s="564"/>
      <c r="Q256" s="564"/>
      <c r="R256" s="564"/>
      <c r="S256" s="564"/>
      <c r="T256" s="564"/>
      <c r="U256" s="564"/>
      <c r="V256" s="564"/>
      <c r="W256" s="564"/>
      <c r="X256" s="564"/>
      <c r="Y256" s="564"/>
      <c r="Z256" s="564"/>
      <c r="AA256" s="564"/>
      <c r="AB256" s="556"/>
      <c r="AC256" s="556"/>
      <c r="AD256" s="556"/>
      <c r="AE256" s="556"/>
      <c r="AF256" s="556"/>
      <c r="AG256" s="556"/>
      <c r="AH256" s="556"/>
      <c r="AI256" s="556"/>
      <c r="AJ256" s="556"/>
      <c r="AK256" s="556"/>
      <c r="AL256" s="556"/>
      <c r="AM256" s="556"/>
      <c r="AN256" s="556"/>
      <c r="AO256" s="556"/>
      <c r="AP256" s="556"/>
      <c r="AQ256" s="556"/>
      <c r="AR256" s="556"/>
      <c r="AS256" s="565"/>
      <c r="AT256" s="556"/>
    </row>
    <row r="257" spans="1:46" hidden="1" x14ac:dyDescent="0.45">
      <c r="A257" s="556"/>
      <c r="B257" s="556"/>
      <c r="C257" s="556"/>
      <c r="D257" s="564"/>
      <c r="E257" s="556"/>
      <c r="F257" s="564"/>
      <c r="G257" s="564"/>
      <c r="H257" s="564"/>
      <c r="I257" s="564"/>
      <c r="J257" s="564"/>
      <c r="K257" s="564"/>
      <c r="L257" s="564"/>
      <c r="M257" s="564"/>
      <c r="N257" s="564"/>
      <c r="O257" s="564"/>
      <c r="P257" s="564"/>
      <c r="Q257" s="564"/>
      <c r="R257" s="564"/>
      <c r="S257" s="564"/>
      <c r="T257" s="564"/>
      <c r="U257" s="564"/>
      <c r="V257" s="564"/>
      <c r="W257" s="564"/>
      <c r="X257" s="564"/>
      <c r="Y257" s="564"/>
      <c r="Z257" s="564"/>
      <c r="AA257" s="564"/>
      <c r="AB257" s="556"/>
      <c r="AC257" s="556"/>
      <c r="AD257" s="556"/>
      <c r="AE257" s="556"/>
      <c r="AF257" s="556"/>
      <c r="AG257" s="556"/>
      <c r="AH257" s="556"/>
      <c r="AI257" s="556"/>
      <c r="AJ257" s="556"/>
      <c r="AK257" s="556"/>
      <c r="AL257" s="556"/>
      <c r="AM257" s="556"/>
      <c r="AN257" s="556"/>
      <c r="AO257" s="556"/>
      <c r="AP257" s="556"/>
      <c r="AQ257" s="556"/>
      <c r="AR257" s="556"/>
      <c r="AS257" s="565"/>
      <c r="AT257" s="556"/>
    </row>
    <row r="258" spans="1:46" hidden="1" x14ac:dyDescent="0.45">
      <c r="A258" s="556"/>
      <c r="B258" s="556"/>
      <c r="C258" s="556"/>
      <c r="D258" s="564"/>
      <c r="E258" s="556"/>
      <c r="F258" s="564"/>
      <c r="G258" s="564"/>
      <c r="H258" s="564"/>
      <c r="I258" s="564"/>
      <c r="J258" s="564"/>
      <c r="K258" s="564"/>
      <c r="L258" s="564"/>
      <c r="M258" s="564"/>
      <c r="N258" s="564"/>
      <c r="O258" s="564"/>
      <c r="P258" s="564"/>
      <c r="Q258" s="564"/>
      <c r="R258" s="564"/>
      <c r="S258" s="564"/>
      <c r="T258" s="564"/>
      <c r="U258" s="564"/>
      <c r="V258" s="564"/>
      <c r="W258" s="564"/>
      <c r="X258" s="564"/>
      <c r="Y258" s="564"/>
      <c r="Z258" s="564"/>
      <c r="AA258" s="564"/>
      <c r="AB258" s="556"/>
      <c r="AC258" s="556"/>
      <c r="AD258" s="556"/>
      <c r="AE258" s="556"/>
      <c r="AF258" s="556"/>
      <c r="AG258" s="556"/>
      <c r="AH258" s="556"/>
      <c r="AI258" s="556"/>
      <c r="AJ258" s="556"/>
      <c r="AK258" s="556"/>
      <c r="AL258" s="556"/>
      <c r="AM258" s="556"/>
      <c r="AN258" s="556"/>
      <c r="AO258" s="556"/>
      <c r="AP258" s="556"/>
      <c r="AQ258" s="556"/>
      <c r="AR258" s="556"/>
      <c r="AS258" s="565"/>
      <c r="AT258" s="556"/>
    </row>
    <row r="259" spans="1:46" hidden="1" x14ac:dyDescent="0.45">
      <c r="A259" s="556"/>
      <c r="B259" s="556"/>
      <c r="C259" s="556"/>
      <c r="D259" s="564"/>
      <c r="E259" s="556"/>
      <c r="F259" s="564"/>
      <c r="G259" s="564"/>
      <c r="H259" s="564"/>
      <c r="I259" s="564"/>
      <c r="J259" s="564"/>
      <c r="K259" s="564"/>
      <c r="L259" s="564"/>
      <c r="M259" s="564"/>
      <c r="N259" s="564"/>
      <c r="O259" s="564"/>
      <c r="P259" s="564"/>
      <c r="Q259" s="564"/>
      <c r="R259" s="564"/>
      <c r="S259" s="564"/>
      <c r="T259" s="564"/>
      <c r="U259" s="564"/>
      <c r="V259" s="564"/>
      <c r="W259" s="564"/>
      <c r="X259" s="564"/>
      <c r="Y259" s="564"/>
      <c r="Z259" s="564"/>
      <c r="AA259" s="564"/>
      <c r="AB259" s="556"/>
      <c r="AC259" s="556"/>
      <c r="AD259" s="556"/>
      <c r="AE259" s="556"/>
      <c r="AF259" s="556"/>
      <c r="AG259" s="556"/>
      <c r="AH259" s="556"/>
      <c r="AI259" s="556"/>
      <c r="AJ259" s="556"/>
      <c r="AK259" s="556"/>
      <c r="AL259" s="556"/>
      <c r="AM259" s="556"/>
      <c r="AN259" s="556"/>
      <c r="AO259" s="556"/>
      <c r="AP259" s="556"/>
      <c r="AQ259" s="556"/>
      <c r="AR259" s="556"/>
      <c r="AS259" s="565"/>
      <c r="AT259" s="556"/>
    </row>
    <row r="260" spans="1:46" hidden="1" x14ac:dyDescent="0.45">
      <c r="A260" s="556"/>
      <c r="B260" s="556"/>
      <c r="C260" s="556"/>
      <c r="D260" s="564"/>
      <c r="E260" s="556"/>
      <c r="F260" s="564"/>
      <c r="G260" s="564"/>
      <c r="H260" s="564"/>
      <c r="I260" s="564"/>
      <c r="J260" s="564"/>
      <c r="K260" s="564"/>
      <c r="L260" s="564"/>
      <c r="M260" s="564"/>
      <c r="N260" s="564"/>
      <c r="O260" s="564"/>
      <c r="P260" s="564"/>
      <c r="Q260" s="564"/>
      <c r="R260" s="564"/>
      <c r="S260" s="564"/>
      <c r="T260" s="564"/>
      <c r="U260" s="564"/>
      <c r="V260" s="564"/>
      <c r="W260" s="564"/>
      <c r="X260" s="564"/>
      <c r="Y260" s="564"/>
      <c r="Z260" s="564"/>
      <c r="AA260" s="564"/>
      <c r="AB260" s="556"/>
      <c r="AC260" s="556"/>
      <c r="AD260" s="556"/>
      <c r="AE260" s="556"/>
      <c r="AF260" s="556"/>
      <c r="AG260" s="556"/>
      <c r="AH260" s="556"/>
      <c r="AI260" s="556"/>
      <c r="AJ260" s="556"/>
      <c r="AK260" s="556"/>
      <c r="AL260" s="556"/>
      <c r="AM260" s="556"/>
      <c r="AN260" s="556"/>
      <c r="AO260" s="556"/>
      <c r="AP260" s="556"/>
      <c r="AQ260" s="556"/>
      <c r="AR260" s="556"/>
      <c r="AS260" s="565"/>
      <c r="AT260" s="556"/>
    </row>
    <row r="261" spans="1:46" hidden="1" x14ac:dyDescent="0.45">
      <c r="A261" s="556"/>
      <c r="B261" s="556"/>
      <c r="C261" s="556"/>
      <c r="D261" s="564"/>
      <c r="E261" s="556"/>
      <c r="F261" s="564"/>
      <c r="G261" s="564"/>
      <c r="H261" s="564"/>
      <c r="I261" s="564"/>
      <c r="J261" s="564"/>
      <c r="K261" s="564"/>
      <c r="L261" s="564"/>
      <c r="M261" s="564"/>
      <c r="N261" s="564"/>
      <c r="O261" s="564"/>
      <c r="P261" s="564"/>
      <c r="Q261" s="564"/>
      <c r="R261" s="564"/>
      <c r="S261" s="564"/>
      <c r="T261" s="564"/>
      <c r="U261" s="564"/>
      <c r="V261" s="564"/>
      <c r="W261" s="564"/>
      <c r="X261" s="564"/>
      <c r="Y261" s="564"/>
      <c r="Z261" s="564"/>
      <c r="AA261" s="564"/>
      <c r="AB261" s="556"/>
      <c r="AC261" s="556"/>
      <c r="AD261" s="556"/>
      <c r="AE261" s="556"/>
      <c r="AF261" s="556"/>
      <c r="AG261" s="556"/>
      <c r="AH261" s="556"/>
      <c r="AI261" s="556"/>
      <c r="AJ261" s="556"/>
      <c r="AK261" s="556"/>
      <c r="AL261" s="556"/>
      <c r="AM261" s="556"/>
      <c r="AN261" s="556"/>
      <c r="AO261" s="556"/>
      <c r="AP261" s="556"/>
      <c r="AQ261" s="556"/>
      <c r="AR261" s="556"/>
      <c r="AS261" s="565"/>
      <c r="AT261" s="556"/>
    </row>
    <row r="262" spans="1:46" hidden="1" x14ac:dyDescent="0.45">
      <c r="A262" s="556"/>
      <c r="B262" s="556"/>
      <c r="C262" s="556"/>
      <c r="D262" s="564"/>
      <c r="E262" s="556"/>
      <c r="F262" s="564"/>
      <c r="G262" s="564"/>
      <c r="H262" s="564"/>
      <c r="I262" s="564"/>
      <c r="J262" s="564"/>
      <c r="K262" s="564"/>
      <c r="L262" s="564"/>
      <c r="M262" s="564"/>
      <c r="N262" s="564"/>
      <c r="O262" s="564"/>
      <c r="P262" s="564"/>
      <c r="Q262" s="564"/>
      <c r="R262" s="564"/>
      <c r="S262" s="564"/>
      <c r="T262" s="564"/>
      <c r="U262" s="564"/>
      <c r="V262" s="564"/>
      <c r="W262" s="564"/>
      <c r="X262" s="564"/>
      <c r="Y262" s="564"/>
      <c r="Z262" s="564"/>
      <c r="AA262" s="564"/>
      <c r="AB262" s="556"/>
      <c r="AC262" s="556"/>
      <c r="AD262" s="556"/>
      <c r="AE262" s="556"/>
      <c r="AF262" s="556"/>
      <c r="AG262" s="556"/>
      <c r="AH262" s="556"/>
      <c r="AI262" s="556"/>
      <c r="AJ262" s="556"/>
      <c r="AK262" s="556"/>
      <c r="AL262" s="556"/>
      <c r="AM262" s="556"/>
      <c r="AN262" s="556"/>
      <c r="AO262" s="556"/>
      <c r="AP262" s="556"/>
      <c r="AQ262" s="556"/>
      <c r="AR262" s="556"/>
      <c r="AS262" s="565"/>
      <c r="AT262" s="556"/>
    </row>
    <row r="263" spans="1:46" hidden="1" x14ac:dyDescent="0.45">
      <c r="A263" s="556"/>
      <c r="B263" s="556"/>
      <c r="C263" s="556"/>
      <c r="D263" s="564"/>
      <c r="E263" s="556"/>
      <c r="F263" s="564"/>
      <c r="G263" s="564"/>
      <c r="H263" s="564"/>
      <c r="I263" s="564"/>
      <c r="J263" s="564"/>
      <c r="K263" s="564"/>
      <c r="L263" s="564"/>
      <c r="M263" s="564"/>
      <c r="N263" s="564"/>
      <c r="O263" s="564"/>
      <c r="P263" s="564"/>
      <c r="Q263" s="564"/>
      <c r="R263" s="564"/>
      <c r="S263" s="564"/>
      <c r="T263" s="564"/>
      <c r="U263" s="564"/>
      <c r="V263" s="564"/>
      <c r="W263" s="564"/>
      <c r="X263" s="564"/>
      <c r="Y263" s="564"/>
      <c r="Z263" s="564"/>
      <c r="AA263" s="564"/>
      <c r="AB263" s="556"/>
      <c r="AC263" s="556"/>
      <c r="AD263" s="556"/>
      <c r="AE263" s="556"/>
      <c r="AF263" s="556"/>
      <c r="AG263" s="556"/>
      <c r="AH263" s="556"/>
      <c r="AI263" s="556"/>
      <c r="AJ263" s="556"/>
      <c r="AK263" s="556"/>
      <c r="AL263" s="556"/>
      <c r="AM263" s="556"/>
      <c r="AN263" s="556"/>
      <c r="AO263" s="556"/>
      <c r="AP263" s="556"/>
      <c r="AQ263" s="556"/>
      <c r="AR263" s="556"/>
      <c r="AS263" s="565"/>
      <c r="AT263" s="556"/>
    </row>
    <row r="264" spans="1:46" hidden="1" x14ac:dyDescent="0.45">
      <c r="A264" s="556"/>
      <c r="B264" s="556"/>
      <c r="C264" s="556"/>
      <c r="D264" s="564"/>
      <c r="E264" s="556"/>
      <c r="F264" s="564"/>
      <c r="G264" s="564"/>
      <c r="H264" s="564"/>
      <c r="I264" s="564"/>
      <c r="J264" s="564"/>
      <c r="K264" s="564"/>
      <c r="L264" s="564"/>
      <c r="M264" s="564"/>
      <c r="N264" s="564"/>
      <c r="O264" s="564"/>
      <c r="P264" s="564"/>
      <c r="Q264" s="564"/>
      <c r="R264" s="564"/>
      <c r="S264" s="564"/>
      <c r="T264" s="564"/>
      <c r="U264" s="564"/>
      <c r="V264" s="564"/>
      <c r="W264" s="564"/>
      <c r="X264" s="564"/>
      <c r="Y264" s="564"/>
      <c r="Z264" s="564"/>
      <c r="AA264" s="564"/>
      <c r="AB264" s="556"/>
      <c r="AC264" s="556"/>
      <c r="AD264" s="556"/>
      <c r="AE264" s="556"/>
      <c r="AF264" s="556"/>
      <c r="AG264" s="556"/>
      <c r="AH264" s="556"/>
      <c r="AI264" s="556"/>
      <c r="AJ264" s="556"/>
      <c r="AK264" s="556"/>
      <c r="AL264" s="556"/>
      <c r="AM264" s="556"/>
      <c r="AN264" s="556"/>
      <c r="AO264" s="556"/>
      <c r="AP264" s="556"/>
      <c r="AQ264" s="556"/>
      <c r="AR264" s="556"/>
      <c r="AS264" s="565"/>
      <c r="AT264" s="556"/>
    </row>
    <row r="265" spans="1:46" hidden="1" x14ac:dyDescent="0.45">
      <c r="A265" s="556"/>
      <c r="B265" s="556"/>
      <c r="C265" s="556"/>
      <c r="D265" s="564"/>
      <c r="E265" s="556"/>
      <c r="F265" s="564"/>
      <c r="G265" s="564"/>
      <c r="H265" s="564"/>
      <c r="I265" s="564"/>
      <c r="J265" s="564"/>
      <c r="K265" s="564"/>
      <c r="L265" s="564"/>
      <c r="M265" s="564"/>
      <c r="N265" s="564"/>
      <c r="O265" s="564"/>
      <c r="P265" s="564"/>
      <c r="Q265" s="564"/>
      <c r="R265" s="564"/>
      <c r="S265" s="564"/>
      <c r="T265" s="564"/>
      <c r="U265" s="564"/>
      <c r="V265" s="564"/>
      <c r="W265" s="564"/>
      <c r="X265" s="564"/>
      <c r="Y265" s="564"/>
      <c r="Z265" s="564"/>
      <c r="AA265" s="564"/>
      <c r="AB265" s="556"/>
      <c r="AC265" s="556"/>
      <c r="AD265" s="556"/>
      <c r="AE265" s="556"/>
      <c r="AF265" s="556"/>
      <c r="AG265" s="556"/>
      <c r="AH265" s="556"/>
      <c r="AI265" s="556"/>
      <c r="AJ265" s="556"/>
      <c r="AK265" s="556"/>
      <c r="AL265" s="556"/>
      <c r="AM265" s="556"/>
      <c r="AN265" s="556"/>
      <c r="AO265" s="556"/>
      <c r="AP265" s="556"/>
      <c r="AQ265" s="556"/>
      <c r="AR265" s="556"/>
      <c r="AS265" s="565"/>
      <c r="AT265" s="556"/>
    </row>
    <row r="266" spans="1:46" hidden="1" x14ac:dyDescent="0.45">
      <c r="A266" s="556"/>
      <c r="B266" s="556"/>
      <c r="C266" s="556"/>
      <c r="D266" s="564"/>
      <c r="E266" s="556"/>
      <c r="F266" s="564"/>
      <c r="G266" s="564"/>
      <c r="H266" s="564"/>
      <c r="I266" s="564"/>
      <c r="J266" s="564"/>
      <c r="K266" s="564"/>
      <c r="L266" s="564"/>
      <c r="M266" s="564"/>
      <c r="N266" s="564"/>
      <c r="O266" s="564"/>
      <c r="P266" s="564"/>
      <c r="Q266" s="564"/>
      <c r="R266" s="564"/>
      <c r="S266" s="564"/>
      <c r="T266" s="564"/>
      <c r="U266" s="564"/>
      <c r="V266" s="564"/>
      <c r="W266" s="564"/>
      <c r="X266" s="564"/>
      <c r="Y266" s="564"/>
      <c r="Z266" s="564"/>
      <c r="AA266" s="564"/>
      <c r="AB266" s="556"/>
      <c r="AC266" s="556"/>
      <c r="AD266" s="556"/>
      <c r="AE266" s="556"/>
      <c r="AF266" s="556"/>
      <c r="AG266" s="556"/>
      <c r="AH266" s="556"/>
      <c r="AI266" s="556"/>
      <c r="AJ266" s="556"/>
      <c r="AK266" s="556"/>
      <c r="AL266" s="556"/>
      <c r="AM266" s="556"/>
      <c r="AN266" s="556"/>
      <c r="AO266" s="556"/>
      <c r="AP266" s="556"/>
      <c r="AQ266" s="556"/>
      <c r="AR266" s="556"/>
      <c r="AS266" s="565"/>
      <c r="AT266" s="556"/>
    </row>
    <row r="267" spans="1:46" hidden="1" x14ac:dyDescent="0.45">
      <c r="A267" s="556"/>
      <c r="B267" s="556"/>
      <c r="C267" s="556"/>
      <c r="D267" s="564"/>
      <c r="E267" s="556"/>
      <c r="F267" s="564"/>
      <c r="G267" s="564"/>
      <c r="H267" s="564"/>
      <c r="I267" s="564"/>
      <c r="J267" s="564"/>
      <c r="K267" s="564"/>
      <c r="L267" s="564"/>
      <c r="M267" s="564"/>
      <c r="N267" s="564"/>
      <c r="O267" s="564"/>
      <c r="P267" s="564"/>
      <c r="Q267" s="564"/>
      <c r="R267" s="564"/>
      <c r="S267" s="564"/>
      <c r="T267" s="564"/>
      <c r="U267" s="564"/>
      <c r="V267" s="564"/>
      <c r="W267" s="564"/>
      <c r="X267" s="564"/>
      <c r="Y267" s="564"/>
      <c r="Z267" s="564"/>
      <c r="AA267" s="564"/>
      <c r="AB267" s="556"/>
      <c r="AC267" s="556"/>
      <c r="AD267" s="556"/>
      <c r="AE267" s="556"/>
      <c r="AF267" s="556"/>
      <c r="AG267" s="556"/>
      <c r="AH267" s="556"/>
      <c r="AI267" s="556"/>
      <c r="AJ267" s="556"/>
      <c r="AK267" s="556"/>
      <c r="AL267" s="556"/>
      <c r="AM267" s="556"/>
      <c r="AN267" s="556"/>
      <c r="AO267" s="556"/>
      <c r="AP267" s="556"/>
      <c r="AQ267" s="556"/>
      <c r="AR267" s="556"/>
      <c r="AS267" s="565"/>
      <c r="AT267" s="556"/>
    </row>
    <row r="268" spans="1:46" hidden="1" x14ac:dyDescent="0.45">
      <c r="A268" s="556"/>
      <c r="B268" s="556"/>
      <c r="C268" s="556"/>
      <c r="D268" s="564"/>
      <c r="E268" s="556"/>
      <c r="F268" s="564"/>
      <c r="G268" s="564"/>
      <c r="H268" s="564"/>
      <c r="I268" s="564"/>
      <c r="J268" s="564"/>
      <c r="K268" s="564"/>
      <c r="L268" s="564"/>
      <c r="M268" s="564"/>
      <c r="N268" s="564"/>
      <c r="O268" s="564"/>
      <c r="P268" s="564"/>
      <c r="Q268" s="564"/>
      <c r="R268" s="564"/>
      <c r="S268" s="564"/>
      <c r="T268" s="564"/>
      <c r="U268" s="564"/>
      <c r="V268" s="564"/>
      <c r="W268" s="564"/>
      <c r="X268" s="564"/>
      <c r="Y268" s="564"/>
      <c r="Z268" s="564"/>
      <c r="AA268" s="564"/>
      <c r="AB268" s="556"/>
      <c r="AC268" s="556"/>
      <c r="AD268" s="556"/>
      <c r="AE268" s="556"/>
      <c r="AF268" s="556"/>
      <c r="AG268" s="556"/>
      <c r="AH268" s="556"/>
      <c r="AI268" s="556"/>
      <c r="AJ268" s="556"/>
      <c r="AK268" s="556"/>
      <c r="AL268" s="556"/>
      <c r="AM268" s="556"/>
      <c r="AN268" s="556"/>
      <c r="AO268" s="556"/>
      <c r="AP268" s="556"/>
      <c r="AQ268" s="556"/>
      <c r="AR268" s="556"/>
      <c r="AS268" s="565"/>
      <c r="AT268" s="556"/>
    </row>
    <row r="269" spans="1:46" hidden="1" x14ac:dyDescent="0.45">
      <c r="A269" s="556"/>
      <c r="B269" s="556"/>
      <c r="C269" s="556"/>
      <c r="D269" s="564"/>
      <c r="E269" s="556"/>
      <c r="F269" s="564"/>
      <c r="G269" s="564"/>
      <c r="H269" s="564"/>
      <c r="I269" s="564"/>
      <c r="J269" s="564"/>
      <c r="K269" s="564"/>
      <c r="L269" s="564"/>
      <c r="M269" s="564"/>
      <c r="N269" s="564"/>
      <c r="O269" s="564"/>
      <c r="P269" s="564"/>
      <c r="Q269" s="564"/>
      <c r="R269" s="564"/>
      <c r="S269" s="564"/>
      <c r="T269" s="564"/>
      <c r="U269" s="564"/>
      <c r="V269" s="564"/>
      <c r="W269" s="564"/>
      <c r="X269" s="564"/>
      <c r="Y269" s="564"/>
      <c r="Z269" s="564"/>
      <c r="AA269" s="564"/>
      <c r="AB269" s="556"/>
      <c r="AC269" s="556"/>
      <c r="AD269" s="556"/>
      <c r="AE269" s="556"/>
      <c r="AF269" s="556"/>
      <c r="AG269" s="556"/>
      <c r="AH269" s="556"/>
      <c r="AI269" s="556"/>
      <c r="AJ269" s="556"/>
      <c r="AK269" s="556"/>
      <c r="AL269" s="556"/>
      <c r="AM269" s="556"/>
      <c r="AN269" s="556"/>
      <c r="AO269" s="556"/>
      <c r="AP269" s="556"/>
      <c r="AQ269" s="556"/>
      <c r="AR269" s="556"/>
      <c r="AS269" s="565"/>
      <c r="AT269" s="556"/>
    </row>
    <row r="270" spans="1:46" hidden="1" x14ac:dyDescent="0.45">
      <c r="A270" s="556"/>
      <c r="B270" s="556"/>
      <c r="C270" s="556"/>
      <c r="D270" s="564"/>
      <c r="E270" s="556"/>
      <c r="F270" s="564"/>
      <c r="G270" s="564"/>
      <c r="H270" s="564"/>
      <c r="I270" s="564"/>
      <c r="J270" s="564"/>
      <c r="K270" s="564"/>
      <c r="L270" s="564"/>
      <c r="M270" s="564"/>
      <c r="N270" s="564"/>
      <c r="O270" s="564"/>
      <c r="P270" s="564"/>
      <c r="Q270" s="564"/>
      <c r="R270" s="564"/>
      <c r="S270" s="564"/>
      <c r="T270" s="564"/>
      <c r="U270" s="564"/>
      <c r="V270" s="564"/>
      <c r="W270" s="564"/>
      <c r="X270" s="564"/>
      <c r="Y270" s="564"/>
      <c r="Z270" s="564"/>
      <c r="AA270" s="564"/>
      <c r="AB270" s="556"/>
      <c r="AC270" s="556"/>
      <c r="AD270" s="556"/>
      <c r="AE270" s="556"/>
      <c r="AF270" s="556"/>
      <c r="AG270" s="556"/>
      <c r="AH270" s="556"/>
      <c r="AI270" s="556"/>
      <c r="AJ270" s="556"/>
      <c r="AK270" s="556"/>
      <c r="AL270" s="556"/>
      <c r="AM270" s="556"/>
      <c r="AN270" s="556"/>
      <c r="AO270" s="556"/>
      <c r="AP270" s="556"/>
      <c r="AQ270" s="556"/>
      <c r="AR270" s="556"/>
      <c r="AS270" s="565"/>
      <c r="AT270" s="556"/>
    </row>
    <row r="271" spans="1:46" hidden="1" x14ac:dyDescent="0.45">
      <c r="A271" s="556"/>
      <c r="B271" s="556"/>
      <c r="C271" s="556"/>
      <c r="D271" s="564"/>
      <c r="E271" s="556"/>
      <c r="F271" s="564"/>
      <c r="G271" s="564"/>
      <c r="H271" s="564"/>
      <c r="I271" s="564"/>
      <c r="J271" s="564"/>
      <c r="K271" s="564"/>
      <c r="L271" s="564"/>
      <c r="M271" s="564"/>
      <c r="N271" s="564"/>
      <c r="O271" s="564"/>
      <c r="P271" s="564"/>
      <c r="Q271" s="564"/>
      <c r="R271" s="564"/>
      <c r="S271" s="564"/>
      <c r="T271" s="564"/>
      <c r="U271" s="564"/>
      <c r="V271" s="564"/>
      <c r="W271" s="564"/>
      <c r="X271" s="564"/>
      <c r="Y271" s="564"/>
      <c r="Z271" s="564"/>
      <c r="AA271" s="564"/>
      <c r="AB271" s="556"/>
      <c r="AC271" s="556"/>
      <c r="AD271" s="556"/>
      <c r="AE271" s="556"/>
      <c r="AF271" s="556"/>
      <c r="AG271" s="556"/>
      <c r="AH271" s="556"/>
      <c r="AI271" s="556"/>
      <c r="AJ271" s="556"/>
      <c r="AK271" s="556"/>
      <c r="AL271" s="556"/>
      <c r="AM271" s="556"/>
      <c r="AN271" s="556"/>
      <c r="AO271" s="556"/>
      <c r="AP271" s="556"/>
      <c r="AQ271" s="556"/>
      <c r="AR271" s="556"/>
      <c r="AS271" s="565"/>
      <c r="AT271" s="556"/>
    </row>
    <row r="272" spans="1:46" hidden="1" x14ac:dyDescent="0.45">
      <c r="A272" s="556"/>
      <c r="B272" s="556"/>
      <c r="C272" s="556"/>
      <c r="D272" s="564"/>
      <c r="E272" s="556"/>
      <c r="F272" s="564"/>
      <c r="G272" s="564"/>
      <c r="H272" s="564"/>
      <c r="I272" s="564"/>
      <c r="J272" s="564"/>
      <c r="K272" s="564"/>
      <c r="L272" s="564"/>
      <c r="M272" s="564"/>
      <c r="N272" s="564"/>
      <c r="O272" s="564"/>
      <c r="P272" s="564"/>
      <c r="Q272" s="564"/>
      <c r="R272" s="564"/>
      <c r="S272" s="564"/>
      <c r="T272" s="564"/>
      <c r="U272" s="564"/>
      <c r="V272" s="564"/>
      <c r="W272" s="564"/>
      <c r="X272" s="564"/>
      <c r="Y272" s="564"/>
      <c r="Z272" s="564"/>
      <c r="AA272" s="564"/>
      <c r="AB272" s="556"/>
      <c r="AC272" s="556"/>
      <c r="AD272" s="556"/>
      <c r="AE272" s="556"/>
      <c r="AF272" s="556"/>
      <c r="AG272" s="556"/>
      <c r="AH272" s="556"/>
      <c r="AI272" s="556"/>
      <c r="AJ272" s="556"/>
      <c r="AK272" s="556"/>
      <c r="AL272" s="556"/>
      <c r="AM272" s="556"/>
      <c r="AN272" s="556"/>
      <c r="AO272" s="556"/>
      <c r="AP272" s="556"/>
      <c r="AQ272" s="556"/>
      <c r="AR272" s="556"/>
      <c r="AS272" s="565"/>
      <c r="AT272" s="556"/>
    </row>
    <row r="273" spans="1:46" hidden="1" x14ac:dyDescent="0.45">
      <c r="A273" s="556"/>
      <c r="B273" s="556"/>
      <c r="C273" s="556"/>
      <c r="D273" s="564"/>
      <c r="E273" s="556"/>
      <c r="F273" s="564"/>
      <c r="G273" s="564"/>
      <c r="H273" s="564"/>
      <c r="I273" s="564"/>
      <c r="J273" s="564"/>
      <c r="K273" s="564"/>
      <c r="L273" s="564"/>
      <c r="M273" s="564"/>
      <c r="N273" s="564"/>
      <c r="O273" s="564"/>
      <c r="P273" s="564"/>
      <c r="Q273" s="564"/>
      <c r="R273" s="564"/>
      <c r="S273" s="564"/>
      <c r="T273" s="564"/>
      <c r="U273" s="564"/>
      <c r="V273" s="564"/>
      <c r="W273" s="564"/>
      <c r="X273" s="564"/>
      <c r="Y273" s="564"/>
      <c r="Z273" s="564"/>
      <c r="AA273" s="564"/>
      <c r="AB273" s="556"/>
      <c r="AC273" s="556"/>
      <c r="AD273" s="556"/>
      <c r="AE273" s="556"/>
      <c r="AF273" s="556"/>
      <c r="AG273" s="556"/>
      <c r="AH273" s="556"/>
      <c r="AI273" s="556"/>
      <c r="AJ273" s="556"/>
      <c r="AK273" s="556"/>
      <c r="AL273" s="556"/>
      <c r="AM273" s="556"/>
      <c r="AN273" s="556"/>
      <c r="AO273" s="556"/>
      <c r="AP273" s="556"/>
      <c r="AQ273" s="556"/>
      <c r="AR273" s="556"/>
      <c r="AS273" s="565"/>
      <c r="AT273" s="556"/>
    </row>
    <row r="274" spans="1:46" hidden="1" x14ac:dyDescent="0.45">
      <c r="A274" s="556"/>
      <c r="B274" s="556"/>
      <c r="C274" s="556"/>
      <c r="D274" s="564"/>
      <c r="E274" s="556"/>
      <c r="F274" s="564"/>
      <c r="G274" s="564"/>
      <c r="H274" s="564"/>
      <c r="I274" s="564"/>
      <c r="J274" s="564"/>
      <c r="K274" s="564"/>
      <c r="L274" s="564"/>
      <c r="M274" s="564"/>
      <c r="N274" s="564"/>
      <c r="O274" s="564"/>
      <c r="P274" s="564"/>
      <c r="Q274" s="564"/>
      <c r="R274" s="564"/>
      <c r="S274" s="564"/>
      <c r="T274" s="564"/>
      <c r="U274" s="564"/>
      <c r="V274" s="564"/>
      <c r="W274" s="564"/>
      <c r="X274" s="564"/>
      <c r="Y274" s="564"/>
      <c r="Z274" s="564"/>
      <c r="AA274" s="564"/>
      <c r="AB274" s="556"/>
      <c r="AC274" s="556"/>
      <c r="AD274" s="556"/>
      <c r="AE274" s="556"/>
      <c r="AF274" s="556"/>
      <c r="AG274" s="556"/>
      <c r="AH274" s="556"/>
      <c r="AI274" s="556"/>
      <c r="AJ274" s="556"/>
      <c r="AK274" s="556"/>
      <c r="AL274" s="556"/>
      <c r="AM274" s="556"/>
      <c r="AN274" s="556"/>
      <c r="AO274" s="556"/>
      <c r="AP274" s="556"/>
      <c r="AQ274" s="556"/>
      <c r="AR274" s="556"/>
      <c r="AS274" s="565"/>
      <c r="AT274" s="556"/>
    </row>
    <row r="275" spans="1:46" hidden="1" x14ac:dyDescent="0.45">
      <c r="A275" s="556"/>
      <c r="B275" s="556"/>
      <c r="C275" s="556"/>
      <c r="D275" s="564"/>
      <c r="E275" s="556"/>
      <c r="F275" s="564"/>
      <c r="G275" s="564"/>
      <c r="H275" s="564"/>
      <c r="I275" s="564"/>
      <c r="J275" s="564"/>
      <c r="K275" s="564"/>
      <c r="L275" s="564"/>
      <c r="M275" s="564"/>
      <c r="N275" s="564"/>
      <c r="O275" s="564"/>
      <c r="P275" s="564"/>
      <c r="Q275" s="564"/>
      <c r="R275" s="564"/>
      <c r="S275" s="564"/>
      <c r="T275" s="564"/>
      <c r="U275" s="564"/>
      <c r="V275" s="564"/>
      <c r="W275" s="564"/>
      <c r="X275" s="564"/>
      <c r="Y275" s="564"/>
      <c r="Z275" s="564"/>
      <c r="AA275" s="564"/>
      <c r="AB275" s="556"/>
      <c r="AC275" s="556"/>
      <c r="AD275" s="556"/>
      <c r="AE275" s="556"/>
      <c r="AF275" s="556"/>
      <c r="AG275" s="556"/>
      <c r="AH275" s="556"/>
      <c r="AI275" s="556"/>
      <c r="AJ275" s="556"/>
      <c r="AK275" s="556"/>
      <c r="AL275" s="556"/>
      <c r="AM275" s="556"/>
      <c r="AN275" s="556"/>
      <c r="AO275" s="556"/>
      <c r="AP275" s="556"/>
      <c r="AQ275" s="556"/>
      <c r="AR275" s="556"/>
      <c r="AS275" s="565"/>
      <c r="AT275" s="556"/>
    </row>
    <row r="276" spans="1:46" hidden="1" x14ac:dyDescent="0.45">
      <c r="A276" s="556"/>
      <c r="B276" s="556"/>
      <c r="C276" s="556"/>
      <c r="D276" s="564"/>
      <c r="E276" s="556"/>
      <c r="F276" s="564"/>
      <c r="G276" s="564"/>
      <c r="H276" s="564"/>
      <c r="I276" s="564"/>
      <c r="J276" s="564"/>
      <c r="K276" s="564"/>
      <c r="L276" s="564"/>
      <c r="M276" s="564"/>
      <c r="N276" s="564"/>
      <c r="O276" s="564"/>
      <c r="P276" s="564"/>
      <c r="Q276" s="564"/>
      <c r="R276" s="564"/>
      <c r="S276" s="564"/>
      <c r="T276" s="564"/>
      <c r="U276" s="564"/>
      <c r="V276" s="564"/>
      <c r="W276" s="564"/>
      <c r="X276" s="564"/>
      <c r="Y276" s="564"/>
      <c r="Z276" s="564"/>
      <c r="AA276" s="564"/>
      <c r="AB276" s="556"/>
      <c r="AC276" s="556"/>
      <c r="AD276" s="556"/>
      <c r="AE276" s="556"/>
      <c r="AF276" s="556"/>
      <c r="AG276" s="556"/>
      <c r="AH276" s="556"/>
      <c r="AI276" s="556"/>
      <c r="AJ276" s="556"/>
      <c r="AK276" s="556"/>
      <c r="AL276" s="556"/>
      <c r="AM276" s="556"/>
      <c r="AN276" s="556"/>
      <c r="AO276" s="556"/>
      <c r="AP276" s="556"/>
      <c r="AQ276" s="556"/>
      <c r="AR276" s="556"/>
      <c r="AS276" s="565"/>
      <c r="AT276" s="556"/>
    </row>
    <row r="277" spans="1:46" hidden="1" x14ac:dyDescent="0.45">
      <c r="A277" s="556"/>
      <c r="B277" s="556"/>
      <c r="C277" s="556"/>
      <c r="D277" s="564"/>
      <c r="E277" s="556"/>
      <c r="F277" s="564"/>
      <c r="G277" s="564"/>
      <c r="H277" s="564"/>
      <c r="I277" s="564"/>
      <c r="J277" s="564"/>
      <c r="K277" s="564"/>
      <c r="L277" s="564"/>
      <c r="M277" s="564"/>
      <c r="N277" s="564"/>
      <c r="O277" s="564"/>
      <c r="P277" s="564"/>
      <c r="Q277" s="564"/>
      <c r="R277" s="564"/>
      <c r="S277" s="564"/>
      <c r="T277" s="564"/>
      <c r="U277" s="564"/>
      <c r="V277" s="564"/>
      <c r="W277" s="564"/>
      <c r="X277" s="564"/>
      <c r="Y277" s="564"/>
      <c r="Z277" s="564"/>
      <c r="AA277" s="564"/>
      <c r="AB277" s="556"/>
      <c r="AC277" s="556"/>
      <c r="AD277" s="556"/>
      <c r="AE277" s="556"/>
      <c r="AF277" s="556"/>
      <c r="AG277" s="556"/>
      <c r="AH277" s="556"/>
      <c r="AI277" s="556"/>
      <c r="AJ277" s="556"/>
      <c r="AK277" s="556"/>
      <c r="AL277" s="556"/>
      <c r="AM277" s="556"/>
      <c r="AN277" s="556"/>
      <c r="AO277" s="556"/>
      <c r="AP277" s="556"/>
      <c r="AQ277" s="556"/>
      <c r="AR277" s="556"/>
      <c r="AS277" s="565"/>
      <c r="AT277" s="556"/>
    </row>
    <row r="278" spans="1:46" hidden="1" x14ac:dyDescent="0.45">
      <c r="A278" s="556"/>
      <c r="B278" s="556"/>
      <c r="C278" s="556"/>
      <c r="D278" s="564"/>
      <c r="E278" s="556"/>
      <c r="F278" s="564"/>
      <c r="G278" s="564"/>
      <c r="H278" s="564"/>
      <c r="I278" s="564"/>
      <c r="J278" s="564"/>
      <c r="K278" s="564"/>
      <c r="L278" s="564"/>
      <c r="M278" s="564"/>
      <c r="N278" s="564"/>
      <c r="O278" s="564"/>
      <c r="P278" s="564"/>
      <c r="Q278" s="564"/>
      <c r="R278" s="564"/>
      <c r="S278" s="564"/>
      <c r="T278" s="564"/>
      <c r="U278" s="564"/>
      <c r="V278" s="564"/>
      <c r="W278" s="564"/>
      <c r="X278" s="564"/>
      <c r="Y278" s="564"/>
      <c r="Z278" s="564"/>
      <c r="AA278" s="564"/>
      <c r="AB278" s="556"/>
      <c r="AC278" s="556"/>
      <c r="AD278" s="556"/>
      <c r="AE278" s="556"/>
      <c r="AF278" s="556"/>
      <c r="AG278" s="556"/>
      <c r="AH278" s="556"/>
      <c r="AI278" s="556"/>
      <c r="AJ278" s="556"/>
      <c r="AK278" s="556"/>
      <c r="AL278" s="556"/>
      <c r="AM278" s="556"/>
      <c r="AN278" s="556"/>
      <c r="AO278" s="556"/>
      <c r="AP278" s="556"/>
      <c r="AQ278" s="556"/>
      <c r="AR278" s="556"/>
      <c r="AS278" s="565"/>
      <c r="AT278" s="556"/>
    </row>
    <row r="279" spans="1:46" hidden="1" x14ac:dyDescent="0.45">
      <c r="A279" s="556"/>
      <c r="B279" s="556"/>
      <c r="C279" s="556"/>
      <c r="D279" s="564"/>
      <c r="E279" s="556"/>
      <c r="F279" s="564"/>
      <c r="G279" s="564"/>
      <c r="H279" s="564"/>
      <c r="I279" s="564"/>
      <c r="J279" s="564"/>
      <c r="K279" s="564"/>
      <c r="L279" s="564"/>
      <c r="M279" s="564"/>
      <c r="N279" s="564"/>
      <c r="O279" s="564"/>
      <c r="P279" s="564"/>
      <c r="Q279" s="564"/>
      <c r="R279" s="564"/>
      <c r="S279" s="564"/>
      <c r="T279" s="564"/>
      <c r="U279" s="564"/>
      <c r="V279" s="564"/>
      <c r="W279" s="564"/>
      <c r="X279" s="564"/>
      <c r="Y279" s="564"/>
      <c r="Z279" s="564"/>
      <c r="AA279" s="564"/>
      <c r="AB279" s="556"/>
      <c r="AC279" s="556"/>
      <c r="AD279" s="556"/>
      <c r="AE279" s="556"/>
      <c r="AF279" s="556"/>
      <c r="AG279" s="556"/>
      <c r="AH279" s="556"/>
      <c r="AI279" s="556"/>
      <c r="AJ279" s="556"/>
      <c r="AK279" s="556"/>
      <c r="AL279" s="556"/>
      <c r="AM279" s="556"/>
      <c r="AN279" s="556"/>
      <c r="AO279" s="556"/>
      <c r="AP279" s="556"/>
      <c r="AQ279" s="556"/>
      <c r="AR279" s="556"/>
      <c r="AS279" s="565"/>
      <c r="AT279" s="556"/>
    </row>
    <row r="280" spans="1:46" hidden="1" x14ac:dyDescent="0.45">
      <c r="A280" s="556"/>
      <c r="B280" s="556"/>
      <c r="C280" s="556"/>
      <c r="D280" s="564"/>
      <c r="E280" s="556"/>
      <c r="F280" s="564"/>
      <c r="G280" s="564"/>
      <c r="H280" s="564"/>
      <c r="I280" s="564"/>
      <c r="J280" s="564"/>
      <c r="K280" s="564"/>
      <c r="L280" s="564"/>
      <c r="M280" s="564"/>
      <c r="N280" s="564"/>
      <c r="O280" s="564"/>
      <c r="P280" s="564"/>
      <c r="Q280" s="564"/>
      <c r="R280" s="564"/>
      <c r="S280" s="564"/>
      <c r="T280" s="564"/>
      <c r="U280" s="564"/>
      <c r="V280" s="564"/>
      <c r="W280" s="564"/>
      <c r="X280" s="564"/>
      <c r="Y280" s="564"/>
      <c r="Z280" s="564"/>
      <c r="AA280" s="564"/>
      <c r="AB280" s="556"/>
      <c r="AC280" s="556"/>
      <c r="AD280" s="556"/>
      <c r="AE280" s="556"/>
      <c r="AF280" s="556"/>
      <c r="AG280" s="556"/>
      <c r="AH280" s="556"/>
      <c r="AI280" s="556"/>
      <c r="AJ280" s="556"/>
      <c r="AK280" s="556"/>
      <c r="AL280" s="556"/>
      <c r="AM280" s="556"/>
      <c r="AN280" s="556"/>
      <c r="AO280" s="556"/>
      <c r="AP280" s="556"/>
      <c r="AQ280" s="556"/>
      <c r="AR280" s="556"/>
      <c r="AS280" s="565"/>
      <c r="AT280" s="556"/>
    </row>
    <row r="281" spans="1:46" hidden="1" x14ac:dyDescent="0.45">
      <c r="A281" s="556"/>
      <c r="B281" s="556"/>
      <c r="C281" s="556"/>
      <c r="D281" s="564"/>
      <c r="E281" s="556"/>
      <c r="F281" s="564"/>
      <c r="G281" s="564"/>
      <c r="H281" s="564"/>
      <c r="I281" s="564"/>
      <c r="J281" s="564"/>
      <c r="K281" s="564"/>
      <c r="L281" s="564"/>
      <c r="M281" s="564"/>
      <c r="N281" s="564"/>
      <c r="O281" s="564"/>
      <c r="P281" s="564"/>
      <c r="Q281" s="564"/>
      <c r="R281" s="564"/>
      <c r="S281" s="564"/>
      <c r="T281" s="564"/>
      <c r="U281" s="564"/>
      <c r="V281" s="564"/>
      <c r="W281" s="564"/>
      <c r="X281" s="564"/>
      <c r="Y281" s="564"/>
      <c r="Z281" s="564"/>
      <c r="AA281" s="564"/>
      <c r="AB281" s="556"/>
      <c r="AC281" s="556"/>
      <c r="AD281" s="556"/>
      <c r="AE281" s="556"/>
      <c r="AF281" s="556"/>
      <c r="AG281" s="556"/>
      <c r="AH281" s="556"/>
      <c r="AI281" s="556"/>
      <c r="AJ281" s="556"/>
      <c r="AK281" s="556"/>
      <c r="AL281" s="556"/>
      <c r="AM281" s="556"/>
      <c r="AN281" s="556"/>
      <c r="AO281" s="556"/>
      <c r="AP281" s="556"/>
      <c r="AQ281" s="556"/>
      <c r="AR281" s="556"/>
      <c r="AS281" s="565"/>
      <c r="AT281" s="556"/>
    </row>
    <row r="282" spans="1:46" hidden="1" x14ac:dyDescent="0.45">
      <c r="A282" s="556"/>
      <c r="B282" s="556"/>
      <c r="C282" s="556"/>
      <c r="D282" s="564"/>
      <c r="E282" s="556"/>
      <c r="F282" s="564"/>
      <c r="G282" s="564"/>
      <c r="H282" s="564"/>
      <c r="I282" s="564"/>
      <c r="J282" s="564"/>
      <c r="K282" s="564"/>
      <c r="L282" s="564"/>
      <c r="M282" s="564"/>
      <c r="N282" s="564"/>
      <c r="O282" s="564"/>
      <c r="P282" s="564"/>
      <c r="Q282" s="564"/>
      <c r="R282" s="564"/>
      <c r="S282" s="564"/>
      <c r="T282" s="564"/>
      <c r="U282" s="564"/>
      <c r="V282" s="564"/>
      <c r="W282" s="564"/>
      <c r="X282" s="564"/>
      <c r="Y282" s="564"/>
      <c r="Z282" s="564"/>
      <c r="AA282" s="564"/>
      <c r="AB282" s="556"/>
      <c r="AC282" s="556"/>
      <c r="AD282" s="556"/>
      <c r="AE282" s="556"/>
      <c r="AF282" s="556"/>
      <c r="AG282" s="556"/>
      <c r="AH282" s="556"/>
      <c r="AI282" s="556"/>
      <c r="AJ282" s="556"/>
      <c r="AK282" s="556"/>
      <c r="AL282" s="556"/>
      <c r="AM282" s="556"/>
      <c r="AN282" s="556"/>
      <c r="AO282" s="556"/>
      <c r="AP282" s="556"/>
      <c r="AQ282" s="556"/>
      <c r="AR282" s="556"/>
      <c r="AS282" s="565"/>
      <c r="AT282" s="556"/>
    </row>
    <row r="283" spans="1:46" hidden="1" x14ac:dyDescent="0.45">
      <c r="A283" s="556"/>
      <c r="B283" s="556"/>
      <c r="C283" s="556"/>
      <c r="D283" s="564"/>
      <c r="E283" s="556"/>
      <c r="F283" s="564"/>
      <c r="G283" s="564"/>
      <c r="H283" s="564"/>
      <c r="I283" s="564"/>
      <c r="J283" s="564"/>
      <c r="K283" s="564"/>
      <c r="L283" s="564"/>
      <c r="M283" s="564"/>
      <c r="N283" s="564"/>
      <c r="O283" s="564"/>
      <c r="P283" s="564"/>
      <c r="Q283" s="564"/>
      <c r="R283" s="564"/>
      <c r="S283" s="564"/>
      <c r="T283" s="564"/>
      <c r="U283" s="564"/>
      <c r="V283" s="564"/>
      <c r="W283" s="564"/>
      <c r="X283" s="564"/>
      <c r="Y283" s="564"/>
      <c r="Z283" s="564"/>
      <c r="AA283" s="564"/>
      <c r="AB283" s="556"/>
      <c r="AC283" s="556"/>
      <c r="AD283" s="556"/>
      <c r="AE283" s="556"/>
      <c r="AF283" s="556"/>
      <c r="AG283" s="556"/>
      <c r="AH283" s="556"/>
      <c r="AI283" s="556"/>
      <c r="AJ283" s="556"/>
      <c r="AK283" s="556"/>
      <c r="AL283" s="556"/>
      <c r="AM283" s="556"/>
      <c r="AN283" s="556"/>
      <c r="AO283" s="556"/>
      <c r="AP283" s="556"/>
      <c r="AQ283" s="556"/>
      <c r="AR283" s="556"/>
      <c r="AS283" s="565"/>
      <c r="AT283" s="556"/>
    </row>
    <row r="284" spans="1:46" hidden="1" x14ac:dyDescent="0.45">
      <c r="A284" s="556"/>
      <c r="B284" s="556"/>
      <c r="C284" s="556"/>
      <c r="D284" s="564"/>
      <c r="E284" s="556"/>
      <c r="F284" s="564"/>
      <c r="G284" s="564"/>
      <c r="H284" s="564"/>
      <c r="I284" s="564"/>
      <c r="J284" s="564"/>
      <c r="K284" s="564"/>
      <c r="L284" s="564"/>
      <c r="M284" s="564"/>
      <c r="N284" s="564"/>
      <c r="O284" s="564"/>
      <c r="P284" s="564"/>
      <c r="Q284" s="564"/>
      <c r="R284" s="564"/>
      <c r="S284" s="564"/>
      <c r="T284" s="564"/>
      <c r="U284" s="564"/>
      <c r="V284" s="564"/>
      <c r="W284" s="564"/>
      <c r="X284" s="564"/>
      <c r="Y284" s="564"/>
      <c r="Z284" s="564"/>
      <c r="AA284" s="564"/>
      <c r="AB284" s="556"/>
      <c r="AC284" s="556"/>
      <c r="AD284" s="556"/>
      <c r="AE284" s="556"/>
      <c r="AF284" s="556"/>
      <c r="AG284" s="556"/>
      <c r="AH284" s="556"/>
      <c r="AI284" s="556"/>
      <c r="AJ284" s="556"/>
      <c r="AK284" s="556"/>
      <c r="AL284" s="556"/>
      <c r="AM284" s="556"/>
      <c r="AN284" s="556"/>
      <c r="AO284" s="556"/>
      <c r="AP284" s="556"/>
      <c r="AQ284" s="556"/>
      <c r="AR284" s="556"/>
      <c r="AS284" s="565"/>
      <c r="AT284" s="556"/>
    </row>
    <row r="285" spans="1:46" hidden="1" x14ac:dyDescent="0.45">
      <c r="A285" s="556"/>
      <c r="B285" s="556"/>
      <c r="C285" s="556"/>
      <c r="D285" s="564"/>
      <c r="E285" s="556"/>
      <c r="F285" s="564"/>
      <c r="G285" s="564"/>
      <c r="H285" s="564"/>
      <c r="I285" s="564"/>
      <c r="J285" s="564"/>
      <c r="K285" s="564"/>
      <c r="L285" s="564"/>
      <c r="M285" s="564"/>
      <c r="N285" s="564"/>
      <c r="O285" s="564"/>
      <c r="P285" s="564"/>
      <c r="Q285" s="564"/>
      <c r="R285" s="564"/>
      <c r="S285" s="564"/>
      <c r="T285" s="564"/>
      <c r="U285" s="564"/>
      <c r="V285" s="564"/>
      <c r="W285" s="564"/>
      <c r="X285" s="564"/>
      <c r="Y285" s="564"/>
      <c r="Z285" s="564"/>
      <c r="AA285" s="564"/>
      <c r="AB285" s="556"/>
      <c r="AC285" s="556"/>
      <c r="AD285" s="556"/>
      <c r="AE285" s="556"/>
      <c r="AF285" s="556"/>
      <c r="AG285" s="556"/>
      <c r="AH285" s="556"/>
      <c r="AI285" s="556"/>
      <c r="AJ285" s="556"/>
      <c r="AK285" s="556"/>
      <c r="AL285" s="556"/>
      <c r="AM285" s="556"/>
      <c r="AN285" s="556"/>
      <c r="AO285" s="556"/>
      <c r="AP285" s="556"/>
      <c r="AQ285" s="556"/>
      <c r="AR285" s="556"/>
      <c r="AS285" s="565"/>
      <c r="AT285" s="556"/>
    </row>
    <row r="286" spans="1:46" hidden="1" x14ac:dyDescent="0.45">
      <c r="A286" s="556"/>
      <c r="B286" s="556"/>
      <c r="C286" s="556"/>
      <c r="D286" s="564"/>
      <c r="E286" s="556"/>
      <c r="F286" s="564"/>
      <c r="G286" s="564"/>
      <c r="H286" s="564"/>
      <c r="I286" s="564"/>
      <c r="J286" s="564"/>
      <c r="K286" s="564"/>
      <c r="L286" s="564"/>
      <c r="M286" s="564"/>
      <c r="N286" s="564"/>
      <c r="O286" s="564"/>
      <c r="P286" s="564"/>
      <c r="Q286" s="564"/>
      <c r="R286" s="564"/>
      <c r="S286" s="564"/>
      <c r="T286" s="564"/>
      <c r="U286" s="564"/>
      <c r="V286" s="564"/>
      <c r="W286" s="564"/>
      <c r="X286" s="564"/>
      <c r="Y286" s="564"/>
      <c r="Z286" s="564"/>
      <c r="AA286" s="564"/>
      <c r="AB286" s="556"/>
      <c r="AC286" s="556"/>
      <c r="AD286" s="556"/>
      <c r="AE286" s="556"/>
      <c r="AF286" s="556"/>
      <c r="AG286" s="556"/>
      <c r="AH286" s="556"/>
      <c r="AI286" s="556"/>
      <c r="AJ286" s="556"/>
      <c r="AK286" s="556"/>
      <c r="AL286" s="556"/>
      <c r="AM286" s="556"/>
      <c r="AN286" s="556"/>
      <c r="AO286" s="556"/>
      <c r="AP286" s="556"/>
      <c r="AQ286" s="556"/>
      <c r="AR286" s="556"/>
      <c r="AS286" s="565"/>
      <c r="AT286" s="556"/>
    </row>
    <row r="287" spans="1:46" hidden="1" x14ac:dyDescent="0.45">
      <c r="A287" s="556"/>
      <c r="B287" s="556"/>
      <c r="C287" s="556"/>
      <c r="D287" s="564"/>
      <c r="E287" s="556"/>
      <c r="F287" s="564"/>
      <c r="G287" s="564"/>
      <c r="H287" s="564"/>
      <c r="I287" s="564"/>
      <c r="J287" s="564"/>
      <c r="K287" s="564"/>
      <c r="L287" s="564"/>
      <c r="M287" s="564"/>
      <c r="N287" s="564"/>
      <c r="O287" s="564"/>
      <c r="P287" s="564"/>
      <c r="Q287" s="564"/>
      <c r="R287" s="564"/>
      <c r="S287" s="564"/>
      <c r="T287" s="564"/>
      <c r="U287" s="564"/>
      <c r="V287" s="564"/>
      <c r="W287" s="564"/>
      <c r="X287" s="564"/>
      <c r="Y287" s="564"/>
      <c r="Z287" s="564"/>
      <c r="AA287" s="564"/>
      <c r="AB287" s="556"/>
      <c r="AC287" s="556"/>
      <c r="AD287" s="556"/>
      <c r="AE287" s="556"/>
      <c r="AF287" s="556"/>
      <c r="AG287" s="556"/>
      <c r="AH287" s="556"/>
      <c r="AI287" s="556"/>
      <c r="AJ287" s="556"/>
      <c r="AK287" s="556"/>
      <c r="AL287" s="556"/>
      <c r="AM287" s="556"/>
      <c r="AN287" s="556"/>
      <c r="AO287" s="556"/>
      <c r="AP287" s="556"/>
      <c r="AQ287" s="556"/>
      <c r="AR287" s="556"/>
      <c r="AS287" s="565"/>
      <c r="AT287" s="556"/>
    </row>
    <row r="288" spans="1:46" hidden="1" x14ac:dyDescent="0.45">
      <c r="A288" s="556"/>
      <c r="B288" s="556"/>
      <c r="C288" s="556"/>
      <c r="D288" s="564"/>
      <c r="E288" s="556"/>
      <c r="F288" s="564"/>
      <c r="G288" s="564"/>
      <c r="H288" s="564"/>
      <c r="I288" s="564"/>
      <c r="J288" s="564"/>
      <c r="K288" s="564"/>
      <c r="L288" s="564"/>
      <c r="M288" s="564"/>
      <c r="N288" s="564"/>
      <c r="O288" s="564"/>
      <c r="P288" s="564"/>
      <c r="Q288" s="564"/>
      <c r="R288" s="564"/>
      <c r="S288" s="564"/>
      <c r="T288" s="564"/>
      <c r="U288" s="564"/>
      <c r="V288" s="564"/>
      <c r="W288" s="564"/>
      <c r="X288" s="564"/>
      <c r="Y288" s="564"/>
      <c r="Z288" s="564"/>
      <c r="AA288" s="564"/>
      <c r="AB288" s="556"/>
      <c r="AC288" s="556"/>
      <c r="AD288" s="556"/>
      <c r="AE288" s="556"/>
      <c r="AF288" s="556"/>
      <c r="AG288" s="556"/>
      <c r="AH288" s="556"/>
      <c r="AI288" s="556"/>
      <c r="AJ288" s="556"/>
      <c r="AK288" s="556"/>
      <c r="AL288" s="556"/>
      <c r="AM288" s="556"/>
      <c r="AN288" s="556"/>
      <c r="AO288" s="556"/>
      <c r="AP288" s="556"/>
      <c r="AQ288" s="556"/>
      <c r="AR288" s="556"/>
      <c r="AS288" s="565"/>
      <c r="AT288" s="556"/>
    </row>
    <row r="289" spans="1:46" hidden="1" x14ac:dyDescent="0.45">
      <c r="A289" s="556"/>
      <c r="B289" s="556"/>
      <c r="C289" s="556"/>
      <c r="D289" s="564"/>
      <c r="E289" s="556"/>
      <c r="F289" s="564"/>
      <c r="G289" s="564"/>
      <c r="H289" s="564"/>
      <c r="I289" s="564"/>
      <c r="J289" s="564"/>
      <c r="K289" s="564"/>
      <c r="L289" s="564"/>
      <c r="M289" s="564"/>
      <c r="N289" s="564"/>
      <c r="O289" s="564"/>
      <c r="P289" s="564"/>
      <c r="Q289" s="564"/>
      <c r="R289" s="564"/>
      <c r="S289" s="564"/>
      <c r="T289" s="564"/>
      <c r="U289" s="564"/>
      <c r="V289" s="564"/>
      <c r="W289" s="564"/>
      <c r="X289" s="564"/>
      <c r="Y289" s="564"/>
      <c r="Z289" s="564"/>
      <c r="AA289" s="564"/>
      <c r="AB289" s="556"/>
      <c r="AC289" s="556"/>
      <c r="AD289" s="556"/>
      <c r="AE289" s="556"/>
      <c r="AF289" s="556"/>
      <c r="AG289" s="556"/>
      <c r="AH289" s="556"/>
      <c r="AI289" s="556"/>
      <c r="AJ289" s="556"/>
      <c r="AK289" s="556"/>
      <c r="AL289" s="556"/>
      <c r="AM289" s="556"/>
      <c r="AN289" s="556"/>
      <c r="AO289" s="556"/>
      <c r="AP289" s="556"/>
      <c r="AQ289" s="556"/>
      <c r="AR289" s="556"/>
      <c r="AS289" s="565"/>
      <c r="AT289" s="556"/>
    </row>
    <row r="290" spans="1:46" hidden="1" x14ac:dyDescent="0.45">
      <c r="A290" s="556"/>
      <c r="B290" s="556"/>
      <c r="C290" s="556"/>
      <c r="D290" s="564"/>
      <c r="E290" s="556"/>
      <c r="F290" s="564"/>
      <c r="G290" s="564"/>
      <c r="H290" s="564"/>
      <c r="I290" s="564"/>
      <c r="J290" s="564"/>
      <c r="K290" s="564"/>
      <c r="L290" s="564"/>
      <c r="M290" s="564"/>
      <c r="N290" s="564"/>
      <c r="O290" s="564"/>
      <c r="P290" s="564"/>
      <c r="Q290" s="564"/>
      <c r="R290" s="564"/>
      <c r="S290" s="564"/>
      <c r="T290" s="564"/>
      <c r="U290" s="564"/>
      <c r="V290" s="564"/>
      <c r="W290" s="564"/>
      <c r="X290" s="564"/>
      <c r="Y290" s="564"/>
      <c r="Z290" s="564"/>
      <c r="AA290" s="564"/>
      <c r="AB290" s="556"/>
      <c r="AC290" s="556"/>
      <c r="AD290" s="556"/>
      <c r="AE290" s="556"/>
      <c r="AF290" s="556"/>
      <c r="AG290" s="556"/>
      <c r="AH290" s="556"/>
      <c r="AI290" s="556"/>
      <c r="AJ290" s="556"/>
      <c r="AK290" s="556"/>
      <c r="AL290" s="556"/>
      <c r="AM290" s="556"/>
      <c r="AN290" s="556"/>
      <c r="AO290" s="556"/>
      <c r="AP290" s="556"/>
      <c r="AQ290" s="556"/>
      <c r="AR290" s="556"/>
      <c r="AS290" s="565"/>
      <c r="AT290" s="556"/>
    </row>
    <row r="291" spans="1:46" hidden="1" x14ac:dyDescent="0.45">
      <c r="A291" s="556"/>
      <c r="B291" s="556"/>
      <c r="C291" s="556"/>
      <c r="D291" s="564"/>
      <c r="E291" s="556"/>
      <c r="F291" s="564"/>
      <c r="G291" s="564"/>
      <c r="H291" s="564"/>
      <c r="I291" s="564"/>
      <c r="J291" s="564"/>
      <c r="K291" s="564"/>
      <c r="L291" s="564"/>
      <c r="M291" s="564"/>
      <c r="N291" s="564"/>
      <c r="O291" s="564"/>
      <c r="P291" s="564"/>
      <c r="Q291" s="564"/>
      <c r="R291" s="564"/>
      <c r="S291" s="564"/>
      <c r="T291" s="564"/>
      <c r="U291" s="564"/>
      <c r="V291" s="564"/>
      <c r="W291" s="564"/>
      <c r="X291" s="564"/>
      <c r="Y291" s="564"/>
      <c r="Z291" s="564"/>
      <c r="AA291" s="564"/>
      <c r="AB291" s="556"/>
      <c r="AC291" s="556"/>
      <c r="AD291" s="556"/>
      <c r="AE291" s="556"/>
      <c r="AF291" s="556"/>
      <c r="AG291" s="556"/>
      <c r="AH291" s="556"/>
      <c r="AI291" s="556"/>
      <c r="AJ291" s="556"/>
      <c r="AK291" s="556"/>
      <c r="AL291" s="556"/>
      <c r="AM291" s="556"/>
      <c r="AN291" s="556"/>
      <c r="AO291" s="556"/>
      <c r="AP291" s="556"/>
      <c r="AQ291" s="556"/>
      <c r="AR291" s="556"/>
      <c r="AS291" s="565"/>
      <c r="AT291" s="556"/>
    </row>
    <row r="292" spans="1:46" hidden="1" x14ac:dyDescent="0.45">
      <c r="A292" s="556"/>
      <c r="B292" s="556"/>
      <c r="C292" s="556"/>
      <c r="D292" s="564"/>
      <c r="E292" s="556"/>
      <c r="F292" s="564"/>
      <c r="G292" s="564"/>
      <c r="H292" s="564"/>
      <c r="I292" s="564"/>
      <c r="J292" s="564"/>
      <c r="K292" s="564"/>
      <c r="L292" s="564"/>
      <c r="M292" s="564"/>
      <c r="N292" s="564"/>
      <c r="O292" s="564"/>
      <c r="P292" s="564"/>
      <c r="Q292" s="564"/>
      <c r="R292" s="564"/>
      <c r="S292" s="564"/>
      <c r="T292" s="564"/>
      <c r="U292" s="564"/>
      <c r="V292" s="564"/>
      <c r="W292" s="564"/>
      <c r="X292" s="564"/>
      <c r="Y292" s="564"/>
      <c r="Z292" s="564"/>
      <c r="AA292" s="564"/>
      <c r="AB292" s="556"/>
      <c r="AC292" s="556"/>
      <c r="AD292" s="556"/>
      <c r="AE292" s="556"/>
      <c r="AF292" s="556"/>
      <c r="AG292" s="556"/>
      <c r="AH292" s="556"/>
      <c r="AI292" s="556"/>
      <c r="AJ292" s="556"/>
      <c r="AK292" s="556"/>
      <c r="AL292" s="556"/>
      <c r="AM292" s="556"/>
      <c r="AN292" s="556"/>
      <c r="AO292" s="556"/>
      <c r="AP292" s="556"/>
      <c r="AQ292" s="556"/>
      <c r="AR292" s="556"/>
      <c r="AS292" s="565"/>
      <c r="AT292" s="556"/>
    </row>
    <row r="293" spans="1:46" hidden="1" x14ac:dyDescent="0.45">
      <c r="A293" s="556"/>
      <c r="B293" s="556"/>
      <c r="C293" s="556"/>
      <c r="D293" s="564"/>
      <c r="E293" s="556"/>
      <c r="F293" s="564"/>
      <c r="G293" s="564"/>
      <c r="H293" s="564"/>
      <c r="I293" s="564"/>
      <c r="J293" s="564"/>
      <c r="K293" s="564"/>
      <c r="L293" s="564"/>
      <c r="M293" s="564"/>
      <c r="N293" s="564"/>
      <c r="O293" s="564"/>
      <c r="P293" s="564"/>
      <c r="Q293" s="564"/>
      <c r="R293" s="564"/>
      <c r="S293" s="564"/>
      <c r="T293" s="564"/>
      <c r="U293" s="564"/>
      <c r="V293" s="564"/>
      <c r="W293" s="564"/>
      <c r="X293" s="564"/>
      <c r="Y293" s="564"/>
      <c r="Z293" s="564"/>
      <c r="AA293" s="564"/>
      <c r="AB293" s="556"/>
      <c r="AC293" s="556"/>
      <c r="AD293" s="556"/>
      <c r="AE293" s="556"/>
      <c r="AF293" s="556"/>
      <c r="AG293" s="556"/>
      <c r="AH293" s="556"/>
      <c r="AI293" s="556"/>
      <c r="AJ293" s="556"/>
      <c r="AK293" s="556"/>
      <c r="AL293" s="556"/>
      <c r="AM293" s="556"/>
      <c r="AN293" s="556"/>
      <c r="AO293" s="556"/>
      <c r="AP293" s="556"/>
      <c r="AQ293" s="556"/>
      <c r="AR293" s="556"/>
      <c r="AS293" s="565"/>
      <c r="AT293" s="556"/>
    </row>
    <row r="294" spans="1:46" hidden="1" x14ac:dyDescent="0.45">
      <c r="A294" s="556"/>
      <c r="B294" s="556"/>
      <c r="C294" s="556"/>
      <c r="D294" s="564"/>
      <c r="E294" s="556"/>
      <c r="F294" s="564"/>
      <c r="G294" s="564"/>
      <c r="H294" s="564"/>
      <c r="I294" s="564"/>
      <c r="J294" s="564"/>
      <c r="K294" s="564"/>
      <c r="L294" s="564"/>
      <c r="M294" s="564"/>
      <c r="N294" s="564"/>
      <c r="O294" s="564"/>
      <c r="P294" s="564"/>
      <c r="Q294" s="564"/>
      <c r="R294" s="564"/>
      <c r="S294" s="564"/>
      <c r="T294" s="564"/>
      <c r="U294" s="564"/>
      <c r="V294" s="564"/>
      <c r="W294" s="564"/>
      <c r="X294" s="564"/>
      <c r="Y294" s="564"/>
      <c r="Z294" s="564"/>
      <c r="AA294" s="564"/>
      <c r="AB294" s="556"/>
      <c r="AC294" s="556"/>
      <c r="AD294" s="556"/>
      <c r="AE294" s="556"/>
      <c r="AF294" s="556"/>
      <c r="AG294" s="556"/>
      <c r="AH294" s="556"/>
      <c r="AI294" s="556"/>
      <c r="AJ294" s="556"/>
      <c r="AK294" s="556"/>
      <c r="AL294" s="556"/>
      <c r="AM294" s="556"/>
      <c r="AN294" s="556"/>
      <c r="AO294" s="556"/>
      <c r="AP294" s="556"/>
      <c r="AQ294" s="556"/>
      <c r="AR294" s="556"/>
      <c r="AS294" s="565"/>
      <c r="AT294" s="556"/>
    </row>
    <row r="295" spans="1:46" hidden="1" x14ac:dyDescent="0.45">
      <c r="A295" s="556"/>
      <c r="B295" s="556"/>
      <c r="C295" s="556"/>
      <c r="D295" s="564"/>
      <c r="E295" s="556"/>
      <c r="F295" s="564"/>
      <c r="G295" s="564"/>
      <c r="H295" s="564"/>
      <c r="I295" s="564"/>
      <c r="J295" s="564"/>
      <c r="K295" s="564"/>
      <c r="L295" s="564"/>
      <c r="M295" s="564"/>
      <c r="N295" s="564"/>
      <c r="O295" s="564"/>
      <c r="P295" s="564"/>
      <c r="Q295" s="564"/>
      <c r="R295" s="564"/>
      <c r="S295" s="564"/>
      <c r="T295" s="564"/>
      <c r="U295" s="564"/>
      <c r="V295" s="564"/>
      <c r="W295" s="564"/>
      <c r="X295" s="564"/>
      <c r="Y295" s="564"/>
      <c r="Z295" s="564"/>
      <c r="AA295" s="564"/>
      <c r="AB295" s="556"/>
      <c r="AC295" s="556"/>
      <c r="AD295" s="556"/>
      <c r="AE295" s="556"/>
      <c r="AF295" s="556"/>
      <c r="AG295" s="556"/>
      <c r="AH295" s="556"/>
      <c r="AI295" s="556"/>
      <c r="AJ295" s="556"/>
      <c r="AK295" s="556"/>
      <c r="AL295" s="556"/>
      <c r="AM295" s="556"/>
      <c r="AN295" s="556"/>
      <c r="AO295" s="556"/>
      <c r="AP295" s="556"/>
      <c r="AQ295" s="556"/>
      <c r="AR295" s="556"/>
      <c r="AS295" s="565"/>
      <c r="AT295" s="556"/>
    </row>
    <row r="296" spans="1:46" hidden="1" x14ac:dyDescent="0.45">
      <c r="A296" s="556"/>
      <c r="B296" s="556"/>
      <c r="C296" s="556"/>
      <c r="D296" s="564"/>
      <c r="E296" s="556"/>
      <c r="F296" s="564"/>
      <c r="G296" s="564"/>
      <c r="H296" s="564"/>
      <c r="I296" s="564"/>
      <c r="J296" s="564"/>
      <c r="K296" s="564"/>
      <c r="L296" s="564"/>
      <c r="M296" s="564"/>
      <c r="N296" s="564"/>
      <c r="O296" s="564"/>
      <c r="P296" s="564"/>
      <c r="Q296" s="564"/>
      <c r="R296" s="564"/>
      <c r="S296" s="564"/>
      <c r="T296" s="564"/>
      <c r="U296" s="564"/>
      <c r="V296" s="564"/>
      <c r="W296" s="564"/>
      <c r="X296" s="564"/>
      <c r="Y296" s="564"/>
      <c r="Z296" s="564"/>
      <c r="AA296" s="564"/>
      <c r="AB296" s="556"/>
      <c r="AC296" s="556"/>
      <c r="AD296" s="556"/>
      <c r="AE296" s="556"/>
      <c r="AF296" s="556"/>
      <c r="AG296" s="556"/>
      <c r="AH296" s="556"/>
      <c r="AI296" s="556"/>
      <c r="AJ296" s="556"/>
      <c r="AK296" s="556"/>
      <c r="AL296" s="556"/>
      <c r="AM296" s="556"/>
      <c r="AN296" s="556"/>
      <c r="AO296" s="556"/>
      <c r="AP296" s="556"/>
      <c r="AQ296" s="556"/>
      <c r="AR296" s="556"/>
      <c r="AS296" s="565"/>
      <c r="AT296" s="556"/>
    </row>
    <row r="297" spans="1:46" hidden="1" x14ac:dyDescent="0.45">
      <c r="A297" s="556"/>
      <c r="B297" s="556"/>
      <c r="C297" s="556"/>
      <c r="D297" s="564"/>
      <c r="E297" s="556"/>
      <c r="F297" s="564"/>
      <c r="G297" s="564"/>
      <c r="H297" s="564"/>
      <c r="I297" s="564"/>
      <c r="J297" s="564"/>
      <c r="K297" s="564"/>
      <c r="L297" s="564"/>
      <c r="M297" s="564"/>
      <c r="N297" s="564"/>
      <c r="O297" s="564"/>
      <c r="P297" s="564"/>
      <c r="Q297" s="564"/>
      <c r="R297" s="564"/>
      <c r="S297" s="564"/>
      <c r="T297" s="564"/>
      <c r="U297" s="564"/>
      <c r="V297" s="564"/>
      <c r="W297" s="564"/>
      <c r="X297" s="564"/>
      <c r="Y297" s="564"/>
      <c r="Z297" s="564"/>
      <c r="AA297" s="564"/>
      <c r="AB297" s="556"/>
      <c r="AC297" s="556"/>
      <c r="AD297" s="556"/>
      <c r="AE297" s="556"/>
      <c r="AF297" s="556"/>
      <c r="AG297" s="556"/>
      <c r="AH297" s="556"/>
      <c r="AI297" s="556"/>
      <c r="AJ297" s="556"/>
      <c r="AK297" s="556"/>
      <c r="AL297" s="556"/>
      <c r="AM297" s="556"/>
      <c r="AN297" s="556"/>
      <c r="AO297" s="556"/>
      <c r="AP297" s="556"/>
      <c r="AQ297" s="556"/>
      <c r="AR297" s="556"/>
      <c r="AS297" s="565"/>
      <c r="AT297" s="556"/>
    </row>
    <row r="298" spans="1:46" hidden="1" x14ac:dyDescent="0.45">
      <c r="A298" s="556"/>
      <c r="B298" s="556"/>
      <c r="C298" s="556"/>
      <c r="D298" s="564"/>
      <c r="E298" s="556"/>
      <c r="F298" s="564"/>
      <c r="G298" s="564"/>
      <c r="H298" s="564"/>
      <c r="I298" s="564"/>
      <c r="J298" s="564"/>
      <c r="K298" s="564"/>
      <c r="L298" s="564"/>
      <c r="M298" s="564"/>
      <c r="N298" s="564"/>
      <c r="O298" s="564"/>
      <c r="P298" s="564"/>
      <c r="Q298" s="564"/>
      <c r="R298" s="564"/>
      <c r="S298" s="564"/>
      <c r="T298" s="564"/>
      <c r="U298" s="564"/>
      <c r="V298" s="564"/>
      <c r="W298" s="564"/>
      <c r="X298" s="564"/>
      <c r="Y298" s="564"/>
      <c r="Z298" s="564"/>
      <c r="AA298" s="564"/>
      <c r="AB298" s="556"/>
      <c r="AC298" s="556"/>
      <c r="AD298" s="556"/>
      <c r="AE298" s="556"/>
      <c r="AF298" s="556"/>
      <c r="AG298" s="556"/>
      <c r="AH298" s="556"/>
      <c r="AI298" s="556"/>
      <c r="AJ298" s="556"/>
      <c r="AK298" s="556"/>
      <c r="AL298" s="556"/>
      <c r="AM298" s="556"/>
      <c r="AN298" s="556"/>
      <c r="AO298" s="556"/>
      <c r="AP298" s="556"/>
      <c r="AQ298" s="556"/>
      <c r="AR298" s="556"/>
      <c r="AS298" s="565"/>
      <c r="AT298" s="556"/>
    </row>
    <row r="299" spans="1:46" hidden="1" x14ac:dyDescent="0.45">
      <c r="A299" s="556"/>
      <c r="B299" s="556"/>
      <c r="C299" s="556"/>
      <c r="D299" s="564"/>
      <c r="E299" s="556"/>
      <c r="F299" s="564"/>
      <c r="G299" s="564"/>
      <c r="H299" s="564"/>
      <c r="I299" s="564"/>
      <c r="J299" s="564"/>
      <c r="K299" s="564"/>
      <c r="L299" s="564"/>
      <c r="M299" s="564"/>
      <c r="N299" s="564"/>
      <c r="O299" s="564"/>
      <c r="P299" s="564"/>
      <c r="Q299" s="564"/>
      <c r="R299" s="564"/>
      <c r="S299" s="564"/>
      <c r="T299" s="564"/>
      <c r="U299" s="564"/>
      <c r="V299" s="564"/>
      <c r="W299" s="564"/>
      <c r="X299" s="564"/>
      <c r="Y299" s="564"/>
      <c r="Z299" s="564"/>
      <c r="AA299" s="564"/>
      <c r="AB299" s="556"/>
      <c r="AC299" s="556"/>
      <c r="AD299" s="556"/>
      <c r="AE299" s="556"/>
      <c r="AF299" s="556"/>
      <c r="AG299" s="556"/>
      <c r="AH299" s="556"/>
      <c r="AI299" s="556"/>
      <c r="AJ299" s="556"/>
      <c r="AK299" s="556"/>
      <c r="AL299" s="556"/>
      <c r="AM299" s="556"/>
      <c r="AN299" s="556"/>
      <c r="AO299" s="556"/>
      <c r="AP299" s="556"/>
      <c r="AQ299" s="556"/>
      <c r="AR299" s="556"/>
      <c r="AS299" s="565"/>
      <c r="AT299" s="556"/>
    </row>
    <row r="300" spans="1:46" hidden="1" x14ac:dyDescent="0.45">
      <c r="A300" s="556"/>
      <c r="B300" s="556"/>
      <c r="C300" s="556"/>
      <c r="D300" s="564"/>
      <c r="E300" s="556"/>
      <c r="F300" s="564"/>
      <c r="G300" s="564"/>
      <c r="H300" s="564"/>
      <c r="I300" s="564"/>
      <c r="J300" s="564"/>
      <c r="K300" s="564"/>
      <c r="L300" s="564"/>
      <c r="M300" s="564"/>
      <c r="N300" s="564"/>
      <c r="O300" s="564"/>
      <c r="P300" s="564"/>
      <c r="Q300" s="564"/>
      <c r="R300" s="564"/>
      <c r="S300" s="564"/>
      <c r="T300" s="564"/>
      <c r="U300" s="564"/>
      <c r="V300" s="564"/>
      <c r="W300" s="564"/>
      <c r="X300" s="564"/>
      <c r="Y300" s="564"/>
      <c r="Z300" s="564"/>
      <c r="AA300" s="564"/>
      <c r="AB300" s="556"/>
      <c r="AC300" s="556"/>
      <c r="AD300" s="556"/>
      <c r="AE300" s="556"/>
      <c r="AF300" s="556"/>
      <c r="AG300" s="556"/>
      <c r="AH300" s="556"/>
      <c r="AI300" s="556"/>
      <c r="AJ300" s="556"/>
      <c r="AK300" s="556"/>
      <c r="AL300" s="556"/>
      <c r="AM300" s="556"/>
      <c r="AN300" s="556"/>
      <c r="AO300" s="556"/>
      <c r="AP300" s="556"/>
      <c r="AQ300" s="556"/>
      <c r="AR300" s="556"/>
      <c r="AS300" s="565"/>
      <c r="AT300" s="556"/>
    </row>
    <row r="301" spans="1:46" hidden="1" x14ac:dyDescent="0.45">
      <c r="A301" s="556"/>
      <c r="B301" s="556"/>
      <c r="C301" s="556"/>
      <c r="D301" s="564"/>
      <c r="E301" s="556"/>
      <c r="F301" s="564"/>
      <c r="G301" s="564"/>
      <c r="H301" s="564"/>
      <c r="I301" s="564"/>
      <c r="J301" s="564"/>
      <c r="K301" s="564"/>
      <c r="L301" s="564"/>
      <c r="M301" s="564"/>
      <c r="N301" s="564"/>
      <c r="O301" s="564"/>
      <c r="P301" s="564"/>
      <c r="Q301" s="564"/>
      <c r="R301" s="564"/>
      <c r="S301" s="564"/>
      <c r="T301" s="564"/>
      <c r="U301" s="564"/>
      <c r="V301" s="564"/>
      <c r="W301" s="564"/>
      <c r="X301" s="564"/>
      <c r="Y301" s="564"/>
      <c r="Z301" s="564"/>
      <c r="AA301" s="564"/>
      <c r="AB301" s="556"/>
      <c r="AC301" s="556"/>
      <c r="AD301" s="556"/>
      <c r="AE301" s="556"/>
      <c r="AF301" s="556"/>
      <c r="AG301" s="556"/>
      <c r="AH301" s="556"/>
      <c r="AI301" s="556"/>
      <c r="AJ301" s="556"/>
      <c r="AK301" s="556"/>
      <c r="AL301" s="556"/>
      <c r="AM301" s="556"/>
      <c r="AN301" s="556"/>
      <c r="AO301" s="556"/>
      <c r="AP301" s="556"/>
      <c r="AQ301" s="556"/>
      <c r="AR301" s="556"/>
      <c r="AS301" s="565"/>
      <c r="AT301" s="556"/>
    </row>
    <row r="302" spans="1:46" hidden="1" x14ac:dyDescent="0.45">
      <c r="A302" s="556"/>
      <c r="B302" s="556"/>
      <c r="C302" s="556"/>
      <c r="D302" s="564"/>
      <c r="E302" s="556"/>
      <c r="F302" s="564"/>
      <c r="G302" s="564"/>
      <c r="H302" s="564"/>
      <c r="I302" s="564"/>
      <c r="J302" s="564"/>
      <c r="K302" s="564"/>
      <c r="L302" s="564"/>
      <c r="M302" s="564"/>
      <c r="N302" s="564"/>
      <c r="O302" s="564"/>
      <c r="P302" s="564"/>
      <c r="Q302" s="564"/>
      <c r="R302" s="564"/>
      <c r="S302" s="564"/>
      <c r="T302" s="564"/>
      <c r="U302" s="564"/>
      <c r="V302" s="564"/>
      <c r="W302" s="564"/>
      <c r="X302" s="564"/>
      <c r="Y302" s="564"/>
      <c r="Z302" s="564"/>
      <c r="AA302" s="564"/>
      <c r="AB302" s="556"/>
      <c r="AC302" s="556"/>
      <c r="AD302" s="556"/>
      <c r="AE302" s="556"/>
      <c r="AF302" s="556"/>
      <c r="AG302" s="556"/>
      <c r="AH302" s="556"/>
      <c r="AI302" s="556"/>
      <c r="AJ302" s="556"/>
      <c r="AK302" s="556"/>
      <c r="AL302" s="556"/>
      <c r="AM302" s="556"/>
      <c r="AN302" s="556"/>
      <c r="AO302" s="556"/>
      <c r="AP302" s="556"/>
      <c r="AQ302" s="556"/>
      <c r="AR302" s="556"/>
      <c r="AS302" s="565"/>
      <c r="AT302" s="556"/>
    </row>
    <row r="303" spans="1:46" hidden="1" x14ac:dyDescent="0.45">
      <c r="A303" s="556"/>
      <c r="B303" s="556"/>
      <c r="C303" s="556"/>
      <c r="D303" s="564"/>
      <c r="E303" s="556"/>
      <c r="F303" s="564"/>
      <c r="G303" s="564"/>
      <c r="H303" s="564"/>
      <c r="I303" s="564"/>
      <c r="J303" s="564"/>
      <c r="K303" s="564"/>
      <c r="L303" s="564"/>
      <c r="M303" s="564"/>
      <c r="N303" s="564"/>
      <c r="O303" s="564"/>
      <c r="P303" s="564"/>
      <c r="Q303" s="564"/>
      <c r="R303" s="564"/>
      <c r="S303" s="564"/>
      <c r="T303" s="564"/>
      <c r="U303" s="564"/>
      <c r="V303" s="564"/>
      <c r="W303" s="564"/>
      <c r="X303" s="564"/>
      <c r="Y303" s="564"/>
      <c r="Z303" s="564"/>
      <c r="AA303" s="564"/>
      <c r="AB303" s="556"/>
      <c r="AC303" s="556"/>
      <c r="AD303" s="556"/>
      <c r="AE303" s="556"/>
      <c r="AF303" s="556"/>
      <c r="AG303" s="556"/>
      <c r="AH303" s="556"/>
      <c r="AI303" s="556"/>
      <c r="AJ303" s="556"/>
      <c r="AK303" s="556"/>
      <c r="AL303" s="556"/>
      <c r="AM303" s="556"/>
      <c r="AN303" s="556"/>
      <c r="AO303" s="556"/>
      <c r="AP303" s="556"/>
      <c r="AQ303" s="556"/>
      <c r="AR303" s="556"/>
      <c r="AS303" s="565"/>
      <c r="AT303" s="556"/>
    </row>
    <row r="304" spans="1:46" hidden="1" x14ac:dyDescent="0.45">
      <c r="A304" s="556"/>
      <c r="B304" s="556"/>
      <c r="C304" s="556"/>
      <c r="D304" s="564"/>
      <c r="E304" s="556"/>
      <c r="F304" s="564"/>
      <c r="G304" s="564"/>
      <c r="H304" s="564"/>
      <c r="I304" s="564"/>
      <c r="J304" s="564"/>
      <c r="K304" s="564"/>
      <c r="L304" s="564"/>
      <c r="M304" s="564"/>
      <c r="N304" s="564"/>
      <c r="O304" s="564"/>
      <c r="P304" s="564"/>
      <c r="Q304" s="564"/>
      <c r="R304" s="564"/>
      <c r="S304" s="564"/>
      <c r="T304" s="564"/>
      <c r="U304" s="564"/>
      <c r="V304" s="564"/>
      <c r="W304" s="564"/>
      <c r="X304" s="564"/>
      <c r="Y304" s="564"/>
      <c r="Z304" s="564"/>
      <c r="AA304" s="564"/>
      <c r="AB304" s="556"/>
      <c r="AC304" s="556"/>
      <c r="AD304" s="556"/>
      <c r="AE304" s="556"/>
      <c r="AF304" s="556"/>
      <c r="AG304" s="556"/>
      <c r="AH304" s="556"/>
      <c r="AI304" s="556"/>
      <c r="AJ304" s="556"/>
      <c r="AK304" s="556"/>
      <c r="AL304" s="556"/>
      <c r="AM304" s="556"/>
      <c r="AN304" s="556"/>
      <c r="AO304" s="556"/>
      <c r="AP304" s="556"/>
      <c r="AQ304" s="556"/>
      <c r="AR304" s="556"/>
      <c r="AS304" s="565"/>
      <c r="AT304" s="556"/>
    </row>
    <row r="305" spans="1:46" hidden="1" x14ac:dyDescent="0.45">
      <c r="A305" s="556"/>
      <c r="B305" s="556"/>
      <c r="C305" s="556"/>
      <c r="D305" s="564"/>
      <c r="E305" s="556"/>
      <c r="F305" s="564"/>
      <c r="G305" s="564"/>
      <c r="H305" s="564"/>
      <c r="I305" s="564"/>
      <c r="J305" s="564"/>
      <c r="K305" s="564"/>
      <c r="L305" s="564"/>
      <c r="M305" s="564"/>
      <c r="N305" s="564"/>
      <c r="O305" s="564"/>
      <c r="P305" s="564"/>
      <c r="Q305" s="564"/>
      <c r="R305" s="564"/>
      <c r="S305" s="564"/>
      <c r="T305" s="564"/>
      <c r="U305" s="564"/>
      <c r="V305" s="564"/>
      <c r="W305" s="564"/>
      <c r="X305" s="564"/>
      <c r="Y305" s="564"/>
      <c r="Z305" s="564"/>
      <c r="AA305" s="564"/>
      <c r="AB305" s="556"/>
      <c r="AC305" s="556"/>
      <c r="AD305" s="556"/>
      <c r="AE305" s="556"/>
      <c r="AF305" s="556"/>
      <c r="AG305" s="556"/>
      <c r="AH305" s="556"/>
      <c r="AI305" s="556"/>
      <c r="AJ305" s="556"/>
      <c r="AK305" s="556"/>
      <c r="AL305" s="556"/>
      <c r="AM305" s="556"/>
      <c r="AN305" s="556"/>
      <c r="AO305" s="556"/>
      <c r="AP305" s="556"/>
      <c r="AQ305" s="556"/>
      <c r="AR305" s="556"/>
      <c r="AS305" s="565"/>
      <c r="AT305" s="556"/>
    </row>
    <row r="306" spans="1:46" hidden="1" x14ac:dyDescent="0.45">
      <c r="A306" s="556"/>
      <c r="B306" s="556"/>
      <c r="C306" s="556"/>
      <c r="D306" s="564"/>
      <c r="E306" s="556"/>
      <c r="F306" s="564"/>
      <c r="G306" s="564"/>
      <c r="H306" s="564"/>
      <c r="I306" s="564"/>
      <c r="J306" s="564"/>
      <c r="K306" s="564"/>
      <c r="L306" s="564"/>
      <c r="M306" s="564"/>
      <c r="N306" s="564"/>
      <c r="O306" s="564"/>
      <c r="P306" s="564"/>
      <c r="Q306" s="564"/>
      <c r="R306" s="564"/>
      <c r="S306" s="564"/>
      <c r="T306" s="564"/>
      <c r="U306" s="564"/>
      <c r="V306" s="564"/>
      <c r="W306" s="564"/>
      <c r="X306" s="564"/>
      <c r="Y306" s="564"/>
      <c r="Z306" s="564"/>
      <c r="AA306" s="564"/>
      <c r="AB306" s="556"/>
      <c r="AC306" s="556"/>
      <c r="AD306" s="556"/>
      <c r="AE306" s="556"/>
      <c r="AF306" s="556"/>
      <c r="AG306" s="556"/>
      <c r="AH306" s="556"/>
      <c r="AI306" s="556"/>
      <c r="AJ306" s="556"/>
      <c r="AK306" s="556"/>
      <c r="AL306" s="556"/>
      <c r="AM306" s="556"/>
      <c r="AN306" s="556"/>
      <c r="AO306" s="556"/>
      <c r="AP306" s="556"/>
      <c r="AQ306" s="556"/>
      <c r="AR306" s="556"/>
      <c r="AS306" s="565"/>
      <c r="AT306" s="556"/>
    </row>
    <row r="307" spans="1:46" hidden="1" x14ac:dyDescent="0.45">
      <c r="A307" s="556"/>
      <c r="B307" s="556"/>
      <c r="C307" s="556"/>
      <c r="D307" s="564"/>
      <c r="E307" s="556"/>
      <c r="F307" s="564"/>
      <c r="G307" s="564"/>
      <c r="H307" s="564"/>
      <c r="I307" s="564"/>
      <c r="J307" s="564"/>
      <c r="K307" s="564"/>
      <c r="L307" s="564"/>
      <c r="M307" s="564"/>
      <c r="N307" s="564"/>
      <c r="O307" s="564"/>
      <c r="P307" s="564"/>
      <c r="Q307" s="564"/>
      <c r="R307" s="564"/>
      <c r="S307" s="564"/>
      <c r="T307" s="564"/>
      <c r="U307" s="564"/>
      <c r="V307" s="564"/>
      <c r="W307" s="564"/>
      <c r="X307" s="564"/>
      <c r="Y307" s="564"/>
      <c r="Z307" s="564"/>
      <c r="AA307" s="564"/>
      <c r="AB307" s="556"/>
      <c r="AC307" s="556"/>
      <c r="AD307" s="556"/>
      <c r="AE307" s="556"/>
      <c r="AF307" s="556"/>
      <c r="AG307" s="556"/>
      <c r="AH307" s="556"/>
      <c r="AI307" s="556"/>
      <c r="AJ307" s="556"/>
      <c r="AK307" s="556"/>
      <c r="AL307" s="556"/>
      <c r="AM307" s="556"/>
      <c r="AN307" s="556"/>
      <c r="AO307" s="556"/>
      <c r="AP307" s="556"/>
      <c r="AQ307" s="556"/>
      <c r="AR307" s="556"/>
      <c r="AS307" s="565"/>
      <c r="AT307" s="556"/>
    </row>
    <row r="308" spans="1:46" hidden="1" x14ac:dyDescent="0.45">
      <c r="A308" s="556"/>
      <c r="B308" s="556"/>
      <c r="C308" s="556"/>
      <c r="D308" s="564"/>
      <c r="E308" s="556"/>
      <c r="F308" s="564"/>
      <c r="G308" s="564"/>
      <c r="H308" s="564"/>
      <c r="I308" s="564"/>
      <c r="J308" s="564"/>
      <c r="K308" s="564"/>
      <c r="L308" s="564"/>
      <c r="M308" s="564"/>
      <c r="N308" s="564"/>
      <c r="O308" s="564"/>
      <c r="P308" s="564"/>
      <c r="Q308" s="564"/>
      <c r="R308" s="564"/>
      <c r="S308" s="564"/>
      <c r="T308" s="564"/>
      <c r="U308" s="564"/>
      <c r="V308" s="564"/>
      <c r="W308" s="564"/>
      <c r="X308" s="564"/>
      <c r="Y308" s="564"/>
      <c r="Z308" s="564"/>
      <c r="AA308" s="564"/>
      <c r="AB308" s="556"/>
      <c r="AC308" s="556"/>
      <c r="AD308" s="556"/>
      <c r="AE308" s="556"/>
      <c r="AF308" s="556"/>
      <c r="AG308" s="556"/>
      <c r="AH308" s="556"/>
      <c r="AI308" s="556"/>
      <c r="AJ308" s="556"/>
      <c r="AK308" s="556"/>
      <c r="AL308" s="556"/>
      <c r="AM308" s="556"/>
      <c r="AN308" s="556"/>
      <c r="AO308" s="556"/>
      <c r="AP308" s="556"/>
      <c r="AQ308" s="556"/>
      <c r="AR308" s="556"/>
      <c r="AS308" s="565"/>
      <c r="AT308" s="556"/>
    </row>
    <row r="309" spans="1:46" hidden="1" x14ac:dyDescent="0.45">
      <c r="A309" s="556"/>
      <c r="B309" s="556"/>
      <c r="C309" s="556"/>
      <c r="D309" s="564"/>
      <c r="E309" s="556"/>
      <c r="F309" s="564"/>
      <c r="G309" s="564"/>
      <c r="H309" s="564"/>
      <c r="I309" s="564"/>
      <c r="J309" s="564"/>
      <c r="K309" s="564"/>
      <c r="L309" s="564"/>
      <c r="M309" s="564"/>
      <c r="N309" s="564"/>
      <c r="O309" s="564"/>
      <c r="P309" s="564"/>
      <c r="Q309" s="564"/>
      <c r="R309" s="564"/>
      <c r="S309" s="564"/>
      <c r="T309" s="564"/>
      <c r="U309" s="564"/>
      <c r="V309" s="564"/>
      <c r="W309" s="564"/>
      <c r="X309" s="564"/>
      <c r="Y309" s="564"/>
      <c r="Z309" s="564"/>
      <c r="AA309" s="564"/>
      <c r="AB309" s="556"/>
      <c r="AC309" s="556"/>
      <c r="AD309" s="556"/>
      <c r="AE309" s="556"/>
      <c r="AF309" s="556"/>
      <c r="AG309" s="556"/>
      <c r="AH309" s="556"/>
      <c r="AI309" s="556"/>
      <c r="AJ309" s="556"/>
      <c r="AK309" s="556"/>
      <c r="AL309" s="556"/>
      <c r="AM309" s="556"/>
      <c r="AN309" s="556"/>
      <c r="AO309" s="556"/>
      <c r="AP309" s="556"/>
      <c r="AQ309" s="556"/>
      <c r="AR309" s="556"/>
      <c r="AS309" s="565"/>
      <c r="AT309" s="556"/>
    </row>
    <row r="310" spans="1:46" hidden="1" x14ac:dyDescent="0.45">
      <c r="A310" s="556"/>
      <c r="B310" s="556"/>
      <c r="C310" s="556"/>
      <c r="D310" s="564"/>
      <c r="E310" s="556"/>
      <c r="F310" s="564"/>
      <c r="G310" s="564"/>
      <c r="H310" s="564"/>
      <c r="I310" s="564"/>
      <c r="J310" s="564"/>
      <c r="K310" s="564"/>
      <c r="L310" s="564"/>
      <c r="M310" s="564"/>
      <c r="N310" s="564"/>
      <c r="O310" s="564"/>
      <c r="P310" s="564"/>
      <c r="Q310" s="564"/>
      <c r="R310" s="564"/>
      <c r="S310" s="564"/>
      <c r="T310" s="564"/>
      <c r="U310" s="564"/>
      <c r="V310" s="564"/>
      <c r="W310" s="564"/>
      <c r="X310" s="564"/>
      <c r="Y310" s="564"/>
      <c r="Z310" s="564"/>
      <c r="AA310" s="564"/>
      <c r="AB310" s="556"/>
      <c r="AC310" s="556"/>
      <c r="AD310" s="556"/>
      <c r="AE310" s="556"/>
      <c r="AF310" s="556"/>
      <c r="AG310" s="556"/>
      <c r="AH310" s="556"/>
      <c r="AI310" s="556"/>
      <c r="AJ310" s="556"/>
      <c r="AK310" s="556"/>
      <c r="AL310" s="556"/>
      <c r="AM310" s="556"/>
      <c r="AN310" s="556"/>
      <c r="AO310" s="556"/>
      <c r="AP310" s="556"/>
      <c r="AQ310" s="556"/>
      <c r="AR310" s="556"/>
      <c r="AS310" s="565"/>
      <c r="AT310" s="556"/>
    </row>
    <row r="311" spans="1:46" hidden="1" x14ac:dyDescent="0.45">
      <c r="A311" s="556"/>
      <c r="B311" s="556"/>
      <c r="C311" s="556"/>
      <c r="D311" s="564"/>
      <c r="E311" s="556"/>
      <c r="F311" s="564"/>
      <c r="G311" s="564"/>
      <c r="H311" s="564"/>
      <c r="I311" s="564"/>
      <c r="J311" s="564"/>
      <c r="K311" s="564"/>
      <c r="L311" s="564"/>
      <c r="M311" s="564"/>
      <c r="N311" s="564"/>
      <c r="O311" s="564"/>
      <c r="P311" s="564"/>
      <c r="Q311" s="564"/>
      <c r="R311" s="564"/>
      <c r="S311" s="564"/>
      <c r="T311" s="564"/>
      <c r="U311" s="564"/>
      <c r="V311" s="564"/>
      <c r="W311" s="564"/>
      <c r="X311" s="564"/>
      <c r="Y311" s="564"/>
      <c r="Z311" s="564"/>
      <c r="AA311" s="564"/>
      <c r="AB311" s="556"/>
      <c r="AC311" s="556"/>
      <c r="AD311" s="556"/>
      <c r="AE311" s="556"/>
      <c r="AF311" s="556"/>
      <c r="AG311" s="556"/>
      <c r="AH311" s="556"/>
      <c r="AI311" s="556"/>
      <c r="AJ311" s="556"/>
      <c r="AK311" s="556"/>
      <c r="AL311" s="556"/>
      <c r="AM311" s="556"/>
      <c r="AN311" s="556"/>
      <c r="AO311" s="556"/>
      <c r="AP311" s="556"/>
      <c r="AQ311" s="556"/>
      <c r="AR311" s="556"/>
      <c r="AS311" s="565"/>
      <c r="AT311" s="556"/>
    </row>
    <row r="312" spans="1:46" hidden="1" x14ac:dyDescent="0.45">
      <c r="A312" s="556"/>
      <c r="B312" s="556"/>
      <c r="C312" s="556"/>
      <c r="D312" s="564"/>
      <c r="E312" s="556"/>
      <c r="F312" s="564"/>
      <c r="G312" s="564"/>
      <c r="H312" s="564"/>
      <c r="I312" s="564"/>
      <c r="J312" s="564"/>
      <c r="K312" s="564"/>
      <c r="L312" s="564"/>
      <c r="M312" s="564"/>
      <c r="N312" s="564"/>
      <c r="O312" s="564"/>
      <c r="P312" s="564"/>
      <c r="Q312" s="564"/>
      <c r="R312" s="564"/>
      <c r="S312" s="564"/>
      <c r="T312" s="564"/>
      <c r="U312" s="564"/>
      <c r="V312" s="564"/>
      <c r="W312" s="564"/>
      <c r="X312" s="564"/>
      <c r="Y312" s="564"/>
      <c r="Z312" s="564"/>
      <c r="AA312" s="564"/>
      <c r="AB312" s="556"/>
      <c r="AC312" s="556"/>
      <c r="AD312" s="556"/>
      <c r="AE312" s="556"/>
      <c r="AF312" s="556"/>
      <c r="AG312" s="556"/>
      <c r="AH312" s="556"/>
      <c r="AI312" s="556"/>
      <c r="AJ312" s="556"/>
      <c r="AK312" s="556"/>
      <c r="AL312" s="556"/>
      <c r="AM312" s="556"/>
      <c r="AN312" s="556"/>
      <c r="AO312" s="556"/>
      <c r="AP312" s="556"/>
      <c r="AQ312" s="556"/>
      <c r="AR312" s="556"/>
      <c r="AS312" s="565"/>
      <c r="AT312" s="556"/>
    </row>
    <row r="313" spans="1:46" hidden="1" x14ac:dyDescent="0.45">
      <c r="A313" s="556"/>
      <c r="B313" s="556"/>
      <c r="C313" s="556"/>
      <c r="D313" s="564"/>
      <c r="E313" s="556"/>
      <c r="F313" s="564"/>
      <c r="G313" s="564"/>
      <c r="H313" s="564"/>
      <c r="I313" s="564"/>
      <c r="J313" s="564"/>
      <c r="K313" s="564"/>
      <c r="L313" s="564"/>
      <c r="M313" s="564"/>
      <c r="N313" s="564"/>
      <c r="O313" s="564"/>
      <c r="P313" s="564"/>
      <c r="Q313" s="564"/>
      <c r="R313" s="564"/>
      <c r="S313" s="564"/>
      <c r="T313" s="564"/>
      <c r="U313" s="564"/>
      <c r="V313" s="564"/>
      <c r="W313" s="564"/>
      <c r="X313" s="564"/>
      <c r="Y313" s="564"/>
      <c r="Z313" s="564"/>
      <c r="AA313" s="564"/>
      <c r="AB313" s="556"/>
      <c r="AC313" s="556"/>
      <c r="AD313" s="556"/>
      <c r="AE313" s="556"/>
      <c r="AF313" s="556"/>
      <c r="AG313" s="556"/>
      <c r="AH313" s="556"/>
      <c r="AI313" s="556"/>
      <c r="AJ313" s="556"/>
      <c r="AK313" s="556"/>
      <c r="AL313" s="556"/>
      <c r="AM313" s="556"/>
      <c r="AN313" s="556"/>
      <c r="AO313" s="556"/>
      <c r="AP313" s="556"/>
      <c r="AQ313" s="556"/>
      <c r="AR313" s="556"/>
      <c r="AS313" s="565"/>
      <c r="AT313" s="556"/>
    </row>
    <row r="314" spans="1:46" hidden="1" x14ac:dyDescent="0.45">
      <c r="A314" s="556"/>
      <c r="B314" s="556"/>
      <c r="C314" s="556"/>
      <c r="D314" s="564"/>
      <c r="E314" s="556"/>
      <c r="F314" s="564"/>
      <c r="G314" s="564"/>
      <c r="H314" s="564"/>
      <c r="I314" s="564"/>
      <c r="J314" s="564"/>
      <c r="K314" s="564"/>
      <c r="L314" s="564"/>
      <c r="M314" s="564"/>
      <c r="N314" s="564"/>
      <c r="O314" s="564"/>
      <c r="P314" s="564"/>
      <c r="Q314" s="564"/>
      <c r="R314" s="564"/>
      <c r="S314" s="564"/>
      <c r="T314" s="564"/>
      <c r="U314" s="564"/>
      <c r="V314" s="564"/>
      <c r="W314" s="564"/>
      <c r="X314" s="564"/>
      <c r="Y314" s="564"/>
      <c r="Z314" s="564"/>
      <c r="AA314" s="564"/>
      <c r="AB314" s="556"/>
      <c r="AC314" s="556"/>
      <c r="AD314" s="556"/>
      <c r="AE314" s="556"/>
      <c r="AF314" s="556"/>
      <c r="AG314" s="556"/>
      <c r="AH314" s="556"/>
      <c r="AI314" s="556"/>
      <c r="AJ314" s="556"/>
      <c r="AK314" s="556"/>
      <c r="AL314" s="556"/>
      <c r="AM314" s="556"/>
      <c r="AN314" s="556"/>
      <c r="AO314" s="556"/>
      <c r="AP314" s="556"/>
      <c r="AQ314" s="556"/>
      <c r="AR314" s="556"/>
      <c r="AS314" s="565"/>
      <c r="AT314" s="556"/>
    </row>
    <row r="315" spans="1:46" hidden="1" x14ac:dyDescent="0.45">
      <c r="A315" s="556"/>
      <c r="B315" s="556"/>
      <c r="C315" s="556"/>
      <c r="D315" s="564"/>
      <c r="E315" s="556"/>
      <c r="F315" s="564"/>
      <c r="G315" s="564"/>
      <c r="H315" s="564"/>
      <c r="I315" s="564"/>
      <c r="J315" s="564"/>
      <c r="K315" s="564"/>
      <c r="L315" s="564"/>
      <c r="M315" s="564"/>
      <c r="N315" s="564"/>
      <c r="O315" s="564"/>
      <c r="P315" s="564"/>
      <c r="Q315" s="564"/>
      <c r="R315" s="564"/>
      <c r="S315" s="564"/>
      <c r="T315" s="564"/>
      <c r="U315" s="564"/>
      <c r="V315" s="564"/>
      <c r="W315" s="564"/>
      <c r="X315" s="564"/>
      <c r="Y315" s="564"/>
      <c r="Z315" s="564"/>
      <c r="AA315" s="564"/>
      <c r="AB315" s="556"/>
      <c r="AC315" s="556"/>
      <c r="AD315" s="556"/>
      <c r="AE315" s="556"/>
      <c r="AF315" s="556"/>
      <c r="AG315" s="556"/>
      <c r="AH315" s="556"/>
      <c r="AI315" s="556"/>
      <c r="AJ315" s="556"/>
      <c r="AK315" s="556"/>
      <c r="AL315" s="556"/>
      <c r="AM315" s="556"/>
      <c r="AN315" s="556"/>
      <c r="AO315" s="556"/>
      <c r="AP315" s="556"/>
      <c r="AQ315" s="556"/>
      <c r="AR315" s="556"/>
      <c r="AS315" s="565"/>
      <c r="AT315" s="556"/>
    </row>
    <row r="316" spans="1:46" hidden="1" x14ac:dyDescent="0.45">
      <c r="A316" s="556"/>
      <c r="B316" s="556"/>
      <c r="C316" s="556"/>
      <c r="D316" s="564"/>
      <c r="E316" s="556"/>
      <c r="F316" s="564"/>
      <c r="G316" s="564"/>
      <c r="H316" s="564"/>
      <c r="I316" s="564"/>
      <c r="J316" s="564"/>
      <c r="K316" s="564"/>
      <c r="L316" s="564"/>
      <c r="M316" s="564"/>
      <c r="N316" s="564"/>
      <c r="O316" s="564"/>
      <c r="P316" s="564"/>
      <c r="Q316" s="564"/>
      <c r="R316" s="564"/>
      <c r="S316" s="564"/>
      <c r="T316" s="564"/>
      <c r="U316" s="564"/>
      <c r="V316" s="564"/>
      <c r="W316" s="564"/>
      <c r="X316" s="564"/>
      <c r="Y316" s="564"/>
      <c r="Z316" s="564"/>
      <c r="AA316" s="564"/>
      <c r="AB316" s="556"/>
      <c r="AC316" s="556"/>
      <c r="AD316" s="556"/>
      <c r="AE316" s="556"/>
      <c r="AF316" s="556"/>
      <c r="AG316" s="556"/>
      <c r="AH316" s="556"/>
      <c r="AI316" s="556"/>
      <c r="AJ316" s="556"/>
      <c r="AK316" s="556"/>
      <c r="AL316" s="556"/>
      <c r="AM316" s="556"/>
      <c r="AN316" s="556"/>
      <c r="AO316" s="556"/>
      <c r="AP316" s="556"/>
      <c r="AQ316" s="556"/>
      <c r="AR316" s="556"/>
      <c r="AS316" s="565"/>
      <c r="AT316" s="556"/>
    </row>
    <row r="317" spans="1:46" hidden="1" x14ac:dyDescent="0.45">
      <c r="A317" s="556"/>
      <c r="B317" s="556"/>
      <c r="C317" s="556"/>
      <c r="D317" s="564"/>
      <c r="E317" s="556"/>
      <c r="F317" s="564"/>
      <c r="G317" s="564"/>
      <c r="H317" s="564"/>
      <c r="I317" s="564"/>
      <c r="J317" s="564"/>
      <c r="K317" s="564"/>
      <c r="L317" s="564"/>
      <c r="M317" s="564"/>
      <c r="N317" s="564"/>
      <c r="O317" s="564"/>
      <c r="P317" s="564"/>
      <c r="Q317" s="564"/>
      <c r="R317" s="564"/>
      <c r="S317" s="564"/>
      <c r="T317" s="564"/>
      <c r="U317" s="564"/>
      <c r="V317" s="564"/>
      <c r="W317" s="564"/>
      <c r="X317" s="564"/>
      <c r="Y317" s="564"/>
      <c r="Z317" s="564"/>
      <c r="AA317" s="564"/>
      <c r="AB317" s="556"/>
      <c r="AC317" s="556"/>
      <c r="AD317" s="556"/>
      <c r="AE317" s="556"/>
      <c r="AF317" s="556"/>
      <c r="AG317" s="556"/>
      <c r="AH317" s="556"/>
      <c r="AI317" s="556"/>
      <c r="AJ317" s="556"/>
      <c r="AK317" s="556"/>
      <c r="AL317" s="556"/>
      <c r="AM317" s="556"/>
      <c r="AN317" s="556"/>
      <c r="AO317" s="556"/>
      <c r="AP317" s="556"/>
      <c r="AQ317" s="556"/>
      <c r="AR317" s="556"/>
      <c r="AS317" s="565"/>
      <c r="AT317" s="556"/>
    </row>
    <row r="318" spans="1:46" hidden="1" x14ac:dyDescent="0.45">
      <c r="A318" s="556"/>
      <c r="B318" s="556"/>
      <c r="C318" s="556"/>
      <c r="D318" s="564"/>
      <c r="E318" s="556"/>
      <c r="F318" s="564"/>
      <c r="G318" s="564"/>
      <c r="H318" s="564"/>
      <c r="I318" s="564"/>
      <c r="J318" s="564"/>
      <c r="K318" s="564"/>
      <c r="L318" s="564"/>
      <c r="M318" s="564"/>
      <c r="N318" s="564"/>
      <c r="O318" s="564"/>
      <c r="P318" s="564"/>
      <c r="Q318" s="564"/>
      <c r="R318" s="564"/>
      <c r="S318" s="564"/>
      <c r="T318" s="564"/>
      <c r="U318" s="564"/>
      <c r="V318" s="564"/>
      <c r="W318" s="564"/>
      <c r="X318" s="564"/>
      <c r="Y318" s="564"/>
      <c r="Z318" s="564"/>
      <c r="AA318" s="564"/>
      <c r="AB318" s="556"/>
      <c r="AC318" s="556"/>
      <c r="AD318" s="556"/>
      <c r="AE318" s="556"/>
      <c r="AF318" s="556"/>
      <c r="AG318" s="556"/>
      <c r="AH318" s="556"/>
      <c r="AI318" s="556"/>
      <c r="AJ318" s="556"/>
      <c r="AK318" s="556"/>
      <c r="AL318" s="556"/>
      <c r="AM318" s="556"/>
      <c r="AN318" s="556"/>
      <c r="AO318" s="556"/>
      <c r="AP318" s="556"/>
      <c r="AQ318" s="556"/>
      <c r="AR318" s="556"/>
      <c r="AS318" s="565"/>
      <c r="AT318" s="556"/>
    </row>
    <row r="319" spans="1:46" hidden="1" x14ac:dyDescent="0.45">
      <c r="A319" s="556"/>
      <c r="B319" s="556"/>
      <c r="C319" s="556"/>
      <c r="D319" s="564"/>
      <c r="E319" s="556"/>
      <c r="F319" s="564"/>
      <c r="G319" s="564"/>
      <c r="H319" s="564"/>
      <c r="I319" s="564"/>
      <c r="J319" s="564"/>
      <c r="K319" s="564"/>
      <c r="L319" s="564"/>
      <c r="M319" s="564"/>
      <c r="N319" s="564"/>
      <c r="O319" s="564"/>
      <c r="P319" s="564"/>
      <c r="Q319" s="564"/>
      <c r="R319" s="564"/>
      <c r="S319" s="564"/>
      <c r="T319" s="564"/>
      <c r="U319" s="564"/>
      <c r="V319" s="564"/>
      <c r="W319" s="564"/>
      <c r="X319" s="564"/>
      <c r="Y319" s="564"/>
      <c r="Z319" s="564"/>
      <c r="AA319" s="564"/>
      <c r="AB319" s="556"/>
      <c r="AC319" s="556"/>
      <c r="AD319" s="556"/>
      <c r="AE319" s="556"/>
      <c r="AF319" s="556"/>
      <c r="AG319" s="556"/>
      <c r="AH319" s="556"/>
      <c r="AI319" s="556"/>
      <c r="AJ319" s="556"/>
      <c r="AK319" s="556"/>
      <c r="AL319" s="556"/>
      <c r="AM319" s="556"/>
      <c r="AN319" s="556"/>
      <c r="AO319" s="556"/>
      <c r="AP319" s="556"/>
      <c r="AQ319" s="556"/>
      <c r="AR319" s="556"/>
      <c r="AS319" s="565"/>
      <c r="AT319" s="556"/>
    </row>
    <row r="320" spans="1:46" hidden="1" x14ac:dyDescent="0.45">
      <c r="A320" s="556"/>
      <c r="B320" s="556"/>
      <c r="C320" s="556"/>
      <c r="D320" s="564"/>
      <c r="E320" s="556"/>
      <c r="F320" s="564"/>
      <c r="G320" s="564"/>
      <c r="H320" s="564"/>
      <c r="I320" s="564"/>
      <c r="J320" s="564"/>
      <c r="K320" s="564"/>
      <c r="L320" s="564"/>
      <c r="M320" s="564"/>
      <c r="N320" s="564"/>
      <c r="O320" s="564"/>
      <c r="P320" s="564"/>
      <c r="Q320" s="564"/>
      <c r="R320" s="564"/>
      <c r="S320" s="564"/>
      <c r="T320" s="564"/>
      <c r="U320" s="564"/>
      <c r="V320" s="564"/>
      <c r="W320" s="564"/>
      <c r="X320" s="564"/>
      <c r="Y320" s="564"/>
      <c r="Z320" s="564"/>
      <c r="AA320" s="564"/>
      <c r="AB320" s="556"/>
      <c r="AC320" s="556"/>
      <c r="AD320" s="556"/>
      <c r="AE320" s="556"/>
      <c r="AF320" s="556"/>
      <c r="AG320" s="556"/>
      <c r="AH320" s="556"/>
      <c r="AI320" s="556"/>
      <c r="AJ320" s="556"/>
      <c r="AK320" s="556"/>
      <c r="AL320" s="556"/>
      <c r="AM320" s="556"/>
      <c r="AN320" s="556"/>
      <c r="AO320" s="556"/>
      <c r="AP320" s="556"/>
      <c r="AQ320" s="556"/>
      <c r="AR320" s="556"/>
      <c r="AS320" s="565"/>
      <c r="AT320" s="556"/>
    </row>
    <row r="321" spans="1:46" hidden="1" x14ac:dyDescent="0.45">
      <c r="A321" s="556"/>
      <c r="B321" s="556"/>
      <c r="C321" s="556"/>
      <c r="D321" s="564"/>
      <c r="E321" s="556"/>
      <c r="F321" s="564"/>
      <c r="G321" s="564"/>
      <c r="H321" s="564"/>
      <c r="I321" s="564"/>
      <c r="J321" s="564"/>
      <c r="K321" s="564"/>
      <c r="L321" s="564"/>
      <c r="M321" s="564"/>
      <c r="N321" s="564"/>
      <c r="O321" s="564"/>
      <c r="P321" s="564"/>
      <c r="Q321" s="564"/>
      <c r="R321" s="564"/>
      <c r="S321" s="564"/>
      <c r="T321" s="564"/>
      <c r="U321" s="564"/>
      <c r="V321" s="564"/>
      <c r="W321" s="564"/>
      <c r="X321" s="564"/>
      <c r="Y321" s="564"/>
      <c r="Z321" s="564"/>
      <c r="AA321" s="564"/>
      <c r="AB321" s="556"/>
      <c r="AC321" s="556"/>
      <c r="AD321" s="556"/>
      <c r="AE321" s="556"/>
      <c r="AF321" s="556"/>
      <c r="AG321" s="556"/>
      <c r="AH321" s="556"/>
      <c r="AI321" s="556"/>
      <c r="AJ321" s="556"/>
      <c r="AK321" s="556"/>
      <c r="AL321" s="556"/>
      <c r="AM321" s="556"/>
      <c r="AN321" s="556"/>
      <c r="AO321" s="556"/>
      <c r="AP321" s="556"/>
      <c r="AQ321" s="556"/>
      <c r="AR321" s="556"/>
      <c r="AS321" s="565"/>
      <c r="AT321" s="556"/>
    </row>
    <row r="322" spans="1:46" hidden="1" x14ac:dyDescent="0.45">
      <c r="A322" s="556"/>
      <c r="B322" s="556"/>
      <c r="C322" s="556"/>
      <c r="D322" s="564"/>
      <c r="E322" s="556"/>
      <c r="F322" s="564"/>
      <c r="G322" s="564"/>
      <c r="H322" s="564"/>
      <c r="I322" s="564"/>
      <c r="J322" s="564"/>
      <c r="K322" s="564"/>
      <c r="L322" s="564"/>
      <c r="M322" s="564"/>
      <c r="N322" s="564"/>
      <c r="O322" s="564"/>
      <c r="P322" s="564"/>
      <c r="Q322" s="564"/>
      <c r="R322" s="564"/>
      <c r="S322" s="564"/>
      <c r="T322" s="564"/>
      <c r="U322" s="564"/>
      <c r="V322" s="564"/>
      <c r="W322" s="564"/>
      <c r="X322" s="564"/>
      <c r="Y322" s="564"/>
      <c r="Z322" s="564"/>
      <c r="AA322" s="564"/>
      <c r="AB322" s="556"/>
      <c r="AC322" s="556"/>
      <c r="AD322" s="556"/>
      <c r="AE322" s="556"/>
      <c r="AF322" s="556"/>
      <c r="AG322" s="556"/>
      <c r="AH322" s="556"/>
      <c r="AI322" s="556"/>
      <c r="AJ322" s="556"/>
      <c r="AK322" s="556"/>
      <c r="AL322" s="556"/>
      <c r="AM322" s="556"/>
      <c r="AN322" s="556"/>
      <c r="AO322" s="556"/>
      <c r="AP322" s="556"/>
      <c r="AQ322" s="556"/>
      <c r="AR322" s="556"/>
      <c r="AS322" s="565"/>
      <c r="AT322" s="556"/>
    </row>
    <row r="323" spans="1:46" hidden="1" x14ac:dyDescent="0.45">
      <c r="A323" s="556"/>
      <c r="B323" s="556"/>
      <c r="C323" s="556"/>
      <c r="D323" s="564"/>
      <c r="E323" s="556"/>
      <c r="F323" s="564"/>
      <c r="G323" s="564"/>
      <c r="H323" s="564"/>
      <c r="I323" s="564"/>
      <c r="J323" s="564"/>
      <c r="K323" s="564"/>
      <c r="L323" s="564"/>
      <c r="M323" s="564"/>
      <c r="N323" s="564"/>
      <c r="O323" s="564"/>
      <c r="P323" s="564"/>
      <c r="Q323" s="564"/>
      <c r="R323" s="564"/>
      <c r="S323" s="564"/>
      <c r="T323" s="564"/>
      <c r="U323" s="564"/>
      <c r="V323" s="564"/>
      <c r="W323" s="564"/>
      <c r="X323" s="564"/>
      <c r="Y323" s="564"/>
      <c r="Z323" s="564"/>
      <c r="AA323" s="564"/>
      <c r="AB323" s="556"/>
      <c r="AC323" s="556"/>
      <c r="AD323" s="556"/>
      <c r="AE323" s="556"/>
      <c r="AF323" s="556"/>
      <c r="AG323" s="556"/>
      <c r="AH323" s="556"/>
      <c r="AI323" s="556"/>
      <c r="AJ323" s="556"/>
      <c r="AK323" s="556"/>
      <c r="AL323" s="556"/>
      <c r="AM323" s="556"/>
      <c r="AN323" s="556"/>
      <c r="AO323" s="556"/>
      <c r="AP323" s="556"/>
      <c r="AQ323" s="556"/>
      <c r="AR323" s="556"/>
      <c r="AS323" s="565"/>
      <c r="AT323" s="556"/>
    </row>
    <row r="324" spans="1:46" hidden="1" x14ac:dyDescent="0.45">
      <c r="A324" s="556"/>
      <c r="B324" s="556"/>
      <c r="C324" s="556"/>
      <c r="D324" s="564"/>
      <c r="E324" s="556"/>
      <c r="F324" s="564"/>
      <c r="G324" s="564"/>
      <c r="H324" s="564"/>
      <c r="I324" s="564"/>
      <c r="J324" s="564"/>
      <c r="K324" s="564"/>
      <c r="L324" s="564"/>
      <c r="M324" s="564"/>
      <c r="N324" s="564"/>
      <c r="O324" s="564"/>
      <c r="P324" s="564"/>
      <c r="Q324" s="564"/>
      <c r="R324" s="564"/>
      <c r="S324" s="564"/>
      <c r="T324" s="564"/>
      <c r="U324" s="564"/>
      <c r="V324" s="564"/>
      <c r="W324" s="564"/>
      <c r="X324" s="564"/>
      <c r="Y324" s="564"/>
      <c r="Z324" s="564"/>
      <c r="AA324" s="564"/>
      <c r="AB324" s="556"/>
      <c r="AC324" s="556"/>
      <c r="AD324" s="556"/>
      <c r="AE324" s="556"/>
      <c r="AF324" s="556"/>
      <c r="AG324" s="556"/>
      <c r="AH324" s="556"/>
      <c r="AI324" s="556"/>
      <c r="AJ324" s="556"/>
      <c r="AK324" s="556"/>
      <c r="AL324" s="556"/>
      <c r="AM324" s="556"/>
      <c r="AN324" s="556"/>
      <c r="AO324" s="556"/>
      <c r="AP324" s="556"/>
      <c r="AQ324" s="556"/>
      <c r="AR324" s="556"/>
      <c r="AS324" s="565"/>
      <c r="AT324" s="556"/>
    </row>
    <row r="325" spans="1:46" hidden="1" x14ac:dyDescent="0.45">
      <c r="A325" s="556"/>
      <c r="B325" s="556"/>
      <c r="C325" s="556"/>
      <c r="D325" s="564"/>
      <c r="E325" s="556"/>
      <c r="F325" s="564"/>
      <c r="G325" s="564"/>
      <c r="H325" s="564"/>
      <c r="I325" s="564"/>
      <c r="J325" s="564"/>
      <c r="K325" s="564"/>
      <c r="L325" s="564"/>
      <c r="M325" s="564"/>
      <c r="N325" s="564"/>
      <c r="O325" s="564"/>
      <c r="P325" s="564"/>
      <c r="Q325" s="564"/>
      <c r="R325" s="564"/>
      <c r="S325" s="564"/>
      <c r="T325" s="564"/>
      <c r="U325" s="564"/>
      <c r="V325" s="564"/>
      <c r="W325" s="564"/>
      <c r="X325" s="564"/>
      <c r="Y325" s="564"/>
      <c r="Z325" s="564"/>
      <c r="AA325" s="564"/>
      <c r="AB325" s="556"/>
      <c r="AC325" s="556"/>
      <c r="AD325" s="556"/>
      <c r="AE325" s="556"/>
      <c r="AF325" s="556"/>
      <c r="AG325" s="556"/>
      <c r="AH325" s="556"/>
      <c r="AI325" s="556"/>
      <c r="AJ325" s="556"/>
      <c r="AK325" s="556"/>
      <c r="AL325" s="556"/>
      <c r="AM325" s="556"/>
      <c r="AN325" s="556"/>
      <c r="AO325" s="556"/>
      <c r="AP325" s="556"/>
      <c r="AQ325" s="556"/>
      <c r="AR325" s="556"/>
      <c r="AS325" s="565"/>
      <c r="AT325" s="556"/>
    </row>
    <row r="326" spans="1:46" hidden="1" x14ac:dyDescent="0.45">
      <c r="A326" s="556"/>
      <c r="B326" s="556"/>
      <c r="C326" s="556"/>
      <c r="D326" s="564"/>
      <c r="E326" s="556"/>
      <c r="F326" s="564"/>
      <c r="G326" s="564"/>
      <c r="H326" s="564"/>
      <c r="I326" s="564"/>
      <c r="J326" s="564"/>
      <c r="K326" s="564"/>
      <c r="L326" s="564"/>
      <c r="M326" s="564"/>
      <c r="N326" s="564"/>
      <c r="O326" s="564"/>
      <c r="P326" s="564"/>
      <c r="Q326" s="564"/>
      <c r="R326" s="564"/>
      <c r="S326" s="564"/>
      <c r="T326" s="564"/>
      <c r="U326" s="564"/>
      <c r="V326" s="564"/>
      <c r="W326" s="564"/>
      <c r="X326" s="564"/>
      <c r="Y326" s="564"/>
      <c r="Z326" s="564"/>
      <c r="AA326" s="564"/>
      <c r="AB326" s="556"/>
      <c r="AC326" s="556"/>
      <c r="AD326" s="556"/>
      <c r="AE326" s="556"/>
      <c r="AF326" s="556"/>
      <c r="AG326" s="556"/>
      <c r="AH326" s="556"/>
      <c r="AI326" s="556"/>
      <c r="AJ326" s="556"/>
      <c r="AK326" s="556"/>
      <c r="AL326" s="556"/>
      <c r="AM326" s="556"/>
      <c r="AN326" s="556"/>
      <c r="AO326" s="556"/>
      <c r="AP326" s="556"/>
      <c r="AQ326" s="556"/>
      <c r="AR326" s="556"/>
      <c r="AS326" s="565"/>
      <c r="AT326" s="556"/>
    </row>
    <row r="327" spans="1:46" hidden="1" x14ac:dyDescent="0.45">
      <c r="A327" s="556"/>
      <c r="B327" s="556"/>
      <c r="C327" s="556"/>
      <c r="D327" s="564"/>
      <c r="E327" s="556"/>
      <c r="F327" s="564"/>
      <c r="G327" s="564"/>
      <c r="H327" s="564"/>
      <c r="I327" s="564"/>
      <c r="J327" s="564"/>
      <c r="K327" s="564"/>
      <c r="L327" s="564"/>
      <c r="M327" s="564"/>
      <c r="N327" s="564"/>
      <c r="O327" s="564"/>
      <c r="P327" s="564"/>
      <c r="Q327" s="564"/>
      <c r="R327" s="564"/>
      <c r="S327" s="564"/>
      <c r="T327" s="564"/>
      <c r="U327" s="564"/>
      <c r="V327" s="564"/>
      <c r="W327" s="564"/>
      <c r="X327" s="564"/>
      <c r="Y327" s="564"/>
      <c r="Z327" s="564"/>
      <c r="AA327" s="564"/>
      <c r="AB327" s="556"/>
      <c r="AC327" s="556"/>
      <c r="AD327" s="556"/>
      <c r="AE327" s="556"/>
      <c r="AF327" s="556"/>
      <c r="AG327" s="556"/>
      <c r="AH327" s="556"/>
      <c r="AI327" s="556"/>
      <c r="AJ327" s="556"/>
      <c r="AK327" s="556"/>
      <c r="AL327" s="556"/>
      <c r="AM327" s="556"/>
      <c r="AN327" s="556"/>
      <c r="AO327" s="556"/>
      <c r="AP327" s="556"/>
      <c r="AQ327" s="556"/>
      <c r="AR327" s="556"/>
      <c r="AS327" s="565"/>
      <c r="AT327" s="556"/>
    </row>
    <row r="328" spans="1:46" hidden="1" x14ac:dyDescent="0.45">
      <c r="A328" s="556"/>
      <c r="B328" s="556"/>
      <c r="C328" s="556"/>
      <c r="D328" s="564"/>
      <c r="E328" s="556"/>
      <c r="F328" s="564"/>
      <c r="G328" s="564"/>
      <c r="H328" s="564"/>
      <c r="I328" s="564"/>
      <c r="J328" s="564"/>
      <c r="K328" s="564"/>
      <c r="L328" s="564"/>
      <c r="M328" s="564"/>
      <c r="N328" s="564"/>
      <c r="O328" s="564"/>
      <c r="P328" s="564"/>
      <c r="Q328" s="564"/>
      <c r="R328" s="564"/>
      <c r="S328" s="564"/>
      <c r="T328" s="564"/>
      <c r="U328" s="564"/>
      <c r="V328" s="564"/>
      <c r="W328" s="564"/>
      <c r="X328" s="564"/>
      <c r="Y328" s="564"/>
      <c r="Z328" s="564"/>
      <c r="AA328" s="564"/>
      <c r="AB328" s="556"/>
      <c r="AC328" s="556"/>
      <c r="AD328" s="556"/>
      <c r="AE328" s="556"/>
      <c r="AF328" s="556"/>
      <c r="AG328" s="556"/>
      <c r="AH328" s="556"/>
      <c r="AI328" s="556"/>
      <c r="AJ328" s="556"/>
      <c r="AK328" s="556"/>
      <c r="AL328" s="556"/>
      <c r="AM328" s="556"/>
      <c r="AN328" s="556"/>
      <c r="AO328" s="556"/>
      <c r="AP328" s="556"/>
      <c r="AQ328" s="556"/>
      <c r="AR328" s="556"/>
      <c r="AS328" s="565"/>
      <c r="AT328" s="556"/>
    </row>
    <row r="329" spans="1:46" hidden="1" x14ac:dyDescent="0.45">
      <c r="A329" s="556"/>
      <c r="B329" s="556"/>
      <c r="C329" s="556"/>
      <c r="D329" s="564"/>
      <c r="E329" s="556"/>
      <c r="F329" s="564"/>
      <c r="G329" s="564"/>
      <c r="H329" s="564"/>
      <c r="I329" s="564"/>
      <c r="J329" s="564"/>
      <c r="K329" s="564"/>
      <c r="L329" s="564"/>
      <c r="M329" s="564"/>
      <c r="N329" s="564"/>
      <c r="O329" s="564"/>
      <c r="P329" s="564"/>
      <c r="Q329" s="564"/>
      <c r="R329" s="564"/>
      <c r="S329" s="564"/>
      <c r="T329" s="564"/>
      <c r="U329" s="564"/>
      <c r="V329" s="564"/>
      <c r="W329" s="564"/>
      <c r="X329" s="564"/>
      <c r="Y329" s="564"/>
      <c r="Z329" s="564"/>
      <c r="AA329" s="564"/>
      <c r="AB329" s="556"/>
      <c r="AC329" s="556"/>
      <c r="AD329" s="556"/>
      <c r="AE329" s="556"/>
      <c r="AF329" s="556"/>
      <c r="AG329" s="556"/>
      <c r="AH329" s="556"/>
      <c r="AI329" s="556"/>
      <c r="AJ329" s="556"/>
      <c r="AK329" s="556"/>
      <c r="AL329" s="556"/>
      <c r="AM329" s="556"/>
      <c r="AN329" s="556"/>
      <c r="AO329" s="556"/>
      <c r="AP329" s="556"/>
      <c r="AQ329" s="556"/>
      <c r="AR329" s="556"/>
      <c r="AS329" s="565"/>
      <c r="AT329" s="556"/>
    </row>
    <row r="330" spans="1:46" hidden="1" x14ac:dyDescent="0.45">
      <c r="A330" s="556"/>
      <c r="B330" s="556"/>
      <c r="C330" s="556"/>
      <c r="D330" s="564"/>
      <c r="E330" s="556"/>
      <c r="F330" s="564"/>
      <c r="G330" s="564"/>
      <c r="H330" s="564"/>
      <c r="I330" s="564"/>
      <c r="J330" s="564"/>
      <c r="K330" s="564"/>
      <c r="L330" s="564"/>
      <c r="M330" s="564"/>
      <c r="N330" s="564"/>
      <c r="O330" s="564"/>
      <c r="P330" s="564"/>
      <c r="Q330" s="564"/>
      <c r="R330" s="564"/>
      <c r="S330" s="564"/>
      <c r="T330" s="564"/>
      <c r="U330" s="564"/>
      <c r="V330" s="564"/>
      <c r="W330" s="564"/>
      <c r="X330" s="564"/>
      <c r="Y330" s="564"/>
      <c r="Z330" s="564"/>
      <c r="AA330" s="564"/>
      <c r="AB330" s="556"/>
      <c r="AC330" s="556"/>
      <c r="AD330" s="556"/>
      <c r="AE330" s="556"/>
      <c r="AF330" s="556"/>
      <c r="AG330" s="556"/>
      <c r="AH330" s="556"/>
      <c r="AI330" s="556"/>
      <c r="AJ330" s="556"/>
      <c r="AK330" s="556"/>
      <c r="AL330" s="556"/>
      <c r="AM330" s="556"/>
      <c r="AN330" s="556"/>
      <c r="AO330" s="556"/>
      <c r="AP330" s="556"/>
      <c r="AQ330" s="556"/>
      <c r="AR330" s="556"/>
      <c r="AS330" s="565"/>
      <c r="AT330" s="556"/>
    </row>
    <row r="331" spans="1:46" hidden="1" x14ac:dyDescent="0.45">
      <c r="A331" s="556"/>
      <c r="B331" s="556"/>
      <c r="C331" s="556"/>
      <c r="D331" s="564"/>
      <c r="E331" s="556"/>
      <c r="F331" s="564"/>
      <c r="G331" s="564"/>
      <c r="H331" s="564"/>
      <c r="I331" s="564"/>
      <c r="J331" s="564"/>
      <c r="K331" s="564"/>
      <c r="L331" s="564"/>
      <c r="M331" s="564"/>
      <c r="N331" s="564"/>
      <c r="O331" s="564"/>
      <c r="P331" s="564"/>
      <c r="Q331" s="564"/>
      <c r="R331" s="564"/>
      <c r="S331" s="564"/>
      <c r="T331" s="564"/>
      <c r="U331" s="564"/>
      <c r="V331" s="564"/>
      <c r="W331" s="564"/>
      <c r="X331" s="564"/>
      <c r="Y331" s="564"/>
      <c r="Z331" s="564"/>
      <c r="AA331" s="564"/>
      <c r="AB331" s="556"/>
      <c r="AC331" s="556"/>
      <c r="AD331" s="556"/>
      <c r="AE331" s="556"/>
      <c r="AF331" s="556"/>
      <c r="AG331" s="556"/>
      <c r="AH331" s="556"/>
      <c r="AI331" s="556"/>
      <c r="AJ331" s="556"/>
      <c r="AK331" s="556"/>
      <c r="AL331" s="556"/>
      <c r="AM331" s="556"/>
      <c r="AN331" s="556"/>
      <c r="AO331" s="556"/>
      <c r="AP331" s="556"/>
      <c r="AQ331" s="556"/>
      <c r="AR331" s="556"/>
      <c r="AS331" s="565"/>
      <c r="AT331" s="556"/>
    </row>
    <row r="332" spans="1:46" hidden="1" x14ac:dyDescent="0.45">
      <c r="A332" s="556"/>
      <c r="B332" s="556"/>
      <c r="C332" s="556"/>
      <c r="D332" s="564"/>
      <c r="E332" s="556"/>
      <c r="F332" s="564"/>
      <c r="G332" s="564"/>
      <c r="H332" s="564"/>
      <c r="I332" s="564"/>
      <c r="J332" s="564"/>
      <c r="K332" s="564"/>
      <c r="L332" s="564"/>
      <c r="M332" s="564"/>
      <c r="N332" s="564"/>
      <c r="O332" s="564"/>
      <c r="P332" s="564"/>
      <c r="Q332" s="564"/>
      <c r="R332" s="564"/>
      <c r="S332" s="564"/>
      <c r="T332" s="564"/>
      <c r="U332" s="564"/>
      <c r="V332" s="564"/>
      <c r="W332" s="564"/>
      <c r="X332" s="564"/>
      <c r="Y332" s="564"/>
      <c r="Z332" s="564"/>
      <c r="AA332" s="564"/>
      <c r="AB332" s="556"/>
      <c r="AC332" s="556"/>
      <c r="AD332" s="556"/>
      <c r="AE332" s="556"/>
      <c r="AF332" s="556"/>
      <c r="AG332" s="556"/>
      <c r="AH332" s="556"/>
      <c r="AI332" s="556"/>
      <c r="AJ332" s="556"/>
      <c r="AK332" s="556"/>
      <c r="AL332" s="556"/>
      <c r="AM332" s="556"/>
      <c r="AN332" s="556"/>
      <c r="AO332" s="556"/>
      <c r="AP332" s="556"/>
      <c r="AQ332" s="556"/>
      <c r="AR332" s="556"/>
      <c r="AS332" s="565"/>
      <c r="AT332" s="556"/>
    </row>
    <row r="333" spans="1:46" hidden="1" x14ac:dyDescent="0.45">
      <c r="A333" s="556"/>
      <c r="B333" s="556"/>
      <c r="C333" s="556"/>
      <c r="D333" s="564"/>
      <c r="E333" s="556"/>
      <c r="F333" s="564"/>
      <c r="G333" s="564"/>
      <c r="H333" s="564"/>
      <c r="I333" s="564"/>
      <c r="J333" s="564"/>
      <c r="K333" s="564"/>
      <c r="L333" s="564"/>
      <c r="M333" s="564"/>
      <c r="N333" s="564"/>
      <c r="O333" s="564"/>
      <c r="P333" s="564"/>
      <c r="Q333" s="564"/>
      <c r="R333" s="564"/>
      <c r="S333" s="564"/>
      <c r="T333" s="564"/>
      <c r="U333" s="564"/>
      <c r="V333" s="564"/>
      <c r="W333" s="564"/>
      <c r="X333" s="564"/>
      <c r="Y333" s="564"/>
      <c r="Z333" s="564"/>
      <c r="AA333" s="564"/>
      <c r="AB333" s="556"/>
      <c r="AC333" s="556"/>
      <c r="AD333" s="556"/>
      <c r="AE333" s="556"/>
      <c r="AF333" s="556"/>
      <c r="AG333" s="556"/>
      <c r="AH333" s="556"/>
      <c r="AI333" s="556"/>
      <c r="AJ333" s="556"/>
      <c r="AK333" s="556"/>
      <c r="AL333" s="556"/>
      <c r="AM333" s="556"/>
      <c r="AN333" s="556"/>
      <c r="AO333" s="556"/>
      <c r="AP333" s="556"/>
      <c r="AQ333" s="556"/>
      <c r="AR333" s="556"/>
      <c r="AS333" s="565"/>
      <c r="AT333" s="556"/>
    </row>
    <row r="334" spans="1:46" hidden="1" x14ac:dyDescent="0.45">
      <c r="A334" s="556"/>
      <c r="B334" s="556"/>
      <c r="C334" s="556"/>
      <c r="D334" s="564"/>
      <c r="E334" s="556"/>
      <c r="F334" s="564"/>
      <c r="G334" s="564"/>
      <c r="H334" s="564"/>
      <c r="I334" s="564"/>
      <c r="J334" s="564"/>
      <c r="K334" s="564"/>
      <c r="L334" s="564"/>
      <c r="M334" s="564"/>
      <c r="N334" s="564"/>
      <c r="O334" s="564"/>
      <c r="P334" s="564"/>
      <c r="Q334" s="564"/>
      <c r="R334" s="564"/>
      <c r="S334" s="564"/>
      <c r="T334" s="564"/>
      <c r="U334" s="564"/>
      <c r="V334" s="564"/>
      <c r="W334" s="564"/>
      <c r="X334" s="564"/>
      <c r="Y334" s="564"/>
      <c r="Z334" s="564"/>
      <c r="AA334" s="564"/>
      <c r="AB334" s="556"/>
      <c r="AC334" s="556"/>
      <c r="AD334" s="556"/>
      <c r="AE334" s="556"/>
      <c r="AF334" s="556"/>
      <c r="AG334" s="556"/>
      <c r="AH334" s="556"/>
      <c r="AI334" s="556"/>
      <c r="AJ334" s="556"/>
      <c r="AK334" s="556"/>
      <c r="AL334" s="556"/>
      <c r="AM334" s="556"/>
      <c r="AN334" s="556"/>
      <c r="AO334" s="556"/>
      <c r="AP334" s="556"/>
      <c r="AQ334" s="556"/>
      <c r="AR334" s="556"/>
      <c r="AS334" s="565"/>
      <c r="AT334" s="556"/>
    </row>
    <row r="335" spans="1:46" hidden="1" x14ac:dyDescent="0.45">
      <c r="A335" s="556"/>
      <c r="B335" s="556"/>
      <c r="C335" s="556"/>
      <c r="D335" s="564"/>
      <c r="E335" s="556"/>
      <c r="F335" s="564"/>
      <c r="G335" s="564"/>
      <c r="H335" s="564"/>
      <c r="I335" s="564"/>
      <c r="J335" s="564"/>
      <c r="K335" s="564"/>
      <c r="L335" s="564"/>
      <c r="M335" s="564"/>
      <c r="N335" s="564"/>
      <c r="O335" s="564"/>
      <c r="P335" s="564"/>
      <c r="Q335" s="564"/>
      <c r="R335" s="564"/>
      <c r="S335" s="564"/>
      <c r="T335" s="564"/>
      <c r="U335" s="564"/>
      <c r="V335" s="564"/>
      <c r="W335" s="564"/>
      <c r="X335" s="564"/>
      <c r="Y335" s="564"/>
      <c r="Z335" s="564"/>
      <c r="AA335" s="564"/>
      <c r="AB335" s="556"/>
      <c r="AC335" s="556"/>
      <c r="AD335" s="556"/>
      <c r="AE335" s="556"/>
      <c r="AF335" s="556"/>
      <c r="AG335" s="556"/>
      <c r="AH335" s="556"/>
      <c r="AI335" s="556"/>
      <c r="AJ335" s="556"/>
      <c r="AK335" s="556"/>
      <c r="AL335" s="556"/>
      <c r="AM335" s="556"/>
      <c r="AN335" s="556"/>
      <c r="AO335" s="556"/>
      <c r="AP335" s="556"/>
      <c r="AQ335" s="556"/>
      <c r="AR335" s="556"/>
      <c r="AS335" s="565"/>
      <c r="AT335" s="556"/>
    </row>
    <row r="336" spans="1:46" hidden="1" x14ac:dyDescent="0.45">
      <c r="A336" s="556"/>
      <c r="B336" s="556"/>
      <c r="C336" s="556"/>
      <c r="D336" s="564"/>
      <c r="E336" s="556"/>
      <c r="F336" s="564"/>
      <c r="G336" s="564"/>
      <c r="H336" s="564"/>
      <c r="I336" s="564"/>
      <c r="J336" s="564"/>
      <c r="K336" s="564"/>
      <c r="L336" s="564"/>
      <c r="M336" s="564"/>
      <c r="N336" s="564"/>
      <c r="O336" s="564"/>
      <c r="P336" s="564"/>
      <c r="Q336" s="564"/>
      <c r="R336" s="564"/>
      <c r="S336" s="564"/>
      <c r="T336" s="564"/>
      <c r="U336" s="564"/>
      <c r="V336" s="564"/>
      <c r="W336" s="564"/>
      <c r="X336" s="564"/>
      <c r="Y336" s="564"/>
      <c r="Z336" s="564"/>
      <c r="AA336" s="564"/>
      <c r="AB336" s="556"/>
      <c r="AC336" s="556"/>
      <c r="AD336" s="556"/>
      <c r="AE336" s="556"/>
      <c r="AF336" s="556"/>
      <c r="AG336" s="556"/>
      <c r="AH336" s="556"/>
      <c r="AI336" s="556"/>
      <c r="AJ336" s="556"/>
      <c r="AK336" s="556"/>
      <c r="AL336" s="556"/>
      <c r="AM336" s="556"/>
      <c r="AN336" s="556"/>
      <c r="AO336" s="556"/>
      <c r="AP336" s="556"/>
      <c r="AQ336" s="556"/>
      <c r="AR336" s="556"/>
      <c r="AS336" s="565"/>
      <c r="AT336" s="556"/>
    </row>
    <row r="337" spans="1:46" hidden="1" x14ac:dyDescent="0.45">
      <c r="A337" s="556"/>
      <c r="B337" s="556"/>
      <c r="C337" s="556"/>
      <c r="D337" s="564"/>
      <c r="E337" s="556"/>
      <c r="F337" s="564"/>
      <c r="G337" s="564"/>
      <c r="H337" s="564"/>
      <c r="I337" s="564"/>
      <c r="J337" s="564"/>
      <c r="K337" s="564"/>
      <c r="L337" s="564"/>
      <c r="M337" s="564"/>
      <c r="N337" s="564"/>
      <c r="O337" s="564"/>
      <c r="P337" s="564"/>
      <c r="Q337" s="564"/>
      <c r="R337" s="564"/>
      <c r="S337" s="564"/>
      <c r="T337" s="564"/>
      <c r="U337" s="564"/>
      <c r="V337" s="564"/>
      <c r="W337" s="564"/>
      <c r="X337" s="564"/>
      <c r="Y337" s="564"/>
      <c r="Z337" s="564"/>
      <c r="AA337" s="564"/>
      <c r="AB337" s="556"/>
      <c r="AC337" s="556"/>
      <c r="AD337" s="556"/>
      <c r="AE337" s="556"/>
      <c r="AF337" s="556"/>
      <c r="AG337" s="556"/>
      <c r="AH337" s="556"/>
      <c r="AI337" s="556"/>
      <c r="AJ337" s="556"/>
      <c r="AK337" s="556"/>
      <c r="AL337" s="556"/>
      <c r="AM337" s="556"/>
      <c r="AN337" s="556"/>
      <c r="AO337" s="556"/>
      <c r="AP337" s="556"/>
      <c r="AQ337" s="556"/>
      <c r="AR337" s="556"/>
      <c r="AS337" s="565"/>
      <c r="AT337" s="556"/>
    </row>
    <row r="338" spans="1:46" hidden="1" x14ac:dyDescent="0.45">
      <c r="A338" s="556"/>
      <c r="B338" s="556"/>
      <c r="C338" s="556"/>
      <c r="D338" s="564"/>
      <c r="E338" s="556"/>
      <c r="F338" s="564"/>
      <c r="G338" s="564"/>
      <c r="H338" s="564"/>
      <c r="I338" s="564"/>
      <c r="J338" s="564"/>
      <c r="K338" s="564"/>
      <c r="L338" s="564"/>
      <c r="M338" s="564"/>
      <c r="N338" s="564"/>
      <c r="O338" s="564"/>
      <c r="P338" s="564"/>
      <c r="Q338" s="564"/>
      <c r="R338" s="564"/>
      <c r="S338" s="564"/>
      <c r="T338" s="564"/>
      <c r="U338" s="564"/>
      <c r="V338" s="564"/>
      <c r="W338" s="564"/>
      <c r="X338" s="564"/>
      <c r="Y338" s="564"/>
      <c r="Z338" s="564"/>
      <c r="AA338" s="564"/>
      <c r="AB338" s="556"/>
      <c r="AC338" s="556"/>
      <c r="AD338" s="556"/>
      <c r="AE338" s="556"/>
      <c r="AF338" s="556"/>
      <c r="AG338" s="556"/>
      <c r="AH338" s="556"/>
      <c r="AI338" s="556"/>
      <c r="AJ338" s="556"/>
      <c r="AK338" s="556"/>
      <c r="AL338" s="556"/>
      <c r="AM338" s="556"/>
      <c r="AN338" s="556"/>
      <c r="AO338" s="556"/>
      <c r="AP338" s="556"/>
      <c r="AQ338" s="556"/>
      <c r="AR338" s="556"/>
      <c r="AS338" s="565"/>
      <c r="AT338" s="556"/>
    </row>
    <row r="339" spans="1:46" hidden="1" x14ac:dyDescent="0.45">
      <c r="A339" s="556"/>
      <c r="B339" s="556"/>
      <c r="C339" s="556"/>
      <c r="D339" s="564"/>
      <c r="E339" s="556"/>
      <c r="F339" s="564"/>
      <c r="G339" s="564"/>
      <c r="H339" s="564"/>
      <c r="I339" s="564"/>
      <c r="J339" s="564"/>
      <c r="K339" s="564"/>
      <c r="L339" s="564"/>
      <c r="M339" s="564"/>
      <c r="N339" s="564"/>
      <c r="O339" s="564"/>
      <c r="P339" s="564"/>
      <c r="Q339" s="564"/>
      <c r="R339" s="564"/>
      <c r="S339" s="564"/>
      <c r="T339" s="564"/>
      <c r="U339" s="564"/>
      <c r="V339" s="564"/>
      <c r="W339" s="564"/>
      <c r="X339" s="564"/>
      <c r="Y339" s="564"/>
      <c r="Z339" s="564"/>
      <c r="AA339" s="564"/>
      <c r="AB339" s="556"/>
      <c r="AC339" s="556"/>
      <c r="AD339" s="556"/>
      <c r="AE339" s="556"/>
      <c r="AF339" s="556"/>
      <c r="AG339" s="556"/>
      <c r="AH339" s="556"/>
      <c r="AI339" s="556"/>
      <c r="AJ339" s="556"/>
      <c r="AK339" s="556"/>
      <c r="AL339" s="556"/>
      <c r="AM339" s="556"/>
      <c r="AN339" s="556"/>
      <c r="AO339" s="556"/>
      <c r="AP339" s="556"/>
      <c r="AQ339" s="556"/>
      <c r="AR339" s="556"/>
      <c r="AS339" s="565"/>
      <c r="AT339" s="556"/>
    </row>
    <row r="340" spans="1:46" hidden="1" x14ac:dyDescent="0.45">
      <c r="A340" s="556"/>
      <c r="B340" s="556"/>
      <c r="C340" s="556"/>
      <c r="D340" s="564"/>
      <c r="E340" s="556"/>
      <c r="F340" s="564"/>
      <c r="G340" s="564"/>
      <c r="H340" s="564"/>
      <c r="I340" s="564"/>
      <c r="J340" s="564"/>
      <c r="K340" s="564"/>
      <c r="L340" s="564"/>
      <c r="M340" s="564"/>
      <c r="N340" s="564"/>
      <c r="O340" s="564"/>
      <c r="P340" s="564"/>
      <c r="Q340" s="564"/>
      <c r="R340" s="564"/>
      <c r="S340" s="564"/>
      <c r="T340" s="564"/>
      <c r="U340" s="564"/>
      <c r="V340" s="564"/>
      <c r="W340" s="564"/>
      <c r="X340" s="564"/>
      <c r="Y340" s="564"/>
      <c r="Z340" s="564"/>
      <c r="AA340" s="564"/>
      <c r="AB340" s="556"/>
      <c r="AC340" s="556"/>
      <c r="AD340" s="556"/>
      <c r="AE340" s="556"/>
      <c r="AF340" s="556"/>
      <c r="AG340" s="556"/>
      <c r="AH340" s="556"/>
      <c r="AI340" s="556"/>
      <c r="AJ340" s="556"/>
      <c r="AK340" s="556"/>
      <c r="AL340" s="556"/>
      <c r="AM340" s="556"/>
      <c r="AN340" s="556"/>
      <c r="AO340" s="556"/>
      <c r="AP340" s="556"/>
      <c r="AQ340" s="556"/>
      <c r="AR340" s="556"/>
      <c r="AS340" s="565"/>
      <c r="AT340" s="556"/>
    </row>
    <row r="341" spans="1:46" hidden="1" x14ac:dyDescent="0.45">
      <c r="A341" s="556"/>
      <c r="B341" s="556"/>
      <c r="C341" s="556"/>
      <c r="D341" s="564"/>
      <c r="E341" s="556"/>
      <c r="F341" s="564"/>
      <c r="G341" s="564"/>
      <c r="H341" s="564"/>
      <c r="I341" s="564"/>
      <c r="J341" s="564"/>
      <c r="K341" s="564"/>
      <c r="L341" s="564"/>
      <c r="M341" s="564"/>
      <c r="N341" s="564"/>
      <c r="O341" s="564"/>
      <c r="P341" s="564"/>
      <c r="Q341" s="564"/>
      <c r="R341" s="564"/>
      <c r="S341" s="564"/>
      <c r="T341" s="564"/>
      <c r="U341" s="564"/>
      <c r="V341" s="564"/>
      <c r="W341" s="564"/>
      <c r="X341" s="564"/>
      <c r="Y341" s="564"/>
      <c r="Z341" s="564"/>
      <c r="AA341" s="564"/>
      <c r="AB341" s="556"/>
      <c r="AC341" s="556"/>
      <c r="AD341" s="556"/>
      <c r="AE341" s="556"/>
      <c r="AF341" s="556"/>
      <c r="AG341" s="556"/>
      <c r="AH341" s="556"/>
      <c r="AI341" s="556"/>
      <c r="AJ341" s="556"/>
      <c r="AK341" s="556"/>
      <c r="AL341" s="556"/>
      <c r="AM341" s="556"/>
      <c r="AN341" s="556"/>
      <c r="AO341" s="556"/>
      <c r="AP341" s="556"/>
      <c r="AQ341" s="556"/>
      <c r="AR341" s="556"/>
      <c r="AS341" s="565"/>
      <c r="AT341" s="556"/>
    </row>
    <row r="342" spans="1:46" hidden="1" x14ac:dyDescent="0.45">
      <c r="A342" s="556"/>
      <c r="B342" s="556"/>
      <c r="C342" s="556"/>
      <c r="D342" s="564"/>
      <c r="E342" s="556"/>
      <c r="F342" s="564"/>
      <c r="G342" s="564"/>
      <c r="H342" s="564"/>
      <c r="I342" s="564"/>
      <c r="J342" s="564"/>
      <c r="K342" s="564"/>
      <c r="L342" s="564"/>
      <c r="M342" s="564"/>
      <c r="N342" s="564"/>
      <c r="O342" s="564"/>
      <c r="P342" s="564"/>
      <c r="Q342" s="564"/>
      <c r="R342" s="564"/>
      <c r="S342" s="564"/>
      <c r="T342" s="564"/>
      <c r="U342" s="564"/>
      <c r="V342" s="564"/>
      <c r="W342" s="564"/>
      <c r="X342" s="564"/>
      <c r="Y342" s="564"/>
      <c r="Z342" s="564"/>
      <c r="AA342" s="564"/>
      <c r="AB342" s="556"/>
      <c r="AC342" s="556"/>
      <c r="AD342" s="556"/>
      <c r="AE342" s="556"/>
      <c r="AF342" s="556"/>
      <c r="AG342" s="556"/>
      <c r="AH342" s="556"/>
      <c r="AI342" s="556"/>
      <c r="AJ342" s="556"/>
      <c r="AK342" s="556"/>
      <c r="AL342" s="556"/>
      <c r="AM342" s="556"/>
      <c r="AN342" s="556"/>
      <c r="AO342" s="556"/>
      <c r="AP342" s="556"/>
      <c r="AQ342" s="556"/>
      <c r="AR342" s="556"/>
      <c r="AS342" s="565"/>
      <c r="AT342" s="556"/>
    </row>
    <row r="343" spans="1:46" hidden="1" x14ac:dyDescent="0.45">
      <c r="A343" s="556"/>
      <c r="B343" s="556"/>
      <c r="C343" s="556"/>
      <c r="D343" s="564"/>
      <c r="E343" s="556"/>
      <c r="F343" s="564"/>
      <c r="G343" s="564"/>
      <c r="H343" s="564"/>
      <c r="I343" s="564"/>
      <c r="J343" s="564"/>
      <c r="K343" s="564"/>
      <c r="L343" s="564"/>
      <c r="M343" s="564"/>
      <c r="N343" s="564"/>
      <c r="O343" s="564"/>
      <c r="P343" s="564"/>
      <c r="Q343" s="564"/>
      <c r="R343" s="564"/>
      <c r="S343" s="564"/>
      <c r="T343" s="564"/>
      <c r="U343" s="564"/>
      <c r="V343" s="564"/>
      <c r="W343" s="564"/>
      <c r="X343" s="564"/>
      <c r="Y343" s="564"/>
      <c r="Z343" s="564"/>
      <c r="AA343" s="564"/>
      <c r="AB343" s="556"/>
      <c r="AC343" s="556"/>
      <c r="AD343" s="556"/>
      <c r="AE343" s="556"/>
      <c r="AF343" s="556"/>
      <c r="AG343" s="556"/>
      <c r="AH343" s="556"/>
      <c r="AI343" s="556"/>
      <c r="AJ343" s="556"/>
      <c r="AK343" s="556"/>
      <c r="AL343" s="556"/>
      <c r="AM343" s="556"/>
      <c r="AN343" s="556"/>
      <c r="AO343" s="556"/>
      <c r="AP343" s="556"/>
      <c r="AQ343" s="556"/>
      <c r="AR343" s="556"/>
      <c r="AS343" s="565"/>
      <c r="AT343" s="556"/>
    </row>
    <row r="344" spans="1:46" hidden="1" x14ac:dyDescent="0.45">
      <c r="A344" s="556"/>
      <c r="B344" s="556"/>
      <c r="C344" s="556"/>
      <c r="D344" s="564"/>
      <c r="E344" s="556"/>
      <c r="F344" s="564"/>
      <c r="G344" s="564"/>
      <c r="H344" s="564"/>
      <c r="I344" s="564"/>
      <c r="J344" s="564"/>
      <c r="K344" s="564"/>
      <c r="L344" s="564"/>
      <c r="M344" s="564"/>
      <c r="N344" s="564"/>
      <c r="O344" s="564"/>
      <c r="P344" s="564"/>
      <c r="Q344" s="564"/>
      <c r="R344" s="564"/>
      <c r="S344" s="564"/>
      <c r="T344" s="564"/>
      <c r="U344" s="564"/>
      <c r="V344" s="564"/>
      <c r="W344" s="564"/>
      <c r="X344" s="564"/>
      <c r="Y344" s="564"/>
      <c r="Z344" s="564"/>
      <c r="AA344" s="564"/>
      <c r="AB344" s="556"/>
      <c r="AC344" s="556"/>
      <c r="AD344" s="556"/>
      <c r="AE344" s="556"/>
      <c r="AF344" s="556"/>
      <c r="AG344" s="556"/>
      <c r="AH344" s="556"/>
      <c r="AI344" s="556"/>
      <c r="AJ344" s="556"/>
      <c r="AK344" s="556"/>
      <c r="AL344" s="556"/>
      <c r="AM344" s="556"/>
      <c r="AN344" s="556"/>
      <c r="AO344" s="556"/>
      <c r="AP344" s="556"/>
      <c r="AQ344" s="556"/>
      <c r="AR344" s="556"/>
      <c r="AS344" s="565"/>
      <c r="AT344" s="556"/>
    </row>
    <row r="345" spans="1:46" hidden="1" x14ac:dyDescent="0.45">
      <c r="A345" s="556"/>
      <c r="B345" s="556"/>
      <c r="C345" s="556"/>
      <c r="D345" s="564"/>
      <c r="E345" s="556"/>
      <c r="F345" s="564"/>
      <c r="G345" s="564"/>
      <c r="H345" s="564"/>
      <c r="I345" s="564"/>
      <c r="J345" s="564"/>
      <c r="K345" s="564"/>
      <c r="L345" s="564"/>
      <c r="M345" s="564"/>
      <c r="N345" s="564"/>
      <c r="O345" s="564"/>
      <c r="P345" s="564"/>
      <c r="Q345" s="564"/>
      <c r="R345" s="564"/>
      <c r="S345" s="564"/>
      <c r="T345" s="564"/>
      <c r="U345" s="564"/>
      <c r="V345" s="564"/>
      <c r="W345" s="564"/>
      <c r="X345" s="564"/>
      <c r="Y345" s="564"/>
      <c r="Z345" s="564"/>
      <c r="AA345" s="564"/>
      <c r="AB345" s="556"/>
      <c r="AC345" s="556"/>
      <c r="AD345" s="556"/>
      <c r="AE345" s="556"/>
      <c r="AF345" s="556"/>
      <c r="AG345" s="556"/>
      <c r="AH345" s="556"/>
      <c r="AI345" s="556"/>
      <c r="AJ345" s="556"/>
      <c r="AK345" s="556"/>
      <c r="AL345" s="556"/>
      <c r="AM345" s="556"/>
      <c r="AN345" s="556"/>
      <c r="AO345" s="556"/>
      <c r="AP345" s="556"/>
      <c r="AQ345" s="556"/>
      <c r="AR345" s="556"/>
      <c r="AS345" s="565"/>
      <c r="AT345" s="556"/>
    </row>
    <row r="346" spans="1:46" hidden="1" x14ac:dyDescent="0.45">
      <c r="A346" s="556"/>
      <c r="B346" s="556"/>
      <c r="C346" s="556"/>
      <c r="D346" s="564"/>
      <c r="E346" s="556"/>
      <c r="F346" s="564"/>
      <c r="G346" s="564"/>
      <c r="H346" s="564"/>
      <c r="I346" s="564"/>
      <c r="J346" s="564"/>
      <c r="K346" s="564"/>
      <c r="L346" s="564"/>
      <c r="M346" s="564"/>
      <c r="N346" s="564"/>
      <c r="O346" s="564"/>
      <c r="P346" s="564"/>
      <c r="Q346" s="564"/>
      <c r="R346" s="564"/>
      <c r="S346" s="564"/>
      <c r="T346" s="564"/>
      <c r="U346" s="564"/>
      <c r="V346" s="564"/>
      <c r="W346" s="564"/>
      <c r="X346" s="564"/>
      <c r="Y346" s="564"/>
      <c r="Z346" s="564"/>
      <c r="AA346" s="564"/>
      <c r="AB346" s="556"/>
      <c r="AC346" s="556"/>
      <c r="AD346" s="556"/>
      <c r="AE346" s="556"/>
      <c r="AF346" s="556"/>
      <c r="AG346" s="556"/>
      <c r="AH346" s="556"/>
      <c r="AI346" s="556"/>
      <c r="AJ346" s="556"/>
      <c r="AK346" s="556"/>
      <c r="AL346" s="556"/>
      <c r="AM346" s="556"/>
      <c r="AN346" s="556"/>
      <c r="AO346" s="556"/>
      <c r="AP346" s="556"/>
      <c r="AQ346" s="556"/>
      <c r="AR346" s="556"/>
      <c r="AS346" s="565"/>
      <c r="AT346" s="556"/>
    </row>
    <row r="347" spans="1:46" hidden="1" x14ac:dyDescent="0.45">
      <c r="A347" s="556"/>
      <c r="B347" s="556"/>
      <c r="C347" s="556"/>
      <c r="D347" s="564"/>
      <c r="E347" s="556"/>
      <c r="F347" s="564"/>
      <c r="G347" s="564"/>
      <c r="H347" s="564"/>
      <c r="I347" s="564"/>
      <c r="J347" s="564"/>
      <c r="K347" s="564"/>
      <c r="L347" s="564"/>
      <c r="M347" s="564"/>
      <c r="N347" s="564"/>
      <c r="O347" s="564"/>
      <c r="P347" s="564"/>
      <c r="Q347" s="564"/>
      <c r="R347" s="564"/>
      <c r="S347" s="564"/>
      <c r="T347" s="564"/>
      <c r="U347" s="564"/>
      <c r="V347" s="564"/>
      <c r="W347" s="564"/>
      <c r="X347" s="564"/>
      <c r="Y347" s="564"/>
      <c r="Z347" s="564"/>
      <c r="AA347" s="564"/>
      <c r="AB347" s="556"/>
      <c r="AC347" s="556"/>
      <c r="AD347" s="556"/>
      <c r="AE347" s="556"/>
      <c r="AF347" s="556"/>
      <c r="AG347" s="556"/>
      <c r="AH347" s="556"/>
      <c r="AI347" s="556"/>
      <c r="AJ347" s="556"/>
      <c r="AK347" s="556"/>
      <c r="AL347" s="556"/>
      <c r="AM347" s="556"/>
      <c r="AN347" s="556"/>
      <c r="AO347" s="556"/>
      <c r="AP347" s="556"/>
      <c r="AQ347" s="556"/>
      <c r="AR347" s="556"/>
      <c r="AS347" s="565"/>
      <c r="AT347" s="556"/>
    </row>
    <row r="348" spans="1:46" hidden="1" x14ac:dyDescent="0.45">
      <c r="A348" s="556"/>
      <c r="B348" s="556"/>
      <c r="C348" s="556"/>
      <c r="D348" s="564"/>
      <c r="E348" s="556"/>
      <c r="F348" s="564"/>
      <c r="G348" s="564"/>
      <c r="H348" s="564"/>
      <c r="I348" s="564"/>
      <c r="J348" s="564"/>
      <c r="K348" s="564"/>
      <c r="L348" s="564"/>
      <c r="M348" s="564"/>
      <c r="N348" s="564"/>
      <c r="O348" s="564"/>
      <c r="P348" s="564"/>
      <c r="Q348" s="564"/>
      <c r="R348" s="564"/>
      <c r="S348" s="564"/>
      <c r="T348" s="564"/>
      <c r="U348" s="564"/>
      <c r="V348" s="564"/>
      <c r="W348" s="564"/>
      <c r="X348" s="564"/>
      <c r="Y348" s="564"/>
      <c r="Z348" s="564"/>
      <c r="AA348" s="564"/>
      <c r="AB348" s="556"/>
      <c r="AC348" s="556"/>
      <c r="AD348" s="556"/>
      <c r="AE348" s="556"/>
      <c r="AF348" s="556"/>
      <c r="AG348" s="556"/>
      <c r="AH348" s="556"/>
      <c r="AI348" s="556"/>
      <c r="AJ348" s="556"/>
      <c r="AK348" s="556"/>
      <c r="AL348" s="556"/>
      <c r="AM348" s="556"/>
      <c r="AN348" s="556"/>
      <c r="AO348" s="556"/>
      <c r="AP348" s="556"/>
      <c r="AQ348" s="556"/>
      <c r="AR348" s="556"/>
      <c r="AS348" s="565"/>
      <c r="AT348" s="556"/>
    </row>
    <row r="349" spans="1:46" hidden="1" x14ac:dyDescent="0.45">
      <c r="A349" s="556"/>
      <c r="B349" s="556"/>
      <c r="C349" s="556"/>
      <c r="D349" s="564"/>
      <c r="E349" s="556"/>
      <c r="F349" s="564"/>
      <c r="G349" s="564"/>
      <c r="H349" s="564"/>
      <c r="I349" s="564"/>
      <c r="J349" s="564"/>
      <c r="K349" s="564"/>
      <c r="L349" s="564"/>
      <c r="M349" s="564"/>
      <c r="N349" s="564"/>
      <c r="O349" s="564"/>
      <c r="P349" s="564"/>
      <c r="Q349" s="564"/>
      <c r="R349" s="564"/>
      <c r="S349" s="564"/>
      <c r="T349" s="564"/>
      <c r="U349" s="564"/>
      <c r="V349" s="564"/>
      <c r="W349" s="564"/>
      <c r="X349" s="564"/>
      <c r="Y349" s="564"/>
      <c r="Z349" s="564"/>
      <c r="AA349" s="564"/>
      <c r="AB349" s="556"/>
      <c r="AC349" s="556"/>
      <c r="AD349" s="556"/>
      <c r="AE349" s="556"/>
      <c r="AF349" s="556"/>
      <c r="AG349" s="556"/>
      <c r="AH349" s="556"/>
      <c r="AI349" s="556"/>
      <c r="AJ349" s="556"/>
      <c r="AK349" s="556"/>
      <c r="AL349" s="556"/>
      <c r="AM349" s="556"/>
      <c r="AN349" s="556"/>
      <c r="AO349" s="556"/>
      <c r="AP349" s="556"/>
      <c r="AQ349" s="556"/>
      <c r="AR349" s="556"/>
      <c r="AS349" s="565"/>
      <c r="AT349" s="556"/>
    </row>
    <row r="350" spans="1:46" hidden="1" x14ac:dyDescent="0.45">
      <c r="A350" s="556"/>
      <c r="B350" s="556"/>
      <c r="C350" s="556"/>
      <c r="D350" s="564"/>
      <c r="E350" s="556"/>
      <c r="F350" s="564"/>
      <c r="G350" s="564"/>
      <c r="H350" s="564"/>
      <c r="I350" s="564"/>
      <c r="J350" s="564"/>
      <c r="K350" s="564"/>
      <c r="L350" s="564"/>
      <c r="M350" s="564"/>
      <c r="N350" s="564"/>
      <c r="O350" s="564"/>
      <c r="P350" s="564"/>
      <c r="Q350" s="564"/>
      <c r="R350" s="564"/>
      <c r="S350" s="564"/>
      <c r="T350" s="564"/>
      <c r="U350" s="564"/>
      <c r="V350" s="564"/>
      <c r="W350" s="564"/>
      <c r="X350" s="564"/>
      <c r="Y350" s="564"/>
      <c r="Z350" s="564"/>
      <c r="AA350" s="564"/>
      <c r="AB350" s="556"/>
      <c r="AC350" s="556"/>
      <c r="AD350" s="556"/>
      <c r="AE350" s="556"/>
      <c r="AF350" s="556"/>
      <c r="AG350" s="556"/>
      <c r="AH350" s="556"/>
      <c r="AI350" s="556"/>
      <c r="AJ350" s="556"/>
      <c r="AK350" s="556"/>
      <c r="AL350" s="556"/>
      <c r="AM350" s="556"/>
      <c r="AN350" s="556"/>
      <c r="AO350" s="556"/>
      <c r="AP350" s="556"/>
      <c r="AQ350" s="556"/>
      <c r="AR350" s="556"/>
      <c r="AS350" s="565"/>
      <c r="AT350" s="556"/>
    </row>
    <row r="351" spans="1:46" hidden="1" x14ac:dyDescent="0.45">
      <c r="A351" s="556"/>
      <c r="B351" s="556"/>
      <c r="C351" s="556"/>
      <c r="D351" s="564"/>
      <c r="E351" s="556"/>
      <c r="F351" s="564"/>
      <c r="G351" s="564"/>
      <c r="H351" s="564"/>
      <c r="I351" s="564"/>
      <c r="J351" s="564"/>
      <c r="K351" s="564"/>
      <c r="L351" s="564"/>
      <c r="M351" s="564"/>
      <c r="N351" s="564"/>
      <c r="O351" s="564"/>
      <c r="P351" s="564"/>
      <c r="Q351" s="564"/>
      <c r="R351" s="564"/>
      <c r="S351" s="564"/>
      <c r="T351" s="564"/>
      <c r="U351" s="564"/>
      <c r="V351" s="564"/>
      <c r="W351" s="564"/>
      <c r="X351" s="564"/>
      <c r="Y351" s="564"/>
      <c r="Z351" s="564"/>
      <c r="AA351" s="564"/>
      <c r="AB351" s="556"/>
      <c r="AC351" s="556"/>
      <c r="AD351" s="556"/>
      <c r="AE351" s="556"/>
      <c r="AF351" s="556"/>
      <c r="AG351" s="556"/>
      <c r="AH351" s="556"/>
      <c r="AI351" s="556"/>
      <c r="AJ351" s="556"/>
      <c r="AK351" s="556"/>
      <c r="AL351" s="556"/>
      <c r="AM351" s="556"/>
      <c r="AN351" s="556"/>
      <c r="AO351" s="556"/>
      <c r="AP351" s="556"/>
      <c r="AQ351" s="556"/>
      <c r="AR351" s="556"/>
      <c r="AS351" s="565"/>
      <c r="AT351" s="556"/>
    </row>
    <row r="352" spans="1:46" hidden="1" x14ac:dyDescent="0.45">
      <c r="A352" s="556"/>
      <c r="B352" s="556"/>
      <c r="C352" s="556"/>
      <c r="D352" s="564"/>
      <c r="E352" s="556"/>
      <c r="F352" s="564"/>
      <c r="G352" s="564"/>
      <c r="H352" s="564"/>
      <c r="I352" s="564"/>
      <c r="J352" s="564"/>
      <c r="K352" s="564"/>
      <c r="L352" s="564"/>
      <c r="M352" s="564"/>
      <c r="N352" s="564"/>
      <c r="O352" s="564"/>
      <c r="P352" s="564"/>
      <c r="Q352" s="564"/>
      <c r="R352" s="564"/>
      <c r="S352" s="564"/>
      <c r="T352" s="564"/>
      <c r="U352" s="564"/>
      <c r="V352" s="564"/>
      <c r="W352" s="564"/>
      <c r="X352" s="564"/>
      <c r="Y352" s="564"/>
      <c r="Z352" s="564"/>
      <c r="AA352" s="564"/>
      <c r="AB352" s="556"/>
      <c r="AC352" s="556"/>
      <c r="AD352" s="556"/>
      <c r="AE352" s="556"/>
      <c r="AF352" s="556"/>
      <c r="AG352" s="556"/>
      <c r="AH352" s="556"/>
      <c r="AI352" s="556"/>
      <c r="AJ352" s="556"/>
      <c r="AK352" s="556"/>
      <c r="AL352" s="556"/>
      <c r="AM352" s="556"/>
      <c r="AN352" s="556"/>
      <c r="AO352" s="556"/>
      <c r="AP352" s="556"/>
      <c r="AQ352" s="556"/>
      <c r="AR352" s="556"/>
      <c r="AS352" s="565"/>
      <c r="AT352" s="556"/>
    </row>
    <row r="353" spans="1:46" hidden="1" x14ac:dyDescent="0.45">
      <c r="A353" s="556"/>
      <c r="B353" s="556"/>
      <c r="C353" s="556"/>
      <c r="D353" s="564"/>
      <c r="E353" s="556"/>
      <c r="F353" s="564"/>
      <c r="G353" s="564"/>
      <c r="H353" s="564"/>
      <c r="I353" s="564"/>
      <c r="J353" s="564"/>
      <c r="K353" s="564"/>
      <c r="L353" s="564"/>
      <c r="M353" s="564"/>
      <c r="N353" s="564"/>
      <c r="O353" s="564"/>
      <c r="P353" s="564"/>
      <c r="Q353" s="564"/>
      <c r="R353" s="564"/>
      <c r="S353" s="564"/>
      <c r="T353" s="564"/>
      <c r="U353" s="564"/>
      <c r="V353" s="564"/>
      <c r="W353" s="564"/>
      <c r="X353" s="564"/>
      <c r="Y353" s="564"/>
      <c r="Z353" s="564"/>
      <c r="AA353" s="564"/>
      <c r="AB353" s="556"/>
      <c r="AC353" s="556"/>
      <c r="AD353" s="556"/>
      <c r="AE353" s="556"/>
      <c r="AF353" s="556"/>
      <c r="AG353" s="556"/>
      <c r="AH353" s="556"/>
      <c r="AI353" s="556"/>
      <c r="AJ353" s="556"/>
      <c r="AK353" s="556"/>
      <c r="AL353" s="556"/>
      <c r="AM353" s="556"/>
      <c r="AN353" s="556"/>
      <c r="AO353" s="556"/>
      <c r="AP353" s="556"/>
      <c r="AQ353" s="556"/>
      <c r="AR353" s="556"/>
      <c r="AS353" s="565"/>
      <c r="AT353" s="556"/>
    </row>
    <row r="354" spans="1:46" hidden="1" x14ac:dyDescent="0.45">
      <c r="A354" s="556"/>
      <c r="B354" s="556"/>
      <c r="C354" s="556"/>
      <c r="D354" s="564"/>
      <c r="E354" s="556"/>
      <c r="F354" s="564"/>
      <c r="G354" s="564"/>
      <c r="H354" s="564"/>
      <c r="I354" s="564"/>
      <c r="J354" s="564"/>
      <c r="K354" s="564"/>
      <c r="L354" s="564"/>
      <c r="M354" s="564"/>
      <c r="N354" s="564"/>
      <c r="O354" s="564"/>
      <c r="P354" s="564"/>
      <c r="Q354" s="564"/>
      <c r="R354" s="564"/>
      <c r="S354" s="564"/>
      <c r="T354" s="564"/>
      <c r="U354" s="564"/>
      <c r="V354" s="564"/>
      <c r="W354" s="564"/>
      <c r="X354" s="564"/>
      <c r="Y354" s="564"/>
      <c r="Z354" s="564"/>
      <c r="AA354" s="564"/>
      <c r="AB354" s="556"/>
      <c r="AC354" s="556"/>
      <c r="AD354" s="556"/>
      <c r="AE354" s="556"/>
      <c r="AF354" s="556"/>
      <c r="AG354" s="556"/>
      <c r="AH354" s="556"/>
      <c r="AI354" s="556"/>
      <c r="AJ354" s="556"/>
      <c r="AK354" s="556"/>
      <c r="AL354" s="556"/>
      <c r="AM354" s="556"/>
      <c r="AN354" s="556"/>
      <c r="AO354" s="556"/>
      <c r="AP354" s="556"/>
      <c r="AQ354" s="556"/>
      <c r="AR354" s="556"/>
      <c r="AS354" s="565"/>
      <c r="AT354" s="556"/>
    </row>
    <row r="355" spans="1:46" hidden="1" x14ac:dyDescent="0.45">
      <c r="A355" s="556"/>
      <c r="B355" s="556"/>
      <c r="C355" s="556"/>
      <c r="D355" s="564"/>
      <c r="E355" s="556"/>
      <c r="F355" s="564"/>
      <c r="G355" s="564"/>
      <c r="H355" s="564"/>
      <c r="I355" s="564"/>
      <c r="J355" s="564"/>
      <c r="K355" s="564"/>
      <c r="L355" s="564"/>
      <c r="M355" s="564"/>
      <c r="N355" s="564"/>
      <c r="O355" s="564"/>
      <c r="P355" s="564"/>
      <c r="Q355" s="564"/>
      <c r="R355" s="564"/>
      <c r="S355" s="564"/>
      <c r="T355" s="564"/>
      <c r="U355" s="564"/>
      <c r="V355" s="564"/>
      <c r="W355" s="564"/>
      <c r="X355" s="564"/>
      <c r="Y355" s="564"/>
      <c r="Z355" s="564"/>
      <c r="AA355" s="564"/>
      <c r="AB355" s="556"/>
      <c r="AC355" s="556"/>
      <c r="AD355" s="556"/>
      <c r="AE355" s="556"/>
      <c r="AF355" s="556"/>
      <c r="AG355" s="556"/>
      <c r="AH355" s="556"/>
      <c r="AI355" s="556"/>
      <c r="AJ355" s="556"/>
      <c r="AK355" s="556"/>
      <c r="AL355" s="556"/>
      <c r="AM355" s="556"/>
      <c r="AN355" s="556"/>
      <c r="AO355" s="556"/>
      <c r="AP355" s="556"/>
      <c r="AQ355" s="556"/>
      <c r="AR355" s="556"/>
      <c r="AS355" s="565"/>
      <c r="AT355" s="556"/>
    </row>
    <row r="356" spans="1:46" hidden="1" x14ac:dyDescent="0.45">
      <c r="A356" s="556"/>
      <c r="B356" s="556"/>
      <c r="C356" s="556"/>
      <c r="D356" s="564"/>
      <c r="E356" s="556"/>
      <c r="F356" s="564"/>
      <c r="G356" s="564"/>
      <c r="H356" s="564"/>
      <c r="I356" s="564"/>
      <c r="J356" s="564"/>
      <c r="K356" s="564"/>
      <c r="L356" s="564"/>
      <c r="M356" s="564"/>
      <c r="N356" s="564"/>
      <c r="O356" s="564"/>
      <c r="P356" s="564"/>
      <c r="Q356" s="564"/>
      <c r="R356" s="564"/>
      <c r="S356" s="564"/>
      <c r="T356" s="564"/>
      <c r="U356" s="564"/>
      <c r="V356" s="564"/>
      <c r="W356" s="564"/>
      <c r="X356" s="564"/>
      <c r="Y356" s="564"/>
      <c r="Z356" s="564"/>
      <c r="AA356" s="564"/>
      <c r="AB356" s="556"/>
      <c r="AC356" s="556"/>
      <c r="AD356" s="556"/>
      <c r="AE356" s="556"/>
      <c r="AF356" s="556"/>
      <c r="AG356" s="556"/>
      <c r="AH356" s="556"/>
      <c r="AI356" s="556"/>
      <c r="AJ356" s="556"/>
      <c r="AK356" s="556"/>
      <c r="AL356" s="556"/>
      <c r="AM356" s="556"/>
      <c r="AN356" s="556"/>
      <c r="AO356" s="556"/>
      <c r="AP356" s="556"/>
      <c r="AQ356" s="556"/>
      <c r="AR356" s="556"/>
      <c r="AS356" s="565"/>
      <c r="AT356" s="556"/>
    </row>
    <row r="357" spans="1:46" hidden="1" x14ac:dyDescent="0.45">
      <c r="A357" s="556"/>
      <c r="B357" s="556"/>
      <c r="C357" s="556"/>
      <c r="D357" s="564"/>
      <c r="E357" s="556"/>
      <c r="F357" s="564"/>
      <c r="G357" s="564"/>
      <c r="H357" s="564"/>
      <c r="I357" s="564"/>
      <c r="J357" s="564"/>
      <c r="K357" s="564"/>
      <c r="L357" s="564"/>
      <c r="M357" s="564"/>
      <c r="N357" s="564"/>
      <c r="O357" s="564"/>
      <c r="P357" s="564"/>
      <c r="Q357" s="564"/>
      <c r="R357" s="564"/>
      <c r="S357" s="564"/>
      <c r="T357" s="564"/>
      <c r="U357" s="564"/>
      <c r="V357" s="564"/>
      <c r="W357" s="564"/>
      <c r="X357" s="564"/>
      <c r="Y357" s="564"/>
      <c r="Z357" s="564"/>
      <c r="AA357" s="564"/>
      <c r="AB357" s="556"/>
      <c r="AC357" s="556"/>
      <c r="AD357" s="556"/>
      <c r="AE357" s="556"/>
      <c r="AF357" s="556"/>
      <c r="AG357" s="556"/>
      <c r="AH357" s="556"/>
      <c r="AI357" s="556"/>
      <c r="AJ357" s="556"/>
      <c r="AK357" s="556"/>
      <c r="AL357" s="556"/>
      <c r="AM357" s="556"/>
      <c r="AN357" s="556"/>
      <c r="AO357" s="556"/>
      <c r="AP357" s="556"/>
      <c r="AQ357" s="556"/>
      <c r="AR357" s="556"/>
      <c r="AS357" s="565"/>
      <c r="AT357" s="556"/>
    </row>
    <row r="358" spans="1:46" hidden="1" x14ac:dyDescent="0.45">
      <c r="A358" s="556"/>
      <c r="B358" s="556"/>
      <c r="C358" s="556"/>
      <c r="D358" s="564"/>
      <c r="E358" s="556"/>
      <c r="F358" s="564"/>
      <c r="G358" s="564"/>
      <c r="H358" s="564"/>
      <c r="I358" s="564"/>
      <c r="J358" s="564"/>
      <c r="K358" s="564"/>
      <c r="L358" s="564"/>
      <c r="M358" s="564"/>
      <c r="N358" s="564"/>
      <c r="O358" s="564"/>
      <c r="P358" s="564"/>
      <c r="Q358" s="564"/>
      <c r="R358" s="564"/>
      <c r="S358" s="564"/>
      <c r="T358" s="564"/>
      <c r="U358" s="564"/>
      <c r="V358" s="564"/>
      <c r="W358" s="564"/>
      <c r="X358" s="564"/>
      <c r="Y358" s="564"/>
      <c r="Z358" s="564"/>
      <c r="AA358" s="564"/>
      <c r="AB358" s="556"/>
      <c r="AC358" s="556"/>
      <c r="AD358" s="556"/>
      <c r="AE358" s="556"/>
      <c r="AF358" s="556"/>
      <c r="AG358" s="556"/>
      <c r="AH358" s="556"/>
      <c r="AI358" s="556"/>
      <c r="AJ358" s="556"/>
      <c r="AK358" s="556"/>
      <c r="AL358" s="556"/>
      <c r="AM358" s="556"/>
      <c r="AN358" s="556"/>
      <c r="AO358" s="556"/>
      <c r="AP358" s="556"/>
      <c r="AQ358" s="556"/>
      <c r="AR358" s="556"/>
      <c r="AS358" s="565"/>
      <c r="AT358" s="556"/>
    </row>
    <row r="359" spans="1:46" hidden="1" x14ac:dyDescent="0.45">
      <c r="A359" s="556"/>
      <c r="B359" s="556"/>
      <c r="C359" s="556"/>
      <c r="D359" s="564"/>
      <c r="E359" s="556"/>
      <c r="F359" s="564"/>
      <c r="G359" s="564"/>
      <c r="H359" s="564"/>
      <c r="I359" s="564"/>
      <c r="J359" s="564"/>
      <c r="K359" s="564"/>
      <c r="L359" s="564"/>
      <c r="M359" s="564"/>
      <c r="N359" s="564"/>
      <c r="O359" s="564"/>
      <c r="P359" s="564"/>
      <c r="Q359" s="564"/>
      <c r="R359" s="564"/>
      <c r="S359" s="564"/>
      <c r="T359" s="564"/>
      <c r="U359" s="564"/>
      <c r="V359" s="564"/>
      <c r="W359" s="564"/>
      <c r="X359" s="564"/>
      <c r="Y359" s="564"/>
      <c r="Z359" s="564"/>
      <c r="AA359" s="564"/>
      <c r="AB359" s="556"/>
      <c r="AC359" s="556"/>
      <c r="AD359" s="556"/>
      <c r="AE359" s="556"/>
      <c r="AF359" s="556"/>
      <c r="AG359" s="556"/>
      <c r="AH359" s="556"/>
      <c r="AI359" s="556"/>
      <c r="AJ359" s="556"/>
      <c r="AK359" s="556"/>
      <c r="AL359" s="556"/>
      <c r="AM359" s="556"/>
      <c r="AN359" s="556"/>
      <c r="AO359" s="556"/>
      <c r="AP359" s="556"/>
      <c r="AQ359" s="556"/>
      <c r="AR359" s="556"/>
      <c r="AS359" s="565"/>
      <c r="AT359" s="556"/>
    </row>
    <row r="360" spans="1:46" hidden="1" x14ac:dyDescent="0.45">
      <c r="A360" s="556"/>
      <c r="B360" s="556"/>
      <c r="C360" s="556"/>
      <c r="D360" s="564"/>
      <c r="E360" s="556"/>
      <c r="F360" s="564"/>
      <c r="G360" s="564"/>
      <c r="H360" s="564"/>
      <c r="I360" s="564"/>
      <c r="J360" s="564"/>
      <c r="K360" s="564"/>
      <c r="L360" s="564"/>
      <c r="M360" s="564"/>
      <c r="N360" s="564"/>
      <c r="O360" s="564"/>
      <c r="P360" s="564"/>
      <c r="Q360" s="564"/>
      <c r="R360" s="564"/>
      <c r="S360" s="564"/>
      <c r="T360" s="564"/>
      <c r="U360" s="564"/>
      <c r="V360" s="564"/>
      <c r="W360" s="564"/>
      <c r="X360" s="564"/>
      <c r="Y360" s="564"/>
      <c r="Z360" s="564"/>
      <c r="AA360" s="564"/>
      <c r="AB360" s="556"/>
      <c r="AC360" s="556"/>
      <c r="AD360" s="556"/>
      <c r="AE360" s="556"/>
      <c r="AF360" s="556"/>
      <c r="AG360" s="556"/>
      <c r="AH360" s="556"/>
      <c r="AI360" s="556"/>
      <c r="AJ360" s="556"/>
      <c r="AK360" s="556"/>
      <c r="AL360" s="556"/>
      <c r="AM360" s="556"/>
      <c r="AN360" s="556"/>
      <c r="AO360" s="556"/>
      <c r="AP360" s="556"/>
      <c r="AQ360" s="556"/>
      <c r="AR360" s="556"/>
      <c r="AS360" s="565"/>
      <c r="AT360" s="556"/>
    </row>
    <row r="361" spans="1:46" hidden="1" x14ac:dyDescent="0.45">
      <c r="A361" s="556"/>
      <c r="B361" s="556"/>
      <c r="C361" s="556"/>
      <c r="D361" s="564"/>
      <c r="E361" s="556"/>
      <c r="F361" s="564"/>
      <c r="G361" s="564"/>
      <c r="H361" s="564"/>
      <c r="I361" s="564"/>
      <c r="J361" s="564"/>
      <c r="K361" s="564"/>
      <c r="L361" s="564"/>
      <c r="M361" s="564"/>
      <c r="N361" s="564"/>
      <c r="O361" s="564"/>
      <c r="P361" s="564"/>
      <c r="Q361" s="564"/>
      <c r="R361" s="564"/>
      <c r="S361" s="564"/>
      <c r="T361" s="564"/>
      <c r="U361" s="564"/>
      <c r="V361" s="564"/>
      <c r="W361" s="564"/>
      <c r="X361" s="564"/>
      <c r="Y361" s="564"/>
      <c r="Z361" s="564"/>
      <c r="AA361" s="564"/>
      <c r="AB361" s="556"/>
      <c r="AC361" s="556"/>
      <c r="AD361" s="556"/>
      <c r="AE361" s="556"/>
      <c r="AF361" s="556"/>
      <c r="AG361" s="556"/>
      <c r="AH361" s="556"/>
      <c r="AI361" s="556"/>
      <c r="AJ361" s="556"/>
      <c r="AK361" s="556"/>
      <c r="AL361" s="556"/>
      <c r="AM361" s="556"/>
      <c r="AN361" s="556"/>
      <c r="AO361" s="556"/>
      <c r="AP361" s="556"/>
      <c r="AQ361" s="556"/>
      <c r="AR361" s="556"/>
      <c r="AS361" s="565"/>
      <c r="AT361" s="556"/>
    </row>
    <row r="362" spans="1:46" hidden="1" x14ac:dyDescent="0.45">
      <c r="A362" s="556"/>
      <c r="B362" s="556"/>
      <c r="C362" s="556"/>
      <c r="D362" s="564"/>
      <c r="E362" s="556"/>
      <c r="F362" s="564"/>
      <c r="G362" s="564"/>
      <c r="H362" s="564"/>
      <c r="I362" s="564"/>
      <c r="J362" s="564"/>
      <c r="K362" s="564"/>
      <c r="L362" s="564"/>
      <c r="M362" s="564"/>
      <c r="N362" s="564"/>
      <c r="O362" s="564"/>
      <c r="P362" s="564"/>
      <c r="Q362" s="564"/>
      <c r="R362" s="564"/>
      <c r="S362" s="564"/>
      <c r="T362" s="564"/>
      <c r="U362" s="564"/>
      <c r="V362" s="564"/>
      <c r="W362" s="564"/>
      <c r="X362" s="564"/>
      <c r="Y362" s="564"/>
      <c r="Z362" s="564"/>
      <c r="AA362" s="564"/>
      <c r="AB362" s="556"/>
      <c r="AC362" s="556"/>
      <c r="AD362" s="556"/>
      <c r="AE362" s="556"/>
      <c r="AF362" s="556"/>
      <c r="AG362" s="556"/>
      <c r="AH362" s="556"/>
      <c r="AI362" s="556"/>
      <c r="AJ362" s="556"/>
      <c r="AK362" s="556"/>
      <c r="AL362" s="556"/>
      <c r="AM362" s="556"/>
      <c r="AN362" s="556"/>
      <c r="AO362" s="556"/>
      <c r="AP362" s="556"/>
      <c r="AQ362" s="556"/>
      <c r="AR362" s="556"/>
      <c r="AS362" s="565"/>
      <c r="AT362" s="556"/>
    </row>
    <row r="363" spans="1:46" hidden="1" x14ac:dyDescent="0.45">
      <c r="A363" s="556"/>
      <c r="B363" s="556"/>
      <c r="C363" s="556"/>
      <c r="D363" s="564"/>
      <c r="E363" s="556"/>
      <c r="F363" s="564"/>
      <c r="G363" s="564"/>
      <c r="H363" s="564"/>
      <c r="I363" s="564"/>
      <c r="J363" s="564"/>
      <c r="K363" s="564"/>
      <c r="L363" s="564"/>
      <c r="M363" s="564"/>
      <c r="N363" s="564"/>
      <c r="O363" s="564"/>
      <c r="P363" s="564"/>
      <c r="Q363" s="564"/>
      <c r="R363" s="564"/>
      <c r="S363" s="564"/>
      <c r="T363" s="564"/>
      <c r="U363" s="564"/>
      <c r="V363" s="564"/>
      <c r="W363" s="564"/>
      <c r="X363" s="564"/>
      <c r="Y363" s="564"/>
      <c r="Z363" s="564"/>
      <c r="AA363" s="564"/>
      <c r="AB363" s="556"/>
      <c r="AC363" s="556"/>
      <c r="AD363" s="556"/>
      <c r="AE363" s="556"/>
      <c r="AF363" s="556"/>
      <c r="AG363" s="556"/>
      <c r="AH363" s="556"/>
      <c r="AI363" s="556"/>
      <c r="AJ363" s="556"/>
      <c r="AK363" s="556"/>
      <c r="AL363" s="556"/>
      <c r="AM363" s="556"/>
      <c r="AN363" s="556"/>
      <c r="AO363" s="556"/>
      <c r="AP363" s="556"/>
      <c r="AQ363" s="556"/>
      <c r="AR363" s="556"/>
      <c r="AS363" s="565"/>
      <c r="AT363" s="556"/>
    </row>
    <row r="364" spans="1:46" hidden="1" x14ac:dyDescent="0.45">
      <c r="A364" s="556"/>
      <c r="B364" s="556"/>
      <c r="C364" s="556"/>
      <c r="D364" s="564"/>
      <c r="E364" s="556"/>
      <c r="F364" s="564"/>
      <c r="G364" s="564"/>
      <c r="H364" s="564"/>
      <c r="I364" s="564"/>
      <c r="J364" s="564"/>
      <c r="K364" s="564"/>
      <c r="L364" s="564"/>
      <c r="M364" s="564"/>
      <c r="N364" s="564"/>
      <c r="O364" s="564"/>
      <c r="P364" s="564"/>
      <c r="Q364" s="564"/>
      <c r="R364" s="564"/>
      <c r="S364" s="564"/>
      <c r="T364" s="564"/>
      <c r="U364" s="564"/>
      <c r="V364" s="564"/>
      <c r="W364" s="564"/>
      <c r="X364" s="564"/>
      <c r="Y364" s="564"/>
      <c r="Z364" s="564"/>
      <c r="AA364" s="564"/>
      <c r="AB364" s="556"/>
      <c r="AC364" s="556"/>
      <c r="AD364" s="556"/>
      <c r="AE364" s="556"/>
      <c r="AF364" s="556"/>
      <c r="AG364" s="556"/>
      <c r="AH364" s="556"/>
      <c r="AI364" s="556"/>
      <c r="AJ364" s="556"/>
      <c r="AK364" s="556"/>
      <c r="AL364" s="556"/>
      <c r="AM364" s="556"/>
      <c r="AN364" s="556"/>
      <c r="AO364" s="556"/>
      <c r="AP364" s="556"/>
      <c r="AQ364" s="556"/>
      <c r="AR364" s="556"/>
      <c r="AS364" s="565"/>
      <c r="AT364" s="556"/>
    </row>
    <row r="365" spans="1:46" hidden="1" x14ac:dyDescent="0.45">
      <c r="A365" s="556"/>
      <c r="B365" s="556"/>
      <c r="C365" s="556"/>
      <c r="D365" s="564"/>
      <c r="E365" s="556"/>
      <c r="F365" s="564"/>
      <c r="G365" s="564"/>
      <c r="H365" s="564"/>
      <c r="I365" s="564"/>
      <c r="J365" s="564"/>
      <c r="K365" s="564"/>
      <c r="L365" s="564"/>
      <c r="M365" s="564"/>
      <c r="N365" s="564"/>
      <c r="O365" s="564"/>
      <c r="P365" s="564"/>
      <c r="Q365" s="564"/>
      <c r="R365" s="564"/>
      <c r="S365" s="564"/>
      <c r="T365" s="564"/>
      <c r="U365" s="564"/>
      <c r="V365" s="564"/>
      <c r="W365" s="564"/>
      <c r="X365" s="564"/>
      <c r="Y365" s="564"/>
      <c r="Z365" s="564"/>
      <c r="AA365" s="564"/>
      <c r="AB365" s="556"/>
      <c r="AC365" s="556"/>
      <c r="AD365" s="556"/>
      <c r="AE365" s="556"/>
      <c r="AF365" s="556"/>
      <c r="AG365" s="556"/>
      <c r="AH365" s="556"/>
      <c r="AI365" s="556"/>
      <c r="AJ365" s="556"/>
      <c r="AK365" s="556"/>
      <c r="AL365" s="556"/>
      <c r="AM365" s="556"/>
      <c r="AN365" s="556"/>
      <c r="AO365" s="556"/>
      <c r="AP365" s="556"/>
      <c r="AQ365" s="556"/>
      <c r="AR365" s="556"/>
      <c r="AS365" s="565"/>
      <c r="AT365" s="556"/>
    </row>
    <row r="366" spans="1:46" hidden="1" x14ac:dyDescent="0.45">
      <c r="A366" s="556"/>
      <c r="B366" s="556"/>
      <c r="C366" s="556"/>
      <c r="D366" s="564"/>
      <c r="E366" s="556"/>
      <c r="F366" s="564"/>
      <c r="G366" s="564"/>
      <c r="H366" s="564"/>
      <c r="I366" s="564"/>
      <c r="J366" s="564"/>
      <c r="K366" s="564"/>
      <c r="L366" s="564"/>
      <c r="M366" s="564"/>
      <c r="N366" s="564"/>
      <c r="O366" s="564"/>
      <c r="P366" s="564"/>
      <c r="Q366" s="564"/>
      <c r="R366" s="564"/>
      <c r="S366" s="564"/>
      <c r="T366" s="564"/>
      <c r="U366" s="564"/>
      <c r="V366" s="564"/>
      <c r="W366" s="564"/>
      <c r="X366" s="564"/>
      <c r="Y366" s="564"/>
      <c r="Z366" s="564"/>
      <c r="AA366" s="564"/>
      <c r="AB366" s="556"/>
      <c r="AC366" s="556"/>
      <c r="AD366" s="556"/>
      <c r="AE366" s="556"/>
      <c r="AF366" s="556"/>
      <c r="AG366" s="556"/>
      <c r="AH366" s="556"/>
      <c r="AI366" s="556"/>
      <c r="AJ366" s="556"/>
      <c r="AK366" s="556"/>
      <c r="AL366" s="556"/>
      <c r="AM366" s="556"/>
      <c r="AN366" s="556"/>
      <c r="AO366" s="556"/>
      <c r="AP366" s="556"/>
      <c r="AQ366" s="556"/>
      <c r="AR366" s="556"/>
      <c r="AS366" s="565"/>
      <c r="AT366" s="556"/>
    </row>
    <row r="367" spans="1:46" hidden="1" x14ac:dyDescent="0.45">
      <c r="A367" s="556"/>
      <c r="B367" s="556"/>
      <c r="C367" s="556"/>
      <c r="D367" s="564"/>
      <c r="E367" s="556"/>
      <c r="F367" s="564"/>
      <c r="G367" s="564"/>
      <c r="H367" s="564"/>
      <c r="I367" s="564"/>
      <c r="J367" s="564"/>
      <c r="K367" s="564"/>
      <c r="L367" s="564"/>
      <c r="M367" s="564"/>
      <c r="N367" s="564"/>
      <c r="O367" s="564"/>
      <c r="P367" s="564"/>
      <c r="Q367" s="564"/>
      <c r="R367" s="564"/>
      <c r="S367" s="564"/>
      <c r="T367" s="564"/>
      <c r="U367" s="564"/>
      <c r="V367" s="564"/>
      <c r="W367" s="564"/>
      <c r="X367" s="564"/>
      <c r="Y367" s="564"/>
      <c r="Z367" s="564"/>
      <c r="AA367" s="564"/>
      <c r="AB367" s="556"/>
      <c r="AC367" s="556"/>
      <c r="AD367" s="556"/>
      <c r="AE367" s="556"/>
      <c r="AF367" s="556"/>
      <c r="AG367" s="556"/>
      <c r="AH367" s="556"/>
      <c r="AI367" s="556"/>
      <c r="AJ367" s="556"/>
      <c r="AK367" s="556"/>
      <c r="AL367" s="556"/>
      <c r="AM367" s="556"/>
      <c r="AN367" s="556"/>
      <c r="AO367" s="556"/>
      <c r="AP367" s="556"/>
      <c r="AQ367" s="556"/>
      <c r="AR367" s="556"/>
      <c r="AS367" s="565"/>
      <c r="AT367" s="556"/>
    </row>
    <row r="368" spans="1:46" hidden="1" x14ac:dyDescent="0.45">
      <c r="A368" s="556"/>
      <c r="B368" s="556"/>
      <c r="C368" s="556"/>
      <c r="D368" s="564"/>
      <c r="E368" s="556"/>
      <c r="F368" s="564"/>
      <c r="G368" s="564"/>
      <c r="H368" s="564"/>
      <c r="I368" s="564"/>
      <c r="J368" s="564"/>
      <c r="K368" s="564"/>
      <c r="L368" s="564"/>
      <c r="M368" s="564"/>
      <c r="N368" s="564"/>
      <c r="O368" s="564"/>
      <c r="P368" s="564"/>
      <c r="Q368" s="564"/>
      <c r="R368" s="564"/>
      <c r="S368" s="564"/>
      <c r="T368" s="564"/>
      <c r="U368" s="564"/>
      <c r="V368" s="564"/>
      <c r="W368" s="564"/>
      <c r="X368" s="564"/>
      <c r="Y368" s="564"/>
      <c r="Z368" s="564"/>
      <c r="AA368" s="564"/>
      <c r="AB368" s="556"/>
      <c r="AC368" s="556"/>
      <c r="AD368" s="556"/>
      <c r="AE368" s="556"/>
      <c r="AF368" s="556"/>
      <c r="AG368" s="556"/>
      <c r="AH368" s="556"/>
      <c r="AI368" s="556"/>
      <c r="AJ368" s="556"/>
      <c r="AK368" s="556"/>
      <c r="AL368" s="556"/>
      <c r="AM368" s="556"/>
      <c r="AN368" s="556"/>
      <c r="AO368" s="556"/>
      <c r="AP368" s="556"/>
      <c r="AQ368" s="556"/>
      <c r="AR368" s="556"/>
      <c r="AS368" s="565"/>
      <c r="AT368" s="556"/>
    </row>
    <row r="369" spans="1:46" hidden="1" x14ac:dyDescent="0.45">
      <c r="A369" s="556"/>
      <c r="B369" s="556"/>
      <c r="C369" s="556"/>
      <c r="D369" s="564"/>
      <c r="E369" s="556"/>
      <c r="F369" s="564"/>
      <c r="G369" s="564"/>
      <c r="H369" s="564"/>
      <c r="I369" s="564"/>
      <c r="J369" s="564"/>
      <c r="K369" s="564"/>
      <c r="L369" s="564"/>
      <c r="M369" s="564"/>
      <c r="N369" s="564"/>
      <c r="O369" s="564"/>
      <c r="P369" s="564"/>
      <c r="Q369" s="564"/>
      <c r="R369" s="564"/>
      <c r="S369" s="564"/>
      <c r="T369" s="564"/>
      <c r="U369" s="564"/>
      <c r="V369" s="564"/>
      <c r="W369" s="564"/>
      <c r="X369" s="564"/>
      <c r="Y369" s="564"/>
      <c r="Z369" s="564"/>
      <c r="AA369" s="564"/>
      <c r="AB369" s="556"/>
      <c r="AC369" s="556"/>
      <c r="AD369" s="556"/>
      <c r="AE369" s="556"/>
      <c r="AF369" s="556"/>
      <c r="AG369" s="556"/>
      <c r="AH369" s="556"/>
      <c r="AI369" s="556"/>
      <c r="AJ369" s="556"/>
      <c r="AK369" s="556"/>
      <c r="AL369" s="556"/>
      <c r="AM369" s="556"/>
      <c r="AN369" s="556"/>
      <c r="AO369" s="556"/>
      <c r="AP369" s="556"/>
      <c r="AQ369" s="556"/>
      <c r="AR369" s="556"/>
      <c r="AS369" s="565"/>
      <c r="AT369" s="556"/>
    </row>
    <row r="370" spans="1:46" hidden="1" x14ac:dyDescent="0.45">
      <c r="A370" s="556"/>
      <c r="B370" s="556"/>
      <c r="C370" s="556"/>
      <c r="D370" s="564"/>
      <c r="E370" s="556"/>
      <c r="F370" s="564"/>
      <c r="G370" s="564"/>
      <c r="H370" s="564"/>
      <c r="I370" s="564"/>
      <c r="J370" s="564"/>
      <c r="K370" s="564"/>
      <c r="L370" s="564"/>
      <c r="M370" s="564"/>
      <c r="N370" s="564"/>
      <c r="O370" s="564"/>
      <c r="P370" s="564"/>
      <c r="Q370" s="564"/>
      <c r="R370" s="564"/>
      <c r="S370" s="564"/>
      <c r="T370" s="564"/>
      <c r="U370" s="564"/>
      <c r="V370" s="564"/>
      <c r="W370" s="564"/>
      <c r="X370" s="564"/>
      <c r="Y370" s="564"/>
      <c r="Z370" s="564"/>
      <c r="AA370" s="564"/>
      <c r="AB370" s="556"/>
      <c r="AC370" s="556"/>
      <c r="AD370" s="556"/>
      <c r="AE370" s="556"/>
      <c r="AF370" s="556"/>
      <c r="AG370" s="556"/>
      <c r="AH370" s="556"/>
      <c r="AI370" s="556"/>
      <c r="AJ370" s="556"/>
      <c r="AK370" s="556"/>
      <c r="AL370" s="556"/>
      <c r="AM370" s="556"/>
      <c r="AN370" s="556"/>
      <c r="AO370" s="556"/>
      <c r="AP370" s="556"/>
      <c r="AQ370" s="556"/>
      <c r="AR370" s="556"/>
      <c r="AS370" s="565"/>
      <c r="AT370" s="556"/>
    </row>
    <row r="371" spans="1:46" hidden="1" x14ac:dyDescent="0.45">
      <c r="A371" s="556"/>
      <c r="B371" s="556"/>
      <c r="C371" s="556"/>
      <c r="D371" s="564"/>
      <c r="E371" s="556"/>
      <c r="F371" s="564"/>
      <c r="G371" s="564"/>
      <c r="H371" s="564"/>
      <c r="I371" s="564"/>
      <c r="J371" s="564"/>
      <c r="K371" s="564"/>
      <c r="L371" s="564"/>
      <c r="M371" s="564"/>
      <c r="N371" s="564"/>
      <c r="O371" s="564"/>
      <c r="P371" s="564"/>
      <c r="Q371" s="564"/>
      <c r="R371" s="564"/>
      <c r="S371" s="564"/>
      <c r="T371" s="564"/>
      <c r="U371" s="564"/>
      <c r="V371" s="564"/>
      <c r="W371" s="564"/>
      <c r="X371" s="564"/>
      <c r="Y371" s="564"/>
      <c r="Z371" s="564"/>
      <c r="AA371" s="564"/>
      <c r="AB371" s="556"/>
      <c r="AC371" s="556"/>
      <c r="AD371" s="556"/>
      <c r="AE371" s="556"/>
      <c r="AF371" s="556"/>
      <c r="AG371" s="556"/>
      <c r="AH371" s="556"/>
      <c r="AI371" s="556"/>
      <c r="AJ371" s="556"/>
      <c r="AK371" s="556"/>
      <c r="AL371" s="556"/>
      <c r="AM371" s="556"/>
      <c r="AN371" s="556"/>
      <c r="AO371" s="556"/>
      <c r="AP371" s="556"/>
      <c r="AQ371" s="556"/>
      <c r="AR371" s="556"/>
      <c r="AS371" s="565"/>
      <c r="AT371" s="556"/>
    </row>
    <row r="372" spans="1:46" hidden="1" x14ac:dyDescent="0.45">
      <c r="A372" s="556"/>
      <c r="B372" s="556"/>
      <c r="C372" s="556"/>
      <c r="D372" s="564"/>
      <c r="E372" s="556"/>
      <c r="F372" s="564"/>
      <c r="G372" s="564"/>
      <c r="H372" s="564"/>
      <c r="I372" s="564"/>
      <c r="J372" s="564"/>
      <c r="K372" s="564"/>
      <c r="L372" s="564"/>
      <c r="M372" s="564"/>
      <c r="N372" s="564"/>
      <c r="O372" s="564"/>
      <c r="P372" s="564"/>
      <c r="Q372" s="564"/>
      <c r="R372" s="564"/>
      <c r="S372" s="564"/>
      <c r="T372" s="564"/>
      <c r="U372" s="564"/>
      <c r="V372" s="564"/>
      <c r="W372" s="564"/>
      <c r="X372" s="564"/>
      <c r="Y372" s="564"/>
      <c r="Z372" s="564"/>
      <c r="AA372" s="564"/>
      <c r="AB372" s="556"/>
      <c r="AC372" s="556"/>
      <c r="AD372" s="556"/>
      <c r="AE372" s="556"/>
      <c r="AF372" s="556"/>
      <c r="AG372" s="556"/>
      <c r="AH372" s="556"/>
      <c r="AI372" s="556"/>
      <c r="AJ372" s="556"/>
      <c r="AK372" s="556"/>
      <c r="AL372" s="556"/>
      <c r="AM372" s="556"/>
      <c r="AN372" s="556"/>
      <c r="AO372" s="556"/>
      <c r="AP372" s="556"/>
      <c r="AQ372" s="556"/>
      <c r="AR372" s="556"/>
      <c r="AS372" s="565"/>
      <c r="AT372" s="556"/>
    </row>
    <row r="373" spans="1:46" hidden="1" x14ac:dyDescent="0.45">
      <c r="A373" s="556"/>
      <c r="B373" s="556"/>
      <c r="C373" s="556"/>
      <c r="D373" s="564"/>
      <c r="E373" s="556"/>
      <c r="F373" s="564"/>
      <c r="G373" s="564"/>
      <c r="H373" s="564"/>
      <c r="I373" s="564"/>
      <c r="J373" s="564"/>
      <c r="K373" s="564"/>
      <c r="L373" s="564"/>
      <c r="M373" s="564"/>
      <c r="N373" s="564"/>
      <c r="O373" s="564"/>
      <c r="P373" s="564"/>
      <c r="Q373" s="564"/>
      <c r="R373" s="564"/>
      <c r="S373" s="564"/>
      <c r="T373" s="564"/>
      <c r="U373" s="564"/>
      <c r="V373" s="564"/>
      <c r="W373" s="564"/>
      <c r="X373" s="564"/>
      <c r="Y373" s="564"/>
      <c r="Z373" s="564"/>
      <c r="AA373" s="564"/>
      <c r="AB373" s="556"/>
      <c r="AC373" s="556"/>
      <c r="AD373" s="556"/>
      <c r="AE373" s="556"/>
      <c r="AF373" s="556"/>
      <c r="AG373" s="556"/>
      <c r="AH373" s="556"/>
      <c r="AI373" s="556"/>
      <c r="AJ373" s="556"/>
      <c r="AK373" s="556"/>
      <c r="AL373" s="556"/>
      <c r="AM373" s="556"/>
      <c r="AN373" s="556"/>
      <c r="AO373" s="556"/>
      <c r="AP373" s="556"/>
      <c r="AQ373" s="556"/>
      <c r="AR373" s="556"/>
      <c r="AS373" s="565"/>
      <c r="AT373" s="556"/>
    </row>
    <row r="374" spans="1:46" hidden="1" x14ac:dyDescent="0.45">
      <c r="A374" s="556"/>
      <c r="B374" s="556"/>
      <c r="C374" s="556"/>
      <c r="D374" s="564"/>
      <c r="E374" s="556"/>
      <c r="F374" s="564"/>
      <c r="G374" s="564"/>
      <c r="H374" s="564"/>
      <c r="I374" s="564"/>
      <c r="J374" s="564"/>
      <c r="K374" s="564"/>
      <c r="L374" s="564"/>
      <c r="M374" s="564"/>
      <c r="N374" s="564"/>
      <c r="O374" s="564"/>
      <c r="P374" s="564"/>
      <c r="Q374" s="564"/>
      <c r="R374" s="564"/>
      <c r="S374" s="564"/>
      <c r="T374" s="564"/>
      <c r="U374" s="564"/>
      <c r="V374" s="564"/>
      <c r="W374" s="564"/>
      <c r="X374" s="564"/>
      <c r="Y374" s="564"/>
      <c r="Z374" s="564"/>
      <c r="AA374" s="564"/>
      <c r="AB374" s="556"/>
      <c r="AC374" s="556"/>
      <c r="AD374" s="556"/>
      <c r="AE374" s="556"/>
      <c r="AF374" s="556"/>
      <c r="AG374" s="556"/>
      <c r="AH374" s="556"/>
      <c r="AI374" s="556"/>
      <c r="AJ374" s="556"/>
      <c r="AK374" s="556"/>
      <c r="AL374" s="556"/>
      <c r="AM374" s="556"/>
      <c r="AN374" s="556"/>
      <c r="AO374" s="556"/>
      <c r="AP374" s="556"/>
      <c r="AQ374" s="556"/>
      <c r="AR374" s="556"/>
      <c r="AS374" s="565"/>
      <c r="AT374" s="556"/>
    </row>
    <row r="375" spans="1:46" hidden="1" x14ac:dyDescent="0.45">
      <c r="A375" s="556"/>
      <c r="B375" s="556"/>
      <c r="C375" s="556"/>
      <c r="D375" s="564"/>
      <c r="E375" s="556"/>
      <c r="F375" s="564"/>
      <c r="G375" s="564"/>
      <c r="H375" s="564"/>
      <c r="I375" s="564"/>
      <c r="J375" s="564"/>
      <c r="K375" s="564"/>
      <c r="L375" s="564"/>
      <c r="M375" s="564"/>
      <c r="N375" s="564"/>
      <c r="O375" s="564"/>
      <c r="P375" s="564"/>
      <c r="Q375" s="564"/>
      <c r="R375" s="564"/>
      <c r="S375" s="564"/>
      <c r="T375" s="564"/>
      <c r="U375" s="564"/>
      <c r="V375" s="564"/>
      <c r="W375" s="564"/>
      <c r="X375" s="564"/>
      <c r="Y375" s="564"/>
      <c r="Z375" s="564"/>
      <c r="AA375" s="564"/>
      <c r="AB375" s="556"/>
      <c r="AC375" s="556"/>
      <c r="AD375" s="556"/>
      <c r="AE375" s="556"/>
      <c r="AF375" s="556"/>
      <c r="AG375" s="556"/>
      <c r="AH375" s="556"/>
      <c r="AI375" s="556"/>
      <c r="AJ375" s="556"/>
      <c r="AK375" s="556"/>
      <c r="AL375" s="556"/>
      <c r="AM375" s="556"/>
      <c r="AN375" s="556"/>
      <c r="AO375" s="556"/>
      <c r="AP375" s="556"/>
      <c r="AQ375" s="556"/>
      <c r="AR375" s="556"/>
      <c r="AS375" s="565"/>
      <c r="AT375" s="556"/>
    </row>
    <row r="376" spans="1:46" hidden="1" x14ac:dyDescent="0.45">
      <c r="A376" s="556"/>
      <c r="B376" s="556"/>
      <c r="C376" s="556"/>
      <c r="D376" s="564"/>
      <c r="E376" s="556"/>
      <c r="F376" s="564"/>
      <c r="G376" s="564"/>
      <c r="H376" s="564"/>
      <c r="I376" s="564"/>
      <c r="J376" s="564"/>
      <c r="K376" s="564"/>
      <c r="L376" s="564"/>
      <c r="M376" s="564"/>
      <c r="N376" s="564"/>
      <c r="O376" s="564"/>
      <c r="P376" s="564"/>
      <c r="Q376" s="564"/>
      <c r="R376" s="564"/>
      <c r="S376" s="564"/>
      <c r="T376" s="564"/>
      <c r="U376" s="564"/>
      <c r="V376" s="564"/>
      <c r="W376" s="564"/>
      <c r="X376" s="564"/>
      <c r="Y376" s="564"/>
      <c r="Z376" s="564"/>
      <c r="AA376" s="564"/>
      <c r="AB376" s="556"/>
      <c r="AC376" s="556"/>
      <c r="AD376" s="556"/>
      <c r="AE376" s="556"/>
      <c r="AF376" s="556"/>
      <c r="AG376" s="556"/>
      <c r="AH376" s="556"/>
      <c r="AI376" s="556"/>
      <c r="AJ376" s="556"/>
      <c r="AK376" s="556"/>
      <c r="AL376" s="556"/>
      <c r="AM376" s="556"/>
      <c r="AN376" s="556"/>
      <c r="AO376" s="556"/>
      <c r="AP376" s="556"/>
      <c r="AQ376" s="556"/>
      <c r="AR376" s="556"/>
      <c r="AS376" s="565"/>
      <c r="AT376" s="556"/>
    </row>
    <row r="377" spans="1:46" hidden="1" x14ac:dyDescent="0.45">
      <c r="A377" s="556"/>
      <c r="B377" s="556"/>
      <c r="C377" s="556"/>
      <c r="D377" s="564"/>
      <c r="E377" s="556"/>
      <c r="F377" s="564"/>
      <c r="G377" s="564"/>
      <c r="H377" s="564"/>
      <c r="I377" s="564"/>
      <c r="J377" s="564"/>
      <c r="K377" s="564"/>
      <c r="L377" s="564"/>
      <c r="M377" s="564"/>
      <c r="N377" s="564"/>
      <c r="O377" s="564"/>
      <c r="P377" s="564"/>
      <c r="Q377" s="564"/>
      <c r="R377" s="564"/>
      <c r="S377" s="564"/>
      <c r="T377" s="564"/>
      <c r="U377" s="564"/>
      <c r="V377" s="564"/>
      <c r="W377" s="564"/>
      <c r="X377" s="564"/>
      <c r="Y377" s="564"/>
      <c r="Z377" s="564"/>
      <c r="AA377" s="564"/>
      <c r="AB377" s="556"/>
      <c r="AC377" s="556"/>
      <c r="AD377" s="556"/>
      <c r="AE377" s="556"/>
      <c r="AF377" s="556"/>
      <c r="AG377" s="556"/>
      <c r="AH377" s="556"/>
      <c r="AI377" s="556"/>
      <c r="AJ377" s="556"/>
      <c r="AK377" s="556"/>
      <c r="AL377" s="556"/>
      <c r="AM377" s="556"/>
      <c r="AN377" s="556"/>
      <c r="AO377" s="556"/>
      <c r="AP377" s="556"/>
      <c r="AQ377" s="556"/>
      <c r="AR377" s="556"/>
      <c r="AS377" s="565"/>
      <c r="AT377" s="556"/>
    </row>
    <row r="378" spans="1:46" hidden="1" x14ac:dyDescent="0.45">
      <c r="A378" s="556"/>
      <c r="B378" s="556"/>
      <c r="C378" s="556"/>
      <c r="D378" s="564"/>
      <c r="E378" s="556"/>
      <c r="F378" s="564"/>
      <c r="G378" s="564"/>
      <c r="H378" s="564"/>
      <c r="I378" s="564"/>
      <c r="J378" s="564"/>
      <c r="K378" s="564"/>
      <c r="L378" s="564"/>
      <c r="M378" s="564"/>
      <c r="N378" s="564"/>
      <c r="O378" s="564"/>
      <c r="P378" s="564"/>
      <c r="Q378" s="564"/>
      <c r="R378" s="564"/>
      <c r="S378" s="564"/>
      <c r="T378" s="564"/>
      <c r="U378" s="564"/>
      <c r="V378" s="564"/>
      <c r="W378" s="564"/>
      <c r="X378" s="564"/>
      <c r="Y378" s="564"/>
      <c r="Z378" s="564"/>
      <c r="AA378" s="564"/>
      <c r="AB378" s="556"/>
      <c r="AC378" s="556"/>
      <c r="AD378" s="556"/>
      <c r="AE378" s="556"/>
      <c r="AF378" s="556"/>
      <c r="AG378" s="556"/>
      <c r="AH378" s="556"/>
      <c r="AI378" s="556"/>
      <c r="AJ378" s="556"/>
      <c r="AK378" s="556"/>
      <c r="AL378" s="556"/>
      <c r="AM378" s="556"/>
      <c r="AN378" s="556"/>
      <c r="AO378" s="556"/>
      <c r="AP378" s="556"/>
      <c r="AQ378" s="556"/>
      <c r="AR378" s="556"/>
      <c r="AS378" s="565"/>
      <c r="AT378" s="556"/>
    </row>
    <row r="379" spans="1:46" hidden="1" x14ac:dyDescent="0.45">
      <c r="A379" s="556"/>
      <c r="B379" s="556"/>
      <c r="C379" s="556"/>
      <c r="D379" s="564"/>
      <c r="E379" s="556"/>
      <c r="F379" s="564"/>
      <c r="G379" s="564"/>
      <c r="H379" s="564"/>
      <c r="I379" s="564"/>
      <c r="J379" s="564"/>
      <c r="K379" s="564"/>
      <c r="L379" s="564"/>
      <c r="M379" s="564"/>
      <c r="N379" s="564"/>
      <c r="O379" s="564"/>
      <c r="P379" s="564"/>
      <c r="Q379" s="564"/>
      <c r="R379" s="564"/>
      <c r="S379" s="564"/>
      <c r="T379" s="564"/>
      <c r="U379" s="564"/>
      <c r="V379" s="564"/>
      <c r="W379" s="564"/>
      <c r="X379" s="564"/>
      <c r="Y379" s="564"/>
      <c r="Z379" s="564"/>
      <c r="AA379" s="564"/>
      <c r="AB379" s="556"/>
      <c r="AC379" s="556"/>
      <c r="AD379" s="556"/>
      <c r="AE379" s="556"/>
      <c r="AF379" s="556"/>
      <c r="AG379" s="556"/>
      <c r="AH379" s="556"/>
      <c r="AI379" s="556"/>
      <c r="AJ379" s="556"/>
      <c r="AK379" s="556"/>
      <c r="AL379" s="556"/>
      <c r="AM379" s="556"/>
      <c r="AN379" s="556"/>
      <c r="AO379" s="556"/>
      <c r="AP379" s="556"/>
      <c r="AQ379" s="556"/>
      <c r="AR379" s="556"/>
      <c r="AS379" s="565"/>
      <c r="AT379" s="556"/>
    </row>
    <row r="380" spans="1:46" hidden="1" x14ac:dyDescent="0.45">
      <c r="A380" s="556"/>
      <c r="B380" s="556"/>
      <c r="C380" s="556"/>
      <c r="D380" s="564"/>
      <c r="E380" s="556"/>
      <c r="F380" s="564"/>
      <c r="G380" s="564"/>
      <c r="H380" s="564"/>
      <c r="I380" s="564"/>
      <c r="J380" s="564"/>
      <c r="K380" s="564"/>
      <c r="L380" s="564"/>
      <c r="M380" s="564"/>
      <c r="N380" s="564"/>
      <c r="O380" s="564"/>
      <c r="P380" s="564"/>
      <c r="Q380" s="564"/>
      <c r="R380" s="564"/>
      <c r="S380" s="564"/>
      <c r="T380" s="564"/>
      <c r="U380" s="564"/>
      <c r="V380" s="564"/>
      <c r="W380" s="564"/>
      <c r="X380" s="564"/>
      <c r="Y380" s="564"/>
      <c r="Z380" s="564"/>
      <c r="AA380" s="564"/>
      <c r="AB380" s="556"/>
      <c r="AC380" s="556"/>
      <c r="AD380" s="556"/>
      <c r="AE380" s="556"/>
      <c r="AF380" s="556"/>
      <c r="AG380" s="556"/>
      <c r="AH380" s="556"/>
      <c r="AI380" s="556"/>
      <c r="AJ380" s="556"/>
      <c r="AK380" s="556"/>
      <c r="AL380" s="556"/>
      <c r="AM380" s="556"/>
      <c r="AN380" s="556"/>
      <c r="AO380" s="556"/>
      <c r="AP380" s="556"/>
      <c r="AQ380" s="556"/>
      <c r="AR380" s="556"/>
      <c r="AS380" s="565"/>
      <c r="AT380" s="556"/>
    </row>
    <row r="381" spans="1:46" hidden="1" x14ac:dyDescent="0.45">
      <c r="A381" s="556"/>
      <c r="B381" s="556"/>
      <c r="C381" s="556"/>
      <c r="D381" s="564"/>
      <c r="E381" s="556"/>
      <c r="F381" s="564"/>
      <c r="G381" s="564"/>
      <c r="H381" s="564"/>
      <c r="I381" s="564"/>
      <c r="J381" s="564"/>
      <c r="K381" s="564"/>
      <c r="L381" s="564"/>
      <c r="M381" s="564"/>
      <c r="N381" s="564"/>
      <c r="O381" s="564"/>
      <c r="P381" s="564"/>
      <c r="Q381" s="564"/>
      <c r="R381" s="564"/>
      <c r="S381" s="564"/>
      <c r="T381" s="564"/>
      <c r="U381" s="564"/>
      <c r="V381" s="564"/>
      <c r="W381" s="564"/>
      <c r="X381" s="564"/>
      <c r="Y381" s="564"/>
      <c r="Z381" s="564"/>
      <c r="AA381" s="564"/>
      <c r="AB381" s="556"/>
      <c r="AC381" s="556"/>
      <c r="AD381" s="556"/>
      <c r="AE381" s="556"/>
      <c r="AF381" s="556"/>
      <c r="AG381" s="556"/>
      <c r="AH381" s="556"/>
      <c r="AI381" s="556"/>
      <c r="AJ381" s="556"/>
      <c r="AK381" s="556"/>
      <c r="AL381" s="556"/>
      <c r="AM381" s="556"/>
      <c r="AN381" s="556"/>
      <c r="AO381" s="556"/>
      <c r="AP381" s="556"/>
      <c r="AQ381" s="556"/>
      <c r="AR381" s="556"/>
      <c r="AS381" s="565"/>
      <c r="AT381" s="556"/>
    </row>
    <row r="382" spans="1:46" hidden="1" x14ac:dyDescent="0.45">
      <c r="A382" s="556"/>
      <c r="B382" s="556"/>
      <c r="C382" s="556"/>
      <c r="D382" s="564"/>
      <c r="E382" s="556"/>
      <c r="F382" s="564"/>
      <c r="G382" s="564"/>
      <c r="H382" s="564"/>
      <c r="I382" s="564"/>
      <c r="J382" s="564"/>
      <c r="K382" s="564"/>
      <c r="L382" s="564"/>
      <c r="M382" s="564"/>
      <c r="N382" s="564"/>
      <c r="O382" s="564"/>
      <c r="P382" s="564"/>
      <c r="Q382" s="564"/>
      <c r="R382" s="564"/>
      <c r="S382" s="564"/>
      <c r="T382" s="564"/>
      <c r="U382" s="564"/>
      <c r="V382" s="564"/>
      <c r="W382" s="564"/>
      <c r="X382" s="564"/>
      <c r="Y382" s="564"/>
      <c r="Z382" s="564"/>
      <c r="AA382" s="564"/>
      <c r="AB382" s="556"/>
      <c r="AC382" s="556"/>
      <c r="AD382" s="556"/>
      <c r="AE382" s="556"/>
      <c r="AF382" s="556"/>
      <c r="AG382" s="556"/>
      <c r="AH382" s="556"/>
      <c r="AI382" s="556"/>
      <c r="AJ382" s="556"/>
      <c r="AK382" s="556"/>
      <c r="AL382" s="556"/>
      <c r="AM382" s="556"/>
      <c r="AN382" s="556"/>
      <c r="AO382" s="556"/>
      <c r="AP382" s="556"/>
      <c r="AQ382" s="556"/>
      <c r="AR382" s="556"/>
      <c r="AS382" s="565"/>
      <c r="AT382" s="556"/>
    </row>
    <row r="383" spans="1:46" hidden="1" x14ac:dyDescent="0.45">
      <c r="A383" s="556"/>
      <c r="B383" s="556"/>
      <c r="C383" s="556"/>
      <c r="D383" s="564"/>
      <c r="E383" s="556"/>
      <c r="F383" s="564"/>
      <c r="G383" s="564"/>
      <c r="H383" s="564"/>
      <c r="I383" s="564"/>
      <c r="J383" s="564"/>
      <c r="K383" s="564"/>
      <c r="L383" s="564"/>
      <c r="M383" s="564"/>
      <c r="N383" s="564"/>
      <c r="O383" s="564"/>
      <c r="P383" s="564"/>
      <c r="Q383" s="564"/>
      <c r="R383" s="564"/>
      <c r="S383" s="564"/>
      <c r="T383" s="564"/>
      <c r="U383" s="564"/>
      <c r="V383" s="564"/>
      <c r="W383" s="564"/>
      <c r="X383" s="564"/>
      <c r="Y383" s="564"/>
      <c r="Z383" s="564"/>
      <c r="AA383" s="564"/>
      <c r="AB383" s="556"/>
      <c r="AC383" s="556"/>
      <c r="AD383" s="556"/>
      <c r="AE383" s="556"/>
      <c r="AF383" s="556"/>
      <c r="AG383" s="556"/>
      <c r="AH383" s="556"/>
      <c r="AI383" s="556"/>
      <c r="AJ383" s="556"/>
      <c r="AK383" s="556"/>
      <c r="AL383" s="556"/>
      <c r="AM383" s="556"/>
      <c r="AN383" s="556"/>
      <c r="AO383" s="556"/>
      <c r="AP383" s="556"/>
      <c r="AQ383" s="556"/>
      <c r="AR383" s="556"/>
      <c r="AS383" s="565"/>
      <c r="AT383" s="556"/>
    </row>
    <row r="384" spans="1:46" hidden="1" x14ac:dyDescent="0.45">
      <c r="A384" s="556"/>
      <c r="B384" s="556"/>
      <c r="C384" s="556"/>
      <c r="D384" s="564"/>
      <c r="E384" s="556"/>
      <c r="F384" s="564"/>
      <c r="G384" s="564"/>
      <c r="H384" s="564"/>
      <c r="I384" s="564"/>
      <c r="J384" s="564"/>
      <c r="K384" s="564"/>
      <c r="L384" s="564"/>
      <c r="M384" s="564"/>
      <c r="N384" s="564"/>
      <c r="O384" s="564"/>
      <c r="P384" s="564"/>
      <c r="Q384" s="564"/>
      <c r="R384" s="564"/>
      <c r="S384" s="564"/>
      <c r="T384" s="564"/>
      <c r="U384" s="564"/>
      <c r="V384" s="564"/>
      <c r="W384" s="564"/>
      <c r="X384" s="564"/>
      <c r="Y384" s="564"/>
      <c r="Z384" s="564"/>
      <c r="AA384" s="564"/>
      <c r="AB384" s="556"/>
      <c r="AC384" s="556"/>
      <c r="AD384" s="556"/>
      <c r="AE384" s="556"/>
      <c r="AF384" s="556"/>
      <c r="AG384" s="556"/>
      <c r="AH384" s="556"/>
      <c r="AI384" s="556"/>
      <c r="AJ384" s="556"/>
      <c r="AK384" s="556"/>
      <c r="AL384" s="556"/>
      <c r="AM384" s="556"/>
      <c r="AN384" s="556"/>
      <c r="AO384" s="556"/>
      <c r="AP384" s="556"/>
      <c r="AQ384" s="556"/>
      <c r="AR384" s="556"/>
      <c r="AS384" s="565"/>
      <c r="AT384" s="556"/>
    </row>
    <row r="385" spans="1:46" hidden="1" x14ac:dyDescent="0.45">
      <c r="A385" s="556"/>
      <c r="B385" s="556"/>
      <c r="C385" s="556"/>
      <c r="D385" s="564"/>
      <c r="E385" s="556"/>
      <c r="F385" s="564"/>
      <c r="G385" s="564"/>
      <c r="H385" s="564"/>
      <c r="I385" s="564"/>
      <c r="J385" s="564"/>
      <c r="K385" s="564"/>
      <c r="L385" s="564"/>
      <c r="M385" s="564"/>
      <c r="N385" s="564"/>
      <c r="O385" s="564"/>
      <c r="P385" s="564"/>
      <c r="Q385" s="564"/>
      <c r="R385" s="564"/>
      <c r="S385" s="564"/>
      <c r="T385" s="564"/>
      <c r="U385" s="564"/>
      <c r="V385" s="564"/>
      <c r="W385" s="564"/>
      <c r="X385" s="564"/>
      <c r="Y385" s="564"/>
      <c r="Z385" s="564"/>
      <c r="AA385" s="564"/>
      <c r="AB385" s="556"/>
      <c r="AC385" s="556"/>
      <c r="AD385" s="556"/>
      <c r="AE385" s="556"/>
      <c r="AF385" s="556"/>
      <c r="AG385" s="556"/>
      <c r="AH385" s="556"/>
      <c r="AI385" s="556"/>
      <c r="AJ385" s="556"/>
      <c r="AK385" s="556"/>
      <c r="AL385" s="556"/>
      <c r="AM385" s="556"/>
      <c r="AN385" s="556"/>
      <c r="AO385" s="556"/>
      <c r="AP385" s="556"/>
      <c r="AQ385" s="556"/>
      <c r="AR385" s="556"/>
      <c r="AS385" s="565"/>
      <c r="AT385" s="556"/>
    </row>
    <row r="386" spans="1:46" hidden="1" x14ac:dyDescent="0.45">
      <c r="A386" s="556"/>
      <c r="B386" s="556"/>
      <c r="C386" s="556"/>
      <c r="D386" s="564"/>
      <c r="E386" s="556"/>
      <c r="F386" s="564"/>
      <c r="G386" s="564"/>
      <c r="H386" s="564"/>
      <c r="I386" s="564"/>
      <c r="J386" s="564"/>
      <c r="K386" s="564"/>
      <c r="L386" s="564"/>
      <c r="M386" s="564"/>
      <c r="N386" s="564"/>
      <c r="O386" s="564"/>
      <c r="P386" s="564"/>
      <c r="Q386" s="564"/>
      <c r="R386" s="564"/>
      <c r="S386" s="564"/>
      <c r="T386" s="564"/>
      <c r="U386" s="564"/>
      <c r="V386" s="564"/>
      <c r="W386" s="564"/>
      <c r="X386" s="564"/>
      <c r="Y386" s="564"/>
      <c r="Z386" s="564"/>
      <c r="AA386" s="564"/>
      <c r="AB386" s="556"/>
      <c r="AC386" s="556"/>
      <c r="AD386" s="556"/>
      <c r="AE386" s="556"/>
      <c r="AF386" s="556"/>
      <c r="AG386" s="556"/>
      <c r="AH386" s="556"/>
      <c r="AI386" s="556"/>
      <c r="AJ386" s="556"/>
      <c r="AK386" s="556"/>
      <c r="AL386" s="556"/>
      <c r="AM386" s="556"/>
      <c r="AN386" s="556"/>
      <c r="AO386" s="556"/>
      <c r="AP386" s="556"/>
      <c r="AQ386" s="556"/>
      <c r="AR386" s="556"/>
      <c r="AS386" s="565"/>
      <c r="AT386" s="556"/>
    </row>
    <row r="387" spans="1:46" hidden="1" x14ac:dyDescent="0.45">
      <c r="A387" s="556"/>
      <c r="B387" s="556"/>
      <c r="C387" s="556"/>
      <c r="D387" s="564"/>
      <c r="E387" s="556"/>
      <c r="F387" s="564"/>
      <c r="G387" s="564"/>
      <c r="H387" s="564"/>
      <c r="I387" s="564"/>
      <c r="J387" s="564"/>
      <c r="K387" s="564"/>
      <c r="L387" s="564"/>
      <c r="M387" s="564"/>
      <c r="N387" s="564"/>
      <c r="O387" s="564"/>
      <c r="P387" s="564"/>
      <c r="Q387" s="564"/>
      <c r="R387" s="564"/>
      <c r="S387" s="564"/>
      <c r="T387" s="564"/>
      <c r="U387" s="564"/>
      <c r="V387" s="564"/>
      <c r="W387" s="564"/>
      <c r="X387" s="564"/>
      <c r="Y387" s="564"/>
      <c r="Z387" s="564"/>
      <c r="AA387" s="564"/>
      <c r="AB387" s="556"/>
      <c r="AC387" s="556"/>
      <c r="AD387" s="556"/>
      <c r="AE387" s="556"/>
      <c r="AF387" s="556"/>
      <c r="AG387" s="556"/>
      <c r="AH387" s="556"/>
      <c r="AI387" s="556"/>
      <c r="AJ387" s="556"/>
      <c r="AK387" s="556"/>
      <c r="AL387" s="556"/>
      <c r="AM387" s="556"/>
      <c r="AN387" s="556"/>
      <c r="AO387" s="556"/>
      <c r="AP387" s="556"/>
      <c r="AQ387" s="556"/>
      <c r="AR387" s="556"/>
      <c r="AS387" s="565"/>
      <c r="AT387" s="556"/>
    </row>
    <row r="388" spans="1:46" hidden="1" x14ac:dyDescent="0.45">
      <c r="A388" s="556"/>
      <c r="B388" s="556"/>
      <c r="C388" s="556"/>
      <c r="D388" s="564"/>
      <c r="E388" s="556"/>
      <c r="F388" s="564"/>
      <c r="G388" s="564"/>
      <c r="H388" s="564"/>
      <c r="I388" s="564"/>
      <c r="J388" s="564"/>
      <c r="K388" s="564"/>
      <c r="L388" s="564"/>
      <c r="M388" s="564"/>
      <c r="N388" s="564"/>
      <c r="O388" s="564"/>
      <c r="P388" s="564"/>
      <c r="Q388" s="564"/>
      <c r="R388" s="564"/>
      <c r="S388" s="564"/>
      <c r="T388" s="564"/>
      <c r="U388" s="564"/>
      <c r="V388" s="564"/>
      <c r="W388" s="564"/>
      <c r="X388" s="564"/>
      <c r="Y388" s="564"/>
      <c r="Z388" s="564"/>
      <c r="AA388" s="564"/>
      <c r="AB388" s="556"/>
      <c r="AC388" s="556"/>
      <c r="AD388" s="556"/>
      <c r="AE388" s="556"/>
      <c r="AF388" s="556"/>
      <c r="AG388" s="556"/>
      <c r="AH388" s="556"/>
      <c r="AI388" s="556"/>
      <c r="AJ388" s="556"/>
      <c r="AK388" s="556"/>
      <c r="AL388" s="556"/>
      <c r="AM388" s="556"/>
      <c r="AN388" s="556"/>
      <c r="AO388" s="556"/>
      <c r="AP388" s="556"/>
      <c r="AQ388" s="556"/>
      <c r="AR388" s="556"/>
      <c r="AS388" s="565"/>
      <c r="AT388" s="556"/>
    </row>
    <row r="389" spans="1:46" hidden="1" x14ac:dyDescent="0.45">
      <c r="A389" s="556"/>
      <c r="B389" s="556"/>
      <c r="C389" s="556"/>
      <c r="D389" s="564"/>
      <c r="E389" s="556"/>
      <c r="F389" s="564"/>
      <c r="G389" s="564"/>
      <c r="H389" s="564"/>
      <c r="I389" s="564"/>
      <c r="J389" s="564"/>
      <c r="K389" s="564"/>
      <c r="L389" s="564"/>
      <c r="M389" s="564"/>
      <c r="N389" s="564"/>
      <c r="O389" s="564"/>
      <c r="P389" s="564"/>
      <c r="Q389" s="564"/>
      <c r="R389" s="564"/>
      <c r="S389" s="564"/>
      <c r="T389" s="564"/>
      <c r="U389" s="564"/>
      <c r="V389" s="564"/>
      <c r="W389" s="564"/>
      <c r="X389" s="564"/>
      <c r="Y389" s="564"/>
      <c r="Z389" s="564"/>
      <c r="AA389" s="564"/>
      <c r="AB389" s="556"/>
      <c r="AC389" s="556"/>
      <c r="AD389" s="556"/>
      <c r="AE389" s="556"/>
      <c r="AF389" s="556"/>
      <c r="AG389" s="556"/>
      <c r="AH389" s="556"/>
      <c r="AI389" s="556"/>
      <c r="AJ389" s="556"/>
      <c r="AK389" s="556"/>
      <c r="AL389" s="556"/>
      <c r="AM389" s="556"/>
      <c r="AN389" s="556"/>
      <c r="AO389" s="556"/>
      <c r="AP389" s="556"/>
      <c r="AQ389" s="556"/>
      <c r="AR389" s="556"/>
      <c r="AS389" s="565"/>
      <c r="AT389" s="556"/>
    </row>
    <row r="390" spans="1:46" hidden="1" x14ac:dyDescent="0.45">
      <c r="A390" s="556"/>
      <c r="B390" s="556"/>
      <c r="C390" s="556"/>
      <c r="D390" s="564"/>
      <c r="E390" s="556"/>
      <c r="F390" s="564"/>
      <c r="G390" s="564"/>
      <c r="H390" s="564"/>
      <c r="I390" s="564"/>
      <c r="J390" s="564"/>
      <c r="K390" s="564"/>
      <c r="L390" s="564"/>
      <c r="M390" s="564"/>
      <c r="N390" s="564"/>
      <c r="O390" s="564"/>
      <c r="P390" s="564"/>
      <c r="Q390" s="564"/>
      <c r="R390" s="564"/>
      <c r="S390" s="564"/>
      <c r="T390" s="564"/>
      <c r="U390" s="564"/>
      <c r="V390" s="564"/>
      <c r="W390" s="564"/>
      <c r="X390" s="564"/>
      <c r="Y390" s="564"/>
      <c r="Z390" s="564"/>
      <c r="AA390" s="564"/>
      <c r="AB390" s="556"/>
      <c r="AC390" s="556"/>
      <c r="AD390" s="556"/>
      <c r="AE390" s="556"/>
      <c r="AF390" s="556"/>
      <c r="AG390" s="556"/>
      <c r="AH390" s="556"/>
      <c r="AI390" s="556"/>
      <c r="AJ390" s="556"/>
      <c r="AK390" s="556"/>
      <c r="AL390" s="556"/>
      <c r="AM390" s="556"/>
      <c r="AN390" s="556"/>
      <c r="AO390" s="556"/>
      <c r="AP390" s="556"/>
      <c r="AQ390" s="556"/>
      <c r="AR390" s="556"/>
      <c r="AS390" s="565"/>
      <c r="AT390" s="556"/>
    </row>
    <row r="391" spans="1:46" hidden="1" x14ac:dyDescent="0.45">
      <c r="A391" s="556"/>
      <c r="B391" s="556"/>
      <c r="C391" s="556"/>
      <c r="D391" s="564"/>
      <c r="E391" s="556"/>
      <c r="F391" s="564"/>
      <c r="G391" s="564"/>
      <c r="H391" s="564"/>
      <c r="I391" s="564"/>
      <c r="J391" s="564"/>
      <c r="K391" s="564"/>
      <c r="L391" s="564"/>
      <c r="M391" s="564"/>
      <c r="N391" s="564"/>
      <c r="O391" s="564"/>
      <c r="P391" s="564"/>
      <c r="Q391" s="564"/>
      <c r="R391" s="564"/>
      <c r="S391" s="564"/>
      <c r="T391" s="564"/>
      <c r="U391" s="564"/>
      <c r="V391" s="564"/>
      <c r="W391" s="564"/>
      <c r="X391" s="564"/>
      <c r="Y391" s="564"/>
      <c r="Z391" s="564"/>
      <c r="AA391" s="564"/>
      <c r="AB391" s="556"/>
      <c r="AC391" s="556"/>
      <c r="AD391" s="556"/>
      <c r="AE391" s="556"/>
      <c r="AF391" s="556"/>
      <c r="AG391" s="556"/>
      <c r="AH391" s="556"/>
      <c r="AI391" s="556"/>
      <c r="AJ391" s="556"/>
      <c r="AK391" s="556"/>
      <c r="AL391" s="556"/>
      <c r="AM391" s="556"/>
      <c r="AN391" s="556"/>
      <c r="AO391" s="556"/>
      <c r="AP391" s="556"/>
      <c r="AQ391" s="556"/>
      <c r="AR391" s="556"/>
      <c r="AS391" s="565"/>
      <c r="AT391" s="556"/>
    </row>
    <row r="392" spans="1:46" hidden="1" x14ac:dyDescent="0.45">
      <c r="A392" s="556"/>
      <c r="B392" s="556"/>
      <c r="C392" s="556"/>
      <c r="D392" s="564"/>
      <c r="E392" s="556"/>
      <c r="F392" s="564"/>
      <c r="G392" s="564"/>
      <c r="H392" s="564"/>
      <c r="I392" s="564"/>
      <c r="J392" s="564"/>
      <c r="K392" s="564"/>
      <c r="L392" s="564"/>
      <c r="M392" s="564"/>
      <c r="N392" s="564"/>
      <c r="O392" s="564"/>
      <c r="P392" s="564"/>
      <c r="Q392" s="564"/>
      <c r="R392" s="564"/>
      <c r="S392" s="564"/>
      <c r="T392" s="564"/>
      <c r="U392" s="564"/>
      <c r="V392" s="564"/>
      <c r="W392" s="564"/>
      <c r="X392" s="564"/>
      <c r="Y392" s="564"/>
      <c r="Z392" s="564"/>
      <c r="AA392" s="564"/>
      <c r="AB392" s="556"/>
      <c r="AC392" s="556"/>
      <c r="AD392" s="556"/>
      <c r="AE392" s="556"/>
      <c r="AF392" s="556"/>
      <c r="AG392" s="556"/>
      <c r="AH392" s="556"/>
      <c r="AI392" s="556"/>
      <c r="AJ392" s="556"/>
      <c r="AK392" s="556"/>
      <c r="AL392" s="556"/>
      <c r="AM392" s="556"/>
      <c r="AN392" s="556"/>
      <c r="AO392" s="556"/>
      <c r="AP392" s="556"/>
      <c r="AQ392" s="556"/>
      <c r="AR392" s="556"/>
      <c r="AS392" s="565"/>
      <c r="AT392" s="556"/>
    </row>
    <row r="393" spans="1:46" hidden="1" x14ac:dyDescent="0.45">
      <c r="A393" s="556"/>
      <c r="B393" s="556"/>
      <c r="C393" s="556"/>
      <c r="D393" s="564"/>
      <c r="E393" s="556"/>
      <c r="F393" s="564"/>
      <c r="G393" s="564"/>
      <c r="H393" s="564"/>
      <c r="I393" s="564"/>
      <c r="J393" s="564"/>
      <c r="K393" s="564"/>
      <c r="L393" s="564"/>
      <c r="M393" s="564"/>
      <c r="N393" s="564"/>
      <c r="O393" s="564"/>
      <c r="P393" s="564"/>
      <c r="Q393" s="564"/>
      <c r="R393" s="564"/>
      <c r="S393" s="564"/>
      <c r="T393" s="564"/>
      <c r="U393" s="564"/>
      <c r="V393" s="564"/>
      <c r="W393" s="564"/>
      <c r="X393" s="564"/>
      <c r="Y393" s="564"/>
      <c r="Z393" s="564"/>
      <c r="AA393" s="564"/>
      <c r="AB393" s="556"/>
      <c r="AC393" s="556"/>
      <c r="AD393" s="556"/>
      <c r="AE393" s="556"/>
      <c r="AF393" s="556"/>
      <c r="AG393" s="556"/>
      <c r="AH393" s="556"/>
      <c r="AI393" s="556"/>
      <c r="AJ393" s="556"/>
      <c r="AK393" s="556"/>
      <c r="AL393" s="556"/>
      <c r="AM393" s="556"/>
      <c r="AN393" s="556"/>
      <c r="AO393" s="556"/>
      <c r="AP393" s="556"/>
      <c r="AQ393" s="556"/>
      <c r="AR393" s="556"/>
      <c r="AS393" s="565"/>
      <c r="AT393" s="556"/>
    </row>
    <row r="394" spans="1:46" hidden="1" x14ac:dyDescent="0.45">
      <c r="A394" s="556"/>
      <c r="B394" s="556"/>
      <c r="C394" s="556"/>
      <c r="D394" s="564"/>
      <c r="E394" s="556"/>
      <c r="F394" s="564"/>
      <c r="G394" s="564"/>
      <c r="H394" s="564"/>
      <c r="I394" s="564"/>
      <c r="J394" s="564"/>
      <c r="K394" s="564"/>
      <c r="L394" s="564"/>
      <c r="M394" s="564"/>
      <c r="N394" s="564"/>
      <c r="O394" s="564"/>
      <c r="P394" s="564"/>
      <c r="Q394" s="564"/>
      <c r="R394" s="564"/>
      <c r="S394" s="564"/>
      <c r="T394" s="564"/>
      <c r="U394" s="564"/>
      <c r="V394" s="564"/>
      <c r="W394" s="564"/>
      <c r="X394" s="564"/>
      <c r="Y394" s="564"/>
      <c r="Z394" s="564"/>
      <c r="AA394" s="564"/>
      <c r="AB394" s="556"/>
      <c r="AC394" s="556"/>
      <c r="AD394" s="556"/>
      <c r="AE394" s="556"/>
      <c r="AF394" s="556"/>
      <c r="AG394" s="556"/>
      <c r="AH394" s="556"/>
      <c r="AI394" s="556"/>
      <c r="AJ394" s="556"/>
      <c r="AK394" s="556"/>
      <c r="AL394" s="556"/>
      <c r="AM394" s="556"/>
      <c r="AN394" s="556"/>
      <c r="AO394" s="556"/>
      <c r="AP394" s="556"/>
      <c r="AQ394" s="556"/>
      <c r="AR394" s="556"/>
      <c r="AS394" s="565"/>
      <c r="AT394" s="556"/>
    </row>
    <row r="395" spans="1:46" hidden="1" x14ac:dyDescent="0.45">
      <c r="A395" s="556"/>
      <c r="B395" s="556"/>
      <c r="C395" s="556"/>
      <c r="D395" s="564"/>
      <c r="E395" s="556"/>
      <c r="F395" s="564"/>
      <c r="G395" s="564"/>
      <c r="H395" s="564"/>
      <c r="I395" s="564"/>
      <c r="J395" s="564"/>
      <c r="K395" s="564"/>
      <c r="L395" s="564"/>
      <c r="M395" s="564"/>
      <c r="N395" s="564"/>
      <c r="O395" s="564"/>
      <c r="P395" s="564"/>
      <c r="Q395" s="564"/>
      <c r="R395" s="564"/>
      <c r="S395" s="564"/>
      <c r="T395" s="564"/>
      <c r="U395" s="564"/>
      <c r="V395" s="564"/>
      <c r="W395" s="564"/>
      <c r="X395" s="564"/>
      <c r="Y395" s="564"/>
      <c r="Z395" s="564"/>
      <c r="AA395" s="564"/>
      <c r="AB395" s="556"/>
      <c r="AC395" s="556"/>
      <c r="AD395" s="556"/>
      <c r="AE395" s="556"/>
      <c r="AF395" s="556"/>
      <c r="AG395" s="556"/>
      <c r="AH395" s="556"/>
      <c r="AI395" s="556"/>
      <c r="AJ395" s="556"/>
      <c r="AK395" s="556"/>
      <c r="AL395" s="556"/>
      <c r="AM395" s="556"/>
      <c r="AN395" s="556"/>
      <c r="AO395" s="556"/>
      <c r="AP395" s="556"/>
      <c r="AQ395" s="556"/>
      <c r="AR395" s="556"/>
      <c r="AS395" s="565"/>
      <c r="AT395" s="556"/>
    </row>
    <row r="396" spans="1:46" hidden="1" x14ac:dyDescent="0.45">
      <c r="A396" s="556"/>
      <c r="B396" s="556"/>
      <c r="C396" s="556"/>
      <c r="D396" s="564"/>
      <c r="E396" s="556"/>
      <c r="F396" s="564"/>
      <c r="G396" s="564"/>
      <c r="H396" s="564"/>
      <c r="I396" s="564"/>
      <c r="J396" s="564"/>
      <c r="K396" s="564"/>
      <c r="L396" s="564"/>
      <c r="M396" s="564"/>
      <c r="N396" s="564"/>
      <c r="O396" s="564"/>
      <c r="P396" s="564"/>
      <c r="Q396" s="564"/>
      <c r="R396" s="564"/>
      <c r="S396" s="564"/>
      <c r="T396" s="564"/>
      <c r="U396" s="564"/>
      <c r="V396" s="564"/>
      <c r="W396" s="564"/>
      <c r="X396" s="564"/>
      <c r="Y396" s="564"/>
      <c r="Z396" s="564"/>
      <c r="AA396" s="564"/>
      <c r="AB396" s="556"/>
      <c r="AC396" s="556"/>
      <c r="AD396" s="556"/>
      <c r="AE396" s="556"/>
      <c r="AF396" s="556"/>
      <c r="AG396" s="556"/>
      <c r="AH396" s="556"/>
      <c r="AI396" s="556"/>
      <c r="AJ396" s="556"/>
      <c r="AK396" s="556"/>
      <c r="AL396" s="556"/>
      <c r="AM396" s="556"/>
      <c r="AN396" s="556"/>
      <c r="AO396" s="556"/>
      <c r="AP396" s="556"/>
      <c r="AQ396" s="556"/>
      <c r="AR396" s="556"/>
      <c r="AS396" s="565"/>
      <c r="AT396" s="556"/>
    </row>
    <row r="397" spans="1:46" hidden="1" x14ac:dyDescent="0.45">
      <c r="A397" s="556"/>
      <c r="B397" s="556"/>
      <c r="C397" s="556"/>
      <c r="D397" s="564"/>
      <c r="E397" s="556"/>
      <c r="F397" s="564"/>
      <c r="G397" s="564"/>
      <c r="H397" s="564"/>
      <c r="I397" s="564"/>
      <c r="J397" s="564"/>
      <c r="K397" s="564"/>
      <c r="L397" s="564"/>
      <c r="M397" s="564"/>
      <c r="N397" s="564"/>
      <c r="O397" s="564"/>
      <c r="P397" s="564"/>
      <c r="Q397" s="564"/>
      <c r="R397" s="564"/>
      <c r="S397" s="564"/>
      <c r="T397" s="564"/>
      <c r="U397" s="564"/>
      <c r="V397" s="564"/>
      <c r="W397" s="564"/>
      <c r="X397" s="564"/>
      <c r="Y397" s="564"/>
      <c r="Z397" s="564"/>
      <c r="AA397" s="564"/>
      <c r="AB397" s="556"/>
      <c r="AC397" s="556"/>
      <c r="AD397" s="556"/>
      <c r="AE397" s="556"/>
      <c r="AF397" s="556"/>
      <c r="AG397" s="556"/>
      <c r="AH397" s="556"/>
      <c r="AI397" s="556"/>
      <c r="AJ397" s="556"/>
      <c r="AK397" s="556"/>
      <c r="AL397" s="556"/>
      <c r="AM397" s="556"/>
      <c r="AN397" s="556"/>
      <c r="AO397" s="556"/>
      <c r="AP397" s="556"/>
      <c r="AQ397" s="556"/>
      <c r="AR397" s="556"/>
      <c r="AS397" s="565"/>
      <c r="AT397" s="556"/>
    </row>
    <row r="398" spans="1:46" hidden="1" x14ac:dyDescent="0.45">
      <c r="A398" s="556"/>
      <c r="B398" s="556"/>
      <c r="C398" s="556"/>
      <c r="D398" s="564"/>
      <c r="E398" s="556"/>
      <c r="F398" s="564"/>
      <c r="G398" s="564"/>
      <c r="H398" s="564"/>
      <c r="I398" s="564"/>
      <c r="J398" s="564"/>
      <c r="K398" s="564"/>
      <c r="L398" s="564"/>
      <c r="M398" s="564"/>
      <c r="N398" s="564"/>
      <c r="O398" s="564"/>
      <c r="P398" s="564"/>
      <c r="Q398" s="564"/>
      <c r="R398" s="564"/>
      <c r="S398" s="564"/>
      <c r="T398" s="564"/>
      <c r="U398" s="564"/>
      <c r="V398" s="564"/>
      <c r="W398" s="564"/>
      <c r="X398" s="564"/>
      <c r="Y398" s="564"/>
      <c r="Z398" s="564"/>
      <c r="AA398" s="564"/>
      <c r="AB398" s="556"/>
      <c r="AC398" s="556"/>
      <c r="AD398" s="556"/>
      <c r="AE398" s="556"/>
      <c r="AF398" s="556"/>
      <c r="AG398" s="556"/>
      <c r="AH398" s="556"/>
      <c r="AI398" s="556"/>
      <c r="AJ398" s="556"/>
      <c r="AK398" s="556"/>
      <c r="AL398" s="556"/>
      <c r="AM398" s="556"/>
      <c r="AN398" s="556"/>
      <c r="AO398" s="556"/>
      <c r="AP398" s="556"/>
      <c r="AQ398" s="556"/>
      <c r="AR398" s="556"/>
      <c r="AS398" s="565"/>
      <c r="AT398" s="556"/>
    </row>
    <row r="399" spans="1:46" hidden="1" x14ac:dyDescent="0.45">
      <c r="A399" s="556"/>
      <c r="B399" s="556"/>
      <c r="C399" s="556"/>
      <c r="D399" s="564"/>
      <c r="E399" s="556"/>
      <c r="F399" s="564"/>
      <c r="G399" s="564"/>
      <c r="H399" s="564"/>
      <c r="I399" s="564"/>
      <c r="J399" s="564"/>
      <c r="K399" s="564"/>
      <c r="L399" s="564"/>
      <c r="M399" s="564"/>
      <c r="N399" s="564"/>
      <c r="O399" s="564"/>
      <c r="P399" s="564"/>
      <c r="Q399" s="564"/>
      <c r="R399" s="564"/>
      <c r="S399" s="564"/>
      <c r="T399" s="564"/>
      <c r="U399" s="564"/>
      <c r="V399" s="564"/>
      <c r="W399" s="564"/>
      <c r="X399" s="564"/>
      <c r="Y399" s="564"/>
      <c r="Z399" s="564"/>
      <c r="AA399" s="564"/>
      <c r="AB399" s="556"/>
      <c r="AC399" s="556"/>
      <c r="AD399" s="556"/>
      <c r="AE399" s="556"/>
      <c r="AF399" s="556"/>
      <c r="AG399" s="556"/>
      <c r="AH399" s="556"/>
      <c r="AI399" s="556"/>
      <c r="AJ399" s="556"/>
      <c r="AK399" s="556"/>
      <c r="AL399" s="556"/>
      <c r="AM399" s="556"/>
      <c r="AN399" s="556"/>
      <c r="AO399" s="556"/>
      <c r="AP399" s="556"/>
      <c r="AQ399" s="556"/>
      <c r="AR399" s="556"/>
      <c r="AS399" s="565"/>
      <c r="AT399" s="556"/>
    </row>
    <row r="400" spans="1:46" hidden="1" x14ac:dyDescent="0.45">
      <c r="A400" s="556"/>
      <c r="B400" s="556"/>
      <c r="C400" s="556"/>
      <c r="D400" s="564"/>
      <c r="E400" s="556"/>
      <c r="F400" s="564"/>
      <c r="G400" s="564"/>
      <c r="H400" s="564"/>
      <c r="I400" s="564"/>
      <c r="J400" s="564"/>
      <c r="K400" s="564"/>
      <c r="L400" s="564"/>
      <c r="M400" s="564"/>
      <c r="N400" s="564"/>
      <c r="O400" s="564"/>
      <c r="P400" s="564"/>
      <c r="Q400" s="564"/>
      <c r="R400" s="564"/>
      <c r="S400" s="564"/>
      <c r="T400" s="564"/>
      <c r="U400" s="564"/>
      <c r="V400" s="564"/>
      <c r="W400" s="564"/>
      <c r="X400" s="564"/>
      <c r="Y400" s="564"/>
      <c r="Z400" s="564"/>
      <c r="AA400" s="564"/>
      <c r="AB400" s="556"/>
      <c r="AC400" s="556"/>
      <c r="AD400" s="556"/>
      <c r="AE400" s="556"/>
      <c r="AF400" s="556"/>
      <c r="AG400" s="556"/>
      <c r="AH400" s="556"/>
      <c r="AI400" s="556"/>
      <c r="AJ400" s="556"/>
      <c r="AK400" s="556"/>
      <c r="AL400" s="556"/>
      <c r="AM400" s="556"/>
      <c r="AN400" s="556"/>
      <c r="AO400" s="556"/>
      <c r="AP400" s="556"/>
      <c r="AQ400" s="556"/>
      <c r="AR400" s="556"/>
      <c r="AS400" s="565"/>
      <c r="AT400" s="556"/>
    </row>
    <row r="401" spans="1:46" hidden="1" x14ac:dyDescent="0.45">
      <c r="A401" s="556"/>
      <c r="B401" s="556"/>
      <c r="C401" s="556"/>
      <c r="D401" s="564"/>
      <c r="E401" s="556"/>
      <c r="F401" s="564"/>
      <c r="G401" s="564"/>
      <c r="H401" s="564"/>
      <c r="I401" s="564"/>
      <c r="J401" s="564"/>
      <c r="K401" s="564"/>
      <c r="L401" s="564"/>
      <c r="M401" s="564"/>
      <c r="N401" s="564"/>
      <c r="O401" s="564"/>
      <c r="P401" s="564"/>
      <c r="Q401" s="564"/>
      <c r="R401" s="564"/>
      <c r="S401" s="564"/>
      <c r="T401" s="564"/>
      <c r="U401" s="564"/>
      <c r="V401" s="564"/>
      <c r="W401" s="564"/>
      <c r="X401" s="564"/>
      <c r="Y401" s="564"/>
      <c r="Z401" s="564"/>
      <c r="AA401" s="564"/>
      <c r="AB401" s="556"/>
      <c r="AC401" s="556"/>
      <c r="AD401" s="556"/>
      <c r="AE401" s="556"/>
      <c r="AF401" s="556"/>
      <c r="AG401" s="556"/>
      <c r="AH401" s="556"/>
      <c r="AI401" s="556"/>
      <c r="AJ401" s="556"/>
      <c r="AK401" s="556"/>
      <c r="AL401" s="556"/>
      <c r="AM401" s="556"/>
      <c r="AN401" s="556"/>
      <c r="AO401" s="556"/>
      <c r="AP401" s="556"/>
      <c r="AQ401" s="556"/>
      <c r="AR401" s="556"/>
      <c r="AS401" s="565"/>
      <c r="AT401" s="556"/>
    </row>
    <row r="402" spans="1:46" hidden="1" x14ac:dyDescent="0.45">
      <c r="A402" s="556"/>
      <c r="B402" s="556"/>
      <c r="C402" s="556"/>
      <c r="D402" s="564"/>
      <c r="E402" s="556"/>
      <c r="F402" s="564"/>
      <c r="G402" s="564"/>
      <c r="H402" s="564"/>
      <c r="I402" s="564"/>
      <c r="J402" s="564"/>
      <c r="K402" s="564"/>
      <c r="L402" s="564"/>
      <c r="M402" s="564"/>
      <c r="N402" s="564"/>
      <c r="O402" s="564"/>
      <c r="P402" s="564"/>
      <c r="Q402" s="564"/>
      <c r="R402" s="564"/>
      <c r="S402" s="564"/>
      <c r="T402" s="564"/>
      <c r="U402" s="564"/>
      <c r="V402" s="564"/>
      <c r="W402" s="564"/>
      <c r="X402" s="564"/>
      <c r="Y402" s="564"/>
      <c r="Z402" s="564"/>
      <c r="AA402" s="564"/>
      <c r="AB402" s="556"/>
      <c r="AC402" s="556"/>
      <c r="AD402" s="556"/>
      <c r="AE402" s="556"/>
      <c r="AF402" s="556"/>
      <c r="AG402" s="556"/>
      <c r="AH402" s="556"/>
      <c r="AI402" s="556"/>
      <c r="AJ402" s="556"/>
      <c r="AK402" s="556"/>
      <c r="AL402" s="556"/>
      <c r="AM402" s="556"/>
      <c r="AN402" s="556"/>
      <c r="AO402" s="556"/>
      <c r="AP402" s="556"/>
      <c r="AQ402" s="556"/>
      <c r="AR402" s="556"/>
      <c r="AS402" s="565"/>
      <c r="AT402" s="556"/>
    </row>
    <row r="403" spans="1:46" hidden="1" x14ac:dyDescent="0.45">
      <c r="A403" s="556"/>
      <c r="B403" s="556"/>
      <c r="C403" s="556"/>
      <c r="D403" s="564"/>
      <c r="E403" s="556"/>
      <c r="F403" s="564"/>
      <c r="G403" s="564"/>
      <c r="H403" s="564"/>
      <c r="I403" s="564"/>
      <c r="J403" s="564"/>
      <c r="K403" s="564"/>
      <c r="L403" s="564"/>
      <c r="M403" s="564"/>
      <c r="N403" s="564"/>
      <c r="O403" s="564"/>
      <c r="P403" s="564"/>
      <c r="Q403" s="564"/>
      <c r="R403" s="564"/>
      <c r="S403" s="564"/>
      <c r="T403" s="564"/>
      <c r="U403" s="564"/>
      <c r="V403" s="564"/>
      <c r="W403" s="564"/>
      <c r="X403" s="564"/>
      <c r="Y403" s="564"/>
      <c r="Z403" s="564"/>
      <c r="AA403" s="564"/>
      <c r="AB403" s="556"/>
      <c r="AC403" s="556"/>
      <c r="AD403" s="556"/>
      <c r="AE403" s="556"/>
      <c r="AF403" s="556"/>
      <c r="AG403" s="556"/>
      <c r="AH403" s="556"/>
      <c r="AI403" s="556"/>
      <c r="AJ403" s="556"/>
      <c r="AK403" s="556"/>
      <c r="AL403" s="556"/>
      <c r="AM403" s="556"/>
      <c r="AN403" s="556"/>
      <c r="AO403" s="556"/>
      <c r="AP403" s="556"/>
      <c r="AQ403" s="556"/>
      <c r="AR403" s="556"/>
      <c r="AS403" s="565"/>
      <c r="AT403" s="556"/>
    </row>
    <row r="404" spans="1:46" hidden="1" x14ac:dyDescent="0.45">
      <c r="A404" s="556"/>
      <c r="B404" s="556"/>
      <c r="C404" s="556"/>
      <c r="D404" s="564"/>
      <c r="E404" s="556"/>
      <c r="F404" s="564"/>
      <c r="G404" s="564"/>
      <c r="H404" s="564"/>
      <c r="I404" s="564"/>
      <c r="J404" s="564"/>
      <c r="K404" s="564"/>
      <c r="L404" s="564"/>
      <c r="M404" s="564"/>
      <c r="N404" s="564"/>
      <c r="O404" s="564"/>
      <c r="P404" s="564"/>
      <c r="Q404" s="564"/>
      <c r="R404" s="564"/>
      <c r="S404" s="564"/>
      <c r="T404" s="564"/>
      <c r="U404" s="564"/>
      <c r="V404" s="564"/>
      <c r="W404" s="564"/>
      <c r="X404" s="564"/>
      <c r="Y404" s="564"/>
      <c r="Z404" s="564"/>
      <c r="AA404" s="564"/>
      <c r="AB404" s="556"/>
      <c r="AC404" s="556"/>
      <c r="AD404" s="556"/>
      <c r="AE404" s="556"/>
      <c r="AF404" s="556"/>
      <c r="AG404" s="556"/>
      <c r="AH404" s="556"/>
      <c r="AI404" s="556"/>
      <c r="AJ404" s="556"/>
      <c r="AK404" s="556"/>
      <c r="AL404" s="556"/>
      <c r="AM404" s="556"/>
      <c r="AN404" s="556"/>
      <c r="AO404" s="556"/>
      <c r="AP404" s="556"/>
      <c r="AQ404" s="556"/>
      <c r="AR404" s="556"/>
      <c r="AS404" s="565"/>
      <c r="AT404" s="556"/>
    </row>
    <row r="405" spans="1:46" hidden="1" x14ac:dyDescent="0.45">
      <c r="A405" s="556"/>
      <c r="B405" s="556"/>
      <c r="C405" s="556"/>
      <c r="D405" s="564"/>
      <c r="E405" s="556"/>
      <c r="F405" s="564"/>
      <c r="G405" s="564"/>
      <c r="H405" s="564"/>
      <c r="I405" s="564"/>
      <c r="J405" s="564"/>
      <c r="K405" s="564"/>
      <c r="L405" s="564"/>
      <c r="M405" s="564"/>
      <c r="N405" s="564"/>
      <c r="O405" s="564"/>
      <c r="P405" s="564"/>
      <c r="Q405" s="564"/>
      <c r="R405" s="564"/>
      <c r="S405" s="564"/>
      <c r="T405" s="564"/>
      <c r="U405" s="564"/>
      <c r="V405" s="564"/>
      <c r="W405" s="564"/>
      <c r="X405" s="564"/>
      <c r="Y405" s="564"/>
      <c r="Z405" s="564"/>
      <c r="AA405" s="564"/>
      <c r="AB405" s="556"/>
      <c r="AC405" s="556"/>
      <c r="AD405" s="556"/>
      <c r="AE405" s="556"/>
      <c r="AF405" s="556"/>
      <c r="AG405" s="556"/>
      <c r="AH405" s="556"/>
      <c r="AI405" s="556"/>
      <c r="AJ405" s="556"/>
      <c r="AK405" s="556"/>
      <c r="AL405" s="556"/>
      <c r="AM405" s="556"/>
      <c r="AN405" s="556"/>
      <c r="AO405" s="556"/>
      <c r="AP405" s="556"/>
      <c r="AQ405" s="556"/>
      <c r="AR405" s="556"/>
      <c r="AS405" s="565"/>
      <c r="AT405" s="556"/>
    </row>
    <row r="406" spans="1:46" hidden="1" x14ac:dyDescent="0.45">
      <c r="A406" s="556"/>
      <c r="B406" s="556"/>
      <c r="C406" s="556"/>
      <c r="D406" s="564"/>
      <c r="E406" s="556"/>
      <c r="F406" s="564"/>
      <c r="G406" s="564"/>
      <c r="H406" s="564"/>
      <c r="I406" s="564"/>
      <c r="J406" s="564"/>
      <c r="K406" s="564"/>
      <c r="L406" s="564"/>
      <c r="M406" s="564"/>
      <c r="N406" s="564"/>
      <c r="O406" s="564"/>
      <c r="P406" s="564"/>
      <c r="Q406" s="564"/>
      <c r="R406" s="564"/>
      <c r="S406" s="564"/>
      <c r="T406" s="564"/>
      <c r="U406" s="564"/>
      <c r="V406" s="564"/>
      <c r="W406" s="564"/>
      <c r="X406" s="564"/>
      <c r="Y406" s="564"/>
      <c r="Z406" s="564"/>
      <c r="AA406" s="564"/>
      <c r="AB406" s="556"/>
      <c r="AC406" s="556"/>
      <c r="AD406" s="556"/>
      <c r="AE406" s="556"/>
      <c r="AF406" s="556"/>
      <c r="AG406" s="556"/>
      <c r="AH406" s="556"/>
      <c r="AI406" s="556"/>
      <c r="AJ406" s="556"/>
      <c r="AK406" s="556"/>
      <c r="AL406" s="556"/>
      <c r="AM406" s="556"/>
      <c r="AN406" s="556"/>
      <c r="AO406" s="556"/>
      <c r="AP406" s="556"/>
      <c r="AQ406" s="556"/>
      <c r="AR406" s="556"/>
      <c r="AS406" s="565"/>
      <c r="AT406" s="556"/>
    </row>
    <row r="407" spans="1:46" hidden="1" x14ac:dyDescent="0.45">
      <c r="A407" s="556"/>
      <c r="B407" s="556"/>
      <c r="C407" s="556"/>
      <c r="D407" s="564"/>
      <c r="E407" s="556"/>
      <c r="F407" s="564"/>
      <c r="G407" s="564"/>
      <c r="H407" s="564"/>
      <c r="I407" s="564"/>
      <c r="J407" s="564"/>
      <c r="K407" s="564"/>
      <c r="L407" s="564"/>
      <c r="M407" s="564"/>
      <c r="N407" s="564"/>
      <c r="O407" s="564"/>
      <c r="P407" s="564"/>
      <c r="Q407" s="564"/>
      <c r="R407" s="564"/>
      <c r="S407" s="564"/>
      <c r="T407" s="564"/>
      <c r="U407" s="564"/>
      <c r="V407" s="564"/>
      <c r="W407" s="564"/>
      <c r="X407" s="564"/>
      <c r="Y407" s="564"/>
      <c r="Z407" s="564"/>
      <c r="AA407" s="564"/>
      <c r="AB407" s="556"/>
      <c r="AC407" s="556"/>
      <c r="AD407" s="556"/>
      <c r="AE407" s="556"/>
      <c r="AF407" s="556"/>
      <c r="AG407" s="556"/>
      <c r="AH407" s="556"/>
      <c r="AI407" s="556"/>
      <c r="AJ407" s="556"/>
      <c r="AK407" s="556"/>
      <c r="AL407" s="556"/>
      <c r="AM407" s="556"/>
      <c r="AN407" s="556"/>
      <c r="AO407" s="556"/>
      <c r="AP407" s="556"/>
      <c r="AQ407" s="556"/>
      <c r="AR407" s="556"/>
      <c r="AS407" s="565"/>
      <c r="AT407" s="556"/>
    </row>
    <row r="408" spans="1:46" hidden="1" x14ac:dyDescent="0.45">
      <c r="A408" s="556"/>
      <c r="B408" s="556"/>
      <c r="C408" s="556"/>
      <c r="D408" s="564"/>
      <c r="E408" s="556"/>
      <c r="F408" s="564"/>
      <c r="G408" s="564"/>
      <c r="H408" s="564"/>
      <c r="I408" s="564"/>
      <c r="J408" s="564"/>
      <c r="K408" s="564"/>
      <c r="L408" s="564"/>
      <c r="M408" s="564"/>
      <c r="N408" s="564"/>
      <c r="O408" s="564"/>
      <c r="P408" s="564"/>
      <c r="Q408" s="564"/>
      <c r="R408" s="564"/>
      <c r="S408" s="564"/>
      <c r="T408" s="564"/>
      <c r="U408" s="564"/>
      <c r="V408" s="564"/>
      <c r="W408" s="564"/>
      <c r="X408" s="564"/>
      <c r="Y408" s="564"/>
      <c r="Z408" s="564"/>
      <c r="AA408" s="564"/>
      <c r="AB408" s="556"/>
      <c r="AC408" s="556"/>
      <c r="AD408" s="556"/>
      <c r="AE408" s="556"/>
      <c r="AF408" s="556"/>
      <c r="AG408" s="556"/>
      <c r="AH408" s="556"/>
      <c r="AI408" s="556"/>
      <c r="AJ408" s="556"/>
      <c r="AK408" s="556"/>
      <c r="AL408" s="556"/>
      <c r="AM408" s="556"/>
      <c r="AN408" s="556"/>
      <c r="AO408" s="556"/>
      <c r="AP408" s="556"/>
      <c r="AQ408" s="556"/>
      <c r="AR408" s="556"/>
      <c r="AS408" s="565"/>
      <c r="AT408" s="556"/>
    </row>
    <row r="409" spans="1:46" hidden="1" x14ac:dyDescent="0.45">
      <c r="A409" s="556"/>
      <c r="B409" s="556"/>
      <c r="C409" s="556"/>
      <c r="D409" s="564"/>
      <c r="E409" s="556"/>
      <c r="F409" s="564"/>
      <c r="G409" s="564"/>
      <c r="H409" s="564"/>
      <c r="I409" s="564"/>
      <c r="J409" s="564"/>
      <c r="K409" s="564"/>
      <c r="L409" s="564"/>
      <c r="M409" s="564"/>
      <c r="N409" s="564"/>
      <c r="O409" s="564"/>
      <c r="P409" s="564"/>
      <c r="Q409" s="564"/>
      <c r="R409" s="564"/>
      <c r="S409" s="564"/>
      <c r="T409" s="564"/>
      <c r="U409" s="564"/>
      <c r="V409" s="564"/>
      <c r="W409" s="564"/>
      <c r="X409" s="564"/>
      <c r="Y409" s="564"/>
      <c r="Z409" s="564"/>
      <c r="AA409" s="564"/>
      <c r="AB409" s="556"/>
      <c r="AC409" s="556"/>
      <c r="AD409" s="556"/>
      <c r="AE409" s="556"/>
      <c r="AF409" s="556"/>
      <c r="AG409" s="556"/>
      <c r="AH409" s="556"/>
      <c r="AI409" s="556"/>
      <c r="AJ409" s="556"/>
      <c r="AK409" s="556"/>
      <c r="AL409" s="556"/>
      <c r="AM409" s="556"/>
      <c r="AN409" s="556"/>
      <c r="AO409" s="556"/>
      <c r="AP409" s="556"/>
      <c r="AQ409" s="556"/>
      <c r="AR409" s="556"/>
      <c r="AS409" s="565"/>
      <c r="AT409" s="556"/>
    </row>
    <row r="410" spans="1:46" hidden="1" x14ac:dyDescent="0.45">
      <c r="A410" s="556"/>
      <c r="B410" s="556"/>
      <c r="C410" s="556"/>
      <c r="D410" s="564"/>
      <c r="E410" s="556"/>
      <c r="F410" s="564"/>
      <c r="G410" s="564"/>
      <c r="H410" s="564"/>
      <c r="I410" s="564"/>
      <c r="J410" s="564"/>
      <c r="K410" s="564"/>
      <c r="L410" s="564"/>
      <c r="M410" s="564"/>
      <c r="N410" s="564"/>
      <c r="O410" s="564"/>
      <c r="P410" s="564"/>
      <c r="Q410" s="564"/>
      <c r="R410" s="564"/>
      <c r="S410" s="564"/>
      <c r="T410" s="564"/>
      <c r="U410" s="564"/>
      <c r="V410" s="564"/>
      <c r="W410" s="564"/>
      <c r="X410" s="564"/>
      <c r="Y410" s="564"/>
      <c r="Z410" s="564"/>
      <c r="AA410" s="564"/>
      <c r="AB410" s="556"/>
      <c r="AC410" s="556"/>
      <c r="AD410" s="556"/>
      <c r="AE410" s="556"/>
      <c r="AF410" s="556"/>
      <c r="AG410" s="556"/>
      <c r="AH410" s="556"/>
      <c r="AI410" s="556"/>
      <c r="AJ410" s="556"/>
      <c r="AK410" s="556"/>
      <c r="AL410" s="556"/>
      <c r="AM410" s="556"/>
      <c r="AN410" s="556"/>
      <c r="AO410" s="556"/>
      <c r="AP410" s="556"/>
      <c r="AQ410" s="556"/>
      <c r="AR410" s="556"/>
      <c r="AS410" s="565"/>
      <c r="AT410" s="556"/>
    </row>
    <row r="411" spans="1:46" hidden="1" x14ac:dyDescent="0.45">
      <c r="A411" s="556"/>
      <c r="B411" s="556"/>
      <c r="C411" s="556"/>
      <c r="D411" s="564"/>
      <c r="E411" s="556"/>
      <c r="F411" s="564"/>
      <c r="G411" s="564"/>
      <c r="H411" s="564"/>
      <c r="I411" s="564"/>
      <c r="J411" s="564"/>
      <c r="K411" s="564"/>
      <c r="L411" s="564"/>
      <c r="M411" s="564"/>
      <c r="N411" s="564"/>
      <c r="O411" s="564"/>
      <c r="P411" s="564"/>
      <c r="Q411" s="564"/>
      <c r="R411" s="564"/>
      <c r="S411" s="564"/>
      <c r="T411" s="564"/>
      <c r="U411" s="564"/>
      <c r="V411" s="564"/>
      <c r="W411" s="564"/>
      <c r="X411" s="564"/>
      <c r="Y411" s="564"/>
      <c r="Z411" s="564"/>
      <c r="AA411" s="564"/>
      <c r="AB411" s="556"/>
      <c r="AC411" s="556"/>
      <c r="AD411" s="556"/>
      <c r="AE411" s="556"/>
      <c r="AF411" s="556"/>
      <c r="AG411" s="556"/>
      <c r="AH411" s="556"/>
      <c r="AI411" s="556"/>
      <c r="AJ411" s="556"/>
      <c r="AK411" s="556"/>
      <c r="AL411" s="556"/>
      <c r="AM411" s="556"/>
      <c r="AN411" s="556"/>
      <c r="AO411" s="556"/>
      <c r="AP411" s="556"/>
      <c r="AQ411" s="556"/>
      <c r="AR411" s="556"/>
      <c r="AS411" s="565"/>
      <c r="AT411" s="556"/>
    </row>
    <row r="412" spans="1:46" hidden="1" x14ac:dyDescent="0.45">
      <c r="A412" s="556"/>
      <c r="B412" s="556"/>
      <c r="C412" s="556"/>
      <c r="D412" s="564"/>
      <c r="E412" s="556"/>
      <c r="F412" s="564"/>
      <c r="G412" s="564"/>
      <c r="H412" s="564"/>
      <c r="I412" s="564"/>
      <c r="J412" s="564"/>
      <c r="K412" s="564"/>
      <c r="L412" s="564"/>
      <c r="M412" s="564"/>
      <c r="N412" s="564"/>
      <c r="O412" s="564"/>
      <c r="P412" s="564"/>
      <c r="Q412" s="564"/>
      <c r="R412" s="564"/>
      <c r="S412" s="564"/>
      <c r="T412" s="564"/>
      <c r="U412" s="564"/>
      <c r="V412" s="564"/>
      <c r="W412" s="564"/>
      <c r="X412" s="564"/>
      <c r="Y412" s="564"/>
      <c r="Z412" s="564"/>
      <c r="AA412" s="564"/>
      <c r="AB412" s="556"/>
      <c r="AC412" s="556"/>
      <c r="AD412" s="556"/>
      <c r="AE412" s="556"/>
      <c r="AF412" s="556"/>
      <c r="AG412" s="556"/>
      <c r="AH412" s="556"/>
      <c r="AI412" s="556"/>
      <c r="AJ412" s="556"/>
      <c r="AK412" s="556"/>
      <c r="AL412" s="556"/>
      <c r="AM412" s="556"/>
      <c r="AN412" s="556"/>
      <c r="AO412" s="556"/>
      <c r="AP412" s="556"/>
      <c r="AQ412" s="556"/>
      <c r="AR412" s="556"/>
      <c r="AS412" s="565"/>
      <c r="AT412" s="556"/>
    </row>
    <row r="413" spans="1:46" hidden="1" x14ac:dyDescent="0.45">
      <c r="A413" s="556"/>
      <c r="B413" s="556"/>
      <c r="C413" s="556"/>
      <c r="D413" s="564"/>
      <c r="E413" s="556"/>
      <c r="F413" s="564"/>
      <c r="G413" s="564"/>
      <c r="H413" s="564"/>
      <c r="I413" s="564"/>
      <c r="J413" s="564"/>
      <c r="K413" s="564"/>
      <c r="L413" s="564"/>
      <c r="M413" s="564"/>
      <c r="N413" s="564"/>
      <c r="O413" s="564"/>
      <c r="P413" s="564"/>
      <c r="Q413" s="564"/>
      <c r="R413" s="564"/>
      <c r="S413" s="564"/>
      <c r="T413" s="564"/>
      <c r="U413" s="564"/>
      <c r="V413" s="564"/>
      <c r="W413" s="564"/>
      <c r="X413" s="564"/>
      <c r="Y413" s="564"/>
      <c r="Z413" s="564"/>
      <c r="AA413" s="564"/>
      <c r="AB413" s="556"/>
      <c r="AC413" s="556"/>
      <c r="AD413" s="556"/>
      <c r="AE413" s="556"/>
      <c r="AF413" s="556"/>
      <c r="AG413" s="556"/>
      <c r="AH413" s="556"/>
      <c r="AI413" s="556"/>
      <c r="AJ413" s="556"/>
      <c r="AK413" s="556"/>
      <c r="AL413" s="556"/>
      <c r="AM413" s="556"/>
      <c r="AN413" s="556"/>
      <c r="AO413" s="556"/>
      <c r="AP413" s="556"/>
      <c r="AQ413" s="556"/>
      <c r="AR413" s="556"/>
      <c r="AS413" s="565"/>
      <c r="AT413" s="556"/>
    </row>
    <row r="414" spans="1:46" hidden="1" x14ac:dyDescent="0.45">
      <c r="A414" s="556"/>
      <c r="B414" s="556"/>
      <c r="C414" s="556"/>
      <c r="D414" s="564"/>
      <c r="E414" s="556"/>
      <c r="F414" s="564"/>
      <c r="G414" s="564"/>
      <c r="H414" s="564"/>
      <c r="I414" s="564"/>
      <c r="J414" s="564"/>
      <c r="K414" s="564"/>
      <c r="L414" s="564"/>
      <c r="M414" s="564"/>
      <c r="N414" s="564"/>
      <c r="O414" s="564"/>
      <c r="P414" s="564"/>
      <c r="Q414" s="564"/>
      <c r="R414" s="564"/>
      <c r="S414" s="564"/>
      <c r="T414" s="564"/>
      <c r="U414" s="564"/>
      <c r="V414" s="564"/>
      <c r="W414" s="564"/>
      <c r="X414" s="564"/>
      <c r="Y414" s="564"/>
      <c r="Z414" s="564"/>
      <c r="AA414" s="564"/>
      <c r="AB414" s="556"/>
      <c r="AC414" s="556"/>
      <c r="AD414" s="556"/>
      <c r="AE414" s="556"/>
      <c r="AF414" s="556"/>
      <c r="AG414" s="556"/>
      <c r="AH414" s="556"/>
      <c r="AI414" s="556"/>
      <c r="AJ414" s="556"/>
      <c r="AK414" s="556"/>
      <c r="AL414" s="556"/>
      <c r="AM414" s="556"/>
      <c r="AN414" s="556"/>
      <c r="AO414" s="556"/>
      <c r="AP414" s="556"/>
      <c r="AQ414" s="556"/>
      <c r="AR414" s="556"/>
      <c r="AS414" s="565"/>
      <c r="AT414" s="556"/>
    </row>
    <row r="415" spans="1:46" hidden="1" x14ac:dyDescent="0.45">
      <c r="A415" s="556"/>
      <c r="B415" s="556"/>
      <c r="C415" s="556"/>
      <c r="D415" s="564"/>
      <c r="E415" s="556"/>
      <c r="F415" s="564"/>
      <c r="G415" s="564"/>
      <c r="H415" s="564"/>
      <c r="I415" s="564"/>
      <c r="J415" s="564"/>
      <c r="K415" s="564"/>
      <c r="L415" s="564"/>
      <c r="M415" s="564"/>
      <c r="N415" s="564"/>
      <c r="O415" s="564"/>
      <c r="P415" s="564"/>
      <c r="Q415" s="564"/>
      <c r="R415" s="564"/>
      <c r="S415" s="564"/>
      <c r="T415" s="564"/>
      <c r="U415" s="564"/>
      <c r="V415" s="564"/>
      <c r="W415" s="564"/>
      <c r="X415" s="564"/>
      <c r="Y415" s="564"/>
      <c r="Z415" s="564"/>
      <c r="AA415" s="564"/>
      <c r="AB415" s="556"/>
      <c r="AC415" s="556"/>
      <c r="AD415" s="556"/>
      <c r="AE415" s="556"/>
      <c r="AF415" s="556"/>
      <c r="AG415" s="556"/>
      <c r="AH415" s="556"/>
      <c r="AI415" s="556"/>
      <c r="AJ415" s="556"/>
      <c r="AK415" s="556"/>
      <c r="AL415" s="556"/>
      <c r="AM415" s="556"/>
      <c r="AN415" s="556"/>
      <c r="AO415" s="556"/>
      <c r="AP415" s="556"/>
      <c r="AQ415" s="556"/>
      <c r="AR415" s="556"/>
      <c r="AS415" s="565"/>
      <c r="AT415" s="556"/>
    </row>
    <row r="416" spans="1:46" hidden="1" x14ac:dyDescent="0.45">
      <c r="A416" s="556"/>
      <c r="B416" s="556"/>
      <c r="C416" s="556"/>
      <c r="D416" s="564"/>
      <c r="E416" s="556"/>
      <c r="F416" s="564"/>
      <c r="G416" s="564"/>
      <c r="H416" s="564"/>
      <c r="I416" s="564"/>
      <c r="J416" s="564"/>
      <c r="K416" s="564"/>
      <c r="L416" s="564"/>
      <c r="M416" s="564"/>
      <c r="N416" s="564"/>
      <c r="O416" s="564"/>
      <c r="P416" s="564"/>
      <c r="Q416" s="564"/>
      <c r="R416" s="564"/>
      <c r="S416" s="564"/>
      <c r="T416" s="564"/>
      <c r="U416" s="564"/>
      <c r="V416" s="564"/>
      <c r="W416" s="564"/>
      <c r="X416" s="564"/>
      <c r="Y416" s="564"/>
      <c r="Z416" s="564"/>
      <c r="AA416" s="564"/>
      <c r="AB416" s="556"/>
      <c r="AC416" s="556"/>
      <c r="AD416" s="556"/>
      <c r="AE416" s="556"/>
      <c r="AF416" s="556"/>
      <c r="AG416" s="556"/>
      <c r="AH416" s="556"/>
      <c r="AI416" s="556"/>
      <c r="AJ416" s="556"/>
      <c r="AK416" s="556"/>
      <c r="AL416" s="556"/>
      <c r="AM416" s="556"/>
      <c r="AN416" s="556"/>
      <c r="AO416" s="556"/>
      <c r="AP416" s="556"/>
      <c r="AQ416" s="556"/>
      <c r="AR416" s="556"/>
      <c r="AS416" s="565"/>
      <c r="AT416" s="556"/>
    </row>
    <row r="417" spans="1:46" hidden="1" x14ac:dyDescent="0.45">
      <c r="A417" s="556"/>
      <c r="B417" s="556"/>
      <c r="C417" s="556"/>
      <c r="D417" s="564"/>
      <c r="E417" s="556"/>
      <c r="F417" s="564"/>
      <c r="G417" s="564"/>
      <c r="H417" s="564"/>
      <c r="I417" s="564"/>
      <c r="J417" s="564"/>
      <c r="K417" s="564"/>
      <c r="L417" s="564"/>
      <c r="M417" s="564"/>
      <c r="N417" s="564"/>
      <c r="O417" s="564"/>
      <c r="P417" s="564"/>
      <c r="Q417" s="564"/>
      <c r="R417" s="564"/>
      <c r="S417" s="564"/>
      <c r="T417" s="564"/>
      <c r="U417" s="564"/>
      <c r="V417" s="564"/>
      <c r="W417" s="564"/>
      <c r="X417" s="564"/>
      <c r="Y417" s="564"/>
      <c r="Z417" s="564"/>
      <c r="AA417" s="564"/>
      <c r="AB417" s="556"/>
      <c r="AC417" s="556"/>
      <c r="AD417" s="556"/>
      <c r="AE417" s="556"/>
      <c r="AF417" s="556"/>
      <c r="AG417" s="556"/>
      <c r="AH417" s="556"/>
      <c r="AI417" s="556"/>
      <c r="AJ417" s="556"/>
      <c r="AK417" s="556"/>
      <c r="AL417" s="556"/>
      <c r="AM417" s="556"/>
      <c r="AN417" s="556"/>
      <c r="AO417" s="556"/>
      <c r="AP417" s="556"/>
      <c r="AQ417" s="556"/>
      <c r="AR417" s="556"/>
      <c r="AS417" s="565"/>
      <c r="AT417" s="556"/>
    </row>
    <row r="418" spans="1:46" hidden="1" x14ac:dyDescent="0.45">
      <c r="A418" s="556"/>
      <c r="B418" s="556"/>
      <c r="C418" s="556"/>
      <c r="D418" s="564"/>
      <c r="E418" s="556"/>
      <c r="F418" s="564"/>
      <c r="G418" s="564"/>
      <c r="H418" s="564"/>
      <c r="I418" s="564"/>
      <c r="J418" s="564"/>
      <c r="K418" s="564"/>
      <c r="L418" s="564"/>
      <c r="M418" s="564"/>
      <c r="N418" s="564"/>
      <c r="O418" s="564"/>
      <c r="P418" s="564"/>
      <c r="Q418" s="564"/>
      <c r="R418" s="564"/>
      <c r="S418" s="564"/>
      <c r="T418" s="564"/>
      <c r="U418" s="564"/>
      <c r="V418" s="564"/>
      <c r="W418" s="564"/>
      <c r="X418" s="564"/>
      <c r="Y418" s="564"/>
      <c r="Z418" s="564"/>
      <c r="AA418" s="564"/>
      <c r="AB418" s="556"/>
      <c r="AC418" s="556"/>
      <c r="AD418" s="556"/>
      <c r="AE418" s="556"/>
      <c r="AF418" s="556"/>
      <c r="AG418" s="556"/>
      <c r="AH418" s="556"/>
      <c r="AI418" s="556"/>
      <c r="AJ418" s="556"/>
      <c r="AK418" s="556"/>
      <c r="AL418" s="556"/>
      <c r="AM418" s="556"/>
      <c r="AN418" s="556"/>
      <c r="AO418" s="556"/>
      <c r="AP418" s="556"/>
      <c r="AQ418" s="556"/>
      <c r="AR418" s="556"/>
      <c r="AS418" s="565"/>
      <c r="AT418" s="556"/>
    </row>
    <row r="419" spans="1:46" hidden="1" x14ac:dyDescent="0.45">
      <c r="A419" s="556"/>
      <c r="B419" s="556"/>
      <c r="C419" s="556"/>
      <c r="D419" s="564"/>
      <c r="E419" s="556"/>
      <c r="F419" s="564"/>
      <c r="G419" s="564"/>
      <c r="H419" s="564"/>
      <c r="I419" s="564"/>
      <c r="J419" s="564"/>
      <c r="K419" s="564"/>
      <c r="L419" s="564"/>
      <c r="M419" s="564"/>
      <c r="N419" s="564"/>
      <c r="O419" s="564"/>
      <c r="P419" s="564"/>
      <c r="Q419" s="564"/>
      <c r="R419" s="564"/>
      <c r="S419" s="564"/>
      <c r="T419" s="564"/>
      <c r="U419" s="564"/>
      <c r="V419" s="564"/>
      <c r="W419" s="564"/>
      <c r="X419" s="564"/>
      <c r="Y419" s="564"/>
      <c r="Z419" s="564"/>
      <c r="AA419" s="564"/>
      <c r="AB419" s="556"/>
      <c r="AC419" s="556"/>
      <c r="AD419" s="556"/>
      <c r="AE419" s="556"/>
      <c r="AF419" s="556"/>
      <c r="AG419" s="556"/>
      <c r="AH419" s="556"/>
      <c r="AI419" s="556"/>
      <c r="AJ419" s="556"/>
      <c r="AK419" s="556"/>
      <c r="AL419" s="556"/>
      <c r="AM419" s="556"/>
      <c r="AN419" s="556"/>
      <c r="AO419" s="556"/>
      <c r="AP419" s="556"/>
      <c r="AQ419" s="556"/>
      <c r="AR419" s="556"/>
      <c r="AS419" s="565"/>
      <c r="AT419" s="556"/>
    </row>
    <row r="420" spans="1:46" hidden="1" x14ac:dyDescent="0.45">
      <c r="A420" s="556"/>
      <c r="B420" s="556"/>
      <c r="C420" s="556"/>
      <c r="D420" s="564"/>
      <c r="E420" s="556"/>
      <c r="F420" s="564"/>
      <c r="G420" s="564"/>
      <c r="H420" s="564"/>
      <c r="I420" s="564"/>
      <c r="J420" s="564"/>
      <c r="K420" s="564"/>
      <c r="L420" s="564"/>
      <c r="M420" s="564"/>
      <c r="N420" s="564"/>
      <c r="O420" s="564"/>
      <c r="P420" s="564"/>
      <c r="Q420" s="564"/>
      <c r="R420" s="564"/>
      <c r="S420" s="564"/>
      <c r="T420" s="564"/>
      <c r="U420" s="564"/>
      <c r="V420" s="564"/>
      <c r="W420" s="564"/>
      <c r="X420" s="564"/>
      <c r="Y420" s="564"/>
      <c r="Z420" s="564"/>
      <c r="AA420" s="564"/>
      <c r="AB420" s="556"/>
      <c r="AC420" s="556"/>
      <c r="AD420" s="556"/>
      <c r="AE420" s="556"/>
      <c r="AF420" s="556"/>
      <c r="AG420" s="556"/>
      <c r="AH420" s="556"/>
      <c r="AI420" s="556"/>
      <c r="AJ420" s="556"/>
      <c r="AK420" s="556"/>
      <c r="AL420" s="556"/>
      <c r="AM420" s="556"/>
      <c r="AN420" s="556"/>
      <c r="AO420" s="556"/>
      <c r="AP420" s="556"/>
      <c r="AQ420" s="556"/>
      <c r="AR420" s="556"/>
      <c r="AS420" s="565"/>
      <c r="AT420" s="556"/>
    </row>
    <row r="421" spans="1:46" hidden="1" x14ac:dyDescent="0.45">
      <c r="A421" s="556"/>
      <c r="B421" s="556"/>
      <c r="C421" s="556"/>
      <c r="D421" s="564"/>
      <c r="E421" s="556"/>
      <c r="F421" s="564"/>
      <c r="G421" s="564"/>
      <c r="H421" s="564"/>
      <c r="I421" s="564"/>
      <c r="J421" s="564"/>
      <c r="K421" s="564"/>
      <c r="L421" s="564"/>
      <c r="M421" s="564"/>
      <c r="N421" s="564"/>
      <c r="O421" s="564"/>
      <c r="P421" s="564"/>
      <c r="Q421" s="564"/>
      <c r="R421" s="564"/>
      <c r="S421" s="564"/>
      <c r="T421" s="564"/>
      <c r="U421" s="564"/>
      <c r="V421" s="564"/>
      <c r="W421" s="564"/>
      <c r="X421" s="564"/>
      <c r="Y421" s="564"/>
      <c r="Z421" s="564"/>
      <c r="AA421" s="564"/>
      <c r="AB421" s="556"/>
      <c r="AC421" s="556"/>
      <c r="AD421" s="556"/>
      <c r="AE421" s="556"/>
      <c r="AF421" s="556"/>
      <c r="AG421" s="556"/>
      <c r="AH421" s="556"/>
      <c r="AI421" s="556"/>
      <c r="AJ421" s="556"/>
      <c r="AK421" s="556"/>
      <c r="AL421" s="556"/>
      <c r="AM421" s="556"/>
      <c r="AN421" s="556"/>
      <c r="AO421" s="556"/>
      <c r="AP421" s="556"/>
      <c r="AQ421" s="556"/>
      <c r="AR421" s="556"/>
      <c r="AS421" s="565"/>
      <c r="AT421" s="556"/>
    </row>
    <row r="422" spans="1:46" hidden="1" x14ac:dyDescent="0.45">
      <c r="A422" s="556"/>
      <c r="B422" s="556"/>
      <c r="C422" s="556"/>
      <c r="D422" s="564"/>
      <c r="E422" s="556"/>
      <c r="F422" s="564"/>
      <c r="G422" s="564"/>
      <c r="H422" s="564"/>
      <c r="I422" s="564"/>
      <c r="J422" s="564"/>
      <c r="K422" s="564"/>
      <c r="L422" s="564"/>
      <c r="M422" s="564"/>
      <c r="N422" s="564"/>
      <c r="O422" s="564"/>
      <c r="P422" s="564"/>
      <c r="Q422" s="564"/>
      <c r="R422" s="564"/>
      <c r="S422" s="564"/>
      <c r="T422" s="564"/>
      <c r="U422" s="564"/>
      <c r="V422" s="564"/>
      <c r="W422" s="564"/>
      <c r="X422" s="564"/>
      <c r="Y422" s="564"/>
      <c r="Z422" s="564"/>
      <c r="AA422" s="564"/>
      <c r="AB422" s="556"/>
      <c r="AC422" s="556"/>
      <c r="AD422" s="556"/>
      <c r="AE422" s="556"/>
      <c r="AF422" s="556"/>
      <c r="AG422" s="556"/>
      <c r="AH422" s="556"/>
      <c r="AI422" s="556"/>
      <c r="AJ422" s="556"/>
      <c r="AK422" s="556"/>
      <c r="AL422" s="556"/>
      <c r="AM422" s="556"/>
      <c r="AN422" s="556"/>
      <c r="AO422" s="556"/>
      <c r="AP422" s="556"/>
      <c r="AQ422" s="556"/>
      <c r="AR422" s="556"/>
      <c r="AS422" s="565"/>
      <c r="AT422" s="556"/>
    </row>
    <row r="423" spans="1:46" hidden="1" x14ac:dyDescent="0.45">
      <c r="A423" s="556"/>
      <c r="B423" s="556"/>
      <c r="C423" s="556"/>
      <c r="D423" s="564"/>
      <c r="E423" s="556"/>
      <c r="F423" s="564"/>
      <c r="G423" s="564"/>
      <c r="H423" s="564"/>
      <c r="I423" s="564"/>
      <c r="J423" s="564"/>
      <c r="K423" s="564"/>
      <c r="L423" s="564"/>
      <c r="M423" s="564"/>
      <c r="N423" s="564"/>
      <c r="O423" s="564"/>
      <c r="P423" s="564"/>
      <c r="Q423" s="564"/>
      <c r="R423" s="564"/>
      <c r="S423" s="564"/>
      <c r="T423" s="564"/>
      <c r="U423" s="564"/>
      <c r="V423" s="564"/>
      <c r="W423" s="564"/>
      <c r="X423" s="564"/>
      <c r="Y423" s="564"/>
      <c r="Z423" s="564"/>
      <c r="AA423" s="564"/>
      <c r="AB423" s="556"/>
      <c r="AC423" s="556"/>
      <c r="AD423" s="556"/>
      <c r="AE423" s="556"/>
      <c r="AF423" s="556"/>
      <c r="AG423" s="556"/>
      <c r="AH423" s="556"/>
      <c r="AI423" s="556"/>
      <c r="AJ423" s="556"/>
      <c r="AK423" s="556"/>
      <c r="AL423" s="556"/>
      <c r="AM423" s="556"/>
      <c r="AN423" s="556"/>
      <c r="AO423" s="556"/>
      <c r="AP423" s="556"/>
      <c r="AQ423" s="556"/>
      <c r="AR423" s="556"/>
      <c r="AS423" s="565"/>
      <c r="AT423" s="556"/>
    </row>
    <row r="424" spans="1:46" hidden="1" x14ac:dyDescent="0.45">
      <c r="A424" s="556"/>
      <c r="B424" s="556"/>
      <c r="C424" s="556"/>
      <c r="D424" s="564"/>
      <c r="E424" s="556"/>
      <c r="F424" s="564"/>
      <c r="G424" s="564"/>
      <c r="H424" s="564"/>
      <c r="I424" s="564"/>
      <c r="J424" s="564"/>
      <c r="K424" s="564"/>
      <c r="L424" s="564"/>
      <c r="M424" s="564"/>
      <c r="N424" s="564"/>
      <c r="O424" s="564"/>
      <c r="P424" s="564"/>
      <c r="Q424" s="564"/>
      <c r="R424" s="564"/>
      <c r="S424" s="564"/>
      <c r="T424" s="564"/>
      <c r="U424" s="564"/>
      <c r="V424" s="564"/>
      <c r="W424" s="564"/>
      <c r="X424" s="564"/>
      <c r="Y424" s="564"/>
      <c r="Z424" s="564"/>
      <c r="AA424" s="564"/>
      <c r="AB424" s="556"/>
      <c r="AC424" s="556"/>
      <c r="AD424" s="556"/>
      <c r="AE424" s="556"/>
      <c r="AF424" s="556"/>
      <c r="AG424" s="556"/>
      <c r="AH424" s="556"/>
      <c r="AI424" s="556"/>
      <c r="AJ424" s="556"/>
      <c r="AK424" s="556"/>
      <c r="AL424" s="556"/>
      <c r="AM424" s="556"/>
      <c r="AN424" s="556"/>
      <c r="AO424" s="556"/>
      <c r="AP424" s="556"/>
      <c r="AQ424" s="556"/>
      <c r="AR424" s="556"/>
      <c r="AS424" s="565"/>
      <c r="AT424" s="556"/>
    </row>
    <row r="425" spans="1:46" hidden="1" x14ac:dyDescent="0.45">
      <c r="A425" s="556"/>
      <c r="B425" s="556"/>
      <c r="C425" s="556"/>
      <c r="D425" s="564"/>
      <c r="E425" s="556"/>
      <c r="F425" s="564"/>
      <c r="G425" s="564"/>
      <c r="H425" s="564"/>
      <c r="I425" s="564"/>
      <c r="J425" s="564"/>
      <c r="K425" s="564"/>
      <c r="L425" s="564"/>
      <c r="M425" s="564"/>
      <c r="N425" s="564"/>
      <c r="O425" s="564"/>
      <c r="P425" s="564"/>
      <c r="Q425" s="564"/>
      <c r="R425" s="564"/>
      <c r="S425" s="564"/>
      <c r="T425" s="564"/>
      <c r="U425" s="564"/>
      <c r="V425" s="564"/>
      <c r="W425" s="564"/>
      <c r="X425" s="564"/>
      <c r="Y425" s="564"/>
      <c r="Z425" s="564"/>
      <c r="AA425" s="564"/>
      <c r="AB425" s="556"/>
      <c r="AC425" s="556"/>
      <c r="AD425" s="556"/>
      <c r="AE425" s="556"/>
      <c r="AF425" s="556"/>
      <c r="AG425" s="556"/>
      <c r="AH425" s="556"/>
      <c r="AI425" s="556"/>
      <c r="AJ425" s="556"/>
      <c r="AK425" s="556"/>
      <c r="AL425" s="556"/>
      <c r="AM425" s="556"/>
      <c r="AN425" s="556"/>
      <c r="AO425" s="556"/>
      <c r="AP425" s="556"/>
      <c r="AQ425" s="556"/>
      <c r="AR425" s="556"/>
      <c r="AS425" s="565"/>
      <c r="AT425" s="556"/>
    </row>
    <row r="426" spans="1:46" hidden="1" x14ac:dyDescent="0.45">
      <c r="A426" s="556"/>
      <c r="B426" s="556"/>
      <c r="C426" s="556"/>
      <c r="D426" s="564"/>
      <c r="E426" s="556"/>
      <c r="F426" s="564"/>
      <c r="G426" s="564"/>
      <c r="H426" s="564"/>
      <c r="I426" s="564"/>
      <c r="J426" s="564"/>
      <c r="K426" s="564"/>
      <c r="L426" s="564"/>
      <c r="M426" s="564"/>
      <c r="N426" s="564"/>
      <c r="O426" s="564"/>
      <c r="P426" s="564"/>
      <c r="Q426" s="564"/>
      <c r="R426" s="564"/>
      <c r="S426" s="564"/>
      <c r="T426" s="564"/>
      <c r="U426" s="564"/>
      <c r="V426" s="564"/>
      <c r="W426" s="564"/>
      <c r="X426" s="564"/>
      <c r="Y426" s="564"/>
      <c r="Z426" s="564"/>
      <c r="AA426" s="564"/>
      <c r="AB426" s="556"/>
      <c r="AC426" s="556"/>
      <c r="AD426" s="556"/>
      <c r="AE426" s="556"/>
      <c r="AF426" s="556"/>
      <c r="AG426" s="556"/>
      <c r="AH426" s="556"/>
      <c r="AI426" s="556"/>
      <c r="AJ426" s="556"/>
      <c r="AK426" s="556"/>
      <c r="AL426" s="556"/>
      <c r="AM426" s="556"/>
      <c r="AN426" s="556"/>
      <c r="AO426" s="556"/>
      <c r="AP426" s="556"/>
      <c r="AQ426" s="556"/>
      <c r="AR426" s="556"/>
      <c r="AS426" s="565"/>
      <c r="AT426" s="556"/>
    </row>
    <row r="427" spans="1:46" hidden="1" x14ac:dyDescent="0.45">
      <c r="A427" s="556"/>
      <c r="B427" s="556"/>
      <c r="C427" s="556"/>
      <c r="D427" s="564"/>
      <c r="E427" s="556"/>
      <c r="F427" s="564"/>
      <c r="G427" s="564"/>
      <c r="H427" s="564"/>
      <c r="I427" s="564"/>
      <c r="J427" s="564"/>
      <c r="K427" s="564"/>
      <c r="L427" s="564"/>
      <c r="M427" s="564"/>
      <c r="N427" s="564"/>
      <c r="O427" s="564"/>
      <c r="P427" s="564"/>
      <c r="Q427" s="564"/>
      <c r="R427" s="564"/>
      <c r="S427" s="564"/>
      <c r="T427" s="564"/>
      <c r="U427" s="564"/>
      <c r="V427" s="564"/>
      <c r="W427" s="564"/>
      <c r="X427" s="564"/>
      <c r="Y427" s="564"/>
      <c r="Z427" s="564"/>
      <c r="AA427" s="564"/>
      <c r="AB427" s="556"/>
      <c r="AC427" s="556"/>
      <c r="AD427" s="556"/>
      <c r="AE427" s="556"/>
      <c r="AF427" s="556"/>
      <c r="AG427" s="556"/>
      <c r="AH427" s="556"/>
      <c r="AI427" s="556"/>
      <c r="AJ427" s="556"/>
      <c r="AK427" s="556"/>
      <c r="AL427" s="556"/>
      <c r="AM427" s="556"/>
      <c r="AN427" s="556"/>
      <c r="AO427" s="556"/>
      <c r="AP427" s="556"/>
      <c r="AQ427" s="556"/>
      <c r="AR427" s="556"/>
      <c r="AS427" s="565"/>
      <c r="AT427" s="556"/>
    </row>
    <row r="428" spans="1:46" hidden="1" x14ac:dyDescent="0.45">
      <c r="A428" s="556"/>
      <c r="B428" s="556"/>
      <c r="C428" s="556"/>
      <c r="D428" s="564"/>
      <c r="E428" s="556"/>
      <c r="F428" s="564"/>
      <c r="G428" s="564"/>
      <c r="H428" s="564"/>
      <c r="I428" s="564"/>
      <c r="J428" s="564"/>
      <c r="K428" s="564"/>
      <c r="L428" s="564"/>
      <c r="M428" s="564"/>
      <c r="N428" s="564"/>
      <c r="O428" s="564"/>
      <c r="P428" s="564"/>
      <c r="Q428" s="564"/>
      <c r="R428" s="564"/>
      <c r="S428" s="564"/>
      <c r="T428" s="564"/>
      <c r="U428" s="564"/>
      <c r="V428" s="564"/>
      <c r="W428" s="564"/>
      <c r="X428" s="564"/>
      <c r="Y428" s="564"/>
      <c r="Z428" s="564"/>
      <c r="AA428" s="564"/>
      <c r="AB428" s="556"/>
      <c r="AC428" s="556"/>
      <c r="AD428" s="556"/>
      <c r="AE428" s="556"/>
      <c r="AF428" s="556"/>
      <c r="AG428" s="556"/>
      <c r="AH428" s="556"/>
      <c r="AI428" s="556"/>
      <c r="AJ428" s="556"/>
      <c r="AK428" s="556"/>
      <c r="AL428" s="556"/>
      <c r="AM428" s="556"/>
      <c r="AN428" s="556"/>
      <c r="AO428" s="556"/>
      <c r="AP428" s="556"/>
      <c r="AQ428" s="556"/>
      <c r="AR428" s="556"/>
      <c r="AS428" s="565"/>
      <c r="AT428" s="556"/>
    </row>
    <row r="429" spans="1:46" hidden="1" x14ac:dyDescent="0.45">
      <c r="A429" s="556"/>
      <c r="B429" s="556"/>
      <c r="C429" s="556"/>
      <c r="D429" s="564"/>
      <c r="E429" s="556"/>
      <c r="F429" s="564"/>
      <c r="G429" s="564"/>
      <c r="H429" s="564"/>
      <c r="I429" s="564"/>
      <c r="J429" s="564"/>
      <c r="K429" s="564"/>
      <c r="L429" s="564"/>
      <c r="M429" s="564"/>
      <c r="N429" s="564"/>
      <c r="O429" s="564"/>
      <c r="P429" s="564"/>
      <c r="Q429" s="564"/>
      <c r="R429" s="564"/>
      <c r="S429" s="564"/>
      <c r="T429" s="564"/>
      <c r="U429" s="564"/>
      <c r="V429" s="564"/>
      <c r="W429" s="564"/>
      <c r="X429" s="564"/>
      <c r="Y429" s="564"/>
      <c r="Z429" s="564"/>
      <c r="AA429" s="564"/>
      <c r="AB429" s="556"/>
      <c r="AC429" s="556"/>
      <c r="AD429" s="556"/>
      <c r="AE429" s="556"/>
      <c r="AF429" s="556"/>
      <c r="AG429" s="556"/>
      <c r="AH429" s="556"/>
      <c r="AI429" s="556"/>
      <c r="AJ429" s="556"/>
      <c r="AK429" s="556"/>
      <c r="AL429" s="556"/>
      <c r="AM429" s="556"/>
      <c r="AN429" s="556"/>
      <c r="AO429" s="556"/>
      <c r="AP429" s="556"/>
      <c r="AQ429" s="556"/>
      <c r="AR429" s="556"/>
      <c r="AS429" s="565"/>
      <c r="AT429" s="556"/>
    </row>
    <row r="430" spans="1:46" hidden="1" x14ac:dyDescent="0.45">
      <c r="A430" s="556"/>
      <c r="B430" s="556"/>
      <c r="C430" s="556"/>
      <c r="D430" s="564"/>
      <c r="E430" s="556"/>
      <c r="F430" s="564"/>
      <c r="G430" s="564"/>
      <c r="H430" s="564"/>
      <c r="I430" s="564"/>
      <c r="J430" s="564"/>
      <c r="K430" s="564"/>
      <c r="L430" s="564"/>
      <c r="M430" s="564"/>
      <c r="N430" s="564"/>
      <c r="O430" s="564"/>
      <c r="P430" s="564"/>
      <c r="Q430" s="564"/>
      <c r="R430" s="564"/>
      <c r="S430" s="564"/>
      <c r="T430" s="564"/>
      <c r="U430" s="564"/>
      <c r="V430" s="564"/>
      <c r="W430" s="564"/>
      <c r="X430" s="564"/>
      <c r="Y430" s="564"/>
      <c r="Z430" s="564"/>
      <c r="AA430" s="564"/>
      <c r="AB430" s="556"/>
      <c r="AC430" s="556"/>
      <c r="AD430" s="556"/>
      <c r="AE430" s="556"/>
      <c r="AF430" s="556"/>
      <c r="AG430" s="556"/>
      <c r="AH430" s="556"/>
      <c r="AI430" s="556"/>
      <c r="AJ430" s="556"/>
      <c r="AK430" s="556"/>
      <c r="AL430" s="556"/>
      <c r="AM430" s="556"/>
      <c r="AN430" s="556"/>
      <c r="AO430" s="556"/>
      <c r="AP430" s="556"/>
      <c r="AQ430" s="556"/>
      <c r="AR430" s="556"/>
      <c r="AS430" s="565"/>
      <c r="AT430" s="556"/>
    </row>
    <row r="431" spans="1:46" hidden="1" x14ac:dyDescent="0.45">
      <c r="A431" s="556"/>
      <c r="B431" s="556"/>
      <c r="C431" s="556"/>
      <c r="D431" s="564"/>
      <c r="E431" s="556"/>
      <c r="F431" s="564"/>
      <c r="G431" s="564"/>
      <c r="H431" s="564"/>
      <c r="I431" s="564"/>
      <c r="J431" s="564"/>
      <c r="K431" s="564"/>
      <c r="L431" s="564"/>
      <c r="M431" s="564"/>
      <c r="N431" s="564"/>
      <c r="O431" s="564"/>
      <c r="P431" s="564"/>
      <c r="Q431" s="564"/>
      <c r="R431" s="564"/>
      <c r="S431" s="564"/>
      <c r="T431" s="564"/>
      <c r="U431" s="564"/>
      <c r="V431" s="564"/>
      <c r="W431" s="564"/>
      <c r="X431" s="564"/>
      <c r="Y431" s="564"/>
      <c r="Z431" s="564"/>
      <c r="AA431" s="564"/>
      <c r="AB431" s="556"/>
      <c r="AC431" s="556"/>
      <c r="AD431" s="556"/>
      <c r="AE431" s="556"/>
      <c r="AF431" s="556"/>
      <c r="AG431" s="556"/>
      <c r="AH431" s="556"/>
      <c r="AI431" s="556"/>
      <c r="AJ431" s="556"/>
      <c r="AK431" s="556"/>
      <c r="AL431" s="556"/>
      <c r="AM431" s="556"/>
      <c r="AN431" s="556"/>
      <c r="AO431" s="556"/>
      <c r="AP431" s="556"/>
      <c r="AQ431" s="556"/>
      <c r="AR431" s="556"/>
      <c r="AS431" s="565"/>
      <c r="AT431" s="556"/>
    </row>
    <row r="432" spans="1:46" hidden="1" x14ac:dyDescent="0.45">
      <c r="A432" s="556"/>
      <c r="B432" s="556"/>
      <c r="C432" s="556"/>
      <c r="D432" s="564"/>
      <c r="E432" s="556"/>
      <c r="F432" s="564"/>
      <c r="G432" s="564"/>
      <c r="H432" s="564"/>
      <c r="I432" s="564"/>
      <c r="J432" s="564"/>
      <c r="K432" s="564"/>
      <c r="L432" s="564"/>
      <c r="M432" s="564"/>
      <c r="N432" s="564"/>
      <c r="O432" s="564"/>
      <c r="P432" s="564"/>
      <c r="Q432" s="564"/>
      <c r="R432" s="564"/>
      <c r="S432" s="564"/>
      <c r="T432" s="564"/>
      <c r="U432" s="564"/>
      <c r="V432" s="564"/>
      <c r="W432" s="564"/>
      <c r="X432" s="564"/>
      <c r="Y432" s="564"/>
      <c r="Z432" s="564"/>
      <c r="AA432" s="564"/>
      <c r="AB432" s="556"/>
      <c r="AC432" s="556"/>
      <c r="AD432" s="556"/>
      <c r="AE432" s="556"/>
      <c r="AF432" s="556"/>
      <c r="AG432" s="556"/>
      <c r="AH432" s="556"/>
      <c r="AI432" s="556"/>
      <c r="AJ432" s="556"/>
      <c r="AK432" s="556"/>
      <c r="AL432" s="556"/>
      <c r="AM432" s="556"/>
      <c r="AN432" s="556"/>
      <c r="AO432" s="556"/>
      <c r="AP432" s="556"/>
      <c r="AQ432" s="556"/>
      <c r="AR432" s="556"/>
      <c r="AS432" s="565"/>
      <c r="AT432" s="556"/>
    </row>
    <row r="433" spans="1:46" hidden="1" x14ac:dyDescent="0.45">
      <c r="A433" s="556"/>
      <c r="B433" s="556"/>
      <c r="C433" s="556"/>
      <c r="D433" s="564"/>
      <c r="E433" s="556"/>
      <c r="F433" s="564"/>
      <c r="G433" s="564"/>
      <c r="H433" s="564"/>
      <c r="I433" s="564"/>
      <c r="J433" s="564"/>
      <c r="K433" s="564"/>
      <c r="L433" s="564"/>
      <c r="M433" s="564"/>
      <c r="N433" s="564"/>
      <c r="O433" s="564"/>
      <c r="P433" s="564"/>
      <c r="Q433" s="564"/>
      <c r="R433" s="564"/>
      <c r="S433" s="564"/>
      <c r="T433" s="564"/>
      <c r="U433" s="564"/>
      <c r="V433" s="564"/>
      <c r="W433" s="564"/>
      <c r="X433" s="564"/>
      <c r="Y433" s="564"/>
      <c r="Z433" s="564"/>
      <c r="AA433" s="564"/>
      <c r="AB433" s="556"/>
      <c r="AC433" s="556"/>
      <c r="AD433" s="556"/>
      <c r="AE433" s="556"/>
      <c r="AF433" s="556"/>
      <c r="AG433" s="556"/>
      <c r="AH433" s="556"/>
      <c r="AI433" s="556"/>
      <c r="AJ433" s="556"/>
      <c r="AK433" s="556"/>
      <c r="AL433" s="556"/>
      <c r="AM433" s="556"/>
      <c r="AN433" s="556"/>
      <c r="AO433" s="556"/>
      <c r="AP433" s="556"/>
      <c r="AQ433" s="556"/>
      <c r="AR433" s="556"/>
      <c r="AS433" s="565"/>
      <c r="AT433" s="556"/>
    </row>
    <row r="434" spans="1:46" hidden="1" x14ac:dyDescent="0.45">
      <c r="A434" s="556"/>
      <c r="B434" s="556"/>
      <c r="C434" s="556"/>
      <c r="D434" s="564"/>
      <c r="E434" s="556"/>
      <c r="F434" s="564"/>
      <c r="G434" s="564"/>
      <c r="H434" s="564"/>
      <c r="I434" s="564"/>
      <c r="J434" s="564"/>
      <c r="K434" s="564"/>
      <c r="L434" s="564"/>
      <c r="M434" s="564"/>
      <c r="N434" s="564"/>
      <c r="O434" s="564"/>
      <c r="P434" s="564"/>
      <c r="Q434" s="564"/>
      <c r="R434" s="564"/>
      <c r="S434" s="564"/>
      <c r="T434" s="564"/>
      <c r="U434" s="564"/>
      <c r="V434" s="564"/>
      <c r="W434" s="564"/>
      <c r="X434" s="564"/>
      <c r="Y434" s="564"/>
      <c r="Z434" s="564"/>
      <c r="AA434" s="564"/>
      <c r="AB434" s="556"/>
      <c r="AC434" s="556"/>
      <c r="AD434" s="556"/>
      <c r="AE434" s="556"/>
      <c r="AF434" s="556"/>
      <c r="AG434" s="556"/>
      <c r="AH434" s="556"/>
      <c r="AI434" s="556"/>
      <c r="AJ434" s="556"/>
      <c r="AK434" s="556"/>
      <c r="AL434" s="556"/>
      <c r="AM434" s="556"/>
      <c r="AN434" s="556"/>
      <c r="AO434" s="556"/>
      <c r="AP434" s="556"/>
      <c r="AQ434" s="556"/>
      <c r="AR434" s="556"/>
      <c r="AS434" s="565"/>
      <c r="AT434" s="556"/>
    </row>
    <row r="435" spans="1:46" hidden="1" x14ac:dyDescent="0.45">
      <c r="A435" s="556"/>
      <c r="B435" s="556"/>
      <c r="C435" s="556"/>
      <c r="D435" s="564"/>
      <c r="E435" s="556"/>
      <c r="F435" s="564"/>
      <c r="G435" s="564"/>
      <c r="H435" s="564"/>
      <c r="I435" s="564"/>
      <c r="J435" s="564"/>
      <c r="K435" s="564"/>
      <c r="L435" s="564"/>
      <c r="M435" s="564"/>
      <c r="N435" s="564"/>
      <c r="O435" s="564"/>
      <c r="P435" s="564"/>
      <c r="Q435" s="564"/>
      <c r="R435" s="564"/>
      <c r="S435" s="564"/>
      <c r="T435" s="564"/>
      <c r="U435" s="564"/>
      <c r="V435" s="564"/>
      <c r="W435" s="564"/>
      <c r="X435" s="564"/>
      <c r="Y435" s="564"/>
      <c r="Z435" s="564"/>
      <c r="AA435" s="564"/>
      <c r="AB435" s="556"/>
      <c r="AC435" s="556"/>
      <c r="AD435" s="556"/>
      <c r="AE435" s="556"/>
      <c r="AF435" s="556"/>
      <c r="AG435" s="556"/>
      <c r="AH435" s="556"/>
      <c r="AI435" s="556"/>
      <c r="AJ435" s="556"/>
      <c r="AK435" s="556"/>
      <c r="AL435" s="556"/>
      <c r="AM435" s="556"/>
      <c r="AN435" s="556"/>
      <c r="AO435" s="556"/>
      <c r="AP435" s="556"/>
      <c r="AQ435" s="556"/>
      <c r="AR435" s="556"/>
      <c r="AS435" s="565"/>
      <c r="AT435" s="556"/>
    </row>
    <row r="436" spans="1:46" hidden="1" x14ac:dyDescent="0.45">
      <c r="A436" s="556"/>
      <c r="B436" s="556"/>
      <c r="C436" s="556"/>
      <c r="D436" s="564"/>
      <c r="E436" s="556"/>
      <c r="F436" s="564"/>
      <c r="G436" s="564"/>
      <c r="H436" s="564"/>
      <c r="I436" s="564"/>
      <c r="J436" s="564"/>
      <c r="K436" s="564"/>
      <c r="L436" s="564"/>
      <c r="M436" s="564"/>
      <c r="N436" s="564"/>
      <c r="O436" s="564"/>
      <c r="P436" s="564"/>
      <c r="Q436" s="564"/>
      <c r="R436" s="564"/>
      <c r="S436" s="564"/>
      <c r="T436" s="564"/>
      <c r="U436" s="564"/>
      <c r="V436" s="564"/>
      <c r="W436" s="564"/>
      <c r="X436" s="564"/>
      <c r="Y436" s="564"/>
      <c r="Z436" s="564"/>
      <c r="AA436" s="564"/>
      <c r="AB436" s="556"/>
      <c r="AC436" s="556"/>
      <c r="AD436" s="556"/>
      <c r="AE436" s="556"/>
      <c r="AF436" s="556"/>
      <c r="AG436" s="556"/>
      <c r="AH436" s="556"/>
      <c r="AI436" s="556"/>
      <c r="AJ436" s="556"/>
      <c r="AK436" s="556"/>
      <c r="AL436" s="556"/>
      <c r="AM436" s="556"/>
      <c r="AN436" s="556"/>
      <c r="AO436" s="556"/>
      <c r="AP436" s="556"/>
      <c r="AQ436" s="556"/>
      <c r="AR436" s="556"/>
      <c r="AS436" s="565"/>
      <c r="AT436" s="556"/>
    </row>
    <row r="437" spans="1:46" hidden="1" x14ac:dyDescent="0.45">
      <c r="A437" s="556"/>
      <c r="B437" s="556"/>
      <c r="C437" s="556"/>
      <c r="D437" s="564"/>
      <c r="E437" s="556"/>
      <c r="F437" s="564"/>
      <c r="G437" s="564"/>
      <c r="H437" s="564"/>
      <c r="I437" s="564"/>
      <c r="J437" s="564"/>
      <c r="K437" s="564"/>
      <c r="L437" s="564"/>
      <c r="M437" s="564"/>
      <c r="N437" s="564"/>
      <c r="O437" s="564"/>
      <c r="P437" s="564"/>
      <c r="Q437" s="564"/>
      <c r="R437" s="564"/>
      <c r="S437" s="564"/>
      <c r="T437" s="564"/>
      <c r="U437" s="564"/>
      <c r="V437" s="564"/>
      <c r="W437" s="564"/>
      <c r="X437" s="564"/>
      <c r="Y437" s="564"/>
      <c r="Z437" s="564"/>
      <c r="AA437" s="564"/>
      <c r="AB437" s="556"/>
      <c r="AC437" s="556"/>
      <c r="AD437" s="556"/>
      <c r="AE437" s="556"/>
      <c r="AF437" s="556"/>
      <c r="AG437" s="556"/>
      <c r="AH437" s="556"/>
      <c r="AI437" s="556"/>
      <c r="AJ437" s="556"/>
      <c r="AK437" s="556"/>
      <c r="AL437" s="556"/>
      <c r="AM437" s="556"/>
      <c r="AN437" s="556"/>
      <c r="AO437" s="556"/>
      <c r="AP437" s="556"/>
      <c r="AQ437" s="556"/>
      <c r="AR437" s="556"/>
      <c r="AS437" s="565"/>
      <c r="AT437" s="556"/>
    </row>
    <row r="438" spans="1:46" hidden="1" x14ac:dyDescent="0.45">
      <c r="A438" s="556"/>
      <c r="B438" s="556"/>
      <c r="C438" s="556"/>
      <c r="D438" s="564"/>
      <c r="E438" s="556"/>
      <c r="F438" s="564"/>
      <c r="G438" s="564"/>
      <c r="H438" s="564"/>
      <c r="I438" s="564"/>
      <c r="J438" s="564"/>
      <c r="K438" s="564"/>
      <c r="L438" s="564"/>
      <c r="M438" s="564"/>
      <c r="N438" s="564"/>
      <c r="O438" s="564"/>
      <c r="P438" s="564"/>
      <c r="Q438" s="564"/>
      <c r="R438" s="564"/>
      <c r="S438" s="564"/>
      <c r="T438" s="564"/>
      <c r="U438" s="564"/>
      <c r="V438" s="564"/>
      <c r="W438" s="564"/>
      <c r="X438" s="564"/>
      <c r="Y438" s="564"/>
      <c r="Z438" s="564"/>
      <c r="AA438" s="564"/>
      <c r="AB438" s="556"/>
      <c r="AC438" s="556"/>
      <c r="AD438" s="556"/>
      <c r="AE438" s="556"/>
      <c r="AF438" s="556"/>
      <c r="AG438" s="556"/>
      <c r="AH438" s="556"/>
      <c r="AI438" s="556"/>
      <c r="AJ438" s="556"/>
      <c r="AK438" s="556"/>
      <c r="AL438" s="556"/>
      <c r="AM438" s="556"/>
      <c r="AN438" s="556"/>
      <c r="AO438" s="556"/>
      <c r="AP438" s="556"/>
      <c r="AQ438" s="556"/>
      <c r="AR438" s="556"/>
      <c r="AS438" s="565"/>
      <c r="AT438" s="556"/>
    </row>
    <row r="439" spans="1:46" hidden="1" x14ac:dyDescent="0.45">
      <c r="A439" s="556"/>
      <c r="B439" s="556"/>
      <c r="C439" s="556"/>
      <c r="D439" s="564"/>
      <c r="E439" s="556"/>
      <c r="F439" s="564"/>
      <c r="G439" s="564"/>
      <c r="H439" s="564"/>
      <c r="I439" s="564"/>
      <c r="J439" s="564"/>
      <c r="K439" s="564"/>
      <c r="L439" s="564"/>
      <c r="M439" s="564"/>
      <c r="N439" s="564"/>
      <c r="O439" s="564"/>
      <c r="P439" s="564"/>
      <c r="Q439" s="564"/>
      <c r="R439" s="564"/>
      <c r="S439" s="564"/>
      <c r="T439" s="564"/>
      <c r="U439" s="564"/>
      <c r="V439" s="564"/>
      <c r="W439" s="564"/>
      <c r="X439" s="564"/>
      <c r="Y439" s="564"/>
      <c r="Z439" s="564"/>
      <c r="AA439" s="564"/>
      <c r="AB439" s="556"/>
      <c r="AC439" s="556"/>
      <c r="AD439" s="556"/>
      <c r="AE439" s="556"/>
      <c r="AF439" s="556"/>
      <c r="AG439" s="556"/>
      <c r="AH439" s="556"/>
      <c r="AI439" s="556"/>
      <c r="AJ439" s="556"/>
      <c r="AK439" s="556"/>
      <c r="AL439" s="556"/>
      <c r="AM439" s="556"/>
      <c r="AN439" s="556"/>
      <c r="AO439" s="556"/>
      <c r="AP439" s="556"/>
      <c r="AQ439" s="556"/>
      <c r="AR439" s="556"/>
      <c r="AS439" s="565"/>
      <c r="AT439" s="556"/>
    </row>
    <row r="440" spans="1:46" hidden="1" x14ac:dyDescent="0.45">
      <c r="A440" s="556"/>
      <c r="B440" s="556"/>
      <c r="C440" s="556"/>
      <c r="D440" s="564"/>
      <c r="E440" s="556"/>
      <c r="F440" s="564"/>
      <c r="G440" s="564"/>
      <c r="H440" s="564"/>
      <c r="I440" s="564"/>
      <c r="J440" s="564"/>
      <c r="K440" s="564"/>
      <c r="L440" s="564"/>
      <c r="M440" s="564"/>
      <c r="N440" s="564"/>
      <c r="O440" s="564"/>
      <c r="P440" s="564"/>
      <c r="Q440" s="564"/>
      <c r="R440" s="564"/>
      <c r="S440" s="564"/>
      <c r="T440" s="564"/>
      <c r="U440" s="564"/>
      <c r="V440" s="564"/>
      <c r="W440" s="564"/>
      <c r="X440" s="564"/>
      <c r="Y440" s="564"/>
      <c r="Z440" s="564"/>
      <c r="AA440" s="564"/>
      <c r="AB440" s="556"/>
      <c r="AC440" s="556"/>
      <c r="AD440" s="556"/>
      <c r="AE440" s="556"/>
      <c r="AF440" s="556"/>
      <c r="AG440" s="556"/>
      <c r="AH440" s="556"/>
      <c r="AI440" s="556"/>
      <c r="AJ440" s="556"/>
      <c r="AK440" s="556"/>
      <c r="AL440" s="556"/>
      <c r="AM440" s="556"/>
      <c r="AN440" s="556"/>
      <c r="AO440" s="556"/>
      <c r="AP440" s="556"/>
      <c r="AQ440" s="556"/>
      <c r="AR440" s="556"/>
      <c r="AS440" s="565"/>
      <c r="AT440" s="556"/>
    </row>
    <row r="441" spans="1:46" hidden="1" x14ac:dyDescent="0.45">
      <c r="A441" s="556"/>
      <c r="B441" s="556"/>
      <c r="C441" s="556"/>
      <c r="D441" s="564"/>
      <c r="E441" s="556"/>
      <c r="F441" s="564"/>
      <c r="G441" s="564"/>
      <c r="H441" s="564"/>
      <c r="I441" s="564"/>
      <c r="J441" s="564"/>
      <c r="K441" s="564"/>
      <c r="L441" s="564"/>
      <c r="M441" s="564"/>
      <c r="N441" s="564"/>
      <c r="O441" s="564"/>
      <c r="P441" s="564"/>
      <c r="Q441" s="564"/>
      <c r="R441" s="564"/>
      <c r="S441" s="564"/>
      <c r="T441" s="564"/>
      <c r="U441" s="564"/>
      <c r="V441" s="564"/>
      <c r="W441" s="564"/>
      <c r="X441" s="564"/>
      <c r="Y441" s="564"/>
      <c r="Z441" s="564"/>
      <c r="AA441" s="564"/>
      <c r="AB441" s="556"/>
      <c r="AC441" s="556"/>
      <c r="AD441" s="556"/>
      <c r="AE441" s="556"/>
      <c r="AF441" s="556"/>
      <c r="AG441" s="556"/>
      <c r="AH441" s="556"/>
      <c r="AI441" s="556"/>
      <c r="AJ441" s="556"/>
      <c r="AK441" s="556"/>
      <c r="AL441" s="556"/>
      <c r="AM441" s="556"/>
      <c r="AN441" s="556"/>
      <c r="AO441" s="556"/>
      <c r="AP441" s="556"/>
      <c r="AQ441" s="556"/>
      <c r="AR441" s="556"/>
      <c r="AS441" s="565"/>
      <c r="AT441" s="556"/>
    </row>
    <row r="442" spans="1:46" hidden="1" x14ac:dyDescent="0.45">
      <c r="A442" s="556"/>
      <c r="B442" s="556"/>
      <c r="C442" s="556"/>
      <c r="D442" s="564"/>
      <c r="E442" s="556"/>
      <c r="F442" s="564"/>
      <c r="G442" s="564"/>
      <c r="H442" s="564"/>
      <c r="I442" s="564"/>
      <c r="J442" s="564"/>
      <c r="K442" s="564"/>
      <c r="L442" s="564"/>
      <c r="M442" s="564"/>
      <c r="N442" s="564"/>
      <c r="O442" s="564"/>
      <c r="P442" s="564"/>
      <c r="Q442" s="564"/>
      <c r="R442" s="564"/>
      <c r="S442" s="564"/>
      <c r="T442" s="564"/>
      <c r="U442" s="564"/>
      <c r="V442" s="564"/>
      <c r="W442" s="564"/>
      <c r="X442" s="564"/>
      <c r="Y442" s="564"/>
      <c r="Z442" s="564"/>
      <c r="AA442" s="564"/>
      <c r="AB442" s="556"/>
      <c r="AC442" s="556"/>
      <c r="AD442" s="556"/>
      <c r="AE442" s="556"/>
      <c r="AF442" s="556"/>
      <c r="AG442" s="556"/>
      <c r="AH442" s="556"/>
      <c r="AI442" s="556"/>
      <c r="AJ442" s="556"/>
      <c r="AK442" s="556"/>
      <c r="AL442" s="556"/>
      <c r="AM442" s="556"/>
      <c r="AN442" s="556"/>
      <c r="AO442" s="556"/>
      <c r="AP442" s="556"/>
      <c r="AQ442" s="556"/>
      <c r="AR442" s="556"/>
      <c r="AS442" s="565"/>
      <c r="AT442" s="556"/>
    </row>
    <row r="443" spans="1:46" hidden="1" x14ac:dyDescent="0.45">
      <c r="A443" s="556"/>
      <c r="B443" s="556"/>
      <c r="C443" s="556"/>
      <c r="D443" s="564"/>
      <c r="E443" s="556"/>
      <c r="F443" s="564"/>
      <c r="G443" s="564"/>
      <c r="H443" s="564"/>
      <c r="I443" s="564"/>
      <c r="J443" s="564"/>
      <c r="K443" s="564"/>
      <c r="L443" s="564"/>
      <c r="M443" s="564"/>
      <c r="N443" s="564"/>
      <c r="O443" s="564"/>
      <c r="P443" s="564"/>
      <c r="Q443" s="564"/>
      <c r="R443" s="564"/>
      <c r="S443" s="564"/>
      <c r="T443" s="564"/>
      <c r="U443" s="564"/>
      <c r="V443" s="564"/>
      <c r="W443" s="564"/>
      <c r="X443" s="564"/>
      <c r="Y443" s="564"/>
      <c r="Z443" s="564"/>
      <c r="AA443" s="564"/>
      <c r="AB443" s="556"/>
      <c r="AC443" s="556"/>
      <c r="AD443" s="556"/>
      <c r="AE443" s="556"/>
      <c r="AF443" s="556"/>
      <c r="AG443" s="556"/>
      <c r="AH443" s="556"/>
      <c r="AI443" s="556"/>
      <c r="AJ443" s="556"/>
      <c r="AK443" s="556"/>
      <c r="AL443" s="556"/>
      <c r="AM443" s="556"/>
      <c r="AN443" s="556"/>
      <c r="AO443" s="556"/>
      <c r="AP443" s="556"/>
      <c r="AQ443" s="556"/>
      <c r="AR443" s="556"/>
      <c r="AS443" s="565"/>
      <c r="AT443" s="556"/>
    </row>
    <row r="444" spans="1:46" hidden="1" x14ac:dyDescent="0.45">
      <c r="A444" s="556"/>
      <c r="B444" s="556"/>
      <c r="C444" s="556"/>
      <c r="D444" s="564"/>
      <c r="E444" s="556"/>
      <c r="F444" s="564"/>
      <c r="G444" s="564"/>
      <c r="H444" s="564"/>
      <c r="I444" s="564"/>
      <c r="J444" s="564"/>
      <c r="K444" s="564"/>
      <c r="L444" s="564"/>
      <c r="M444" s="564"/>
      <c r="N444" s="564"/>
      <c r="O444" s="564"/>
      <c r="P444" s="564"/>
      <c r="Q444" s="564"/>
      <c r="R444" s="564"/>
      <c r="S444" s="564"/>
      <c r="T444" s="564"/>
      <c r="U444" s="564"/>
      <c r="V444" s="564"/>
      <c r="W444" s="564"/>
      <c r="X444" s="564"/>
      <c r="Y444" s="564"/>
      <c r="Z444" s="564"/>
      <c r="AA444" s="564"/>
      <c r="AB444" s="556"/>
      <c r="AC444" s="556"/>
      <c r="AD444" s="556"/>
      <c r="AE444" s="556"/>
      <c r="AF444" s="556"/>
      <c r="AG444" s="556"/>
      <c r="AH444" s="556"/>
      <c r="AI444" s="556"/>
      <c r="AJ444" s="556"/>
      <c r="AK444" s="556"/>
      <c r="AL444" s="556"/>
      <c r="AM444" s="556"/>
      <c r="AN444" s="556"/>
      <c r="AO444" s="556"/>
      <c r="AP444" s="556"/>
      <c r="AQ444" s="556"/>
      <c r="AR444" s="556"/>
      <c r="AS444" s="565"/>
      <c r="AT444" s="556"/>
    </row>
    <row r="445" spans="1:46" hidden="1" x14ac:dyDescent="0.45">
      <c r="A445" s="556"/>
      <c r="B445" s="556"/>
      <c r="C445" s="556"/>
      <c r="D445" s="564"/>
      <c r="E445" s="556"/>
      <c r="F445" s="564"/>
      <c r="G445" s="564"/>
      <c r="H445" s="564"/>
      <c r="I445" s="564"/>
      <c r="J445" s="564"/>
      <c r="K445" s="564"/>
      <c r="L445" s="564"/>
      <c r="M445" s="564"/>
      <c r="N445" s="564"/>
      <c r="O445" s="564"/>
      <c r="P445" s="564"/>
      <c r="Q445" s="564"/>
      <c r="R445" s="564"/>
      <c r="S445" s="564"/>
      <c r="T445" s="564"/>
      <c r="U445" s="564"/>
      <c r="V445" s="564"/>
      <c r="W445" s="564"/>
      <c r="X445" s="564"/>
      <c r="Y445" s="564"/>
      <c r="Z445" s="564"/>
      <c r="AA445" s="564"/>
      <c r="AB445" s="556"/>
      <c r="AC445" s="556"/>
      <c r="AD445" s="556"/>
      <c r="AE445" s="556"/>
      <c r="AF445" s="556"/>
      <c r="AG445" s="556"/>
      <c r="AH445" s="556"/>
      <c r="AI445" s="556"/>
      <c r="AJ445" s="556"/>
      <c r="AK445" s="556"/>
      <c r="AL445" s="556"/>
      <c r="AM445" s="556"/>
      <c r="AN445" s="556"/>
      <c r="AO445" s="556"/>
      <c r="AP445" s="556"/>
      <c r="AQ445" s="556"/>
      <c r="AR445" s="556"/>
      <c r="AS445" s="565"/>
      <c r="AT445" s="556"/>
    </row>
    <row r="446" spans="1:46" hidden="1" x14ac:dyDescent="0.45">
      <c r="A446" s="556"/>
      <c r="B446" s="556"/>
      <c r="C446" s="556"/>
      <c r="D446" s="564"/>
      <c r="E446" s="556"/>
      <c r="F446" s="564"/>
      <c r="G446" s="564"/>
      <c r="H446" s="564"/>
      <c r="I446" s="564"/>
      <c r="J446" s="564"/>
      <c r="K446" s="564"/>
      <c r="L446" s="564"/>
      <c r="M446" s="564"/>
      <c r="N446" s="564"/>
      <c r="O446" s="564"/>
      <c r="P446" s="564"/>
      <c r="Q446" s="564"/>
      <c r="R446" s="564"/>
      <c r="S446" s="564"/>
      <c r="T446" s="564"/>
      <c r="U446" s="564"/>
      <c r="V446" s="564"/>
      <c r="W446" s="564"/>
      <c r="X446" s="564"/>
      <c r="Y446" s="564"/>
      <c r="Z446" s="564"/>
      <c r="AA446" s="564"/>
      <c r="AB446" s="556"/>
      <c r="AC446" s="556"/>
      <c r="AD446" s="556"/>
      <c r="AE446" s="556"/>
      <c r="AF446" s="556"/>
      <c r="AG446" s="556"/>
      <c r="AH446" s="556"/>
      <c r="AI446" s="556"/>
      <c r="AJ446" s="556"/>
      <c r="AK446" s="556"/>
      <c r="AL446" s="556"/>
      <c r="AM446" s="556"/>
      <c r="AN446" s="556"/>
      <c r="AO446" s="556"/>
      <c r="AP446" s="556"/>
      <c r="AQ446" s="556"/>
      <c r="AR446" s="556"/>
      <c r="AS446" s="565"/>
      <c r="AT446" s="556"/>
    </row>
    <row r="447" spans="1:46" hidden="1" x14ac:dyDescent="0.45">
      <c r="A447" s="556"/>
      <c r="B447" s="556"/>
      <c r="C447" s="556"/>
      <c r="D447" s="564"/>
      <c r="E447" s="556"/>
      <c r="F447" s="564"/>
      <c r="G447" s="564"/>
      <c r="H447" s="564"/>
      <c r="I447" s="564"/>
      <c r="J447" s="564"/>
      <c r="K447" s="564"/>
      <c r="L447" s="564"/>
      <c r="M447" s="564"/>
      <c r="N447" s="564"/>
      <c r="O447" s="564"/>
      <c r="P447" s="564"/>
      <c r="Q447" s="564"/>
      <c r="R447" s="564"/>
      <c r="S447" s="564"/>
      <c r="T447" s="564"/>
      <c r="U447" s="564"/>
      <c r="V447" s="564"/>
      <c r="W447" s="564"/>
      <c r="X447" s="564"/>
      <c r="Y447" s="564"/>
      <c r="Z447" s="564"/>
      <c r="AA447" s="564"/>
      <c r="AB447" s="556"/>
      <c r="AC447" s="556"/>
      <c r="AD447" s="556"/>
      <c r="AE447" s="556"/>
      <c r="AF447" s="556"/>
      <c r="AG447" s="556"/>
      <c r="AH447" s="556"/>
      <c r="AI447" s="556"/>
      <c r="AJ447" s="556"/>
      <c r="AK447" s="556"/>
      <c r="AL447" s="556"/>
      <c r="AM447" s="556"/>
      <c r="AN447" s="556"/>
      <c r="AO447" s="556"/>
      <c r="AP447" s="556"/>
      <c r="AQ447" s="556"/>
      <c r="AR447" s="556"/>
      <c r="AS447" s="565"/>
      <c r="AT447" s="556"/>
    </row>
    <row r="448" spans="1:46" hidden="1" x14ac:dyDescent="0.45">
      <c r="A448" s="556"/>
      <c r="B448" s="556"/>
      <c r="C448" s="556"/>
      <c r="D448" s="564"/>
      <c r="E448" s="556"/>
      <c r="F448" s="564"/>
      <c r="G448" s="564"/>
      <c r="H448" s="564"/>
      <c r="I448" s="564"/>
      <c r="J448" s="564"/>
      <c r="K448" s="564"/>
      <c r="L448" s="564"/>
      <c r="M448" s="564"/>
      <c r="N448" s="564"/>
      <c r="O448" s="564"/>
      <c r="P448" s="564"/>
      <c r="Q448" s="564"/>
      <c r="R448" s="564"/>
      <c r="S448" s="564"/>
      <c r="T448" s="564"/>
      <c r="U448" s="564"/>
      <c r="V448" s="564"/>
      <c r="W448" s="564"/>
      <c r="X448" s="564"/>
      <c r="Y448" s="564"/>
      <c r="Z448" s="564"/>
      <c r="AA448" s="564"/>
      <c r="AB448" s="556"/>
      <c r="AC448" s="556"/>
      <c r="AD448" s="556"/>
      <c r="AE448" s="556"/>
      <c r="AF448" s="556"/>
      <c r="AG448" s="556"/>
      <c r="AH448" s="556"/>
      <c r="AI448" s="556"/>
      <c r="AJ448" s="556"/>
      <c r="AK448" s="556"/>
      <c r="AL448" s="556"/>
      <c r="AM448" s="556"/>
      <c r="AN448" s="556"/>
      <c r="AO448" s="556"/>
      <c r="AP448" s="556"/>
      <c r="AQ448" s="556"/>
      <c r="AR448" s="556"/>
      <c r="AS448" s="565"/>
      <c r="AT448" s="556"/>
    </row>
    <row r="449" spans="1:46" hidden="1" x14ac:dyDescent="0.45">
      <c r="A449" s="556"/>
      <c r="B449" s="556"/>
      <c r="C449" s="556"/>
      <c r="D449" s="564"/>
      <c r="E449" s="556"/>
      <c r="F449" s="564"/>
      <c r="G449" s="564"/>
      <c r="H449" s="564"/>
      <c r="I449" s="564"/>
      <c r="J449" s="564"/>
      <c r="K449" s="564"/>
      <c r="L449" s="564"/>
      <c r="M449" s="564"/>
      <c r="N449" s="564"/>
      <c r="O449" s="564"/>
      <c r="P449" s="564"/>
      <c r="Q449" s="564"/>
      <c r="R449" s="564"/>
      <c r="S449" s="564"/>
      <c r="T449" s="564"/>
      <c r="U449" s="564"/>
      <c r="V449" s="564"/>
      <c r="W449" s="564"/>
      <c r="X449" s="564"/>
      <c r="Y449" s="564"/>
      <c r="Z449" s="564"/>
      <c r="AA449" s="564"/>
      <c r="AB449" s="556"/>
      <c r="AC449" s="556"/>
      <c r="AD449" s="556"/>
      <c r="AE449" s="556"/>
      <c r="AF449" s="556"/>
      <c r="AG449" s="556"/>
      <c r="AH449" s="556"/>
      <c r="AI449" s="556"/>
      <c r="AJ449" s="556"/>
      <c r="AK449" s="556"/>
      <c r="AL449" s="556"/>
      <c r="AM449" s="556"/>
      <c r="AN449" s="556"/>
      <c r="AO449" s="556"/>
      <c r="AP449" s="556"/>
      <c r="AQ449" s="556"/>
      <c r="AR449" s="556"/>
      <c r="AS449" s="565"/>
      <c r="AT449" s="556"/>
    </row>
    <row r="450" spans="1:46" hidden="1" x14ac:dyDescent="0.45">
      <c r="A450" s="556"/>
      <c r="B450" s="556"/>
      <c r="C450" s="556"/>
      <c r="D450" s="564"/>
      <c r="E450" s="556"/>
      <c r="F450" s="564"/>
      <c r="G450" s="564"/>
      <c r="H450" s="564"/>
      <c r="I450" s="564"/>
      <c r="J450" s="564"/>
      <c r="K450" s="564"/>
      <c r="L450" s="564"/>
      <c r="M450" s="564"/>
      <c r="N450" s="564"/>
      <c r="O450" s="564"/>
      <c r="P450" s="564"/>
      <c r="Q450" s="564"/>
      <c r="R450" s="564"/>
      <c r="S450" s="564"/>
      <c r="T450" s="564"/>
      <c r="U450" s="564"/>
      <c r="V450" s="564"/>
      <c r="W450" s="564"/>
      <c r="X450" s="564"/>
      <c r="Y450" s="564"/>
      <c r="Z450" s="564"/>
      <c r="AA450" s="564"/>
      <c r="AB450" s="556"/>
      <c r="AC450" s="556"/>
      <c r="AD450" s="556"/>
      <c r="AE450" s="556"/>
      <c r="AF450" s="556"/>
      <c r="AG450" s="556"/>
      <c r="AH450" s="556"/>
      <c r="AI450" s="556"/>
      <c r="AJ450" s="556"/>
      <c r="AK450" s="556"/>
      <c r="AL450" s="556"/>
      <c r="AM450" s="556"/>
      <c r="AN450" s="556"/>
      <c r="AO450" s="556"/>
      <c r="AP450" s="556"/>
      <c r="AQ450" s="556"/>
      <c r="AR450" s="556"/>
      <c r="AS450" s="565"/>
      <c r="AT450" s="556"/>
    </row>
    <row r="451" spans="1:46" hidden="1" x14ac:dyDescent="0.45">
      <c r="A451" s="556"/>
      <c r="B451" s="556"/>
      <c r="C451" s="556"/>
      <c r="D451" s="564"/>
      <c r="E451" s="556"/>
      <c r="F451" s="564"/>
      <c r="G451" s="564"/>
      <c r="H451" s="564"/>
      <c r="I451" s="564"/>
      <c r="J451" s="564"/>
      <c r="K451" s="564"/>
      <c r="L451" s="564"/>
      <c r="M451" s="564"/>
      <c r="N451" s="564"/>
      <c r="O451" s="564"/>
      <c r="P451" s="564"/>
      <c r="Q451" s="564"/>
      <c r="R451" s="564"/>
      <c r="S451" s="564"/>
      <c r="T451" s="564"/>
      <c r="U451" s="564"/>
      <c r="V451" s="564"/>
      <c r="W451" s="564"/>
      <c r="X451" s="564"/>
      <c r="Y451" s="564"/>
      <c r="Z451" s="564"/>
      <c r="AA451" s="564"/>
      <c r="AB451" s="556"/>
      <c r="AC451" s="556"/>
      <c r="AD451" s="556"/>
      <c r="AE451" s="556"/>
      <c r="AF451" s="556"/>
      <c r="AG451" s="556"/>
      <c r="AH451" s="556"/>
      <c r="AI451" s="556"/>
      <c r="AJ451" s="556"/>
      <c r="AK451" s="556"/>
      <c r="AL451" s="556"/>
      <c r="AM451" s="556"/>
      <c r="AN451" s="556"/>
      <c r="AO451" s="556"/>
      <c r="AP451" s="556"/>
      <c r="AQ451" s="556"/>
      <c r="AR451" s="556"/>
      <c r="AS451" s="565"/>
      <c r="AT451" s="556"/>
    </row>
    <row r="452" spans="1:46" hidden="1" x14ac:dyDescent="0.45">
      <c r="A452" s="556"/>
      <c r="B452" s="556"/>
      <c r="C452" s="556"/>
      <c r="D452" s="564"/>
      <c r="E452" s="556"/>
      <c r="F452" s="564"/>
      <c r="G452" s="564"/>
      <c r="H452" s="564"/>
      <c r="I452" s="564"/>
      <c r="J452" s="564"/>
      <c r="K452" s="564"/>
      <c r="L452" s="564"/>
      <c r="M452" s="564"/>
      <c r="N452" s="564"/>
      <c r="O452" s="564"/>
      <c r="P452" s="564"/>
      <c r="Q452" s="564"/>
      <c r="R452" s="564"/>
      <c r="S452" s="564"/>
      <c r="T452" s="564"/>
      <c r="U452" s="564"/>
      <c r="V452" s="564"/>
      <c r="W452" s="564"/>
      <c r="X452" s="564"/>
      <c r="Y452" s="564"/>
      <c r="Z452" s="564"/>
      <c r="AA452" s="564"/>
      <c r="AB452" s="556"/>
      <c r="AC452" s="556"/>
      <c r="AD452" s="556"/>
      <c r="AE452" s="556"/>
      <c r="AF452" s="556"/>
      <c r="AG452" s="556"/>
      <c r="AH452" s="556"/>
      <c r="AI452" s="556"/>
      <c r="AJ452" s="556"/>
      <c r="AK452" s="556"/>
      <c r="AL452" s="556"/>
      <c r="AM452" s="556"/>
      <c r="AN452" s="556"/>
      <c r="AO452" s="556"/>
      <c r="AP452" s="556"/>
      <c r="AQ452" s="556"/>
      <c r="AR452" s="556"/>
      <c r="AS452" s="565"/>
      <c r="AT452" s="556"/>
    </row>
    <row r="453" spans="1:46" hidden="1" x14ac:dyDescent="0.45">
      <c r="A453" s="556"/>
      <c r="B453" s="556"/>
      <c r="C453" s="556"/>
      <c r="D453" s="564"/>
      <c r="E453" s="556"/>
      <c r="F453" s="564"/>
      <c r="G453" s="564"/>
      <c r="H453" s="564"/>
      <c r="I453" s="564"/>
      <c r="J453" s="564"/>
      <c r="K453" s="564"/>
      <c r="L453" s="564"/>
      <c r="M453" s="564"/>
      <c r="N453" s="564"/>
      <c r="O453" s="564"/>
      <c r="P453" s="564"/>
      <c r="Q453" s="564"/>
      <c r="R453" s="564"/>
      <c r="S453" s="564"/>
      <c r="T453" s="564"/>
      <c r="U453" s="564"/>
      <c r="V453" s="564"/>
      <c r="W453" s="564"/>
      <c r="X453" s="564"/>
      <c r="Y453" s="564"/>
      <c r="Z453" s="564"/>
      <c r="AA453" s="564"/>
      <c r="AB453" s="556"/>
      <c r="AC453" s="556"/>
      <c r="AD453" s="556"/>
      <c r="AE453" s="556"/>
      <c r="AF453" s="556"/>
      <c r="AG453" s="556"/>
      <c r="AH453" s="556"/>
      <c r="AI453" s="556"/>
      <c r="AJ453" s="556"/>
      <c r="AK453" s="556"/>
      <c r="AL453" s="556"/>
      <c r="AM453" s="556"/>
      <c r="AN453" s="556"/>
      <c r="AO453" s="556"/>
      <c r="AP453" s="556"/>
      <c r="AQ453" s="556"/>
      <c r="AR453" s="556"/>
      <c r="AS453" s="565"/>
      <c r="AT453" s="556"/>
    </row>
    <row r="454" spans="1:46" hidden="1" x14ac:dyDescent="0.45">
      <c r="A454" s="556"/>
      <c r="B454" s="556"/>
      <c r="C454" s="556"/>
      <c r="D454" s="564"/>
      <c r="E454" s="556"/>
      <c r="F454" s="564"/>
      <c r="G454" s="564"/>
      <c r="H454" s="564"/>
      <c r="I454" s="564"/>
      <c r="J454" s="564"/>
      <c r="K454" s="564"/>
      <c r="L454" s="564"/>
      <c r="M454" s="564"/>
      <c r="N454" s="564"/>
      <c r="O454" s="564"/>
      <c r="P454" s="564"/>
      <c r="Q454" s="564"/>
      <c r="R454" s="564"/>
      <c r="S454" s="564"/>
      <c r="T454" s="564"/>
      <c r="U454" s="564"/>
      <c r="V454" s="564"/>
      <c r="W454" s="564"/>
      <c r="X454" s="564"/>
      <c r="Y454" s="564"/>
      <c r="Z454" s="564"/>
      <c r="AA454" s="564"/>
      <c r="AB454" s="556"/>
      <c r="AC454" s="556"/>
      <c r="AD454" s="556"/>
      <c r="AE454" s="556"/>
      <c r="AF454" s="556"/>
      <c r="AG454" s="556"/>
      <c r="AH454" s="556"/>
      <c r="AI454" s="556"/>
      <c r="AJ454" s="556"/>
      <c r="AK454" s="556"/>
      <c r="AL454" s="556"/>
      <c r="AM454" s="556"/>
      <c r="AN454" s="556"/>
      <c r="AO454" s="556"/>
      <c r="AP454" s="556"/>
      <c r="AQ454" s="556"/>
      <c r="AR454" s="556"/>
      <c r="AS454" s="565"/>
      <c r="AT454" s="556"/>
    </row>
    <row r="455" spans="1:46" hidden="1" x14ac:dyDescent="0.45">
      <c r="A455" s="556"/>
      <c r="B455" s="556"/>
      <c r="C455" s="556"/>
      <c r="D455" s="564"/>
      <c r="E455" s="556"/>
      <c r="F455" s="564"/>
      <c r="G455" s="564"/>
      <c r="H455" s="564"/>
      <c r="I455" s="564"/>
      <c r="J455" s="564"/>
      <c r="K455" s="564"/>
      <c r="L455" s="564"/>
      <c r="M455" s="564"/>
      <c r="N455" s="564"/>
      <c r="O455" s="564"/>
      <c r="P455" s="564"/>
      <c r="Q455" s="564"/>
      <c r="R455" s="564"/>
      <c r="S455" s="564"/>
      <c r="T455" s="564"/>
      <c r="U455" s="564"/>
      <c r="V455" s="564"/>
      <c r="W455" s="564"/>
      <c r="X455" s="564"/>
      <c r="Y455" s="564"/>
      <c r="Z455" s="564"/>
      <c r="AA455" s="564"/>
      <c r="AB455" s="556"/>
      <c r="AC455" s="556"/>
      <c r="AD455" s="556"/>
      <c r="AE455" s="556"/>
      <c r="AF455" s="556"/>
      <c r="AG455" s="556"/>
      <c r="AH455" s="556"/>
      <c r="AI455" s="556"/>
      <c r="AJ455" s="556"/>
      <c r="AK455" s="556"/>
      <c r="AL455" s="556"/>
      <c r="AM455" s="556"/>
      <c r="AN455" s="556"/>
      <c r="AO455" s="556"/>
      <c r="AP455" s="556"/>
      <c r="AQ455" s="556"/>
      <c r="AR455" s="556"/>
      <c r="AS455" s="565"/>
      <c r="AT455" s="556"/>
    </row>
    <row r="456" spans="1:46" hidden="1" x14ac:dyDescent="0.45">
      <c r="A456" s="556"/>
      <c r="B456" s="556"/>
      <c r="C456" s="556"/>
      <c r="D456" s="564"/>
      <c r="E456" s="556"/>
      <c r="F456" s="564"/>
      <c r="G456" s="564"/>
      <c r="H456" s="564"/>
      <c r="I456" s="564"/>
      <c r="J456" s="564"/>
      <c r="K456" s="564"/>
      <c r="L456" s="564"/>
      <c r="M456" s="564"/>
      <c r="N456" s="564"/>
      <c r="O456" s="564"/>
      <c r="P456" s="564"/>
      <c r="Q456" s="564"/>
      <c r="R456" s="564"/>
      <c r="S456" s="564"/>
      <c r="T456" s="564"/>
      <c r="U456" s="564"/>
      <c r="V456" s="564"/>
      <c r="W456" s="564"/>
      <c r="X456" s="564"/>
      <c r="Y456" s="564"/>
      <c r="Z456" s="564"/>
      <c r="AA456" s="564"/>
      <c r="AB456" s="556"/>
      <c r="AC456" s="556"/>
      <c r="AD456" s="556"/>
      <c r="AE456" s="556"/>
      <c r="AF456" s="556"/>
      <c r="AG456" s="556"/>
      <c r="AH456" s="556"/>
      <c r="AI456" s="556"/>
      <c r="AJ456" s="556"/>
      <c r="AK456" s="556"/>
      <c r="AL456" s="556"/>
      <c r="AM456" s="556"/>
      <c r="AN456" s="556"/>
      <c r="AO456" s="556"/>
      <c r="AP456" s="556"/>
      <c r="AQ456" s="556"/>
      <c r="AR456" s="556"/>
      <c r="AS456" s="565"/>
      <c r="AT456" s="556"/>
    </row>
    <row r="457" spans="1:46" hidden="1" x14ac:dyDescent="0.45">
      <c r="A457" s="556"/>
      <c r="B457" s="556"/>
      <c r="C457" s="556"/>
      <c r="D457" s="564"/>
      <c r="E457" s="556"/>
      <c r="F457" s="564"/>
      <c r="G457" s="564"/>
      <c r="H457" s="564"/>
      <c r="I457" s="564"/>
      <c r="J457" s="564"/>
      <c r="K457" s="564"/>
      <c r="L457" s="564"/>
      <c r="M457" s="564"/>
      <c r="N457" s="564"/>
      <c r="O457" s="564"/>
      <c r="P457" s="564"/>
      <c r="Q457" s="564"/>
      <c r="R457" s="564"/>
      <c r="S457" s="564"/>
      <c r="T457" s="564"/>
      <c r="U457" s="564"/>
      <c r="V457" s="564"/>
      <c r="W457" s="564"/>
      <c r="X457" s="564"/>
      <c r="Y457" s="564"/>
      <c r="Z457" s="564"/>
      <c r="AA457" s="564"/>
      <c r="AB457" s="556"/>
      <c r="AC457" s="556"/>
      <c r="AD457" s="556"/>
      <c r="AE457" s="556"/>
      <c r="AF457" s="556"/>
      <c r="AG457" s="556"/>
      <c r="AH457" s="556"/>
      <c r="AI457" s="556"/>
      <c r="AJ457" s="556"/>
      <c r="AK457" s="556"/>
      <c r="AL457" s="556"/>
      <c r="AM457" s="556"/>
      <c r="AN457" s="556"/>
      <c r="AO457" s="556"/>
      <c r="AP457" s="556"/>
      <c r="AQ457" s="556"/>
      <c r="AR457" s="556"/>
      <c r="AS457" s="565"/>
      <c r="AT457" s="556"/>
    </row>
    <row r="458" spans="1:46" hidden="1" x14ac:dyDescent="0.45">
      <c r="A458" s="556"/>
      <c r="B458" s="556"/>
      <c r="C458" s="556"/>
      <c r="D458" s="564"/>
      <c r="E458" s="556"/>
      <c r="F458" s="564"/>
      <c r="G458" s="564"/>
      <c r="H458" s="564"/>
      <c r="I458" s="564"/>
      <c r="J458" s="564"/>
      <c r="K458" s="564"/>
      <c r="L458" s="564"/>
      <c r="M458" s="564"/>
      <c r="N458" s="564"/>
      <c r="O458" s="564"/>
      <c r="P458" s="564"/>
      <c r="Q458" s="564"/>
      <c r="R458" s="564"/>
      <c r="S458" s="564"/>
      <c r="T458" s="564"/>
      <c r="U458" s="564"/>
      <c r="V458" s="564"/>
      <c r="W458" s="564"/>
      <c r="X458" s="564"/>
      <c r="Y458" s="564"/>
      <c r="Z458" s="564"/>
      <c r="AA458" s="564"/>
      <c r="AB458" s="556"/>
      <c r="AC458" s="556"/>
      <c r="AD458" s="556"/>
      <c r="AE458" s="556"/>
      <c r="AF458" s="556"/>
      <c r="AG458" s="556"/>
      <c r="AH458" s="556"/>
      <c r="AI458" s="556"/>
      <c r="AJ458" s="556"/>
      <c r="AK458" s="556"/>
      <c r="AL458" s="556"/>
      <c r="AM458" s="556"/>
      <c r="AN458" s="556"/>
      <c r="AO458" s="556"/>
      <c r="AP458" s="556"/>
      <c r="AQ458" s="556"/>
      <c r="AR458" s="556"/>
      <c r="AS458" s="565"/>
      <c r="AT458" s="556"/>
    </row>
    <row r="459" spans="1:46" hidden="1" x14ac:dyDescent="0.45">
      <c r="A459" s="556"/>
      <c r="B459" s="556"/>
      <c r="C459" s="556"/>
      <c r="D459" s="564"/>
      <c r="E459" s="556"/>
      <c r="F459" s="564"/>
      <c r="G459" s="564"/>
      <c r="H459" s="564"/>
      <c r="I459" s="564"/>
      <c r="J459" s="564"/>
      <c r="K459" s="564"/>
      <c r="L459" s="564"/>
      <c r="M459" s="564"/>
      <c r="N459" s="564"/>
      <c r="O459" s="564"/>
      <c r="P459" s="564"/>
      <c r="Q459" s="564"/>
      <c r="R459" s="564"/>
      <c r="S459" s="564"/>
      <c r="T459" s="564"/>
      <c r="U459" s="564"/>
      <c r="V459" s="564"/>
      <c r="W459" s="564"/>
      <c r="X459" s="564"/>
      <c r="Y459" s="564"/>
      <c r="Z459" s="564"/>
      <c r="AA459" s="564"/>
      <c r="AB459" s="556"/>
      <c r="AC459" s="556"/>
      <c r="AD459" s="556"/>
      <c r="AE459" s="556"/>
      <c r="AF459" s="556"/>
      <c r="AG459" s="556"/>
      <c r="AH459" s="556"/>
      <c r="AI459" s="556"/>
      <c r="AJ459" s="556"/>
      <c r="AK459" s="556"/>
      <c r="AL459" s="556"/>
      <c r="AM459" s="556"/>
      <c r="AN459" s="556"/>
      <c r="AO459" s="556"/>
      <c r="AP459" s="556"/>
      <c r="AQ459" s="556"/>
      <c r="AR459" s="556"/>
      <c r="AS459" s="565"/>
      <c r="AT459" s="556"/>
    </row>
    <row r="460" spans="1:46" hidden="1" x14ac:dyDescent="0.45">
      <c r="A460" s="556"/>
      <c r="B460" s="556"/>
      <c r="C460" s="556"/>
      <c r="D460" s="564"/>
      <c r="E460" s="556"/>
      <c r="F460" s="564"/>
      <c r="G460" s="564"/>
      <c r="H460" s="564"/>
      <c r="I460" s="564"/>
      <c r="J460" s="564"/>
      <c r="K460" s="564"/>
      <c r="L460" s="564"/>
      <c r="M460" s="564"/>
      <c r="N460" s="564"/>
      <c r="O460" s="564"/>
      <c r="P460" s="564"/>
      <c r="Q460" s="564"/>
      <c r="R460" s="564"/>
      <c r="S460" s="564"/>
      <c r="T460" s="564"/>
      <c r="U460" s="564"/>
      <c r="V460" s="564"/>
      <c r="W460" s="564"/>
      <c r="X460" s="564"/>
      <c r="Y460" s="564"/>
      <c r="Z460" s="564"/>
      <c r="AA460" s="564"/>
      <c r="AB460" s="556"/>
      <c r="AC460" s="556"/>
      <c r="AD460" s="556"/>
      <c r="AE460" s="556"/>
      <c r="AF460" s="556"/>
      <c r="AG460" s="556"/>
      <c r="AH460" s="556"/>
      <c r="AI460" s="556"/>
      <c r="AJ460" s="556"/>
      <c r="AK460" s="556"/>
      <c r="AL460" s="556"/>
      <c r="AM460" s="556"/>
      <c r="AN460" s="556"/>
      <c r="AO460" s="556"/>
      <c r="AP460" s="556"/>
      <c r="AQ460" s="556"/>
      <c r="AR460" s="556"/>
      <c r="AS460" s="565"/>
      <c r="AT460" s="556"/>
    </row>
    <row r="461" spans="1:46" hidden="1" x14ac:dyDescent="0.45">
      <c r="A461" s="556"/>
      <c r="B461" s="556"/>
      <c r="C461" s="556"/>
      <c r="D461" s="564"/>
      <c r="E461" s="556"/>
      <c r="F461" s="564"/>
      <c r="G461" s="564"/>
      <c r="H461" s="564"/>
      <c r="I461" s="564"/>
      <c r="J461" s="564"/>
      <c r="K461" s="564"/>
      <c r="L461" s="564"/>
      <c r="M461" s="564"/>
      <c r="N461" s="564"/>
      <c r="O461" s="564"/>
      <c r="P461" s="564"/>
      <c r="Q461" s="564"/>
      <c r="R461" s="564"/>
      <c r="S461" s="564"/>
      <c r="T461" s="564"/>
      <c r="U461" s="564"/>
      <c r="V461" s="564"/>
      <c r="W461" s="564"/>
      <c r="X461" s="564"/>
      <c r="Y461" s="564"/>
      <c r="Z461" s="564"/>
      <c r="AA461" s="564"/>
      <c r="AB461" s="556"/>
      <c r="AC461" s="556"/>
      <c r="AD461" s="556"/>
      <c r="AE461" s="556"/>
      <c r="AF461" s="556"/>
      <c r="AG461" s="556"/>
      <c r="AH461" s="556"/>
      <c r="AI461" s="556"/>
      <c r="AJ461" s="556"/>
      <c r="AK461" s="556"/>
      <c r="AL461" s="556"/>
      <c r="AM461" s="556"/>
      <c r="AN461" s="556"/>
      <c r="AO461" s="556"/>
      <c r="AP461" s="556"/>
      <c r="AQ461" s="556"/>
      <c r="AR461" s="556"/>
      <c r="AS461" s="565"/>
      <c r="AT461" s="556"/>
    </row>
    <row r="462" spans="1:46" hidden="1" x14ac:dyDescent="0.45">
      <c r="A462" s="556"/>
      <c r="B462" s="556"/>
      <c r="C462" s="556"/>
      <c r="D462" s="564"/>
      <c r="E462" s="556"/>
      <c r="F462" s="564"/>
      <c r="G462" s="564"/>
      <c r="H462" s="564"/>
      <c r="I462" s="564"/>
      <c r="J462" s="564"/>
      <c r="K462" s="564"/>
      <c r="L462" s="564"/>
      <c r="M462" s="564"/>
      <c r="N462" s="564"/>
      <c r="O462" s="564"/>
      <c r="P462" s="564"/>
      <c r="Q462" s="564"/>
      <c r="R462" s="564"/>
      <c r="S462" s="564"/>
      <c r="T462" s="564"/>
      <c r="U462" s="564"/>
      <c r="V462" s="564"/>
      <c r="W462" s="564"/>
      <c r="X462" s="564"/>
      <c r="Y462" s="564"/>
      <c r="Z462" s="564"/>
      <c r="AA462" s="564"/>
      <c r="AB462" s="556"/>
      <c r="AC462" s="556"/>
      <c r="AD462" s="556"/>
      <c r="AE462" s="556"/>
      <c r="AF462" s="556"/>
      <c r="AG462" s="556"/>
      <c r="AH462" s="556"/>
      <c r="AI462" s="556"/>
      <c r="AJ462" s="556"/>
      <c r="AK462" s="556"/>
      <c r="AL462" s="556"/>
      <c r="AM462" s="556"/>
      <c r="AN462" s="556"/>
      <c r="AO462" s="556"/>
      <c r="AP462" s="556"/>
      <c r="AQ462" s="556"/>
      <c r="AR462" s="556"/>
      <c r="AS462" s="565"/>
      <c r="AT462" s="556"/>
    </row>
    <row r="463" spans="1:46" hidden="1" x14ac:dyDescent="0.45">
      <c r="A463" s="556"/>
      <c r="B463" s="556"/>
      <c r="C463" s="556"/>
      <c r="D463" s="564"/>
      <c r="E463" s="556"/>
      <c r="F463" s="564"/>
      <c r="G463" s="564"/>
      <c r="H463" s="564"/>
      <c r="I463" s="564"/>
      <c r="J463" s="564"/>
      <c r="K463" s="564"/>
      <c r="L463" s="564"/>
      <c r="M463" s="564"/>
      <c r="N463" s="564"/>
      <c r="O463" s="564"/>
      <c r="P463" s="564"/>
      <c r="Q463" s="564"/>
      <c r="R463" s="564"/>
      <c r="S463" s="564"/>
      <c r="T463" s="564"/>
      <c r="U463" s="564"/>
      <c r="V463" s="564"/>
      <c r="W463" s="564"/>
      <c r="X463" s="564"/>
      <c r="Y463" s="564"/>
      <c r="Z463" s="564"/>
      <c r="AA463" s="564"/>
      <c r="AB463" s="556"/>
      <c r="AC463" s="556"/>
      <c r="AD463" s="556"/>
      <c r="AE463" s="556"/>
      <c r="AF463" s="556"/>
      <c r="AG463" s="556"/>
      <c r="AH463" s="556"/>
      <c r="AI463" s="556"/>
      <c r="AJ463" s="556"/>
      <c r="AK463" s="556"/>
      <c r="AL463" s="556"/>
      <c r="AM463" s="556"/>
      <c r="AN463" s="556"/>
      <c r="AO463" s="556"/>
      <c r="AP463" s="556"/>
      <c r="AQ463" s="556"/>
      <c r="AR463" s="556"/>
      <c r="AS463" s="565"/>
      <c r="AT463" s="556"/>
    </row>
    <row r="464" spans="1:46" hidden="1" x14ac:dyDescent="0.45">
      <c r="A464" s="556"/>
      <c r="B464" s="556"/>
      <c r="C464" s="556"/>
      <c r="D464" s="564"/>
      <c r="E464" s="556"/>
      <c r="F464" s="564"/>
      <c r="G464" s="564"/>
      <c r="H464" s="564"/>
      <c r="I464" s="564"/>
      <c r="J464" s="564"/>
      <c r="K464" s="564"/>
      <c r="L464" s="564"/>
      <c r="M464" s="564"/>
      <c r="N464" s="564"/>
      <c r="O464" s="564"/>
      <c r="P464" s="564"/>
      <c r="Q464" s="564"/>
      <c r="R464" s="564"/>
      <c r="S464" s="564"/>
      <c r="T464" s="564"/>
      <c r="U464" s="564"/>
      <c r="V464" s="564"/>
      <c r="W464" s="564"/>
      <c r="X464" s="564"/>
      <c r="Y464" s="564"/>
      <c r="Z464" s="564"/>
      <c r="AA464" s="564"/>
      <c r="AB464" s="556"/>
      <c r="AC464" s="556"/>
      <c r="AD464" s="556"/>
      <c r="AE464" s="556"/>
      <c r="AF464" s="556"/>
      <c r="AG464" s="556"/>
      <c r="AH464" s="556"/>
      <c r="AI464" s="556"/>
      <c r="AJ464" s="556"/>
      <c r="AK464" s="556"/>
      <c r="AL464" s="556"/>
      <c r="AM464" s="556"/>
      <c r="AN464" s="556"/>
      <c r="AO464" s="556"/>
      <c r="AP464" s="556"/>
      <c r="AQ464" s="556"/>
      <c r="AR464" s="556"/>
      <c r="AS464" s="565"/>
      <c r="AT464" s="556"/>
    </row>
    <row r="465" spans="1:48" hidden="1" x14ac:dyDescent="0.45">
      <c r="A465" s="556"/>
      <c r="B465" s="556"/>
      <c r="C465" s="556"/>
      <c r="D465" s="564"/>
      <c r="E465" s="556"/>
      <c r="F465" s="564"/>
      <c r="G465" s="564"/>
      <c r="H465" s="564"/>
      <c r="I465" s="564"/>
      <c r="J465" s="564"/>
      <c r="K465" s="564"/>
      <c r="L465" s="564"/>
      <c r="M465" s="564"/>
      <c r="N465" s="564"/>
      <c r="O465" s="564"/>
      <c r="P465" s="564"/>
      <c r="Q465" s="564"/>
      <c r="R465" s="564"/>
      <c r="S465" s="564"/>
      <c r="T465" s="564"/>
      <c r="U465" s="564"/>
      <c r="V465" s="564"/>
      <c r="W465" s="564"/>
      <c r="X465" s="564"/>
      <c r="Y465" s="564"/>
      <c r="Z465" s="564"/>
      <c r="AA465" s="564"/>
      <c r="AB465" s="556"/>
      <c r="AC465" s="556"/>
      <c r="AD465" s="556"/>
      <c r="AE465" s="556"/>
      <c r="AF465" s="556"/>
      <c r="AG465" s="556"/>
      <c r="AH465" s="556"/>
      <c r="AI465" s="556"/>
      <c r="AJ465" s="556"/>
      <c r="AK465" s="556"/>
      <c r="AL465" s="556"/>
      <c r="AM465" s="556"/>
      <c r="AN465" s="556"/>
      <c r="AO465" s="556"/>
      <c r="AP465" s="556"/>
      <c r="AQ465" s="556"/>
      <c r="AR465" s="556"/>
      <c r="AS465" s="565"/>
      <c r="AT465" s="556"/>
    </row>
    <row r="466" spans="1:48" hidden="1" x14ac:dyDescent="0.45">
      <c r="A466" s="556"/>
      <c r="B466" s="556"/>
      <c r="C466" s="556"/>
      <c r="D466" s="564"/>
      <c r="E466" s="556"/>
      <c r="F466" s="564"/>
      <c r="G466" s="564"/>
      <c r="H466" s="564"/>
      <c r="I466" s="564"/>
      <c r="J466" s="564"/>
      <c r="K466" s="564"/>
      <c r="L466" s="564"/>
      <c r="M466" s="564"/>
      <c r="N466" s="564"/>
      <c r="O466" s="564"/>
      <c r="P466" s="564"/>
      <c r="Q466" s="564"/>
      <c r="R466" s="564"/>
      <c r="S466" s="564"/>
      <c r="T466" s="564"/>
      <c r="U466" s="564"/>
      <c r="V466" s="564"/>
      <c r="W466" s="564"/>
      <c r="X466" s="564"/>
      <c r="Y466" s="564"/>
      <c r="Z466" s="564"/>
      <c r="AA466" s="564"/>
      <c r="AB466" s="556"/>
      <c r="AC466" s="556"/>
      <c r="AD466" s="556"/>
      <c r="AE466" s="556"/>
      <c r="AF466" s="556"/>
      <c r="AG466" s="556"/>
      <c r="AH466" s="556"/>
      <c r="AI466" s="556"/>
      <c r="AJ466" s="556"/>
      <c r="AK466" s="556"/>
      <c r="AL466" s="556"/>
      <c r="AM466" s="556"/>
      <c r="AN466" s="556"/>
      <c r="AO466" s="556"/>
      <c r="AP466" s="556"/>
      <c r="AQ466" s="556"/>
      <c r="AR466" s="556"/>
      <c r="AS466" s="565"/>
      <c r="AT466" s="556"/>
    </row>
    <row r="467" spans="1:48" hidden="1" x14ac:dyDescent="0.45">
      <c r="A467" s="556"/>
      <c r="B467" s="556"/>
      <c r="C467" s="556"/>
      <c r="D467" s="564"/>
      <c r="E467" s="556"/>
      <c r="F467" s="564"/>
      <c r="G467" s="564"/>
      <c r="H467" s="564"/>
      <c r="I467" s="564"/>
      <c r="J467" s="564"/>
      <c r="K467" s="564"/>
      <c r="L467" s="564"/>
      <c r="M467" s="564"/>
      <c r="N467" s="564"/>
      <c r="O467" s="564"/>
      <c r="P467" s="564"/>
      <c r="Q467" s="564"/>
      <c r="R467" s="564"/>
      <c r="S467" s="564"/>
      <c r="T467" s="564"/>
      <c r="U467" s="564"/>
      <c r="V467" s="564"/>
      <c r="W467" s="564"/>
      <c r="X467" s="564"/>
      <c r="Y467" s="564"/>
      <c r="Z467" s="564"/>
      <c r="AA467" s="564"/>
      <c r="AB467" s="556"/>
      <c r="AC467" s="556"/>
      <c r="AD467" s="556"/>
      <c r="AE467" s="556"/>
      <c r="AF467" s="556"/>
      <c r="AG467" s="556"/>
      <c r="AH467" s="556"/>
      <c r="AI467" s="556"/>
      <c r="AJ467" s="556"/>
      <c r="AK467" s="556"/>
      <c r="AL467" s="556"/>
      <c r="AM467" s="556"/>
      <c r="AN467" s="556"/>
      <c r="AO467" s="556"/>
      <c r="AP467" s="556"/>
      <c r="AQ467" s="556"/>
      <c r="AR467" s="556"/>
      <c r="AS467" s="565"/>
      <c r="AT467" s="556"/>
    </row>
    <row r="468" spans="1:48" hidden="1" x14ac:dyDescent="0.45">
      <c r="A468" s="556"/>
      <c r="B468" s="556"/>
      <c r="C468" s="556"/>
      <c r="D468" s="564"/>
      <c r="E468" s="556"/>
      <c r="F468" s="564"/>
      <c r="G468" s="564"/>
      <c r="H468" s="564"/>
      <c r="I468" s="564"/>
      <c r="J468" s="564"/>
      <c r="K468" s="564"/>
      <c r="L468" s="564"/>
      <c r="M468" s="564"/>
      <c r="N468" s="564"/>
      <c r="O468" s="564"/>
      <c r="P468" s="564"/>
      <c r="Q468" s="564"/>
      <c r="R468" s="564"/>
      <c r="S468" s="564"/>
      <c r="T468" s="564"/>
      <c r="U468" s="564"/>
      <c r="V468" s="564"/>
      <c r="W468" s="564"/>
      <c r="X468" s="564"/>
      <c r="Y468" s="564"/>
      <c r="Z468" s="564"/>
      <c r="AA468" s="564"/>
      <c r="AB468" s="556"/>
      <c r="AC468" s="556"/>
      <c r="AD468" s="556"/>
      <c r="AE468" s="556"/>
      <c r="AF468" s="556"/>
      <c r="AG468" s="556"/>
      <c r="AH468" s="556"/>
      <c r="AI468" s="556"/>
      <c r="AJ468" s="556"/>
      <c r="AK468" s="556"/>
      <c r="AL468" s="556"/>
      <c r="AM468" s="556"/>
      <c r="AN468" s="556"/>
      <c r="AO468" s="556"/>
      <c r="AP468" s="556"/>
      <c r="AQ468" s="556"/>
      <c r="AR468" s="556"/>
      <c r="AS468" s="565"/>
      <c r="AT468" s="556"/>
    </row>
    <row r="469" spans="1:48" hidden="1" x14ac:dyDescent="0.45">
      <c r="A469" s="556"/>
      <c r="B469" s="556"/>
      <c r="C469" s="556"/>
      <c r="D469" s="564"/>
      <c r="E469" s="556"/>
      <c r="F469" s="564"/>
      <c r="G469" s="564"/>
      <c r="H469" s="564"/>
      <c r="I469" s="564"/>
      <c r="J469" s="564"/>
      <c r="K469" s="564"/>
      <c r="L469" s="564"/>
      <c r="M469" s="564"/>
      <c r="N469" s="564"/>
      <c r="O469" s="564"/>
      <c r="P469" s="564"/>
      <c r="Q469" s="564"/>
      <c r="R469" s="564"/>
      <c r="S469" s="564"/>
      <c r="T469" s="564"/>
      <c r="U469" s="564"/>
      <c r="V469" s="564"/>
      <c r="W469" s="564"/>
      <c r="X469" s="564"/>
      <c r="Y469" s="564"/>
      <c r="Z469" s="564"/>
      <c r="AA469" s="564"/>
      <c r="AB469" s="556"/>
      <c r="AC469" s="556"/>
      <c r="AD469" s="556"/>
      <c r="AE469" s="556"/>
      <c r="AF469" s="556"/>
      <c r="AG469" s="556"/>
      <c r="AH469" s="556"/>
      <c r="AI469" s="556"/>
      <c r="AJ469" s="556"/>
      <c r="AK469" s="556"/>
      <c r="AL469" s="556"/>
      <c r="AM469" s="556"/>
      <c r="AN469" s="556"/>
      <c r="AO469" s="556"/>
      <c r="AP469" s="556"/>
      <c r="AQ469" s="556"/>
      <c r="AR469" s="556"/>
      <c r="AS469" s="565"/>
      <c r="AT469" s="556"/>
    </row>
    <row r="470" spans="1:48" hidden="1" x14ac:dyDescent="0.45">
      <c r="A470" s="556"/>
      <c r="B470" s="556"/>
      <c r="C470" s="556"/>
      <c r="D470" s="564"/>
      <c r="E470" s="556"/>
      <c r="F470" s="564"/>
      <c r="G470" s="564"/>
      <c r="H470" s="564"/>
      <c r="I470" s="564"/>
      <c r="J470" s="564"/>
      <c r="K470" s="564"/>
      <c r="L470" s="564"/>
      <c r="M470" s="564"/>
      <c r="N470" s="564"/>
      <c r="O470" s="564"/>
      <c r="P470" s="564"/>
      <c r="Q470" s="564"/>
      <c r="R470" s="564"/>
      <c r="S470" s="564"/>
      <c r="T470" s="564"/>
      <c r="U470" s="564"/>
      <c r="V470" s="564"/>
      <c r="W470" s="564"/>
      <c r="X470" s="564"/>
      <c r="Y470" s="564"/>
      <c r="Z470" s="564"/>
      <c r="AA470" s="564"/>
      <c r="AB470" s="556"/>
      <c r="AC470" s="556"/>
      <c r="AD470" s="556"/>
      <c r="AE470" s="556"/>
      <c r="AF470" s="556"/>
      <c r="AG470" s="556"/>
      <c r="AH470" s="556"/>
      <c r="AI470" s="556"/>
      <c r="AJ470" s="556"/>
      <c r="AK470" s="556"/>
      <c r="AL470" s="556"/>
      <c r="AM470" s="556"/>
      <c r="AN470" s="556"/>
      <c r="AO470" s="556"/>
      <c r="AP470" s="556"/>
      <c r="AQ470" s="556"/>
      <c r="AR470" s="556"/>
      <c r="AS470" s="565"/>
      <c r="AT470" s="556"/>
    </row>
    <row r="471" spans="1:48" hidden="1" x14ac:dyDescent="0.45">
      <c r="A471" s="556"/>
      <c r="B471" s="556"/>
      <c r="C471" s="556"/>
      <c r="D471" s="564"/>
      <c r="E471" s="556"/>
      <c r="F471" s="564"/>
      <c r="G471" s="564"/>
      <c r="H471" s="564"/>
      <c r="I471" s="564"/>
      <c r="J471" s="564"/>
      <c r="K471" s="564"/>
      <c r="L471" s="564"/>
      <c r="M471" s="564"/>
      <c r="N471" s="564"/>
      <c r="O471" s="564"/>
      <c r="P471" s="564"/>
      <c r="Q471" s="564"/>
      <c r="R471" s="564"/>
      <c r="S471" s="564"/>
      <c r="T471" s="564"/>
      <c r="U471" s="564"/>
      <c r="V471" s="564"/>
      <c r="W471" s="564"/>
      <c r="X471" s="564"/>
      <c r="Y471" s="564"/>
      <c r="Z471" s="564"/>
      <c r="AA471" s="564"/>
      <c r="AB471" s="556"/>
      <c r="AC471" s="556"/>
      <c r="AD471" s="556"/>
      <c r="AE471" s="556"/>
      <c r="AF471" s="556"/>
      <c r="AG471" s="556"/>
      <c r="AH471" s="556"/>
      <c r="AI471" s="556"/>
      <c r="AJ471" s="556"/>
      <c r="AK471" s="556"/>
      <c r="AL471" s="556"/>
      <c r="AM471" s="556"/>
      <c r="AN471" s="556"/>
      <c r="AO471" s="556"/>
      <c r="AP471" s="556"/>
      <c r="AQ471" s="556"/>
      <c r="AR471" s="556"/>
      <c r="AS471" s="565"/>
      <c r="AT471" s="556"/>
    </row>
    <row r="472" spans="1:48" hidden="1" x14ac:dyDescent="0.45">
      <c r="A472" s="556"/>
      <c r="B472" s="556"/>
      <c r="C472" s="556"/>
      <c r="D472" s="564"/>
      <c r="E472" s="556"/>
      <c r="F472" s="564"/>
      <c r="G472" s="564"/>
      <c r="H472" s="564"/>
      <c r="I472" s="564"/>
      <c r="J472" s="564"/>
      <c r="K472" s="564"/>
      <c r="L472" s="564"/>
      <c r="M472" s="564"/>
      <c r="N472" s="564"/>
      <c r="O472" s="564"/>
      <c r="P472" s="564"/>
      <c r="Q472" s="564"/>
      <c r="R472" s="564"/>
      <c r="S472" s="564"/>
      <c r="T472" s="564"/>
      <c r="U472" s="564"/>
      <c r="V472" s="564"/>
      <c r="W472" s="564"/>
      <c r="X472" s="564"/>
      <c r="Y472" s="564"/>
      <c r="Z472" s="564"/>
      <c r="AA472" s="564"/>
      <c r="AB472" s="556"/>
      <c r="AC472" s="556"/>
      <c r="AD472" s="556"/>
      <c r="AE472" s="556"/>
      <c r="AF472" s="556"/>
      <c r="AG472" s="556"/>
      <c r="AH472" s="556"/>
      <c r="AI472" s="556"/>
      <c r="AJ472" s="556"/>
      <c r="AK472" s="556"/>
      <c r="AL472" s="556"/>
      <c r="AM472" s="556"/>
      <c r="AN472" s="556"/>
      <c r="AO472" s="556"/>
      <c r="AP472" s="556"/>
      <c r="AQ472" s="556"/>
      <c r="AR472" s="556"/>
      <c r="AS472" s="565"/>
      <c r="AT472" s="556"/>
      <c r="AV472" s="700"/>
    </row>
    <row r="473" spans="1:48" hidden="1" x14ac:dyDescent="0.45">
      <c r="A473" s="556"/>
      <c r="B473" s="556"/>
      <c r="C473" s="556"/>
      <c r="D473" s="564"/>
      <c r="E473" s="556"/>
      <c r="F473" s="564"/>
      <c r="G473" s="564"/>
      <c r="H473" s="564"/>
      <c r="I473" s="564"/>
      <c r="J473" s="564"/>
      <c r="K473" s="564"/>
      <c r="L473" s="564"/>
      <c r="M473" s="564"/>
      <c r="N473" s="564"/>
      <c r="O473" s="564"/>
      <c r="P473" s="564"/>
      <c r="Q473" s="564"/>
      <c r="R473" s="564"/>
      <c r="S473" s="564"/>
      <c r="T473" s="564"/>
      <c r="U473" s="564"/>
      <c r="V473" s="564"/>
      <c r="W473" s="564"/>
      <c r="X473" s="564"/>
      <c r="Y473" s="564"/>
      <c r="Z473" s="564"/>
      <c r="AA473" s="564"/>
      <c r="AB473" s="556"/>
      <c r="AC473" s="556"/>
      <c r="AD473" s="556"/>
      <c r="AE473" s="556"/>
      <c r="AF473" s="556"/>
      <c r="AG473" s="556"/>
      <c r="AH473" s="556"/>
      <c r="AI473" s="556"/>
      <c r="AJ473" s="556"/>
      <c r="AK473" s="556"/>
      <c r="AL473" s="556"/>
      <c r="AM473" s="556"/>
      <c r="AN473" s="556"/>
      <c r="AO473" s="556"/>
      <c r="AP473" s="556"/>
      <c r="AQ473" s="556"/>
      <c r="AR473" s="556"/>
      <c r="AS473" s="565"/>
      <c r="AT473" s="556"/>
      <c r="AV473" s="700"/>
    </row>
    <row r="474" spans="1:48" hidden="1" x14ac:dyDescent="0.45">
      <c r="A474" s="556"/>
      <c r="B474" s="556"/>
      <c r="C474" s="556"/>
      <c r="D474" s="564"/>
      <c r="E474" s="556"/>
      <c r="F474" s="564"/>
      <c r="G474" s="564"/>
      <c r="H474" s="564"/>
      <c r="I474" s="564"/>
      <c r="J474" s="564"/>
      <c r="K474" s="564"/>
      <c r="L474" s="564"/>
      <c r="M474" s="564"/>
      <c r="N474" s="564"/>
      <c r="O474" s="564"/>
      <c r="P474" s="564"/>
      <c r="Q474" s="564"/>
      <c r="R474" s="564"/>
      <c r="S474" s="564"/>
      <c r="T474" s="564"/>
      <c r="U474" s="564"/>
      <c r="V474" s="564"/>
      <c r="W474" s="564"/>
      <c r="X474" s="564"/>
      <c r="Y474" s="564"/>
      <c r="Z474" s="564"/>
      <c r="AA474" s="564"/>
      <c r="AB474" s="556"/>
      <c r="AC474" s="556"/>
      <c r="AD474" s="556"/>
      <c r="AE474" s="556"/>
      <c r="AF474" s="556"/>
      <c r="AG474" s="556"/>
      <c r="AH474" s="556"/>
      <c r="AI474" s="556"/>
      <c r="AJ474" s="556"/>
      <c r="AK474" s="556"/>
      <c r="AL474" s="556"/>
      <c r="AM474" s="556"/>
      <c r="AN474" s="556"/>
      <c r="AO474" s="556"/>
      <c r="AP474" s="556"/>
      <c r="AQ474" s="556"/>
      <c r="AR474" s="556"/>
      <c r="AS474" s="565"/>
      <c r="AT474" s="556"/>
      <c r="AV474" s="700"/>
    </row>
    <row r="475" spans="1:48" hidden="1" x14ac:dyDescent="0.45">
      <c r="A475" s="556"/>
      <c r="B475" s="556"/>
      <c r="C475" s="556"/>
      <c r="D475" s="564"/>
      <c r="E475" s="556"/>
      <c r="F475" s="564"/>
      <c r="G475" s="564"/>
      <c r="H475" s="564"/>
      <c r="I475" s="564"/>
      <c r="J475" s="564"/>
      <c r="K475" s="564"/>
      <c r="L475" s="564"/>
      <c r="M475" s="564"/>
      <c r="N475" s="564"/>
      <c r="O475" s="564"/>
      <c r="P475" s="564"/>
      <c r="Q475" s="564"/>
      <c r="R475" s="564"/>
      <c r="S475" s="564"/>
      <c r="T475" s="564"/>
      <c r="U475" s="564"/>
      <c r="V475" s="564"/>
      <c r="W475" s="564"/>
      <c r="X475" s="564"/>
      <c r="Y475" s="564"/>
      <c r="Z475" s="564"/>
      <c r="AA475" s="564"/>
      <c r="AB475" s="556"/>
      <c r="AC475" s="556"/>
      <c r="AD475" s="556"/>
      <c r="AE475" s="556"/>
      <c r="AF475" s="556"/>
      <c r="AG475" s="556"/>
      <c r="AH475" s="556"/>
      <c r="AI475" s="556"/>
      <c r="AJ475" s="556"/>
      <c r="AK475" s="556"/>
      <c r="AL475" s="556"/>
      <c r="AM475" s="556"/>
      <c r="AN475" s="556"/>
      <c r="AO475" s="556"/>
      <c r="AP475" s="556"/>
      <c r="AQ475" s="556"/>
      <c r="AR475" s="556"/>
      <c r="AS475" s="565"/>
      <c r="AT475" s="556"/>
      <c r="AV475" s="700"/>
    </row>
    <row r="476" spans="1:48" hidden="1" x14ac:dyDescent="0.45">
      <c r="A476" s="556"/>
      <c r="B476" s="556"/>
      <c r="C476" s="556"/>
      <c r="D476" s="564"/>
      <c r="E476" s="556"/>
      <c r="F476" s="564"/>
      <c r="G476" s="564"/>
      <c r="H476" s="564"/>
      <c r="I476" s="564"/>
      <c r="J476" s="564"/>
      <c r="K476" s="564"/>
      <c r="L476" s="564"/>
      <c r="M476" s="564"/>
      <c r="N476" s="564"/>
      <c r="O476" s="564"/>
      <c r="P476" s="564"/>
      <c r="Q476" s="564"/>
      <c r="R476" s="564"/>
      <c r="S476" s="564"/>
      <c r="T476" s="564"/>
      <c r="U476" s="564"/>
      <c r="V476" s="564"/>
      <c r="W476" s="564"/>
      <c r="X476" s="564"/>
      <c r="Y476" s="564"/>
      <c r="Z476" s="564"/>
      <c r="AA476" s="564"/>
      <c r="AB476" s="556"/>
      <c r="AC476" s="556"/>
      <c r="AD476" s="556"/>
      <c r="AE476" s="556"/>
      <c r="AF476" s="556"/>
      <c r="AG476" s="556"/>
      <c r="AH476" s="556"/>
      <c r="AI476" s="556"/>
      <c r="AJ476" s="556"/>
      <c r="AK476" s="556"/>
      <c r="AL476" s="556"/>
      <c r="AM476" s="556"/>
      <c r="AN476" s="556"/>
      <c r="AO476" s="556"/>
      <c r="AP476" s="556"/>
      <c r="AQ476" s="556"/>
      <c r="AR476" s="556"/>
      <c r="AS476" s="565"/>
      <c r="AT476" s="556"/>
      <c r="AV476" s="700"/>
    </row>
    <row r="477" spans="1:48" hidden="1" x14ac:dyDescent="0.45">
      <c r="A477" s="556"/>
      <c r="B477" s="556"/>
      <c r="C477" s="556"/>
      <c r="D477" s="564"/>
      <c r="E477" s="556"/>
      <c r="F477" s="564"/>
      <c r="G477" s="564"/>
      <c r="H477" s="564"/>
      <c r="I477" s="564"/>
      <c r="J477" s="564"/>
      <c r="K477" s="564"/>
      <c r="L477" s="564"/>
      <c r="M477" s="564"/>
      <c r="N477" s="564"/>
      <c r="O477" s="564"/>
      <c r="P477" s="564"/>
      <c r="Q477" s="564"/>
      <c r="R477" s="564"/>
      <c r="S477" s="564"/>
      <c r="T477" s="564"/>
      <c r="U477" s="564"/>
      <c r="V477" s="564"/>
      <c r="W477" s="564"/>
      <c r="X477" s="564"/>
      <c r="Y477" s="564"/>
      <c r="Z477" s="564"/>
      <c r="AA477" s="564"/>
      <c r="AB477" s="556"/>
      <c r="AC477" s="556"/>
      <c r="AD477" s="556"/>
      <c r="AE477" s="556"/>
      <c r="AF477" s="556"/>
      <c r="AG477" s="556"/>
      <c r="AH477" s="556"/>
      <c r="AI477" s="556"/>
      <c r="AJ477" s="556"/>
      <c r="AK477" s="556"/>
      <c r="AL477" s="556"/>
      <c r="AM477" s="556"/>
      <c r="AN477" s="556"/>
      <c r="AO477" s="556"/>
      <c r="AP477" s="556"/>
      <c r="AQ477" s="556"/>
      <c r="AR477" s="556"/>
      <c r="AS477" s="565"/>
      <c r="AT477" s="556"/>
      <c r="AU477" s="700"/>
      <c r="AV477" s="700"/>
    </row>
    <row r="478" spans="1:48" hidden="1" x14ac:dyDescent="0.45">
      <c r="A478" s="556"/>
      <c r="B478" s="556"/>
      <c r="C478" s="556"/>
      <c r="D478" s="564"/>
      <c r="E478" s="556"/>
      <c r="F478" s="564"/>
      <c r="G478" s="564"/>
      <c r="H478" s="564"/>
      <c r="I478" s="564"/>
      <c r="J478" s="564"/>
      <c r="K478" s="564"/>
      <c r="L478" s="564"/>
      <c r="M478" s="564"/>
      <c r="N478" s="564"/>
      <c r="O478" s="564"/>
      <c r="P478" s="564"/>
      <c r="Q478" s="564"/>
      <c r="R478" s="564"/>
      <c r="S478" s="564"/>
      <c r="T478" s="564"/>
      <c r="U478" s="564"/>
      <c r="V478" s="564"/>
      <c r="W478" s="564"/>
      <c r="X478" s="564"/>
      <c r="Y478" s="564"/>
      <c r="Z478" s="564"/>
      <c r="AA478" s="564"/>
      <c r="AB478" s="556"/>
      <c r="AC478" s="556"/>
      <c r="AD478" s="556"/>
      <c r="AE478" s="556"/>
      <c r="AF478" s="556"/>
      <c r="AG478" s="556"/>
      <c r="AH478" s="556"/>
      <c r="AI478" s="556"/>
      <c r="AJ478" s="556"/>
      <c r="AK478" s="556"/>
      <c r="AL478" s="556"/>
      <c r="AM478" s="556"/>
      <c r="AN478" s="556"/>
      <c r="AO478" s="556"/>
      <c r="AP478" s="556"/>
      <c r="AQ478" s="556"/>
      <c r="AR478" s="556"/>
      <c r="AS478" s="565"/>
      <c r="AT478" s="556"/>
      <c r="AU478" s="700"/>
      <c r="AV478" s="700"/>
    </row>
    <row r="479" spans="1:48" hidden="1" x14ac:dyDescent="0.45">
      <c r="A479" s="556"/>
      <c r="B479" s="556"/>
      <c r="C479" s="556"/>
      <c r="D479" s="564"/>
      <c r="E479" s="556"/>
      <c r="F479" s="564"/>
      <c r="G479" s="564"/>
      <c r="H479" s="564"/>
      <c r="I479" s="564"/>
      <c r="J479" s="564"/>
      <c r="K479" s="564"/>
      <c r="L479" s="564"/>
      <c r="M479" s="564"/>
      <c r="N479" s="564"/>
      <c r="O479" s="564"/>
      <c r="P479" s="564"/>
      <c r="Q479" s="564"/>
      <c r="R479" s="564"/>
      <c r="S479" s="564"/>
      <c r="T479" s="564"/>
      <c r="U479" s="564"/>
      <c r="V479" s="564"/>
      <c r="W479" s="564"/>
      <c r="X479" s="564"/>
      <c r="Y479" s="564"/>
      <c r="Z479" s="564"/>
      <c r="AA479" s="564"/>
      <c r="AB479" s="556"/>
      <c r="AC479" s="556"/>
      <c r="AD479" s="556"/>
      <c r="AE479" s="556"/>
      <c r="AF479" s="556"/>
      <c r="AG479" s="556"/>
      <c r="AH479" s="556"/>
      <c r="AI479" s="556"/>
      <c r="AJ479" s="556"/>
      <c r="AK479" s="556"/>
      <c r="AL479" s="556"/>
      <c r="AM479" s="556"/>
      <c r="AN479" s="556"/>
      <c r="AO479" s="556"/>
      <c r="AP479" s="556"/>
      <c r="AQ479" s="556"/>
      <c r="AR479" s="556"/>
      <c r="AS479" s="565"/>
      <c r="AT479" s="556"/>
      <c r="AU479" s="700"/>
      <c r="AV479" s="700"/>
    </row>
    <row r="480" spans="1:48" hidden="1" x14ac:dyDescent="0.45">
      <c r="A480" s="556"/>
      <c r="B480" s="556"/>
      <c r="C480" s="556"/>
      <c r="D480" s="564"/>
      <c r="E480" s="556"/>
      <c r="F480" s="564"/>
      <c r="G480" s="564"/>
      <c r="H480" s="564"/>
      <c r="I480" s="564"/>
      <c r="J480" s="564"/>
      <c r="K480" s="564"/>
      <c r="L480" s="564"/>
      <c r="M480" s="564"/>
      <c r="N480" s="564"/>
      <c r="O480" s="564"/>
      <c r="P480" s="564"/>
      <c r="Q480" s="564"/>
      <c r="R480" s="564"/>
      <c r="S480" s="564"/>
      <c r="T480" s="564"/>
      <c r="U480" s="564"/>
      <c r="V480" s="564"/>
      <c r="W480" s="564"/>
      <c r="X480" s="564"/>
      <c r="Y480" s="564"/>
      <c r="Z480" s="564"/>
      <c r="AA480" s="564"/>
      <c r="AB480" s="556"/>
      <c r="AC480" s="556"/>
      <c r="AD480" s="556"/>
      <c r="AE480" s="556"/>
      <c r="AF480" s="556"/>
      <c r="AG480" s="556"/>
      <c r="AH480" s="556"/>
      <c r="AI480" s="556"/>
      <c r="AJ480" s="556"/>
      <c r="AK480" s="556"/>
      <c r="AL480" s="556"/>
      <c r="AM480" s="556"/>
      <c r="AN480" s="556"/>
      <c r="AO480" s="556"/>
      <c r="AP480" s="556"/>
      <c r="AQ480" s="556"/>
      <c r="AR480" s="556"/>
      <c r="AS480" s="565"/>
      <c r="AT480" s="556"/>
      <c r="AU480" s="700"/>
      <c r="AV480" s="700"/>
    </row>
    <row r="481" spans="1:47" hidden="1" x14ac:dyDescent="0.45">
      <c r="A481" s="556"/>
      <c r="B481" s="556"/>
      <c r="C481" s="556"/>
      <c r="D481" s="564"/>
      <c r="E481" s="556"/>
      <c r="F481" s="564"/>
      <c r="G481" s="564"/>
      <c r="H481" s="564"/>
      <c r="I481" s="564"/>
      <c r="J481" s="564"/>
      <c r="K481" s="564"/>
      <c r="L481" s="564"/>
      <c r="M481" s="564"/>
      <c r="N481" s="564"/>
      <c r="O481" s="564"/>
      <c r="P481" s="564"/>
      <c r="Q481" s="564"/>
      <c r="R481" s="564"/>
      <c r="S481" s="564"/>
      <c r="T481" s="564"/>
      <c r="U481" s="564"/>
      <c r="V481" s="564"/>
      <c r="W481" s="564"/>
      <c r="X481" s="564"/>
      <c r="Y481" s="564"/>
      <c r="Z481" s="564"/>
      <c r="AA481" s="564"/>
      <c r="AB481" s="556"/>
      <c r="AC481" s="556"/>
      <c r="AD481" s="556"/>
      <c r="AE481" s="556"/>
      <c r="AF481" s="556"/>
      <c r="AG481" s="556"/>
      <c r="AH481" s="556"/>
      <c r="AI481" s="556"/>
      <c r="AJ481" s="556"/>
      <c r="AK481" s="556"/>
      <c r="AL481" s="556"/>
      <c r="AM481" s="556"/>
      <c r="AN481" s="556"/>
      <c r="AO481" s="556"/>
      <c r="AP481" s="556"/>
      <c r="AQ481" s="556"/>
      <c r="AR481" s="556"/>
      <c r="AS481" s="565"/>
      <c r="AT481" s="556"/>
      <c r="AU481" s="700"/>
    </row>
    <row r="482" spans="1:47" hidden="1" x14ac:dyDescent="0.45">
      <c r="A482" s="556"/>
      <c r="B482" s="556"/>
      <c r="C482" s="556"/>
      <c r="D482" s="564"/>
      <c r="E482" s="556"/>
      <c r="F482" s="564"/>
      <c r="G482" s="564"/>
      <c r="H482" s="564"/>
      <c r="I482" s="564"/>
      <c r="J482" s="564"/>
      <c r="K482" s="564"/>
      <c r="L482" s="564"/>
      <c r="M482" s="564"/>
      <c r="N482" s="564"/>
      <c r="O482" s="564"/>
      <c r="P482" s="564"/>
      <c r="Q482" s="564"/>
      <c r="R482" s="564"/>
      <c r="S482" s="564"/>
      <c r="T482" s="564"/>
      <c r="U482" s="564"/>
      <c r="V482" s="564"/>
      <c r="W482" s="564"/>
      <c r="X482" s="564"/>
      <c r="Y482" s="564"/>
      <c r="Z482" s="564"/>
      <c r="AA482" s="564"/>
      <c r="AB482" s="556"/>
      <c r="AC482" s="556"/>
      <c r="AD482" s="556"/>
      <c r="AE482" s="556"/>
      <c r="AF482" s="556"/>
      <c r="AG482" s="556"/>
      <c r="AH482" s="556"/>
      <c r="AI482" s="556"/>
      <c r="AJ482" s="556"/>
      <c r="AK482" s="556"/>
      <c r="AL482" s="556"/>
      <c r="AM482" s="556"/>
      <c r="AN482" s="556"/>
      <c r="AO482" s="556"/>
      <c r="AP482" s="556"/>
      <c r="AQ482" s="556"/>
      <c r="AR482" s="556"/>
      <c r="AS482" s="565"/>
      <c r="AT482" s="556"/>
      <c r="AU482" s="700"/>
    </row>
    <row r="483" spans="1:47" hidden="1" x14ac:dyDescent="0.45">
      <c r="A483" s="556"/>
      <c r="B483" s="556"/>
      <c r="C483" s="556"/>
      <c r="D483" s="564"/>
      <c r="E483" s="556"/>
      <c r="F483" s="564"/>
      <c r="G483" s="564"/>
      <c r="H483" s="564"/>
      <c r="I483" s="564"/>
      <c r="J483" s="564"/>
      <c r="K483" s="564"/>
      <c r="L483" s="564"/>
      <c r="M483" s="564"/>
      <c r="N483" s="564"/>
      <c r="O483" s="564"/>
      <c r="P483" s="564"/>
      <c r="Q483" s="564"/>
      <c r="R483" s="564"/>
      <c r="S483" s="564"/>
      <c r="T483" s="564"/>
      <c r="U483" s="564"/>
      <c r="V483" s="564"/>
      <c r="W483" s="564"/>
      <c r="X483" s="564"/>
      <c r="Y483" s="564"/>
      <c r="Z483" s="564"/>
      <c r="AA483" s="564"/>
      <c r="AB483" s="556"/>
      <c r="AC483" s="556"/>
      <c r="AD483" s="556"/>
      <c r="AE483" s="556"/>
      <c r="AF483" s="556"/>
      <c r="AG483" s="556"/>
      <c r="AH483" s="556"/>
      <c r="AI483" s="556"/>
      <c r="AJ483" s="556"/>
      <c r="AK483" s="556"/>
      <c r="AL483" s="556"/>
      <c r="AM483" s="556"/>
      <c r="AN483" s="556"/>
      <c r="AO483" s="556"/>
      <c r="AP483" s="556"/>
      <c r="AQ483" s="556"/>
      <c r="AR483" s="556"/>
      <c r="AS483" s="565"/>
      <c r="AT483" s="556"/>
      <c r="AU483" s="700"/>
    </row>
    <row r="484" spans="1:47" hidden="1" x14ac:dyDescent="0.45">
      <c r="A484" s="556"/>
      <c r="B484" s="556"/>
      <c r="C484" s="556"/>
      <c r="D484" s="564"/>
      <c r="E484" s="556"/>
      <c r="F484" s="564"/>
      <c r="G484" s="564"/>
      <c r="H484" s="564"/>
      <c r="I484" s="564"/>
      <c r="J484" s="564"/>
      <c r="K484" s="564"/>
      <c r="L484" s="564"/>
      <c r="M484" s="564"/>
      <c r="N484" s="564"/>
      <c r="O484" s="564"/>
      <c r="P484" s="564"/>
      <c r="Q484" s="564"/>
      <c r="R484" s="564"/>
      <c r="S484" s="564"/>
      <c r="T484" s="564"/>
      <c r="U484" s="564"/>
      <c r="V484" s="564"/>
      <c r="W484" s="564"/>
      <c r="X484" s="564"/>
      <c r="Y484" s="564"/>
      <c r="Z484" s="564"/>
      <c r="AA484" s="564"/>
      <c r="AB484" s="556"/>
      <c r="AC484" s="556"/>
      <c r="AD484" s="556"/>
      <c r="AE484" s="556"/>
      <c r="AF484" s="556"/>
      <c r="AG484" s="556"/>
      <c r="AH484" s="556"/>
      <c r="AI484" s="556"/>
      <c r="AJ484" s="556"/>
      <c r="AK484" s="556"/>
      <c r="AL484" s="556"/>
      <c r="AM484" s="556"/>
      <c r="AN484" s="556"/>
      <c r="AO484" s="556"/>
      <c r="AP484" s="556"/>
      <c r="AQ484" s="556"/>
      <c r="AR484" s="556"/>
      <c r="AS484" s="565"/>
      <c r="AT484" s="556"/>
      <c r="AU484" s="700"/>
    </row>
    <row r="485" spans="1:47" hidden="1" x14ac:dyDescent="0.45">
      <c r="A485" s="556"/>
      <c r="B485" s="556"/>
      <c r="C485" s="556"/>
      <c r="D485" s="564"/>
      <c r="E485" s="556"/>
      <c r="F485" s="564"/>
      <c r="G485" s="564"/>
      <c r="H485" s="564"/>
      <c r="I485" s="564"/>
      <c r="J485" s="564"/>
      <c r="K485" s="564"/>
      <c r="L485" s="564"/>
      <c r="M485" s="564"/>
      <c r="N485" s="564"/>
      <c r="O485" s="564"/>
      <c r="P485" s="564"/>
      <c r="Q485" s="564"/>
      <c r="R485" s="564"/>
      <c r="S485" s="564"/>
      <c r="T485" s="564"/>
      <c r="U485" s="564"/>
      <c r="V485" s="564"/>
      <c r="W485" s="564"/>
      <c r="X485" s="564"/>
      <c r="Y485" s="564"/>
      <c r="Z485" s="564"/>
      <c r="AA485" s="564"/>
      <c r="AB485" s="556"/>
      <c r="AC485" s="556"/>
      <c r="AD485" s="556"/>
      <c r="AE485" s="556"/>
      <c r="AF485" s="556"/>
      <c r="AG485" s="556"/>
      <c r="AH485" s="556"/>
      <c r="AI485" s="556"/>
      <c r="AJ485" s="556"/>
      <c r="AK485" s="556"/>
      <c r="AL485" s="556"/>
      <c r="AM485" s="556"/>
      <c r="AN485" s="556"/>
      <c r="AO485" s="556"/>
      <c r="AP485" s="556"/>
      <c r="AQ485" s="556"/>
      <c r="AR485" s="556"/>
      <c r="AS485" s="565"/>
      <c r="AT485" s="556"/>
      <c r="AU485" s="700"/>
    </row>
    <row r="486" spans="1:47" hidden="1" x14ac:dyDescent="0.45">
      <c r="A486" s="556"/>
      <c r="B486" s="556"/>
      <c r="C486" s="556"/>
      <c r="D486" s="564"/>
      <c r="E486" s="556"/>
      <c r="F486" s="564"/>
      <c r="G486" s="564"/>
      <c r="H486" s="564"/>
      <c r="I486" s="564"/>
      <c r="J486" s="564"/>
      <c r="K486" s="564"/>
      <c r="L486" s="564"/>
      <c r="M486" s="564"/>
      <c r="N486" s="564"/>
      <c r="O486" s="564"/>
      <c r="P486" s="564"/>
      <c r="Q486" s="564"/>
      <c r="R486" s="564"/>
      <c r="S486" s="564"/>
      <c r="T486" s="564"/>
      <c r="U486" s="564"/>
      <c r="V486" s="564"/>
      <c r="W486" s="564"/>
      <c r="X486" s="564"/>
      <c r="Y486" s="564"/>
      <c r="Z486" s="564"/>
      <c r="AA486" s="564"/>
      <c r="AB486" s="556"/>
      <c r="AC486" s="556"/>
      <c r="AD486" s="556"/>
      <c r="AE486" s="556"/>
      <c r="AF486" s="556"/>
      <c r="AG486" s="556"/>
      <c r="AH486" s="556"/>
      <c r="AI486" s="556"/>
      <c r="AJ486" s="556"/>
      <c r="AK486" s="556"/>
      <c r="AL486" s="556"/>
      <c r="AM486" s="556"/>
      <c r="AN486" s="556"/>
      <c r="AO486" s="556"/>
      <c r="AP486" s="556"/>
      <c r="AQ486" s="556"/>
      <c r="AR486" s="556"/>
      <c r="AS486" s="565"/>
      <c r="AT486" s="556"/>
      <c r="AU486" s="700"/>
    </row>
    <row r="487" spans="1:47" hidden="1" x14ac:dyDescent="0.45">
      <c r="A487" s="556"/>
      <c r="B487" s="556"/>
      <c r="C487" s="556"/>
      <c r="D487" s="564"/>
      <c r="E487" s="556"/>
      <c r="F487" s="564"/>
      <c r="G487" s="564"/>
      <c r="H487" s="564"/>
      <c r="I487" s="564"/>
      <c r="J487" s="564"/>
      <c r="K487" s="564"/>
      <c r="L487" s="564"/>
      <c r="M487" s="564"/>
      <c r="N487" s="564"/>
      <c r="O487" s="564"/>
      <c r="P487" s="564"/>
      <c r="Q487" s="564"/>
      <c r="R487" s="564"/>
      <c r="S487" s="564"/>
      <c r="T487" s="564"/>
      <c r="U487" s="564"/>
      <c r="V487" s="564"/>
      <c r="W487" s="564"/>
      <c r="X487" s="564"/>
      <c r="Y487" s="564"/>
      <c r="Z487" s="564"/>
      <c r="AA487" s="564"/>
      <c r="AB487" s="556"/>
      <c r="AC487" s="556"/>
      <c r="AD487" s="556"/>
      <c r="AE487" s="556"/>
      <c r="AF487" s="556"/>
      <c r="AG487" s="556"/>
      <c r="AH487" s="556"/>
      <c r="AI487" s="556"/>
      <c r="AJ487" s="556"/>
      <c r="AK487" s="556"/>
      <c r="AL487" s="556"/>
      <c r="AM487" s="556"/>
      <c r="AN487" s="556"/>
      <c r="AO487" s="556"/>
      <c r="AP487" s="556"/>
      <c r="AQ487" s="556"/>
      <c r="AR487" s="556"/>
      <c r="AS487" s="565"/>
      <c r="AT487" s="556"/>
      <c r="AU487" s="700"/>
    </row>
    <row r="488" spans="1:47" hidden="1" x14ac:dyDescent="0.45">
      <c r="A488" s="556"/>
      <c r="B488" s="556"/>
      <c r="C488" s="556"/>
      <c r="D488" s="564"/>
      <c r="E488" s="556"/>
      <c r="F488" s="564"/>
      <c r="G488" s="564"/>
      <c r="H488" s="564"/>
      <c r="I488" s="564"/>
      <c r="J488" s="564"/>
      <c r="K488" s="564"/>
      <c r="L488" s="564"/>
      <c r="M488" s="564"/>
      <c r="N488" s="564"/>
      <c r="O488" s="564"/>
      <c r="P488" s="564"/>
      <c r="Q488" s="564"/>
      <c r="R488" s="564"/>
      <c r="S488" s="564"/>
      <c r="T488" s="564"/>
      <c r="U488" s="564"/>
      <c r="V488" s="564"/>
      <c r="W488" s="564"/>
      <c r="X488" s="564"/>
      <c r="Y488" s="564"/>
      <c r="Z488" s="564"/>
      <c r="AA488" s="564"/>
      <c r="AB488" s="556"/>
      <c r="AC488" s="556"/>
      <c r="AD488" s="556"/>
      <c r="AE488" s="556"/>
      <c r="AF488" s="556"/>
      <c r="AG488" s="556"/>
      <c r="AH488" s="556"/>
      <c r="AI488" s="556"/>
      <c r="AJ488" s="556"/>
      <c r="AK488" s="556"/>
      <c r="AL488" s="556"/>
      <c r="AM488" s="556"/>
      <c r="AN488" s="556"/>
      <c r="AO488" s="556"/>
      <c r="AP488" s="556"/>
      <c r="AQ488" s="556"/>
      <c r="AR488" s="556"/>
      <c r="AS488" s="565"/>
      <c r="AT488" s="556"/>
      <c r="AU488" s="700"/>
    </row>
    <row r="489" spans="1:47" hidden="1" x14ac:dyDescent="0.45">
      <c r="A489" s="556"/>
      <c r="B489" s="556"/>
      <c r="C489" s="556"/>
      <c r="D489" s="564"/>
      <c r="E489" s="556"/>
      <c r="F489" s="564"/>
      <c r="G489" s="564"/>
      <c r="H489" s="564"/>
      <c r="I489" s="564"/>
      <c r="J489" s="564"/>
      <c r="K489" s="564"/>
      <c r="L489" s="564"/>
      <c r="M489" s="564"/>
      <c r="N489" s="564"/>
      <c r="O489" s="564"/>
      <c r="P489" s="564"/>
      <c r="Q489" s="564"/>
      <c r="R489" s="564"/>
      <c r="S489" s="564"/>
      <c r="T489" s="564"/>
      <c r="U489" s="564"/>
      <c r="V489" s="564"/>
      <c r="W489" s="564"/>
      <c r="X489" s="564"/>
      <c r="Y489" s="564"/>
      <c r="Z489" s="564"/>
      <c r="AA489" s="564"/>
      <c r="AB489" s="556"/>
      <c r="AC489" s="556"/>
      <c r="AD489" s="556"/>
      <c r="AE489" s="556"/>
      <c r="AF489" s="556"/>
      <c r="AG489" s="556"/>
      <c r="AH489" s="556"/>
      <c r="AI489" s="556"/>
      <c r="AJ489" s="556"/>
      <c r="AK489" s="556"/>
      <c r="AL489" s="556"/>
      <c r="AM489" s="556"/>
      <c r="AN489" s="556"/>
      <c r="AO489" s="556"/>
      <c r="AP489" s="556"/>
      <c r="AQ489" s="556"/>
      <c r="AR489" s="556"/>
      <c r="AS489" s="565"/>
      <c r="AT489" s="556"/>
      <c r="AU489" s="700"/>
    </row>
    <row r="490" spans="1:47" hidden="1" x14ac:dyDescent="0.45">
      <c r="A490" s="556"/>
      <c r="B490" s="556"/>
      <c r="C490" s="556"/>
      <c r="D490" s="564"/>
      <c r="E490" s="556"/>
      <c r="F490" s="564"/>
      <c r="G490" s="564"/>
      <c r="H490" s="564"/>
      <c r="I490" s="564"/>
      <c r="J490" s="564"/>
      <c r="K490" s="564"/>
      <c r="L490" s="564"/>
      <c r="M490" s="564"/>
      <c r="N490" s="564"/>
      <c r="O490" s="564"/>
      <c r="P490" s="564"/>
      <c r="Q490" s="564"/>
      <c r="R490" s="564"/>
      <c r="S490" s="564"/>
      <c r="T490" s="564"/>
      <c r="U490" s="564"/>
      <c r="V490" s="564"/>
      <c r="W490" s="564"/>
      <c r="X490" s="564"/>
      <c r="Y490" s="564"/>
      <c r="Z490" s="564"/>
      <c r="AA490" s="564"/>
      <c r="AB490" s="556"/>
      <c r="AC490" s="556"/>
      <c r="AD490" s="556"/>
      <c r="AE490" s="556"/>
      <c r="AF490" s="556"/>
      <c r="AG490" s="556"/>
      <c r="AH490" s="556"/>
      <c r="AI490" s="556"/>
      <c r="AJ490" s="556"/>
      <c r="AK490" s="556"/>
      <c r="AL490" s="556"/>
      <c r="AM490" s="556"/>
      <c r="AN490" s="556"/>
      <c r="AO490" s="556"/>
      <c r="AP490" s="556"/>
      <c r="AQ490" s="556"/>
      <c r="AR490" s="556"/>
      <c r="AS490" s="565"/>
      <c r="AT490" s="556"/>
      <c r="AU490" s="700"/>
    </row>
    <row r="491" spans="1:47" hidden="1" x14ac:dyDescent="0.45">
      <c r="A491" s="556"/>
      <c r="B491" s="556"/>
      <c r="C491" s="556"/>
      <c r="D491" s="564"/>
      <c r="E491" s="556"/>
      <c r="F491" s="564"/>
      <c r="G491" s="564"/>
      <c r="H491" s="564"/>
      <c r="I491" s="564"/>
      <c r="J491" s="564"/>
      <c r="K491" s="564"/>
      <c r="L491" s="564"/>
      <c r="M491" s="564"/>
      <c r="N491" s="564"/>
      <c r="O491" s="564"/>
      <c r="P491" s="564"/>
      <c r="Q491" s="564"/>
      <c r="R491" s="564"/>
      <c r="S491" s="564"/>
      <c r="T491" s="564"/>
      <c r="U491" s="564"/>
      <c r="V491" s="564"/>
      <c r="W491" s="564"/>
      <c r="X491" s="564"/>
      <c r="Y491" s="564"/>
      <c r="Z491" s="564"/>
      <c r="AA491" s="564"/>
      <c r="AB491" s="556"/>
      <c r="AC491" s="556"/>
      <c r="AD491" s="556"/>
      <c r="AE491" s="556"/>
      <c r="AF491" s="556"/>
      <c r="AG491" s="556"/>
      <c r="AH491" s="556"/>
      <c r="AI491" s="556"/>
      <c r="AJ491" s="556"/>
      <c r="AK491" s="556"/>
      <c r="AL491" s="556"/>
      <c r="AM491" s="556"/>
      <c r="AN491" s="556"/>
      <c r="AO491" s="556"/>
      <c r="AP491" s="556"/>
      <c r="AQ491" s="556"/>
      <c r="AR491" s="556"/>
      <c r="AS491" s="565"/>
      <c r="AT491" s="556"/>
      <c r="AU491" s="700"/>
    </row>
    <row r="492" spans="1:47" hidden="1" x14ac:dyDescent="0.45">
      <c r="A492" s="556"/>
      <c r="B492" s="556"/>
      <c r="C492" s="556"/>
      <c r="D492" s="564"/>
      <c r="E492" s="556"/>
      <c r="F492" s="564"/>
      <c r="G492" s="564"/>
      <c r="H492" s="564"/>
      <c r="I492" s="564"/>
      <c r="J492" s="564"/>
      <c r="K492" s="564"/>
      <c r="L492" s="564"/>
      <c r="M492" s="564"/>
      <c r="N492" s="564"/>
      <c r="O492" s="564"/>
      <c r="P492" s="564"/>
      <c r="Q492" s="564"/>
      <c r="R492" s="564"/>
      <c r="S492" s="564"/>
      <c r="T492" s="564"/>
      <c r="U492" s="564"/>
      <c r="V492" s="564"/>
      <c r="W492" s="564"/>
      <c r="X492" s="564"/>
      <c r="Y492" s="564"/>
      <c r="Z492" s="564"/>
      <c r="AA492" s="564"/>
      <c r="AB492" s="556"/>
      <c r="AC492" s="556"/>
      <c r="AD492" s="556"/>
      <c r="AE492" s="556"/>
      <c r="AF492" s="556"/>
      <c r="AG492" s="556"/>
      <c r="AH492" s="556"/>
      <c r="AI492" s="556"/>
      <c r="AJ492" s="556"/>
      <c r="AK492" s="556"/>
      <c r="AL492" s="556"/>
      <c r="AM492" s="556"/>
      <c r="AN492" s="556"/>
      <c r="AO492" s="556"/>
      <c r="AP492" s="556"/>
      <c r="AQ492" s="556"/>
      <c r="AR492" s="556"/>
      <c r="AS492" s="565"/>
      <c r="AT492" s="556"/>
      <c r="AU492" s="700"/>
    </row>
    <row r="493" spans="1:47" hidden="1" x14ac:dyDescent="0.45">
      <c r="A493" s="556"/>
      <c r="B493" s="556"/>
      <c r="C493" s="556"/>
      <c r="D493" s="564"/>
      <c r="E493" s="556"/>
      <c r="F493" s="564"/>
      <c r="G493" s="564"/>
      <c r="H493" s="564"/>
      <c r="I493" s="564"/>
      <c r="J493" s="564"/>
      <c r="K493" s="564"/>
      <c r="L493" s="564"/>
      <c r="M493" s="564"/>
      <c r="N493" s="564"/>
      <c r="O493" s="564"/>
      <c r="P493" s="564"/>
      <c r="Q493" s="564"/>
      <c r="R493" s="564"/>
      <c r="S493" s="564"/>
      <c r="T493" s="564"/>
      <c r="U493" s="564"/>
      <c r="V493" s="564"/>
      <c r="W493" s="564"/>
      <c r="X493" s="564"/>
      <c r="Y493" s="564"/>
      <c r="Z493" s="564"/>
      <c r="AA493" s="564"/>
      <c r="AB493" s="556"/>
      <c r="AC493" s="556"/>
      <c r="AD493" s="556"/>
      <c r="AE493" s="556"/>
      <c r="AF493" s="556"/>
      <c r="AG493" s="556"/>
      <c r="AH493" s="556"/>
      <c r="AI493" s="556"/>
      <c r="AJ493" s="556"/>
      <c r="AK493" s="556"/>
      <c r="AL493" s="556"/>
      <c r="AM493" s="556"/>
      <c r="AN493" s="556"/>
      <c r="AO493" s="556"/>
      <c r="AP493" s="556"/>
      <c r="AQ493" s="556"/>
      <c r="AR493" s="556"/>
      <c r="AS493" s="565"/>
      <c r="AT493" s="556"/>
      <c r="AU493" s="700"/>
    </row>
    <row r="494" spans="1:47" hidden="1" x14ac:dyDescent="0.45">
      <c r="A494" s="556"/>
      <c r="B494" s="556"/>
      <c r="C494" s="556"/>
      <c r="D494" s="564"/>
      <c r="E494" s="556"/>
      <c r="F494" s="564"/>
      <c r="G494" s="564"/>
      <c r="H494" s="564"/>
      <c r="I494" s="564"/>
      <c r="J494" s="564"/>
      <c r="K494" s="564"/>
      <c r="L494" s="564"/>
      <c r="M494" s="564"/>
      <c r="N494" s="564"/>
      <c r="O494" s="564"/>
      <c r="P494" s="564"/>
      <c r="Q494" s="564"/>
      <c r="R494" s="564"/>
      <c r="S494" s="564"/>
      <c r="T494" s="564"/>
      <c r="U494" s="564"/>
      <c r="V494" s="564"/>
      <c r="W494" s="564"/>
      <c r="X494" s="564"/>
      <c r="Y494" s="564"/>
      <c r="Z494" s="564"/>
      <c r="AA494" s="564"/>
      <c r="AB494" s="556"/>
      <c r="AC494" s="556"/>
      <c r="AD494" s="556"/>
      <c r="AE494" s="556"/>
      <c r="AF494" s="556"/>
      <c r="AG494" s="556"/>
      <c r="AH494" s="556"/>
      <c r="AI494" s="556"/>
      <c r="AJ494" s="556"/>
      <c r="AK494" s="556"/>
      <c r="AL494" s="556"/>
      <c r="AM494" s="556"/>
      <c r="AN494" s="556"/>
      <c r="AO494" s="556"/>
      <c r="AP494" s="556"/>
      <c r="AQ494" s="556"/>
      <c r="AR494" s="556"/>
      <c r="AS494" s="565"/>
      <c r="AT494" s="556"/>
      <c r="AU494" s="700"/>
    </row>
    <row r="495" spans="1:47" hidden="1" x14ac:dyDescent="0.45">
      <c r="A495" s="556"/>
      <c r="B495" s="556"/>
      <c r="C495" s="556"/>
      <c r="D495" s="564"/>
      <c r="E495" s="556"/>
      <c r="F495" s="564"/>
      <c r="G495" s="564"/>
      <c r="H495" s="564"/>
      <c r="I495" s="564"/>
      <c r="J495" s="564"/>
      <c r="K495" s="564"/>
      <c r="L495" s="564"/>
      <c r="M495" s="564"/>
      <c r="N495" s="564"/>
      <c r="O495" s="564"/>
      <c r="P495" s="564"/>
      <c r="Q495" s="564"/>
      <c r="R495" s="564"/>
      <c r="S495" s="564"/>
      <c r="T495" s="564"/>
      <c r="U495" s="564"/>
      <c r="V495" s="564"/>
      <c r="W495" s="564"/>
      <c r="X495" s="564"/>
      <c r="Y495" s="564"/>
      <c r="Z495" s="564"/>
      <c r="AA495" s="564"/>
      <c r="AB495" s="556"/>
      <c r="AC495" s="556"/>
      <c r="AD495" s="556"/>
      <c r="AE495" s="556"/>
      <c r="AF495" s="556"/>
      <c r="AG495" s="556"/>
      <c r="AH495" s="556"/>
      <c r="AI495" s="556"/>
      <c r="AJ495" s="556"/>
      <c r="AK495" s="556"/>
      <c r="AL495" s="556"/>
      <c r="AM495" s="556"/>
      <c r="AN495" s="556"/>
      <c r="AO495" s="556"/>
      <c r="AP495" s="556"/>
      <c r="AQ495" s="556"/>
      <c r="AR495" s="556"/>
      <c r="AS495" s="565"/>
      <c r="AT495" s="556"/>
      <c r="AU495" s="700"/>
    </row>
    <row r="496" spans="1:47" hidden="1" x14ac:dyDescent="0.45">
      <c r="A496" s="556"/>
      <c r="B496" s="556"/>
      <c r="C496" s="556"/>
      <c r="D496" s="564"/>
      <c r="E496" s="556"/>
      <c r="F496" s="564"/>
      <c r="G496" s="564"/>
      <c r="H496" s="564"/>
      <c r="I496" s="564"/>
      <c r="J496" s="564"/>
      <c r="K496" s="564"/>
      <c r="L496" s="564"/>
      <c r="M496" s="564"/>
      <c r="N496" s="564"/>
      <c r="O496" s="564"/>
      <c r="P496" s="564"/>
      <c r="Q496" s="564"/>
      <c r="R496" s="564"/>
      <c r="S496" s="564"/>
      <c r="T496" s="564"/>
      <c r="U496" s="564"/>
      <c r="V496" s="564"/>
      <c r="W496" s="564"/>
      <c r="X496" s="564"/>
      <c r="Y496" s="564"/>
      <c r="Z496" s="564"/>
      <c r="AA496" s="564"/>
      <c r="AB496" s="556"/>
      <c r="AC496" s="556"/>
      <c r="AD496" s="556"/>
      <c r="AE496" s="556"/>
      <c r="AF496" s="556"/>
      <c r="AG496" s="556"/>
      <c r="AH496" s="556"/>
      <c r="AI496" s="556"/>
      <c r="AJ496" s="556"/>
      <c r="AK496" s="556"/>
      <c r="AL496" s="556"/>
      <c r="AM496" s="556"/>
      <c r="AN496" s="556"/>
      <c r="AO496" s="556"/>
      <c r="AP496" s="556"/>
      <c r="AQ496" s="556"/>
      <c r="AR496" s="556"/>
      <c r="AS496" s="565"/>
      <c r="AT496" s="556"/>
      <c r="AU496" s="700"/>
    </row>
    <row r="497" spans="1:47" hidden="1" x14ac:dyDescent="0.45">
      <c r="A497" s="556"/>
      <c r="B497" s="556"/>
      <c r="C497" s="556"/>
      <c r="D497" s="564"/>
      <c r="E497" s="556"/>
      <c r="F497" s="564"/>
      <c r="G497" s="564"/>
      <c r="H497" s="564"/>
      <c r="I497" s="564"/>
      <c r="J497" s="564"/>
      <c r="K497" s="564"/>
      <c r="L497" s="564"/>
      <c r="M497" s="564"/>
      <c r="N497" s="564"/>
      <c r="O497" s="564"/>
      <c r="P497" s="564"/>
      <c r="Q497" s="564"/>
      <c r="R497" s="564"/>
      <c r="S497" s="564"/>
      <c r="T497" s="564"/>
      <c r="U497" s="564"/>
      <c r="V497" s="564"/>
      <c r="W497" s="564"/>
      <c r="X497" s="564"/>
      <c r="Y497" s="564"/>
      <c r="Z497" s="564"/>
      <c r="AA497" s="564"/>
      <c r="AB497" s="556"/>
      <c r="AC497" s="556"/>
      <c r="AD497" s="556"/>
      <c r="AE497" s="556"/>
      <c r="AF497" s="556"/>
      <c r="AG497" s="556"/>
      <c r="AH497" s="556"/>
      <c r="AI497" s="556"/>
      <c r="AJ497" s="556"/>
      <c r="AK497" s="556"/>
      <c r="AL497" s="556"/>
      <c r="AM497" s="556"/>
      <c r="AN497" s="556"/>
      <c r="AO497" s="556"/>
      <c r="AP497" s="556"/>
      <c r="AQ497" s="556"/>
      <c r="AR497" s="556"/>
      <c r="AS497" s="565"/>
      <c r="AT497" s="556"/>
      <c r="AU497" s="700"/>
    </row>
    <row r="498" spans="1:47" hidden="1" x14ac:dyDescent="0.45">
      <c r="A498" s="556"/>
      <c r="B498" s="556"/>
      <c r="C498" s="556"/>
      <c r="D498" s="564"/>
      <c r="E498" s="556"/>
      <c r="F498" s="564"/>
      <c r="G498" s="564"/>
      <c r="H498" s="564"/>
      <c r="I498" s="564"/>
      <c r="J498" s="564"/>
      <c r="K498" s="564"/>
      <c r="L498" s="564"/>
      <c r="M498" s="564"/>
      <c r="N498" s="564"/>
      <c r="O498" s="564"/>
      <c r="P498" s="564"/>
      <c r="Q498" s="564"/>
      <c r="R498" s="564"/>
      <c r="S498" s="564"/>
      <c r="T498" s="564"/>
      <c r="U498" s="564"/>
      <c r="V498" s="564"/>
      <c r="W498" s="564"/>
      <c r="X498" s="564"/>
      <c r="Y498" s="564"/>
      <c r="Z498" s="564"/>
      <c r="AA498" s="564"/>
      <c r="AB498" s="556"/>
      <c r="AC498" s="556"/>
      <c r="AD498" s="556"/>
      <c r="AE498" s="556"/>
      <c r="AF498" s="556"/>
      <c r="AG498" s="556"/>
      <c r="AH498" s="556"/>
      <c r="AI498" s="556"/>
      <c r="AJ498" s="556"/>
      <c r="AK498" s="556"/>
      <c r="AL498" s="556"/>
      <c r="AM498" s="556"/>
      <c r="AN498" s="556"/>
      <c r="AO498" s="556"/>
      <c r="AP498" s="556"/>
      <c r="AQ498" s="556"/>
      <c r="AR498" s="556"/>
      <c r="AS498" s="565"/>
      <c r="AT498" s="556"/>
      <c r="AU498" s="700"/>
    </row>
    <row r="499" spans="1:47" hidden="1" x14ac:dyDescent="0.45">
      <c r="A499" s="556"/>
      <c r="B499" s="556"/>
      <c r="C499" s="556"/>
      <c r="D499" s="564"/>
      <c r="E499" s="556"/>
      <c r="F499" s="564"/>
      <c r="G499" s="564"/>
      <c r="H499" s="564"/>
      <c r="I499" s="564"/>
      <c r="J499" s="564"/>
      <c r="K499" s="564"/>
      <c r="L499" s="564"/>
      <c r="M499" s="564"/>
      <c r="N499" s="564"/>
      <c r="O499" s="564"/>
      <c r="P499" s="564"/>
      <c r="Q499" s="564"/>
      <c r="R499" s="564"/>
      <c r="S499" s="564"/>
      <c r="T499" s="564"/>
      <c r="U499" s="564"/>
      <c r="V499" s="564"/>
      <c r="W499" s="564"/>
      <c r="X499" s="564"/>
      <c r="Y499" s="564"/>
      <c r="Z499" s="564"/>
      <c r="AA499" s="564"/>
      <c r="AB499" s="556"/>
      <c r="AC499" s="556"/>
      <c r="AD499" s="556"/>
      <c r="AE499" s="556"/>
      <c r="AF499" s="556"/>
      <c r="AG499" s="556"/>
      <c r="AH499" s="556"/>
      <c r="AI499" s="556"/>
      <c r="AJ499" s="556"/>
      <c r="AK499" s="556"/>
      <c r="AL499" s="556"/>
      <c r="AM499" s="556"/>
      <c r="AN499" s="556"/>
      <c r="AO499" s="556"/>
      <c r="AP499" s="556"/>
      <c r="AQ499" s="556"/>
      <c r="AR499" s="556"/>
      <c r="AS499" s="565"/>
      <c r="AT499" s="556"/>
      <c r="AU499" s="700"/>
    </row>
    <row r="500" spans="1:47" hidden="1" x14ac:dyDescent="0.45">
      <c r="A500" s="556"/>
      <c r="B500" s="556"/>
      <c r="C500" s="556"/>
      <c r="D500" s="564"/>
      <c r="E500" s="556"/>
      <c r="F500" s="564"/>
      <c r="G500" s="564"/>
      <c r="H500" s="564"/>
      <c r="I500" s="564"/>
      <c r="J500" s="564"/>
      <c r="K500" s="564"/>
      <c r="L500" s="564"/>
      <c r="M500" s="564"/>
      <c r="N500" s="564"/>
      <c r="O500" s="564"/>
      <c r="P500" s="564"/>
      <c r="Q500" s="564"/>
      <c r="R500" s="564"/>
      <c r="S500" s="564"/>
      <c r="T500" s="564"/>
      <c r="U500" s="564"/>
      <c r="V500" s="564"/>
      <c r="W500" s="564"/>
      <c r="X500" s="564"/>
      <c r="Y500" s="564"/>
      <c r="Z500" s="564"/>
      <c r="AA500" s="564"/>
      <c r="AB500" s="556"/>
      <c r="AC500" s="556"/>
      <c r="AD500" s="556"/>
      <c r="AE500" s="556"/>
      <c r="AF500" s="556"/>
      <c r="AG500" s="556"/>
      <c r="AH500" s="556"/>
      <c r="AI500" s="556"/>
      <c r="AJ500" s="556"/>
      <c r="AK500" s="556"/>
      <c r="AL500" s="556"/>
      <c r="AM500" s="556"/>
      <c r="AN500" s="556"/>
      <c r="AO500" s="556"/>
      <c r="AP500" s="556"/>
      <c r="AQ500" s="556"/>
      <c r="AR500" s="556"/>
      <c r="AS500" s="565"/>
      <c r="AT500" s="556"/>
      <c r="AU500" s="700"/>
    </row>
    <row r="501" spans="1:47" hidden="1" x14ac:dyDescent="0.45">
      <c r="A501" s="556"/>
      <c r="B501" s="556"/>
      <c r="C501" s="556"/>
      <c r="D501" s="564"/>
      <c r="E501" s="556"/>
      <c r="F501" s="564"/>
      <c r="G501" s="564"/>
      <c r="H501" s="564"/>
      <c r="I501" s="564"/>
      <c r="J501" s="564"/>
      <c r="K501" s="564"/>
      <c r="L501" s="564"/>
      <c r="M501" s="564"/>
      <c r="N501" s="564"/>
      <c r="O501" s="564"/>
      <c r="P501" s="564"/>
      <c r="Q501" s="564"/>
      <c r="R501" s="564"/>
      <c r="S501" s="564"/>
      <c r="T501" s="564"/>
      <c r="U501" s="564"/>
      <c r="V501" s="564"/>
      <c r="W501" s="564"/>
      <c r="X501" s="564"/>
      <c r="Y501" s="564"/>
      <c r="Z501" s="564"/>
      <c r="AA501" s="564"/>
      <c r="AB501" s="556"/>
      <c r="AC501" s="556"/>
      <c r="AD501" s="556"/>
      <c r="AE501" s="556"/>
      <c r="AF501" s="556"/>
      <c r="AG501" s="556"/>
      <c r="AH501" s="556"/>
      <c r="AI501" s="556"/>
      <c r="AJ501" s="556"/>
      <c r="AK501" s="556"/>
      <c r="AL501" s="556"/>
      <c r="AM501" s="556"/>
      <c r="AN501" s="556"/>
      <c r="AO501" s="556"/>
      <c r="AP501" s="556"/>
      <c r="AQ501" s="556"/>
      <c r="AR501" s="556"/>
      <c r="AS501" s="565"/>
      <c r="AT501" s="556"/>
      <c r="AU501" s="700"/>
    </row>
    <row r="502" spans="1:47" hidden="1" x14ac:dyDescent="0.45">
      <c r="A502" s="556"/>
      <c r="B502" s="556"/>
      <c r="C502" s="556"/>
      <c r="D502" s="564"/>
      <c r="E502" s="556"/>
      <c r="F502" s="564"/>
      <c r="G502" s="564"/>
      <c r="H502" s="564"/>
      <c r="I502" s="564"/>
      <c r="J502" s="564"/>
      <c r="K502" s="564"/>
      <c r="L502" s="564"/>
      <c r="M502" s="564"/>
      <c r="N502" s="564"/>
      <c r="O502" s="564"/>
      <c r="P502" s="564"/>
      <c r="Q502" s="564"/>
      <c r="R502" s="564"/>
      <c r="S502" s="564"/>
      <c r="T502" s="564"/>
      <c r="U502" s="564"/>
      <c r="V502" s="564"/>
      <c r="W502" s="564"/>
      <c r="X502" s="564"/>
      <c r="Y502" s="564"/>
      <c r="Z502" s="564"/>
      <c r="AA502" s="564"/>
      <c r="AB502" s="556"/>
      <c r="AC502" s="556"/>
      <c r="AD502" s="556"/>
      <c r="AE502" s="556"/>
      <c r="AF502" s="556"/>
      <c r="AG502" s="556"/>
      <c r="AH502" s="556"/>
      <c r="AI502" s="556"/>
      <c r="AJ502" s="556"/>
      <c r="AK502" s="556"/>
      <c r="AL502" s="556"/>
      <c r="AM502" s="556"/>
      <c r="AN502" s="556"/>
      <c r="AO502" s="556"/>
      <c r="AP502" s="556"/>
      <c r="AQ502" s="556"/>
      <c r="AR502" s="556"/>
      <c r="AS502" s="565"/>
      <c r="AT502" s="556"/>
      <c r="AU502" s="700"/>
    </row>
    <row r="503" spans="1:47" hidden="1" x14ac:dyDescent="0.45">
      <c r="A503" s="556"/>
      <c r="B503" s="556"/>
      <c r="C503" s="556"/>
      <c r="D503" s="564"/>
      <c r="E503" s="556"/>
      <c r="F503" s="564"/>
      <c r="G503" s="564"/>
      <c r="H503" s="564"/>
      <c r="I503" s="564"/>
      <c r="J503" s="564"/>
      <c r="K503" s="564"/>
      <c r="L503" s="564"/>
      <c r="M503" s="564"/>
      <c r="N503" s="564"/>
      <c r="O503" s="564"/>
      <c r="P503" s="564"/>
      <c r="Q503" s="564"/>
      <c r="R503" s="564"/>
      <c r="S503" s="564"/>
      <c r="T503" s="564"/>
      <c r="U503" s="564"/>
      <c r="V503" s="564"/>
      <c r="W503" s="564"/>
      <c r="X503" s="564"/>
      <c r="Y503" s="564"/>
      <c r="Z503" s="564"/>
      <c r="AA503" s="564"/>
      <c r="AB503" s="556"/>
      <c r="AC503" s="556"/>
      <c r="AD503" s="556"/>
      <c r="AE503" s="556"/>
      <c r="AF503" s="556"/>
      <c r="AG503" s="556"/>
      <c r="AH503" s="556"/>
      <c r="AI503" s="556"/>
      <c r="AJ503" s="556"/>
      <c r="AK503" s="556"/>
      <c r="AL503" s="556"/>
      <c r="AM503" s="556"/>
      <c r="AN503" s="556"/>
      <c r="AO503" s="556"/>
      <c r="AP503" s="556"/>
      <c r="AQ503" s="556"/>
      <c r="AR503" s="556"/>
      <c r="AS503" s="565"/>
      <c r="AT503" s="556"/>
      <c r="AU503" s="700"/>
    </row>
    <row r="504" spans="1:47" hidden="1" x14ac:dyDescent="0.45">
      <c r="A504" s="556"/>
      <c r="B504" s="556"/>
      <c r="C504" s="556"/>
      <c r="D504" s="564"/>
      <c r="E504" s="556"/>
      <c r="F504" s="564"/>
      <c r="G504" s="564"/>
      <c r="H504" s="564"/>
      <c r="I504" s="564"/>
      <c r="J504" s="564"/>
      <c r="K504" s="564"/>
      <c r="L504" s="564"/>
      <c r="M504" s="564"/>
      <c r="N504" s="564"/>
      <c r="O504" s="564"/>
      <c r="P504" s="564"/>
      <c r="Q504" s="564"/>
      <c r="R504" s="564"/>
      <c r="S504" s="564"/>
      <c r="T504" s="564"/>
      <c r="U504" s="564"/>
      <c r="V504" s="564"/>
      <c r="W504" s="564"/>
      <c r="X504" s="564"/>
      <c r="Y504" s="564"/>
      <c r="Z504" s="564"/>
      <c r="AA504" s="564"/>
      <c r="AB504" s="556"/>
      <c r="AC504" s="556"/>
      <c r="AD504" s="556"/>
      <c r="AE504" s="556"/>
      <c r="AF504" s="556"/>
      <c r="AG504" s="556"/>
      <c r="AH504" s="556"/>
      <c r="AI504" s="556"/>
      <c r="AJ504" s="556"/>
      <c r="AK504" s="556"/>
      <c r="AL504" s="556"/>
      <c r="AM504" s="556"/>
      <c r="AN504" s="556"/>
      <c r="AO504" s="556"/>
      <c r="AP504" s="556"/>
      <c r="AQ504" s="556"/>
      <c r="AR504" s="556"/>
      <c r="AS504" s="565"/>
      <c r="AT504" s="556"/>
      <c r="AU504" s="700"/>
    </row>
    <row r="505" spans="1:47" hidden="1" x14ac:dyDescent="0.45">
      <c r="A505" s="556"/>
      <c r="B505" s="556"/>
      <c r="C505" s="556"/>
      <c r="D505" s="564"/>
      <c r="E505" s="556"/>
      <c r="F505" s="564"/>
      <c r="G505" s="564"/>
      <c r="H505" s="564"/>
      <c r="I505" s="564"/>
      <c r="J505" s="564"/>
      <c r="K505" s="564"/>
      <c r="L505" s="564"/>
      <c r="M505" s="564"/>
      <c r="N505" s="564"/>
      <c r="O505" s="564"/>
      <c r="P505" s="564"/>
      <c r="Q505" s="564"/>
      <c r="R505" s="564"/>
      <c r="S505" s="564"/>
      <c r="T505" s="564"/>
      <c r="U505" s="564"/>
      <c r="V505" s="564"/>
      <c r="W505" s="564"/>
      <c r="X505" s="564"/>
      <c r="Y505" s="564"/>
      <c r="Z505" s="564"/>
      <c r="AA505" s="564"/>
      <c r="AB505" s="556"/>
      <c r="AC505" s="556"/>
      <c r="AD505" s="556"/>
      <c r="AE505" s="556"/>
      <c r="AF505" s="556"/>
      <c r="AG505" s="556"/>
      <c r="AH505" s="556"/>
      <c r="AI505" s="556"/>
      <c r="AJ505" s="556"/>
      <c r="AK505" s="556"/>
      <c r="AL505" s="556"/>
      <c r="AM505" s="556"/>
      <c r="AN505" s="556"/>
      <c r="AO505" s="556"/>
      <c r="AP505" s="556"/>
      <c r="AQ505" s="556"/>
      <c r="AR505" s="556"/>
      <c r="AS505" s="565"/>
      <c r="AT505" s="556"/>
      <c r="AU505" s="700"/>
    </row>
    <row r="506" spans="1:47" hidden="1" x14ac:dyDescent="0.45">
      <c r="A506" s="556"/>
      <c r="B506" s="556"/>
      <c r="C506" s="556"/>
      <c r="D506" s="564"/>
      <c r="E506" s="556"/>
      <c r="F506" s="564"/>
      <c r="G506" s="564"/>
      <c r="H506" s="564"/>
      <c r="I506" s="564"/>
      <c r="J506" s="564"/>
      <c r="K506" s="564"/>
      <c r="L506" s="564"/>
      <c r="M506" s="564"/>
      <c r="N506" s="564"/>
      <c r="O506" s="564"/>
      <c r="P506" s="564"/>
      <c r="Q506" s="564"/>
      <c r="R506" s="564"/>
      <c r="S506" s="564"/>
      <c r="T506" s="564"/>
      <c r="U506" s="564"/>
      <c r="V506" s="564"/>
      <c r="W506" s="564"/>
      <c r="X506" s="564"/>
      <c r="Y506" s="564"/>
      <c r="Z506" s="564"/>
      <c r="AA506" s="564"/>
      <c r="AB506" s="556"/>
      <c r="AC506" s="556"/>
      <c r="AD506" s="556"/>
      <c r="AE506" s="556"/>
      <c r="AF506" s="556"/>
      <c r="AG506" s="556"/>
      <c r="AH506" s="556"/>
      <c r="AI506" s="556"/>
      <c r="AJ506" s="556"/>
      <c r="AK506" s="556"/>
      <c r="AL506" s="556"/>
      <c r="AM506" s="556"/>
      <c r="AN506" s="556"/>
      <c r="AO506" s="556"/>
      <c r="AP506" s="556"/>
      <c r="AQ506" s="556"/>
      <c r="AR506" s="556"/>
      <c r="AS506" s="565"/>
      <c r="AT506" s="556"/>
      <c r="AU506" s="700"/>
    </row>
    <row r="507" spans="1:47" hidden="1" x14ac:dyDescent="0.45">
      <c r="A507" s="556"/>
      <c r="B507" s="556"/>
      <c r="C507" s="556"/>
      <c r="D507" s="564"/>
      <c r="E507" s="556"/>
      <c r="F507" s="564"/>
      <c r="G507" s="564"/>
      <c r="H507" s="564"/>
      <c r="I507" s="564"/>
      <c r="J507" s="564"/>
      <c r="K507" s="564"/>
      <c r="L507" s="564"/>
      <c r="M507" s="564"/>
      <c r="N507" s="564"/>
      <c r="O507" s="564"/>
      <c r="P507" s="564"/>
      <c r="Q507" s="564"/>
      <c r="R507" s="564"/>
      <c r="S507" s="564"/>
      <c r="T507" s="564"/>
      <c r="U507" s="564"/>
      <c r="V507" s="564"/>
      <c r="W507" s="564"/>
      <c r="X507" s="564"/>
      <c r="Y507" s="564"/>
      <c r="Z507" s="564"/>
      <c r="AA507" s="564"/>
      <c r="AB507" s="556"/>
      <c r="AC507" s="556"/>
      <c r="AD507" s="556"/>
      <c r="AE507" s="556"/>
      <c r="AF507" s="556"/>
      <c r="AG507" s="556"/>
      <c r="AH507" s="556"/>
      <c r="AI507" s="556"/>
      <c r="AJ507" s="556"/>
      <c r="AK507" s="556"/>
      <c r="AL507" s="556"/>
      <c r="AM507" s="556"/>
      <c r="AN507" s="556"/>
      <c r="AO507" s="556"/>
      <c r="AP507" s="556"/>
      <c r="AQ507" s="556"/>
      <c r="AR507" s="556"/>
      <c r="AS507" s="565"/>
      <c r="AT507" s="556"/>
      <c r="AU507" s="700"/>
    </row>
    <row r="508" spans="1:47" hidden="1" x14ac:dyDescent="0.45">
      <c r="A508" s="556"/>
      <c r="B508" s="556"/>
      <c r="C508" s="556"/>
      <c r="D508" s="564"/>
      <c r="E508" s="556"/>
      <c r="F508" s="564"/>
      <c r="G508" s="564"/>
      <c r="H508" s="564"/>
      <c r="I508" s="564"/>
      <c r="J508" s="564"/>
      <c r="K508" s="564"/>
      <c r="L508" s="564"/>
      <c r="M508" s="564"/>
      <c r="N508" s="564"/>
      <c r="O508" s="564"/>
      <c r="P508" s="564"/>
      <c r="Q508" s="564"/>
      <c r="R508" s="564"/>
      <c r="S508" s="564"/>
      <c r="T508" s="564"/>
      <c r="U508" s="564"/>
      <c r="V508" s="564"/>
      <c r="W508" s="564"/>
      <c r="X508" s="564"/>
      <c r="Y508" s="564"/>
      <c r="Z508" s="564"/>
      <c r="AA508" s="564"/>
      <c r="AB508" s="556"/>
      <c r="AC508" s="556"/>
      <c r="AD508" s="556"/>
      <c r="AE508" s="556"/>
      <c r="AF508" s="556"/>
      <c r="AG508" s="556"/>
      <c r="AH508" s="556"/>
      <c r="AI508" s="556"/>
      <c r="AJ508" s="556"/>
      <c r="AK508" s="556"/>
      <c r="AL508" s="556"/>
      <c r="AM508" s="556"/>
      <c r="AN508" s="556"/>
      <c r="AO508" s="556"/>
      <c r="AP508" s="556"/>
      <c r="AQ508" s="556"/>
      <c r="AR508" s="556"/>
      <c r="AS508" s="565"/>
      <c r="AT508" s="556"/>
      <c r="AU508" s="700"/>
    </row>
    <row r="509" spans="1:47" hidden="1" x14ac:dyDescent="0.45">
      <c r="A509" s="556"/>
      <c r="B509" s="556"/>
      <c r="C509" s="556"/>
      <c r="D509" s="564"/>
      <c r="E509" s="556"/>
      <c r="F509" s="564"/>
      <c r="G509" s="564"/>
      <c r="H509" s="564"/>
      <c r="I509" s="564"/>
      <c r="J509" s="564"/>
      <c r="K509" s="564"/>
      <c r="L509" s="564"/>
      <c r="M509" s="564"/>
      <c r="N509" s="564"/>
      <c r="O509" s="564"/>
      <c r="P509" s="564"/>
      <c r="Q509" s="564"/>
      <c r="R509" s="564"/>
      <c r="S509" s="564"/>
      <c r="T509" s="564"/>
      <c r="U509" s="564"/>
      <c r="V509" s="564"/>
      <c r="W509" s="564"/>
      <c r="X509" s="564"/>
      <c r="Y509" s="564"/>
      <c r="Z509" s="564"/>
      <c r="AA509" s="564"/>
      <c r="AB509" s="556"/>
      <c r="AC509" s="556"/>
      <c r="AD509" s="556"/>
      <c r="AE509" s="556"/>
      <c r="AF509" s="556"/>
      <c r="AG509" s="556"/>
      <c r="AH509" s="556"/>
      <c r="AI509" s="556"/>
      <c r="AJ509" s="556"/>
      <c r="AK509" s="556"/>
      <c r="AL509" s="556"/>
      <c r="AM509" s="556"/>
      <c r="AN509" s="556"/>
      <c r="AO509" s="556"/>
      <c r="AP509" s="556"/>
      <c r="AQ509" s="556"/>
      <c r="AR509" s="556"/>
      <c r="AS509" s="565"/>
      <c r="AT509" s="556"/>
      <c r="AU509" s="700"/>
    </row>
    <row r="510" spans="1:47" hidden="1" x14ac:dyDescent="0.45">
      <c r="A510" s="556"/>
      <c r="B510" s="556"/>
      <c r="C510" s="556"/>
      <c r="D510" s="564"/>
      <c r="E510" s="556"/>
      <c r="F510" s="564"/>
      <c r="G510" s="564"/>
      <c r="H510" s="564"/>
      <c r="I510" s="564"/>
      <c r="J510" s="564"/>
      <c r="K510" s="564"/>
      <c r="L510" s="564"/>
      <c r="M510" s="564"/>
      <c r="N510" s="564"/>
      <c r="O510" s="564"/>
      <c r="P510" s="564"/>
      <c r="Q510" s="564"/>
      <c r="R510" s="564"/>
      <c r="S510" s="564"/>
      <c r="T510" s="564"/>
      <c r="U510" s="564"/>
      <c r="V510" s="564"/>
      <c r="W510" s="564"/>
      <c r="X510" s="564"/>
      <c r="Y510" s="564"/>
      <c r="Z510" s="564"/>
      <c r="AA510" s="564"/>
      <c r="AB510" s="556"/>
      <c r="AC510" s="556"/>
      <c r="AD510" s="556"/>
      <c r="AE510" s="556"/>
      <c r="AF510" s="556"/>
      <c r="AG510" s="556"/>
      <c r="AH510" s="556"/>
      <c r="AI510" s="556"/>
      <c r="AJ510" s="556"/>
      <c r="AK510" s="556"/>
      <c r="AL510" s="556"/>
      <c r="AM510" s="556"/>
      <c r="AN510" s="556"/>
      <c r="AO510" s="556"/>
      <c r="AP510" s="556"/>
      <c r="AQ510" s="556"/>
      <c r="AR510" s="556"/>
      <c r="AS510" s="565"/>
      <c r="AT510" s="556"/>
      <c r="AU510" s="700"/>
    </row>
    <row r="511" spans="1:47" hidden="1" x14ac:dyDescent="0.45">
      <c r="A511" s="556"/>
      <c r="B511" s="556"/>
      <c r="C511" s="556"/>
      <c r="D511" s="564"/>
      <c r="E511" s="556"/>
      <c r="F511" s="564"/>
      <c r="G511" s="564"/>
      <c r="H511" s="564"/>
      <c r="I511" s="564"/>
      <c r="J511" s="564"/>
      <c r="K511" s="564"/>
      <c r="L511" s="564"/>
      <c r="M511" s="564"/>
      <c r="N511" s="564"/>
      <c r="O511" s="564"/>
      <c r="P511" s="564"/>
      <c r="Q511" s="564"/>
      <c r="R511" s="564"/>
      <c r="S511" s="564"/>
      <c r="T511" s="564"/>
      <c r="U511" s="564"/>
      <c r="V511" s="564"/>
      <c r="W511" s="564"/>
      <c r="X511" s="564"/>
      <c r="Y511" s="564"/>
      <c r="Z511" s="564"/>
      <c r="AA511" s="564"/>
      <c r="AB511" s="556"/>
      <c r="AC511" s="556"/>
      <c r="AD511" s="556"/>
      <c r="AE511" s="556"/>
      <c r="AF511" s="556"/>
      <c r="AG511" s="556"/>
      <c r="AH511" s="556"/>
      <c r="AI511" s="556"/>
      <c r="AJ511" s="556"/>
      <c r="AK511" s="556"/>
      <c r="AL511" s="556"/>
      <c r="AM511" s="556"/>
      <c r="AN511" s="556"/>
      <c r="AO511" s="556"/>
      <c r="AP511" s="556"/>
      <c r="AQ511" s="556"/>
      <c r="AR511" s="556"/>
      <c r="AS511" s="565"/>
      <c r="AT511" s="556"/>
      <c r="AU511" s="700"/>
    </row>
    <row r="512" spans="1:47" hidden="1" x14ac:dyDescent="0.45">
      <c r="A512" s="556"/>
      <c r="B512" s="556"/>
      <c r="C512" s="556"/>
      <c r="D512" s="564"/>
      <c r="E512" s="556"/>
      <c r="F512" s="564"/>
      <c r="G512" s="564"/>
      <c r="H512" s="564"/>
      <c r="I512" s="564"/>
      <c r="J512" s="564"/>
      <c r="K512" s="564"/>
      <c r="L512" s="564"/>
      <c r="M512" s="564"/>
      <c r="N512" s="564"/>
      <c r="O512" s="564"/>
      <c r="P512" s="564"/>
      <c r="Q512" s="564"/>
      <c r="R512" s="564"/>
      <c r="S512" s="564"/>
      <c r="T512" s="564"/>
      <c r="U512" s="564"/>
      <c r="V512" s="564"/>
      <c r="W512" s="564"/>
      <c r="X512" s="564"/>
      <c r="Y512" s="564"/>
      <c r="Z512" s="564"/>
      <c r="AA512" s="564"/>
      <c r="AB512" s="556"/>
      <c r="AC512" s="556"/>
      <c r="AD512" s="556"/>
      <c r="AE512" s="556"/>
      <c r="AF512" s="556"/>
      <c r="AG512" s="556"/>
      <c r="AH512" s="556"/>
      <c r="AI512" s="556"/>
      <c r="AJ512" s="556"/>
      <c r="AK512" s="556"/>
      <c r="AL512" s="556"/>
      <c r="AM512" s="556"/>
      <c r="AN512" s="556"/>
      <c r="AO512" s="556"/>
      <c r="AP512" s="556"/>
      <c r="AQ512" s="556"/>
      <c r="AR512" s="556"/>
      <c r="AS512" s="565"/>
      <c r="AT512" s="556"/>
      <c r="AU512" s="700"/>
    </row>
    <row r="513" spans="1:47" hidden="1" x14ac:dyDescent="0.45">
      <c r="A513" s="556"/>
      <c r="B513" s="556"/>
      <c r="C513" s="556"/>
      <c r="D513" s="564"/>
      <c r="E513" s="556"/>
      <c r="F513" s="564"/>
      <c r="G513" s="564"/>
      <c r="H513" s="564"/>
      <c r="I513" s="564"/>
      <c r="J513" s="564"/>
      <c r="K513" s="564"/>
      <c r="L513" s="564"/>
      <c r="M513" s="564"/>
      <c r="N513" s="564"/>
      <c r="O513" s="564"/>
      <c r="P513" s="564"/>
      <c r="Q513" s="564"/>
      <c r="R513" s="564"/>
      <c r="S513" s="564"/>
      <c r="T513" s="564"/>
      <c r="U513" s="564"/>
      <c r="V513" s="564"/>
      <c r="W513" s="564"/>
      <c r="X513" s="564"/>
      <c r="Y513" s="564"/>
      <c r="Z513" s="564"/>
      <c r="AA513" s="564"/>
      <c r="AB513" s="556"/>
      <c r="AC513" s="556"/>
      <c r="AD513" s="556"/>
      <c r="AE513" s="556"/>
      <c r="AF513" s="556"/>
      <c r="AG513" s="556"/>
      <c r="AH513" s="556"/>
      <c r="AI513" s="556"/>
      <c r="AJ513" s="556"/>
      <c r="AK513" s="556"/>
      <c r="AL513" s="556"/>
      <c r="AM513" s="556"/>
      <c r="AN513" s="556"/>
      <c r="AO513" s="556"/>
      <c r="AP513" s="556"/>
      <c r="AQ513" s="556"/>
      <c r="AR513" s="556"/>
      <c r="AS513" s="565"/>
      <c r="AT513" s="556"/>
      <c r="AU513" s="700"/>
    </row>
    <row r="514" spans="1:47" hidden="1" x14ac:dyDescent="0.45">
      <c r="A514" s="556"/>
      <c r="B514" s="556"/>
      <c r="C514" s="556"/>
      <c r="D514" s="564"/>
      <c r="E514" s="556"/>
      <c r="F514" s="564"/>
      <c r="G514" s="564"/>
      <c r="H514" s="564"/>
      <c r="I514" s="564"/>
      <c r="J514" s="564"/>
      <c r="K514" s="564"/>
      <c r="L514" s="564"/>
      <c r="M514" s="564"/>
      <c r="N514" s="564"/>
      <c r="O514" s="564"/>
      <c r="P514" s="564"/>
      <c r="Q514" s="564"/>
      <c r="R514" s="564"/>
      <c r="S514" s="564"/>
      <c r="T514" s="564"/>
      <c r="U514" s="564"/>
      <c r="V514" s="564"/>
      <c r="W514" s="564"/>
      <c r="X514" s="564"/>
      <c r="Y514" s="564"/>
      <c r="Z514" s="564"/>
      <c r="AA514" s="564"/>
      <c r="AB514" s="556"/>
      <c r="AC514" s="556"/>
      <c r="AD514" s="556"/>
      <c r="AE514" s="556"/>
      <c r="AF514" s="556"/>
      <c r="AG514" s="556"/>
      <c r="AH514" s="556"/>
      <c r="AI514" s="556"/>
      <c r="AJ514" s="556"/>
      <c r="AK514" s="556"/>
      <c r="AL514" s="556"/>
      <c r="AM514" s="556"/>
      <c r="AN514" s="556"/>
      <c r="AO514" s="556"/>
      <c r="AP514" s="556"/>
      <c r="AQ514" s="556"/>
      <c r="AR514" s="556"/>
      <c r="AS514" s="565"/>
      <c r="AT514" s="556"/>
      <c r="AU514" s="700"/>
    </row>
    <row r="515" spans="1:47" hidden="1" x14ac:dyDescent="0.45">
      <c r="A515" s="556"/>
      <c r="B515" s="556"/>
      <c r="C515" s="556"/>
      <c r="D515" s="564"/>
      <c r="E515" s="556"/>
      <c r="F515" s="564"/>
      <c r="G515" s="564"/>
      <c r="H515" s="564"/>
      <c r="I515" s="564"/>
      <c r="J515" s="564"/>
      <c r="K515" s="564"/>
      <c r="L515" s="564"/>
      <c r="M515" s="564"/>
      <c r="N515" s="564"/>
      <c r="O515" s="564"/>
      <c r="P515" s="564"/>
      <c r="Q515" s="564"/>
      <c r="R515" s="564"/>
      <c r="S515" s="564"/>
      <c r="T515" s="564"/>
      <c r="U515" s="564"/>
      <c r="V515" s="564"/>
      <c r="W515" s="564"/>
      <c r="X515" s="564"/>
      <c r="Y515" s="564"/>
      <c r="Z515" s="564"/>
      <c r="AA515" s="564"/>
      <c r="AB515" s="556"/>
      <c r="AC515" s="556"/>
      <c r="AD515" s="556"/>
      <c r="AE515" s="556"/>
      <c r="AF515" s="556"/>
      <c r="AG515" s="556"/>
      <c r="AH515" s="556"/>
      <c r="AI515" s="556"/>
      <c r="AJ515" s="556"/>
      <c r="AK515" s="556"/>
      <c r="AL515" s="556"/>
      <c r="AM515" s="556"/>
      <c r="AN515" s="556"/>
      <c r="AO515" s="556"/>
      <c r="AP515" s="556"/>
      <c r="AQ515" s="556"/>
      <c r="AR515" s="556"/>
      <c r="AS515" s="565"/>
      <c r="AT515" s="556"/>
      <c r="AU515" s="700"/>
    </row>
    <row r="516" spans="1:47" hidden="1" x14ac:dyDescent="0.45">
      <c r="A516" s="556"/>
      <c r="B516" s="556"/>
      <c r="C516" s="556"/>
      <c r="D516" s="564"/>
      <c r="E516" s="556"/>
      <c r="F516" s="564"/>
      <c r="G516" s="564"/>
      <c r="H516" s="564"/>
      <c r="I516" s="564"/>
      <c r="J516" s="564"/>
      <c r="K516" s="564"/>
      <c r="L516" s="564"/>
      <c r="M516" s="564"/>
      <c r="N516" s="564"/>
      <c r="O516" s="564"/>
      <c r="P516" s="564"/>
      <c r="Q516" s="564"/>
      <c r="R516" s="564"/>
      <c r="S516" s="564"/>
      <c r="T516" s="564"/>
      <c r="U516" s="564"/>
      <c r="V516" s="564"/>
      <c r="W516" s="564"/>
      <c r="X516" s="564"/>
      <c r="Y516" s="564"/>
      <c r="Z516" s="564"/>
      <c r="AA516" s="564"/>
      <c r="AB516" s="556"/>
      <c r="AC516" s="556"/>
      <c r="AD516" s="556"/>
      <c r="AE516" s="556"/>
      <c r="AF516" s="556"/>
      <c r="AG516" s="556"/>
      <c r="AH516" s="556"/>
      <c r="AI516" s="556"/>
      <c r="AJ516" s="556"/>
      <c r="AK516" s="556"/>
      <c r="AL516" s="556"/>
      <c r="AM516" s="556"/>
      <c r="AN516" s="556"/>
      <c r="AO516" s="556"/>
      <c r="AP516" s="556"/>
      <c r="AQ516" s="556"/>
      <c r="AR516" s="556"/>
      <c r="AS516" s="565"/>
      <c r="AT516" s="556"/>
      <c r="AU516" s="700"/>
    </row>
    <row r="517" spans="1:47" hidden="1" x14ac:dyDescent="0.45">
      <c r="A517" s="556"/>
      <c r="B517" s="556"/>
      <c r="C517" s="556"/>
      <c r="D517" s="564"/>
      <c r="E517" s="556"/>
      <c r="F517" s="564"/>
      <c r="G517" s="564"/>
      <c r="H517" s="564"/>
      <c r="I517" s="564"/>
      <c r="J517" s="564"/>
      <c r="K517" s="564"/>
      <c r="L517" s="564"/>
      <c r="M517" s="564"/>
      <c r="N517" s="564"/>
      <c r="O517" s="564"/>
      <c r="P517" s="564"/>
      <c r="Q517" s="564"/>
      <c r="R517" s="564"/>
      <c r="S517" s="564"/>
      <c r="T517" s="564"/>
      <c r="U517" s="564"/>
      <c r="V517" s="564"/>
      <c r="W517" s="564"/>
      <c r="X517" s="564"/>
      <c r="Y517" s="564"/>
      <c r="Z517" s="564"/>
      <c r="AA517" s="564"/>
      <c r="AB517" s="556"/>
      <c r="AC517" s="556"/>
      <c r="AD517" s="556"/>
      <c r="AE517" s="556"/>
      <c r="AF517" s="556"/>
      <c r="AG517" s="556"/>
      <c r="AH517" s="556"/>
      <c r="AI517" s="556"/>
      <c r="AJ517" s="556"/>
      <c r="AK517" s="556"/>
      <c r="AL517" s="556"/>
      <c r="AM517" s="556"/>
      <c r="AN517" s="556"/>
      <c r="AO517" s="556"/>
      <c r="AP517" s="556"/>
      <c r="AQ517" s="556"/>
      <c r="AR517" s="556"/>
      <c r="AS517" s="565"/>
      <c r="AT517" s="556"/>
      <c r="AU517" s="700"/>
    </row>
    <row r="518" spans="1:47" hidden="1" x14ac:dyDescent="0.45">
      <c r="A518" s="556"/>
      <c r="B518" s="556"/>
      <c r="C518" s="556"/>
      <c r="D518" s="564"/>
      <c r="E518" s="556"/>
      <c r="F518" s="564"/>
      <c r="G518" s="564"/>
      <c r="H518" s="564"/>
      <c r="I518" s="564"/>
      <c r="J518" s="564"/>
      <c r="K518" s="564"/>
      <c r="L518" s="564"/>
      <c r="M518" s="564"/>
      <c r="N518" s="564"/>
      <c r="O518" s="564"/>
      <c r="P518" s="564"/>
      <c r="Q518" s="564"/>
      <c r="R518" s="564"/>
      <c r="S518" s="564"/>
      <c r="T518" s="564"/>
      <c r="U518" s="564"/>
      <c r="V518" s="564"/>
      <c r="W518" s="564"/>
      <c r="X518" s="564"/>
      <c r="Y518" s="564"/>
      <c r="Z518" s="564"/>
      <c r="AA518" s="564"/>
      <c r="AB518" s="556"/>
      <c r="AC518" s="556"/>
      <c r="AD518" s="556"/>
      <c r="AE518" s="556"/>
      <c r="AF518" s="556"/>
      <c r="AG518" s="556"/>
      <c r="AH518" s="556"/>
      <c r="AI518" s="556"/>
      <c r="AJ518" s="556"/>
      <c r="AK518" s="556"/>
      <c r="AL518" s="556"/>
      <c r="AM518" s="556"/>
      <c r="AN518" s="556"/>
      <c r="AO518" s="556"/>
      <c r="AP518" s="556"/>
      <c r="AQ518" s="556"/>
      <c r="AR518" s="556"/>
      <c r="AS518" s="565"/>
      <c r="AT518" s="556"/>
      <c r="AU518" s="700"/>
    </row>
    <row r="519" spans="1:47" hidden="1" x14ac:dyDescent="0.45">
      <c r="A519" s="556"/>
      <c r="B519" s="556"/>
      <c r="C519" s="556"/>
      <c r="D519" s="564"/>
      <c r="E519" s="556"/>
      <c r="F519" s="564"/>
      <c r="G519" s="564"/>
      <c r="H519" s="564"/>
      <c r="I519" s="564"/>
      <c r="J519" s="564"/>
      <c r="K519" s="564"/>
      <c r="L519" s="564"/>
      <c r="M519" s="564"/>
      <c r="N519" s="564"/>
      <c r="O519" s="564"/>
      <c r="P519" s="564"/>
      <c r="Q519" s="564"/>
      <c r="R519" s="564"/>
      <c r="S519" s="564"/>
      <c r="T519" s="564"/>
      <c r="U519" s="564"/>
      <c r="V519" s="564"/>
      <c r="W519" s="564"/>
      <c r="X519" s="564"/>
      <c r="Y519" s="564"/>
      <c r="Z519" s="564"/>
      <c r="AA519" s="564"/>
      <c r="AB519" s="556"/>
      <c r="AC519" s="556"/>
      <c r="AD519" s="556"/>
      <c r="AE519" s="556"/>
      <c r="AF519" s="556"/>
      <c r="AG519" s="556"/>
      <c r="AH519" s="556"/>
      <c r="AI519" s="556"/>
      <c r="AJ519" s="556"/>
      <c r="AK519" s="556"/>
      <c r="AL519" s="556"/>
      <c r="AM519" s="556"/>
      <c r="AN519" s="556"/>
      <c r="AO519" s="556"/>
      <c r="AP519" s="556"/>
      <c r="AQ519" s="556"/>
      <c r="AR519" s="556"/>
      <c r="AS519" s="565"/>
      <c r="AT519" s="556"/>
      <c r="AU519" s="700"/>
    </row>
    <row r="520" spans="1:47" hidden="1" x14ac:dyDescent="0.45">
      <c r="A520" s="556"/>
      <c r="B520" s="556"/>
      <c r="C520" s="556"/>
      <c r="D520" s="564"/>
      <c r="E520" s="556"/>
      <c r="F520" s="564"/>
      <c r="G520" s="564"/>
      <c r="H520" s="564"/>
      <c r="I520" s="564"/>
      <c r="J520" s="564"/>
      <c r="K520" s="564"/>
      <c r="L520" s="564"/>
      <c r="M520" s="564"/>
      <c r="N520" s="564"/>
      <c r="O520" s="564"/>
      <c r="P520" s="564"/>
      <c r="Q520" s="564"/>
      <c r="R520" s="564"/>
      <c r="S520" s="564"/>
      <c r="T520" s="564"/>
      <c r="U520" s="564"/>
      <c r="V520" s="564"/>
      <c r="W520" s="564"/>
      <c r="X520" s="564"/>
      <c r="Y520" s="564"/>
      <c r="Z520" s="564"/>
      <c r="AA520" s="564"/>
      <c r="AB520" s="556"/>
      <c r="AC520" s="556"/>
      <c r="AD520" s="556"/>
      <c r="AE520" s="556"/>
      <c r="AF520" s="556"/>
      <c r="AG520" s="556"/>
      <c r="AH520" s="556"/>
      <c r="AI520" s="556"/>
      <c r="AJ520" s="556"/>
      <c r="AK520" s="556"/>
      <c r="AL520" s="556"/>
      <c r="AM520" s="556"/>
      <c r="AN520" s="556"/>
      <c r="AO520" s="556"/>
      <c r="AP520" s="556"/>
      <c r="AQ520" s="556"/>
      <c r="AR520" s="556"/>
      <c r="AS520" s="565"/>
      <c r="AT520" s="556"/>
      <c r="AU520" s="700"/>
    </row>
    <row r="521" spans="1:47" hidden="1" x14ac:dyDescent="0.45">
      <c r="A521" s="556"/>
      <c r="B521" s="556"/>
      <c r="C521" s="556"/>
      <c r="D521" s="564"/>
      <c r="E521" s="556"/>
      <c r="F521" s="564"/>
      <c r="G521" s="564"/>
      <c r="H521" s="564"/>
      <c r="I521" s="564"/>
      <c r="J521" s="564"/>
      <c r="K521" s="564"/>
      <c r="L521" s="564"/>
      <c r="M521" s="564"/>
      <c r="N521" s="564"/>
      <c r="O521" s="564"/>
      <c r="P521" s="564"/>
      <c r="Q521" s="564"/>
      <c r="R521" s="564"/>
      <c r="S521" s="564"/>
      <c r="T521" s="564"/>
      <c r="U521" s="564"/>
      <c r="V521" s="564"/>
      <c r="W521" s="564"/>
      <c r="X521" s="564"/>
      <c r="Y521" s="564"/>
      <c r="Z521" s="564"/>
      <c r="AA521" s="564"/>
      <c r="AB521" s="556"/>
      <c r="AC521" s="556"/>
      <c r="AD521" s="556"/>
      <c r="AE521" s="556"/>
      <c r="AF521" s="556"/>
      <c r="AG521" s="556"/>
      <c r="AH521" s="556"/>
      <c r="AI521" s="556"/>
      <c r="AJ521" s="556"/>
      <c r="AK521" s="556"/>
      <c r="AL521" s="556"/>
      <c r="AM521" s="556"/>
      <c r="AN521" s="556"/>
      <c r="AO521" s="556"/>
      <c r="AP521" s="556"/>
      <c r="AQ521" s="556"/>
      <c r="AR521" s="556"/>
      <c r="AS521" s="565"/>
      <c r="AT521" s="556"/>
      <c r="AU521" s="700"/>
    </row>
    <row r="522" spans="1:47" hidden="1" x14ac:dyDescent="0.45">
      <c r="A522" s="556"/>
      <c r="B522" s="556"/>
      <c r="C522" s="556"/>
      <c r="D522" s="564"/>
      <c r="E522" s="556"/>
      <c r="F522" s="564"/>
      <c r="G522" s="564"/>
      <c r="H522" s="564"/>
      <c r="I522" s="564"/>
      <c r="J522" s="564"/>
      <c r="K522" s="564"/>
      <c r="L522" s="564"/>
      <c r="M522" s="564"/>
      <c r="N522" s="564"/>
      <c r="O522" s="564"/>
      <c r="P522" s="564"/>
      <c r="Q522" s="564"/>
      <c r="R522" s="564"/>
      <c r="S522" s="564"/>
      <c r="T522" s="564"/>
      <c r="U522" s="564"/>
      <c r="V522" s="564"/>
      <c r="W522" s="564"/>
      <c r="X522" s="564"/>
      <c r="Y522" s="564"/>
      <c r="Z522" s="564"/>
      <c r="AA522" s="564"/>
      <c r="AB522" s="556"/>
      <c r="AC522" s="556"/>
      <c r="AD522" s="556"/>
      <c r="AE522" s="556"/>
      <c r="AF522" s="556"/>
      <c r="AG522" s="556"/>
      <c r="AH522" s="556"/>
      <c r="AI522" s="556"/>
      <c r="AJ522" s="556"/>
      <c r="AK522" s="556"/>
      <c r="AL522" s="556"/>
      <c r="AM522" s="556"/>
      <c r="AN522" s="556"/>
      <c r="AO522" s="556"/>
      <c r="AP522" s="556"/>
      <c r="AQ522" s="556"/>
      <c r="AR522" s="556"/>
      <c r="AS522" s="565"/>
      <c r="AT522" s="556"/>
      <c r="AU522" s="700"/>
    </row>
    <row r="523" spans="1:47" hidden="1" x14ac:dyDescent="0.45">
      <c r="A523" s="556"/>
      <c r="B523" s="556"/>
      <c r="C523" s="556"/>
      <c r="D523" s="564"/>
      <c r="E523" s="556"/>
      <c r="F523" s="564"/>
      <c r="G523" s="564"/>
      <c r="H523" s="564"/>
      <c r="I523" s="564"/>
      <c r="J523" s="564"/>
      <c r="K523" s="564"/>
      <c r="L523" s="564"/>
      <c r="M523" s="564"/>
      <c r="N523" s="564"/>
      <c r="O523" s="564"/>
      <c r="P523" s="564"/>
      <c r="Q523" s="564"/>
      <c r="R523" s="564"/>
      <c r="S523" s="564"/>
      <c r="T523" s="564"/>
      <c r="U523" s="564"/>
      <c r="V523" s="564"/>
      <c r="W523" s="564"/>
      <c r="X523" s="564"/>
      <c r="Y523" s="564"/>
      <c r="Z523" s="564"/>
      <c r="AA523" s="564"/>
      <c r="AB523" s="556"/>
      <c r="AC523" s="556"/>
      <c r="AD523" s="556"/>
      <c r="AE523" s="556"/>
      <c r="AF523" s="556"/>
      <c r="AG523" s="556"/>
      <c r="AH523" s="556"/>
      <c r="AI523" s="556"/>
      <c r="AJ523" s="556"/>
      <c r="AK523" s="556"/>
      <c r="AL523" s="556"/>
      <c r="AM523" s="556"/>
      <c r="AN523" s="556"/>
      <c r="AO523" s="556"/>
      <c r="AP523" s="556"/>
      <c r="AQ523" s="556"/>
      <c r="AR523" s="556"/>
      <c r="AS523" s="565"/>
      <c r="AT523" s="556"/>
      <c r="AU523" s="700"/>
    </row>
    <row r="524" spans="1:47" hidden="1" x14ac:dyDescent="0.45">
      <c r="A524" s="556"/>
      <c r="B524" s="556"/>
      <c r="C524" s="556"/>
      <c r="D524" s="564"/>
      <c r="E524" s="556"/>
      <c r="F524" s="564"/>
      <c r="G524" s="564"/>
      <c r="H524" s="564"/>
      <c r="I524" s="564"/>
      <c r="J524" s="564"/>
      <c r="K524" s="564"/>
      <c r="L524" s="564"/>
      <c r="M524" s="564"/>
      <c r="N524" s="564"/>
      <c r="O524" s="564"/>
      <c r="P524" s="564"/>
      <c r="Q524" s="564"/>
      <c r="R524" s="564"/>
      <c r="S524" s="564"/>
      <c r="T524" s="564"/>
      <c r="U524" s="564"/>
      <c r="V524" s="564"/>
      <c r="W524" s="564"/>
      <c r="X524" s="564"/>
      <c r="Y524" s="564"/>
      <c r="Z524" s="564"/>
      <c r="AA524" s="564"/>
      <c r="AB524" s="556"/>
      <c r="AC524" s="556"/>
      <c r="AD524" s="556"/>
      <c r="AE524" s="556"/>
      <c r="AF524" s="556"/>
      <c r="AG524" s="556"/>
      <c r="AH524" s="556"/>
      <c r="AI524" s="556"/>
      <c r="AJ524" s="556"/>
      <c r="AK524" s="556"/>
      <c r="AL524" s="556"/>
      <c r="AM524" s="556"/>
      <c r="AN524" s="556"/>
      <c r="AO524" s="556"/>
      <c r="AP524" s="556"/>
      <c r="AQ524" s="556"/>
      <c r="AR524" s="556"/>
      <c r="AS524" s="565"/>
      <c r="AT524" s="556"/>
      <c r="AU524" s="700"/>
    </row>
    <row r="525" spans="1:47" hidden="1" x14ac:dyDescent="0.45">
      <c r="A525" s="556"/>
      <c r="B525" s="556"/>
      <c r="C525" s="556"/>
      <c r="D525" s="564"/>
      <c r="E525" s="556"/>
      <c r="F525" s="564"/>
      <c r="G525" s="564"/>
      <c r="H525" s="564"/>
      <c r="I525" s="564"/>
      <c r="J525" s="564"/>
      <c r="K525" s="564"/>
      <c r="L525" s="564"/>
      <c r="M525" s="564"/>
      <c r="N525" s="564"/>
      <c r="O525" s="564"/>
      <c r="P525" s="564"/>
      <c r="Q525" s="564"/>
      <c r="R525" s="564"/>
      <c r="S525" s="564"/>
      <c r="T525" s="564"/>
      <c r="U525" s="564"/>
      <c r="V525" s="564"/>
      <c r="W525" s="564"/>
      <c r="X525" s="564"/>
      <c r="Y525" s="564"/>
      <c r="Z525" s="564"/>
      <c r="AA525" s="564"/>
      <c r="AB525" s="556"/>
      <c r="AC525" s="556"/>
      <c r="AD525" s="556"/>
      <c r="AE525" s="556"/>
      <c r="AF525" s="556"/>
      <c r="AG525" s="556"/>
      <c r="AH525" s="556"/>
      <c r="AI525" s="556"/>
      <c r="AJ525" s="556"/>
      <c r="AK525" s="556"/>
      <c r="AL525" s="556"/>
      <c r="AM525" s="556"/>
      <c r="AN525" s="556"/>
      <c r="AO525" s="556"/>
      <c r="AP525" s="556"/>
      <c r="AQ525" s="556"/>
      <c r="AR525" s="556"/>
      <c r="AS525" s="565"/>
      <c r="AT525" s="556"/>
      <c r="AU525" s="700"/>
    </row>
    <row r="526" spans="1:47" hidden="1" x14ac:dyDescent="0.45">
      <c r="A526" s="556"/>
      <c r="B526" s="556"/>
      <c r="C526" s="556"/>
      <c r="D526" s="564"/>
      <c r="E526" s="556"/>
      <c r="F526" s="564"/>
      <c r="G526" s="564"/>
      <c r="H526" s="564"/>
      <c r="I526" s="564"/>
      <c r="J526" s="564"/>
      <c r="K526" s="564"/>
      <c r="L526" s="564"/>
      <c r="M526" s="564"/>
      <c r="N526" s="564"/>
      <c r="O526" s="564"/>
      <c r="P526" s="564"/>
      <c r="Q526" s="564"/>
      <c r="R526" s="564"/>
      <c r="S526" s="564"/>
      <c r="T526" s="564"/>
      <c r="U526" s="564"/>
      <c r="V526" s="564"/>
      <c r="W526" s="564"/>
      <c r="X526" s="564"/>
      <c r="Y526" s="564"/>
      <c r="Z526" s="564"/>
      <c r="AA526" s="564"/>
      <c r="AB526" s="556"/>
      <c r="AC526" s="556"/>
      <c r="AD526" s="556"/>
      <c r="AE526" s="556"/>
      <c r="AF526" s="556"/>
      <c r="AG526" s="556"/>
      <c r="AH526" s="556"/>
      <c r="AI526" s="556"/>
      <c r="AJ526" s="556"/>
      <c r="AK526" s="556"/>
      <c r="AL526" s="556"/>
      <c r="AM526" s="556"/>
      <c r="AN526" s="556"/>
      <c r="AO526" s="556"/>
      <c r="AP526" s="556"/>
      <c r="AQ526" s="556"/>
      <c r="AR526" s="556"/>
      <c r="AS526" s="565"/>
      <c r="AT526" s="556"/>
      <c r="AU526" s="700"/>
    </row>
    <row r="527" spans="1:47" hidden="1" x14ac:dyDescent="0.45">
      <c r="A527" s="556"/>
      <c r="B527" s="556"/>
      <c r="C527" s="556"/>
      <c r="D527" s="564"/>
      <c r="E527" s="556"/>
      <c r="F527" s="564"/>
      <c r="G527" s="564"/>
      <c r="H527" s="564"/>
      <c r="I527" s="564"/>
      <c r="J527" s="564"/>
      <c r="K527" s="564"/>
      <c r="L527" s="564"/>
      <c r="M527" s="564"/>
      <c r="N527" s="564"/>
      <c r="O527" s="564"/>
      <c r="P527" s="564"/>
      <c r="Q527" s="564"/>
      <c r="R527" s="564"/>
      <c r="S527" s="564"/>
      <c r="T527" s="564"/>
      <c r="U527" s="564"/>
      <c r="V527" s="564"/>
      <c r="W527" s="564"/>
      <c r="X527" s="564"/>
      <c r="Y527" s="564"/>
      <c r="Z527" s="564"/>
      <c r="AA527" s="564"/>
      <c r="AB527" s="556"/>
      <c r="AC527" s="556"/>
      <c r="AD527" s="556"/>
      <c r="AE527" s="556"/>
      <c r="AF527" s="556"/>
      <c r="AG527" s="556"/>
      <c r="AH527" s="556"/>
      <c r="AI527" s="556"/>
      <c r="AJ527" s="556"/>
      <c r="AK527" s="556"/>
      <c r="AL527" s="556"/>
      <c r="AM527" s="556"/>
      <c r="AN527" s="556"/>
      <c r="AO527" s="556"/>
      <c r="AP527" s="556"/>
      <c r="AQ527" s="556"/>
      <c r="AR527" s="556"/>
      <c r="AS527" s="565"/>
      <c r="AT527" s="556"/>
      <c r="AU527" s="700"/>
    </row>
    <row r="528" spans="1:47" hidden="1" x14ac:dyDescent="0.45">
      <c r="A528" s="556"/>
      <c r="B528" s="556"/>
      <c r="C528" s="556"/>
      <c r="D528" s="564"/>
      <c r="E528" s="556"/>
      <c r="F528" s="564"/>
      <c r="G528" s="564"/>
      <c r="H528" s="564"/>
      <c r="I528" s="564"/>
      <c r="J528" s="564"/>
      <c r="K528" s="564"/>
      <c r="L528" s="564"/>
      <c r="M528" s="564"/>
      <c r="N528" s="564"/>
      <c r="O528" s="564"/>
      <c r="P528" s="564"/>
      <c r="Q528" s="564"/>
      <c r="R528" s="564"/>
      <c r="S528" s="564"/>
      <c r="T528" s="564"/>
      <c r="U528" s="564"/>
      <c r="V528" s="564"/>
      <c r="W528" s="564"/>
      <c r="X528" s="564"/>
      <c r="Y528" s="564"/>
      <c r="Z528" s="564"/>
      <c r="AA528" s="564"/>
      <c r="AB528" s="556"/>
      <c r="AC528" s="556"/>
      <c r="AD528" s="556"/>
      <c r="AE528" s="556"/>
      <c r="AF528" s="556"/>
      <c r="AG528" s="556"/>
      <c r="AH528" s="556"/>
      <c r="AI528" s="556"/>
      <c r="AJ528" s="556"/>
      <c r="AK528" s="556"/>
      <c r="AL528" s="556"/>
      <c r="AM528" s="556"/>
      <c r="AN528" s="556"/>
      <c r="AO528" s="556"/>
      <c r="AP528" s="556"/>
      <c r="AQ528" s="556"/>
      <c r="AR528" s="556"/>
      <c r="AS528" s="565"/>
      <c r="AT528" s="556"/>
      <c r="AU528" s="700"/>
    </row>
    <row r="529" spans="1:47" hidden="1" x14ac:dyDescent="0.45">
      <c r="A529" s="556"/>
      <c r="B529" s="556"/>
      <c r="C529" s="556"/>
      <c r="D529" s="564"/>
      <c r="E529" s="556"/>
      <c r="F529" s="564"/>
      <c r="G529" s="564"/>
      <c r="H529" s="564"/>
      <c r="I529" s="564"/>
      <c r="J529" s="564"/>
      <c r="K529" s="564"/>
      <c r="L529" s="564"/>
      <c r="M529" s="564"/>
      <c r="N529" s="564"/>
      <c r="O529" s="564"/>
      <c r="P529" s="564"/>
      <c r="Q529" s="564"/>
      <c r="R529" s="564"/>
      <c r="S529" s="564"/>
      <c r="T529" s="564"/>
      <c r="U529" s="564"/>
      <c r="V529" s="564"/>
      <c r="W529" s="564"/>
      <c r="X529" s="564"/>
      <c r="Y529" s="564"/>
      <c r="Z529" s="564"/>
      <c r="AA529" s="564"/>
      <c r="AB529" s="556"/>
      <c r="AC529" s="556"/>
      <c r="AD529" s="556"/>
      <c r="AE529" s="556"/>
      <c r="AF529" s="556"/>
      <c r="AG529" s="556"/>
      <c r="AH529" s="556"/>
      <c r="AI529" s="556"/>
      <c r="AJ529" s="556"/>
      <c r="AK529" s="556"/>
      <c r="AL529" s="556"/>
      <c r="AM529" s="556"/>
      <c r="AN529" s="556"/>
      <c r="AO529" s="556"/>
      <c r="AP529" s="556"/>
      <c r="AQ529" s="556"/>
      <c r="AR529" s="556"/>
      <c r="AS529" s="565"/>
      <c r="AT529" s="556"/>
      <c r="AU529" s="700"/>
    </row>
    <row r="530" spans="1:47" hidden="1" x14ac:dyDescent="0.45">
      <c r="A530" s="556"/>
      <c r="B530" s="556"/>
      <c r="C530" s="556"/>
      <c r="D530" s="564"/>
      <c r="E530" s="556"/>
      <c r="F530" s="564"/>
      <c r="G530" s="564"/>
      <c r="H530" s="564"/>
      <c r="I530" s="564"/>
      <c r="J530" s="564"/>
      <c r="K530" s="564"/>
      <c r="L530" s="564"/>
      <c r="M530" s="564"/>
      <c r="N530" s="564"/>
      <c r="O530" s="564"/>
      <c r="P530" s="564"/>
      <c r="Q530" s="564"/>
      <c r="R530" s="564"/>
      <c r="S530" s="564"/>
      <c r="T530" s="564"/>
      <c r="U530" s="564"/>
      <c r="V530" s="564"/>
      <c r="W530" s="564"/>
      <c r="X530" s="564"/>
      <c r="Y530" s="564"/>
      <c r="Z530" s="564"/>
      <c r="AA530" s="564"/>
      <c r="AB530" s="556"/>
      <c r="AC530" s="556"/>
      <c r="AD530" s="556"/>
      <c r="AE530" s="556"/>
      <c r="AF530" s="556"/>
      <c r="AG530" s="556"/>
      <c r="AH530" s="556"/>
      <c r="AI530" s="556"/>
      <c r="AJ530" s="556"/>
      <c r="AK530" s="556"/>
      <c r="AL530" s="556"/>
      <c r="AM530" s="556"/>
      <c r="AN530" s="556"/>
      <c r="AO530" s="556"/>
      <c r="AP530" s="556"/>
      <c r="AQ530" s="556"/>
      <c r="AR530" s="556"/>
      <c r="AS530" s="565"/>
      <c r="AT530" s="556"/>
      <c r="AU530" s="700"/>
    </row>
    <row r="531" spans="1:47" hidden="1" x14ac:dyDescent="0.45">
      <c r="A531" s="556"/>
      <c r="B531" s="556"/>
      <c r="C531" s="556"/>
      <c r="D531" s="564"/>
      <c r="E531" s="556"/>
      <c r="F531" s="564"/>
      <c r="G531" s="564"/>
      <c r="H531" s="564"/>
      <c r="I531" s="564"/>
      <c r="J531" s="564"/>
      <c r="K531" s="564"/>
      <c r="L531" s="564"/>
      <c r="M531" s="564"/>
      <c r="N531" s="564"/>
      <c r="O531" s="564"/>
      <c r="P531" s="564"/>
      <c r="Q531" s="564"/>
      <c r="R531" s="564"/>
      <c r="S531" s="564"/>
      <c r="T531" s="564"/>
      <c r="U531" s="564"/>
      <c r="V531" s="564"/>
      <c r="W531" s="564"/>
      <c r="X531" s="564"/>
      <c r="Y531" s="564"/>
      <c r="Z531" s="564"/>
      <c r="AA531" s="564"/>
      <c r="AB531" s="556"/>
      <c r="AC531" s="556"/>
      <c r="AD531" s="556"/>
      <c r="AE531" s="556"/>
      <c r="AF531" s="556"/>
      <c r="AG531" s="556"/>
      <c r="AH531" s="556"/>
      <c r="AI531" s="556"/>
      <c r="AJ531" s="556"/>
      <c r="AK531" s="556"/>
      <c r="AL531" s="556"/>
      <c r="AM531" s="556"/>
      <c r="AN531" s="556"/>
      <c r="AO531" s="556"/>
      <c r="AP531" s="556"/>
      <c r="AQ531" s="556"/>
      <c r="AR531" s="556"/>
      <c r="AS531" s="565"/>
      <c r="AT531" s="556"/>
      <c r="AU531" s="700"/>
    </row>
    <row r="532" spans="1:47" hidden="1" x14ac:dyDescent="0.45">
      <c r="A532" s="556"/>
      <c r="B532" s="556"/>
      <c r="C532" s="556"/>
      <c r="D532" s="564"/>
      <c r="E532" s="556"/>
      <c r="F532" s="564"/>
      <c r="G532" s="564"/>
      <c r="H532" s="564"/>
      <c r="I532" s="564"/>
      <c r="J532" s="564"/>
      <c r="K532" s="564"/>
      <c r="L532" s="564"/>
      <c r="M532" s="564"/>
      <c r="N532" s="564"/>
      <c r="O532" s="564"/>
      <c r="P532" s="564"/>
      <c r="Q532" s="564"/>
      <c r="R532" s="564"/>
      <c r="S532" s="564"/>
      <c r="T532" s="564"/>
      <c r="U532" s="564"/>
      <c r="V532" s="564"/>
      <c r="W532" s="564"/>
      <c r="X532" s="564"/>
      <c r="Y532" s="564"/>
      <c r="Z532" s="564"/>
      <c r="AA532" s="564"/>
      <c r="AB532" s="556"/>
      <c r="AC532" s="556"/>
      <c r="AD532" s="556"/>
      <c r="AE532" s="556"/>
      <c r="AF532" s="556"/>
      <c r="AG532" s="556"/>
      <c r="AH532" s="556"/>
      <c r="AI532" s="556"/>
      <c r="AJ532" s="556"/>
      <c r="AK532" s="556"/>
      <c r="AL532" s="556"/>
      <c r="AM532" s="556"/>
      <c r="AN532" s="556"/>
      <c r="AO532" s="556"/>
      <c r="AP532" s="556"/>
      <c r="AQ532" s="556"/>
      <c r="AR532" s="556"/>
      <c r="AS532" s="565"/>
      <c r="AT532" s="556"/>
      <c r="AU532" s="700"/>
    </row>
    <row r="533" spans="1:47" hidden="1" x14ac:dyDescent="0.45">
      <c r="A533" s="556"/>
      <c r="B533" s="556"/>
      <c r="C533" s="556"/>
      <c r="D533" s="564"/>
      <c r="E533" s="556"/>
      <c r="F533" s="564"/>
      <c r="G533" s="564"/>
      <c r="H533" s="564"/>
      <c r="I533" s="564"/>
      <c r="J533" s="564"/>
      <c r="K533" s="564"/>
      <c r="L533" s="564"/>
      <c r="M533" s="564"/>
      <c r="N533" s="564"/>
      <c r="O533" s="564"/>
      <c r="P533" s="564"/>
      <c r="Q533" s="564"/>
      <c r="R533" s="564"/>
      <c r="S533" s="564"/>
      <c r="T533" s="564"/>
      <c r="U533" s="564"/>
      <c r="V533" s="564"/>
      <c r="W533" s="564"/>
      <c r="X533" s="564"/>
      <c r="Y533" s="564"/>
      <c r="Z533" s="564"/>
      <c r="AA533" s="564"/>
      <c r="AB533" s="556"/>
      <c r="AC533" s="556"/>
      <c r="AD533" s="556"/>
      <c r="AE533" s="556"/>
      <c r="AF533" s="556"/>
      <c r="AG533" s="556"/>
      <c r="AH533" s="556"/>
      <c r="AI533" s="556"/>
      <c r="AJ533" s="556"/>
      <c r="AK533" s="556"/>
      <c r="AL533" s="556"/>
      <c r="AM533" s="556"/>
      <c r="AN533" s="556"/>
      <c r="AO533" s="556"/>
      <c r="AP533" s="556"/>
      <c r="AQ533" s="556"/>
      <c r="AR533" s="556"/>
      <c r="AS533" s="565"/>
      <c r="AT533" s="556"/>
      <c r="AU533" s="700"/>
    </row>
    <row r="534" spans="1:47" hidden="1" x14ac:dyDescent="0.45">
      <c r="A534" s="556"/>
      <c r="B534" s="556"/>
      <c r="C534" s="556"/>
      <c r="D534" s="564"/>
      <c r="E534" s="556"/>
      <c r="F534" s="564"/>
      <c r="G534" s="564"/>
      <c r="H534" s="564"/>
      <c r="I534" s="564"/>
      <c r="J534" s="564"/>
      <c r="K534" s="564"/>
      <c r="L534" s="564"/>
      <c r="M534" s="564"/>
      <c r="N534" s="564"/>
      <c r="O534" s="564"/>
      <c r="P534" s="564"/>
      <c r="Q534" s="564"/>
      <c r="R534" s="564"/>
      <c r="S534" s="564"/>
      <c r="T534" s="564"/>
      <c r="U534" s="564"/>
      <c r="V534" s="564"/>
      <c r="W534" s="564"/>
      <c r="X534" s="564"/>
      <c r="Y534" s="564"/>
      <c r="Z534" s="564"/>
      <c r="AA534" s="564"/>
      <c r="AB534" s="556"/>
      <c r="AC534" s="556"/>
      <c r="AD534" s="556"/>
      <c r="AE534" s="556"/>
      <c r="AF534" s="556"/>
      <c r="AG534" s="556"/>
      <c r="AH534" s="556"/>
      <c r="AI534" s="556"/>
      <c r="AJ534" s="556"/>
      <c r="AK534" s="556"/>
      <c r="AL534" s="556"/>
      <c r="AM534" s="556"/>
      <c r="AN534" s="556"/>
      <c r="AO534" s="556"/>
      <c r="AP534" s="556"/>
      <c r="AQ534" s="556"/>
      <c r="AR534" s="556"/>
      <c r="AS534" s="565"/>
      <c r="AT534" s="556"/>
      <c r="AU534" s="700"/>
    </row>
    <row r="535" spans="1:47" hidden="1" x14ac:dyDescent="0.45">
      <c r="A535" s="556"/>
      <c r="B535" s="556"/>
      <c r="C535" s="556"/>
      <c r="D535" s="564"/>
      <c r="E535" s="556"/>
      <c r="F535" s="564"/>
      <c r="G535" s="564"/>
      <c r="H535" s="564"/>
      <c r="I535" s="564"/>
      <c r="J535" s="564"/>
      <c r="K535" s="564"/>
      <c r="L535" s="564"/>
      <c r="M535" s="564"/>
      <c r="N535" s="564"/>
      <c r="O535" s="564"/>
      <c r="P535" s="564"/>
      <c r="Q535" s="564"/>
      <c r="R535" s="564"/>
      <c r="S535" s="564"/>
      <c r="T535" s="564"/>
      <c r="U535" s="564"/>
      <c r="V535" s="564"/>
      <c r="W535" s="564"/>
      <c r="X535" s="564"/>
      <c r="Y535" s="564"/>
      <c r="Z535" s="564"/>
      <c r="AA535" s="564"/>
      <c r="AB535" s="556"/>
      <c r="AC535" s="556"/>
      <c r="AD535" s="556"/>
      <c r="AE535" s="556"/>
      <c r="AF535" s="556"/>
      <c r="AG535" s="556"/>
      <c r="AH535" s="556"/>
      <c r="AI535" s="556"/>
      <c r="AJ535" s="556"/>
      <c r="AK535" s="556"/>
      <c r="AL535" s="556"/>
      <c r="AM535" s="556"/>
      <c r="AN535" s="556"/>
      <c r="AO535" s="556"/>
      <c r="AP535" s="556"/>
      <c r="AQ535" s="556"/>
      <c r="AR535" s="556"/>
      <c r="AS535" s="565"/>
      <c r="AT535" s="556"/>
      <c r="AU535" s="700"/>
    </row>
    <row r="536" spans="1:47" hidden="1" x14ac:dyDescent="0.45">
      <c r="A536" s="556"/>
      <c r="B536" s="556"/>
      <c r="C536" s="556"/>
      <c r="D536" s="564"/>
      <c r="E536" s="556"/>
      <c r="F536" s="564"/>
      <c r="G536" s="564"/>
      <c r="H536" s="564"/>
      <c r="I536" s="564"/>
      <c r="J536" s="564"/>
      <c r="K536" s="564"/>
      <c r="L536" s="564"/>
      <c r="M536" s="564"/>
      <c r="N536" s="564"/>
      <c r="O536" s="564"/>
      <c r="P536" s="564"/>
      <c r="Q536" s="564"/>
      <c r="R536" s="564"/>
      <c r="S536" s="564"/>
      <c r="T536" s="564"/>
      <c r="U536" s="564"/>
      <c r="V536" s="564"/>
      <c r="W536" s="564"/>
      <c r="X536" s="564"/>
      <c r="Y536" s="564"/>
      <c r="Z536" s="564"/>
      <c r="AA536" s="564"/>
      <c r="AB536" s="556"/>
      <c r="AC536" s="556"/>
      <c r="AD536" s="556"/>
      <c r="AE536" s="556"/>
      <c r="AF536" s="556"/>
      <c r="AG536" s="556"/>
      <c r="AH536" s="556"/>
      <c r="AI536" s="556"/>
      <c r="AJ536" s="556"/>
      <c r="AK536" s="556"/>
      <c r="AL536" s="556"/>
      <c r="AM536" s="556"/>
      <c r="AN536" s="556"/>
      <c r="AO536" s="556"/>
      <c r="AP536" s="556"/>
      <c r="AQ536" s="556"/>
      <c r="AR536" s="556"/>
      <c r="AS536" s="565"/>
      <c r="AT536" s="556"/>
      <c r="AU536" s="700"/>
    </row>
    <row r="537" spans="1:47" hidden="1" x14ac:dyDescent="0.45">
      <c r="A537" s="556"/>
      <c r="B537" s="556"/>
      <c r="C537" s="556"/>
      <c r="D537" s="564"/>
      <c r="E537" s="556"/>
      <c r="F537" s="564"/>
      <c r="G537" s="564"/>
      <c r="H537" s="564"/>
      <c r="I537" s="564"/>
      <c r="J537" s="564"/>
      <c r="K537" s="564"/>
      <c r="L537" s="564"/>
      <c r="M537" s="564"/>
      <c r="N537" s="564"/>
      <c r="O537" s="564"/>
      <c r="P537" s="564"/>
      <c r="Q537" s="564"/>
      <c r="R537" s="564"/>
      <c r="S537" s="564"/>
      <c r="T537" s="564"/>
      <c r="U537" s="564"/>
      <c r="V537" s="564"/>
      <c r="W537" s="564"/>
      <c r="X537" s="564"/>
      <c r="Y537" s="564"/>
      <c r="Z537" s="564"/>
      <c r="AA537" s="564"/>
      <c r="AB537" s="556"/>
      <c r="AC537" s="556"/>
      <c r="AD537" s="556"/>
      <c r="AE537" s="556"/>
      <c r="AF537" s="556"/>
      <c r="AG537" s="556"/>
      <c r="AH537" s="556"/>
      <c r="AI537" s="556"/>
      <c r="AJ537" s="556"/>
      <c r="AK537" s="556"/>
      <c r="AL537" s="556"/>
      <c r="AM537" s="556"/>
      <c r="AN537" s="556"/>
      <c r="AO537" s="556"/>
      <c r="AP537" s="556"/>
      <c r="AQ537" s="556"/>
      <c r="AR537" s="556"/>
      <c r="AS537" s="565"/>
      <c r="AT537" s="556"/>
      <c r="AU537" s="700"/>
    </row>
    <row r="538" spans="1:47" hidden="1" x14ac:dyDescent="0.45">
      <c r="A538" s="556"/>
      <c r="B538" s="556"/>
      <c r="C538" s="556"/>
      <c r="D538" s="564"/>
      <c r="E538" s="556"/>
      <c r="F538" s="564"/>
      <c r="G538" s="564"/>
      <c r="H538" s="564"/>
      <c r="I538" s="564"/>
      <c r="J538" s="564"/>
      <c r="K538" s="564"/>
      <c r="L538" s="564"/>
      <c r="M538" s="564"/>
      <c r="N538" s="564"/>
      <c r="O538" s="564"/>
      <c r="P538" s="564"/>
      <c r="Q538" s="564"/>
      <c r="R538" s="564"/>
      <c r="S538" s="564"/>
      <c r="T538" s="564"/>
      <c r="U538" s="564"/>
      <c r="V538" s="564"/>
      <c r="W538" s="564"/>
      <c r="X538" s="564"/>
      <c r="Y538" s="564"/>
      <c r="Z538" s="564"/>
      <c r="AA538" s="564"/>
      <c r="AB538" s="556"/>
      <c r="AC538" s="556"/>
      <c r="AD538" s="556"/>
      <c r="AE538" s="556"/>
      <c r="AF538" s="556"/>
      <c r="AG538" s="556"/>
      <c r="AH538" s="556"/>
      <c r="AI538" s="556"/>
      <c r="AJ538" s="556"/>
      <c r="AK538" s="556"/>
      <c r="AL538" s="556"/>
      <c r="AM538" s="556"/>
      <c r="AN538" s="556"/>
      <c r="AO538" s="556"/>
      <c r="AP538" s="556"/>
      <c r="AQ538" s="556"/>
      <c r="AR538" s="556"/>
      <c r="AS538" s="565"/>
      <c r="AT538" s="556"/>
      <c r="AU538" s="700"/>
    </row>
    <row r="539" spans="1:47" hidden="1" x14ac:dyDescent="0.45">
      <c r="A539" s="556"/>
      <c r="B539" s="556"/>
      <c r="C539" s="556"/>
      <c r="D539" s="564"/>
      <c r="E539" s="556"/>
      <c r="F539" s="564"/>
      <c r="G539" s="564"/>
      <c r="H539" s="564"/>
      <c r="I539" s="564"/>
      <c r="J539" s="564"/>
      <c r="K539" s="564"/>
      <c r="L539" s="564"/>
      <c r="M539" s="564"/>
      <c r="N539" s="564"/>
      <c r="O539" s="564"/>
      <c r="P539" s="564"/>
      <c r="Q539" s="564"/>
      <c r="R539" s="564"/>
      <c r="S539" s="564"/>
      <c r="T539" s="564"/>
      <c r="U539" s="564"/>
      <c r="V539" s="564"/>
      <c r="W539" s="564"/>
      <c r="X539" s="564"/>
      <c r="Y539" s="564"/>
      <c r="Z539" s="564"/>
      <c r="AA539" s="564"/>
      <c r="AB539" s="556"/>
      <c r="AC539" s="556"/>
      <c r="AD539" s="556"/>
      <c r="AE539" s="556"/>
      <c r="AF539" s="556"/>
      <c r="AG539" s="556"/>
      <c r="AH539" s="556"/>
      <c r="AI539" s="556"/>
      <c r="AJ539" s="556"/>
      <c r="AK539" s="556"/>
      <c r="AL539" s="556"/>
      <c r="AM539" s="556"/>
      <c r="AN539" s="556"/>
      <c r="AO539" s="556"/>
      <c r="AP539" s="556"/>
      <c r="AQ539" s="556"/>
      <c r="AR539" s="556"/>
      <c r="AS539" s="565"/>
      <c r="AT539" s="556"/>
      <c r="AU539" s="700"/>
    </row>
    <row r="540" spans="1:47" hidden="1" x14ac:dyDescent="0.45">
      <c r="A540" s="556"/>
      <c r="B540" s="556"/>
      <c r="C540" s="556"/>
      <c r="D540" s="564"/>
      <c r="E540" s="556"/>
      <c r="F540" s="564"/>
      <c r="G540" s="564"/>
      <c r="H540" s="564"/>
      <c r="I540" s="564"/>
      <c r="J540" s="564"/>
      <c r="K540" s="564"/>
      <c r="L540" s="564"/>
      <c r="M540" s="564"/>
      <c r="N540" s="564"/>
      <c r="O540" s="564"/>
      <c r="P540" s="564"/>
      <c r="Q540" s="564"/>
      <c r="R540" s="564"/>
      <c r="S540" s="564"/>
      <c r="T540" s="564"/>
      <c r="U540" s="564"/>
      <c r="V540" s="564"/>
      <c r="W540" s="564"/>
      <c r="X540" s="564"/>
      <c r="Y540" s="564"/>
      <c r="Z540" s="564"/>
      <c r="AA540" s="564"/>
      <c r="AB540" s="556"/>
      <c r="AC540" s="556"/>
      <c r="AD540" s="556"/>
      <c r="AE540" s="556"/>
      <c r="AF540" s="556"/>
      <c r="AG540" s="556"/>
      <c r="AH540" s="556"/>
      <c r="AI540" s="556"/>
      <c r="AJ540" s="556"/>
      <c r="AK540" s="556"/>
      <c r="AL540" s="556"/>
      <c r="AM540" s="556"/>
      <c r="AN540" s="556"/>
      <c r="AO540" s="556"/>
      <c r="AP540" s="556"/>
      <c r="AQ540" s="556"/>
      <c r="AR540" s="556"/>
      <c r="AS540" s="565"/>
      <c r="AT540" s="556"/>
      <c r="AU540" s="700"/>
    </row>
    <row r="541" spans="1:47" hidden="1" x14ac:dyDescent="0.45">
      <c r="A541" s="556"/>
      <c r="B541" s="556"/>
      <c r="C541" s="556"/>
      <c r="D541" s="564"/>
      <c r="E541" s="556"/>
      <c r="F541" s="564"/>
      <c r="G541" s="564"/>
      <c r="H541" s="564"/>
      <c r="I541" s="564"/>
      <c r="J541" s="564"/>
      <c r="K541" s="564"/>
      <c r="L541" s="564"/>
      <c r="M541" s="564"/>
      <c r="N541" s="564"/>
      <c r="O541" s="564"/>
      <c r="P541" s="564"/>
      <c r="Q541" s="564"/>
      <c r="R541" s="564"/>
      <c r="S541" s="564"/>
      <c r="T541" s="564"/>
      <c r="U541" s="564"/>
      <c r="V541" s="564"/>
      <c r="W541" s="564"/>
      <c r="X541" s="564"/>
      <c r="Y541" s="564"/>
      <c r="Z541" s="564"/>
      <c r="AA541" s="564"/>
      <c r="AB541" s="556"/>
      <c r="AC541" s="556"/>
      <c r="AD541" s="556"/>
      <c r="AE541" s="556"/>
      <c r="AF541" s="556"/>
      <c r="AG541" s="556"/>
      <c r="AH541" s="556"/>
      <c r="AI541" s="556"/>
      <c r="AJ541" s="556"/>
      <c r="AK541" s="556"/>
      <c r="AL541" s="556"/>
      <c r="AM541" s="556"/>
      <c r="AN541" s="556"/>
      <c r="AO541" s="556"/>
      <c r="AP541" s="556"/>
      <c r="AQ541" s="556"/>
      <c r="AR541" s="556"/>
      <c r="AS541" s="565"/>
      <c r="AT541" s="556"/>
      <c r="AU541" s="700"/>
    </row>
    <row r="542" spans="1:47" hidden="1" x14ac:dyDescent="0.45">
      <c r="A542" s="556"/>
      <c r="B542" s="556"/>
      <c r="C542" s="556"/>
      <c r="D542" s="564"/>
      <c r="E542" s="556"/>
      <c r="F542" s="564"/>
      <c r="G542" s="564"/>
      <c r="H542" s="564"/>
      <c r="I542" s="564"/>
      <c r="J542" s="564"/>
      <c r="K542" s="564"/>
      <c r="L542" s="564"/>
      <c r="M542" s="564"/>
      <c r="N542" s="564"/>
      <c r="O542" s="564"/>
      <c r="P542" s="564"/>
      <c r="Q542" s="564"/>
      <c r="R542" s="564"/>
      <c r="S542" s="564"/>
      <c r="T542" s="564"/>
      <c r="U542" s="564"/>
      <c r="V542" s="564"/>
      <c r="W542" s="564"/>
      <c r="X542" s="564"/>
      <c r="Y542" s="564"/>
      <c r="Z542" s="564"/>
      <c r="AA542" s="564"/>
      <c r="AB542" s="556"/>
      <c r="AC542" s="556"/>
      <c r="AD542" s="556"/>
      <c r="AE542" s="556"/>
      <c r="AF542" s="556"/>
      <c r="AG542" s="556"/>
      <c r="AH542" s="556"/>
      <c r="AI542" s="556"/>
      <c r="AJ542" s="556"/>
      <c r="AK542" s="556"/>
      <c r="AL542" s="556"/>
      <c r="AM542" s="556"/>
      <c r="AN542" s="556"/>
      <c r="AO542" s="556"/>
      <c r="AP542" s="556"/>
      <c r="AQ542" s="556"/>
      <c r="AR542" s="556"/>
      <c r="AS542" s="565"/>
      <c r="AT542" s="556"/>
      <c r="AU542" s="700"/>
    </row>
    <row r="543" spans="1:47" hidden="1" x14ac:dyDescent="0.45">
      <c r="A543" s="556"/>
      <c r="B543" s="556"/>
      <c r="C543" s="556"/>
      <c r="D543" s="564"/>
      <c r="E543" s="556"/>
      <c r="F543" s="564"/>
      <c r="G543" s="564"/>
      <c r="H543" s="564"/>
      <c r="I543" s="564"/>
      <c r="J543" s="564"/>
      <c r="K543" s="564"/>
      <c r="L543" s="564"/>
      <c r="M543" s="564"/>
      <c r="N543" s="564"/>
      <c r="O543" s="564"/>
      <c r="P543" s="564"/>
      <c r="Q543" s="564"/>
      <c r="R543" s="564"/>
      <c r="S543" s="564"/>
      <c r="T543" s="564"/>
      <c r="U543" s="564"/>
      <c r="V543" s="564"/>
      <c r="W543" s="564"/>
      <c r="X543" s="564"/>
      <c r="Y543" s="564"/>
      <c r="Z543" s="564"/>
      <c r="AA543" s="564"/>
      <c r="AB543" s="556"/>
      <c r="AC543" s="556"/>
      <c r="AD543" s="556"/>
      <c r="AE543" s="556"/>
      <c r="AF543" s="556"/>
      <c r="AG543" s="556"/>
      <c r="AH543" s="556"/>
      <c r="AI543" s="556"/>
      <c r="AJ543" s="556"/>
      <c r="AK543" s="556"/>
      <c r="AL543" s="556"/>
      <c r="AM543" s="556"/>
      <c r="AN543" s="556"/>
      <c r="AO543" s="556"/>
      <c r="AP543" s="556"/>
      <c r="AQ543" s="556"/>
      <c r="AR543" s="556"/>
      <c r="AS543" s="565"/>
      <c r="AT543" s="556"/>
      <c r="AU543" s="700"/>
    </row>
    <row r="544" spans="1:47" hidden="1" x14ac:dyDescent="0.45">
      <c r="A544" s="556"/>
      <c r="B544" s="556"/>
      <c r="C544" s="556"/>
      <c r="D544" s="564"/>
      <c r="E544" s="556"/>
      <c r="F544" s="564"/>
      <c r="G544" s="564"/>
      <c r="H544" s="564"/>
      <c r="I544" s="564"/>
      <c r="J544" s="564"/>
      <c r="K544" s="564"/>
      <c r="L544" s="564"/>
      <c r="M544" s="564"/>
      <c r="N544" s="564"/>
      <c r="O544" s="564"/>
      <c r="P544" s="564"/>
      <c r="Q544" s="564"/>
      <c r="R544" s="564"/>
      <c r="S544" s="564"/>
      <c r="T544" s="564"/>
      <c r="U544" s="564"/>
      <c r="V544" s="564"/>
      <c r="W544" s="564"/>
      <c r="X544" s="564"/>
      <c r="Y544" s="564"/>
      <c r="Z544" s="564"/>
      <c r="AA544" s="564"/>
      <c r="AB544" s="556"/>
      <c r="AC544" s="556"/>
      <c r="AD544" s="556"/>
      <c r="AE544" s="556"/>
      <c r="AF544" s="556"/>
      <c r="AG544" s="556"/>
      <c r="AH544" s="556"/>
      <c r="AI544" s="556"/>
      <c r="AJ544" s="556"/>
      <c r="AK544" s="556"/>
      <c r="AL544" s="556"/>
      <c r="AM544" s="556"/>
      <c r="AN544" s="556"/>
      <c r="AO544" s="556"/>
      <c r="AP544" s="556"/>
      <c r="AQ544" s="556"/>
      <c r="AR544" s="556"/>
      <c r="AS544" s="565"/>
      <c r="AT544" s="556"/>
      <c r="AU544" s="700"/>
    </row>
    <row r="545" spans="1:47" hidden="1" x14ac:dyDescent="0.45">
      <c r="A545" s="556"/>
      <c r="B545" s="556"/>
      <c r="C545" s="556"/>
      <c r="D545" s="564"/>
      <c r="E545" s="556"/>
      <c r="F545" s="564"/>
      <c r="G545" s="564"/>
      <c r="H545" s="564"/>
      <c r="I545" s="564"/>
      <c r="J545" s="564"/>
      <c r="K545" s="564"/>
      <c r="L545" s="564"/>
      <c r="M545" s="564"/>
      <c r="N545" s="564"/>
      <c r="O545" s="564"/>
      <c r="P545" s="564"/>
      <c r="Q545" s="564"/>
      <c r="R545" s="564"/>
      <c r="S545" s="564"/>
      <c r="T545" s="564"/>
      <c r="U545" s="564"/>
      <c r="V545" s="564"/>
      <c r="W545" s="564"/>
      <c r="X545" s="564"/>
      <c r="Y545" s="564"/>
      <c r="Z545" s="564"/>
      <c r="AA545" s="564"/>
      <c r="AB545" s="556"/>
      <c r="AC545" s="556"/>
      <c r="AD545" s="556"/>
      <c r="AE545" s="556"/>
      <c r="AF545" s="556"/>
      <c r="AG545" s="556"/>
      <c r="AH545" s="556"/>
      <c r="AI545" s="556"/>
      <c r="AJ545" s="556"/>
      <c r="AK545" s="556"/>
      <c r="AL545" s="556"/>
      <c r="AM545" s="556"/>
      <c r="AN545" s="556"/>
      <c r="AO545" s="556"/>
      <c r="AP545" s="556"/>
      <c r="AQ545" s="556"/>
      <c r="AR545" s="556"/>
      <c r="AS545" s="565"/>
      <c r="AT545" s="556"/>
      <c r="AU545" s="700"/>
    </row>
    <row r="546" spans="1:47" hidden="1" x14ac:dyDescent="0.45">
      <c r="A546" s="556"/>
      <c r="B546" s="556"/>
      <c r="C546" s="556"/>
      <c r="D546" s="564"/>
      <c r="E546" s="556"/>
      <c r="F546" s="564"/>
      <c r="G546" s="564"/>
      <c r="H546" s="564"/>
      <c r="I546" s="564"/>
      <c r="J546" s="564"/>
      <c r="K546" s="564"/>
      <c r="L546" s="564"/>
      <c r="M546" s="564"/>
      <c r="N546" s="564"/>
      <c r="O546" s="564"/>
      <c r="P546" s="564"/>
      <c r="Q546" s="564"/>
      <c r="R546" s="564"/>
      <c r="S546" s="564"/>
      <c r="T546" s="564"/>
      <c r="U546" s="564"/>
      <c r="V546" s="564"/>
      <c r="W546" s="564"/>
      <c r="X546" s="564"/>
      <c r="Y546" s="564"/>
      <c r="Z546" s="564"/>
      <c r="AA546" s="564"/>
      <c r="AB546" s="556"/>
      <c r="AC546" s="556"/>
      <c r="AD546" s="556"/>
      <c r="AE546" s="556"/>
      <c r="AF546" s="556"/>
      <c r="AG546" s="556"/>
      <c r="AH546" s="556"/>
      <c r="AI546" s="556"/>
      <c r="AJ546" s="556"/>
      <c r="AK546" s="556"/>
      <c r="AL546" s="556"/>
      <c r="AM546" s="556"/>
      <c r="AN546" s="556"/>
      <c r="AO546" s="556"/>
      <c r="AP546" s="556"/>
      <c r="AQ546" s="556"/>
      <c r="AR546" s="556"/>
      <c r="AS546" s="565"/>
      <c r="AT546" s="556"/>
      <c r="AU546" s="700"/>
    </row>
    <row r="547" spans="1:47" hidden="1" x14ac:dyDescent="0.45">
      <c r="A547" s="556"/>
      <c r="B547" s="556"/>
      <c r="C547" s="556"/>
      <c r="D547" s="564"/>
      <c r="E547" s="556"/>
      <c r="F547" s="564"/>
      <c r="G547" s="564"/>
      <c r="H547" s="564"/>
      <c r="I547" s="564"/>
      <c r="J547" s="564"/>
      <c r="K547" s="564"/>
      <c r="L547" s="564"/>
      <c r="M547" s="564"/>
      <c r="N547" s="564"/>
      <c r="O547" s="564"/>
      <c r="P547" s="564"/>
      <c r="Q547" s="564"/>
      <c r="R547" s="564"/>
      <c r="S547" s="564"/>
      <c r="T547" s="564"/>
      <c r="U547" s="564"/>
      <c r="V547" s="564"/>
      <c r="W547" s="564"/>
      <c r="X547" s="564"/>
      <c r="Y547" s="564"/>
      <c r="Z547" s="564"/>
      <c r="AA547" s="564"/>
      <c r="AB547" s="556"/>
      <c r="AC547" s="556"/>
      <c r="AD547" s="556"/>
      <c r="AE547" s="556"/>
      <c r="AF547" s="556"/>
      <c r="AG547" s="556"/>
      <c r="AH547" s="556"/>
      <c r="AI547" s="556"/>
      <c r="AJ547" s="556"/>
      <c r="AK547" s="556"/>
      <c r="AL547" s="556"/>
      <c r="AM547" s="556"/>
      <c r="AN547" s="556"/>
      <c r="AO547" s="556"/>
      <c r="AP547" s="556"/>
      <c r="AQ547" s="556"/>
      <c r="AR547" s="556"/>
      <c r="AS547" s="565"/>
      <c r="AT547" s="556"/>
      <c r="AU547" s="700"/>
    </row>
    <row r="548" spans="1:47" hidden="1" x14ac:dyDescent="0.45">
      <c r="A548" s="556"/>
      <c r="B548" s="556"/>
      <c r="C548" s="556"/>
      <c r="D548" s="564"/>
      <c r="E548" s="556"/>
      <c r="F548" s="564"/>
      <c r="G548" s="564"/>
      <c r="H548" s="564"/>
      <c r="I548" s="564"/>
      <c r="J548" s="564"/>
      <c r="K548" s="564"/>
      <c r="L548" s="564"/>
      <c r="M548" s="564"/>
      <c r="N548" s="564"/>
      <c r="O548" s="564"/>
      <c r="P548" s="564"/>
      <c r="Q548" s="564"/>
      <c r="R548" s="564"/>
      <c r="S548" s="564"/>
      <c r="T548" s="564"/>
      <c r="U548" s="564"/>
      <c r="V548" s="564"/>
      <c r="W548" s="564"/>
      <c r="X548" s="564"/>
      <c r="Y548" s="564"/>
      <c r="Z548" s="564"/>
      <c r="AA548" s="564"/>
      <c r="AB548" s="556"/>
      <c r="AC548" s="556"/>
      <c r="AD548" s="556"/>
      <c r="AE548" s="556"/>
      <c r="AF548" s="556"/>
      <c r="AG548" s="556"/>
      <c r="AH548" s="556"/>
      <c r="AI548" s="556"/>
      <c r="AJ548" s="556"/>
      <c r="AK548" s="556"/>
      <c r="AL548" s="556"/>
      <c r="AM548" s="556"/>
      <c r="AN548" s="556"/>
      <c r="AO548" s="556"/>
      <c r="AP548" s="556"/>
      <c r="AQ548" s="556"/>
      <c r="AR548" s="556"/>
      <c r="AS548" s="565"/>
      <c r="AT548" s="556"/>
      <c r="AU548" s="700"/>
    </row>
    <row r="549" spans="1:47" hidden="1" x14ac:dyDescent="0.45">
      <c r="A549" s="556"/>
      <c r="B549" s="556"/>
      <c r="C549" s="556"/>
      <c r="D549" s="564"/>
      <c r="E549" s="556"/>
      <c r="F549" s="564"/>
      <c r="G549" s="564"/>
      <c r="H549" s="564"/>
      <c r="I549" s="564"/>
      <c r="J549" s="564"/>
      <c r="K549" s="564"/>
      <c r="L549" s="564"/>
      <c r="M549" s="564"/>
      <c r="N549" s="564"/>
      <c r="O549" s="564"/>
      <c r="P549" s="564"/>
      <c r="Q549" s="564"/>
      <c r="R549" s="564"/>
      <c r="S549" s="564"/>
      <c r="T549" s="564"/>
      <c r="U549" s="564"/>
      <c r="V549" s="564"/>
      <c r="W549" s="564"/>
      <c r="X549" s="564"/>
      <c r="Y549" s="564"/>
      <c r="Z549" s="564"/>
      <c r="AA549" s="564"/>
      <c r="AB549" s="556"/>
      <c r="AC549" s="556"/>
      <c r="AD549" s="556"/>
      <c r="AE549" s="556"/>
      <c r="AF549" s="556"/>
      <c r="AG549" s="556"/>
      <c r="AH549" s="556"/>
      <c r="AI549" s="556"/>
      <c r="AJ549" s="556"/>
      <c r="AK549" s="556"/>
      <c r="AL549" s="556"/>
      <c r="AM549" s="556"/>
      <c r="AN549" s="556"/>
      <c r="AO549" s="556"/>
      <c r="AP549" s="556"/>
      <c r="AQ549" s="556"/>
      <c r="AR549" s="556"/>
      <c r="AS549" s="565"/>
      <c r="AT549" s="556"/>
      <c r="AU549" s="700"/>
    </row>
    <row r="550" spans="1:47" hidden="1" x14ac:dyDescent="0.45">
      <c r="A550" s="556"/>
      <c r="B550" s="556"/>
      <c r="C550" s="556"/>
      <c r="D550" s="564"/>
      <c r="E550" s="556"/>
      <c r="F550" s="564"/>
      <c r="G550" s="564"/>
      <c r="H550" s="564"/>
      <c r="I550" s="564"/>
      <c r="J550" s="564"/>
      <c r="K550" s="564"/>
      <c r="L550" s="564"/>
      <c r="M550" s="564"/>
      <c r="N550" s="564"/>
      <c r="O550" s="564"/>
      <c r="P550" s="564"/>
      <c r="Q550" s="564"/>
      <c r="R550" s="564"/>
      <c r="S550" s="564"/>
      <c r="T550" s="564"/>
      <c r="U550" s="564"/>
      <c r="V550" s="564"/>
      <c r="W550" s="564"/>
      <c r="X550" s="564"/>
      <c r="Y550" s="564"/>
      <c r="Z550" s="564"/>
      <c r="AA550" s="564"/>
      <c r="AB550" s="556"/>
      <c r="AC550" s="556"/>
      <c r="AD550" s="556"/>
      <c r="AE550" s="556"/>
      <c r="AF550" s="556"/>
      <c r="AG550" s="556"/>
      <c r="AH550" s="556"/>
      <c r="AI550" s="556"/>
      <c r="AJ550" s="556"/>
      <c r="AK550" s="556"/>
      <c r="AL550" s="556"/>
      <c r="AM550" s="556"/>
      <c r="AN550" s="556"/>
      <c r="AO550" s="556"/>
      <c r="AP550" s="556"/>
      <c r="AQ550" s="556"/>
      <c r="AR550" s="556"/>
      <c r="AS550" s="565"/>
      <c r="AT550" s="556"/>
      <c r="AU550" s="700"/>
    </row>
    <row r="551" spans="1:47" hidden="1" x14ac:dyDescent="0.45">
      <c r="A551" s="556"/>
      <c r="B551" s="556"/>
      <c r="C551" s="556"/>
      <c r="D551" s="564"/>
      <c r="E551" s="556"/>
      <c r="F551" s="564"/>
      <c r="G551" s="564"/>
      <c r="H551" s="564"/>
      <c r="I551" s="564"/>
      <c r="J551" s="564"/>
      <c r="K551" s="564"/>
      <c r="L551" s="564"/>
      <c r="M551" s="564"/>
      <c r="N551" s="564"/>
      <c r="O551" s="564"/>
      <c r="P551" s="564"/>
      <c r="Q551" s="564"/>
      <c r="R551" s="564"/>
      <c r="S551" s="564"/>
      <c r="T551" s="564"/>
      <c r="U551" s="564"/>
      <c r="V551" s="564"/>
      <c r="W551" s="564"/>
      <c r="X551" s="564"/>
      <c r="Y551" s="564"/>
      <c r="Z551" s="564"/>
      <c r="AA551" s="564"/>
      <c r="AB551" s="556"/>
      <c r="AC551" s="556"/>
      <c r="AD551" s="556"/>
      <c r="AE551" s="556"/>
      <c r="AF551" s="556"/>
      <c r="AG551" s="556"/>
      <c r="AH551" s="556"/>
      <c r="AI551" s="556"/>
      <c r="AJ551" s="556"/>
      <c r="AK551" s="556"/>
      <c r="AL551" s="556"/>
      <c r="AM551" s="556"/>
      <c r="AN551" s="556"/>
      <c r="AO551" s="556"/>
      <c r="AP551" s="556"/>
      <c r="AQ551" s="556"/>
      <c r="AR551" s="556"/>
      <c r="AS551" s="565"/>
      <c r="AT551" s="556"/>
      <c r="AU551" s="700"/>
    </row>
    <row r="552" spans="1:47" hidden="1" x14ac:dyDescent="0.45">
      <c r="A552" s="556"/>
      <c r="B552" s="556"/>
      <c r="C552" s="556"/>
      <c r="D552" s="564"/>
      <c r="E552" s="556"/>
      <c r="F552" s="564"/>
      <c r="G552" s="564"/>
      <c r="H552" s="564"/>
      <c r="I552" s="564"/>
      <c r="J552" s="564"/>
      <c r="K552" s="564"/>
      <c r="L552" s="564"/>
      <c r="M552" s="564"/>
      <c r="N552" s="564"/>
      <c r="O552" s="564"/>
      <c r="P552" s="564"/>
      <c r="Q552" s="564"/>
      <c r="R552" s="564"/>
      <c r="S552" s="564"/>
      <c r="T552" s="564"/>
      <c r="U552" s="564"/>
      <c r="V552" s="564"/>
      <c r="W552" s="564"/>
      <c r="X552" s="564"/>
      <c r="Y552" s="564"/>
      <c r="Z552" s="564"/>
      <c r="AA552" s="564"/>
      <c r="AB552" s="556"/>
      <c r="AC552" s="556"/>
      <c r="AD552" s="556"/>
      <c r="AE552" s="556"/>
      <c r="AF552" s="556"/>
      <c r="AG552" s="556"/>
      <c r="AH552" s="556"/>
      <c r="AI552" s="556"/>
      <c r="AJ552" s="556"/>
      <c r="AK552" s="556"/>
      <c r="AL552" s="556"/>
      <c r="AM552" s="556"/>
      <c r="AN552" s="556"/>
      <c r="AO552" s="556"/>
      <c r="AP552" s="556"/>
      <c r="AQ552" s="556"/>
      <c r="AR552" s="556"/>
      <c r="AS552" s="565"/>
      <c r="AT552" s="556"/>
      <c r="AU552" s="700"/>
    </row>
    <row r="553" spans="1:47" hidden="1" x14ac:dyDescent="0.45">
      <c r="A553" s="556"/>
      <c r="B553" s="556"/>
      <c r="C553" s="556"/>
      <c r="D553" s="564"/>
      <c r="E553" s="556"/>
      <c r="F553" s="564"/>
      <c r="G553" s="564"/>
      <c r="H553" s="564"/>
      <c r="I553" s="564"/>
      <c r="J553" s="564"/>
      <c r="K553" s="564"/>
      <c r="L553" s="564"/>
      <c r="M553" s="564"/>
      <c r="N553" s="564"/>
      <c r="O553" s="564"/>
      <c r="P553" s="564"/>
      <c r="Q553" s="564"/>
      <c r="R553" s="564"/>
      <c r="S553" s="564"/>
      <c r="T553" s="564"/>
      <c r="U553" s="564"/>
      <c r="V553" s="564"/>
      <c r="W553" s="564"/>
      <c r="X553" s="564"/>
      <c r="Y553" s="564"/>
      <c r="Z553" s="564"/>
      <c r="AA553" s="564"/>
      <c r="AB553" s="556"/>
      <c r="AC553" s="556"/>
      <c r="AD553" s="556"/>
      <c r="AE553" s="556"/>
      <c r="AF553" s="556"/>
      <c r="AG553" s="556"/>
      <c r="AH553" s="556"/>
      <c r="AI553" s="556"/>
      <c r="AJ553" s="556"/>
      <c r="AK553" s="556"/>
      <c r="AL553" s="556"/>
      <c r="AM553" s="556"/>
      <c r="AN553" s="556"/>
      <c r="AO553" s="556"/>
      <c r="AP553" s="556"/>
      <c r="AQ553" s="556"/>
      <c r="AR553" s="556"/>
      <c r="AS553" s="565"/>
      <c r="AT553" s="556"/>
      <c r="AU553" s="700"/>
    </row>
    <row r="554" spans="1:47" hidden="1" x14ac:dyDescent="0.45">
      <c r="A554" s="556"/>
      <c r="B554" s="556"/>
      <c r="C554" s="556"/>
      <c r="D554" s="564"/>
      <c r="E554" s="556"/>
      <c r="F554" s="564"/>
      <c r="G554" s="564"/>
      <c r="H554" s="564"/>
      <c r="I554" s="564"/>
      <c r="J554" s="564"/>
      <c r="K554" s="564"/>
      <c r="L554" s="564"/>
      <c r="M554" s="564"/>
      <c r="N554" s="564"/>
      <c r="O554" s="564"/>
      <c r="P554" s="564"/>
      <c r="Q554" s="564"/>
      <c r="R554" s="564"/>
      <c r="S554" s="564"/>
      <c r="T554" s="564"/>
      <c r="U554" s="564"/>
      <c r="V554" s="564"/>
      <c r="W554" s="564"/>
      <c r="X554" s="564"/>
      <c r="Y554" s="564"/>
      <c r="Z554" s="564"/>
      <c r="AA554" s="564"/>
      <c r="AB554" s="556"/>
      <c r="AC554" s="556"/>
      <c r="AD554" s="556"/>
      <c r="AE554" s="556"/>
      <c r="AF554" s="556"/>
      <c r="AG554" s="556"/>
      <c r="AH554" s="556"/>
      <c r="AI554" s="556"/>
      <c r="AJ554" s="556"/>
      <c r="AK554" s="556"/>
      <c r="AL554" s="556"/>
      <c r="AM554" s="556"/>
      <c r="AN554" s="556"/>
      <c r="AO554" s="556"/>
      <c r="AP554" s="556"/>
      <c r="AQ554" s="556"/>
      <c r="AR554" s="556"/>
      <c r="AS554" s="565"/>
      <c r="AT554" s="556"/>
      <c r="AU554" s="700"/>
    </row>
    <row r="555" spans="1:47" hidden="1" x14ac:dyDescent="0.45">
      <c r="A555" s="556"/>
      <c r="B555" s="556"/>
      <c r="C555" s="556"/>
      <c r="D555" s="564"/>
      <c r="E555" s="556"/>
      <c r="F555" s="564"/>
      <c r="G555" s="564"/>
      <c r="H555" s="564"/>
      <c r="I555" s="564"/>
      <c r="J555" s="564"/>
      <c r="K555" s="564"/>
      <c r="L555" s="564"/>
      <c r="M555" s="564"/>
      <c r="N555" s="564"/>
      <c r="O555" s="564"/>
      <c r="P555" s="564"/>
      <c r="Q555" s="564"/>
      <c r="R555" s="564"/>
      <c r="S555" s="564"/>
      <c r="T555" s="564"/>
      <c r="U555" s="564"/>
      <c r="V555" s="564"/>
      <c r="W555" s="564"/>
      <c r="X555" s="564"/>
      <c r="Y555" s="564"/>
      <c r="Z555" s="564"/>
      <c r="AA555" s="564"/>
      <c r="AB555" s="556"/>
      <c r="AC555" s="556"/>
      <c r="AD555" s="556"/>
      <c r="AE555" s="556"/>
      <c r="AF555" s="556"/>
      <c r="AG555" s="556"/>
      <c r="AH555" s="556"/>
      <c r="AI555" s="556"/>
      <c r="AJ555" s="556"/>
      <c r="AK555" s="556"/>
      <c r="AL555" s="556"/>
      <c r="AM555" s="556"/>
      <c r="AN555" s="556"/>
      <c r="AO555" s="556"/>
      <c r="AP555" s="556"/>
      <c r="AQ555" s="556"/>
      <c r="AR555" s="556"/>
      <c r="AS555" s="565"/>
      <c r="AT555" s="556"/>
      <c r="AU555" s="700"/>
    </row>
    <row r="556" spans="1:47" hidden="1" x14ac:dyDescent="0.45">
      <c r="A556" s="556"/>
      <c r="B556" s="556"/>
      <c r="C556" s="556"/>
      <c r="D556" s="564"/>
      <c r="E556" s="556"/>
      <c r="F556" s="564"/>
      <c r="G556" s="564"/>
      <c r="H556" s="564"/>
      <c r="I556" s="564"/>
      <c r="J556" s="564"/>
      <c r="K556" s="564"/>
      <c r="L556" s="564"/>
      <c r="M556" s="564"/>
      <c r="N556" s="564"/>
      <c r="O556" s="564"/>
      <c r="P556" s="564"/>
      <c r="Q556" s="564"/>
      <c r="R556" s="564"/>
      <c r="S556" s="564"/>
      <c r="T556" s="564"/>
      <c r="U556" s="564"/>
      <c r="V556" s="564"/>
      <c r="W556" s="564"/>
      <c r="X556" s="564"/>
      <c r="Y556" s="564"/>
      <c r="Z556" s="564"/>
      <c r="AA556" s="564"/>
      <c r="AB556" s="556"/>
      <c r="AC556" s="556"/>
      <c r="AD556" s="556"/>
      <c r="AE556" s="556"/>
      <c r="AF556" s="556"/>
      <c r="AG556" s="556"/>
      <c r="AH556" s="556"/>
      <c r="AI556" s="556"/>
      <c r="AJ556" s="556"/>
      <c r="AK556" s="556"/>
      <c r="AL556" s="556"/>
      <c r="AM556" s="556"/>
      <c r="AN556" s="556"/>
      <c r="AO556" s="556"/>
      <c r="AP556" s="556"/>
      <c r="AQ556" s="556"/>
      <c r="AR556" s="556"/>
      <c r="AS556" s="565"/>
      <c r="AT556" s="556"/>
      <c r="AU556" s="700"/>
    </row>
    <row r="557" spans="1:47" hidden="1" x14ac:dyDescent="0.45">
      <c r="A557" s="556"/>
      <c r="B557" s="556"/>
      <c r="C557" s="556"/>
      <c r="D557" s="564"/>
      <c r="E557" s="556"/>
      <c r="F557" s="564"/>
      <c r="G557" s="564"/>
      <c r="H557" s="564"/>
      <c r="I557" s="564"/>
      <c r="J557" s="564"/>
      <c r="K557" s="564"/>
      <c r="L557" s="564"/>
      <c r="M557" s="564"/>
      <c r="N557" s="564"/>
      <c r="O557" s="564"/>
      <c r="P557" s="564"/>
      <c r="Q557" s="564"/>
      <c r="R557" s="564"/>
      <c r="S557" s="564"/>
      <c r="T557" s="564"/>
      <c r="U557" s="564"/>
      <c r="V557" s="564"/>
      <c r="W557" s="564"/>
      <c r="X557" s="564"/>
      <c r="Y557" s="564"/>
      <c r="Z557" s="564"/>
      <c r="AA557" s="564"/>
      <c r="AB557" s="556"/>
      <c r="AC557" s="556"/>
      <c r="AD557" s="556"/>
      <c r="AE557" s="556"/>
      <c r="AF557" s="556"/>
      <c r="AG557" s="556"/>
      <c r="AH557" s="556"/>
      <c r="AI557" s="556"/>
      <c r="AJ557" s="556"/>
      <c r="AK557" s="556"/>
      <c r="AL557" s="556"/>
      <c r="AM557" s="556"/>
      <c r="AN557" s="556"/>
      <c r="AO557" s="556"/>
      <c r="AP557" s="556"/>
      <c r="AQ557" s="556"/>
      <c r="AR557" s="556"/>
      <c r="AS557" s="565"/>
      <c r="AT557" s="556"/>
      <c r="AU557" s="700"/>
    </row>
    <row r="558" spans="1:47" hidden="1" x14ac:dyDescent="0.45">
      <c r="A558" s="556"/>
      <c r="B558" s="556"/>
      <c r="C558" s="556"/>
      <c r="D558" s="564"/>
      <c r="E558" s="556"/>
      <c r="F558" s="564"/>
      <c r="G558" s="564"/>
      <c r="H558" s="564"/>
      <c r="I558" s="564"/>
      <c r="J558" s="564"/>
      <c r="K558" s="564"/>
      <c r="L558" s="564"/>
      <c r="M558" s="564"/>
      <c r="N558" s="564"/>
      <c r="O558" s="564"/>
      <c r="P558" s="564"/>
      <c r="Q558" s="564"/>
      <c r="R558" s="564"/>
      <c r="S558" s="564"/>
      <c r="T558" s="564"/>
      <c r="U558" s="564"/>
      <c r="V558" s="564"/>
      <c r="W558" s="564"/>
      <c r="X558" s="564"/>
      <c r="Y558" s="564"/>
      <c r="Z558" s="564"/>
      <c r="AA558" s="564"/>
      <c r="AB558" s="556"/>
      <c r="AC558" s="556"/>
      <c r="AD558" s="556"/>
      <c r="AE558" s="556"/>
      <c r="AF558" s="556"/>
      <c r="AG558" s="556"/>
      <c r="AH558" s="556"/>
      <c r="AI558" s="556"/>
      <c r="AJ558" s="556"/>
      <c r="AK558" s="556"/>
      <c r="AL558" s="556"/>
      <c r="AM558" s="556"/>
      <c r="AN558" s="556"/>
      <c r="AO558" s="556"/>
      <c r="AP558" s="556"/>
      <c r="AQ558" s="556"/>
      <c r="AR558" s="556"/>
      <c r="AS558" s="565"/>
      <c r="AT558" s="556"/>
      <c r="AU558" s="700"/>
    </row>
    <row r="559" spans="1:47" hidden="1" x14ac:dyDescent="0.45">
      <c r="A559" s="556"/>
      <c r="B559" s="556"/>
      <c r="C559" s="556"/>
      <c r="D559" s="564"/>
      <c r="E559" s="556"/>
      <c r="F559" s="564"/>
      <c r="G559" s="564"/>
      <c r="H559" s="564"/>
      <c r="I559" s="564"/>
      <c r="J559" s="564"/>
      <c r="K559" s="564"/>
      <c r="L559" s="564"/>
      <c r="M559" s="564"/>
      <c r="N559" s="564"/>
      <c r="O559" s="564"/>
      <c r="P559" s="564"/>
      <c r="Q559" s="564"/>
      <c r="R559" s="564"/>
      <c r="S559" s="564"/>
      <c r="T559" s="564"/>
      <c r="U559" s="564"/>
      <c r="V559" s="564"/>
      <c r="W559" s="564"/>
      <c r="X559" s="564"/>
      <c r="Y559" s="564"/>
      <c r="Z559" s="564"/>
      <c r="AA559" s="564"/>
      <c r="AB559" s="556"/>
      <c r="AC559" s="556"/>
      <c r="AD559" s="556"/>
      <c r="AE559" s="556"/>
      <c r="AF559" s="556"/>
      <c r="AG559" s="556"/>
      <c r="AH559" s="556"/>
      <c r="AI559" s="556"/>
      <c r="AJ559" s="556"/>
      <c r="AK559" s="556"/>
      <c r="AL559" s="556"/>
      <c r="AM559" s="556"/>
      <c r="AN559" s="556"/>
      <c r="AO559" s="556"/>
      <c r="AP559" s="556"/>
      <c r="AQ559" s="556"/>
      <c r="AR559" s="556"/>
      <c r="AS559" s="565"/>
      <c r="AT559" s="556"/>
      <c r="AU559" s="700"/>
    </row>
    <row r="560" spans="1:47" hidden="1" x14ac:dyDescent="0.45">
      <c r="A560" s="556"/>
      <c r="B560" s="556"/>
      <c r="C560" s="556"/>
      <c r="D560" s="564"/>
      <c r="E560" s="556"/>
      <c r="F560" s="564"/>
      <c r="G560" s="564"/>
      <c r="H560" s="564"/>
      <c r="I560" s="564"/>
      <c r="J560" s="564"/>
      <c r="K560" s="564"/>
      <c r="L560" s="564"/>
      <c r="M560" s="564"/>
      <c r="N560" s="564"/>
      <c r="O560" s="564"/>
      <c r="P560" s="564"/>
      <c r="Q560" s="564"/>
      <c r="R560" s="564"/>
      <c r="S560" s="564"/>
      <c r="T560" s="564"/>
      <c r="U560" s="564"/>
      <c r="V560" s="564"/>
      <c r="W560" s="564"/>
      <c r="X560" s="564"/>
      <c r="Y560" s="564"/>
      <c r="Z560" s="564"/>
      <c r="AA560" s="564"/>
      <c r="AB560" s="556"/>
      <c r="AC560" s="556"/>
      <c r="AD560" s="556"/>
      <c r="AE560" s="556"/>
      <c r="AF560" s="556"/>
      <c r="AG560" s="556"/>
      <c r="AH560" s="556"/>
      <c r="AI560" s="556"/>
      <c r="AJ560" s="556"/>
      <c r="AK560" s="556"/>
      <c r="AL560" s="556"/>
      <c r="AM560" s="556"/>
      <c r="AN560" s="556"/>
      <c r="AO560" s="556"/>
      <c r="AP560" s="556"/>
      <c r="AQ560" s="556"/>
      <c r="AR560" s="556"/>
      <c r="AS560" s="565"/>
      <c r="AT560" s="556"/>
      <c r="AU560" s="700"/>
    </row>
    <row r="561" spans="1:47" hidden="1" x14ac:dyDescent="0.45">
      <c r="A561" s="556"/>
      <c r="B561" s="556"/>
      <c r="C561" s="556"/>
      <c r="D561" s="564"/>
      <c r="E561" s="556"/>
      <c r="F561" s="564"/>
      <c r="G561" s="564"/>
      <c r="H561" s="564"/>
      <c r="I561" s="564"/>
      <c r="J561" s="564"/>
      <c r="K561" s="564"/>
      <c r="L561" s="564"/>
      <c r="M561" s="564"/>
      <c r="N561" s="564"/>
      <c r="O561" s="564"/>
      <c r="P561" s="564"/>
      <c r="Q561" s="564"/>
      <c r="R561" s="564"/>
      <c r="S561" s="564"/>
      <c r="T561" s="564"/>
      <c r="U561" s="564"/>
      <c r="V561" s="564"/>
      <c r="W561" s="564"/>
      <c r="X561" s="564"/>
      <c r="Y561" s="564"/>
      <c r="Z561" s="564"/>
      <c r="AA561" s="564"/>
      <c r="AB561" s="556"/>
      <c r="AC561" s="556"/>
      <c r="AD561" s="556"/>
      <c r="AE561" s="556"/>
      <c r="AF561" s="556"/>
      <c r="AG561" s="556"/>
      <c r="AH561" s="556"/>
      <c r="AI561" s="556"/>
      <c r="AJ561" s="556"/>
      <c r="AK561" s="556"/>
      <c r="AL561" s="556"/>
      <c r="AM561" s="556"/>
      <c r="AN561" s="556"/>
      <c r="AO561" s="556"/>
      <c r="AP561" s="556"/>
      <c r="AQ561" s="556"/>
      <c r="AR561" s="556"/>
      <c r="AS561" s="565"/>
      <c r="AT561" s="556"/>
      <c r="AU561" s="700"/>
    </row>
    <row r="562" spans="1:47" hidden="1" x14ac:dyDescent="0.45">
      <c r="A562" s="556"/>
      <c r="B562" s="556"/>
      <c r="C562" s="556"/>
      <c r="D562" s="564"/>
      <c r="E562" s="556"/>
      <c r="F562" s="564"/>
      <c r="G562" s="564"/>
      <c r="H562" s="564"/>
      <c r="I562" s="564"/>
      <c r="J562" s="564"/>
      <c r="K562" s="564"/>
      <c r="L562" s="564"/>
      <c r="M562" s="564"/>
      <c r="N562" s="564"/>
      <c r="O562" s="564"/>
      <c r="P562" s="564"/>
      <c r="Q562" s="564"/>
      <c r="R562" s="564"/>
      <c r="S562" s="564"/>
      <c r="T562" s="564"/>
      <c r="U562" s="564"/>
      <c r="V562" s="564"/>
      <c r="W562" s="564"/>
      <c r="X562" s="564"/>
      <c r="Y562" s="564"/>
      <c r="Z562" s="564"/>
      <c r="AA562" s="564"/>
      <c r="AB562" s="556"/>
      <c r="AC562" s="556"/>
      <c r="AD562" s="556"/>
      <c r="AE562" s="556"/>
      <c r="AF562" s="556"/>
      <c r="AG562" s="556"/>
      <c r="AH562" s="556"/>
      <c r="AI562" s="556"/>
      <c r="AJ562" s="556"/>
      <c r="AK562" s="556"/>
      <c r="AL562" s="556"/>
      <c r="AM562" s="556"/>
      <c r="AN562" s="556"/>
      <c r="AO562" s="556"/>
      <c r="AP562" s="556"/>
      <c r="AQ562" s="556"/>
      <c r="AR562" s="556"/>
      <c r="AS562" s="565"/>
      <c r="AT562" s="556"/>
      <c r="AU562" s="700"/>
    </row>
    <row r="563" spans="1:47" hidden="1" x14ac:dyDescent="0.45">
      <c r="A563" s="556"/>
      <c r="B563" s="556"/>
      <c r="C563" s="556"/>
      <c r="D563" s="564"/>
      <c r="E563" s="556"/>
      <c r="F563" s="564"/>
      <c r="G563" s="564"/>
      <c r="H563" s="564"/>
      <c r="I563" s="564"/>
      <c r="J563" s="564"/>
      <c r="K563" s="564"/>
      <c r="L563" s="564"/>
      <c r="M563" s="564"/>
      <c r="N563" s="564"/>
      <c r="O563" s="564"/>
      <c r="P563" s="564"/>
      <c r="Q563" s="564"/>
      <c r="R563" s="564"/>
      <c r="S563" s="564"/>
      <c r="T563" s="564"/>
      <c r="U563" s="564"/>
      <c r="V563" s="564"/>
      <c r="W563" s="564"/>
      <c r="X563" s="564"/>
      <c r="Y563" s="564"/>
      <c r="Z563" s="564"/>
      <c r="AA563" s="564"/>
      <c r="AB563" s="556"/>
      <c r="AC563" s="556"/>
      <c r="AD563" s="556"/>
      <c r="AE563" s="556"/>
      <c r="AF563" s="556"/>
      <c r="AG563" s="556"/>
      <c r="AH563" s="556"/>
      <c r="AI563" s="556"/>
      <c r="AJ563" s="556"/>
      <c r="AK563" s="556"/>
      <c r="AL563" s="556"/>
      <c r="AM563" s="556"/>
      <c r="AN563" s="556"/>
      <c r="AO563" s="556"/>
      <c r="AP563" s="556"/>
      <c r="AQ563" s="556"/>
      <c r="AR563" s="556"/>
      <c r="AS563" s="565"/>
      <c r="AT563" s="556"/>
      <c r="AU563" s="700"/>
    </row>
    <row r="564" spans="1:47" hidden="1" x14ac:dyDescent="0.45">
      <c r="A564" s="556"/>
      <c r="B564" s="556"/>
      <c r="C564" s="556"/>
      <c r="D564" s="564"/>
      <c r="E564" s="556"/>
      <c r="F564" s="564"/>
      <c r="G564" s="564"/>
      <c r="H564" s="564"/>
      <c r="I564" s="564"/>
      <c r="J564" s="564"/>
      <c r="K564" s="564"/>
      <c r="L564" s="564"/>
      <c r="M564" s="564"/>
      <c r="N564" s="564"/>
      <c r="O564" s="564"/>
      <c r="P564" s="564"/>
      <c r="Q564" s="564"/>
      <c r="R564" s="564"/>
      <c r="S564" s="564"/>
      <c r="T564" s="564"/>
      <c r="U564" s="564"/>
      <c r="V564" s="564"/>
      <c r="W564" s="564"/>
      <c r="X564" s="564"/>
      <c r="Y564" s="564"/>
      <c r="Z564" s="564"/>
      <c r="AA564" s="564"/>
      <c r="AB564" s="556"/>
      <c r="AC564" s="556"/>
      <c r="AD564" s="556"/>
      <c r="AE564" s="556"/>
      <c r="AF564" s="556"/>
      <c r="AG564" s="556"/>
      <c r="AH564" s="556"/>
      <c r="AI564" s="556"/>
      <c r="AJ564" s="556"/>
      <c r="AK564" s="556"/>
      <c r="AL564" s="556"/>
      <c r="AM564" s="556"/>
      <c r="AN564" s="556"/>
      <c r="AO564" s="556"/>
      <c r="AP564" s="556"/>
      <c r="AQ564" s="556"/>
      <c r="AR564" s="556"/>
      <c r="AS564" s="565"/>
      <c r="AT564" s="556"/>
      <c r="AU564" s="700"/>
    </row>
    <row r="565" spans="1:47" hidden="1" x14ac:dyDescent="0.45">
      <c r="A565" s="556"/>
      <c r="B565" s="556"/>
      <c r="C565" s="556"/>
      <c r="D565" s="564"/>
      <c r="E565" s="556"/>
      <c r="F565" s="564"/>
      <c r="G565" s="564"/>
      <c r="H565" s="564"/>
      <c r="I565" s="564"/>
      <c r="J565" s="564"/>
      <c r="K565" s="564"/>
      <c r="L565" s="564"/>
      <c r="M565" s="564"/>
      <c r="N565" s="564"/>
      <c r="O565" s="564"/>
      <c r="P565" s="564"/>
      <c r="Q565" s="564"/>
      <c r="R565" s="564"/>
      <c r="S565" s="564"/>
      <c r="T565" s="564"/>
      <c r="U565" s="564"/>
      <c r="V565" s="564"/>
      <c r="W565" s="564"/>
      <c r="X565" s="564"/>
      <c r="Y565" s="564"/>
      <c r="Z565" s="564"/>
      <c r="AA565" s="564"/>
      <c r="AB565" s="556"/>
      <c r="AC565" s="556"/>
      <c r="AD565" s="556"/>
      <c r="AE565" s="556"/>
      <c r="AF565" s="556"/>
      <c r="AG565" s="556"/>
      <c r="AH565" s="556"/>
      <c r="AI565" s="556"/>
      <c r="AJ565" s="556"/>
      <c r="AK565" s="556"/>
      <c r="AL565" s="556"/>
      <c r="AM565" s="556"/>
      <c r="AN565" s="556"/>
      <c r="AO565" s="556"/>
      <c r="AP565" s="556"/>
      <c r="AQ565" s="556"/>
      <c r="AR565" s="556"/>
      <c r="AS565" s="565"/>
      <c r="AT565" s="556"/>
      <c r="AU565" s="700"/>
    </row>
    <row r="566" spans="1:47" hidden="1" x14ac:dyDescent="0.45">
      <c r="A566" s="556"/>
      <c r="B566" s="556"/>
      <c r="C566" s="556"/>
      <c r="D566" s="564"/>
      <c r="E566" s="556"/>
      <c r="F566" s="564"/>
      <c r="G566" s="564"/>
      <c r="H566" s="564"/>
      <c r="I566" s="564"/>
      <c r="J566" s="564"/>
      <c r="K566" s="564"/>
      <c r="L566" s="564"/>
      <c r="M566" s="564"/>
      <c r="N566" s="564"/>
      <c r="O566" s="564"/>
      <c r="P566" s="564"/>
      <c r="Q566" s="564"/>
      <c r="R566" s="564"/>
      <c r="S566" s="564"/>
      <c r="T566" s="564"/>
      <c r="U566" s="564"/>
      <c r="V566" s="564"/>
      <c r="W566" s="564"/>
      <c r="X566" s="564"/>
      <c r="Y566" s="564"/>
      <c r="Z566" s="564"/>
      <c r="AA566" s="564"/>
      <c r="AB566" s="556"/>
      <c r="AC566" s="556"/>
      <c r="AD566" s="556"/>
      <c r="AE566" s="556"/>
      <c r="AF566" s="556"/>
      <c r="AG566" s="556"/>
      <c r="AH566" s="556"/>
      <c r="AI566" s="556"/>
      <c r="AJ566" s="556"/>
      <c r="AK566" s="556"/>
      <c r="AL566" s="556"/>
      <c r="AM566" s="556"/>
      <c r="AN566" s="556"/>
      <c r="AO566" s="556"/>
      <c r="AP566" s="556"/>
      <c r="AQ566" s="556"/>
      <c r="AR566" s="556"/>
      <c r="AS566" s="565"/>
      <c r="AT566" s="556"/>
      <c r="AU566" s="700"/>
    </row>
    <row r="567" spans="1:47" hidden="1" x14ac:dyDescent="0.45">
      <c r="A567" s="556"/>
      <c r="B567" s="556"/>
      <c r="C567" s="556"/>
      <c r="D567" s="564"/>
      <c r="E567" s="556"/>
      <c r="F567" s="564"/>
      <c r="G567" s="564"/>
      <c r="H567" s="564"/>
      <c r="I567" s="564"/>
      <c r="J567" s="564"/>
      <c r="K567" s="564"/>
      <c r="L567" s="564"/>
      <c r="M567" s="564"/>
      <c r="N567" s="564"/>
      <c r="O567" s="564"/>
      <c r="P567" s="564"/>
      <c r="Q567" s="564"/>
      <c r="R567" s="564"/>
      <c r="S567" s="564"/>
      <c r="T567" s="564"/>
      <c r="U567" s="564"/>
      <c r="V567" s="564"/>
      <c r="W567" s="564"/>
      <c r="X567" s="564"/>
      <c r="Y567" s="564"/>
      <c r="Z567" s="564"/>
      <c r="AA567" s="564"/>
      <c r="AB567" s="556"/>
      <c r="AC567" s="556"/>
      <c r="AD567" s="556"/>
      <c r="AE567" s="556"/>
      <c r="AF567" s="556"/>
      <c r="AG567" s="556"/>
      <c r="AH567" s="556"/>
      <c r="AI567" s="556"/>
      <c r="AJ567" s="556"/>
      <c r="AK567" s="556"/>
      <c r="AL567" s="556"/>
      <c r="AM567" s="556"/>
      <c r="AN567" s="556"/>
      <c r="AO567" s="556"/>
      <c r="AP567" s="556"/>
      <c r="AQ567" s="556"/>
      <c r="AR567" s="556"/>
      <c r="AS567" s="565"/>
      <c r="AT567" s="556"/>
      <c r="AU567" s="700"/>
    </row>
    <row r="568" spans="1:47" hidden="1" x14ac:dyDescent="0.45">
      <c r="A568" s="556"/>
      <c r="B568" s="556"/>
      <c r="C568" s="556"/>
      <c r="D568" s="564"/>
      <c r="E568" s="556"/>
      <c r="F568" s="564"/>
      <c r="G568" s="564"/>
      <c r="H568" s="564"/>
      <c r="I568" s="564"/>
      <c r="J568" s="564"/>
      <c r="K568" s="564"/>
      <c r="L568" s="564"/>
      <c r="M568" s="564"/>
      <c r="N568" s="564"/>
      <c r="O568" s="564"/>
      <c r="P568" s="564"/>
      <c r="Q568" s="564"/>
      <c r="R568" s="564"/>
      <c r="S568" s="564"/>
      <c r="T568" s="564"/>
      <c r="U568" s="564"/>
      <c r="V568" s="564"/>
      <c r="W568" s="564"/>
      <c r="X568" s="564"/>
      <c r="Y568" s="564"/>
      <c r="Z568" s="564"/>
      <c r="AA568" s="564"/>
      <c r="AB568" s="556"/>
      <c r="AC568" s="556"/>
      <c r="AD568" s="556"/>
      <c r="AE568" s="556"/>
      <c r="AF568" s="556"/>
      <c r="AG568" s="556"/>
      <c r="AH568" s="556"/>
      <c r="AI568" s="556"/>
      <c r="AJ568" s="556"/>
      <c r="AK568" s="556"/>
      <c r="AL568" s="556"/>
      <c r="AM568" s="556"/>
      <c r="AN568" s="556"/>
      <c r="AO568" s="556"/>
      <c r="AP568" s="556"/>
      <c r="AQ568" s="556"/>
      <c r="AR568" s="556"/>
      <c r="AS568" s="565"/>
      <c r="AT568" s="556"/>
      <c r="AU568" s="700"/>
    </row>
    <row r="569" spans="1:47" hidden="1" x14ac:dyDescent="0.45">
      <c r="A569" s="556"/>
      <c r="B569" s="556"/>
      <c r="C569" s="556"/>
      <c r="D569" s="564"/>
      <c r="E569" s="556"/>
      <c r="F569" s="564"/>
      <c r="G569" s="564"/>
      <c r="H569" s="564"/>
      <c r="I569" s="564"/>
      <c r="J569" s="564"/>
      <c r="K569" s="564"/>
      <c r="L569" s="564"/>
      <c r="M569" s="564"/>
      <c r="N569" s="564"/>
      <c r="O569" s="564"/>
      <c r="P569" s="564"/>
      <c r="Q569" s="564"/>
      <c r="R569" s="564"/>
      <c r="S569" s="564"/>
      <c r="T569" s="564"/>
      <c r="U569" s="564"/>
      <c r="V569" s="564"/>
      <c r="W569" s="564"/>
      <c r="X569" s="564"/>
      <c r="Y569" s="564"/>
      <c r="Z569" s="564"/>
      <c r="AA569" s="564"/>
      <c r="AB569" s="556"/>
      <c r="AC569" s="556"/>
      <c r="AD569" s="556"/>
      <c r="AE569" s="556"/>
      <c r="AF569" s="556"/>
      <c r="AG569" s="556"/>
      <c r="AH569" s="556"/>
      <c r="AI569" s="556"/>
      <c r="AJ569" s="556"/>
      <c r="AK569" s="556"/>
      <c r="AL569" s="556"/>
      <c r="AM569" s="556"/>
      <c r="AN569" s="556"/>
      <c r="AO569" s="556"/>
      <c r="AP569" s="556"/>
      <c r="AQ569" s="556"/>
      <c r="AR569" s="556"/>
      <c r="AS569" s="565"/>
      <c r="AT569" s="556"/>
      <c r="AU569" s="700"/>
    </row>
    <row r="570" spans="1:47" hidden="1" x14ac:dyDescent="0.45">
      <c r="A570" s="556"/>
      <c r="B570" s="556"/>
      <c r="C570" s="556"/>
      <c r="D570" s="564"/>
      <c r="E570" s="556"/>
      <c r="F570" s="564"/>
      <c r="G570" s="564"/>
      <c r="H570" s="564"/>
      <c r="I570" s="564"/>
      <c r="J570" s="564"/>
      <c r="K570" s="564"/>
      <c r="L570" s="564"/>
      <c r="M570" s="564"/>
      <c r="N570" s="564"/>
      <c r="O570" s="564"/>
      <c r="P570" s="564"/>
      <c r="Q570" s="564"/>
      <c r="R570" s="564"/>
      <c r="S570" s="564"/>
      <c r="T570" s="564"/>
      <c r="U570" s="564"/>
      <c r="V570" s="564"/>
      <c r="W570" s="564"/>
      <c r="X570" s="564"/>
      <c r="Y570" s="564"/>
      <c r="Z570" s="564"/>
      <c r="AA570" s="564"/>
      <c r="AB570" s="556"/>
      <c r="AC570" s="556"/>
      <c r="AD570" s="556"/>
      <c r="AE570" s="556"/>
      <c r="AF570" s="556"/>
      <c r="AG570" s="556"/>
      <c r="AH570" s="556"/>
      <c r="AI570" s="556"/>
      <c r="AJ570" s="556"/>
      <c r="AK570" s="556"/>
      <c r="AL570" s="556"/>
      <c r="AM570" s="556"/>
      <c r="AN570" s="556"/>
      <c r="AO570" s="556"/>
      <c r="AP570" s="556"/>
      <c r="AQ570" s="556"/>
      <c r="AR570" s="556"/>
      <c r="AS570" s="565"/>
      <c r="AT570" s="556"/>
      <c r="AU570" s="700"/>
    </row>
    <row r="571" spans="1:47" hidden="1" x14ac:dyDescent="0.45">
      <c r="A571" s="556"/>
      <c r="B571" s="556"/>
      <c r="C571" s="556"/>
      <c r="D571" s="564"/>
      <c r="E571" s="556"/>
      <c r="F571" s="564"/>
      <c r="G571" s="564"/>
      <c r="H571" s="564"/>
      <c r="I571" s="564"/>
      <c r="J571" s="564"/>
      <c r="K571" s="564"/>
      <c r="L571" s="564"/>
      <c r="M571" s="564"/>
      <c r="N571" s="564"/>
      <c r="O571" s="564"/>
      <c r="P571" s="564"/>
      <c r="Q571" s="564"/>
      <c r="R571" s="564"/>
      <c r="S571" s="564"/>
      <c r="T571" s="564"/>
      <c r="U571" s="564"/>
      <c r="V571" s="564"/>
      <c r="W571" s="564"/>
      <c r="X571" s="564"/>
      <c r="Y571" s="564"/>
      <c r="Z571" s="564"/>
      <c r="AA571" s="564"/>
      <c r="AB571" s="556"/>
      <c r="AC571" s="556"/>
      <c r="AD571" s="556"/>
      <c r="AE571" s="556"/>
      <c r="AF571" s="556"/>
      <c r="AG571" s="556"/>
      <c r="AH571" s="556"/>
      <c r="AI571" s="556"/>
      <c r="AJ571" s="556"/>
      <c r="AK571" s="556"/>
      <c r="AL571" s="556"/>
      <c r="AM571" s="556"/>
      <c r="AN571" s="556"/>
      <c r="AO571" s="556"/>
      <c r="AP571" s="556"/>
      <c r="AQ571" s="556"/>
      <c r="AR571" s="556"/>
      <c r="AS571" s="565"/>
      <c r="AT571" s="556"/>
      <c r="AU571" s="700"/>
    </row>
    <row r="572" spans="1:47" hidden="1" x14ac:dyDescent="0.45">
      <c r="A572" s="556"/>
      <c r="B572" s="556"/>
      <c r="C572" s="556"/>
      <c r="D572" s="564"/>
      <c r="E572" s="556"/>
      <c r="F572" s="564"/>
      <c r="G572" s="564"/>
      <c r="H572" s="564"/>
      <c r="I572" s="564"/>
      <c r="J572" s="564"/>
      <c r="K572" s="564"/>
      <c r="L572" s="564"/>
      <c r="M572" s="564"/>
      <c r="N572" s="564"/>
      <c r="O572" s="564"/>
      <c r="P572" s="564"/>
      <c r="Q572" s="564"/>
      <c r="R572" s="564"/>
      <c r="S572" s="564"/>
      <c r="T572" s="564"/>
      <c r="U572" s="564"/>
      <c r="V572" s="564"/>
      <c r="W572" s="564"/>
      <c r="X572" s="564"/>
      <c r="Y572" s="564"/>
      <c r="Z572" s="564"/>
      <c r="AA572" s="564"/>
      <c r="AB572" s="556"/>
      <c r="AC572" s="556"/>
      <c r="AD572" s="556"/>
      <c r="AE572" s="556"/>
      <c r="AF572" s="556"/>
      <c r="AG572" s="556"/>
      <c r="AH572" s="556"/>
      <c r="AI572" s="556"/>
      <c r="AJ572" s="556"/>
      <c r="AK572" s="556"/>
      <c r="AL572" s="556"/>
      <c r="AM572" s="556"/>
      <c r="AN572" s="556"/>
      <c r="AO572" s="556"/>
      <c r="AP572" s="556"/>
      <c r="AQ572" s="556"/>
      <c r="AR572" s="556"/>
      <c r="AS572" s="565"/>
      <c r="AT572" s="556"/>
      <c r="AU572" s="700"/>
    </row>
    <row r="573" spans="1:47" hidden="1" x14ac:dyDescent="0.45">
      <c r="A573" s="556"/>
      <c r="B573" s="556"/>
      <c r="C573" s="556"/>
      <c r="D573" s="564"/>
      <c r="E573" s="556"/>
      <c r="F573" s="564"/>
      <c r="G573" s="564"/>
      <c r="H573" s="564"/>
      <c r="I573" s="564"/>
      <c r="J573" s="564"/>
      <c r="K573" s="564"/>
      <c r="L573" s="564"/>
      <c r="M573" s="564"/>
      <c r="N573" s="564"/>
      <c r="O573" s="564"/>
      <c r="P573" s="564"/>
      <c r="Q573" s="564"/>
      <c r="R573" s="564"/>
      <c r="S573" s="564"/>
      <c r="T573" s="564"/>
      <c r="U573" s="564"/>
      <c r="V573" s="564"/>
      <c r="W573" s="564"/>
      <c r="X573" s="564"/>
      <c r="Y573" s="564"/>
      <c r="Z573" s="564"/>
      <c r="AA573" s="564"/>
      <c r="AB573" s="556"/>
      <c r="AC573" s="556"/>
      <c r="AD573" s="556"/>
      <c r="AE573" s="556"/>
      <c r="AF573" s="556"/>
      <c r="AG573" s="556"/>
      <c r="AH573" s="556"/>
      <c r="AI573" s="556"/>
      <c r="AJ573" s="556"/>
      <c r="AK573" s="556"/>
      <c r="AL573" s="556"/>
      <c r="AM573" s="556"/>
      <c r="AN573" s="556"/>
      <c r="AO573" s="556"/>
      <c r="AP573" s="556"/>
      <c r="AQ573" s="556"/>
      <c r="AR573" s="556"/>
      <c r="AS573" s="565"/>
      <c r="AT573" s="556"/>
      <c r="AU573" s="700"/>
    </row>
    <row r="574" spans="1:47" hidden="1" x14ac:dyDescent="0.45">
      <c r="A574" s="556"/>
      <c r="B574" s="556"/>
      <c r="C574" s="556"/>
      <c r="D574" s="564"/>
      <c r="E574" s="556"/>
      <c r="F574" s="564"/>
      <c r="G574" s="564"/>
      <c r="H574" s="564"/>
      <c r="I574" s="564"/>
      <c r="J574" s="564"/>
      <c r="K574" s="564"/>
      <c r="L574" s="564"/>
      <c r="M574" s="564"/>
      <c r="N574" s="564"/>
      <c r="O574" s="564"/>
      <c r="P574" s="564"/>
      <c r="Q574" s="564"/>
      <c r="R574" s="564"/>
      <c r="S574" s="564"/>
      <c r="T574" s="564"/>
      <c r="U574" s="564"/>
      <c r="V574" s="564"/>
      <c r="W574" s="564"/>
      <c r="X574" s="564"/>
      <c r="Y574" s="564"/>
      <c r="Z574" s="564"/>
      <c r="AA574" s="564"/>
      <c r="AB574" s="556"/>
      <c r="AC574" s="556"/>
      <c r="AD574" s="556"/>
      <c r="AE574" s="556"/>
      <c r="AF574" s="556"/>
      <c r="AG574" s="556"/>
      <c r="AH574" s="556"/>
      <c r="AI574" s="556"/>
      <c r="AJ574" s="556"/>
      <c r="AK574" s="556"/>
      <c r="AL574" s="556"/>
      <c r="AM574" s="556"/>
      <c r="AN574" s="556"/>
      <c r="AO574" s="556"/>
      <c r="AP574" s="556"/>
      <c r="AQ574" s="556"/>
      <c r="AR574" s="556"/>
      <c r="AS574" s="565"/>
      <c r="AT574" s="556"/>
      <c r="AU574" s="700"/>
    </row>
    <row r="575" spans="1:47" hidden="1" x14ac:dyDescent="0.45">
      <c r="A575" s="556"/>
      <c r="B575" s="556"/>
      <c r="C575" s="556"/>
      <c r="D575" s="564"/>
      <c r="E575" s="556"/>
      <c r="F575" s="564"/>
      <c r="G575" s="564"/>
      <c r="H575" s="564"/>
      <c r="I575" s="564"/>
      <c r="J575" s="564"/>
      <c r="K575" s="564"/>
      <c r="L575" s="564"/>
      <c r="M575" s="564"/>
      <c r="N575" s="564"/>
      <c r="O575" s="564"/>
      <c r="P575" s="564"/>
      <c r="Q575" s="564"/>
      <c r="R575" s="564"/>
      <c r="S575" s="564"/>
      <c r="T575" s="564"/>
      <c r="U575" s="564"/>
      <c r="V575" s="564"/>
      <c r="W575" s="564"/>
      <c r="X575" s="564"/>
      <c r="Y575" s="564"/>
      <c r="Z575" s="564"/>
      <c r="AA575" s="564"/>
      <c r="AB575" s="556"/>
      <c r="AC575" s="556"/>
      <c r="AD575" s="556"/>
      <c r="AE575" s="556"/>
      <c r="AF575" s="556"/>
      <c r="AG575" s="556"/>
      <c r="AH575" s="556"/>
      <c r="AI575" s="556"/>
      <c r="AJ575" s="556"/>
      <c r="AK575" s="556"/>
      <c r="AL575" s="556"/>
      <c r="AM575" s="556"/>
      <c r="AN575" s="556"/>
      <c r="AO575" s="556"/>
      <c r="AP575" s="556"/>
      <c r="AQ575" s="556"/>
      <c r="AR575" s="556"/>
      <c r="AS575" s="565"/>
      <c r="AT575" s="556"/>
      <c r="AU575" s="700"/>
    </row>
    <row r="576" spans="1:47" hidden="1" x14ac:dyDescent="0.45">
      <c r="A576" s="556"/>
      <c r="B576" s="556"/>
      <c r="C576" s="556"/>
      <c r="D576" s="564"/>
      <c r="E576" s="556"/>
      <c r="F576" s="564"/>
      <c r="G576" s="564"/>
      <c r="H576" s="564"/>
      <c r="I576" s="564"/>
      <c r="J576" s="564"/>
      <c r="K576" s="564"/>
      <c r="L576" s="564"/>
      <c r="M576" s="564"/>
      <c r="N576" s="564"/>
      <c r="O576" s="564"/>
      <c r="P576" s="564"/>
      <c r="Q576" s="564"/>
      <c r="R576" s="564"/>
      <c r="S576" s="564"/>
      <c r="T576" s="564"/>
      <c r="U576" s="564"/>
      <c r="V576" s="564"/>
      <c r="W576" s="564"/>
      <c r="X576" s="564"/>
      <c r="Y576" s="564"/>
      <c r="Z576" s="564"/>
      <c r="AA576" s="564"/>
      <c r="AB576" s="556"/>
      <c r="AC576" s="556"/>
      <c r="AD576" s="556"/>
      <c r="AE576" s="556"/>
      <c r="AF576" s="556"/>
      <c r="AG576" s="556"/>
      <c r="AH576" s="556"/>
      <c r="AI576" s="556"/>
      <c r="AJ576" s="556"/>
      <c r="AK576" s="556"/>
      <c r="AL576" s="556"/>
      <c r="AM576" s="556"/>
      <c r="AN576" s="556"/>
      <c r="AO576" s="556"/>
      <c r="AP576" s="556"/>
      <c r="AQ576" s="556"/>
      <c r="AR576" s="556"/>
      <c r="AS576" s="565"/>
      <c r="AT576" s="556"/>
      <c r="AU576" s="700"/>
    </row>
    <row r="577" spans="1:47" hidden="1" x14ac:dyDescent="0.45">
      <c r="A577" s="556"/>
      <c r="B577" s="556"/>
      <c r="C577" s="556"/>
      <c r="D577" s="564"/>
      <c r="E577" s="556"/>
      <c r="F577" s="564"/>
      <c r="G577" s="564"/>
      <c r="H577" s="564"/>
      <c r="I577" s="564"/>
      <c r="J577" s="564"/>
      <c r="K577" s="564"/>
      <c r="L577" s="564"/>
      <c r="M577" s="564"/>
      <c r="N577" s="564"/>
      <c r="O577" s="564"/>
      <c r="P577" s="564"/>
      <c r="Q577" s="564"/>
      <c r="R577" s="564"/>
      <c r="S577" s="564"/>
      <c r="T577" s="564"/>
      <c r="U577" s="564"/>
      <c r="V577" s="564"/>
      <c r="W577" s="564"/>
      <c r="X577" s="564"/>
      <c r="Y577" s="564"/>
      <c r="Z577" s="564"/>
      <c r="AA577" s="564"/>
      <c r="AB577" s="556"/>
      <c r="AC577" s="556"/>
      <c r="AD577" s="556"/>
      <c r="AE577" s="556"/>
      <c r="AF577" s="556"/>
      <c r="AG577" s="556"/>
      <c r="AH577" s="556"/>
      <c r="AI577" s="556"/>
      <c r="AJ577" s="556"/>
      <c r="AK577" s="556"/>
      <c r="AL577" s="556"/>
      <c r="AM577" s="556"/>
      <c r="AN577" s="556"/>
      <c r="AO577" s="556"/>
      <c r="AP577" s="556"/>
      <c r="AQ577" s="556"/>
      <c r="AR577" s="556"/>
      <c r="AS577" s="565"/>
      <c r="AT577" s="556"/>
      <c r="AU577" s="700"/>
    </row>
    <row r="578" spans="1:47" hidden="1" x14ac:dyDescent="0.45">
      <c r="A578" s="556"/>
      <c r="B578" s="556"/>
      <c r="C578" s="556"/>
      <c r="D578" s="564"/>
      <c r="E578" s="556"/>
      <c r="F578" s="564"/>
      <c r="G578" s="564"/>
      <c r="H578" s="564"/>
      <c r="I578" s="564"/>
      <c r="J578" s="564"/>
      <c r="K578" s="564"/>
      <c r="L578" s="564"/>
      <c r="M578" s="564"/>
      <c r="N578" s="564"/>
      <c r="O578" s="564"/>
      <c r="P578" s="564"/>
      <c r="Q578" s="564"/>
      <c r="R578" s="564"/>
      <c r="S578" s="564"/>
      <c r="T578" s="564"/>
      <c r="U578" s="564"/>
      <c r="V578" s="564"/>
      <c r="W578" s="564"/>
      <c r="X578" s="564"/>
      <c r="Y578" s="564"/>
      <c r="Z578" s="564"/>
      <c r="AA578" s="564"/>
      <c r="AB578" s="556"/>
      <c r="AC578" s="556"/>
      <c r="AD578" s="556"/>
      <c r="AE578" s="556"/>
      <c r="AF578" s="556"/>
      <c r="AG578" s="556"/>
      <c r="AH578" s="556"/>
      <c r="AI578" s="556"/>
      <c r="AJ578" s="556"/>
      <c r="AK578" s="556"/>
      <c r="AL578" s="556"/>
      <c r="AM578" s="556"/>
      <c r="AN578" s="556"/>
      <c r="AO578" s="556"/>
      <c r="AP578" s="556"/>
      <c r="AQ578" s="556"/>
      <c r="AR578" s="556"/>
      <c r="AS578" s="565"/>
      <c r="AT578" s="556"/>
      <c r="AU578" s="700"/>
    </row>
    <row r="579" spans="1:47" hidden="1" x14ac:dyDescent="0.45">
      <c r="A579" s="556"/>
      <c r="B579" s="556"/>
      <c r="C579" s="556"/>
      <c r="D579" s="564"/>
      <c r="E579" s="556"/>
      <c r="F579" s="564"/>
      <c r="G579" s="564"/>
      <c r="H579" s="564"/>
      <c r="I579" s="564"/>
      <c r="J579" s="564"/>
      <c r="K579" s="564"/>
      <c r="L579" s="564"/>
      <c r="M579" s="564"/>
      <c r="N579" s="564"/>
      <c r="O579" s="564"/>
      <c r="P579" s="564"/>
      <c r="Q579" s="564"/>
      <c r="R579" s="564"/>
      <c r="S579" s="564"/>
      <c r="T579" s="564"/>
      <c r="U579" s="564"/>
      <c r="V579" s="564"/>
      <c r="W579" s="564"/>
      <c r="X579" s="564"/>
      <c r="Y579" s="564"/>
      <c r="Z579" s="564"/>
      <c r="AA579" s="564"/>
      <c r="AB579" s="556"/>
      <c r="AC579" s="556"/>
      <c r="AD579" s="556"/>
      <c r="AE579" s="556"/>
      <c r="AF579" s="556"/>
      <c r="AG579" s="556"/>
      <c r="AH579" s="556"/>
      <c r="AI579" s="556"/>
      <c r="AJ579" s="556"/>
      <c r="AK579" s="556"/>
      <c r="AL579" s="556"/>
      <c r="AM579" s="556"/>
      <c r="AN579" s="556"/>
      <c r="AO579" s="556"/>
      <c r="AP579" s="556"/>
      <c r="AQ579" s="556"/>
      <c r="AR579" s="556"/>
      <c r="AS579" s="565"/>
      <c r="AT579" s="556"/>
      <c r="AU579" s="700"/>
    </row>
    <row r="580" spans="1:47" hidden="1" x14ac:dyDescent="0.45">
      <c r="A580" s="556"/>
      <c r="B580" s="556"/>
      <c r="C580" s="556"/>
      <c r="D580" s="564"/>
      <c r="E580" s="556"/>
      <c r="F580" s="564"/>
      <c r="G580" s="564"/>
      <c r="H580" s="564"/>
      <c r="I580" s="564"/>
      <c r="J580" s="564"/>
      <c r="K580" s="564"/>
      <c r="L580" s="564"/>
      <c r="M580" s="564"/>
      <c r="N580" s="564"/>
      <c r="O580" s="564"/>
      <c r="P580" s="564"/>
      <c r="Q580" s="564"/>
      <c r="R580" s="564"/>
      <c r="S580" s="564"/>
      <c r="T580" s="564"/>
      <c r="U580" s="564"/>
      <c r="V580" s="564"/>
      <c r="W580" s="564"/>
      <c r="X580" s="564"/>
      <c r="Y580" s="564"/>
      <c r="Z580" s="564"/>
      <c r="AA580" s="564"/>
      <c r="AB580" s="556"/>
      <c r="AC580" s="556"/>
      <c r="AD580" s="556"/>
      <c r="AE580" s="556"/>
      <c r="AF580" s="556"/>
      <c r="AG580" s="556"/>
      <c r="AH580" s="556"/>
      <c r="AI580" s="556"/>
      <c r="AJ580" s="556"/>
      <c r="AK580" s="556"/>
      <c r="AL580" s="556"/>
      <c r="AM580" s="556"/>
      <c r="AN580" s="556"/>
      <c r="AO580" s="556"/>
      <c r="AP580" s="556"/>
      <c r="AQ580" s="556"/>
      <c r="AR580" s="556"/>
      <c r="AS580" s="565"/>
      <c r="AT580" s="556"/>
      <c r="AU580" s="700"/>
    </row>
    <row r="581" spans="1:47" hidden="1" x14ac:dyDescent="0.45">
      <c r="A581" s="556"/>
      <c r="B581" s="556"/>
      <c r="C581" s="556"/>
      <c r="D581" s="564"/>
      <c r="E581" s="556"/>
      <c r="F581" s="564"/>
      <c r="G581" s="564"/>
      <c r="H581" s="564"/>
      <c r="I581" s="564"/>
      <c r="J581" s="564"/>
      <c r="K581" s="564"/>
      <c r="L581" s="564"/>
      <c r="M581" s="564"/>
      <c r="N581" s="564"/>
      <c r="O581" s="564"/>
      <c r="P581" s="564"/>
      <c r="Q581" s="564"/>
      <c r="R581" s="564"/>
      <c r="S581" s="564"/>
      <c r="T581" s="564"/>
      <c r="U581" s="564"/>
      <c r="V581" s="564"/>
      <c r="W581" s="564"/>
      <c r="X581" s="564"/>
      <c r="Y581" s="564"/>
      <c r="Z581" s="564"/>
      <c r="AA581" s="564"/>
      <c r="AB581" s="556"/>
      <c r="AC581" s="556"/>
      <c r="AD581" s="556"/>
      <c r="AE581" s="556"/>
      <c r="AF581" s="556"/>
      <c r="AG581" s="556"/>
      <c r="AH581" s="556"/>
      <c r="AI581" s="556"/>
      <c r="AJ581" s="556"/>
      <c r="AK581" s="556"/>
      <c r="AL581" s="556"/>
      <c r="AM581" s="556"/>
      <c r="AN581" s="556"/>
      <c r="AO581" s="556"/>
      <c r="AP581" s="556"/>
      <c r="AQ581" s="556"/>
      <c r="AR581" s="556"/>
      <c r="AS581" s="565"/>
      <c r="AT581" s="556"/>
      <c r="AU581" s="700"/>
    </row>
    <row r="582" spans="1:47" hidden="1" x14ac:dyDescent="0.45">
      <c r="A582" s="556"/>
      <c r="B582" s="556"/>
      <c r="C582" s="556"/>
      <c r="D582" s="564"/>
      <c r="E582" s="556"/>
      <c r="F582" s="564"/>
      <c r="G582" s="564"/>
      <c r="H582" s="564"/>
      <c r="I582" s="564"/>
      <c r="J582" s="564"/>
      <c r="K582" s="564"/>
      <c r="L582" s="564"/>
      <c r="M582" s="564"/>
      <c r="N582" s="564"/>
      <c r="O582" s="564"/>
      <c r="P582" s="564"/>
      <c r="Q582" s="564"/>
      <c r="R582" s="564"/>
      <c r="S582" s="564"/>
      <c r="T582" s="564"/>
      <c r="U582" s="564"/>
      <c r="V582" s="564"/>
      <c r="W582" s="564"/>
      <c r="X582" s="564"/>
      <c r="Y582" s="564"/>
      <c r="Z582" s="564"/>
      <c r="AA582" s="564"/>
      <c r="AB582" s="556"/>
      <c r="AC582" s="556"/>
      <c r="AD582" s="556"/>
      <c r="AE582" s="556"/>
      <c r="AF582" s="556"/>
      <c r="AG582" s="556"/>
      <c r="AH582" s="556"/>
      <c r="AI582" s="556"/>
      <c r="AJ582" s="556"/>
      <c r="AK582" s="556"/>
      <c r="AL582" s="556"/>
      <c r="AM582" s="556"/>
      <c r="AN582" s="556"/>
      <c r="AO582" s="556"/>
      <c r="AP582" s="556"/>
      <c r="AQ582" s="556"/>
      <c r="AR582" s="556"/>
      <c r="AS582" s="565"/>
      <c r="AT582" s="556"/>
      <c r="AU582" s="700"/>
    </row>
    <row r="583" spans="1:47" hidden="1" x14ac:dyDescent="0.45">
      <c r="A583" s="556"/>
      <c r="B583" s="556"/>
      <c r="C583" s="556"/>
      <c r="D583" s="564"/>
      <c r="E583" s="556"/>
      <c r="F583" s="564"/>
      <c r="G583" s="564"/>
      <c r="H583" s="564"/>
      <c r="I583" s="564"/>
      <c r="J583" s="564"/>
      <c r="K583" s="564"/>
      <c r="L583" s="564"/>
      <c r="M583" s="564"/>
      <c r="N583" s="564"/>
      <c r="O583" s="564"/>
      <c r="P583" s="564"/>
      <c r="Q583" s="564"/>
      <c r="R583" s="564"/>
      <c r="S583" s="564"/>
      <c r="T583" s="564"/>
      <c r="U583" s="564"/>
      <c r="V583" s="564"/>
      <c r="W583" s="564"/>
      <c r="X583" s="564"/>
      <c r="Y583" s="564"/>
      <c r="Z583" s="564"/>
      <c r="AA583" s="564"/>
      <c r="AB583" s="556"/>
      <c r="AC583" s="556"/>
      <c r="AD583" s="556"/>
      <c r="AE583" s="556"/>
      <c r="AF583" s="556"/>
      <c r="AG583" s="556"/>
      <c r="AH583" s="556"/>
      <c r="AI583" s="556"/>
      <c r="AJ583" s="556"/>
      <c r="AK583" s="556"/>
      <c r="AL583" s="556"/>
      <c r="AM583" s="556"/>
      <c r="AN583" s="556"/>
      <c r="AO583" s="556"/>
      <c r="AP583" s="556"/>
      <c r="AQ583" s="556"/>
      <c r="AR583" s="556"/>
      <c r="AS583" s="565"/>
      <c r="AT583" s="556"/>
      <c r="AU583" s="700"/>
    </row>
    <row r="584" spans="1:47" hidden="1" x14ac:dyDescent="0.45">
      <c r="A584" s="556"/>
      <c r="B584" s="556"/>
      <c r="C584" s="556"/>
      <c r="D584" s="564"/>
      <c r="E584" s="556"/>
      <c r="F584" s="564"/>
      <c r="G584" s="564"/>
      <c r="H584" s="564"/>
      <c r="I584" s="564"/>
      <c r="J584" s="564"/>
      <c r="K584" s="564"/>
      <c r="L584" s="564"/>
      <c r="M584" s="564"/>
      <c r="N584" s="564"/>
      <c r="O584" s="564"/>
      <c r="P584" s="564"/>
      <c r="Q584" s="564"/>
      <c r="R584" s="564"/>
      <c r="S584" s="564"/>
      <c r="T584" s="564"/>
      <c r="U584" s="564"/>
      <c r="V584" s="564"/>
      <c r="W584" s="564"/>
      <c r="X584" s="564"/>
      <c r="Y584" s="564"/>
      <c r="Z584" s="564"/>
      <c r="AA584" s="564"/>
      <c r="AB584" s="556"/>
      <c r="AC584" s="556"/>
      <c r="AD584" s="556"/>
      <c r="AE584" s="556"/>
      <c r="AF584" s="556"/>
      <c r="AG584" s="556"/>
      <c r="AH584" s="556"/>
      <c r="AI584" s="556"/>
      <c r="AJ584" s="556"/>
      <c r="AK584" s="556"/>
      <c r="AL584" s="556"/>
      <c r="AM584" s="556"/>
      <c r="AN584" s="556"/>
      <c r="AO584" s="556"/>
      <c r="AP584" s="556"/>
      <c r="AQ584" s="556"/>
      <c r="AR584" s="556"/>
      <c r="AS584" s="565"/>
      <c r="AT584" s="556"/>
      <c r="AU584" s="700"/>
    </row>
    <row r="585" spans="1:47" hidden="1" x14ac:dyDescent="0.45">
      <c r="A585" s="556"/>
      <c r="B585" s="556"/>
      <c r="C585" s="556"/>
      <c r="D585" s="564"/>
      <c r="E585" s="556"/>
      <c r="F585" s="564"/>
      <c r="G585" s="564"/>
      <c r="H585" s="564"/>
      <c r="I585" s="564"/>
      <c r="J585" s="564"/>
      <c r="K585" s="564"/>
      <c r="L585" s="564"/>
      <c r="M585" s="564"/>
      <c r="N585" s="564"/>
      <c r="O585" s="564"/>
      <c r="P585" s="564"/>
      <c r="Q585" s="564"/>
      <c r="R585" s="564"/>
      <c r="S585" s="564"/>
      <c r="T585" s="564"/>
      <c r="U585" s="564"/>
      <c r="V585" s="564"/>
      <c r="W585" s="564"/>
      <c r="X585" s="564"/>
      <c r="Y585" s="564"/>
      <c r="Z585" s="564"/>
      <c r="AA585" s="564"/>
      <c r="AB585" s="556"/>
      <c r="AC585" s="556"/>
      <c r="AD585" s="556"/>
      <c r="AE585" s="556"/>
      <c r="AF585" s="556"/>
      <c r="AG585" s="556"/>
      <c r="AH585" s="556"/>
      <c r="AI585" s="556"/>
      <c r="AJ585" s="556"/>
      <c r="AK585" s="556"/>
      <c r="AL585" s="556"/>
      <c r="AM585" s="556"/>
      <c r="AN585" s="556"/>
      <c r="AO585" s="556"/>
      <c r="AP585" s="556"/>
      <c r="AQ585" s="556"/>
      <c r="AR585" s="556"/>
      <c r="AS585" s="565"/>
      <c r="AT585" s="556"/>
      <c r="AU585" s="700"/>
    </row>
    <row r="586" spans="1:47" hidden="1" x14ac:dyDescent="0.45">
      <c r="A586" s="556"/>
      <c r="B586" s="556"/>
      <c r="C586" s="556"/>
      <c r="D586" s="564"/>
      <c r="E586" s="556"/>
      <c r="F586" s="564"/>
      <c r="G586" s="564"/>
      <c r="H586" s="564"/>
      <c r="I586" s="564"/>
      <c r="J586" s="564"/>
      <c r="K586" s="564"/>
      <c r="L586" s="564"/>
      <c r="M586" s="564"/>
      <c r="N586" s="564"/>
      <c r="O586" s="564"/>
      <c r="P586" s="564"/>
      <c r="Q586" s="564"/>
      <c r="R586" s="564"/>
      <c r="S586" s="564"/>
      <c r="T586" s="564"/>
      <c r="U586" s="564"/>
      <c r="V586" s="564"/>
      <c r="W586" s="564"/>
      <c r="X586" s="564"/>
      <c r="Y586" s="564"/>
      <c r="Z586" s="564"/>
      <c r="AA586" s="564"/>
      <c r="AB586" s="556"/>
      <c r="AC586" s="556"/>
      <c r="AD586" s="556"/>
      <c r="AE586" s="556"/>
      <c r="AF586" s="556"/>
      <c r="AG586" s="556"/>
      <c r="AH586" s="556"/>
      <c r="AI586" s="556"/>
      <c r="AJ586" s="556"/>
      <c r="AK586" s="556"/>
      <c r="AL586" s="556"/>
      <c r="AM586" s="556"/>
      <c r="AN586" s="556"/>
      <c r="AO586" s="556"/>
      <c r="AP586" s="556"/>
      <c r="AQ586" s="556"/>
      <c r="AR586" s="556"/>
      <c r="AS586" s="565"/>
      <c r="AT586" s="556"/>
      <c r="AU586" s="700"/>
    </row>
    <row r="587" spans="1:47" hidden="1" x14ac:dyDescent="0.45">
      <c r="A587" s="556"/>
      <c r="B587" s="556"/>
      <c r="C587" s="556"/>
      <c r="D587" s="564"/>
      <c r="E587" s="556"/>
      <c r="F587" s="564"/>
      <c r="G587" s="564"/>
      <c r="H587" s="564"/>
      <c r="I587" s="564"/>
      <c r="J587" s="564"/>
      <c r="K587" s="564"/>
      <c r="L587" s="564"/>
      <c r="M587" s="564"/>
      <c r="N587" s="564"/>
      <c r="O587" s="564"/>
      <c r="P587" s="564"/>
      <c r="Q587" s="564"/>
      <c r="R587" s="564"/>
      <c r="S587" s="564"/>
      <c r="T587" s="564"/>
      <c r="U587" s="564"/>
      <c r="V587" s="564"/>
      <c r="W587" s="564"/>
      <c r="X587" s="564"/>
      <c r="Y587" s="564"/>
      <c r="Z587" s="564"/>
      <c r="AA587" s="564"/>
      <c r="AB587" s="556"/>
      <c r="AC587" s="556"/>
      <c r="AD587" s="556"/>
      <c r="AE587" s="556"/>
      <c r="AF587" s="556"/>
      <c r="AG587" s="556"/>
      <c r="AH587" s="556"/>
      <c r="AI587" s="556"/>
      <c r="AJ587" s="556"/>
      <c r="AK587" s="556"/>
      <c r="AL587" s="556"/>
      <c r="AM587" s="556"/>
      <c r="AN587" s="556"/>
      <c r="AO587" s="556"/>
      <c r="AP587" s="556"/>
      <c r="AQ587" s="556"/>
      <c r="AR587" s="556"/>
      <c r="AS587" s="565"/>
      <c r="AT587" s="556"/>
      <c r="AU587" s="700"/>
    </row>
    <row r="588" spans="1:47" hidden="1" x14ac:dyDescent="0.45">
      <c r="A588" s="556"/>
      <c r="B588" s="556"/>
      <c r="C588" s="556"/>
      <c r="D588" s="564"/>
      <c r="E588" s="556"/>
      <c r="F588" s="564"/>
      <c r="G588" s="564"/>
      <c r="H588" s="564"/>
      <c r="I588" s="564"/>
      <c r="J588" s="564"/>
      <c r="K588" s="564"/>
      <c r="L588" s="564"/>
      <c r="M588" s="564"/>
      <c r="N588" s="564"/>
      <c r="O588" s="564"/>
      <c r="P588" s="564"/>
      <c r="Q588" s="564"/>
      <c r="R588" s="564"/>
      <c r="S588" s="564"/>
      <c r="T588" s="564"/>
      <c r="U588" s="564"/>
      <c r="V588" s="564"/>
      <c r="W588" s="564"/>
      <c r="X588" s="564"/>
      <c r="Y588" s="564"/>
      <c r="Z588" s="564"/>
      <c r="AA588" s="564"/>
      <c r="AB588" s="556"/>
      <c r="AC588" s="556"/>
      <c r="AD588" s="556"/>
      <c r="AE588" s="556"/>
      <c r="AF588" s="556"/>
      <c r="AG588" s="556"/>
      <c r="AH588" s="556"/>
      <c r="AI588" s="556"/>
      <c r="AJ588" s="556"/>
      <c r="AK588" s="556"/>
      <c r="AL588" s="556"/>
      <c r="AM588" s="556"/>
      <c r="AN588" s="556"/>
      <c r="AO588" s="556"/>
      <c r="AP588" s="556"/>
      <c r="AQ588" s="556"/>
      <c r="AR588" s="556"/>
      <c r="AS588" s="565"/>
      <c r="AT588" s="556"/>
      <c r="AU588" s="700"/>
    </row>
    <row r="589" spans="1:47" hidden="1" x14ac:dyDescent="0.45">
      <c r="A589" s="556"/>
      <c r="B589" s="556"/>
      <c r="C589" s="556"/>
      <c r="D589" s="564"/>
      <c r="E589" s="556"/>
      <c r="F589" s="564"/>
      <c r="G589" s="564"/>
      <c r="H589" s="564"/>
      <c r="I589" s="564"/>
      <c r="J589" s="564"/>
      <c r="K589" s="564"/>
      <c r="L589" s="564"/>
      <c r="M589" s="564"/>
      <c r="N589" s="564"/>
      <c r="O589" s="564"/>
      <c r="P589" s="564"/>
      <c r="Q589" s="564"/>
      <c r="R589" s="564"/>
      <c r="S589" s="564"/>
      <c r="T589" s="564"/>
      <c r="U589" s="564"/>
      <c r="V589" s="564"/>
      <c r="W589" s="564"/>
      <c r="X589" s="564"/>
      <c r="Y589" s="564"/>
      <c r="Z589" s="564"/>
      <c r="AA589" s="564"/>
      <c r="AB589" s="556"/>
      <c r="AC589" s="556"/>
      <c r="AD589" s="556"/>
      <c r="AE589" s="556"/>
      <c r="AF589" s="556"/>
      <c r="AG589" s="556"/>
      <c r="AH589" s="556"/>
      <c r="AI589" s="556"/>
      <c r="AJ589" s="556"/>
      <c r="AK589" s="556"/>
      <c r="AL589" s="556"/>
      <c r="AM589" s="556"/>
      <c r="AN589" s="556"/>
      <c r="AO589" s="556"/>
      <c r="AP589" s="556"/>
      <c r="AQ589" s="556"/>
      <c r="AR589" s="556"/>
      <c r="AS589" s="565"/>
      <c r="AT589" s="556"/>
      <c r="AU589" s="700"/>
    </row>
    <row r="590" spans="1:47" hidden="1" x14ac:dyDescent="0.45">
      <c r="A590" s="556"/>
      <c r="B590" s="556"/>
      <c r="C590" s="556"/>
      <c r="D590" s="564"/>
      <c r="E590" s="556"/>
      <c r="F590" s="564"/>
      <c r="G590" s="564"/>
      <c r="H590" s="564"/>
      <c r="I590" s="564"/>
      <c r="J590" s="564"/>
      <c r="K590" s="564"/>
      <c r="L590" s="564"/>
      <c r="M590" s="564"/>
      <c r="N590" s="564"/>
      <c r="O590" s="564"/>
      <c r="P590" s="564"/>
      <c r="Q590" s="564"/>
      <c r="R590" s="564"/>
      <c r="S590" s="564"/>
      <c r="T590" s="564"/>
      <c r="U590" s="564"/>
      <c r="V590" s="564"/>
      <c r="W590" s="564"/>
      <c r="X590" s="564"/>
      <c r="Y590" s="564"/>
      <c r="Z590" s="564"/>
      <c r="AA590" s="564"/>
      <c r="AB590" s="556"/>
      <c r="AC590" s="556"/>
      <c r="AD590" s="556"/>
      <c r="AE590" s="556"/>
      <c r="AF590" s="556"/>
      <c r="AG590" s="556"/>
      <c r="AH590" s="556"/>
      <c r="AI590" s="556"/>
      <c r="AJ590" s="556"/>
      <c r="AK590" s="556"/>
      <c r="AL590" s="556"/>
      <c r="AM590" s="556"/>
      <c r="AN590" s="556"/>
      <c r="AO590" s="556"/>
      <c r="AP590" s="556"/>
      <c r="AQ590" s="556"/>
      <c r="AR590" s="556"/>
      <c r="AS590" s="565"/>
      <c r="AT590" s="556"/>
      <c r="AU590" s="700"/>
    </row>
    <row r="591" spans="1:47" hidden="1" x14ac:dyDescent="0.45">
      <c r="A591" s="556"/>
      <c r="B591" s="556"/>
      <c r="C591" s="556"/>
      <c r="D591" s="564"/>
      <c r="E591" s="556"/>
      <c r="F591" s="564"/>
      <c r="G591" s="564"/>
      <c r="H591" s="564"/>
      <c r="I591" s="564"/>
      <c r="J591" s="564"/>
      <c r="K591" s="564"/>
      <c r="L591" s="564"/>
      <c r="M591" s="564"/>
      <c r="N591" s="564"/>
      <c r="O591" s="564"/>
      <c r="P591" s="564"/>
      <c r="Q591" s="564"/>
      <c r="R591" s="564"/>
      <c r="S591" s="564"/>
      <c r="T591" s="564"/>
      <c r="U591" s="564"/>
      <c r="V591" s="564"/>
      <c r="W591" s="564"/>
      <c r="X591" s="564"/>
      <c r="Y591" s="564"/>
      <c r="Z591" s="564"/>
      <c r="AA591" s="564"/>
      <c r="AB591" s="556"/>
      <c r="AC591" s="556"/>
      <c r="AD591" s="556"/>
      <c r="AE591" s="556"/>
      <c r="AF591" s="556"/>
      <c r="AG591" s="556"/>
      <c r="AH591" s="556"/>
      <c r="AI591" s="556"/>
      <c r="AJ591" s="556"/>
      <c r="AK591" s="556"/>
      <c r="AL591" s="556"/>
      <c r="AM591" s="556"/>
      <c r="AN591" s="556"/>
      <c r="AO591" s="556"/>
      <c r="AP591" s="556"/>
      <c r="AQ591" s="556"/>
      <c r="AR591" s="556"/>
      <c r="AS591" s="565"/>
      <c r="AT591" s="556"/>
      <c r="AU591" s="700"/>
    </row>
    <row r="592" spans="1:47" hidden="1" x14ac:dyDescent="0.45">
      <c r="A592" s="556"/>
      <c r="B592" s="556"/>
      <c r="C592" s="556"/>
      <c r="D592" s="564"/>
      <c r="E592" s="556"/>
      <c r="F592" s="564"/>
      <c r="G592" s="564"/>
      <c r="H592" s="564"/>
      <c r="I592" s="564"/>
      <c r="J592" s="564"/>
      <c r="K592" s="564"/>
      <c r="L592" s="564"/>
      <c r="M592" s="564"/>
      <c r="N592" s="564"/>
      <c r="O592" s="564"/>
      <c r="P592" s="564"/>
      <c r="Q592" s="564"/>
      <c r="R592" s="564"/>
      <c r="S592" s="564"/>
      <c r="T592" s="564"/>
      <c r="U592" s="564"/>
      <c r="V592" s="564"/>
      <c r="W592" s="564"/>
      <c r="X592" s="564"/>
      <c r="Y592" s="564"/>
      <c r="Z592" s="564"/>
      <c r="AA592" s="564"/>
      <c r="AB592" s="556"/>
      <c r="AC592" s="556"/>
      <c r="AD592" s="556"/>
      <c r="AE592" s="556"/>
      <c r="AF592" s="556"/>
      <c r="AG592" s="556"/>
      <c r="AH592" s="556"/>
      <c r="AI592" s="556"/>
      <c r="AJ592" s="556"/>
      <c r="AK592" s="556"/>
      <c r="AL592" s="556"/>
      <c r="AM592" s="556"/>
      <c r="AN592" s="556"/>
      <c r="AO592" s="556"/>
      <c r="AP592" s="556"/>
      <c r="AQ592" s="556"/>
      <c r="AR592" s="556"/>
      <c r="AS592" s="565"/>
      <c r="AT592" s="556"/>
      <c r="AU592" s="700"/>
    </row>
    <row r="593" spans="1:47" hidden="1" x14ac:dyDescent="0.45">
      <c r="A593" s="556"/>
      <c r="B593" s="556"/>
      <c r="C593" s="556"/>
      <c r="D593" s="564"/>
      <c r="E593" s="556"/>
      <c r="F593" s="564"/>
      <c r="G593" s="564"/>
      <c r="H593" s="564"/>
      <c r="I593" s="564"/>
      <c r="J593" s="564"/>
      <c r="K593" s="564"/>
      <c r="L593" s="564"/>
      <c r="M593" s="564"/>
      <c r="N593" s="564"/>
      <c r="O593" s="564"/>
      <c r="P593" s="564"/>
      <c r="Q593" s="564"/>
      <c r="R593" s="564"/>
      <c r="S593" s="564"/>
      <c r="T593" s="564"/>
      <c r="U593" s="564"/>
      <c r="V593" s="564"/>
      <c r="W593" s="564"/>
      <c r="X593" s="564"/>
      <c r="Y593" s="564"/>
      <c r="Z593" s="564"/>
      <c r="AA593" s="564"/>
      <c r="AB593" s="556"/>
      <c r="AC593" s="556"/>
      <c r="AD593" s="556"/>
      <c r="AE593" s="556"/>
      <c r="AF593" s="556"/>
      <c r="AG593" s="556"/>
      <c r="AH593" s="556"/>
      <c r="AI593" s="556"/>
      <c r="AJ593" s="556"/>
      <c r="AK593" s="556"/>
      <c r="AL593" s="556"/>
      <c r="AM593" s="556"/>
      <c r="AN593" s="556"/>
      <c r="AO593" s="556"/>
      <c r="AP593" s="556"/>
      <c r="AQ593" s="556"/>
      <c r="AR593" s="556"/>
      <c r="AS593" s="565"/>
      <c r="AT593" s="556"/>
      <c r="AU593" s="700"/>
    </row>
    <row r="594" spans="1:47" hidden="1" x14ac:dyDescent="0.45">
      <c r="A594" s="556"/>
      <c r="B594" s="556"/>
      <c r="C594" s="556"/>
      <c r="D594" s="564"/>
      <c r="E594" s="556"/>
      <c r="F594" s="564"/>
      <c r="G594" s="564"/>
      <c r="H594" s="564"/>
      <c r="I594" s="564"/>
      <c r="J594" s="564"/>
      <c r="K594" s="564"/>
      <c r="L594" s="564"/>
      <c r="M594" s="564"/>
      <c r="N594" s="564"/>
      <c r="O594" s="564"/>
      <c r="P594" s="564"/>
      <c r="Q594" s="564"/>
      <c r="R594" s="564"/>
      <c r="S594" s="564"/>
      <c r="T594" s="564"/>
      <c r="U594" s="564"/>
      <c r="V594" s="564"/>
      <c r="W594" s="564"/>
      <c r="X594" s="564"/>
      <c r="Y594" s="564"/>
      <c r="Z594" s="564"/>
      <c r="AA594" s="564"/>
      <c r="AB594" s="556"/>
      <c r="AC594" s="556"/>
      <c r="AD594" s="556"/>
      <c r="AE594" s="556"/>
      <c r="AF594" s="556"/>
      <c r="AG594" s="556"/>
      <c r="AH594" s="556"/>
      <c r="AI594" s="556"/>
      <c r="AJ594" s="556"/>
      <c r="AK594" s="556"/>
      <c r="AL594" s="556"/>
      <c r="AM594" s="556"/>
      <c r="AN594" s="556"/>
      <c r="AO594" s="556"/>
      <c r="AP594" s="556"/>
      <c r="AQ594" s="556"/>
      <c r="AR594" s="556"/>
      <c r="AS594" s="565"/>
      <c r="AT594" s="556"/>
      <c r="AU594" s="700"/>
    </row>
    <row r="595" spans="1:47" hidden="1" x14ac:dyDescent="0.45">
      <c r="A595" s="556"/>
      <c r="B595" s="556"/>
      <c r="C595" s="556"/>
      <c r="D595" s="564"/>
      <c r="E595" s="556"/>
      <c r="F595" s="564"/>
      <c r="G595" s="564"/>
      <c r="H595" s="564"/>
      <c r="I595" s="564"/>
      <c r="J595" s="564"/>
      <c r="K595" s="564"/>
      <c r="L595" s="564"/>
      <c r="M595" s="564"/>
      <c r="N595" s="564"/>
      <c r="O595" s="564"/>
      <c r="P595" s="564"/>
      <c r="Q595" s="564"/>
      <c r="R595" s="564"/>
      <c r="S595" s="564"/>
      <c r="T595" s="564"/>
      <c r="U595" s="564"/>
      <c r="V595" s="564"/>
      <c r="W595" s="564"/>
      <c r="X595" s="564"/>
      <c r="Y595" s="564"/>
      <c r="Z595" s="564"/>
      <c r="AA595" s="564"/>
      <c r="AB595" s="556"/>
      <c r="AC595" s="556"/>
      <c r="AD595" s="556"/>
      <c r="AE595" s="556"/>
      <c r="AF595" s="556"/>
      <c r="AG595" s="556"/>
      <c r="AH595" s="556"/>
      <c r="AI595" s="556"/>
      <c r="AJ595" s="556"/>
      <c r="AK595" s="556"/>
      <c r="AL595" s="556"/>
      <c r="AM595" s="556"/>
      <c r="AN595" s="556"/>
      <c r="AO595" s="556"/>
      <c r="AP595" s="556"/>
      <c r="AQ595" s="556"/>
      <c r="AR595" s="556"/>
      <c r="AS595" s="565"/>
      <c r="AT595" s="556"/>
      <c r="AU595" s="700"/>
    </row>
    <row r="596" spans="1:47" hidden="1" x14ac:dyDescent="0.45">
      <c r="A596" s="556"/>
      <c r="B596" s="556"/>
      <c r="C596" s="556"/>
      <c r="D596" s="564"/>
      <c r="E596" s="556"/>
      <c r="F596" s="564"/>
      <c r="G596" s="564"/>
      <c r="H596" s="564"/>
      <c r="I596" s="564"/>
      <c r="J596" s="564"/>
      <c r="K596" s="564"/>
      <c r="L596" s="564"/>
      <c r="M596" s="564"/>
      <c r="N596" s="564"/>
      <c r="O596" s="564"/>
      <c r="P596" s="564"/>
      <c r="Q596" s="564"/>
      <c r="R596" s="564"/>
      <c r="S596" s="564"/>
      <c r="T596" s="564"/>
      <c r="U596" s="564"/>
      <c r="V596" s="564"/>
      <c r="W596" s="564"/>
      <c r="X596" s="564"/>
      <c r="Y596" s="564"/>
      <c r="Z596" s="564"/>
      <c r="AA596" s="564"/>
      <c r="AB596" s="556"/>
      <c r="AC596" s="556"/>
      <c r="AD596" s="556"/>
      <c r="AE596" s="556"/>
      <c r="AF596" s="556"/>
      <c r="AG596" s="556"/>
      <c r="AH596" s="556"/>
      <c r="AI596" s="556"/>
      <c r="AJ596" s="556"/>
      <c r="AK596" s="556"/>
      <c r="AL596" s="556"/>
      <c r="AM596" s="556"/>
      <c r="AN596" s="556"/>
      <c r="AO596" s="556"/>
      <c r="AP596" s="556"/>
      <c r="AQ596" s="556"/>
      <c r="AR596" s="556"/>
      <c r="AS596" s="565"/>
      <c r="AT596" s="556"/>
      <c r="AU596" s="700"/>
    </row>
    <row r="597" spans="1:47" hidden="1" x14ac:dyDescent="0.45">
      <c r="A597" s="556"/>
      <c r="B597" s="556"/>
      <c r="C597" s="556"/>
      <c r="D597" s="564"/>
      <c r="E597" s="556"/>
      <c r="F597" s="564"/>
      <c r="G597" s="564"/>
      <c r="H597" s="564"/>
      <c r="I597" s="564"/>
      <c r="J597" s="564"/>
      <c r="K597" s="564"/>
      <c r="L597" s="564"/>
      <c r="M597" s="564"/>
      <c r="N597" s="564"/>
      <c r="O597" s="564"/>
      <c r="P597" s="564"/>
      <c r="Q597" s="564"/>
      <c r="R597" s="564"/>
      <c r="S597" s="564"/>
      <c r="T597" s="564"/>
      <c r="U597" s="564"/>
      <c r="V597" s="564"/>
      <c r="W597" s="564"/>
      <c r="X597" s="564"/>
      <c r="Y597" s="564"/>
      <c r="Z597" s="564"/>
      <c r="AA597" s="564"/>
      <c r="AB597" s="556"/>
      <c r="AC597" s="556"/>
      <c r="AD597" s="556"/>
      <c r="AE597" s="556"/>
      <c r="AF597" s="556"/>
      <c r="AG597" s="556"/>
      <c r="AH597" s="556"/>
      <c r="AI597" s="556"/>
      <c r="AJ597" s="556"/>
      <c r="AK597" s="556"/>
      <c r="AL597" s="556"/>
      <c r="AM597" s="556"/>
      <c r="AN597" s="556"/>
      <c r="AO597" s="556"/>
      <c r="AP597" s="556"/>
      <c r="AQ597" s="556"/>
      <c r="AR597" s="556"/>
      <c r="AS597" s="565"/>
      <c r="AT597" s="556"/>
      <c r="AU597" s="700"/>
    </row>
    <row r="598" spans="1:47" hidden="1" x14ac:dyDescent="0.45">
      <c r="A598" s="556"/>
      <c r="B598" s="556"/>
      <c r="C598" s="556"/>
      <c r="D598" s="564"/>
      <c r="E598" s="556"/>
      <c r="F598" s="564"/>
      <c r="G598" s="564"/>
      <c r="H598" s="564"/>
      <c r="I598" s="564"/>
      <c r="J598" s="564"/>
      <c r="K598" s="564"/>
      <c r="L598" s="564"/>
      <c r="M598" s="564"/>
      <c r="N598" s="564"/>
      <c r="O598" s="564"/>
      <c r="P598" s="564"/>
      <c r="Q598" s="564"/>
      <c r="R598" s="564"/>
      <c r="S598" s="564"/>
      <c r="T598" s="564"/>
      <c r="U598" s="564"/>
      <c r="V598" s="564"/>
      <c r="W598" s="564"/>
      <c r="X598" s="564"/>
      <c r="Y598" s="564"/>
      <c r="Z598" s="564"/>
      <c r="AA598" s="564"/>
      <c r="AB598" s="556"/>
      <c r="AC598" s="556"/>
      <c r="AD598" s="556"/>
      <c r="AE598" s="556"/>
      <c r="AF598" s="556"/>
      <c r="AG598" s="556"/>
      <c r="AH598" s="556"/>
      <c r="AI598" s="556"/>
      <c r="AJ598" s="556"/>
      <c r="AK598" s="556"/>
      <c r="AL598" s="556"/>
      <c r="AM598" s="556"/>
      <c r="AN598" s="556"/>
      <c r="AO598" s="556"/>
      <c r="AP598" s="556"/>
      <c r="AQ598" s="556"/>
      <c r="AR598" s="556"/>
      <c r="AS598" s="565"/>
      <c r="AT598" s="556"/>
      <c r="AU598" s="700"/>
    </row>
    <row r="599" spans="1:47" hidden="1" x14ac:dyDescent="0.45">
      <c r="A599" s="556"/>
      <c r="B599" s="556"/>
      <c r="C599" s="556"/>
      <c r="D599" s="564"/>
      <c r="E599" s="556"/>
      <c r="F599" s="564"/>
      <c r="G599" s="564"/>
      <c r="H599" s="564"/>
      <c r="I599" s="564"/>
      <c r="J599" s="564"/>
      <c r="K599" s="564"/>
      <c r="L599" s="564"/>
      <c r="M599" s="564"/>
      <c r="N599" s="564"/>
      <c r="O599" s="564"/>
      <c r="P599" s="564"/>
      <c r="Q599" s="564"/>
      <c r="R599" s="564"/>
      <c r="S599" s="564"/>
      <c r="T599" s="564"/>
      <c r="U599" s="564"/>
      <c r="V599" s="564"/>
      <c r="W599" s="564"/>
      <c r="X599" s="564"/>
      <c r="Y599" s="564"/>
      <c r="Z599" s="564"/>
      <c r="AA599" s="564"/>
      <c r="AB599" s="556"/>
      <c r="AC599" s="556"/>
      <c r="AD599" s="556"/>
      <c r="AE599" s="556"/>
      <c r="AF599" s="556"/>
      <c r="AG599" s="556"/>
      <c r="AH599" s="556"/>
      <c r="AI599" s="556"/>
      <c r="AJ599" s="556"/>
      <c r="AK599" s="556"/>
      <c r="AL599" s="556"/>
      <c r="AM599" s="556"/>
      <c r="AN599" s="556"/>
      <c r="AO599" s="556"/>
      <c r="AP599" s="556"/>
      <c r="AQ599" s="556"/>
      <c r="AR599" s="556"/>
      <c r="AS599" s="565"/>
      <c r="AT599" s="556"/>
      <c r="AU599" s="700"/>
    </row>
    <row r="600" spans="1:47" hidden="1" x14ac:dyDescent="0.45">
      <c r="A600" s="556"/>
      <c r="B600" s="556"/>
      <c r="C600" s="556"/>
      <c r="D600" s="564"/>
      <c r="E600" s="556"/>
      <c r="F600" s="564"/>
      <c r="G600" s="564"/>
      <c r="H600" s="564"/>
      <c r="I600" s="564"/>
      <c r="J600" s="564"/>
      <c r="K600" s="564"/>
      <c r="L600" s="564"/>
      <c r="M600" s="564"/>
      <c r="N600" s="564"/>
      <c r="O600" s="564"/>
      <c r="P600" s="564"/>
      <c r="Q600" s="564"/>
      <c r="R600" s="564"/>
      <c r="S600" s="564"/>
      <c r="T600" s="564"/>
      <c r="U600" s="564"/>
      <c r="V600" s="564"/>
      <c r="W600" s="564"/>
      <c r="X600" s="564"/>
      <c r="Y600" s="564"/>
      <c r="Z600" s="564"/>
      <c r="AA600" s="564"/>
      <c r="AB600" s="556"/>
      <c r="AC600" s="556"/>
      <c r="AD600" s="556"/>
      <c r="AE600" s="556"/>
      <c r="AF600" s="556"/>
      <c r="AG600" s="556"/>
      <c r="AH600" s="556"/>
      <c r="AI600" s="556"/>
      <c r="AJ600" s="556"/>
      <c r="AK600" s="556"/>
      <c r="AL600" s="556"/>
      <c r="AM600" s="556"/>
      <c r="AN600" s="556"/>
      <c r="AO600" s="556"/>
      <c r="AP600" s="556"/>
      <c r="AQ600" s="556"/>
      <c r="AR600" s="556"/>
      <c r="AS600" s="565"/>
      <c r="AT600" s="556"/>
      <c r="AU600" s="700"/>
    </row>
    <row r="601" spans="1:47" hidden="1" x14ac:dyDescent="0.45">
      <c r="A601" s="556"/>
      <c r="B601" s="556"/>
      <c r="C601" s="556"/>
      <c r="D601" s="564"/>
      <c r="E601" s="556"/>
      <c r="F601" s="564"/>
      <c r="G601" s="564"/>
      <c r="H601" s="564"/>
      <c r="I601" s="564"/>
      <c r="J601" s="564"/>
      <c r="K601" s="564"/>
      <c r="L601" s="564"/>
      <c r="M601" s="564"/>
      <c r="N601" s="564"/>
      <c r="O601" s="564"/>
      <c r="P601" s="564"/>
      <c r="Q601" s="564"/>
      <c r="R601" s="564"/>
      <c r="S601" s="564"/>
      <c r="T601" s="564"/>
      <c r="U601" s="564"/>
      <c r="V601" s="564"/>
      <c r="W601" s="564"/>
      <c r="X601" s="564"/>
      <c r="Y601" s="564"/>
      <c r="Z601" s="564"/>
      <c r="AA601" s="564"/>
      <c r="AB601" s="556"/>
      <c r="AC601" s="556"/>
      <c r="AD601" s="556"/>
      <c r="AE601" s="556"/>
      <c r="AF601" s="556"/>
      <c r="AG601" s="556"/>
      <c r="AH601" s="556"/>
      <c r="AI601" s="556"/>
      <c r="AJ601" s="556"/>
      <c r="AK601" s="556"/>
      <c r="AL601" s="556"/>
      <c r="AM601" s="556"/>
      <c r="AN601" s="556"/>
      <c r="AO601" s="556"/>
      <c r="AP601" s="556"/>
      <c r="AQ601" s="556"/>
      <c r="AR601" s="556"/>
      <c r="AS601" s="565"/>
      <c r="AT601" s="556"/>
      <c r="AU601" s="700"/>
    </row>
    <row r="602" spans="1:47" hidden="1" x14ac:dyDescent="0.45">
      <c r="A602" s="556"/>
      <c r="B602" s="556"/>
      <c r="C602" s="556"/>
      <c r="D602" s="564"/>
      <c r="E602" s="556"/>
      <c r="F602" s="564"/>
      <c r="G602" s="564"/>
      <c r="H602" s="564"/>
      <c r="I602" s="564"/>
      <c r="J602" s="564"/>
      <c r="K602" s="564"/>
      <c r="L602" s="564"/>
      <c r="M602" s="564"/>
      <c r="N602" s="564"/>
      <c r="O602" s="564"/>
      <c r="P602" s="564"/>
      <c r="Q602" s="564"/>
      <c r="R602" s="564"/>
      <c r="S602" s="564"/>
      <c r="T602" s="564"/>
      <c r="U602" s="564"/>
      <c r="V602" s="564"/>
      <c r="W602" s="564"/>
      <c r="X602" s="564"/>
      <c r="Y602" s="564"/>
      <c r="Z602" s="564"/>
      <c r="AA602" s="564"/>
      <c r="AB602" s="556"/>
      <c r="AC602" s="556"/>
      <c r="AD602" s="556"/>
      <c r="AE602" s="556"/>
      <c r="AF602" s="556"/>
      <c r="AG602" s="556"/>
      <c r="AH602" s="556"/>
      <c r="AI602" s="556"/>
      <c r="AJ602" s="556"/>
      <c r="AK602" s="556"/>
      <c r="AL602" s="556"/>
      <c r="AM602" s="556"/>
      <c r="AN602" s="556"/>
      <c r="AO602" s="556"/>
      <c r="AP602" s="556"/>
      <c r="AQ602" s="556"/>
      <c r="AR602" s="556"/>
      <c r="AS602" s="565"/>
      <c r="AT602" s="556"/>
      <c r="AU602" s="700"/>
    </row>
    <row r="603" spans="1:47" hidden="1" x14ac:dyDescent="0.45">
      <c r="A603" s="556"/>
      <c r="B603" s="556"/>
      <c r="C603" s="556"/>
      <c r="D603" s="564"/>
      <c r="E603" s="556"/>
      <c r="F603" s="564"/>
      <c r="G603" s="564"/>
      <c r="H603" s="564"/>
      <c r="I603" s="564"/>
      <c r="J603" s="564"/>
      <c r="K603" s="564"/>
      <c r="L603" s="564"/>
      <c r="M603" s="564"/>
      <c r="N603" s="564"/>
      <c r="O603" s="564"/>
      <c r="P603" s="564"/>
      <c r="Q603" s="564"/>
      <c r="R603" s="564"/>
      <c r="S603" s="564"/>
      <c r="T603" s="564"/>
      <c r="U603" s="564"/>
      <c r="V603" s="564"/>
      <c r="W603" s="564"/>
      <c r="X603" s="564"/>
      <c r="Y603" s="564"/>
      <c r="Z603" s="564"/>
      <c r="AA603" s="564"/>
      <c r="AB603" s="556"/>
      <c r="AC603" s="556"/>
      <c r="AD603" s="556"/>
      <c r="AE603" s="556"/>
      <c r="AF603" s="556"/>
      <c r="AG603" s="556"/>
      <c r="AH603" s="556"/>
      <c r="AI603" s="556"/>
      <c r="AJ603" s="556"/>
      <c r="AK603" s="556"/>
      <c r="AL603" s="556"/>
      <c r="AM603" s="556"/>
      <c r="AN603" s="556"/>
      <c r="AO603" s="556"/>
      <c r="AP603" s="556"/>
      <c r="AQ603" s="556"/>
      <c r="AR603" s="556"/>
      <c r="AS603" s="565"/>
      <c r="AT603" s="556"/>
      <c r="AU603" s="700"/>
    </row>
    <row r="604" spans="1:47" hidden="1" x14ac:dyDescent="0.45">
      <c r="A604" s="556"/>
      <c r="B604" s="556"/>
      <c r="C604" s="556"/>
      <c r="D604" s="564"/>
      <c r="E604" s="556"/>
      <c r="F604" s="564"/>
      <c r="G604" s="564"/>
      <c r="H604" s="564"/>
      <c r="I604" s="564"/>
      <c r="J604" s="564"/>
      <c r="K604" s="564"/>
      <c r="L604" s="564"/>
      <c r="M604" s="564"/>
      <c r="N604" s="564"/>
      <c r="O604" s="564"/>
      <c r="P604" s="564"/>
      <c r="Q604" s="564"/>
      <c r="R604" s="564"/>
      <c r="S604" s="564"/>
      <c r="T604" s="564"/>
      <c r="U604" s="564"/>
      <c r="V604" s="564"/>
      <c r="W604" s="564"/>
      <c r="X604" s="564"/>
      <c r="Y604" s="564"/>
      <c r="Z604" s="564"/>
      <c r="AA604" s="564"/>
      <c r="AB604" s="556"/>
      <c r="AC604" s="556"/>
      <c r="AD604" s="556"/>
      <c r="AE604" s="556"/>
      <c r="AF604" s="556"/>
      <c r="AG604" s="556"/>
      <c r="AH604" s="556"/>
      <c r="AI604" s="556"/>
      <c r="AJ604" s="556"/>
      <c r="AK604" s="556"/>
      <c r="AL604" s="556"/>
      <c r="AM604" s="556"/>
      <c r="AN604" s="556"/>
      <c r="AO604" s="556"/>
      <c r="AP604" s="556"/>
      <c r="AQ604" s="556"/>
      <c r="AR604" s="556"/>
      <c r="AS604" s="565"/>
      <c r="AT604" s="556"/>
      <c r="AU604" s="700"/>
    </row>
    <row r="605" spans="1:47" hidden="1" x14ac:dyDescent="0.45">
      <c r="A605" s="556"/>
      <c r="B605" s="556"/>
      <c r="C605" s="556"/>
      <c r="D605" s="564"/>
      <c r="E605" s="556"/>
      <c r="F605" s="564"/>
      <c r="G605" s="564"/>
      <c r="H605" s="564"/>
      <c r="I605" s="564"/>
      <c r="J605" s="564"/>
      <c r="K605" s="564"/>
      <c r="L605" s="564"/>
      <c r="M605" s="564"/>
      <c r="N605" s="564"/>
      <c r="O605" s="564"/>
      <c r="P605" s="564"/>
      <c r="Q605" s="564"/>
      <c r="R605" s="564"/>
      <c r="S605" s="564"/>
      <c r="T605" s="564"/>
      <c r="U605" s="564"/>
      <c r="V605" s="564"/>
      <c r="W605" s="564"/>
      <c r="X605" s="564"/>
      <c r="Y605" s="564"/>
      <c r="Z605" s="564"/>
      <c r="AA605" s="564"/>
      <c r="AB605" s="556"/>
      <c r="AC605" s="556"/>
      <c r="AD605" s="556"/>
      <c r="AE605" s="556"/>
      <c r="AF605" s="556"/>
      <c r="AG605" s="556"/>
      <c r="AH605" s="556"/>
      <c r="AI605" s="556"/>
      <c r="AJ605" s="556"/>
      <c r="AK605" s="556"/>
      <c r="AL605" s="556"/>
      <c r="AM605" s="556"/>
      <c r="AN605" s="556"/>
      <c r="AO605" s="556"/>
      <c r="AP605" s="556"/>
      <c r="AQ605" s="556"/>
      <c r="AR605" s="556"/>
      <c r="AS605" s="565"/>
      <c r="AT605" s="556"/>
      <c r="AU605" s="700"/>
    </row>
    <row r="606" spans="1:47" hidden="1" x14ac:dyDescent="0.45">
      <c r="A606" s="556"/>
      <c r="B606" s="556"/>
      <c r="C606" s="556"/>
      <c r="D606" s="564"/>
      <c r="E606" s="556"/>
      <c r="F606" s="564"/>
      <c r="G606" s="564"/>
      <c r="H606" s="564"/>
      <c r="I606" s="564"/>
      <c r="J606" s="564"/>
      <c r="K606" s="564"/>
      <c r="L606" s="564"/>
      <c r="M606" s="564"/>
      <c r="N606" s="564"/>
      <c r="O606" s="564"/>
      <c r="P606" s="564"/>
      <c r="Q606" s="564"/>
      <c r="R606" s="564"/>
      <c r="S606" s="564"/>
      <c r="T606" s="564"/>
      <c r="U606" s="564"/>
      <c r="V606" s="564"/>
      <c r="W606" s="564"/>
      <c r="X606" s="564"/>
      <c r="Y606" s="564"/>
      <c r="Z606" s="564"/>
      <c r="AA606" s="564"/>
      <c r="AB606" s="556"/>
      <c r="AC606" s="556"/>
      <c r="AD606" s="556"/>
      <c r="AE606" s="556"/>
      <c r="AF606" s="556"/>
      <c r="AG606" s="556"/>
      <c r="AH606" s="556"/>
      <c r="AI606" s="556"/>
      <c r="AJ606" s="556"/>
      <c r="AK606" s="556"/>
      <c r="AL606" s="556"/>
      <c r="AM606" s="556"/>
      <c r="AN606" s="556"/>
      <c r="AO606" s="556"/>
      <c r="AP606" s="556"/>
      <c r="AQ606" s="556"/>
      <c r="AR606" s="556"/>
      <c r="AS606" s="565"/>
      <c r="AT606" s="556"/>
      <c r="AU606" s="700"/>
    </row>
    <row r="607" spans="1:47" hidden="1" x14ac:dyDescent="0.45">
      <c r="A607" s="556"/>
      <c r="B607" s="556"/>
      <c r="C607" s="556"/>
      <c r="D607" s="564"/>
      <c r="E607" s="556"/>
      <c r="F607" s="564"/>
      <c r="G607" s="564"/>
      <c r="H607" s="564"/>
      <c r="I607" s="564"/>
      <c r="J607" s="564"/>
      <c r="K607" s="564"/>
      <c r="L607" s="564"/>
      <c r="M607" s="564"/>
      <c r="N607" s="564"/>
      <c r="O607" s="564"/>
      <c r="P607" s="564"/>
      <c r="Q607" s="564"/>
      <c r="R607" s="564"/>
      <c r="S607" s="564"/>
      <c r="T607" s="564"/>
      <c r="U607" s="564"/>
      <c r="V607" s="564"/>
      <c r="W607" s="564"/>
      <c r="X607" s="564"/>
      <c r="Y607" s="564"/>
      <c r="Z607" s="564"/>
      <c r="AA607" s="564"/>
      <c r="AB607" s="556"/>
      <c r="AC607" s="556"/>
      <c r="AD607" s="556"/>
      <c r="AE607" s="556"/>
      <c r="AF607" s="556"/>
      <c r="AG607" s="556"/>
      <c r="AH607" s="556"/>
      <c r="AI607" s="556"/>
      <c r="AJ607" s="556"/>
      <c r="AK607" s="556"/>
      <c r="AL607" s="556"/>
      <c r="AM607" s="556"/>
      <c r="AN607" s="556"/>
      <c r="AO607" s="556"/>
      <c r="AP607" s="556"/>
      <c r="AQ607" s="556"/>
      <c r="AR607" s="556"/>
      <c r="AS607" s="565"/>
      <c r="AT607" s="556"/>
      <c r="AU607" s="700"/>
    </row>
    <row r="608" spans="1:47" hidden="1" x14ac:dyDescent="0.45">
      <c r="A608" s="556"/>
      <c r="B608" s="556"/>
      <c r="C608" s="556"/>
      <c r="D608" s="564"/>
      <c r="E608" s="556"/>
      <c r="F608" s="564"/>
      <c r="G608" s="564"/>
      <c r="H608" s="564"/>
      <c r="I608" s="564"/>
      <c r="J608" s="564"/>
      <c r="K608" s="564"/>
      <c r="L608" s="564"/>
      <c r="M608" s="564"/>
      <c r="N608" s="564"/>
      <c r="O608" s="564"/>
      <c r="P608" s="564"/>
      <c r="Q608" s="564"/>
      <c r="R608" s="564"/>
      <c r="S608" s="564"/>
      <c r="T608" s="564"/>
      <c r="U608" s="564"/>
      <c r="V608" s="564"/>
      <c r="W608" s="564"/>
      <c r="X608" s="564"/>
      <c r="Y608" s="564"/>
      <c r="Z608" s="564"/>
      <c r="AA608" s="564"/>
      <c r="AB608" s="556"/>
      <c r="AC608" s="556"/>
      <c r="AD608" s="556"/>
      <c r="AE608" s="556"/>
      <c r="AF608" s="556"/>
      <c r="AG608" s="556"/>
      <c r="AH608" s="556"/>
      <c r="AI608" s="556"/>
      <c r="AJ608" s="556"/>
      <c r="AK608" s="556"/>
      <c r="AL608" s="556"/>
      <c r="AM608" s="556"/>
      <c r="AN608" s="556"/>
      <c r="AO608" s="556"/>
      <c r="AP608" s="556"/>
      <c r="AQ608" s="556"/>
      <c r="AR608" s="556"/>
      <c r="AS608" s="565"/>
      <c r="AT608" s="556"/>
      <c r="AU608" s="700"/>
    </row>
    <row r="609" spans="1:47" hidden="1" x14ac:dyDescent="0.45">
      <c r="A609" s="556"/>
      <c r="B609" s="556"/>
      <c r="C609" s="556"/>
      <c r="D609" s="564"/>
      <c r="E609" s="556"/>
      <c r="F609" s="564"/>
      <c r="G609" s="564"/>
      <c r="H609" s="564"/>
      <c r="I609" s="564"/>
      <c r="J609" s="564"/>
      <c r="K609" s="564"/>
      <c r="L609" s="564"/>
      <c r="M609" s="564"/>
      <c r="N609" s="564"/>
      <c r="O609" s="564"/>
      <c r="P609" s="564"/>
      <c r="Q609" s="564"/>
      <c r="R609" s="564"/>
      <c r="S609" s="564"/>
      <c r="T609" s="564"/>
      <c r="U609" s="564"/>
      <c r="V609" s="564"/>
      <c r="W609" s="564"/>
      <c r="X609" s="564"/>
      <c r="Y609" s="564"/>
      <c r="Z609" s="564"/>
      <c r="AA609" s="564"/>
      <c r="AB609" s="556"/>
      <c r="AC609" s="556"/>
      <c r="AD609" s="556"/>
      <c r="AE609" s="556"/>
      <c r="AF609" s="556"/>
      <c r="AG609" s="556"/>
      <c r="AH609" s="556"/>
      <c r="AI609" s="556"/>
      <c r="AJ609" s="556"/>
      <c r="AK609" s="556"/>
      <c r="AL609" s="556"/>
      <c r="AM609" s="556"/>
      <c r="AN609" s="556"/>
      <c r="AO609" s="556"/>
      <c r="AP609" s="556"/>
      <c r="AQ609" s="556"/>
      <c r="AR609" s="556"/>
      <c r="AS609" s="565"/>
      <c r="AT609" s="556"/>
      <c r="AU609" s="700"/>
    </row>
    <row r="610" spans="1:47" hidden="1" x14ac:dyDescent="0.45">
      <c r="A610" s="556"/>
      <c r="B610" s="556"/>
      <c r="C610" s="556"/>
      <c r="D610" s="564"/>
      <c r="E610" s="556"/>
      <c r="F610" s="564"/>
      <c r="G610" s="564"/>
      <c r="H610" s="564"/>
      <c r="I610" s="564"/>
      <c r="J610" s="564"/>
      <c r="K610" s="564"/>
      <c r="L610" s="564"/>
      <c r="M610" s="564"/>
      <c r="N610" s="564"/>
      <c r="O610" s="564"/>
      <c r="P610" s="564"/>
      <c r="Q610" s="564"/>
      <c r="R610" s="564"/>
      <c r="S610" s="564"/>
      <c r="T610" s="564"/>
      <c r="U610" s="564"/>
      <c r="V610" s="564"/>
      <c r="W610" s="564"/>
      <c r="X610" s="564"/>
      <c r="Y610" s="564"/>
      <c r="Z610" s="564"/>
      <c r="AA610" s="564"/>
      <c r="AB610" s="556"/>
      <c r="AC610" s="556"/>
      <c r="AD610" s="556"/>
      <c r="AE610" s="556"/>
      <c r="AF610" s="556"/>
      <c r="AG610" s="556"/>
      <c r="AH610" s="556"/>
      <c r="AI610" s="556"/>
      <c r="AJ610" s="556"/>
      <c r="AK610" s="556"/>
      <c r="AL610" s="556"/>
      <c r="AM610" s="556"/>
      <c r="AN610" s="556"/>
      <c r="AO610" s="556"/>
      <c r="AP610" s="556"/>
      <c r="AQ610" s="556"/>
      <c r="AR610" s="556"/>
      <c r="AS610" s="565"/>
      <c r="AT610" s="556"/>
      <c r="AU610" s="700"/>
    </row>
    <row r="611" spans="1:47" hidden="1" x14ac:dyDescent="0.45">
      <c r="A611" s="556"/>
      <c r="B611" s="556"/>
      <c r="C611" s="556"/>
      <c r="D611" s="564"/>
      <c r="E611" s="556"/>
      <c r="F611" s="564"/>
      <c r="G611" s="564"/>
      <c r="H611" s="564"/>
      <c r="I611" s="564"/>
      <c r="J611" s="564"/>
      <c r="K611" s="564"/>
      <c r="L611" s="564"/>
      <c r="M611" s="564"/>
      <c r="N611" s="564"/>
      <c r="O611" s="564"/>
      <c r="P611" s="564"/>
      <c r="Q611" s="564"/>
      <c r="R611" s="564"/>
      <c r="S611" s="564"/>
      <c r="T611" s="564"/>
      <c r="U611" s="564"/>
      <c r="V611" s="564"/>
      <c r="W611" s="564"/>
      <c r="X611" s="564"/>
      <c r="Y611" s="564"/>
      <c r="Z611" s="564"/>
      <c r="AA611" s="564"/>
      <c r="AB611" s="556"/>
      <c r="AC611" s="556"/>
      <c r="AD611" s="556"/>
      <c r="AE611" s="556"/>
      <c r="AF611" s="556"/>
      <c r="AG611" s="556"/>
      <c r="AH611" s="556"/>
      <c r="AI611" s="556"/>
      <c r="AJ611" s="556"/>
      <c r="AK611" s="556"/>
      <c r="AL611" s="556"/>
      <c r="AM611" s="556"/>
      <c r="AN611" s="556"/>
      <c r="AO611" s="556"/>
      <c r="AP611" s="556"/>
      <c r="AQ611" s="556"/>
      <c r="AR611" s="556"/>
      <c r="AS611" s="565"/>
      <c r="AT611" s="556"/>
      <c r="AU611" s="700"/>
    </row>
    <row r="612" spans="1:47" hidden="1" x14ac:dyDescent="0.45">
      <c r="A612" s="556"/>
      <c r="B612" s="556"/>
      <c r="C612" s="556"/>
      <c r="D612" s="564"/>
      <c r="E612" s="556"/>
      <c r="F612" s="564"/>
      <c r="G612" s="564"/>
      <c r="H612" s="564"/>
      <c r="I612" s="564"/>
      <c r="J612" s="564"/>
      <c r="K612" s="564"/>
      <c r="L612" s="564"/>
      <c r="M612" s="564"/>
      <c r="N612" s="564"/>
      <c r="O612" s="564"/>
      <c r="P612" s="564"/>
      <c r="Q612" s="564"/>
      <c r="R612" s="564"/>
      <c r="S612" s="564"/>
      <c r="T612" s="564"/>
      <c r="U612" s="564"/>
      <c r="V612" s="564"/>
      <c r="W612" s="564"/>
      <c r="X612" s="564"/>
      <c r="Y612" s="564"/>
      <c r="Z612" s="564"/>
      <c r="AA612" s="564"/>
      <c r="AB612" s="556"/>
      <c r="AC612" s="556"/>
      <c r="AD612" s="556"/>
      <c r="AE612" s="556"/>
      <c r="AF612" s="556"/>
      <c r="AG612" s="556"/>
      <c r="AH612" s="556"/>
      <c r="AI612" s="556"/>
      <c r="AJ612" s="556"/>
      <c r="AK612" s="556"/>
      <c r="AL612" s="556"/>
      <c r="AM612" s="556"/>
      <c r="AN612" s="556"/>
      <c r="AO612" s="556"/>
      <c r="AP612" s="556"/>
      <c r="AQ612" s="556"/>
      <c r="AR612" s="556"/>
      <c r="AS612" s="565"/>
      <c r="AT612" s="556"/>
      <c r="AU612" s="700"/>
    </row>
    <row r="613" spans="1:47" hidden="1" x14ac:dyDescent="0.45">
      <c r="A613" s="556"/>
      <c r="B613" s="556"/>
      <c r="C613" s="556"/>
      <c r="D613" s="564"/>
      <c r="E613" s="556"/>
      <c r="F613" s="564"/>
      <c r="G613" s="564"/>
      <c r="H613" s="564"/>
      <c r="I613" s="564"/>
      <c r="J613" s="564"/>
      <c r="K613" s="564"/>
      <c r="L613" s="564"/>
      <c r="M613" s="564"/>
      <c r="N613" s="564"/>
      <c r="O613" s="564"/>
      <c r="P613" s="564"/>
      <c r="Q613" s="564"/>
      <c r="R613" s="564"/>
      <c r="S613" s="564"/>
      <c r="T613" s="564"/>
      <c r="U613" s="564"/>
      <c r="V613" s="564"/>
      <c r="W613" s="564"/>
      <c r="X613" s="564"/>
      <c r="Y613" s="564"/>
      <c r="Z613" s="564"/>
      <c r="AA613" s="564"/>
      <c r="AB613" s="556"/>
      <c r="AC613" s="556"/>
      <c r="AD613" s="556"/>
      <c r="AE613" s="556"/>
      <c r="AF613" s="556"/>
      <c r="AG613" s="556"/>
      <c r="AH613" s="556"/>
      <c r="AI613" s="556"/>
      <c r="AJ613" s="556"/>
      <c r="AK613" s="556"/>
      <c r="AL613" s="556"/>
      <c r="AM613" s="556"/>
      <c r="AN613" s="556"/>
      <c r="AO613" s="556"/>
      <c r="AP613" s="556"/>
      <c r="AQ613" s="556"/>
      <c r="AR613" s="556"/>
      <c r="AS613" s="565"/>
      <c r="AT613" s="556"/>
      <c r="AU613" s="700"/>
    </row>
    <row r="614" spans="1:47" hidden="1" x14ac:dyDescent="0.45">
      <c r="A614" s="556"/>
      <c r="B614" s="556"/>
      <c r="C614" s="556"/>
      <c r="D614" s="564"/>
      <c r="E614" s="556"/>
      <c r="F614" s="564"/>
      <c r="G614" s="564"/>
      <c r="H614" s="564"/>
      <c r="I614" s="564"/>
      <c r="J614" s="564"/>
      <c r="K614" s="564"/>
      <c r="L614" s="564"/>
      <c r="M614" s="564"/>
      <c r="N614" s="564"/>
      <c r="O614" s="564"/>
      <c r="P614" s="564"/>
      <c r="Q614" s="564"/>
      <c r="R614" s="564"/>
      <c r="S614" s="564"/>
      <c r="T614" s="564"/>
      <c r="U614" s="564"/>
      <c r="V614" s="564"/>
      <c r="W614" s="564"/>
      <c r="X614" s="564"/>
      <c r="Y614" s="564"/>
      <c r="Z614" s="564"/>
      <c r="AA614" s="564"/>
      <c r="AB614" s="556"/>
      <c r="AC614" s="556"/>
      <c r="AD614" s="556"/>
      <c r="AE614" s="556"/>
      <c r="AF614" s="556"/>
      <c r="AG614" s="556"/>
      <c r="AH614" s="556"/>
      <c r="AI614" s="556"/>
      <c r="AJ614" s="556"/>
      <c r="AK614" s="556"/>
      <c r="AL614" s="556"/>
      <c r="AM614" s="556"/>
      <c r="AN614" s="556"/>
      <c r="AO614" s="556"/>
      <c r="AP614" s="556"/>
      <c r="AQ614" s="556"/>
      <c r="AR614" s="556"/>
      <c r="AS614" s="565"/>
      <c r="AT614" s="556"/>
      <c r="AU614" s="700"/>
    </row>
    <row r="615" spans="1:47" hidden="1" x14ac:dyDescent="0.45">
      <c r="A615" s="556"/>
      <c r="B615" s="556"/>
      <c r="C615" s="556"/>
      <c r="D615" s="564"/>
      <c r="E615" s="556"/>
      <c r="F615" s="564"/>
      <c r="G615" s="564"/>
      <c r="H615" s="564"/>
      <c r="I615" s="564"/>
      <c r="J615" s="564"/>
      <c r="K615" s="564"/>
      <c r="L615" s="564"/>
      <c r="M615" s="564"/>
      <c r="N615" s="564"/>
      <c r="O615" s="564"/>
      <c r="P615" s="564"/>
      <c r="Q615" s="564"/>
      <c r="R615" s="564"/>
      <c r="S615" s="564"/>
      <c r="T615" s="564"/>
      <c r="U615" s="564"/>
      <c r="V615" s="564"/>
      <c r="W615" s="564"/>
      <c r="X615" s="564"/>
      <c r="Y615" s="564"/>
      <c r="Z615" s="564"/>
      <c r="AA615" s="564"/>
      <c r="AB615" s="556"/>
      <c r="AC615" s="556"/>
      <c r="AD615" s="556"/>
      <c r="AE615" s="556"/>
      <c r="AF615" s="556"/>
      <c r="AG615" s="556"/>
      <c r="AH615" s="556"/>
      <c r="AI615" s="556"/>
      <c r="AJ615" s="556"/>
      <c r="AK615" s="556"/>
      <c r="AL615" s="556"/>
      <c r="AM615" s="556"/>
      <c r="AN615" s="556"/>
      <c r="AO615" s="556"/>
      <c r="AP615" s="556"/>
      <c r="AQ615" s="556"/>
      <c r="AR615" s="556"/>
      <c r="AS615" s="565"/>
      <c r="AT615" s="556"/>
      <c r="AU615" s="700"/>
    </row>
    <row r="616" spans="1:47" hidden="1" x14ac:dyDescent="0.45">
      <c r="A616" s="556"/>
      <c r="B616" s="556"/>
      <c r="C616" s="556"/>
      <c r="D616" s="564"/>
      <c r="E616" s="556"/>
      <c r="F616" s="564"/>
      <c r="G616" s="564"/>
      <c r="H616" s="564"/>
      <c r="I616" s="564"/>
      <c r="J616" s="564"/>
      <c r="K616" s="564"/>
      <c r="L616" s="564"/>
      <c r="M616" s="564"/>
      <c r="N616" s="564"/>
      <c r="O616" s="564"/>
      <c r="P616" s="564"/>
      <c r="Q616" s="564"/>
      <c r="R616" s="564"/>
      <c r="S616" s="564"/>
      <c r="T616" s="564"/>
      <c r="U616" s="564"/>
      <c r="V616" s="564"/>
      <c r="W616" s="564"/>
      <c r="X616" s="564"/>
      <c r="Y616" s="564"/>
      <c r="Z616" s="564"/>
      <c r="AA616" s="564"/>
      <c r="AB616" s="556"/>
      <c r="AC616" s="556"/>
      <c r="AD616" s="556"/>
      <c r="AE616" s="556"/>
      <c r="AF616" s="556"/>
      <c r="AG616" s="556"/>
      <c r="AH616" s="556"/>
      <c r="AI616" s="556"/>
      <c r="AJ616" s="556"/>
      <c r="AK616" s="556"/>
      <c r="AL616" s="556"/>
      <c r="AM616" s="556"/>
      <c r="AN616" s="556"/>
      <c r="AO616" s="556"/>
      <c r="AP616" s="556"/>
      <c r="AQ616" s="556"/>
      <c r="AR616" s="556"/>
      <c r="AS616" s="565"/>
      <c r="AT616" s="556"/>
      <c r="AU616" s="700"/>
    </row>
    <row r="617" spans="1:47" hidden="1" x14ac:dyDescent="0.45">
      <c r="A617" s="556"/>
      <c r="B617" s="556"/>
      <c r="C617" s="556"/>
      <c r="D617" s="564"/>
      <c r="E617" s="556"/>
      <c r="F617" s="564"/>
      <c r="G617" s="564"/>
      <c r="H617" s="564"/>
      <c r="I617" s="564"/>
      <c r="J617" s="564"/>
      <c r="K617" s="564"/>
      <c r="L617" s="564"/>
      <c r="M617" s="564"/>
      <c r="N617" s="564"/>
      <c r="O617" s="564"/>
      <c r="P617" s="564"/>
      <c r="Q617" s="564"/>
      <c r="R617" s="564"/>
      <c r="S617" s="564"/>
      <c r="T617" s="564"/>
      <c r="U617" s="564"/>
      <c r="V617" s="564"/>
      <c r="W617" s="564"/>
      <c r="X617" s="564"/>
      <c r="Y617" s="564"/>
      <c r="Z617" s="564"/>
      <c r="AA617" s="564"/>
      <c r="AB617" s="556"/>
      <c r="AC617" s="556"/>
      <c r="AD617" s="556"/>
      <c r="AE617" s="556"/>
      <c r="AF617" s="556"/>
      <c r="AG617" s="556"/>
      <c r="AH617" s="556"/>
      <c r="AI617" s="556"/>
      <c r="AJ617" s="556"/>
      <c r="AK617" s="556"/>
      <c r="AL617" s="556"/>
      <c r="AM617" s="556"/>
      <c r="AN617" s="556"/>
      <c r="AO617" s="556"/>
      <c r="AP617" s="556"/>
      <c r="AQ617" s="556"/>
      <c r="AR617" s="556"/>
      <c r="AS617" s="565"/>
      <c r="AT617" s="556"/>
      <c r="AU617" s="700"/>
    </row>
    <row r="618" spans="1:47" hidden="1" x14ac:dyDescent="0.45">
      <c r="A618" s="556"/>
      <c r="B618" s="556"/>
      <c r="C618" s="556"/>
      <c r="D618" s="564"/>
      <c r="E618" s="556"/>
      <c r="F618" s="564"/>
      <c r="G618" s="564"/>
      <c r="H618" s="564"/>
      <c r="I618" s="564"/>
      <c r="J618" s="564"/>
      <c r="K618" s="564"/>
      <c r="L618" s="564"/>
      <c r="M618" s="564"/>
      <c r="N618" s="564"/>
      <c r="O618" s="564"/>
      <c r="P618" s="564"/>
      <c r="Q618" s="564"/>
      <c r="R618" s="564"/>
      <c r="S618" s="564"/>
      <c r="T618" s="564"/>
      <c r="U618" s="564"/>
      <c r="V618" s="564"/>
      <c r="W618" s="564"/>
      <c r="X618" s="564"/>
      <c r="Y618" s="564"/>
      <c r="Z618" s="564"/>
      <c r="AA618" s="564"/>
      <c r="AB618" s="556"/>
      <c r="AC618" s="556"/>
      <c r="AD618" s="556"/>
      <c r="AE618" s="556"/>
      <c r="AF618" s="556"/>
      <c r="AG618" s="556"/>
      <c r="AH618" s="556"/>
      <c r="AI618" s="556"/>
      <c r="AJ618" s="556"/>
      <c r="AK618" s="556"/>
      <c r="AL618" s="556"/>
      <c r="AM618" s="556"/>
      <c r="AN618" s="556"/>
      <c r="AO618" s="556"/>
      <c r="AP618" s="556"/>
      <c r="AQ618" s="556"/>
      <c r="AR618" s="556"/>
      <c r="AS618" s="565"/>
      <c r="AT618" s="556"/>
      <c r="AU618" s="700"/>
    </row>
    <row r="619" spans="1:47" hidden="1" x14ac:dyDescent="0.45">
      <c r="A619" s="556"/>
      <c r="B619" s="556"/>
      <c r="C619" s="556"/>
      <c r="D619" s="564"/>
      <c r="E619" s="556"/>
      <c r="F619" s="564"/>
      <c r="G619" s="564"/>
      <c r="H619" s="564"/>
      <c r="I619" s="564"/>
      <c r="J619" s="564"/>
      <c r="K619" s="564"/>
      <c r="L619" s="564"/>
      <c r="M619" s="564"/>
      <c r="N619" s="564"/>
      <c r="O619" s="564"/>
      <c r="P619" s="564"/>
      <c r="Q619" s="564"/>
      <c r="R619" s="564"/>
      <c r="S619" s="564"/>
      <c r="T619" s="564"/>
      <c r="U619" s="564"/>
      <c r="V619" s="564"/>
      <c r="W619" s="564"/>
      <c r="X619" s="564"/>
      <c r="Y619" s="564"/>
      <c r="Z619" s="564"/>
      <c r="AA619" s="564"/>
      <c r="AB619" s="556"/>
      <c r="AC619" s="556"/>
      <c r="AD619" s="556"/>
      <c r="AE619" s="556"/>
      <c r="AF619" s="556"/>
      <c r="AG619" s="556"/>
      <c r="AH619" s="556"/>
      <c r="AI619" s="556"/>
      <c r="AJ619" s="556"/>
      <c r="AK619" s="556"/>
      <c r="AL619" s="556"/>
      <c r="AM619" s="556"/>
      <c r="AN619" s="556"/>
      <c r="AO619" s="556"/>
      <c r="AP619" s="556"/>
      <c r="AQ619" s="556"/>
      <c r="AR619" s="556"/>
      <c r="AS619" s="565"/>
      <c r="AT619" s="556"/>
      <c r="AU619" s="700"/>
    </row>
    <row r="620" spans="1:47" hidden="1" x14ac:dyDescent="0.45">
      <c r="A620" s="556"/>
      <c r="B620" s="556"/>
      <c r="C620" s="556"/>
      <c r="D620" s="564"/>
      <c r="E620" s="556"/>
      <c r="F620" s="564"/>
      <c r="G620" s="564"/>
      <c r="H620" s="564"/>
      <c r="I620" s="564"/>
      <c r="J620" s="564"/>
      <c r="K620" s="564"/>
      <c r="L620" s="564"/>
      <c r="M620" s="564"/>
      <c r="N620" s="564"/>
      <c r="O620" s="564"/>
      <c r="P620" s="564"/>
      <c r="Q620" s="564"/>
      <c r="R620" s="564"/>
      <c r="S620" s="564"/>
      <c r="T620" s="564"/>
      <c r="U620" s="564"/>
      <c r="V620" s="564"/>
      <c r="W620" s="564"/>
      <c r="X620" s="564"/>
      <c r="Y620" s="564"/>
      <c r="Z620" s="564"/>
      <c r="AA620" s="564"/>
      <c r="AB620" s="556"/>
      <c r="AC620" s="556"/>
      <c r="AD620" s="556"/>
      <c r="AE620" s="556"/>
      <c r="AF620" s="556"/>
      <c r="AG620" s="556"/>
      <c r="AH620" s="556"/>
      <c r="AI620" s="556"/>
      <c r="AJ620" s="556"/>
      <c r="AK620" s="556"/>
      <c r="AL620" s="556"/>
      <c r="AM620" s="556"/>
      <c r="AN620" s="556"/>
      <c r="AO620" s="556"/>
      <c r="AP620" s="556"/>
      <c r="AQ620" s="556"/>
      <c r="AR620" s="556"/>
      <c r="AS620" s="565"/>
      <c r="AT620" s="556"/>
      <c r="AU620" s="700"/>
    </row>
    <row r="621" spans="1:47" hidden="1" x14ac:dyDescent="0.45">
      <c r="A621" s="556"/>
      <c r="B621" s="556"/>
      <c r="C621" s="556"/>
      <c r="D621" s="564"/>
      <c r="E621" s="556"/>
      <c r="F621" s="564"/>
      <c r="G621" s="564"/>
      <c r="H621" s="564"/>
      <c r="I621" s="564"/>
      <c r="J621" s="564"/>
      <c r="K621" s="564"/>
      <c r="L621" s="564"/>
      <c r="M621" s="564"/>
      <c r="N621" s="564"/>
      <c r="O621" s="564"/>
      <c r="P621" s="564"/>
      <c r="Q621" s="564"/>
      <c r="R621" s="564"/>
      <c r="S621" s="564"/>
      <c r="T621" s="564"/>
      <c r="U621" s="564"/>
      <c r="V621" s="564"/>
      <c r="W621" s="564"/>
      <c r="X621" s="564"/>
      <c r="Y621" s="564"/>
      <c r="Z621" s="564"/>
      <c r="AA621" s="564"/>
      <c r="AB621" s="556"/>
      <c r="AC621" s="556"/>
      <c r="AD621" s="556"/>
      <c r="AE621" s="556"/>
      <c r="AF621" s="556"/>
      <c r="AG621" s="556"/>
      <c r="AH621" s="556"/>
      <c r="AI621" s="556"/>
      <c r="AJ621" s="556"/>
      <c r="AK621" s="556"/>
      <c r="AL621" s="556"/>
      <c r="AM621" s="556"/>
      <c r="AN621" s="556"/>
      <c r="AO621" s="556"/>
      <c r="AP621" s="556"/>
      <c r="AQ621" s="556"/>
      <c r="AR621" s="556"/>
      <c r="AS621" s="565"/>
      <c r="AT621" s="556"/>
      <c r="AU621" s="700"/>
    </row>
    <row r="622" spans="1:47" hidden="1" x14ac:dyDescent="0.45">
      <c r="A622" s="556"/>
      <c r="B622" s="556"/>
      <c r="C622" s="556"/>
      <c r="D622" s="564"/>
      <c r="E622" s="556"/>
      <c r="F622" s="564"/>
      <c r="G622" s="564"/>
      <c r="H622" s="564"/>
      <c r="I622" s="564"/>
      <c r="J622" s="564"/>
      <c r="K622" s="564"/>
      <c r="L622" s="564"/>
      <c r="M622" s="564"/>
      <c r="N622" s="564"/>
      <c r="O622" s="564"/>
      <c r="P622" s="564"/>
      <c r="Q622" s="564"/>
      <c r="R622" s="564"/>
      <c r="S622" s="564"/>
      <c r="T622" s="564"/>
      <c r="U622" s="564"/>
      <c r="V622" s="564"/>
      <c r="W622" s="564"/>
      <c r="X622" s="564"/>
      <c r="Y622" s="564"/>
      <c r="Z622" s="564"/>
      <c r="AA622" s="564"/>
      <c r="AB622" s="556"/>
      <c r="AC622" s="556"/>
      <c r="AD622" s="556"/>
      <c r="AE622" s="556"/>
      <c r="AF622" s="556"/>
      <c r="AG622" s="556"/>
      <c r="AH622" s="556"/>
      <c r="AI622" s="556"/>
      <c r="AJ622" s="556"/>
      <c r="AK622" s="556"/>
      <c r="AL622" s="556"/>
      <c r="AM622" s="556"/>
      <c r="AN622" s="556"/>
      <c r="AO622" s="556"/>
      <c r="AP622" s="556"/>
      <c r="AQ622" s="556"/>
      <c r="AR622" s="556"/>
      <c r="AS622" s="565"/>
      <c r="AT622" s="556"/>
      <c r="AU622" s="700"/>
    </row>
    <row r="623" spans="1:47" hidden="1" x14ac:dyDescent="0.45">
      <c r="A623" s="556"/>
      <c r="B623" s="556"/>
      <c r="C623" s="556"/>
      <c r="D623" s="564"/>
      <c r="E623" s="556"/>
      <c r="F623" s="564"/>
      <c r="G623" s="564"/>
      <c r="H623" s="564"/>
      <c r="I623" s="564"/>
      <c r="J623" s="564"/>
      <c r="K623" s="564"/>
      <c r="L623" s="564"/>
      <c r="M623" s="564"/>
      <c r="N623" s="564"/>
      <c r="O623" s="564"/>
      <c r="P623" s="564"/>
      <c r="Q623" s="564"/>
      <c r="R623" s="564"/>
      <c r="S623" s="564"/>
      <c r="T623" s="564"/>
      <c r="U623" s="564"/>
      <c r="V623" s="564"/>
      <c r="W623" s="564"/>
      <c r="X623" s="564"/>
      <c r="Y623" s="564"/>
      <c r="Z623" s="564"/>
      <c r="AA623" s="564"/>
      <c r="AB623" s="556"/>
      <c r="AC623" s="556"/>
      <c r="AD623" s="556"/>
      <c r="AE623" s="556"/>
      <c r="AF623" s="556"/>
      <c r="AG623" s="556"/>
      <c r="AH623" s="556"/>
      <c r="AI623" s="556"/>
      <c r="AJ623" s="556"/>
      <c r="AK623" s="556"/>
      <c r="AL623" s="556"/>
      <c r="AM623" s="556"/>
      <c r="AN623" s="556"/>
      <c r="AO623" s="556"/>
      <c r="AP623" s="556"/>
      <c r="AQ623" s="556"/>
      <c r="AR623" s="556"/>
      <c r="AS623" s="565"/>
      <c r="AT623" s="556"/>
      <c r="AU623" s="700"/>
    </row>
    <row r="624" spans="1:47" hidden="1" x14ac:dyDescent="0.45">
      <c r="A624" s="556"/>
      <c r="B624" s="556"/>
      <c r="C624" s="556"/>
      <c r="D624" s="564"/>
      <c r="E624" s="556"/>
      <c r="F624" s="564"/>
      <c r="G624" s="564"/>
      <c r="H624" s="564"/>
      <c r="I624" s="564"/>
      <c r="J624" s="564"/>
      <c r="K624" s="564"/>
      <c r="L624" s="564"/>
      <c r="M624" s="564"/>
      <c r="N624" s="564"/>
      <c r="O624" s="564"/>
      <c r="P624" s="564"/>
      <c r="Q624" s="564"/>
      <c r="R624" s="564"/>
      <c r="S624" s="564"/>
      <c r="T624" s="564"/>
      <c r="U624" s="564"/>
      <c r="V624" s="564"/>
      <c r="W624" s="564"/>
      <c r="X624" s="564"/>
      <c r="Y624" s="564"/>
      <c r="Z624" s="564"/>
      <c r="AA624" s="564"/>
      <c r="AB624" s="556"/>
      <c r="AC624" s="556"/>
      <c r="AD624" s="556"/>
      <c r="AE624" s="556"/>
      <c r="AF624" s="556"/>
      <c r="AG624" s="556"/>
      <c r="AH624" s="556"/>
      <c r="AI624" s="556"/>
      <c r="AJ624" s="556"/>
      <c r="AK624" s="556"/>
      <c r="AL624" s="556"/>
      <c r="AM624" s="556"/>
      <c r="AN624" s="556"/>
      <c r="AO624" s="556"/>
      <c r="AP624" s="556"/>
      <c r="AQ624" s="556"/>
      <c r="AR624" s="556"/>
      <c r="AS624" s="565"/>
      <c r="AT624" s="556"/>
      <c r="AU624" s="700"/>
    </row>
    <row r="625" spans="1:47" hidden="1" x14ac:dyDescent="0.45">
      <c r="A625" s="556"/>
      <c r="B625" s="556"/>
      <c r="C625" s="556"/>
      <c r="D625" s="564"/>
      <c r="E625" s="556"/>
      <c r="F625" s="564"/>
      <c r="G625" s="564"/>
      <c r="H625" s="564"/>
      <c r="I625" s="564"/>
      <c r="J625" s="564"/>
      <c r="K625" s="564"/>
      <c r="L625" s="564"/>
      <c r="M625" s="564"/>
      <c r="N625" s="564"/>
      <c r="O625" s="564"/>
      <c r="P625" s="564"/>
      <c r="Q625" s="564"/>
      <c r="R625" s="564"/>
      <c r="S625" s="564"/>
      <c r="T625" s="564"/>
      <c r="U625" s="564"/>
      <c r="V625" s="564"/>
      <c r="W625" s="564"/>
      <c r="X625" s="564"/>
      <c r="Y625" s="564"/>
      <c r="Z625" s="564"/>
      <c r="AA625" s="564"/>
      <c r="AB625" s="556"/>
      <c r="AC625" s="556"/>
      <c r="AD625" s="556"/>
      <c r="AE625" s="556"/>
      <c r="AF625" s="556"/>
      <c r="AG625" s="556"/>
      <c r="AH625" s="556"/>
      <c r="AI625" s="556"/>
      <c r="AJ625" s="556"/>
      <c r="AK625" s="556"/>
      <c r="AL625" s="556"/>
      <c r="AM625" s="556"/>
      <c r="AN625" s="556"/>
      <c r="AO625" s="556"/>
      <c r="AP625" s="556"/>
      <c r="AQ625" s="556"/>
      <c r="AR625" s="556"/>
      <c r="AS625" s="565"/>
      <c r="AT625" s="556"/>
      <c r="AU625" s="700"/>
    </row>
    <row r="626" spans="1:47" hidden="1" x14ac:dyDescent="0.45">
      <c r="A626" s="556"/>
      <c r="B626" s="556"/>
      <c r="C626" s="556"/>
      <c r="D626" s="564"/>
      <c r="E626" s="556"/>
      <c r="F626" s="564"/>
      <c r="G626" s="564"/>
      <c r="H626" s="564"/>
      <c r="I626" s="564"/>
      <c r="J626" s="564"/>
      <c r="K626" s="564"/>
      <c r="L626" s="564"/>
      <c r="M626" s="564"/>
      <c r="N626" s="564"/>
      <c r="O626" s="564"/>
      <c r="P626" s="564"/>
      <c r="Q626" s="564"/>
      <c r="R626" s="564"/>
      <c r="S626" s="564"/>
      <c r="T626" s="564"/>
      <c r="U626" s="564"/>
      <c r="V626" s="564"/>
      <c r="W626" s="564"/>
      <c r="X626" s="564"/>
      <c r="Y626" s="564"/>
      <c r="Z626" s="564"/>
      <c r="AA626" s="564"/>
      <c r="AB626" s="556"/>
      <c r="AC626" s="556"/>
      <c r="AD626" s="556"/>
      <c r="AE626" s="556"/>
      <c r="AF626" s="556"/>
      <c r="AG626" s="556"/>
      <c r="AH626" s="556"/>
      <c r="AI626" s="556"/>
      <c r="AJ626" s="556"/>
      <c r="AK626" s="556"/>
      <c r="AL626" s="556"/>
      <c r="AM626" s="556"/>
      <c r="AN626" s="556"/>
      <c r="AO626" s="556"/>
      <c r="AP626" s="556"/>
      <c r="AQ626" s="556"/>
      <c r="AR626" s="556"/>
      <c r="AS626" s="565"/>
      <c r="AT626" s="556"/>
      <c r="AU626" s="700"/>
    </row>
    <row r="627" spans="1:47" hidden="1" x14ac:dyDescent="0.45">
      <c r="A627" s="556"/>
      <c r="B627" s="556"/>
      <c r="C627" s="556"/>
      <c r="D627" s="564"/>
      <c r="E627" s="556"/>
      <c r="F627" s="564"/>
      <c r="G627" s="564"/>
      <c r="H627" s="564"/>
      <c r="I627" s="564"/>
      <c r="J627" s="564"/>
      <c r="K627" s="564"/>
      <c r="L627" s="564"/>
      <c r="M627" s="564"/>
      <c r="N627" s="564"/>
      <c r="O627" s="564"/>
      <c r="P627" s="564"/>
      <c r="Q627" s="564"/>
      <c r="R627" s="564"/>
      <c r="S627" s="564"/>
      <c r="T627" s="564"/>
      <c r="U627" s="564"/>
      <c r="V627" s="564"/>
      <c r="W627" s="564"/>
      <c r="X627" s="564"/>
      <c r="Y627" s="564"/>
      <c r="Z627" s="564"/>
      <c r="AA627" s="564"/>
      <c r="AB627" s="556"/>
      <c r="AC627" s="556"/>
      <c r="AD627" s="556"/>
      <c r="AE627" s="556"/>
      <c r="AF627" s="556"/>
      <c r="AG627" s="556"/>
      <c r="AH627" s="556"/>
      <c r="AI627" s="556"/>
      <c r="AJ627" s="556"/>
      <c r="AK627" s="556"/>
      <c r="AL627" s="556"/>
      <c r="AM627" s="556"/>
      <c r="AN627" s="556"/>
      <c r="AO627" s="556"/>
      <c r="AP627" s="556"/>
      <c r="AQ627" s="556"/>
      <c r="AR627" s="556"/>
      <c r="AS627" s="565"/>
      <c r="AT627" s="556"/>
      <c r="AU627" s="700"/>
    </row>
    <row r="628" spans="1:47" hidden="1" x14ac:dyDescent="0.45">
      <c r="A628" s="556"/>
      <c r="B628" s="556"/>
      <c r="C628" s="556"/>
      <c r="D628" s="564"/>
      <c r="E628" s="556"/>
      <c r="F628" s="564"/>
      <c r="G628" s="564"/>
      <c r="H628" s="564"/>
      <c r="I628" s="564"/>
      <c r="J628" s="564"/>
      <c r="K628" s="564"/>
      <c r="L628" s="564"/>
      <c r="M628" s="564"/>
      <c r="N628" s="564"/>
      <c r="O628" s="564"/>
      <c r="P628" s="564"/>
      <c r="Q628" s="564"/>
      <c r="R628" s="564"/>
      <c r="S628" s="564"/>
      <c r="T628" s="564"/>
      <c r="U628" s="564"/>
      <c r="V628" s="564"/>
      <c r="W628" s="564"/>
      <c r="X628" s="564"/>
      <c r="Y628" s="564"/>
      <c r="Z628" s="564"/>
      <c r="AA628" s="564"/>
      <c r="AB628" s="556"/>
      <c r="AC628" s="556"/>
      <c r="AD628" s="556"/>
      <c r="AE628" s="556"/>
      <c r="AF628" s="556"/>
      <c r="AG628" s="556"/>
      <c r="AH628" s="556"/>
      <c r="AI628" s="556"/>
      <c r="AJ628" s="556"/>
      <c r="AK628" s="556"/>
      <c r="AL628" s="556"/>
      <c r="AM628" s="556"/>
      <c r="AN628" s="556"/>
      <c r="AO628" s="556"/>
      <c r="AP628" s="556"/>
      <c r="AQ628" s="556"/>
      <c r="AR628" s="556"/>
      <c r="AS628" s="565"/>
      <c r="AT628" s="556"/>
      <c r="AU628" s="700"/>
    </row>
    <row r="629" spans="1:47" hidden="1" x14ac:dyDescent="0.45">
      <c r="A629" s="556"/>
      <c r="B629" s="556"/>
      <c r="C629" s="556"/>
      <c r="D629" s="564"/>
      <c r="E629" s="556"/>
      <c r="F629" s="564"/>
      <c r="G629" s="564"/>
      <c r="H629" s="564"/>
      <c r="I629" s="564"/>
      <c r="J629" s="564"/>
      <c r="K629" s="564"/>
      <c r="L629" s="564"/>
      <c r="M629" s="564"/>
      <c r="N629" s="564"/>
      <c r="O629" s="564"/>
      <c r="P629" s="564"/>
      <c r="Q629" s="564"/>
      <c r="R629" s="564"/>
      <c r="S629" s="564"/>
      <c r="T629" s="564"/>
      <c r="U629" s="564"/>
      <c r="V629" s="564"/>
      <c r="W629" s="564"/>
      <c r="X629" s="564"/>
      <c r="Y629" s="564"/>
      <c r="Z629" s="564"/>
      <c r="AA629" s="564"/>
      <c r="AB629" s="556"/>
      <c r="AC629" s="556"/>
      <c r="AD629" s="556"/>
      <c r="AE629" s="556"/>
      <c r="AF629" s="556"/>
      <c r="AG629" s="556"/>
      <c r="AH629" s="556"/>
      <c r="AI629" s="556"/>
      <c r="AJ629" s="556"/>
      <c r="AK629" s="556"/>
      <c r="AL629" s="556"/>
      <c r="AM629" s="556"/>
      <c r="AN629" s="556"/>
      <c r="AO629" s="556"/>
      <c r="AP629" s="556"/>
      <c r="AQ629" s="556"/>
      <c r="AR629" s="556"/>
      <c r="AS629" s="565"/>
      <c r="AT629" s="556"/>
      <c r="AU629" s="700"/>
    </row>
    <row r="630" spans="1:47" hidden="1" x14ac:dyDescent="0.45">
      <c r="A630" s="556"/>
      <c r="B630" s="556"/>
      <c r="C630" s="556"/>
      <c r="D630" s="564"/>
      <c r="E630" s="556"/>
      <c r="F630" s="564"/>
      <c r="G630" s="564"/>
      <c r="H630" s="564"/>
      <c r="I630" s="564"/>
      <c r="J630" s="564"/>
      <c r="K630" s="564"/>
      <c r="L630" s="564"/>
      <c r="M630" s="564"/>
      <c r="N630" s="564"/>
      <c r="O630" s="564"/>
      <c r="P630" s="564"/>
      <c r="Q630" s="564"/>
      <c r="R630" s="564"/>
      <c r="S630" s="564"/>
      <c r="T630" s="564"/>
      <c r="U630" s="564"/>
      <c r="V630" s="564"/>
      <c r="W630" s="564"/>
      <c r="X630" s="564"/>
      <c r="Y630" s="564"/>
      <c r="Z630" s="564"/>
      <c r="AA630" s="564"/>
      <c r="AB630" s="556"/>
      <c r="AC630" s="556"/>
      <c r="AD630" s="556"/>
      <c r="AE630" s="556"/>
      <c r="AF630" s="556"/>
      <c r="AG630" s="556"/>
      <c r="AH630" s="556"/>
      <c r="AI630" s="556"/>
      <c r="AJ630" s="556"/>
      <c r="AK630" s="556"/>
      <c r="AL630" s="556"/>
      <c r="AM630" s="556"/>
      <c r="AN630" s="556"/>
      <c r="AO630" s="556"/>
      <c r="AP630" s="556"/>
      <c r="AQ630" s="556"/>
      <c r="AR630" s="556"/>
      <c r="AS630" s="565"/>
      <c r="AT630" s="556"/>
      <c r="AU630" s="700"/>
    </row>
    <row r="631" spans="1:47" hidden="1" x14ac:dyDescent="0.45">
      <c r="A631" s="556"/>
      <c r="B631" s="556"/>
      <c r="C631" s="556"/>
      <c r="D631" s="564"/>
      <c r="E631" s="556"/>
      <c r="F631" s="564"/>
      <c r="G631" s="564"/>
      <c r="H631" s="564"/>
      <c r="I631" s="564"/>
      <c r="J631" s="564"/>
      <c r="K631" s="564"/>
      <c r="L631" s="564"/>
      <c r="M631" s="564"/>
      <c r="N631" s="564"/>
      <c r="O631" s="564"/>
      <c r="P631" s="564"/>
      <c r="Q631" s="564"/>
      <c r="R631" s="564"/>
      <c r="S631" s="564"/>
      <c r="T631" s="564"/>
      <c r="U631" s="564"/>
      <c r="V631" s="564"/>
      <c r="W631" s="564"/>
      <c r="X631" s="564"/>
      <c r="Y631" s="564"/>
      <c r="Z631" s="564"/>
      <c r="AA631" s="564"/>
      <c r="AB631" s="556"/>
      <c r="AC631" s="556"/>
      <c r="AD631" s="556"/>
      <c r="AE631" s="556"/>
      <c r="AF631" s="556"/>
      <c r="AG631" s="556"/>
      <c r="AH631" s="556"/>
      <c r="AI631" s="556"/>
      <c r="AJ631" s="556"/>
      <c r="AK631" s="556"/>
      <c r="AL631" s="556"/>
      <c r="AM631" s="556"/>
      <c r="AN631" s="556"/>
      <c r="AO631" s="556"/>
      <c r="AP631" s="556"/>
      <c r="AQ631" s="556"/>
      <c r="AR631" s="556"/>
      <c r="AS631" s="565"/>
      <c r="AT631" s="556"/>
      <c r="AU631" s="700"/>
    </row>
    <row r="632" spans="1:47" hidden="1" x14ac:dyDescent="0.45">
      <c r="A632" s="556"/>
      <c r="B632" s="556"/>
      <c r="C632" s="556"/>
      <c r="D632" s="564"/>
      <c r="E632" s="556"/>
      <c r="F632" s="564"/>
      <c r="G632" s="564"/>
      <c r="H632" s="564"/>
      <c r="I632" s="564"/>
      <c r="J632" s="564"/>
      <c r="K632" s="564"/>
      <c r="L632" s="564"/>
      <c r="M632" s="564"/>
      <c r="N632" s="564"/>
      <c r="O632" s="564"/>
      <c r="P632" s="564"/>
      <c r="Q632" s="564"/>
      <c r="R632" s="564"/>
      <c r="S632" s="564"/>
      <c r="T632" s="564"/>
      <c r="U632" s="564"/>
      <c r="V632" s="564"/>
      <c r="W632" s="564"/>
      <c r="X632" s="564"/>
      <c r="Y632" s="564"/>
      <c r="Z632" s="564"/>
      <c r="AA632" s="564"/>
      <c r="AB632" s="556"/>
      <c r="AC632" s="556"/>
      <c r="AD632" s="556"/>
      <c r="AE632" s="556"/>
      <c r="AF632" s="556"/>
      <c r="AG632" s="556"/>
      <c r="AH632" s="556"/>
      <c r="AI632" s="556"/>
      <c r="AJ632" s="556"/>
      <c r="AK632" s="556"/>
      <c r="AL632" s="556"/>
      <c r="AM632" s="556"/>
      <c r="AN632" s="556"/>
      <c r="AO632" s="556"/>
      <c r="AP632" s="556"/>
      <c r="AQ632" s="556"/>
      <c r="AR632" s="556"/>
      <c r="AS632" s="565"/>
      <c r="AT632" s="556"/>
      <c r="AU632" s="700"/>
    </row>
    <row r="633" spans="1:47" hidden="1" x14ac:dyDescent="0.45">
      <c r="A633" s="556"/>
      <c r="B633" s="556"/>
      <c r="C633" s="556"/>
      <c r="D633" s="564"/>
      <c r="E633" s="556"/>
      <c r="F633" s="564"/>
      <c r="G633" s="564"/>
      <c r="H633" s="564"/>
      <c r="I633" s="564"/>
      <c r="J633" s="564"/>
      <c r="K633" s="564"/>
      <c r="L633" s="564"/>
      <c r="M633" s="564"/>
      <c r="N633" s="564"/>
      <c r="O633" s="564"/>
      <c r="P633" s="564"/>
      <c r="Q633" s="564"/>
      <c r="R633" s="564"/>
      <c r="S633" s="564"/>
      <c r="T633" s="564"/>
      <c r="U633" s="564"/>
      <c r="V633" s="564"/>
      <c r="W633" s="564"/>
      <c r="X633" s="564"/>
      <c r="Y633" s="564"/>
      <c r="Z633" s="564"/>
      <c r="AA633" s="564"/>
      <c r="AB633" s="556"/>
      <c r="AC633" s="556"/>
      <c r="AD633" s="556"/>
      <c r="AE633" s="556"/>
      <c r="AF633" s="556"/>
      <c r="AG633" s="556"/>
      <c r="AH633" s="556"/>
      <c r="AI633" s="556"/>
      <c r="AJ633" s="556"/>
      <c r="AK633" s="556"/>
      <c r="AL633" s="556"/>
      <c r="AM633" s="556"/>
      <c r="AN633" s="556"/>
      <c r="AO633" s="556"/>
      <c r="AP633" s="556"/>
      <c r="AQ633" s="556"/>
      <c r="AR633" s="556"/>
      <c r="AS633" s="565"/>
      <c r="AT633" s="556"/>
      <c r="AU633" s="700"/>
    </row>
    <row r="634" spans="1:47" hidden="1" x14ac:dyDescent="0.45">
      <c r="A634" s="556"/>
      <c r="B634" s="556"/>
      <c r="C634" s="556"/>
      <c r="D634" s="564"/>
      <c r="E634" s="556"/>
      <c r="F634" s="564"/>
      <c r="G634" s="564"/>
      <c r="H634" s="564"/>
      <c r="I634" s="564"/>
      <c r="J634" s="564"/>
      <c r="K634" s="564"/>
      <c r="L634" s="564"/>
      <c r="M634" s="564"/>
      <c r="N634" s="564"/>
      <c r="O634" s="564"/>
      <c r="P634" s="564"/>
      <c r="Q634" s="564"/>
      <c r="R634" s="564"/>
      <c r="S634" s="564"/>
      <c r="T634" s="564"/>
      <c r="U634" s="564"/>
      <c r="V634" s="564"/>
      <c r="W634" s="564"/>
      <c r="X634" s="564"/>
      <c r="Y634" s="564"/>
      <c r="Z634" s="564"/>
      <c r="AA634" s="564"/>
      <c r="AB634" s="556"/>
      <c r="AC634" s="556"/>
      <c r="AD634" s="556"/>
      <c r="AE634" s="556"/>
      <c r="AF634" s="556"/>
      <c r="AG634" s="556"/>
      <c r="AH634" s="556"/>
      <c r="AI634" s="556"/>
      <c r="AJ634" s="556"/>
      <c r="AK634" s="556"/>
      <c r="AL634" s="556"/>
      <c r="AM634" s="556"/>
      <c r="AN634" s="556"/>
      <c r="AO634" s="556"/>
      <c r="AP634" s="556"/>
      <c r="AQ634" s="556"/>
      <c r="AR634" s="556"/>
      <c r="AS634" s="565"/>
      <c r="AT634" s="556"/>
      <c r="AU634" s="700"/>
    </row>
    <row r="635" spans="1:47" hidden="1" x14ac:dyDescent="0.45">
      <c r="A635" s="556"/>
      <c r="B635" s="556"/>
      <c r="C635" s="556"/>
      <c r="D635" s="564"/>
      <c r="E635" s="556"/>
      <c r="F635" s="564"/>
      <c r="G635" s="564"/>
      <c r="H635" s="564"/>
      <c r="I635" s="564"/>
      <c r="J635" s="564"/>
      <c r="K635" s="564"/>
      <c r="L635" s="564"/>
      <c r="M635" s="564"/>
      <c r="N635" s="564"/>
      <c r="O635" s="564"/>
      <c r="P635" s="564"/>
      <c r="Q635" s="564"/>
      <c r="R635" s="564"/>
      <c r="S635" s="564"/>
      <c r="T635" s="564"/>
      <c r="U635" s="564"/>
      <c r="V635" s="564"/>
      <c r="W635" s="564"/>
      <c r="X635" s="564"/>
      <c r="Y635" s="564"/>
      <c r="Z635" s="564"/>
      <c r="AA635" s="564"/>
      <c r="AB635" s="556"/>
      <c r="AC635" s="556"/>
      <c r="AD635" s="556"/>
      <c r="AE635" s="556"/>
      <c r="AF635" s="556"/>
      <c r="AG635" s="556"/>
      <c r="AH635" s="556"/>
      <c r="AI635" s="556"/>
      <c r="AJ635" s="556"/>
      <c r="AK635" s="556"/>
      <c r="AL635" s="556"/>
      <c r="AM635" s="556"/>
      <c r="AN635" s="556"/>
      <c r="AO635" s="556"/>
      <c r="AP635" s="556"/>
      <c r="AQ635" s="556"/>
      <c r="AR635" s="556"/>
      <c r="AS635" s="565"/>
      <c r="AT635" s="556"/>
      <c r="AU635" s="700"/>
    </row>
    <row r="636" spans="1:47" hidden="1" x14ac:dyDescent="0.45">
      <c r="A636" s="556"/>
      <c r="B636" s="556"/>
      <c r="C636" s="556"/>
      <c r="D636" s="564"/>
      <c r="E636" s="556"/>
      <c r="F636" s="564"/>
      <c r="G636" s="564"/>
      <c r="H636" s="564"/>
      <c r="I636" s="564"/>
      <c r="J636" s="564"/>
      <c r="K636" s="564"/>
      <c r="L636" s="564"/>
      <c r="M636" s="564"/>
      <c r="N636" s="564"/>
      <c r="O636" s="564"/>
      <c r="P636" s="564"/>
      <c r="Q636" s="564"/>
      <c r="R636" s="564"/>
      <c r="S636" s="564"/>
      <c r="T636" s="564"/>
      <c r="U636" s="564"/>
      <c r="V636" s="564"/>
      <c r="W636" s="564"/>
      <c r="X636" s="564"/>
      <c r="Y636" s="564"/>
      <c r="Z636" s="564"/>
      <c r="AA636" s="564"/>
      <c r="AB636" s="556"/>
      <c r="AC636" s="556"/>
      <c r="AD636" s="556"/>
      <c r="AE636" s="556"/>
      <c r="AF636" s="556"/>
      <c r="AG636" s="556"/>
      <c r="AH636" s="556"/>
      <c r="AI636" s="556"/>
      <c r="AJ636" s="556"/>
      <c r="AK636" s="556"/>
      <c r="AL636" s="556"/>
      <c r="AM636" s="556"/>
      <c r="AN636" s="556"/>
      <c r="AO636" s="556"/>
      <c r="AP636" s="556"/>
      <c r="AQ636" s="556"/>
      <c r="AR636" s="556"/>
      <c r="AS636" s="565"/>
      <c r="AT636" s="556"/>
      <c r="AU636" s="700"/>
    </row>
    <row r="637" spans="1:47" hidden="1" x14ac:dyDescent="0.45">
      <c r="A637" s="556"/>
      <c r="B637" s="556"/>
      <c r="C637" s="556"/>
      <c r="D637" s="564"/>
      <c r="E637" s="556"/>
      <c r="F637" s="564"/>
      <c r="G637" s="564"/>
      <c r="H637" s="564"/>
      <c r="I637" s="564"/>
      <c r="J637" s="564"/>
      <c r="K637" s="564"/>
      <c r="L637" s="564"/>
      <c r="M637" s="564"/>
      <c r="N637" s="564"/>
      <c r="O637" s="564"/>
      <c r="P637" s="564"/>
      <c r="Q637" s="564"/>
      <c r="R637" s="564"/>
      <c r="S637" s="564"/>
      <c r="T637" s="564"/>
      <c r="U637" s="564"/>
      <c r="V637" s="564"/>
      <c r="W637" s="564"/>
      <c r="X637" s="564"/>
      <c r="Y637" s="564"/>
      <c r="Z637" s="564"/>
      <c r="AA637" s="564"/>
      <c r="AB637" s="556"/>
      <c r="AC637" s="556"/>
      <c r="AD637" s="556"/>
      <c r="AE637" s="556"/>
      <c r="AF637" s="556"/>
      <c r="AG637" s="556"/>
      <c r="AH637" s="556"/>
      <c r="AI637" s="556"/>
      <c r="AJ637" s="556"/>
      <c r="AK637" s="556"/>
      <c r="AL637" s="556"/>
      <c r="AM637" s="556"/>
      <c r="AN637" s="556"/>
      <c r="AO637" s="556"/>
      <c r="AP637" s="556"/>
      <c r="AQ637" s="556"/>
      <c r="AR637" s="556"/>
      <c r="AS637" s="565"/>
      <c r="AT637" s="556"/>
      <c r="AU637" s="700"/>
    </row>
    <row r="638" spans="1:47" hidden="1" x14ac:dyDescent="0.45">
      <c r="A638" s="556"/>
      <c r="B638" s="556"/>
      <c r="C638" s="556"/>
      <c r="D638" s="564"/>
      <c r="E638" s="556"/>
      <c r="F638" s="564"/>
      <c r="G638" s="564"/>
      <c r="H638" s="564"/>
      <c r="I638" s="564"/>
      <c r="J638" s="564"/>
      <c r="K638" s="564"/>
      <c r="L638" s="564"/>
      <c r="M638" s="564"/>
      <c r="N638" s="564"/>
      <c r="O638" s="564"/>
      <c r="P638" s="564"/>
      <c r="Q638" s="564"/>
      <c r="R638" s="564"/>
      <c r="S638" s="564"/>
      <c r="T638" s="564"/>
      <c r="U638" s="564"/>
      <c r="V638" s="564"/>
      <c r="W638" s="564"/>
      <c r="X638" s="564"/>
      <c r="Y638" s="564"/>
      <c r="Z638" s="564"/>
      <c r="AA638" s="564"/>
      <c r="AB638" s="556"/>
      <c r="AC638" s="556"/>
      <c r="AD638" s="556"/>
      <c r="AE638" s="556"/>
      <c r="AF638" s="556"/>
      <c r="AG638" s="556"/>
      <c r="AH638" s="556"/>
      <c r="AI638" s="556"/>
      <c r="AJ638" s="556"/>
      <c r="AK638" s="556"/>
      <c r="AL638" s="556"/>
      <c r="AM638" s="556"/>
      <c r="AN638" s="556"/>
      <c r="AO638" s="556"/>
      <c r="AP638" s="556"/>
      <c r="AQ638" s="556"/>
      <c r="AR638" s="556"/>
      <c r="AS638" s="565"/>
      <c r="AT638" s="556"/>
      <c r="AU638" s="700"/>
    </row>
    <row r="639" spans="1:47" hidden="1" x14ac:dyDescent="0.45">
      <c r="A639" s="556"/>
      <c r="B639" s="556"/>
      <c r="C639" s="556"/>
      <c r="D639" s="564"/>
      <c r="E639" s="556"/>
      <c r="F639" s="564"/>
      <c r="G639" s="564"/>
      <c r="H639" s="564"/>
      <c r="I639" s="564"/>
      <c r="J639" s="564"/>
      <c r="K639" s="564"/>
      <c r="L639" s="564"/>
      <c r="M639" s="564"/>
      <c r="N639" s="564"/>
      <c r="O639" s="564"/>
      <c r="P639" s="564"/>
      <c r="Q639" s="564"/>
      <c r="R639" s="564"/>
      <c r="S639" s="564"/>
      <c r="T639" s="564"/>
      <c r="U639" s="564"/>
      <c r="V639" s="564"/>
      <c r="W639" s="564"/>
      <c r="X639" s="564"/>
      <c r="Y639" s="564"/>
      <c r="Z639" s="564"/>
      <c r="AA639" s="564"/>
      <c r="AB639" s="556"/>
      <c r="AC639" s="556"/>
      <c r="AD639" s="556"/>
      <c r="AE639" s="556"/>
      <c r="AF639" s="556"/>
      <c r="AG639" s="556"/>
      <c r="AH639" s="556"/>
      <c r="AI639" s="556"/>
      <c r="AJ639" s="556"/>
      <c r="AK639" s="556"/>
      <c r="AL639" s="556"/>
      <c r="AM639" s="556"/>
      <c r="AN639" s="556"/>
      <c r="AO639" s="556"/>
      <c r="AP639" s="556"/>
      <c r="AQ639" s="556"/>
      <c r="AR639" s="556"/>
      <c r="AS639" s="565"/>
      <c r="AT639" s="556"/>
      <c r="AU639" s="700"/>
    </row>
    <row r="640" spans="1:47" hidden="1" x14ac:dyDescent="0.45">
      <c r="A640" s="556"/>
      <c r="B640" s="556"/>
      <c r="C640" s="556"/>
      <c r="D640" s="564"/>
      <c r="E640" s="556"/>
      <c r="F640" s="564"/>
      <c r="G640" s="564"/>
      <c r="H640" s="564"/>
      <c r="I640" s="564"/>
      <c r="J640" s="564"/>
      <c r="K640" s="564"/>
      <c r="L640" s="564"/>
      <c r="M640" s="564"/>
      <c r="N640" s="564"/>
      <c r="O640" s="564"/>
      <c r="P640" s="564"/>
      <c r="Q640" s="564"/>
      <c r="R640" s="564"/>
      <c r="S640" s="564"/>
      <c r="T640" s="564"/>
      <c r="U640" s="564"/>
      <c r="V640" s="564"/>
      <c r="W640" s="564"/>
      <c r="X640" s="564"/>
      <c r="Y640" s="564"/>
      <c r="Z640" s="564"/>
      <c r="AA640" s="564"/>
      <c r="AB640" s="556"/>
      <c r="AC640" s="556"/>
      <c r="AD640" s="556"/>
      <c r="AE640" s="556"/>
      <c r="AF640" s="556"/>
      <c r="AG640" s="556"/>
      <c r="AH640" s="556"/>
      <c r="AI640" s="556"/>
      <c r="AJ640" s="556"/>
      <c r="AK640" s="556"/>
      <c r="AL640" s="556"/>
      <c r="AM640" s="556"/>
      <c r="AN640" s="556"/>
      <c r="AO640" s="556"/>
      <c r="AP640" s="556"/>
      <c r="AQ640" s="556"/>
      <c r="AR640" s="556"/>
      <c r="AS640" s="565"/>
      <c r="AT640" s="556"/>
      <c r="AU640" s="700"/>
    </row>
    <row r="641" spans="1:47" hidden="1" x14ac:dyDescent="0.45">
      <c r="A641" s="556"/>
      <c r="B641" s="556"/>
      <c r="C641" s="556"/>
      <c r="D641" s="564"/>
      <c r="E641" s="556"/>
      <c r="F641" s="564"/>
      <c r="G641" s="564"/>
      <c r="H641" s="564"/>
      <c r="I641" s="564"/>
      <c r="J641" s="564"/>
      <c r="K641" s="564"/>
      <c r="L641" s="564"/>
      <c r="M641" s="564"/>
      <c r="N641" s="564"/>
      <c r="O641" s="564"/>
      <c r="P641" s="564"/>
      <c r="Q641" s="564"/>
      <c r="R641" s="564"/>
      <c r="S641" s="564"/>
      <c r="T641" s="564"/>
      <c r="U641" s="564"/>
      <c r="V641" s="564"/>
      <c r="W641" s="564"/>
      <c r="X641" s="564"/>
      <c r="Y641" s="564"/>
      <c r="Z641" s="564"/>
      <c r="AA641" s="564"/>
      <c r="AB641" s="556"/>
      <c r="AC641" s="556"/>
      <c r="AD641" s="556"/>
      <c r="AE641" s="556"/>
      <c r="AF641" s="556"/>
      <c r="AG641" s="556"/>
      <c r="AH641" s="556"/>
      <c r="AI641" s="556"/>
      <c r="AJ641" s="556"/>
      <c r="AK641" s="556"/>
      <c r="AL641" s="556"/>
      <c r="AM641" s="556"/>
      <c r="AN641" s="556"/>
      <c r="AO641" s="556"/>
      <c r="AP641" s="556"/>
      <c r="AQ641" s="556"/>
      <c r="AR641" s="556"/>
      <c r="AS641" s="565"/>
      <c r="AT641" s="556"/>
      <c r="AU641" s="700"/>
    </row>
    <row r="642" spans="1:47" hidden="1" x14ac:dyDescent="0.45">
      <c r="A642" s="556"/>
      <c r="B642" s="556"/>
      <c r="C642" s="556"/>
      <c r="D642" s="564"/>
      <c r="E642" s="556"/>
      <c r="F642" s="564"/>
      <c r="G642" s="564"/>
      <c r="H642" s="564"/>
      <c r="I642" s="564"/>
      <c r="J642" s="564"/>
      <c r="K642" s="564"/>
      <c r="L642" s="564"/>
      <c r="M642" s="564"/>
      <c r="N642" s="564"/>
      <c r="O642" s="564"/>
      <c r="P642" s="564"/>
      <c r="Q642" s="564"/>
      <c r="R642" s="564"/>
      <c r="S642" s="564"/>
      <c r="T642" s="564"/>
      <c r="U642" s="564"/>
      <c r="V642" s="564"/>
      <c r="W642" s="564"/>
      <c r="X642" s="564"/>
      <c r="Y642" s="564"/>
      <c r="Z642" s="564"/>
      <c r="AA642" s="564"/>
      <c r="AB642" s="556"/>
      <c r="AC642" s="556"/>
      <c r="AD642" s="556"/>
      <c r="AE642" s="556"/>
      <c r="AF642" s="556"/>
      <c r="AG642" s="556"/>
      <c r="AH642" s="556"/>
      <c r="AI642" s="556"/>
      <c r="AJ642" s="556"/>
      <c r="AK642" s="556"/>
      <c r="AL642" s="556"/>
      <c r="AM642" s="556"/>
      <c r="AN642" s="556"/>
      <c r="AO642" s="556"/>
      <c r="AP642" s="556"/>
      <c r="AQ642" s="556"/>
      <c r="AR642" s="556"/>
      <c r="AS642" s="565"/>
      <c r="AT642" s="556"/>
      <c r="AU642" s="700"/>
    </row>
    <row r="643" spans="1:47" hidden="1" x14ac:dyDescent="0.45">
      <c r="A643" s="556"/>
      <c r="B643" s="556"/>
      <c r="C643" s="556"/>
      <c r="D643" s="564"/>
      <c r="E643" s="556"/>
      <c r="F643" s="564"/>
      <c r="G643" s="564"/>
      <c r="H643" s="564"/>
      <c r="I643" s="564"/>
      <c r="J643" s="564"/>
      <c r="K643" s="564"/>
      <c r="L643" s="564"/>
      <c r="M643" s="564"/>
      <c r="N643" s="564"/>
      <c r="O643" s="564"/>
      <c r="P643" s="564"/>
      <c r="Q643" s="564"/>
      <c r="R643" s="564"/>
      <c r="S643" s="564"/>
      <c r="T643" s="564"/>
      <c r="U643" s="564"/>
      <c r="V643" s="564"/>
      <c r="W643" s="564"/>
      <c r="X643" s="564"/>
      <c r="Y643" s="564"/>
      <c r="Z643" s="564"/>
      <c r="AA643" s="564"/>
      <c r="AB643" s="556"/>
      <c r="AC643" s="556"/>
      <c r="AD643" s="556"/>
      <c r="AE643" s="556"/>
      <c r="AF643" s="556"/>
      <c r="AG643" s="556"/>
      <c r="AH643" s="556"/>
      <c r="AI643" s="556"/>
      <c r="AJ643" s="556"/>
      <c r="AK643" s="556"/>
      <c r="AL643" s="556"/>
      <c r="AM643" s="556"/>
      <c r="AN643" s="556"/>
      <c r="AO643" s="556"/>
      <c r="AP643" s="556"/>
      <c r="AQ643" s="556"/>
      <c r="AR643" s="556"/>
      <c r="AS643" s="565"/>
      <c r="AT643" s="556"/>
      <c r="AU643" s="700"/>
    </row>
    <row r="644" spans="1:47" hidden="1" x14ac:dyDescent="0.45">
      <c r="A644" s="556"/>
      <c r="B644" s="556"/>
      <c r="C644" s="556"/>
      <c r="D644" s="564"/>
      <c r="E644" s="556"/>
      <c r="F644" s="564"/>
      <c r="G644" s="564"/>
      <c r="H644" s="564"/>
      <c r="I644" s="564"/>
      <c r="J644" s="564"/>
      <c r="K644" s="564"/>
      <c r="L644" s="564"/>
      <c r="M644" s="564"/>
      <c r="N644" s="564"/>
      <c r="O644" s="564"/>
      <c r="P644" s="564"/>
      <c r="Q644" s="564"/>
      <c r="R644" s="564"/>
      <c r="S644" s="564"/>
      <c r="T644" s="564"/>
      <c r="U644" s="564"/>
      <c r="V644" s="564"/>
      <c r="W644" s="564"/>
      <c r="X644" s="564"/>
      <c r="Y644" s="564"/>
      <c r="Z644" s="564"/>
      <c r="AA644" s="564"/>
      <c r="AB644" s="556"/>
      <c r="AC644" s="556"/>
      <c r="AD644" s="556"/>
      <c r="AE644" s="556"/>
      <c r="AF644" s="556"/>
      <c r="AG644" s="556"/>
      <c r="AH644" s="556"/>
      <c r="AI644" s="556"/>
      <c r="AJ644" s="556"/>
      <c r="AK644" s="556"/>
      <c r="AL644" s="556"/>
      <c r="AM644" s="556"/>
      <c r="AN644" s="556"/>
      <c r="AO644" s="556"/>
      <c r="AP644" s="556"/>
      <c r="AQ644" s="556"/>
      <c r="AR644" s="556"/>
      <c r="AS644" s="565"/>
      <c r="AT644" s="556"/>
      <c r="AU644" s="700"/>
    </row>
    <row r="645" spans="1:47" hidden="1" x14ac:dyDescent="0.45">
      <c r="A645" s="556"/>
      <c r="B645" s="556"/>
      <c r="C645" s="556"/>
      <c r="D645" s="564"/>
      <c r="E645" s="556"/>
      <c r="F645" s="564"/>
      <c r="G645" s="564"/>
      <c r="H645" s="564"/>
      <c r="I645" s="564"/>
      <c r="J645" s="564"/>
      <c r="K645" s="564"/>
      <c r="L645" s="564"/>
      <c r="M645" s="564"/>
      <c r="N645" s="564"/>
      <c r="O645" s="564"/>
      <c r="P645" s="564"/>
      <c r="Q645" s="564"/>
      <c r="R645" s="564"/>
      <c r="S645" s="564"/>
      <c r="T645" s="564"/>
      <c r="U645" s="564"/>
      <c r="V645" s="564"/>
      <c r="W645" s="564"/>
      <c r="X645" s="564"/>
      <c r="Y645" s="564"/>
      <c r="Z645" s="564"/>
      <c r="AA645" s="564"/>
      <c r="AB645" s="556"/>
      <c r="AC645" s="556"/>
      <c r="AD645" s="556"/>
      <c r="AE645" s="556"/>
      <c r="AF645" s="556"/>
      <c r="AG645" s="556"/>
      <c r="AH645" s="556"/>
      <c r="AI645" s="556"/>
      <c r="AJ645" s="556"/>
      <c r="AK645" s="556"/>
      <c r="AL645" s="556"/>
      <c r="AM645" s="556"/>
      <c r="AN645" s="556"/>
      <c r="AO645" s="556"/>
      <c r="AP645" s="556"/>
      <c r="AQ645" s="556"/>
      <c r="AR645" s="556"/>
      <c r="AS645" s="565"/>
      <c r="AT645" s="556"/>
    </row>
    <row r="646" spans="1:47" hidden="1" x14ac:dyDescent="0.45">
      <c r="A646" s="556"/>
      <c r="B646" s="556"/>
      <c r="C646" s="556"/>
      <c r="D646" s="564"/>
      <c r="E646" s="556"/>
      <c r="F646" s="564"/>
      <c r="G646" s="564"/>
      <c r="H646" s="564"/>
      <c r="I646" s="564"/>
      <c r="J646" s="564"/>
      <c r="K646" s="564"/>
      <c r="L646" s="564"/>
      <c r="M646" s="564"/>
      <c r="N646" s="564"/>
      <c r="O646" s="564"/>
      <c r="P646" s="564"/>
      <c r="Q646" s="564"/>
      <c r="R646" s="564"/>
      <c r="S646" s="564"/>
      <c r="T646" s="564"/>
      <c r="U646" s="564"/>
      <c r="V646" s="564"/>
      <c r="W646" s="564"/>
      <c r="X646" s="564"/>
      <c r="Y646" s="564"/>
      <c r="Z646" s="564"/>
      <c r="AA646" s="564"/>
      <c r="AB646" s="556"/>
      <c r="AC646" s="556"/>
      <c r="AD646" s="556"/>
      <c r="AE646" s="556"/>
      <c r="AF646" s="556"/>
      <c r="AG646" s="556"/>
      <c r="AH646" s="556"/>
      <c r="AI646" s="556"/>
      <c r="AJ646" s="556"/>
      <c r="AK646" s="556"/>
      <c r="AL646" s="556"/>
      <c r="AM646" s="556"/>
      <c r="AN646" s="556"/>
      <c r="AO646" s="556"/>
      <c r="AP646" s="556"/>
      <c r="AQ646" s="556"/>
      <c r="AR646" s="556"/>
      <c r="AS646" s="565"/>
      <c r="AT646" s="556"/>
    </row>
    <row r="647" spans="1:47" hidden="1" x14ac:dyDescent="0.45">
      <c r="A647" s="556"/>
      <c r="B647" s="556"/>
      <c r="C647" s="556"/>
      <c r="D647" s="564"/>
      <c r="E647" s="556"/>
      <c r="F647" s="564"/>
      <c r="G647" s="564"/>
      <c r="H647" s="564"/>
      <c r="I647" s="564"/>
      <c r="J647" s="564"/>
      <c r="K647" s="564"/>
      <c r="L647" s="564"/>
      <c r="M647" s="564"/>
      <c r="N647" s="564"/>
      <c r="O647" s="564"/>
      <c r="P647" s="564"/>
      <c r="Q647" s="564"/>
      <c r="R647" s="564"/>
      <c r="S647" s="564"/>
      <c r="T647" s="564"/>
      <c r="U647" s="564"/>
      <c r="V647" s="564"/>
      <c r="W647" s="564"/>
      <c r="X647" s="564"/>
      <c r="Y647" s="564"/>
      <c r="Z647" s="564"/>
      <c r="AA647" s="564"/>
      <c r="AB647" s="556"/>
      <c r="AC647" s="556"/>
      <c r="AD647" s="556"/>
      <c r="AE647" s="556"/>
      <c r="AF647" s="556"/>
      <c r="AG647" s="556"/>
      <c r="AH647" s="556"/>
      <c r="AI647" s="556"/>
      <c r="AJ647" s="556"/>
      <c r="AK647" s="556"/>
      <c r="AL647" s="556"/>
      <c r="AM647" s="556"/>
      <c r="AN647" s="556"/>
      <c r="AO647" s="556"/>
      <c r="AP647" s="556"/>
      <c r="AQ647" s="556"/>
      <c r="AR647" s="556"/>
      <c r="AS647" s="565"/>
      <c r="AT647" s="556"/>
    </row>
    <row r="648" spans="1:47" hidden="1" x14ac:dyDescent="0.45">
      <c r="A648" s="556"/>
      <c r="B648" s="556"/>
      <c r="C648" s="556"/>
      <c r="D648" s="564"/>
      <c r="E648" s="556"/>
      <c r="F648" s="564"/>
      <c r="G648" s="564"/>
      <c r="H648" s="564"/>
      <c r="I648" s="564"/>
      <c r="J648" s="564"/>
      <c r="K648" s="564"/>
      <c r="L648" s="564"/>
      <c r="M648" s="564"/>
      <c r="N648" s="564"/>
      <c r="O648" s="564"/>
      <c r="P648" s="564"/>
      <c r="Q648" s="564"/>
      <c r="R648" s="564"/>
      <c r="S648" s="564"/>
      <c r="T648" s="564"/>
      <c r="U648" s="564"/>
      <c r="V648" s="564"/>
      <c r="W648" s="564"/>
      <c r="X648" s="564"/>
      <c r="Y648" s="564"/>
      <c r="Z648" s="564"/>
      <c r="AA648" s="564"/>
      <c r="AB648" s="556"/>
      <c r="AC648" s="556"/>
      <c r="AD648" s="556"/>
      <c r="AE648" s="556"/>
      <c r="AF648" s="556"/>
      <c r="AG648" s="556"/>
      <c r="AH648" s="556"/>
      <c r="AI648" s="556"/>
      <c r="AJ648" s="556"/>
      <c r="AK648" s="556"/>
      <c r="AL648" s="556"/>
      <c r="AM648" s="556"/>
      <c r="AN648" s="556"/>
      <c r="AO648" s="556"/>
      <c r="AP648" s="556"/>
      <c r="AQ648" s="556"/>
      <c r="AR648" s="556"/>
      <c r="AS648" s="565"/>
      <c r="AT648" s="556"/>
    </row>
    <row r="649" spans="1:47" hidden="1" x14ac:dyDescent="0.45">
      <c r="A649" s="556"/>
      <c r="B649" s="556"/>
      <c r="C649" s="556"/>
      <c r="D649" s="564"/>
      <c r="E649" s="556"/>
      <c r="F649" s="564"/>
      <c r="G649" s="564"/>
      <c r="H649" s="564"/>
      <c r="I649" s="564"/>
      <c r="J649" s="564"/>
      <c r="K649" s="564"/>
      <c r="L649" s="564"/>
      <c r="M649" s="564"/>
      <c r="N649" s="564"/>
      <c r="O649" s="564"/>
      <c r="P649" s="564"/>
      <c r="Q649" s="564"/>
      <c r="R649" s="564"/>
      <c r="S649" s="564"/>
      <c r="T649" s="564"/>
      <c r="U649" s="564"/>
      <c r="V649" s="564"/>
      <c r="W649" s="564"/>
      <c r="X649" s="564"/>
      <c r="Y649" s="564"/>
      <c r="Z649" s="564"/>
      <c r="AA649" s="564"/>
      <c r="AB649" s="556"/>
      <c r="AC649" s="556"/>
      <c r="AD649" s="556"/>
      <c r="AE649" s="556"/>
      <c r="AF649" s="556"/>
      <c r="AG649" s="556"/>
      <c r="AH649" s="556"/>
      <c r="AI649" s="556"/>
      <c r="AJ649" s="556"/>
      <c r="AK649" s="556"/>
      <c r="AL649" s="556"/>
      <c r="AM649" s="556"/>
      <c r="AN649" s="556"/>
      <c r="AO649" s="556"/>
      <c r="AP649" s="556"/>
      <c r="AQ649" s="556"/>
      <c r="AR649" s="556"/>
      <c r="AS649" s="565"/>
      <c r="AT649" s="556"/>
    </row>
    <row r="650" spans="1:47" hidden="1" x14ac:dyDescent="0.45">
      <c r="A650" s="556"/>
      <c r="B650" s="556"/>
      <c r="C650" s="556"/>
      <c r="D650" s="564"/>
      <c r="E650" s="556"/>
      <c r="F650" s="564"/>
      <c r="G650" s="564"/>
      <c r="H650" s="564"/>
      <c r="I650" s="564"/>
      <c r="J650" s="564"/>
      <c r="K650" s="564"/>
      <c r="L650" s="564"/>
      <c r="M650" s="564"/>
      <c r="N650" s="564"/>
      <c r="O650" s="564"/>
      <c r="P650" s="564"/>
      <c r="Q650" s="564"/>
      <c r="R650" s="564"/>
      <c r="S650" s="564"/>
      <c r="T650" s="564"/>
      <c r="U650" s="564"/>
      <c r="V650" s="564"/>
      <c r="W650" s="564"/>
      <c r="X650" s="564"/>
      <c r="Y650" s="564"/>
      <c r="Z650" s="564"/>
      <c r="AA650" s="564"/>
      <c r="AB650" s="556"/>
      <c r="AC650" s="556"/>
      <c r="AD650" s="556"/>
      <c r="AE650" s="556"/>
      <c r="AF650" s="556"/>
      <c r="AG650" s="556"/>
      <c r="AH650" s="556"/>
      <c r="AI650" s="556"/>
      <c r="AJ650" s="556"/>
      <c r="AK650" s="556"/>
      <c r="AL650" s="556"/>
      <c r="AM650" s="556"/>
      <c r="AN650" s="556"/>
      <c r="AO650" s="556"/>
      <c r="AP650" s="556"/>
      <c r="AQ650" s="556"/>
      <c r="AR650" s="556"/>
      <c r="AS650" s="565"/>
      <c r="AT650" s="556"/>
    </row>
    <row r="651" spans="1:47" hidden="1" x14ac:dyDescent="0.45">
      <c r="A651" s="556"/>
      <c r="B651" s="556"/>
      <c r="C651" s="556"/>
      <c r="D651" s="564"/>
      <c r="E651" s="556"/>
      <c r="F651" s="564"/>
      <c r="G651" s="564"/>
      <c r="H651" s="564"/>
      <c r="I651" s="564"/>
      <c r="J651" s="564"/>
      <c r="K651" s="564"/>
      <c r="L651" s="564"/>
      <c r="M651" s="564"/>
      <c r="N651" s="564"/>
      <c r="O651" s="564"/>
      <c r="P651" s="564"/>
      <c r="Q651" s="564"/>
      <c r="R651" s="564"/>
      <c r="S651" s="564"/>
      <c r="T651" s="564"/>
      <c r="U651" s="564"/>
      <c r="V651" s="564"/>
      <c r="W651" s="564"/>
      <c r="X651" s="564"/>
      <c r="Y651" s="564"/>
      <c r="Z651" s="564"/>
      <c r="AA651" s="564"/>
      <c r="AB651" s="556"/>
      <c r="AC651" s="556"/>
      <c r="AD651" s="556"/>
      <c r="AE651" s="556"/>
      <c r="AF651" s="556"/>
      <c r="AG651" s="556"/>
      <c r="AH651" s="556"/>
      <c r="AI651" s="556"/>
      <c r="AJ651" s="556"/>
      <c r="AK651" s="556"/>
      <c r="AL651" s="556"/>
      <c r="AM651" s="556"/>
      <c r="AN651" s="556"/>
      <c r="AO651" s="556"/>
      <c r="AP651" s="556"/>
      <c r="AQ651" s="556"/>
      <c r="AR651" s="556"/>
      <c r="AS651" s="565"/>
      <c r="AT651" s="556"/>
    </row>
    <row r="652" spans="1:47" hidden="1" x14ac:dyDescent="0.45">
      <c r="A652" s="556"/>
      <c r="B652" s="556"/>
      <c r="C652" s="556"/>
      <c r="D652" s="564"/>
      <c r="E652" s="556"/>
      <c r="F652" s="564"/>
      <c r="G652" s="564"/>
      <c r="H652" s="564"/>
      <c r="I652" s="564"/>
      <c r="J652" s="564"/>
      <c r="K652" s="564"/>
      <c r="L652" s="564"/>
      <c r="M652" s="564"/>
      <c r="N652" s="564"/>
      <c r="O652" s="564"/>
      <c r="P652" s="564"/>
      <c r="Q652" s="564"/>
      <c r="R652" s="564"/>
      <c r="S652" s="564"/>
      <c r="T652" s="564"/>
      <c r="U652" s="564"/>
      <c r="V652" s="564"/>
      <c r="W652" s="564"/>
      <c r="X652" s="564"/>
      <c r="Y652" s="564"/>
      <c r="Z652" s="564"/>
      <c r="AA652" s="564"/>
      <c r="AB652" s="556"/>
      <c r="AC652" s="556"/>
      <c r="AD652" s="556"/>
      <c r="AE652" s="556"/>
      <c r="AF652" s="556"/>
      <c r="AG652" s="556"/>
      <c r="AH652" s="556"/>
      <c r="AI652" s="556"/>
      <c r="AJ652" s="556"/>
      <c r="AK652" s="556"/>
      <c r="AL652" s="556"/>
      <c r="AM652" s="556"/>
      <c r="AN652" s="556"/>
      <c r="AO652" s="556"/>
      <c r="AP652" s="556"/>
      <c r="AQ652" s="556"/>
      <c r="AR652" s="556"/>
      <c r="AS652" s="565"/>
      <c r="AT652" s="556"/>
    </row>
    <row r="653" spans="1:47" hidden="1" x14ac:dyDescent="0.45">
      <c r="A653" s="556"/>
      <c r="B653" s="556"/>
      <c r="C653" s="556"/>
      <c r="D653" s="564"/>
      <c r="E653" s="556"/>
      <c r="F653" s="564"/>
      <c r="G653" s="564"/>
      <c r="H653" s="564"/>
      <c r="I653" s="564"/>
      <c r="J653" s="564"/>
      <c r="K653" s="564"/>
      <c r="L653" s="564"/>
      <c r="M653" s="564"/>
      <c r="N653" s="564"/>
      <c r="O653" s="564"/>
      <c r="P653" s="564"/>
      <c r="Q653" s="564"/>
      <c r="R653" s="564"/>
      <c r="S653" s="564"/>
      <c r="T653" s="564"/>
      <c r="U653" s="564"/>
      <c r="V653" s="564"/>
      <c r="W653" s="564"/>
      <c r="X653" s="564"/>
      <c r="Y653" s="564"/>
      <c r="Z653" s="564"/>
      <c r="AA653" s="564"/>
      <c r="AB653" s="556"/>
      <c r="AC653" s="556"/>
      <c r="AD653" s="556"/>
      <c r="AE653" s="556"/>
      <c r="AF653" s="556"/>
      <c r="AG653" s="556"/>
      <c r="AH653" s="556"/>
      <c r="AI653" s="556"/>
      <c r="AJ653" s="556"/>
      <c r="AK653" s="556"/>
      <c r="AL653" s="556"/>
      <c r="AM653" s="556"/>
      <c r="AN653" s="556"/>
      <c r="AO653" s="556"/>
      <c r="AP653" s="556"/>
      <c r="AQ653" s="556"/>
      <c r="AR653" s="556"/>
      <c r="AS653" s="565"/>
      <c r="AT653" s="556"/>
    </row>
    <row r="654" spans="1:47" hidden="1" x14ac:dyDescent="0.45">
      <c r="A654" s="556"/>
      <c r="B654" s="556"/>
      <c r="C654" s="556"/>
      <c r="D654" s="564"/>
      <c r="E654" s="556"/>
      <c r="F654" s="564"/>
      <c r="G654" s="564"/>
      <c r="H654" s="564"/>
      <c r="I654" s="564"/>
      <c r="J654" s="564"/>
      <c r="K654" s="564"/>
      <c r="L654" s="564"/>
      <c r="M654" s="564"/>
      <c r="N654" s="564"/>
      <c r="O654" s="564"/>
      <c r="P654" s="564"/>
      <c r="Q654" s="564"/>
      <c r="R654" s="564"/>
      <c r="S654" s="564"/>
      <c r="T654" s="564"/>
      <c r="U654" s="564"/>
      <c r="V654" s="564"/>
      <c r="W654" s="564"/>
      <c r="X654" s="564"/>
      <c r="Y654" s="564"/>
      <c r="Z654" s="564"/>
      <c r="AA654" s="564"/>
      <c r="AB654" s="556"/>
      <c r="AC654" s="556"/>
      <c r="AD654" s="556"/>
      <c r="AE654" s="556"/>
      <c r="AF654" s="556"/>
      <c r="AG654" s="556"/>
      <c r="AH654" s="556"/>
      <c r="AI654" s="556"/>
      <c r="AJ654" s="556"/>
      <c r="AK654" s="556"/>
      <c r="AL654" s="556"/>
      <c r="AM654" s="556"/>
      <c r="AN654" s="556"/>
      <c r="AO654" s="556"/>
      <c r="AP654" s="556"/>
      <c r="AQ654" s="556"/>
      <c r="AR654" s="556"/>
      <c r="AS654" s="565"/>
      <c r="AT654" s="556"/>
    </row>
    <row r="655" spans="1:47" hidden="1" x14ac:dyDescent="0.45">
      <c r="A655" s="556"/>
      <c r="B655" s="556"/>
      <c r="C655" s="556"/>
      <c r="D655" s="564"/>
      <c r="E655" s="556"/>
      <c r="F655" s="564"/>
      <c r="G655" s="564"/>
      <c r="H655" s="564"/>
      <c r="I655" s="564"/>
      <c r="J655" s="564"/>
      <c r="K655" s="564"/>
      <c r="L655" s="564"/>
      <c r="M655" s="564"/>
      <c r="N655" s="564"/>
      <c r="O655" s="564"/>
      <c r="P655" s="564"/>
      <c r="Q655" s="564"/>
      <c r="R655" s="564"/>
      <c r="S655" s="564"/>
      <c r="T655" s="564"/>
      <c r="U655" s="564"/>
      <c r="V655" s="564"/>
      <c r="W655" s="564"/>
      <c r="X655" s="564"/>
      <c r="Y655" s="564"/>
      <c r="Z655" s="564"/>
      <c r="AA655" s="564"/>
      <c r="AB655" s="556"/>
      <c r="AC655" s="556"/>
      <c r="AD655" s="556"/>
      <c r="AE655" s="556"/>
      <c r="AF655" s="556"/>
      <c r="AG655" s="556"/>
      <c r="AH655" s="556"/>
      <c r="AI655" s="556"/>
      <c r="AJ655" s="556"/>
      <c r="AK655" s="556"/>
      <c r="AL655" s="556"/>
      <c r="AM655" s="556"/>
      <c r="AN655" s="556"/>
      <c r="AO655" s="556"/>
      <c r="AP655" s="556"/>
      <c r="AQ655" s="556"/>
      <c r="AR655" s="556"/>
      <c r="AS655" s="565"/>
      <c r="AT655" s="556"/>
    </row>
    <row r="656" spans="1:47" hidden="1" x14ac:dyDescent="0.45">
      <c r="A656" s="556"/>
      <c r="B656" s="556"/>
      <c r="C656" s="556"/>
      <c r="D656" s="564"/>
      <c r="E656" s="556"/>
      <c r="F656" s="564"/>
      <c r="G656" s="564"/>
      <c r="H656" s="564"/>
      <c r="I656" s="564"/>
      <c r="J656" s="564"/>
      <c r="K656" s="564"/>
      <c r="L656" s="564"/>
      <c r="M656" s="564"/>
      <c r="N656" s="564"/>
      <c r="O656" s="564"/>
      <c r="P656" s="564"/>
      <c r="Q656" s="564"/>
      <c r="R656" s="564"/>
      <c r="S656" s="564"/>
      <c r="T656" s="564"/>
      <c r="U656" s="564"/>
      <c r="V656" s="564"/>
      <c r="W656" s="564"/>
      <c r="X656" s="564"/>
      <c r="Y656" s="564"/>
      <c r="Z656" s="564"/>
      <c r="AA656" s="564"/>
      <c r="AB656" s="556"/>
      <c r="AC656" s="556"/>
      <c r="AD656" s="556"/>
      <c r="AE656" s="556"/>
      <c r="AF656" s="556"/>
      <c r="AG656" s="556"/>
      <c r="AH656" s="556"/>
      <c r="AI656" s="556"/>
      <c r="AJ656" s="556"/>
      <c r="AK656" s="556"/>
      <c r="AL656" s="556"/>
      <c r="AM656" s="556"/>
      <c r="AN656" s="556"/>
      <c r="AO656" s="556"/>
      <c r="AP656" s="556"/>
      <c r="AQ656" s="556"/>
      <c r="AR656" s="556"/>
      <c r="AS656" s="565"/>
      <c r="AT656" s="556"/>
    </row>
    <row r="657" spans="1:46" hidden="1" x14ac:dyDescent="0.45">
      <c r="A657" s="556"/>
      <c r="B657" s="556"/>
      <c r="C657" s="556"/>
      <c r="D657" s="564"/>
      <c r="E657" s="556"/>
      <c r="F657" s="564"/>
      <c r="G657" s="564"/>
      <c r="H657" s="564"/>
      <c r="I657" s="564"/>
      <c r="J657" s="564"/>
      <c r="K657" s="564"/>
      <c r="L657" s="564"/>
      <c r="M657" s="564"/>
      <c r="N657" s="564"/>
      <c r="O657" s="564"/>
      <c r="P657" s="564"/>
      <c r="Q657" s="564"/>
      <c r="R657" s="564"/>
      <c r="S657" s="564"/>
      <c r="T657" s="564"/>
      <c r="U657" s="564"/>
      <c r="V657" s="564"/>
      <c r="W657" s="564"/>
      <c r="X657" s="564"/>
      <c r="Y657" s="564"/>
      <c r="Z657" s="564"/>
      <c r="AA657" s="564"/>
      <c r="AB657" s="556"/>
      <c r="AC657" s="556"/>
      <c r="AD657" s="556"/>
      <c r="AE657" s="556"/>
      <c r="AF657" s="556"/>
      <c r="AG657" s="556"/>
      <c r="AH657" s="556"/>
      <c r="AI657" s="556"/>
      <c r="AJ657" s="556"/>
      <c r="AK657" s="556"/>
      <c r="AL657" s="556"/>
      <c r="AM657" s="556"/>
      <c r="AN657" s="556"/>
      <c r="AO657" s="556"/>
      <c r="AP657" s="556"/>
      <c r="AQ657" s="556"/>
      <c r="AR657" s="556"/>
      <c r="AS657" s="565"/>
      <c r="AT657" s="556"/>
    </row>
    <row r="658" spans="1:46" hidden="1" x14ac:dyDescent="0.45">
      <c r="A658" s="556"/>
      <c r="B658" s="556"/>
      <c r="C658" s="556"/>
      <c r="D658" s="564"/>
      <c r="E658" s="556"/>
      <c r="F658" s="564"/>
      <c r="G658" s="564"/>
      <c r="H658" s="564"/>
      <c r="I658" s="564"/>
      <c r="J658" s="564"/>
      <c r="K658" s="564"/>
      <c r="L658" s="564"/>
      <c r="M658" s="564"/>
      <c r="N658" s="564"/>
      <c r="O658" s="564"/>
      <c r="P658" s="564"/>
      <c r="Q658" s="564"/>
      <c r="R658" s="564"/>
      <c r="S658" s="564"/>
      <c r="T658" s="564"/>
      <c r="U658" s="564"/>
      <c r="V658" s="564"/>
      <c r="W658" s="564"/>
      <c r="X658" s="564"/>
      <c r="Y658" s="564"/>
      <c r="Z658" s="564"/>
      <c r="AA658" s="564"/>
      <c r="AB658" s="556"/>
      <c r="AC658" s="556"/>
      <c r="AD658" s="556"/>
      <c r="AE658" s="556"/>
      <c r="AF658" s="556"/>
      <c r="AG658" s="556"/>
      <c r="AH658" s="556"/>
      <c r="AI658" s="556"/>
      <c r="AJ658" s="556"/>
      <c r="AK658" s="556"/>
      <c r="AL658" s="556"/>
      <c r="AM658" s="556"/>
      <c r="AN658" s="556"/>
      <c r="AO658" s="556"/>
      <c r="AP658" s="556"/>
      <c r="AQ658" s="556"/>
      <c r="AR658" s="556"/>
      <c r="AS658" s="565"/>
      <c r="AT658" s="556"/>
    </row>
    <row r="659" spans="1:46" hidden="1" x14ac:dyDescent="0.45">
      <c r="A659" s="556"/>
      <c r="B659" s="556"/>
      <c r="C659" s="556"/>
      <c r="D659" s="564"/>
      <c r="E659" s="556"/>
      <c r="F659" s="564"/>
      <c r="G659" s="564"/>
      <c r="H659" s="564"/>
      <c r="I659" s="564"/>
      <c r="J659" s="564"/>
      <c r="K659" s="564"/>
      <c r="L659" s="564"/>
      <c r="M659" s="564"/>
      <c r="N659" s="564"/>
      <c r="O659" s="564"/>
      <c r="P659" s="564"/>
      <c r="Q659" s="564"/>
      <c r="R659" s="564"/>
      <c r="S659" s="564"/>
      <c r="T659" s="564"/>
      <c r="U659" s="564"/>
      <c r="V659" s="564"/>
      <c r="W659" s="564"/>
      <c r="X659" s="564"/>
      <c r="Y659" s="564"/>
      <c r="Z659" s="564"/>
      <c r="AA659" s="564"/>
      <c r="AB659" s="556"/>
      <c r="AC659" s="556"/>
      <c r="AD659" s="556"/>
      <c r="AE659" s="556"/>
      <c r="AF659" s="556"/>
      <c r="AG659" s="556"/>
      <c r="AH659" s="556"/>
      <c r="AI659" s="556"/>
      <c r="AJ659" s="556"/>
      <c r="AK659" s="556"/>
      <c r="AL659" s="556"/>
      <c r="AM659" s="556"/>
      <c r="AN659" s="556"/>
      <c r="AO659" s="556"/>
      <c r="AP659" s="556"/>
      <c r="AQ659" s="556"/>
      <c r="AR659" s="556"/>
      <c r="AS659" s="565"/>
      <c r="AT659" s="556"/>
    </row>
    <row r="660" spans="1:46" hidden="1" x14ac:dyDescent="0.45">
      <c r="A660" s="556"/>
      <c r="B660" s="556"/>
      <c r="C660" s="556"/>
      <c r="D660" s="564"/>
      <c r="E660" s="556"/>
      <c r="F660" s="564"/>
      <c r="G660" s="564"/>
      <c r="H660" s="564"/>
      <c r="I660" s="564"/>
      <c r="J660" s="564"/>
      <c r="K660" s="564"/>
      <c r="L660" s="564"/>
      <c r="M660" s="564"/>
      <c r="N660" s="564"/>
      <c r="O660" s="564"/>
      <c r="P660" s="564"/>
      <c r="Q660" s="564"/>
      <c r="R660" s="564"/>
      <c r="S660" s="564"/>
      <c r="T660" s="564"/>
      <c r="U660" s="564"/>
      <c r="V660" s="564"/>
      <c r="W660" s="564"/>
      <c r="X660" s="564"/>
      <c r="Y660" s="564"/>
      <c r="Z660" s="564"/>
      <c r="AA660" s="564"/>
      <c r="AB660" s="556"/>
      <c r="AC660" s="556"/>
      <c r="AD660" s="556"/>
      <c r="AE660" s="556"/>
      <c r="AF660" s="556"/>
      <c r="AG660" s="556"/>
      <c r="AH660" s="556"/>
      <c r="AI660" s="556"/>
      <c r="AJ660" s="556"/>
      <c r="AK660" s="556"/>
      <c r="AL660" s="556"/>
      <c r="AM660" s="556"/>
      <c r="AN660" s="556"/>
      <c r="AO660" s="556"/>
      <c r="AP660" s="556"/>
      <c r="AQ660" s="556"/>
      <c r="AR660" s="556"/>
      <c r="AS660" s="565"/>
      <c r="AT660" s="556"/>
    </row>
    <row r="661" spans="1:46" hidden="1" x14ac:dyDescent="0.45">
      <c r="A661" s="556"/>
      <c r="B661" s="556"/>
      <c r="C661" s="556"/>
      <c r="D661" s="564"/>
      <c r="E661" s="556"/>
      <c r="F661" s="564"/>
      <c r="G661" s="564"/>
      <c r="H661" s="564"/>
      <c r="I661" s="564"/>
      <c r="J661" s="564"/>
      <c r="K661" s="564"/>
      <c r="L661" s="564"/>
      <c r="M661" s="564"/>
      <c r="N661" s="564"/>
      <c r="O661" s="564"/>
      <c r="P661" s="564"/>
      <c r="Q661" s="564"/>
      <c r="R661" s="564"/>
      <c r="S661" s="564"/>
      <c r="T661" s="564"/>
      <c r="U661" s="564"/>
      <c r="V661" s="564"/>
      <c r="W661" s="564"/>
      <c r="X661" s="564"/>
      <c r="Y661" s="564"/>
      <c r="Z661" s="564"/>
      <c r="AA661" s="564"/>
      <c r="AB661" s="556"/>
      <c r="AC661" s="556"/>
      <c r="AD661" s="556"/>
      <c r="AE661" s="556"/>
      <c r="AF661" s="556"/>
      <c r="AG661" s="556"/>
      <c r="AH661" s="556"/>
      <c r="AI661" s="556"/>
      <c r="AJ661" s="556"/>
      <c r="AK661" s="556"/>
      <c r="AL661" s="556"/>
      <c r="AM661" s="556"/>
      <c r="AN661" s="556"/>
      <c r="AO661" s="556"/>
      <c r="AP661" s="556"/>
      <c r="AQ661" s="556"/>
      <c r="AR661" s="556"/>
      <c r="AS661" s="565"/>
      <c r="AT661" s="556"/>
    </row>
    <row r="662" spans="1:46" hidden="1" x14ac:dyDescent="0.45">
      <c r="A662" s="556"/>
      <c r="B662" s="556"/>
      <c r="C662" s="556"/>
      <c r="D662" s="564"/>
      <c r="E662" s="556"/>
      <c r="F662" s="564"/>
      <c r="G662" s="564"/>
      <c r="H662" s="564"/>
      <c r="I662" s="564"/>
      <c r="J662" s="564"/>
      <c r="K662" s="564"/>
      <c r="L662" s="564"/>
      <c r="M662" s="564"/>
      <c r="N662" s="564"/>
      <c r="O662" s="564"/>
      <c r="P662" s="564"/>
      <c r="Q662" s="564"/>
      <c r="R662" s="564"/>
      <c r="S662" s="564"/>
      <c r="T662" s="564"/>
      <c r="U662" s="564"/>
      <c r="V662" s="564"/>
      <c r="W662" s="564"/>
      <c r="X662" s="564"/>
      <c r="Y662" s="564"/>
      <c r="Z662" s="564"/>
      <c r="AA662" s="564"/>
      <c r="AB662" s="556"/>
      <c r="AC662" s="556"/>
      <c r="AD662" s="556"/>
      <c r="AE662" s="556"/>
      <c r="AF662" s="556"/>
      <c r="AG662" s="556"/>
      <c r="AH662" s="556"/>
      <c r="AI662" s="556"/>
      <c r="AJ662" s="556"/>
      <c r="AK662" s="556"/>
      <c r="AL662" s="556"/>
      <c r="AM662" s="556"/>
      <c r="AN662" s="556"/>
      <c r="AO662" s="556"/>
      <c r="AP662" s="556"/>
      <c r="AQ662" s="556"/>
      <c r="AR662" s="556"/>
      <c r="AS662" s="565"/>
      <c r="AT662" s="556"/>
    </row>
    <row r="663" spans="1:46" hidden="1" x14ac:dyDescent="0.45">
      <c r="A663" s="556"/>
      <c r="B663" s="556"/>
      <c r="C663" s="556"/>
      <c r="D663" s="564"/>
      <c r="E663" s="556"/>
      <c r="F663" s="564"/>
      <c r="G663" s="564"/>
      <c r="H663" s="564"/>
      <c r="I663" s="564"/>
      <c r="J663" s="564"/>
      <c r="K663" s="564"/>
      <c r="L663" s="564"/>
      <c r="M663" s="564"/>
      <c r="N663" s="564"/>
      <c r="O663" s="564"/>
      <c r="P663" s="564"/>
      <c r="Q663" s="564"/>
      <c r="R663" s="564"/>
      <c r="S663" s="564"/>
      <c r="T663" s="564"/>
      <c r="U663" s="564"/>
      <c r="V663" s="564"/>
      <c r="W663" s="564"/>
      <c r="X663" s="564"/>
      <c r="Y663" s="564"/>
      <c r="Z663" s="564"/>
      <c r="AA663" s="564"/>
      <c r="AB663" s="556"/>
      <c r="AC663" s="556"/>
      <c r="AD663" s="556"/>
      <c r="AE663" s="556"/>
      <c r="AF663" s="556"/>
      <c r="AG663" s="556"/>
      <c r="AH663" s="556"/>
      <c r="AI663" s="556"/>
      <c r="AJ663" s="556"/>
      <c r="AK663" s="556"/>
      <c r="AL663" s="556"/>
      <c r="AM663" s="556"/>
      <c r="AN663" s="556"/>
      <c r="AO663" s="556"/>
      <c r="AP663" s="556"/>
      <c r="AQ663" s="556"/>
      <c r="AR663" s="556"/>
      <c r="AS663" s="565"/>
      <c r="AT663" s="556"/>
    </row>
    <row r="664" spans="1:46" hidden="1" x14ac:dyDescent="0.45">
      <c r="A664" s="556"/>
      <c r="B664" s="556"/>
      <c r="C664" s="556"/>
      <c r="D664" s="564"/>
      <c r="E664" s="556"/>
      <c r="F664" s="564"/>
      <c r="G664" s="564"/>
      <c r="H664" s="564"/>
      <c r="I664" s="564"/>
      <c r="J664" s="564"/>
      <c r="K664" s="564"/>
      <c r="L664" s="564"/>
      <c r="M664" s="564"/>
      <c r="N664" s="564"/>
      <c r="O664" s="564"/>
      <c r="P664" s="564"/>
      <c r="Q664" s="564"/>
      <c r="R664" s="564"/>
      <c r="S664" s="564"/>
      <c r="T664" s="564"/>
      <c r="U664" s="564"/>
      <c r="V664" s="564"/>
      <c r="W664" s="564"/>
      <c r="X664" s="564"/>
      <c r="Y664" s="564"/>
      <c r="Z664" s="564"/>
      <c r="AA664" s="564"/>
      <c r="AB664" s="556"/>
      <c r="AC664" s="556"/>
      <c r="AD664" s="556"/>
      <c r="AE664" s="556"/>
      <c r="AF664" s="556"/>
      <c r="AG664" s="556"/>
      <c r="AH664" s="556"/>
      <c r="AI664" s="556"/>
      <c r="AJ664" s="556"/>
      <c r="AK664" s="556"/>
      <c r="AL664" s="556"/>
      <c r="AM664" s="556"/>
      <c r="AN664" s="556"/>
      <c r="AO664" s="556"/>
      <c r="AP664" s="556"/>
      <c r="AQ664" s="556"/>
      <c r="AR664" s="556"/>
      <c r="AS664" s="565"/>
      <c r="AT664" s="556"/>
    </row>
    <row r="665" spans="1:46" hidden="1" x14ac:dyDescent="0.45">
      <c r="A665" s="556"/>
      <c r="B665" s="556"/>
      <c r="C665" s="556"/>
      <c r="D665" s="564"/>
      <c r="E665" s="556"/>
      <c r="F665" s="564"/>
      <c r="G665" s="564"/>
      <c r="H665" s="564"/>
      <c r="I665" s="564"/>
      <c r="J665" s="564"/>
      <c r="K665" s="564"/>
      <c r="L665" s="564"/>
      <c r="M665" s="564"/>
      <c r="N665" s="564"/>
      <c r="O665" s="564"/>
      <c r="P665" s="564"/>
      <c r="Q665" s="564"/>
      <c r="R665" s="564"/>
      <c r="S665" s="564"/>
      <c r="T665" s="564"/>
      <c r="U665" s="564"/>
      <c r="V665" s="564"/>
      <c r="W665" s="564"/>
      <c r="X665" s="564"/>
      <c r="Y665" s="564"/>
      <c r="Z665" s="564"/>
      <c r="AA665" s="564"/>
      <c r="AB665" s="556"/>
      <c r="AC665" s="556"/>
      <c r="AD665" s="556"/>
      <c r="AE665" s="556"/>
      <c r="AF665" s="556"/>
      <c r="AG665" s="556"/>
      <c r="AH665" s="556"/>
      <c r="AI665" s="556"/>
      <c r="AJ665" s="556"/>
      <c r="AK665" s="556"/>
      <c r="AL665" s="556"/>
      <c r="AM665" s="556"/>
      <c r="AN665" s="556"/>
      <c r="AO665" s="556"/>
      <c r="AP665" s="556"/>
      <c r="AQ665" s="556"/>
      <c r="AR665" s="556"/>
      <c r="AS665" s="565"/>
      <c r="AT665" s="556"/>
    </row>
    <row r="666" spans="1:46" hidden="1" x14ac:dyDescent="0.45">
      <c r="A666" s="556"/>
      <c r="B666" s="556"/>
      <c r="C666" s="556"/>
      <c r="D666" s="564"/>
      <c r="E666" s="556"/>
      <c r="F666" s="564"/>
      <c r="G666" s="564"/>
      <c r="H666" s="564"/>
      <c r="I666" s="564"/>
      <c r="J666" s="564"/>
      <c r="K666" s="564"/>
      <c r="L666" s="564"/>
      <c r="M666" s="564"/>
      <c r="N666" s="564"/>
      <c r="O666" s="564"/>
      <c r="P666" s="564"/>
      <c r="Q666" s="564"/>
      <c r="R666" s="564"/>
      <c r="S666" s="564"/>
      <c r="T666" s="564"/>
      <c r="U666" s="564"/>
      <c r="V666" s="564"/>
      <c r="W666" s="564"/>
      <c r="X666" s="564"/>
      <c r="Y666" s="564"/>
      <c r="Z666" s="564"/>
      <c r="AA666" s="564"/>
      <c r="AB666" s="556"/>
      <c r="AC666" s="556"/>
      <c r="AD666" s="556"/>
      <c r="AE666" s="556"/>
      <c r="AF666" s="556"/>
      <c r="AG666" s="556"/>
      <c r="AH666" s="556"/>
      <c r="AI666" s="556"/>
      <c r="AJ666" s="556"/>
      <c r="AK666" s="556"/>
      <c r="AL666" s="556"/>
      <c r="AM666" s="556"/>
      <c r="AN666" s="556"/>
      <c r="AO666" s="556"/>
      <c r="AP666" s="556"/>
      <c r="AQ666" s="556"/>
      <c r="AR666" s="556"/>
      <c r="AS666" s="565"/>
      <c r="AT666" s="556"/>
    </row>
    <row r="667" spans="1:46" hidden="1" x14ac:dyDescent="0.45">
      <c r="A667" s="556"/>
      <c r="B667" s="556"/>
      <c r="C667" s="556"/>
      <c r="D667" s="564"/>
      <c r="E667" s="556"/>
      <c r="F667" s="564"/>
      <c r="G667" s="564"/>
      <c r="H667" s="564"/>
      <c r="I667" s="564"/>
      <c r="J667" s="564"/>
      <c r="K667" s="564"/>
      <c r="L667" s="564"/>
      <c r="M667" s="564"/>
      <c r="N667" s="564"/>
      <c r="O667" s="564"/>
      <c r="P667" s="564"/>
      <c r="Q667" s="564"/>
      <c r="R667" s="564"/>
      <c r="S667" s="564"/>
      <c r="T667" s="564"/>
      <c r="U667" s="564"/>
      <c r="V667" s="564"/>
      <c r="W667" s="564"/>
      <c r="X667" s="564"/>
      <c r="Y667" s="564"/>
      <c r="Z667" s="564"/>
      <c r="AA667" s="564"/>
      <c r="AB667" s="556"/>
      <c r="AC667" s="556"/>
      <c r="AD667" s="556"/>
      <c r="AE667" s="556"/>
      <c r="AF667" s="556"/>
      <c r="AG667" s="556"/>
      <c r="AH667" s="556"/>
      <c r="AI667" s="556"/>
      <c r="AJ667" s="556"/>
      <c r="AK667" s="556"/>
      <c r="AL667" s="556"/>
      <c r="AM667" s="556"/>
      <c r="AN667" s="556"/>
      <c r="AO667" s="556"/>
      <c r="AP667" s="556"/>
      <c r="AQ667" s="556"/>
      <c r="AR667" s="556"/>
      <c r="AS667" s="565"/>
      <c r="AT667" s="556"/>
    </row>
    <row r="668" spans="1:46" hidden="1" x14ac:dyDescent="0.45">
      <c r="A668" s="556"/>
      <c r="B668" s="556"/>
      <c r="C668" s="556"/>
      <c r="D668" s="564"/>
      <c r="E668" s="556"/>
      <c r="F668" s="564"/>
      <c r="G668" s="564"/>
      <c r="H668" s="564"/>
      <c r="I668" s="564"/>
      <c r="J668" s="564"/>
      <c r="K668" s="564"/>
      <c r="L668" s="564"/>
      <c r="M668" s="564"/>
      <c r="N668" s="564"/>
      <c r="O668" s="564"/>
      <c r="P668" s="564"/>
      <c r="Q668" s="564"/>
      <c r="R668" s="564"/>
      <c r="S668" s="564"/>
      <c r="T668" s="564"/>
      <c r="U668" s="564"/>
      <c r="V668" s="564"/>
      <c r="W668" s="564"/>
      <c r="X668" s="564"/>
      <c r="Y668" s="564"/>
      <c r="Z668" s="564"/>
      <c r="AA668" s="564"/>
      <c r="AB668" s="556"/>
      <c r="AC668" s="556"/>
      <c r="AD668" s="556"/>
      <c r="AE668" s="556"/>
      <c r="AF668" s="556"/>
      <c r="AG668" s="556"/>
      <c r="AH668" s="556"/>
      <c r="AI668" s="556"/>
      <c r="AJ668" s="556"/>
      <c r="AK668" s="556"/>
      <c r="AL668" s="556"/>
      <c r="AM668" s="556"/>
      <c r="AN668" s="556"/>
      <c r="AO668" s="556"/>
      <c r="AP668" s="556"/>
      <c r="AQ668" s="556"/>
      <c r="AR668" s="556"/>
      <c r="AS668" s="565"/>
      <c r="AT668" s="556"/>
    </row>
    <row r="669" spans="1:46" hidden="1" x14ac:dyDescent="0.45">
      <c r="A669" s="556"/>
      <c r="B669" s="556"/>
      <c r="C669" s="556"/>
      <c r="D669" s="564"/>
      <c r="E669" s="556"/>
      <c r="F669" s="564"/>
      <c r="G669" s="564"/>
      <c r="H669" s="564"/>
      <c r="I669" s="564"/>
      <c r="J669" s="564"/>
      <c r="K669" s="564"/>
      <c r="L669" s="564"/>
      <c r="M669" s="564"/>
      <c r="N669" s="564"/>
      <c r="O669" s="564"/>
      <c r="P669" s="564"/>
      <c r="Q669" s="564"/>
      <c r="R669" s="564"/>
      <c r="S669" s="564"/>
      <c r="T669" s="564"/>
      <c r="U669" s="564"/>
      <c r="V669" s="564"/>
      <c r="W669" s="564"/>
      <c r="X669" s="564"/>
      <c r="Y669" s="564"/>
      <c r="Z669" s="564"/>
      <c r="AA669" s="564"/>
      <c r="AB669" s="556"/>
      <c r="AC669" s="556"/>
      <c r="AD669" s="556"/>
      <c r="AE669" s="556"/>
      <c r="AF669" s="556"/>
      <c r="AG669" s="556"/>
      <c r="AH669" s="556"/>
      <c r="AI669" s="556"/>
      <c r="AJ669" s="556"/>
      <c r="AK669" s="556"/>
      <c r="AL669" s="556"/>
      <c r="AM669" s="556"/>
      <c r="AN669" s="556"/>
      <c r="AO669" s="556"/>
      <c r="AP669" s="556"/>
      <c r="AQ669" s="556"/>
      <c r="AR669" s="556"/>
      <c r="AS669" s="565"/>
      <c r="AT669" s="556"/>
    </row>
    <row r="670" spans="1:46" hidden="1" x14ac:dyDescent="0.45">
      <c r="A670" s="556"/>
      <c r="B670" s="556"/>
      <c r="C670" s="556"/>
      <c r="D670" s="564"/>
      <c r="E670" s="556"/>
      <c r="F670" s="564"/>
      <c r="G670" s="564"/>
      <c r="H670" s="564"/>
      <c r="I670" s="564"/>
      <c r="J670" s="564"/>
      <c r="K670" s="564"/>
      <c r="L670" s="564"/>
      <c r="M670" s="564"/>
      <c r="N670" s="564"/>
      <c r="O670" s="564"/>
      <c r="P670" s="564"/>
      <c r="Q670" s="564"/>
      <c r="R670" s="564"/>
      <c r="S670" s="564"/>
      <c r="T670" s="564"/>
      <c r="U670" s="564"/>
      <c r="V670" s="564"/>
      <c r="W670" s="564"/>
      <c r="X670" s="564"/>
      <c r="Y670" s="564"/>
      <c r="Z670" s="564"/>
      <c r="AA670" s="564"/>
      <c r="AB670" s="556"/>
      <c r="AC670" s="556"/>
      <c r="AD670" s="556"/>
      <c r="AE670" s="556"/>
      <c r="AF670" s="556"/>
      <c r="AG670" s="556"/>
      <c r="AH670" s="556"/>
      <c r="AI670" s="556"/>
      <c r="AJ670" s="556"/>
      <c r="AK670" s="556"/>
      <c r="AL670" s="556"/>
      <c r="AM670" s="556"/>
      <c r="AN670" s="556"/>
      <c r="AO670" s="556"/>
      <c r="AP670" s="556"/>
      <c r="AQ670" s="556"/>
      <c r="AR670" s="556"/>
      <c r="AS670" s="565"/>
      <c r="AT670" s="556"/>
    </row>
    <row r="671" spans="1:46" hidden="1" x14ac:dyDescent="0.45">
      <c r="A671" s="556"/>
      <c r="B671" s="556"/>
      <c r="C671" s="556"/>
      <c r="D671" s="564"/>
      <c r="E671" s="556"/>
      <c r="F671" s="564"/>
      <c r="G671" s="564"/>
      <c r="H671" s="564"/>
      <c r="I671" s="564"/>
      <c r="J671" s="564"/>
      <c r="K671" s="564"/>
      <c r="L671" s="564"/>
      <c r="M671" s="564"/>
      <c r="N671" s="564"/>
      <c r="O671" s="564"/>
      <c r="P671" s="564"/>
      <c r="Q671" s="564"/>
      <c r="R671" s="564"/>
      <c r="S671" s="564"/>
      <c r="T671" s="564"/>
      <c r="U671" s="564"/>
      <c r="V671" s="564"/>
      <c r="W671" s="564"/>
      <c r="X671" s="564"/>
      <c r="Y671" s="564"/>
      <c r="Z671" s="564"/>
      <c r="AA671" s="564"/>
      <c r="AB671" s="556"/>
      <c r="AC671" s="556"/>
      <c r="AD671" s="556"/>
      <c r="AE671" s="556"/>
      <c r="AF671" s="556"/>
      <c r="AG671" s="556"/>
      <c r="AH671" s="556"/>
      <c r="AI671" s="556"/>
      <c r="AJ671" s="556"/>
      <c r="AK671" s="556"/>
      <c r="AL671" s="556"/>
      <c r="AM671" s="556"/>
      <c r="AN671" s="556"/>
      <c r="AO671" s="556"/>
      <c r="AP671" s="556"/>
      <c r="AQ671" s="556"/>
      <c r="AR671" s="556"/>
      <c r="AS671" s="565"/>
      <c r="AT671" s="556"/>
    </row>
    <row r="672" spans="1:46" hidden="1" x14ac:dyDescent="0.45">
      <c r="A672" s="556"/>
      <c r="B672" s="556"/>
      <c r="C672" s="556"/>
      <c r="D672" s="564"/>
      <c r="E672" s="556"/>
      <c r="F672" s="564"/>
      <c r="G672" s="564"/>
      <c r="H672" s="564"/>
      <c r="I672" s="564"/>
      <c r="J672" s="564"/>
      <c r="K672" s="564"/>
      <c r="L672" s="564"/>
      <c r="M672" s="564"/>
      <c r="N672" s="564"/>
      <c r="O672" s="564"/>
      <c r="P672" s="564"/>
      <c r="Q672" s="564"/>
      <c r="R672" s="564"/>
      <c r="S672" s="564"/>
      <c r="T672" s="564"/>
      <c r="U672" s="564"/>
      <c r="V672" s="564"/>
      <c r="W672" s="564"/>
      <c r="X672" s="564"/>
      <c r="Y672" s="564"/>
      <c r="Z672" s="564"/>
      <c r="AA672" s="564"/>
      <c r="AB672" s="556"/>
      <c r="AC672" s="556"/>
      <c r="AD672" s="556"/>
      <c r="AE672" s="556"/>
      <c r="AF672" s="556"/>
      <c r="AG672" s="556"/>
      <c r="AH672" s="556"/>
      <c r="AI672" s="556"/>
      <c r="AJ672" s="556"/>
      <c r="AK672" s="556"/>
      <c r="AL672" s="556"/>
      <c r="AM672" s="556"/>
      <c r="AN672" s="556"/>
      <c r="AO672" s="556"/>
      <c r="AP672" s="556"/>
      <c r="AQ672" s="556"/>
      <c r="AR672" s="556"/>
      <c r="AS672" s="565"/>
      <c r="AT672" s="556"/>
    </row>
    <row r="673" spans="1:46" hidden="1" x14ac:dyDescent="0.45">
      <c r="A673" s="556"/>
      <c r="B673" s="556"/>
      <c r="C673" s="556"/>
      <c r="D673" s="564"/>
      <c r="E673" s="556"/>
      <c r="F673" s="564"/>
      <c r="G673" s="564"/>
      <c r="H673" s="564"/>
      <c r="I673" s="564"/>
      <c r="J673" s="564"/>
      <c r="K673" s="564"/>
      <c r="L673" s="564"/>
      <c r="M673" s="564"/>
      <c r="N673" s="564"/>
      <c r="O673" s="564"/>
      <c r="P673" s="564"/>
      <c r="Q673" s="564"/>
      <c r="R673" s="564"/>
      <c r="S673" s="564"/>
      <c r="T673" s="564"/>
      <c r="U673" s="564"/>
      <c r="V673" s="564"/>
      <c r="W673" s="564"/>
      <c r="X673" s="564"/>
      <c r="Y673" s="564"/>
      <c r="Z673" s="564"/>
      <c r="AA673" s="564"/>
      <c r="AB673" s="556"/>
      <c r="AC673" s="556"/>
      <c r="AD673" s="556"/>
      <c r="AE673" s="556"/>
      <c r="AF673" s="556"/>
      <c r="AG673" s="556"/>
      <c r="AH673" s="556"/>
      <c r="AI673" s="556"/>
      <c r="AJ673" s="556"/>
      <c r="AK673" s="556"/>
      <c r="AL673" s="556"/>
      <c r="AM673" s="556"/>
      <c r="AN673" s="556"/>
      <c r="AO673" s="556"/>
      <c r="AP673" s="556"/>
      <c r="AQ673" s="556"/>
      <c r="AR673" s="556"/>
      <c r="AS673" s="565"/>
      <c r="AT673" s="556"/>
    </row>
    <row r="674" spans="1:46" hidden="1" x14ac:dyDescent="0.45">
      <c r="A674" s="556"/>
      <c r="B674" s="556"/>
      <c r="C674" s="556"/>
      <c r="D674" s="564"/>
      <c r="E674" s="556"/>
      <c r="F674" s="564"/>
      <c r="G674" s="564"/>
      <c r="H674" s="564"/>
      <c r="I674" s="564"/>
      <c r="J674" s="564"/>
      <c r="K674" s="564"/>
      <c r="L674" s="564"/>
      <c r="M674" s="564"/>
      <c r="N674" s="564"/>
      <c r="O674" s="564"/>
      <c r="P674" s="564"/>
      <c r="Q674" s="564"/>
      <c r="R674" s="564"/>
      <c r="S674" s="564"/>
      <c r="T674" s="564"/>
      <c r="U674" s="564"/>
      <c r="V674" s="564"/>
      <c r="W674" s="564"/>
      <c r="X674" s="564"/>
      <c r="Y674" s="564"/>
      <c r="Z674" s="564"/>
      <c r="AA674" s="564"/>
      <c r="AB674" s="556"/>
      <c r="AC674" s="556"/>
      <c r="AD674" s="556"/>
      <c r="AE674" s="556"/>
      <c r="AF674" s="556"/>
      <c r="AG674" s="556"/>
      <c r="AH674" s="556"/>
      <c r="AI674" s="556"/>
      <c r="AJ674" s="556"/>
      <c r="AK674" s="556"/>
      <c r="AL674" s="556"/>
      <c r="AM674" s="556"/>
      <c r="AN674" s="556"/>
      <c r="AO674" s="556"/>
      <c r="AP674" s="556"/>
      <c r="AQ674" s="556"/>
      <c r="AR674" s="556"/>
      <c r="AS674" s="565"/>
      <c r="AT674" s="556"/>
    </row>
    <row r="675" spans="1:46" hidden="1" x14ac:dyDescent="0.45">
      <c r="A675" s="556"/>
      <c r="B675" s="556"/>
      <c r="C675" s="556"/>
      <c r="D675" s="564"/>
      <c r="E675" s="556"/>
      <c r="F675" s="564"/>
      <c r="G675" s="564"/>
      <c r="H675" s="564"/>
      <c r="I675" s="564"/>
      <c r="J675" s="564"/>
      <c r="K675" s="564"/>
      <c r="L675" s="564"/>
      <c r="M675" s="564"/>
      <c r="N675" s="564"/>
      <c r="O675" s="564"/>
      <c r="P675" s="564"/>
      <c r="Q675" s="564"/>
      <c r="R675" s="564"/>
      <c r="S675" s="564"/>
      <c r="T675" s="564"/>
      <c r="U675" s="564"/>
      <c r="V675" s="564"/>
      <c r="W675" s="564"/>
      <c r="X675" s="564"/>
      <c r="Y675" s="564"/>
      <c r="Z675" s="564"/>
      <c r="AA675" s="564"/>
      <c r="AB675" s="556"/>
      <c r="AC675" s="556"/>
      <c r="AD675" s="556"/>
      <c r="AE675" s="556"/>
      <c r="AF675" s="556"/>
      <c r="AG675" s="556"/>
      <c r="AH675" s="556"/>
      <c r="AI675" s="556"/>
      <c r="AJ675" s="556"/>
      <c r="AK675" s="556"/>
      <c r="AL675" s="556"/>
      <c r="AM675" s="556"/>
      <c r="AN675" s="556"/>
      <c r="AO675" s="556"/>
      <c r="AP675" s="556"/>
      <c r="AQ675" s="556"/>
      <c r="AR675" s="556"/>
      <c r="AS675" s="565"/>
      <c r="AT675" s="556"/>
    </row>
    <row r="676" spans="1:46" hidden="1" x14ac:dyDescent="0.45">
      <c r="A676" s="556"/>
      <c r="B676" s="556"/>
      <c r="C676" s="556"/>
      <c r="D676" s="564"/>
      <c r="E676" s="556"/>
      <c r="F676" s="564"/>
      <c r="G676" s="564"/>
      <c r="H676" s="564"/>
      <c r="I676" s="564"/>
      <c r="J676" s="564"/>
      <c r="K676" s="564"/>
      <c r="L676" s="564"/>
      <c r="M676" s="564"/>
      <c r="N676" s="564"/>
      <c r="O676" s="564"/>
      <c r="P676" s="564"/>
      <c r="Q676" s="564"/>
      <c r="R676" s="564"/>
      <c r="S676" s="564"/>
      <c r="T676" s="564"/>
      <c r="U676" s="564"/>
      <c r="V676" s="564"/>
      <c r="W676" s="564"/>
      <c r="X676" s="564"/>
      <c r="Y676" s="564"/>
      <c r="Z676" s="564"/>
      <c r="AA676" s="564"/>
      <c r="AB676" s="556"/>
      <c r="AC676" s="556"/>
      <c r="AD676" s="556"/>
      <c r="AE676" s="556"/>
      <c r="AF676" s="556"/>
      <c r="AG676" s="556"/>
      <c r="AH676" s="556"/>
      <c r="AI676" s="556"/>
      <c r="AJ676" s="556"/>
      <c r="AK676" s="556"/>
      <c r="AL676" s="556"/>
      <c r="AM676" s="556"/>
      <c r="AN676" s="556"/>
      <c r="AO676" s="556"/>
      <c r="AP676" s="556"/>
      <c r="AQ676" s="556"/>
      <c r="AR676" s="556"/>
      <c r="AS676" s="565"/>
      <c r="AT676" s="556"/>
    </row>
    <row r="677" spans="1:46" hidden="1" x14ac:dyDescent="0.45">
      <c r="A677" s="556"/>
      <c r="B677" s="556"/>
      <c r="C677" s="556"/>
      <c r="D677" s="564"/>
      <c r="E677" s="556"/>
      <c r="F677" s="564"/>
      <c r="G677" s="564"/>
      <c r="H677" s="564"/>
      <c r="I677" s="564"/>
      <c r="J677" s="564"/>
      <c r="K677" s="564"/>
      <c r="L677" s="564"/>
      <c r="M677" s="564"/>
      <c r="N677" s="564"/>
      <c r="O677" s="564"/>
      <c r="P677" s="564"/>
      <c r="Q677" s="564"/>
      <c r="R677" s="564"/>
      <c r="S677" s="564"/>
      <c r="T677" s="564"/>
      <c r="U677" s="564"/>
      <c r="V677" s="564"/>
      <c r="W677" s="564"/>
      <c r="X677" s="564"/>
      <c r="Y677" s="564"/>
      <c r="Z677" s="564"/>
      <c r="AA677" s="564"/>
      <c r="AB677" s="556"/>
      <c r="AC677" s="556"/>
      <c r="AD677" s="556"/>
      <c r="AE677" s="556"/>
      <c r="AF677" s="556"/>
      <c r="AG677" s="556"/>
      <c r="AH677" s="556"/>
      <c r="AI677" s="556"/>
      <c r="AJ677" s="556"/>
      <c r="AK677" s="556"/>
      <c r="AL677" s="556"/>
      <c r="AM677" s="556"/>
      <c r="AN677" s="556"/>
      <c r="AO677" s="556"/>
      <c r="AP677" s="556"/>
      <c r="AQ677" s="556"/>
      <c r="AR677" s="556"/>
      <c r="AS677" s="565"/>
      <c r="AT677" s="556"/>
    </row>
    <row r="678" spans="1:46" hidden="1" x14ac:dyDescent="0.45">
      <c r="A678" s="556"/>
      <c r="B678" s="556"/>
      <c r="C678" s="556"/>
      <c r="D678" s="564"/>
      <c r="E678" s="556"/>
      <c r="F678" s="564"/>
      <c r="G678" s="564"/>
      <c r="H678" s="564"/>
      <c r="I678" s="564"/>
      <c r="J678" s="564"/>
      <c r="K678" s="564"/>
      <c r="L678" s="564"/>
      <c r="M678" s="564"/>
      <c r="N678" s="564"/>
      <c r="O678" s="564"/>
      <c r="P678" s="564"/>
      <c r="Q678" s="564"/>
      <c r="R678" s="564"/>
      <c r="S678" s="564"/>
      <c r="T678" s="564"/>
      <c r="U678" s="564"/>
      <c r="V678" s="564"/>
      <c r="W678" s="564"/>
      <c r="X678" s="564"/>
      <c r="Y678" s="564"/>
      <c r="Z678" s="564"/>
      <c r="AA678" s="564"/>
      <c r="AB678" s="556"/>
      <c r="AC678" s="556"/>
      <c r="AD678" s="556"/>
      <c r="AE678" s="556"/>
      <c r="AF678" s="556"/>
      <c r="AG678" s="556"/>
      <c r="AH678" s="556"/>
      <c r="AI678" s="556"/>
      <c r="AJ678" s="556"/>
      <c r="AK678" s="556"/>
      <c r="AL678" s="556"/>
      <c r="AM678" s="556"/>
      <c r="AN678" s="556"/>
      <c r="AO678" s="556"/>
      <c r="AP678" s="556"/>
      <c r="AQ678" s="556"/>
      <c r="AR678" s="556"/>
      <c r="AS678" s="565"/>
      <c r="AT678" s="556"/>
    </row>
    <row r="679" spans="1:46" hidden="1" x14ac:dyDescent="0.45">
      <c r="A679" s="556"/>
      <c r="B679" s="556"/>
      <c r="C679" s="556"/>
      <c r="D679" s="564"/>
      <c r="E679" s="556"/>
      <c r="F679" s="564"/>
      <c r="G679" s="564"/>
      <c r="H679" s="564"/>
      <c r="I679" s="564"/>
      <c r="J679" s="564"/>
      <c r="K679" s="564"/>
      <c r="L679" s="564"/>
      <c r="M679" s="564"/>
      <c r="N679" s="564"/>
      <c r="O679" s="564"/>
      <c r="P679" s="564"/>
      <c r="Q679" s="564"/>
      <c r="R679" s="564"/>
      <c r="S679" s="564"/>
      <c r="T679" s="564"/>
      <c r="U679" s="564"/>
      <c r="V679" s="564"/>
      <c r="W679" s="564"/>
      <c r="X679" s="564"/>
      <c r="Y679" s="564"/>
      <c r="Z679" s="564"/>
      <c r="AA679" s="564"/>
      <c r="AB679" s="556"/>
      <c r="AC679" s="556"/>
      <c r="AD679" s="556"/>
      <c r="AE679" s="556"/>
      <c r="AF679" s="556"/>
      <c r="AG679" s="556"/>
      <c r="AH679" s="556"/>
      <c r="AI679" s="556"/>
      <c r="AJ679" s="556"/>
      <c r="AK679" s="556"/>
      <c r="AL679" s="556"/>
      <c r="AM679" s="556"/>
      <c r="AN679" s="556"/>
      <c r="AO679" s="556"/>
      <c r="AP679" s="556"/>
      <c r="AQ679" s="556"/>
      <c r="AR679" s="556"/>
      <c r="AS679" s="565"/>
      <c r="AT679" s="556"/>
    </row>
    <row r="680" spans="1:46" hidden="1" x14ac:dyDescent="0.45">
      <c r="A680" s="556"/>
      <c r="B680" s="556"/>
      <c r="C680" s="556"/>
      <c r="D680" s="564"/>
      <c r="E680" s="556"/>
      <c r="F680" s="564"/>
      <c r="G680" s="564"/>
      <c r="H680" s="564"/>
      <c r="I680" s="564"/>
      <c r="J680" s="564"/>
      <c r="K680" s="564"/>
      <c r="L680" s="564"/>
      <c r="M680" s="564"/>
      <c r="N680" s="564"/>
      <c r="O680" s="564"/>
      <c r="P680" s="564"/>
      <c r="Q680" s="564"/>
      <c r="R680" s="564"/>
      <c r="S680" s="564"/>
      <c r="T680" s="564"/>
      <c r="U680" s="564"/>
      <c r="V680" s="564"/>
      <c r="W680" s="564"/>
      <c r="X680" s="564"/>
      <c r="Y680" s="564"/>
      <c r="Z680" s="564"/>
      <c r="AA680" s="564"/>
      <c r="AB680" s="556"/>
      <c r="AC680" s="556"/>
      <c r="AD680" s="556"/>
      <c r="AE680" s="556"/>
      <c r="AF680" s="556"/>
      <c r="AG680" s="556"/>
      <c r="AH680" s="556"/>
      <c r="AI680" s="556"/>
      <c r="AJ680" s="556"/>
      <c r="AK680" s="556"/>
      <c r="AL680" s="556"/>
      <c r="AM680" s="556"/>
      <c r="AN680" s="556"/>
      <c r="AO680" s="556"/>
      <c r="AP680" s="556"/>
      <c r="AQ680" s="556"/>
      <c r="AR680" s="556"/>
      <c r="AS680" s="565"/>
      <c r="AT680" s="556"/>
    </row>
    <row r="681" spans="1:46" hidden="1" x14ac:dyDescent="0.45">
      <c r="A681" s="556"/>
      <c r="B681" s="556"/>
      <c r="C681" s="556"/>
      <c r="D681" s="564"/>
      <c r="E681" s="556"/>
      <c r="F681" s="564"/>
      <c r="G681" s="564"/>
      <c r="H681" s="564"/>
      <c r="I681" s="564"/>
      <c r="J681" s="564"/>
      <c r="K681" s="564"/>
      <c r="L681" s="564"/>
      <c r="M681" s="564"/>
      <c r="N681" s="564"/>
      <c r="O681" s="564"/>
      <c r="P681" s="564"/>
      <c r="Q681" s="564"/>
      <c r="R681" s="564"/>
      <c r="S681" s="564"/>
      <c r="T681" s="564"/>
      <c r="U681" s="564"/>
      <c r="V681" s="564"/>
      <c r="W681" s="564"/>
      <c r="X681" s="564"/>
      <c r="Y681" s="564"/>
      <c r="Z681" s="564"/>
      <c r="AA681" s="564"/>
      <c r="AB681" s="556"/>
      <c r="AC681" s="556"/>
      <c r="AD681" s="556"/>
      <c r="AE681" s="556"/>
      <c r="AF681" s="556"/>
      <c r="AG681" s="556"/>
      <c r="AH681" s="556"/>
      <c r="AI681" s="556"/>
      <c r="AJ681" s="556"/>
      <c r="AK681" s="556"/>
      <c r="AL681" s="556"/>
      <c r="AM681" s="556"/>
      <c r="AN681" s="556"/>
      <c r="AO681" s="556"/>
      <c r="AP681" s="556"/>
      <c r="AQ681" s="556"/>
      <c r="AR681" s="556"/>
      <c r="AS681" s="565"/>
      <c r="AT681" s="556"/>
    </row>
    <row r="682" spans="1:46" hidden="1" x14ac:dyDescent="0.45">
      <c r="A682" s="556"/>
      <c r="B682" s="556"/>
      <c r="C682" s="556"/>
      <c r="D682" s="564"/>
      <c r="E682" s="556"/>
      <c r="F682" s="564"/>
      <c r="G682" s="564"/>
      <c r="H682" s="564"/>
      <c r="I682" s="564"/>
      <c r="J682" s="564"/>
      <c r="K682" s="564"/>
      <c r="L682" s="564"/>
      <c r="M682" s="564"/>
      <c r="N682" s="564"/>
      <c r="O682" s="564"/>
      <c r="P682" s="564"/>
      <c r="Q682" s="564"/>
      <c r="R682" s="564"/>
      <c r="S682" s="564"/>
      <c r="T682" s="564"/>
      <c r="U682" s="564"/>
      <c r="V682" s="564"/>
      <c r="W682" s="564"/>
      <c r="X682" s="564"/>
      <c r="Y682" s="564"/>
      <c r="Z682" s="564"/>
      <c r="AA682" s="564"/>
      <c r="AB682" s="556"/>
      <c r="AC682" s="556"/>
      <c r="AD682" s="556"/>
      <c r="AE682" s="556"/>
      <c r="AF682" s="556"/>
      <c r="AG682" s="556"/>
      <c r="AH682" s="556"/>
      <c r="AI682" s="556"/>
      <c r="AJ682" s="556"/>
      <c r="AK682" s="556"/>
      <c r="AL682" s="556"/>
      <c r="AM682" s="556"/>
      <c r="AN682" s="556"/>
      <c r="AO682" s="556"/>
      <c r="AP682" s="556"/>
      <c r="AQ682" s="556"/>
      <c r="AR682" s="556"/>
      <c r="AS682" s="565"/>
      <c r="AT682" s="556"/>
    </row>
    <row r="683" spans="1:46" hidden="1" x14ac:dyDescent="0.45">
      <c r="A683" s="556"/>
      <c r="B683" s="556"/>
      <c r="C683" s="556"/>
      <c r="D683" s="564"/>
      <c r="E683" s="556"/>
      <c r="F683" s="564"/>
      <c r="G683" s="564"/>
      <c r="H683" s="564"/>
      <c r="I683" s="564"/>
      <c r="J683" s="564"/>
      <c r="K683" s="564"/>
      <c r="L683" s="564"/>
      <c r="M683" s="564"/>
      <c r="N683" s="564"/>
      <c r="O683" s="564"/>
      <c r="P683" s="564"/>
      <c r="Q683" s="564"/>
      <c r="R683" s="564"/>
      <c r="S683" s="564"/>
      <c r="T683" s="564"/>
      <c r="U683" s="564"/>
      <c r="V683" s="564"/>
      <c r="W683" s="564"/>
      <c r="X683" s="564"/>
      <c r="Y683" s="564"/>
      <c r="Z683" s="564"/>
      <c r="AA683" s="564"/>
      <c r="AB683" s="556"/>
      <c r="AC683" s="556"/>
      <c r="AD683" s="556"/>
      <c r="AE683" s="556"/>
      <c r="AF683" s="556"/>
      <c r="AG683" s="556"/>
      <c r="AH683" s="556"/>
      <c r="AI683" s="556"/>
      <c r="AJ683" s="556"/>
      <c r="AK683" s="556"/>
      <c r="AL683" s="556"/>
      <c r="AM683" s="556"/>
      <c r="AN683" s="556"/>
      <c r="AO683" s="556"/>
      <c r="AP683" s="556"/>
      <c r="AQ683" s="556"/>
      <c r="AR683" s="556"/>
      <c r="AS683" s="565"/>
      <c r="AT683" s="556"/>
    </row>
    <row r="684" spans="1:46" hidden="1" x14ac:dyDescent="0.45">
      <c r="A684" s="556"/>
      <c r="B684" s="556"/>
      <c r="C684" s="556"/>
      <c r="D684" s="564"/>
      <c r="E684" s="556"/>
      <c r="F684" s="564"/>
      <c r="G684" s="564"/>
      <c r="H684" s="564"/>
      <c r="I684" s="564"/>
      <c r="J684" s="564"/>
      <c r="K684" s="564"/>
      <c r="L684" s="564"/>
      <c r="M684" s="564"/>
      <c r="N684" s="564"/>
      <c r="O684" s="564"/>
      <c r="P684" s="564"/>
      <c r="Q684" s="564"/>
      <c r="R684" s="564"/>
      <c r="S684" s="564"/>
      <c r="T684" s="564"/>
      <c r="U684" s="564"/>
      <c r="V684" s="564"/>
      <c r="W684" s="564"/>
      <c r="X684" s="564"/>
      <c r="Y684" s="564"/>
      <c r="Z684" s="564"/>
      <c r="AA684" s="564"/>
      <c r="AB684" s="556"/>
      <c r="AC684" s="556"/>
      <c r="AD684" s="556"/>
      <c r="AE684" s="556"/>
      <c r="AF684" s="556"/>
      <c r="AG684" s="556"/>
      <c r="AH684" s="556"/>
      <c r="AI684" s="556"/>
      <c r="AJ684" s="556"/>
      <c r="AK684" s="556"/>
      <c r="AL684" s="556"/>
      <c r="AM684" s="556"/>
      <c r="AN684" s="556"/>
      <c r="AO684" s="556"/>
      <c r="AP684" s="556"/>
      <c r="AQ684" s="556"/>
      <c r="AR684" s="556"/>
      <c r="AS684" s="565"/>
      <c r="AT684" s="556"/>
    </row>
    <row r="685" spans="1:46" hidden="1" x14ac:dyDescent="0.45">
      <c r="A685" s="556"/>
      <c r="B685" s="556"/>
      <c r="C685" s="556"/>
      <c r="D685" s="564"/>
      <c r="E685" s="556"/>
      <c r="F685" s="564"/>
      <c r="G685" s="564"/>
      <c r="H685" s="564"/>
      <c r="I685" s="564"/>
      <c r="J685" s="564"/>
      <c r="K685" s="564"/>
      <c r="L685" s="564"/>
      <c r="M685" s="564"/>
      <c r="N685" s="564"/>
      <c r="O685" s="564"/>
      <c r="P685" s="564"/>
      <c r="Q685" s="564"/>
      <c r="R685" s="564"/>
      <c r="S685" s="564"/>
      <c r="T685" s="564"/>
      <c r="U685" s="564"/>
      <c r="V685" s="564"/>
      <c r="W685" s="564"/>
      <c r="X685" s="564"/>
      <c r="Y685" s="564"/>
      <c r="Z685" s="564"/>
      <c r="AA685" s="564"/>
      <c r="AB685" s="556"/>
      <c r="AC685" s="556"/>
      <c r="AD685" s="556"/>
      <c r="AE685" s="556"/>
      <c r="AF685" s="556"/>
      <c r="AG685" s="556"/>
      <c r="AH685" s="556"/>
      <c r="AI685" s="556"/>
      <c r="AJ685" s="556"/>
      <c r="AK685" s="556"/>
      <c r="AL685" s="556"/>
      <c r="AM685" s="556"/>
      <c r="AN685" s="556"/>
      <c r="AO685" s="556"/>
      <c r="AP685" s="556"/>
      <c r="AQ685" s="556"/>
      <c r="AR685" s="556"/>
      <c r="AS685" s="565"/>
      <c r="AT685" s="556"/>
    </row>
    <row r="686" spans="1:46" hidden="1" x14ac:dyDescent="0.45">
      <c r="A686" s="556"/>
      <c r="B686" s="556"/>
      <c r="C686" s="556"/>
      <c r="D686" s="564"/>
      <c r="E686" s="556"/>
      <c r="F686" s="564"/>
      <c r="G686" s="564"/>
      <c r="H686" s="564"/>
      <c r="I686" s="564"/>
      <c r="J686" s="564"/>
      <c r="K686" s="564"/>
      <c r="L686" s="564"/>
      <c r="M686" s="564"/>
      <c r="N686" s="564"/>
      <c r="O686" s="564"/>
      <c r="P686" s="564"/>
      <c r="Q686" s="564"/>
      <c r="R686" s="564"/>
      <c r="S686" s="564"/>
      <c r="T686" s="564"/>
      <c r="U686" s="564"/>
      <c r="V686" s="564"/>
      <c r="W686" s="564"/>
      <c r="X686" s="564"/>
      <c r="Y686" s="564"/>
      <c r="Z686" s="564"/>
      <c r="AA686" s="564"/>
      <c r="AB686" s="556"/>
      <c r="AC686" s="556"/>
      <c r="AD686" s="556"/>
      <c r="AE686" s="556"/>
      <c r="AF686" s="556"/>
      <c r="AG686" s="556"/>
      <c r="AH686" s="556"/>
      <c r="AI686" s="556"/>
      <c r="AJ686" s="556"/>
      <c r="AK686" s="556"/>
      <c r="AL686" s="556"/>
      <c r="AM686" s="556"/>
      <c r="AN686" s="556"/>
      <c r="AO686" s="556"/>
      <c r="AP686" s="556"/>
      <c r="AQ686" s="556"/>
      <c r="AR686" s="556"/>
      <c r="AS686" s="565"/>
      <c r="AT686" s="556"/>
    </row>
    <row r="687" spans="1:46" hidden="1" x14ac:dyDescent="0.45">
      <c r="A687" s="556"/>
      <c r="B687" s="556"/>
      <c r="C687" s="556"/>
      <c r="D687" s="564"/>
      <c r="E687" s="556"/>
      <c r="F687" s="564"/>
      <c r="G687" s="564"/>
      <c r="H687" s="564"/>
      <c r="I687" s="564"/>
      <c r="J687" s="564"/>
      <c r="K687" s="564"/>
      <c r="L687" s="564"/>
      <c r="M687" s="564"/>
      <c r="N687" s="564"/>
      <c r="O687" s="564"/>
      <c r="P687" s="564"/>
      <c r="Q687" s="564"/>
      <c r="R687" s="564"/>
      <c r="S687" s="564"/>
      <c r="T687" s="564"/>
      <c r="U687" s="564"/>
      <c r="V687" s="564"/>
      <c r="W687" s="564"/>
      <c r="X687" s="564"/>
      <c r="Y687" s="564"/>
      <c r="Z687" s="564"/>
      <c r="AA687" s="564"/>
      <c r="AB687" s="556"/>
      <c r="AC687" s="556"/>
      <c r="AD687" s="556"/>
      <c r="AE687" s="556"/>
      <c r="AF687" s="556"/>
      <c r="AG687" s="556"/>
      <c r="AH687" s="556"/>
      <c r="AI687" s="556"/>
      <c r="AJ687" s="556"/>
      <c r="AK687" s="556"/>
      <c r="AL687" s="556"/>
      <c r="AM687" s="556"/>
      <c r="AN687" s="556"/>
      <c r="AO687" s="556"/>
      <c r="AP687" s="556"/>
      <c r="AQ687" s="556"/>
      <c r="AR687" s="556"/>
      <c r="AS687" s="565"/>
      <c r="AT687" s="556"/>
    </row>
    <row r="688" spans="1:46" hidden="1" x14ac:dyDescent="0.45">
      <c r="A688" s="556"/>
      <c r="B688" s="556"/>
      <c r="C688" s="556"/>
      <c r="D688" s="564"/>
      <c r="E688" s="556"/>
      <c r="F688" s="564"/>
      <c r="G688" s="564"/>
      <c r="H688" s="564"/>
      <c r="I688" s="564"/>
      <c r="J688" s="564"/>
      <c r="K688" s="564"/>
      <c r="L688" s="564"/>
      <c r="M688" s="564"/>
      <c r="N688" s="564"/>
      <c r="O688" s="564"/>
      <c r="P688" s="564"/>
      <c r="Q688" s="564"/>
      <c r="R688" s="564"/>
      <c r="S688" s="564"/>
      <c r="T688" s="564"/>
      <c r="U688" s="564"/>
      <c r="V688" s="564"/>
      <c r="W688" s="564"/>
      <c r="X688" s="564"/>
      <c r="Y688" s="564"/>
      <c r="Z688" s="564"/>
      <c r="AA688" s="564"/>
      <c r="AB688" s="556"/>
      <c r="AC688" s="556"/>
      <c r="AD688" s="556"/>
      <c r="AE688" s="556"/>
      <c r="AF688" s="556"/>
      <c r="AG688" s="556"/>
      <c r="AH688" s="556"/>
      <c r="AI688" s="556"/>
      <c r="AJ688" s="556"/>
      <c r="AK688" s="556"/>
      <c r="AL688" s="556"/>
      <c r="AM688" s="556"/>
      <c r="AN688" s="556"/>
      <c r="AO688" s="556"/>
      <c r="AP688" s="556"/>
      <c r="AQ688" s="556"/>
      <c r="AR688" s="556"/>
      <c r="AS688" s="565"/>
      <c r="AT688" s="556"/>
    </row>
    <row r="689" spans="1:46" hidden="1" x14ac:dyDescent="0.45">
      <c r="A689" s="556"/>
      <c r="B689" s="556"/>
      <c r="C689" s="556"/>
      <c r="D689" s="564"/>
      <c r="E689" s="556"/>
      <c r="F689" s="564"/>
      <c r="G689" s="564"/>
      <c r="H689" s="564"/>
      <c r="I689" s="564"/>
      <c r="J689" s="564"/>
      <c r="K689" s="564"/>
      <c r="L689" s="564"/>
      <c r="M689" s="564"/>
      <c r="N689" s="564"/>
      <c r="O689" s="564"/>
      <c r="P689" s="564"/>
      <c r="Q689" s="564"/>
      <c r="R689" s="564"/>
      <c r="S689" s="564"/>
      <c r="T689" s="564"/>
      <c r="U689" s="564"/>
      <c r="V689" s="564"/>
      <c r="W689" s="564"/>
      <c r="X689" s="564"/>
      <c r="Y689" s="564"/>
      <c r="Z689" s="564"/>
      <c r="AA689" s="564"/>
      <c r="AB689" s="556"/>
      <c r="AC689" s="556"/>
      <c r="AD689" s="556"/>
      <c r="AE689" s="556"/>
      <c r="AF689" s="556"/>
      <c r="AG689" s="556"/>
      <c r="AH689" s="556"/>
      <c r="AI689" s="556"/>
      <c r="AJ689" s="556"/>
      <c r="AK689" s="556"/>
      <c r="AL689" s="556"/>
      <c r="AM689" s="556"/>
      <c r="AN689" s="556"/>
      <c r="AO689" s="556"/>
      <c r="AP689" s="556"/>
      <c r="AQ689" s="556"/>
      <c r="AR689" s="556"/>
      <c r="AS689" s="565"/>
      <c r="AT689" s="556"/>
    </row>
    <row r="690" spans="1:46" hidden="1" x14ac:dyDescent="0.45">
      <c r="A690" s="556"/>
      <c r="B690" s="556"/>
      <c r="C690" s="556"/>
      <c r="D690" s="564"/>
      <c r="E690" s="556"/>
      <c r="F690" s="564"/>
      <c r="G690" s="564"/>
      <c r="H690" s="564"/>
      <c r="I690" s="564"/>
      <c r="J690" s="564"/>
      <c r="K690" s="564"/>
      <c r="L690" s="564"/>
      <c r="M690" s="564"/>
      <c r="N690" s="564"/>
      <c r="O690" s="564"/>
      <c r="P690" s="564"/>
      <c r="Q690" s="564"/>
      <c r="R690" s="564"/>
      <c r="S690" s="564"/>
      <c r="T690" s="564"/>
      <c r="U690" s="564"/>
      <c r="V690" s="564"/>
      <c r="W690" s="564"/>
      <c r="X690" s="564"/>
      <c r="Y690" s="564"/>
      <c r="Z690" s="564"/>
      <c r="AA690" s="564"/>
      <c r="AB690" s="556"/>
      <c r="AC690" s="556"/>
      <c r="AD690" s="556"/>
      <c r="AE690" s="556"/>
      <c r="AF690" s="556"/>
      <c r="AG690" s="556"/>
      <c r="AH690" s="556"/>
      <c r="AI690" s="556"/>
      <c r="AJ690" s="556"/>
      <c r="AK690" s="556"/>
      <c r="AL690" s="556"/>
      <c r="AM690" s="556"/>
      <c r="AN690" s="556"/>
      <c r="AO690" s="556"/>
      <c r="AP690" s="556"/>
      <c r="AQ690" s="556"/>
      <c r="AR690" s="556"/>
      <c r="AS690" s="565"/>
      <c r="AT690" s="556"/>
    </row>
    <row r="691" spans="1:46" hidden="1" x14ac:dyDescent="0.45">
      <c r="A691" s="556"/>
      <c r="B691" s="556"/>
      <c r="C691" s="556"/>
      <c r="D691" s="564"/>
      <c r="E691" s="556"/>
      <c r="F691" s="564"/>
      <c r="G691" s="564"/>
      <c r="H691" s="564"/>
      <c r="I691" s="564"/>
      <c r="J691" s="564"/>
      <c r="K691" s="564"/>
      <c r="L691" s="564"/>
      <c r="M691" s="564"/>
      <c r="N691" s="564"/>
      <c r="O691" s="564"/>
      <c r="P691" s="564"/>
      <c r="Q691" s="564"/>
      <c r="R691" s="564"/>
      <c r="S691" s="564"/>
      <c r="T691" s="564"/>
      <c r="U691" s="564"/>
      <c r="V691" s="564"/>
      <c r="W691" s="564"/>
      <c r="X691" s="564"/>
      <c r="Y691" s="564"/>
      <c r="Z691" s="564"/>
      <c r="AA691" s="564"/>
      <c r="AB691" s="556"/>
      <c r="AC691" s="556"/>
      <c r="AD691" s="556"/>
      <c r="AE691" s="556"/>
      <c r="AF691" s="556"/>
      <c r="AG691" s="556"/>
      <c r="AH691" s="556"/>
      <c r="AI691" s="556"/>
      <c r="AJ691" s="556"/>
      <c r="AK691" s="556"/>
      <c r="AL691" s="556"/>
      <c r="AM691" s="556"/>
      <c r="AN691" s="556"/>
      <c r="AO691" s="556"/>
      <c r="AP691" s="556"/>
      <c r="AQ691" s="556"/>
      <c r="AR691" s="556"/>
      <c r="AS691" s="565"/>
      <c r="AT691" s="556"/>
    </row>
    <row r="692" spans="1:46" hidden="1" x14ac:dyDescent="0.45">
      <c r="A692" s="556"/>
      <c r="B692" s="556"/>
      <c r="C692" s="556"/>
      <c r="D692" s="564"/>
      <c r="E692" s="556"/>
      <c r="F692" s="564"/>
      <c r="G692" s="564"/>
      <c r="H692" s="564"/>
      <c r="I692" s="564"/>
      <c r="J692" s="564"/>
      <c r="K692" s="564"/>
      <c r="L692" s="564"/>
      <c r="M692" s="564"/>
      <c r="N692" s="564"/>
      <c r="O692" s="564"/>
      <c r="P692" s="564"/>
      <c r="Q692" s="564"/>
      <c r="R692" s="564"/>
      <c r="S692" s="564"/>
      <c r="T692" s="564"/>
      <c r="U692" s="564"/>
      <c r="V692" s="564"/>
      <c r="W692" s="564"/>
      <c r="X692" s="564"/>
      <c r="Y692" s="564"/>
      <c r="Z692" s="564"/>
      <c r="AA692" s="564"/>
      <c r="AB692" s="556"/>
      <c r="AC692" s="556"/>
      <c r="AD692" s="556"/>
      <c r="AE692" s="556"/>
      <c r="AF692" s="556"/>
      <c r="AG692" s="556"/>
      <c r="AH692" s="556"/>
      <c r="AI692" s="556"/>
      <c r="AJ692" s="556"/>
      <c r="AK692" s="556"/>
      <c r="AL692" s="556"/>
      <c r="AM692" s="556"/>
      <c r="AN692" s="556"/>
      <c r="AO692" s="556"/>
      <c r="AP692" s="556"/>
      <c r="AQ692" s="556"/>
      <c r="AR692" s="556"/>
      <c r="AS692" s="565"/>
      <c r="AT692" s="556"/>
    </row>
    <row r="693" spans="1:46" hidden="1" x14ac:dyDescent="0.45">
      <c r="A693" s="556"/>
      <c r="B693" s="556"/>
      <c r="C693" s="556"/>
      <c r="D693" s="564"/>
      <c r="E693" s="556"/>
      <c r="F693" s="564"/>
      <c r="G693" s="564"/>
      <c r="H693" s="564"/>
      <c r="I693" s="564"/>
      <c r="J693" s="564"/>
      <c r="K693" s="564"/>
      <c r="L693" s="564"/>
      <c r="M693" s="564"/>
      <c r="N693" s="564"/>
      <c r="O693" s="564"/>
      <c r="P693" s="564"/>
      <c r="Q693" s="564"/>
      <c r="R693" s="564"/>
      <c r="S693" s="564"/>
      <c r="T693" s="564"/>
      <c r="U693" s="564"/>
      <c r="V693" s="564"/>
      <c r="W693" s="564"/>
      <c r="X693" s="564"/>
      <c r="Y693" s="564"/>
      <c r="Z693" s="564"/>
      <c r="AA693" s="564"/>
      <c r="AB693" s="556"/>
      <c r="AC693" s="556"/>
      <c r="AD693" s="556"/>
      <c r="AE693" s="556"/>
      <c r="AF693" s="556"/>
      <c r="AG693" s="556"/>
      <c r="AH693" s="556"/>
      <c r="AI693" s="556"/>
      <c r="AJ693" s="556"/>
      <c r="AK693" s="556"/>
      <c r="AL693" s="556"/>
      <c r="AM693" s="556"/>
      <c r="AN693" s="556"/>
      <c r="AO693" s="556"/>
      <c r="AP693" s="556"/>
      <c r="AQ693" s="556"/>
      <c r="AR693" s="556"/>
      <c r="AS693" s="565"/>
      <c r="AT693" s="556"/>
    </row>
    <row r="694" spans="1:46" hidden="1" x14ac:dyDescent="0.45">
      <c r="A694" s="556"/>
      <c r="B694" s="556"/>
      <c r="C694" s="556"/>
      <c r="D694" s="564"/>
      <c r="E694" s="556"/>
      <c r="F694" s="564"/>
      <c r="G694" s="564"/>
      <c r="H694" s="564"/>
      <c r="I694" s="564"/>
      <c r="J694" s="564"/>
      <c r="K694" s="564"/>
      <c r="L694" s="564"/>
      <c r="M694" s="564"/>
      <c r="N694" s="564"/>
      <c r="O694" s="564"/>
      <c r="P694" s="564"/>
      <c r="Q694" s="564"/>
      <c r="R694" s="564"/>
      <c r="S694" s="564"/>
      <c r="T694" s="564"/>
      <c r="U694" s="564"/>
      <c r="V694" s="564"/>
      <c r="W694" s="564"/>
      <c r="X694" s="564"/>
      <c r="Y694" s="564"/>
      <c r="Z694" s="564"/>
      <c r="AA694" s="564"/>
      <c r="AB694" s="556"/>
      <c r="AC694" s="556"/>
      <c r="AD694" s="556"/>
      <c r="AE694" s="556"/>
      <c r="AF694" s="556"/>
      <c r="AG694" s="556"/>
      <c r="AH694" s="556"/>
      <c r="AI694" s="556"/>
      <c r="AJ694" s="556"/>
      <c r="AK694" s="556"/>
      <c r="AL694" s="556"/>
      <c r="AM694" s="556"/>
      <c r="AN694" s="556"/>
      <c r="AO694" s="556"/>
      <c r="AP694" s="556"/>
      <c r="AQ694" s="556"/>
      <c r="AR694" s="556"/>
      <c r="AS694" s="565"/>
      <c r="AT694" s="556"/>
    </row>
    <row r="695" spans="1:46" hidden="1" x14ac:dyDescent="0.45">
      <c r="A695" s="556"/>
      <c r="B695" s="556"/>
      <c r="C695" s="556"/>
      <c r="D695" s="564"/>
      <c r="E695" s="556"/>
      <c r="F695" s="564"/>
      <c r="G695" s="564"/>
      <c r="H695" s="564"/>
      <c r="I695" s="564"/>
      <c r="J695" s="564"/>
      <c r="K695" s="564"/>
      <c r="L695" s="564"/>
      <c r="M695" s="564"/>
      <c r="N695" s="564"/>
      <c r="O695" s="564"/>
      <c r="P695" s="564"/>
      <c r="Q695" s="564"/>
      <c r="R695" s="564"/>
      <c r="S695" s="564"/>
      <c r="T695" s="564"/>
      <c r="U695" s="564"/>
      <c r="V695" s="564"/>
      <c r="W695" s="564"/>
      <c r="X695" s="564"/>
      <c r="Y695" s="564"/>
      <c r="Z695" s="564"/>
      <c r="AA695" s="564"/>
      <c r="AB695" s="556"/>
      <c r="AC695" s="556"/>
      <c r="AD695" s="556"/>
      <c r="AE695" s="556"/>
      <c r="AF695" s="556"/>
      <c r="AG695" s="556"/>
      <c r="AH695" s="556"/>
      <c r="AI695" s="556"/>
      <c r="AJ695" s="556"/>
      <c r="AK695" s="556"/>
      <c r="AL695" s="556"/>
      <c r="AM695" s="556"/>
      <c r="AN695" s="556"/>
      <c r="AO695" s="556"/>
      <c r="AP695" s="556"/>
      <c r="AQ695" s="556"/>
      <c r="AR695" s="556"/>
      <c r="AS695" s="565"/>
      <c r="AT695" s="556"/>
    </row>
    <row r="696" spans="1:46" hidden="1" x14ac:dyDescent="0.45">
      <c r="A696" s="556"/>
      <c r="B696" s="556"/>
      <c r="C696" s="556"/>
      <c r="D696" s="564"/>
      <c r="E696" s="556"/>
      <c r="F696" s="564"/>
      <c r="G696" s="564"/>
      <c r="H696" s="564"/>
      <c r="I696" s="564"/>
      <c r="J696" s="564"/>
      <c r="K696" s="564"/>
      <c r="L696" s="564"/>
      <c r="M696" s="564"/>
      <c r="N696" s="564"/>
      <c r="O696" s="564"/>
      <c r="P696" s="564"/>
      <c r="Q696" s="564"/>
      <c r="R696" s="564"/>
      <c r="S696" s="564"/>
      <c r="T696" s="564"/>
      <c r="U696" s="564"/>
      <c r="V696" s="564"/>
      <c r="W696" s="564"/>
      <c r="X696" s="564"/>
      <c r="Y696" s="564"/>
      <c r="Z696" s="564"/>
      <c r="AA696" s="564"/>
      <c r="AB696" s="556"/>
      <c r="AC696" s="556"/>
      <c r="AD696" s="556"/>
      <c r="AE696" s="556"/>
      <c r="AF696" s="556"/>
      <c r="AG696" s="556"/>
      <c r="AH696" s="556"/>
      <c r="AI696" s="556"/>
      <c r="AJ696" s="556"/>
      <c r="AK696" s="556"/>
      <c r="AL696" s="556"/>
      <c r="AM696" s="556"/>
      <c r="AN696" s="556"/>
      <c r="AO696" s="556"/>
      <c r="AP696" s="556"/>
      <c r="AQ696" s="556"/>
      <c r="AR696" s="556"/>
      <c r="AS696" s="565"/>
      <c r="AT696" s="556"/>
    </row>
    <row r="697" spans="1:46" hidden="1" x14ac:dyDescent="0.45">
      <c r="A697" s="556"/>
      <c r="B697" s="556"/>
      <c r="C697" s="556"/>
      <c r="D697" s="564"/>
      <c r="E697" s="556"/>
      <c r="F697" s="564"/>
      <c r="G697" s="564"/>
      <c r="H697" s="564"/>
      <c r="I697" s="564"/>
      <c r="J697" s="564"/>
      <c r="K697" s="564"/>
      <c r="L697" s="564"/>
      <c r="M697" s="564"/>
      <c r="N697" s="564"/>
      <c r="O697" s="564"/>
      <c r="P697" s="564"/>
      <c r="Q697" s="564"/>
      <c r="R697" s="564"/>
      <c r="S697" s="564"/>
      <c r="T697" s="564"/>
      <c r="U697" s="564"/>
      <c r="V697" s="564"/>
      <c r="W697" s="564"/>
      <c r="X697" s="564"/>
      <c r="Y697" s="564"/>
      <c r="Z697" s="564"/>
      <c r="AA697" s="564"/>
      <c r="AB697" s="556"/>
      <c r="AC697" s="556"/>
      <c r="AD697" s="556"/>
      <c r="AE697" s="556"/>
      <c r="AF697" s="556"/>
      <c r="AG697" s="556"/>
      <c r="AH697" s="556"/>
      <c r="AI697" s="556"/>
      <c r="AJ697" s="556"/>
      <c r="AK697" s="556"/>
      <c r="AL697" s="556"/>
      <c r="AM697" s="556"/>
      <c r="AN697" s="556"/>
      <c r="AO697" s="556"/>
      <c r="AP697" s="556"/>
      <c r="AQ697" s="556"/>
      <c r="AR697" s="556"/>
      <c r="AS697" s="565"/>
      <c r="AT697" s="556"/>
    </row>
    <row r="698" spans="1:46" hidden="1" x14ac:dyDescent="0.45">
      <c r="A698" s="556"/>
      <c r="B698" s="556"/>
      <c r="C698" s="556"/>
      <c r="D698" s="564"/>
      <c r="E698" s="556"/>
      <c r="F698" s="564"/>
      <c r="G698" s="564"/>
      <c r="H698" s="564"/>
      <c r="I698" s="564"/>
      <c r="J698" s="564"/>
      <c r="K698" s="564"/>
      <c r="L698" s="564"/>
      <c r="M698" s="564"/>
      <c r="N698" s="564"/>
      <c r="O698" s="564"/>
      <c r="P698" s="564"/>
      <c r="Q698" s="564"/>
      <c r="R698" s="564"/>
      <c r="S698" s="564"/>
      <c r="T698" s="564"/>
      <c r="U698" s="564"/>
      <c r="V698" s="564"/>
      <c r="W698" s="564"/>
      <c r="X698" s="564"/>
      <c r="Y698" s="564"/>
      <c r="Z698" s="564"/>
      <c r="AA698" s="564"/>
      <c r="AB698" s="556"/>
      <c r="AC698" s="556"/>
      <c r="AD698" s="556"/>
      <c r="AE698" s="556"/>
      <c r="AF698" s="556"/>
      <c r="AG698" s="556"/>
      <c r="AH698" s="556"/>
      <c r="AI698" s="556"/>
      <c r="AJ698" s="556"/>
      <c r="AK698" s="556"/>
      <c r="AL698" s="556"/>
      <c r="AM698" s="556"/>
      <c r="AN698" s="556"/>
      <c r="AO698" s="556"/>
      <c r="AP698" s="556"/>
      <c r="AQ698" s="556"/>
      <c r="AR698" s="556"/>
      <c r="AS698" s="565"/>
      <c r="AT698" s="556"/>
    </row>
    <row r="699" spans="1:46" hidden="1" x14ac:dyDescent="0.45">
      <c r="A699" s="556"/>
      <c r="B699" s="556"/>
      <c r="C699" s="556"/>
      <c r="D699" s="564"/>
      <c r="E699" s="556"/>
      <c r="F699" s="564"/>
      <c r="G699" s="564"/>
      <c r="H699" s="564"/>
      <c r="I699" s="564"/>
      <c r="J699" s="564"/>
      <c r="K699" s="564"/>
      <c r="L699" s="564"/>
      <c r="M699" s="564"/>
      <c r="N699" s="564"/>
      <c r="O699" s="564"/>
      <c r="P699" s="564"/>
      <c r="Q699" s="564"/>
      <c r="R699" s="564"/>
      <c r="S699" s="564"/>
      <c r="T699" s="564"/>
      <c r="U699" s="564"/>
      <c r="V699" s="564"/>
      <c r="W699" s="564"/>
      <c r="X699" s="564"/>
      <c r="Y699" s="564"/>
      <c r="Z699" s="564"/>
      <c r="AA699" s="564"/>
      <c r="AB699" s="556"/>
      <c r="AC699" s="556"/>
      <c r="AD699" s="556"/>
      <c r="AE699" s="556"/>
      <c r="AF699" s="556"/>
      <c r="AG699" s="556"/>
      <c r="AH699" s="556"/>
      <c r="AI699" s="556"/>
      <c r="AJ699" s="556"/>
      <c r="AK699" s="556"/>
      <c r="AL699" s="556"/>
      <c r="AM699" s="556"/>
      <c r="AN699" s="556"/>
      <c r="AO699" s="556"/>
      <c r="AP699" s="556"/>
      <c r="AQ699" s="556"/>
      <c r="AR699" s="556"/>
      <c r="AS699" s="565"/>
      <c r="AT699" s="556"/>
    </row>
    <row r="700" spans="1:46" hidden="1" x14ac:dyDescent="0.45">
      <c r="A700" s="556"/>
      <c r="B700" s="556"/>
      <c r="C700" s="556"/>
      <c r="D700" s="564"/>
      <c r="E700" s="556"/>
      <c r="F700" s="564"/>
      <c r="G700" s="564"/>
      <c r="H700" s="564"/>
      <c r="I700" s="564"/>
      <c r="J700" s="564"/>
      <c r="K700" s="564"/>
      <c r="L700" s="564"/>
      <c r="M700" s="564"/>
      <c r="N700" s="564"/>
      <c r="O700" s="564"/>
      <c r="P700" s="564"/>
      <c r="Q700" s="564"/>
      <c r="R700" s="564"/>
      <c r="S700" s="564"/>
      <c r="T700" s="564"/>
      <c r="U700" s="564"/>
      <c r="V700" s="564"/>
      <c r="W700" s="564"/>
      <c r="X700" s="564"/>
      <c r="Y700" s="564"/>
      <c r="Z700" s="564"/>
      <c r="AA700" s="564"/>
      <c r="AB700" s="556"/>
      <c r="AC700" s="556"/>
      <c r="AD700" s="556"/>
      <c r="AE700" s="556"/>
      <c r="AF700" s="556"/>
      <c r="AG700" s="556"/>
      <c r="AH700" s="556"/>
      <c r="AI700" s="556"/>
      <c r="AJ700" s="556"/>
      <c r="AK700" s="556"/>
      <c r="AL700" s="556"/>
      <c r="AM700" s="556"/>
      <c r="AN700" s="556"/>
      <c r="AO700" s="556"/>
      <c r="AP700" s="556"/>
      <c r="AQ700" s="556"/>
      <c r="AR700" s="556"/>
      <c r="AS700" s="565"/>
      <c r="AT700" s="556"/>
    </row>
    <row r="701" spans="1:46" hidden="1" x14ac:dyDescent="0.45">
      <c r="A701" s="556"/>
      <c r="B701" s="556"/>
      <c r="C701" s="556"/>
      <c r="D701" s="564"/>
      <c r="E701" s="556"/>
      <c r="F701" s="564"/>
      <c r="G701" s="564"/>
      <c r="H701" s="564"/>
      <c r="I701" s="564"/>
      <c r="J701" s="564"/>
      <c r="K701" s="564"/>
      <c r="L701" s="564"/>
      <c r="M701" s="564"/>
      <c r="N701" s="564"/>
      <c r="O701" s="564"/>
      <c r="P701" s="564"/>
      <c r="Q701" s="564"/>
      <c r="R701" s="564"/>
      <c r="S701" s="564"/>
      <c r="T701" s="564"/>
      <c r="U701" s="564"/>
      <c r="V701" s="564"/>
      <c r="W701" s="564"/>
      <c r="X701" s="564"/>
      <c r="Y701" s="564"/>
      <c r="Z701" s="564"/>
      <c r="AA701" s="564"/>
      <c r="AB701" s="556"/>
      <c r="AC701" s="556"/>
      <c r="AD701" s="556"/>
      <c r="AE701" s="556"/>
      <c r="AF701" s="556"/>
      <c r="AG701" s="556"/>
      <c r="AH701" s="556"/>
      <c r="AI701" s="556"/>
      <c r="AJ701" s="556"/>
      <c r="AK701" s="556"/>
      <c r="AL701" s="556"/>
      <c r="AM701" s="556"/>
      <c r="AN701" s="556"/>
      <c r="AO701" s="556"/>
      <c r="AP701" s="556"/>
      <c r="AQ701" s="556"/>
      <c r="AR701" s="556"/>
      <c r="AS701" s="565"/>
      <c r="AT701" s="556"/>
    </row>
    <row r="702" spans="1:46" hidden="1" x14ac:dyDescent="0.45">
      <c r="A702" s="556"/>
      <c r="B702" s="556"/>
      <c r="C702" s="556"/>
      <c r="D702" s="564"/>
      <c r="E702" s="556"/>
      <c r="F702" s="564"/>
      <c r="G702" s="564"/>
      <c r="H702" s="564"/>
      <c r="I702" s="564"/>
      <c r="J702" s="564"/>
      <c r="K702" s="564"/>
      <c r="L702" s="564"/>
      <c r="M702" s="564"/>
      <c r="N702" s="564"/>
      <c r="O702" s="564"/>
      <c r="P702" s="564"/>
      <c r="Q702" s="564"/>
      <c r="R702" s="564"/>
      <c r="S702" s="564"/>
      <c r="T702" s="564"/>
      <c r="U702" s="564"/>
      <c r="V702" s="564"/>
      <c r="W702" s="564"/>
      <c r="X702" s="564"/>
      <c r="Y702" s="564"/>
      <c r="Z702" s="564"/>
      <c r="AA702" s="564"/>
      <c r="AB702" s="556"/>
      <c r="AC702" s="556"/>
      <c r="AD702" s="556"/>
      <c r="AE702" s="556"/>
      <c r="AF702" s="556"/>
      <c r="AG702" s="556"/>
      <c r="AH702" s="556"/>
      <c r="AI702" s="556"/>
      <c r="AJ702" s="556"/>
      <c r="AK702" s="556"/>
      <c r="AL702" s="556"/>
      <c r="AM702" s="556"/>
      <c r="AN702" s="556"/>
      <c r="AO702" s="556"/>
      <c r="AP702" s="556"/>
      <c r="AQ702" s="556"/>
      <c r="AR702" s="556"/>
      <c r="AS702" s="565"/>
      <c r="AT702" s="556"/>
    </row>
    <row r="703" spans="1:46" hidden="1" x14ac:dyDescent="0.45">
      <c r="A703" s="556"/>
      <c r="B703" s="556"/>
      <c r="C703" s="556"/>
      <c r="D703" s="564"/>
      <c r="E703" s="556"/>
      <c r="F703" s="564"/>
      <c r="G703" s="564"/>
      <c r="H703" s="564"/>
      <c r="I703" s="564"/>
      <c r="J703" s="564"/>
      <c r="K703" s="564"/>
      <c r="L703" s="564"/>
      <c r="M703" s="564"/>
      <c r="N703" s="564"/>
      <c r="O703" s="564"/>
      <c r="P703" s="564"/>
      <c r="Q703" s="564"/>
      <c r="R703" s="564"/>
      <c r="S703" s="564"/>
      <c r="T703" s="564"/>
      <c r="U703" s="564"/>
      <c r="V703" s="564"/>
      <c r="W703" s="564"/>
      <c r="X703" s="564"/>
      <c r="Y703" s="564"/>
      <c r="Z703" s="564"/>
      <c r="AA703" s="564"/>
      <c r="AB703" s="556"/>
      <c r="AC703" s="556"/>
      <c r="AD703" s="556"/>
      <c r="AE703" s="556"/>
      <c r="AF703" s="556"/>
      <c r="AG703" s="556"/>
      <c r="AH703" s="556"/>
      <c r="AI703" s="556"/>
      <c r="AJ703" s="556"/>
      <c r="AK703" s="556"/>
      <c r="AL703" s="556"/>
      <c r="AM703" s="556"/>
      <c r="AN703" s="556"/>
      <c r="AO703" s="556"/>
      <c r="AP703" s="556"/>
      <c r="AQ703" s="556"/>
      <c r="AR703" s="556"/>
      <c r="AS703" s="565"/>
      <c r="AT703" s="556"/>
    </row>
    <row r="704" spans="1:46" hidden="1" x14ac:dyDescent="0.45">
      <c r="A704" s="556"/>
      <c r="B704" s="556"/>
      <c r="C704" s="556"/>
      <c r="D704" s="564"/>
      <c r="E704" s="556"/>
      <c r="F704" s="564"/>
      <c r="G704" s="564"/>
      <c r="H704" s="564"/>
      <c r="I704" s="564"/>
      <c r="J704" s="564"/>
      <c r="K704" s="564"/>
      <c r="L704" s="564"/>
      <c r="M704" s="564"/>
      <c r="N704" s="564"/>
      <c r="O704" s="564"/>
      <c r="P704" s="564"/>
      <c r="Q704" s="564"/>
      <c r="R704" s="564"/>
      <c r="S704" s="564"/>
      <c r="T704" s="564"/>
      <c r="U704" s="564"/>
      <c r="V704" s="564"/>
      <c r="W704" s="564"/>
      <c r="X704" s="564"/>
      <c r="Y704" s="564"/>
      <c r="Z704" s="564"/>
      <c r="AA704" s="564"/>
      <c r="AB704" s="556"/>
      <c r="AC704" s="556"/>
      <c r="AD704" s="556"/>
      <c r="AE704" s="556"/>
      <c r="AF704" s="556"/>
      <c r="AG704" s="556"/>
      <c r="AH704" s="556"/>
      <c r="AI704" s="556"/>
      <c r="AJ704" s="556"/>
      <c r="AK704" s="556"/>
      <c r="AL704" s="556"/>
      <c r="AM704" s="556"/>
      <c r="AN704" s="556"/>
      <c r="AO704" s="556"/>
      <c r="AP704" s="556"/>
      <c r="AQ704" s="556"/>
      <c r="AR704" s="556"/>
      <c r="AS704" s="565"/>
      <c r="AT704" s="556"/>
    </row>
    <row r="705" spans="1:46" hidden="1" x14ac:dyDescent="0.45">
      <c r="A705" s="556"/>
      <c r="B705" s="556"/>
      <c r="C705" s="556"/>
      <c r="D705" s="564"/>
      <c r="E705" s="556"/>
      <c r="F705" s="564"/>
      <c r="G705" s="564"/>
      <c r="H705" s="564"/>
      <c r="I705" s="564"/>
      <c r="J705" s="564"/>
      <c r="K705" s="564"/>
      <c r="L705" s="564"/>
      <c r="M705" s="564"/>
      <c r="N705" s="564"/>
      <c r="O705" s="564"/>
      <c r="P705" s="564"/>
      <c r="Q705" s="564"/>
      <c r="R705" s="564"/>
      <c r="S705" s="564"/>
      <c r="T705" s="564"/>
      <c r="U705" s="564"/>
      <c r="V705" s="564"/>
      <c r="W705" s="564"/>
      <c r="X705" s="564"/>
      <c r="Y705" s="564"/>
      <c r="Z705" s="564"/>
      <c r="AA705" s="564"/>
      <c r="AB705" s="556"/>
      <c r="AC705" s="556"/>
      <c r="AD705" s="556"/>
      <c r="AE705" s="556"/>
      <c r="AF705" s="556"/>
      <c r="AG705" s="556"/>
      <c r="AH705" s="556"/>
      <c r="AI705" s="556"/>
      <c r="AJ705" s="556"/>
      <c r="AK705" s="556"/>
      <c r="AL705" s="556"/>
      <c r="AM705" s="556"/>
      <c r="AN705" s="556"/>
      <c r="AO705" s="556"/>
      <c r="AP705" s="556"/>
      <c r="AQ705" s="556"/>
      <c r="AR705" s="556"/>
      <c r="AS705" s="565"/>
      <c r="AT705" s="556"/>
    </row>
    <row r="706" spans="1:46" hidden="1" x14ac:dyDescent="0.45">
      <c r="A706" s="556"/>
      <c r="B706" s="556"/>
      <c r="C706" s="556"/>
      <c r="D706" s="564"/>
      <c r="E706" s="556"/>
      <c r="F706" s="564"/>
      <c r="G706" s="564"/>
      <c r="H706" s="564"/>
      <c r="I706" s="564"/>
      <c r="J706" s="564"/>
      <c r="K706" s="564"/>
      <c r="L706" s="564"/>
      <c r="M706" s="564"/>
      <c r="N706" s="564"/>
      <c r="O706" s="564"/>
      <c r="P706" s="564"/>
      <c r="Q706" s="564"/>
      <c r="R706" s="564"/>
      <c r="S706" s="564"/>
      <c r="T706" s="564"/>
      <c r="U706" s="564"/>
      <c r="V706" s="564"/>
      <c r="W706" s="564"/>
      <c r="X706" s="564"/>
      <c r="Y706" s="564"/>
      <c r="Z706" s="564"/>
      <c r="AA706" s="564"/>
      <c r="AB706" s="556"/>
      <c r="AC706" s="556"/>
      <c r="AD706" s="556"/>
      <c r="AE706" s="556"/>
      <c r="AF706" s="556"/>
      <c r="AG706" s="556"/>
      <c r="AH706" s="556"/>
      <c r="AI706" s="556"/>
      <c r="AJ706" s="556"/>
      <c r="AK706" s="556"/>
      <c r="AL706" s="556"/>
      <c r="AM706" s="556"/>
      <c r="AN706" s="556"/>
      <c r="AO706" s="556"/>
      <c r="AP706" s="556"/>
      <c r="AQ706" s="556"/>
      <c r="AR706" s="556"/>
      <c r="AS706" s="565"/>
      <c r="AT706" s="556"/>
    </row>
    <row r="707" spans="1:46" hidden="1" x14ac:dyDescent="0.45">
      <c r="A707" s="556"/>
      <c r="B707" s="556"/>
      <c r="C707" s="556"/>
      <c r="D707" s="564"/>
      <c r="E707" s="556"/>
      <c r="F707" s="564"/>
      <c r="G707" s="564"/>
      <c r="H707" s="564"/>
      <c r="I707" s="564"/>
      <c r="J707" s="564"/>
      <c r="K707" s="564"/>
      <c r="L707" s="564"/>
      <c r="M707" s="564"/>
      <c r="N707" s="564"/>
      <c r="O707" s="564"/>
      <c r="P707" s="564"/>
      <c r="Q707" s="564"/>
      <c r="R707" s="564"/>
      <c r="S707" s="564"/>
      <c r="T707" s="564"/>
      <c r="U707" s="564"/>
      <c r="V707" s="564"/>
      <c r="W707" s="564"/>
      <c r="X707" s="564"/>
      <c r="Y707" s="564"/>
      <c r="Z707" s="564"/>
      <c r="AA707" s="564"/>
      <c r="AB707" s="556"/>
      <c r="AC707" s="556"/>
      <c r="AD707" s="556"/>
      <c r="AE707" s="556"/>
      <c r="AF707" s="556"/>
      <c r="AG707" s="556"/>
      <c r="AH707" s="556"/>
      <c r="AI707" s="556"/>
      <c r="AJ707" s="556"/>
      <c r="AK707" s="556"/>
      <c r="AL707" s="556"/>
      <c r="AM707" s="556"/>
      <c r="AN707" s="556"/>
      <c r="AO707" s="556"/>
      <c r="AP707" s="556"/>
      <c r="AQ707" s="556"/>
      <c r="AR707" s="556"/>
      <c r="AS707" s="565"/>
      <c r="AT707" s="556"/>
    </row>
    <row r="708" spans="1:46" hidden="1" x14ac:dyDescent="0.45">
      <c r="A708" s="556"/>
      <c r="B708" s="556"/>
      <c r="C708" s="556"/>
      <c r="D708" s="564"/>
      <c r="E708" s="556"/>
      <c r="F708" s="564"/>
      <c r="G708" s="564"/>
      <c r="H708" s="564"/>
      <c r="I708" s="564"/>
      <c r="J708" s="564"/>
      <c r="K708" s="564"/>
      <c r="L708" s="564"/>
      <c r="M708" s="564"/>
      <c r="N708" s="564"/>
      <c r="O708" s="564"/>
      <c r="P708" s="564"/>
      <c r="Q708" s="564"/>
      <c r="R708" s="564"/>
      <c r="S708" s="564"/>
      <c r="T708" s="564"/>
      <c r="U708" s="564"/>
      <c r="V708" s="564"/>
      <c r="W708" s="564"/>
      <c r="X708" s="564"/>
      <c r="Y708" s="564"/>
      <c r="Z708" s="564"/>
      <c r="AA708" s="564"/>
      <c r="AB708" s="556"/>
      <c r="AC708" s="556"/>
      <c r="AD708" s="556"/>
      <c r="AE708" s="556"/>
      <c r="AF708" s="556"/>
      <c r="AG708" s="556"/>
      <c r="AH708" s="556"/>
      <c r="AI708" s="556"/>
      <c r="AJ708" s="556"/>
      <c r="AK708" s="556"/>
      <c r="AL708" s="556"/>
      <c r="AM708" s="556"/>
      <c r="AN708" s="556"/>
      <c r="AO708" s="556"/>
      <c r="AP708" s="556"/>
      <c r="AQ708" s="556"/>
      <c r="AR708" s="556"/>
      <c r="AS708" s="565"/>
      <c r="AT708" s="556"/>
    </row>
    <row r="709" spans="1:46" hidden="1" x14ac:dyDescent="0.45">
      <c r="A709" s="556"/>
      <c r="B709" s="556"/>
      <c r="C709" s="556"/>
      <c r="D709" s="564"/>
      <c r="E709" s="556"/>
      <c r="F709" s="564"/>
      <c r="G709" s="564"/>
      <c r="H709" s="564"/>
      <c r="I709" s="564"/>
      <c r="J709" s="564"/>
      <c r="K709" s="564"/>
      <c r="L709" s="564"/>
      <c r="M709" s="564"/>
      <c r="N709" s="564"/>
      <c r="O709" s="564"/>
      <c r="P709" s="564"/>
      <c r="Q709" s="564"/>
      <c r="R709" s="564"/>
      <c r="S709" s="564"/>
      <c r="T709" s="564"/>
      <c r="U709" s="564"/>
      <c r="V709" s="564"/>
      <c r="W709" s="564"/>
      <c r="X709" s="564"/>
      <c r="Y709" s="564"/>
      <c r="Z709" s="564"/>
      <c r="AA709" s="564"/>
      <c r="AB709" s="556"/>
      <c r="AC709" s="556"/>
      <c r="AD709" s="556"/>
      <c r="AE709" s="556"/>
      <c r="AF709" s="556"/>
      <c r="AG709" s="556"/>
      <c r="AH709" s="556"/>
      <c r="AI709" s="556"/>
      <c r="AJ709" s="556"/>
      <c r="AK709" s="556"/>
      <c r="AL709" s="556"/>
      <c r="AM709" s="556"/>
      <c r="AN709" s="556"/>
      <c r="AO709" s="556"/>
      <c r="AP709" s="556"/>
      <c r="AQ709" s="556"/>
      <c r="AR709" s="556"/>
      <c r="AS709" s="565"/>
      <c r="AT709" s="556"/>
    </row>
    <row r="710" spans="1:46" hidden="1" x14ac:dyDescent="0.45">
      <c r="A710" s="556"/>
      <c r="B710" s="556"/>
      <c r="C710" s="556"/>
      <c r="D710" s="564"/>
      <c r="E710" s="556"/>
      <c r="F710" s="564"/>
      <c r="G710" s="564"/>
      <c r="H710" s="564"/>
      <c r="I710" s="564"/>
      <c r="J710" s="564"/>
      <c r="K710" s="564"/>
      <c r="L710" s="564"/>
      <c r="M710" s="564"/>
      <c r="N710" s="564"/>
      <c r="O710" s="564"/>
      <c r="P710" s="564"/>
      <c r="Q710" s="564"/>
      <c r="R710" s="564"/>
      <c r="S710" s="564"/>
      <c r="T710" s="564"/>
      <c r="U710" s="564"/>
      <c r="V710" s="564"/>
      <c r="W710" s="564"/>
      <c r="X710" s="564"/>
      <c r="Y710" s="564"/>
      <c r="Z710" s="564"/>
      <c r="AA710" s="564"/>
      <c r="AB710" s="556"/>
      <c r="AC710" s="556"/>
      <c r="AD710" s="556"/>
      <c r="AE710" s="556"/>
      <c r="AF710" s="556"/>
      <c r="AG710" s="556"/>
      <c r="AH710" s="556"/>
      <c r="AI710" s="556"/>
      <c r="AJ710" s="556"/>
      <c r="AK710" s="556"/>
      <c r="AL710" s="556"/>
      <c r="AM710" s="556"/>
      <c r="AN710" s="556"/>
      <c r="AO710" s="556"/>
      <c r="AP710" s="556"/>
      <c r="AQ710" s="556"/>
      <c r="AR710" s="556"/>
      <c r="AS710" s="565"/>
      <c r="AT710" s="556"/>
    </row>
    <row r="711" spans="1:46" hidden="1" x14ac:dyDescent="0.45">
      <c r="A711" s="556"/>
      <c r="B711" s="556"/>
      <c r="C711" s="556"/>
      <c r="D711" s="564"/>
      <c r="E711" s="556"/>
      <c r="F711" s="564"/>
      <c r="G711" s="564"/>
      <c r="H711" s="564"/>
      <c r="I711" s="564"/>
      <c r="J711" s="564"/>
      <c r="K711" s="564"/>
      <c r="L711" s="564"/>
      <c r="M711" s="564"/>
      <c r="N711" s="564"/>
      <c r="O711" s="564"/>
      <c r="P711" s="564"/>
      <c r="Q711" s="564"/>
      <c r="R711" s="564"/>
      <c r="S711" s="564"/>
      <c r="T711" s="564"/>
      <c r="U711" s="564"/>
      <c r="V711" s="564"/>
      <c r="W711" s="564"/>
      <c r="X711" s="564"/>
      <c r="Y711" s="564"/>
      <c r="Z711" s="564"/>
      <c r="AA711" s="564"/>
      <c r="AB711" s="556"/>
      <c r="AC711" s="556"/>
      <c r="AD711" s="556"/>
      <c r="AE711" s="556"/>
      <c r="AF711" s="556"/>
      <c r="AG711" s="556"/>
      <c r="AH711" s="556"/>
      <c r="AI711" s="556"/>
      <c r="AJ711" s="556"/>
      <c r="AK711" s="556"/>
      <c r="AL711" s="556"/>
      <c r="AM711" s="556"/>
      <c r="AN711" s="556"/>
      <c r="AO711" s="556"/>
      <c r="AP711" s="556"/>
      <c r="AQ711" s="556"/>
      <c r="AR711" s="556"/>
      <c r="AS711" s="565"/>
      <c r="AT711" s="556"/>
    </row>
    <row r="712" spans="1:46" hidden="1" x14ac:dyDescent="0.45">
      <c r="A712" s="556"/>
      <c r="B712" s="556"/>
      <c r="C712" s="556"/>
      <c r="D712" s="564"/>
      <c r="E712" s="556"/>
      <c r="F712" s="564"/>
      <c r="G712" s="564"/>
      <c r="H712" s="564"/>
      <c r="I712" s="564"/>
      <c r="J712" s="564"/>
      <c r="K712" s="564"/>
      <c r="L712" s="564"/>
      <c r="M712" s="564"/>
      <c r="N712" s="564"/>
      <c r="O712" s="564"/>
      <c r="P712" s="564"/>
      <c r="Q712" s="564"/>
      <c r="R712" s="564"/>
      <c r="S712" s="564"/>
      <c r="T712" s="564"/>
      <c r="U712" s="564"/>
      <c r="V712" s="564"/>
      <c r="W712" s="564"/>
      <c r="X712" s="564"/>
      <c r="Y712" s="564"/>
      <c r="Z712" s="564"/>
      <c r="AA712" s="564"/>
      <c r="AB712" s="556"/>
      <c r="AC712" s="556"/>
      <c r="AD712" s="556"/>
      <c r="AE712" s="556"/>
      <c r="AF712" s="556"/>
      <c r="AG712" s="556"/>
      <c r="AH712" s="556"/>
      <c r="AI712" s="556"/>
      <c r="AJ712" s="556"/>
      <c r="AK712" s="556"/>
      <c r="AL712" s="556"/>
      <c r="AM712" s="556"/>
      <c r="AN712" s="556"/>
      <c r="AO712" s="556"/>
      <c r="AP712" s="556"/>
      <c r="AQ712" s="556"/>
      <c r="AR712" s="556"/>
      <c r="AS712" s="565"/>
      <c r="AT712" s="556"/>
    </row>
    <row r="713" spans="1:46" hidden="1" x14ac:dyDescent="0.45">
      <c r="A713" s="556"/>
      <c r="B713" s="556"/>
      <c r="C713" s="556"/>
      <c r="D713" s="564"/>
      <c r="E713" s="556"/>
      <c r="F713" s="564"/>
      <c r="G713" s="564"/>
      <c r="H713" s="564"/>
      <c r="I713" s="564"/>
      <c r="J713" s="564"/>
      <c r="K713" s="564"/>
      <c r="L713" s="564"/>
      <c r="M713" s="564"/>
      <c r="N713" s="564"/>
      <c r="O713" s="564"/>
      <c r="P713" s="564"/>
      <c r="Q713" s="564"/>
      <c r="R713" s="564"/>
      <c r="S713" s="564"/>
      <c r="T713" s="564"/>
      <c r="U713" s="564"/>
      <c r="V713" s="564"/>
      <c r="W713" s="564"/>
      <c r="X713" s="564"/>
      <c r="Y713" s="564"/>
      <c r="Z713" s="564"/>
      <c r="AA713" s="564"/>
      <c r="AB713" s="556"/>
      <c r="AC713" s="556"/>
      <c r="AD713" s="556"/>
      <c r="AE713" s="556"/>
      <c r="AF713" s="556"/>
      <c r="AG713" s="556"/>
      <c r="AH713" s="556"/>
      <c r="AI713" s="556"/>
      <c r="AJ713" s="556"/>
      <c r="AK713" s="556"/>
      <c r="AL713" s="556"/>
      <c r="AM713" s="556"/>
      <c r="AN713" s="556"/>
      <c r="AO713" s="556"/>
      <c r="AP713" s="556"/>
      <c r="AQ713" s="556"/>
      <c r="AR713" s="556"/>
      <c r="AS713" s="565"/>
      <c r="AT713" s="556"/>
    </row>
    <row r="714" spans="1:46" hidden="1" x14ac:dyDescent="0.45">
      <c r="A714" s="556"/>
      <c r="B714" s="556"/>
      <c r="C714" s="556"/>
      <c r="D714" s="564"/>
      <c r="E714" s="556"/>
      <c r="F714" s="564"/>
      <c r="G714" s="564"/>
      <c r="H714" s="564"/>
      <c r="I714" s="564"/>
      <c r="J714" s="564"/>
      <c r="K714" s="564"/>
      <c r="L714" s="564"/>
      <c r="M714" s="564"/>
      <c r="N714" s="564"/>
      <c r="O714" s="564"/>
      <c r="P714" s="564"/>
      <c r="Q714" s="564"/>
      <c r="R714" s="564"/>
      <c r="S714" s="564"/>
      <c r="T714" s="564"/>
      <c r="U714" s="564"/>
      <c r="V714" s="564"/>
      <c r="W714" s="564"/>
      <c r="X714" s="564"/>
      <c r="Y714" s="564"/>
      <c r="Z714" s="564"/>
      <c r="AA714" s="564"/>
      <c r="AB714" s="556"/>
      <c r="AC714" s="556"/>
      <c r="AD714" s="556"/>
      <c r="AE714" s="556"/>
      <c r="AF714" s="556"/>
      <c r="AG714" s="556"/>
      <c r="AH714" s="556"/>
      <c r="AI714" s="556"/>
      <c r="AJ714" s="556"/>
      <c r="AK714" s="556"/>
      <c r="AL714" s="556"/>
      <c r="AM714" s="556"/>
      <c r="AN714" s="556"/>
      <c r="AO714" s="556"/>
      <c r="AP714" s="556"/>
      <c r="AQ714" s="556"/>
      <c r="AR714" s="556"/>
      <c r="AS714" s="565"/>
      <c r="AT714" s="556"/>
    </row>
    <row r="715" spans="1:46" hidden="1" x14ac:dyDescent="0.45">
      <c r="A715" s="556"/>
      <c r="B715" s="556"/>
      <c r="C715" s="556"/>
      <c r="D715" s="564"/>
      <c r="E715" s="556"/>
      <c r="F715" s="564"/>
      <c r="G715" s="564"/>
      <c r="H715" s="564"/>
      <c r="I715" s="564"/>
      <c r="J715" s="564"/>
      <c r="K715" s="564"/>
      <c r="L715" s="564"/>
      <c r="M715" s="564"/>
      <c r="N715" s="564"/>
      <c r="O715" s="564"/>
      <c r="P715" s="564"/>
      <c r="Q715" s="564"/>
      <c r="R715" s="564"/>
      <c r="S715" s="564"/>
      <c r="T715" s="564"/>
      <c r="U715" s="564"/>
      <c r="V715" s="564"/>
      <c r="W715" s="564"/>
      <c r="X715" s="564"/>
      <c r="Y715" s="564"/>
      <c r="Z715" s="564"/>
      <c r="AA715" s="564"/>
      <c r="AB715" s="556"/>
      <c r="AC715" s="556"/>
      <c r="AD715" s="556"/>
      <c r="AE715" s="556"/>
      <c r="AF715" s="556"/>
      <c r="AG715" s="556"/>
      <c r="AH715" s="556"/>
      <c r="AI715" s="556"/>
      <c r="AJ715" s="556"/>
      <c r="AK715" s="556"/>
      <c r="AL715" s="556"/>
      <c r="AM715" s="556"/>
      <c r="AN715" s="556"/>
      <c r="AO715" s="556"/>
      <c r="AP715" s="556"/>
      <c r="AQ715" s="556"/>
      <c r="AR715" s="556"/>
      <c r="AS715" s="565"/>
      <c r="AT715" s="556"/>
    </row>
    <row r="716" spans="1:46" hidden="1" x14ac:dyDescent="0.45">
      <c r="A716" s="556"/>
      <c r="B716" s="556"/>
      <c r="C716" s="556"/>
      <c r="D716" s="564"/>
      <c r="E716" s="556"/>
      <c r="F716" s="564"/>
      <c r="G716" s="564"/>
      <c r="H716" s="564"/>
      <c r="I716" s="564"/>
      <c r="J716" s="564"/>
      <c r="K716" s="564"/>
      <c r="L716" s="564"/>
      <c r="M716" s="564"/>
      <c r="N716" s="564"/>
      <c r="O716" s="564"/>
      <c r="P716" s="564"/>
      <c r="Q716" s="564"/>
      <c r="R716" s="564"/>
      <c r="S716" s="564"/>
      <c r="T716" s="564"/>
      <c r="U716" s="564"/>
      <c r="V716" s="564"/>
      <c r="W716" s="564"/>
      <c r="X716" s="564"/>
      <c r="Y716" s="564"/>
      <c r="Z716" s="564"/>
      <c r="AA716" s="564"/>
      <c r="AB716" s="556"/>
      <c r="AC716" s="556"/>
      <c r="AD716" s="556"/>
      <c r="AE716" s="556"/>
      <c r="AF716" s="556"/>
      <c r="AG716" s="556"/>
      <c r="AH716" s="556"/>
      <c r="AI716" s="556"/>
      <c r="AJ716" s="556"/>
      <c r="AK716" s="556"/>
      <c r="AL716" s="556"/>
      <c r="AM716" s="556"/>
      <c r="AN716" s="556"/>
      <c r="AO716" s="556"/>
      <c r="AP716" s="556"/>
      <c r="AQ716" s="556"/>
      <c r="AR716" s="556"/>
      <c r="AS716" s="565"/>
      <c r="AT716" s="556"/>
    </row>
    <row r="717" spans="1:46" hidden="1" x14ac:dyDescent="0.45">
      <c r="A717" s="556"/>
      <c r="B717" s="556"/>
      <c r="C717" s="556"/>
      <c r="D717" s="564"/>
      <c r="E717" s="556"/>
      <c r="F717" s="564"/>
      <c r="G717" s="564"/>
      <c r="H717" s="564"/>
      <c r="I717" s="564"/>
      <c r="J717" s="564"/>
      <c r="K717" s="564"/>
      <c r="L717" s="564"/>
      <c r="M717" s="564"/>
      <c r="N717" s="564"/>
      <c r="O717" s="564"/>
      <c r="P717" s="564"/>
      <c r="Q717" s="564"/>
      <c r="R717" s="564"/>
      <c r="S717" s="564"/>
      <c r="T717" s="564"/>
      <c r="U717" s="564"/>
      <c r="V717" s="564"/>
      <c r="W717" s="564"/>
      <c r="X717" s="564"/>
      <c r="Y717" s="564"/>
      <c r="Z717" s="564"/>
      <c r="AA717" s="564"/>
      <c r="AB717" s="556"/>
      <c r="AC717" s="556"/>
      <c r="AD717" s="556"/>
      <c r="AE717" s="556"/>
      <c r="AF717" s="556"/>
      <c r="AG717" s="556"/>
      <c r="AH717" s="556"/>
      <c r="AI717" s="556"/>
      <c r="AJ717" s="556"/>
      <c r="AK717" s="556"/>
      <c r="AL717" s="556"/>
      <c r="AM717" s="556"/>
      <c r="AN717" s="556"/>
      <c r="AO717" s="556"/>
      <c r="AP717" s="556"/>
      <c r="AQ717" s="556"/>
      <c r="AR717" s="556"/>
      <c r="AS717" s="565"/>
      <c r="AT717" s="556"/>
    </row>
    <row r="718" spans="1:46" hidden="1" x14ac:dyDescent="0.45">
      <c r="A718" s="556"/>
      <c r="B718" s="556"/>
      <c r="C718" s="556"/>
      <c r="D718" s="564"/>
      <c r="E718" s="556"/>
      <c r="F718" s="564"/>
      <c r="G718" s="564"/>
      <c r="H718" s="564"/>
      <c r="I718" s="564"/>
      <c r="J718" s="564"/>
      <c r="K718" s="564"/>
      <c r="L718" s="564"/>
      <c r="M718" s="564"/>
      <c r="N718" s="564"/>
      <c r="O718" s="564"/>
      <c r="P718" s="564"/>
      <c r="Q718" s="564"/>
      <c r="R718" s="564"/>
      <c r="S718" s="564"/>
      <c r="T718" s="564"/>
      <c r="U718" s="564"/>
      <c r="V718" s="564"/>
      <c r="W718" s="564"/>
      <c r="X718" s="564"/>
      <c r="Y718" s="564"/>
      <c r="Z718" s="564"/>
      <c r="AA718" s="564"/>
      <c r="AB718" s="556"/>
      <c r="AC718" s="556"/>
      <c r="AD718" s="556"/>
      <c r="AE718" s="556"/>
      <c r="AF718" s="556"/>
      <c r="AG718" s="556"/>
      <c r="AH718" s="556"/>
      <c r="AI718" s="556"/>
      <c r="AJ718" s="556"/>
      <c r="AK718" s="556"/>
      <c r="AL718" s="556"/>
      <c r="AM718" s="556"/>
      <c r="AN718" s="556"/>
      <c r="AO718" s="556"/>
      <c r="AP718" s="556"/>
      <c r="AQ718" s="556"/>
      <c r="AR718" s="556"/>
      <c r="AS718" s="565"/>
      <c r="AT718" s="556"/>
    </row>
    <row r="719" spans="1:46" hidden="1" x14ac:dyDescent="0.45">
      <c r="A719" s="556"/>
      <c r="B719" s="556"/>
      <c r="C719" s="556"/>
      <c r="D719" s="564"/>
      <c r="E719" s="556"/>
      <c r="F719" s="564"/>
      <c r="G719" s="564"/>
      <c r="H719" s="564"/>
      <c r="I719" s="564"/>
      <c r="J719" s="564"/>
      <c r="K719" s="564"/>
      <c r="L719" s="564"/>
      <c r="M719" s="564"/>
      <c r="N719" s="564"/>
      <c r="O719" s="564"/>
      <c r="P719" s="564"/>
      <c r="Q719" s="564"/>
      <c r="R719" s="564"/>
      <c r="S719" s="564"/>
      <c r="T719" s="564"/>
      <c r="U719" s="564"/>
      <c r="V719" s="564"/>
      <c r="W719" s="564"/>
      <c r="X719" s="564"/>
      <c r="Y719" s="564"/>
      <c r="Z719" s="564"/>
      <c r="AA719" s="564"/>
      <c r="AB719" s="556"/>
      <c r="AC719" s="556"/>
      <c r="AD719" s="556"/>
      <c r="AE719" s="556"/>
      <c r="AF719" s="556"/>
      <c r="AG719" s="556"/>
      <c r="AH719" s="556"/>
      <c r="AI719" s="556"/>
      <c r="AJ719" s="556"/>
      <c r="AK719" s="556"/>
      <c r="AL719" s="556"/>
      <c r="AM719" s="556"/>
      <c r="AN719" s="556"/>
      <c r="AO719" s="556"/>
      <c r="AP719" s="556"/>
      <c r="AQ719" s="556"/>
      <c r="AR719" s="556"/>
      <c r="AS719" s="565"/>
      <c r="AT719" s="556"/>
    </row>
    <row r="720" spans="1:46" hidden="1" x14ac:dyDescent="0.45">
      <c r="A720" s="556"/>
      <c r="B720" s="556"/>
      <c r="C720" s="556"/>
      <c r="D720" s="564"/>
      <c r="E720" s="556"/>
      <c r="F720" s="564"/>
      <c r="G720" s="564"/>
      <c r="H720" s="564"/>
      <c r="I720" s="564"/>
      <c r="J720" s="564"/>
      <c r="K720" s="564"/>
      <c r="L720" s="564"/>
      <c r="M720" s="564"/>
      <c r="N720" s="564"/>
      <c r="O720" s="564"/>
      <c r="P720" s="564"/>
      <c r="Q720" s="564"/>
      <c r="R720" s="564"/>
      <c r="S720" s="564"/>
      <c r="T720" s="564"/>
      <c r="U720" s="564"/>
      <c r="V720" s="564"/>
      <c r="W720" s="564"/>
      <c r="X720" s="564"/>
      <c r="Y720" s="564"/>
      <c r="Z720" s="564"/>
      <c r="AA720" s="564"/>
      <c r="AB720" s="556"/>
      <c r="AC720" s="556"/>
      <c r="AD720" s="556"/>
      <c r="AE720" s="556"/>
      <c r="AF720" s="556"/>
      <c r="AG720" s="556"/>
      <c r="AH720" s="556"/>
      <c r="AI720" s="556"/>
      <c r="AJ720" s="556"/>
      <c r="AK720" s="556"/>
      <c r="AL720" s="556"/>
      <c r="AM720" s="556"/>
      <c r="AN720" s="556"/>
      <c r="AO720" s="556"/>
      <c r="AP720" s="556"/>
      <c r="AQ720" s="556"/>
      <c r="AR720" s="556"/>
      <c r="AS720" s="565"/>
      <c r="AT720" s="556"/>
    </row>
    <row r="721" spans="1:46" hidden="1" x14ac:dyDescent="0.45">
      <c r="A721" s="556"/>
      <c r="B721" s="556"/>
      <c r="C721" s="556"/>
      <c r="D721" s="564"/>
      <c r="E721" s="556"/>
      <c r="F721" s="564"/>
      <c r="G721" s="564"/>
      <c r="H721" s="564"/>
      <c r="I721" s="564"/>
      <c r="J721" s="564"/>
      <c r="K721" s="564"/>
      <c r="L721" s="564"/>
      <c r="M721" s="564"/>
      <c r="N721" s="564"/>
      <c r="O721" s="564"/>
      <c r="P721" s="564"/>
      <c r="Q721" s="564"/>
      <c r="R721" s="564"/>
      <c r="S721" s="564"/>
      <c r="T721" s="564"/>
      <c r="U721" s="564"/>
      <c r="V721" s="564"/>
      <c r="W721" s="564"/>
      <c r="X721" s="564"/>
      <c r="Y721" s="564"/>
      <c r="Z721" s="564"/>
      <c r="AA721" s="564"/>
      <c r="AB721" s="556"/>
      <c r="AC721" s="556"/>
      <c r="AD721" s="556"/>
      <c r="AE721" s="556"/>
      <c r="AF721" s="556"/>
      <c r="AG721" s="556"/>
      <c r="AH721" s="556"/>
      <c r="AI721" s="556"/>
      <c r="AJ721" s="556"/>
      <c r="AK721" s="556"/>
      <c r="AL721" s="556"/>
      <c r="AM721" s="556"/>
      <c r="AN721" s="556"/>
      <c r="AO721" s="556"/>
      <c r="AP721" s="556"/>
      <c r="AQ721" s="556"/>
      <c r="AR721" s="556"/>
      <c r="AS721" s="565"/>
      <c r="AT721" s="556"/>
    </row>
    <row r="722" spans="1:46" hidden="1" x14ac:dyDescent="0.45">
      <c r="A722" s="556"/>
      <c r="B722" s="556"/>
      <c r="C722" s="556"/>
      <c r="D722" s="564"/>
      <c r="E722" s="556"/>
      <c r="F722" s="564"/>
      <c r="G722" s="564"/>
      <c r="H722" s="564"/>
      <c r="I722" s="564"/>
      <c r="J722" s="564"/>
      <c r="K722" s="564"/>
      <c r="L722" s="564"/>
      <c r="M722" s="564"/>
      <c r="N722" s="564"/>
      <c r="O722" s="564"/>
      <c r="P722" s="564"/>
      <c r="Q722" s="564"/>
      <c r="R722" s="564"/>
      <c r="S722" s="564"/>
      <c r="T722" s="564"/>
      <c r="U722" s="564"/>
      <c r="V722" s="564"/>
      <c r="W722" s="564"/>
      <c r="X722" s="564"/>
      <c r="Y722" s="564"/>
      <c r="Z722" s="564"/>
      <c r="AA722" s="564"/>
      <c r="AB722" s="556"/>
      <c r="AC722" s="556"/>
      <c r="AD722" s="556"/>
      <c r="AE722" s="556"/>
      <c r="AF722" s="556"/>
      <c r="AG722" s="556"/>
      <c r="AH722" s="556"/>
      <c r="AI722" s="556"/>
      <c r="AJ722" s="556"/>
      <c r="AK722" s="556"/>
      <c r="AL722" s="556"/>
      <c r="AM722" s="556"/>
      <c r="AN722" s="556"/>
      <c r="AO722" s="556"/>
      <c r="AP722" s="556"/>
      <c r="AQ722" s="556"/>
      <c r="AR722" s="556"/>
      <c r="AS722" s="565"/>
      <c r="AT722" s="556"/>
    </row>
    <row r="723" spans="1:46" hidden="1" x14ac:dyDescent="0.45">
      <c r="A723" s="556"/>
      <c r="B723" s="556"/>
      <c r="C723" s="556"/>
      <c r="D723" s="564"/>
      <c r="E723" s="556"/>
      <c r="F723" s="564"/>
      <c r="G723" s="564"/>
      <c r="H723" s="564"/>
      <c r="I723" s="564"/>
      <c r="J723" s="564"/>
      <c r="K723" s="564"/>
      <c r="L723" s="564"/>
      <c r="M723" s="564"/>
      <c r="N723" s="564"/>
      <c r="O723" s="564"/>
      <c r="P723" s="564"/>
      <c r="Q723" s="564"/>
      <c r="R723" s="564"/>
      <c r="S723" s="564"/>
      <c r="T723" s="564"/>
      <c r="U723" s="564"/>
      <c r="V723" s="564"/>
      <c r="W723" s="564"/>
      <c r="X723" s="564"/>
      <c r="Y723" s="564"/>
      <c r="Z723" s="564"/>
      <c r="AA723" s="564"/>
      <c r="AB723" s="556"/>
      <c r="AC723" s="556"/>
      <c r="AD723" s="556"/>
      <c r="AE723" s="556"/>
      <c r="AF723" s="556"/>
      <c r="AG723" s="556"/>
      <c r="AH723" s="556"/>
      <c r="AI723" s="556"/>
      <c r="AJ723" s="556"/>
      <c r="AK723" s="556"/>
      <c r="AL723" s="556"/>
      <c r="AM723" s="556"/>
      <c r="AN723" s="556"/>
      <c r="AO723" s="556"/>
      <c r="AP723" s="556"/>
      <c r="AQ723" s="556"/>
      <c r="AR723" s="556"/>
      <c r="AS723" s="565"/>
      <c r="AT723" s="556"/>
    </row>
    <row r="724" spans="1:46" hidden="1" x14ac:dyDescent="0.45">
      <c r="A724" s="556"/>
      <c r="B724" s="556"/>
      <c r="C724" s="556"/>
      <c r="D724" s="564"/>
      <c r="E724" s="556"/>
      <c r="F724" s="564"/>
      <c r="G724" s="564"/>
      <c r="H724" s="564"/>
      <c r="I724" s="564"/>
      <c r="J724" s="564"/>
      <c r="K724" s="564"/>
      <c r="L724" s="564"/>
      <c r="M724" s="564"/>
      <c r="N724" s="564"/>
      <c r="O724" s="564"/>
      <c r="P724" s="564"/>
      <c r="Q724" s="564"/>
      <c r="R724" s="564"/>
      <c r="S724" s="564"/>
      <c r="T724" s="564"/>
      <c r="U724" s="564"/>
      <c r="V724" s="564"/>
      <c r="W724" s="564"/>
      <c r="X724" s="564"/>
      <c r="Y724" s="564"/>
      <c r="Z724" s="564"/>
      <c r="AA724" s="564"/>
      <c r="AB724" s="556"/>
      <c r="AC724" s="556"/>
      <c r="AD724" s="556"/>
      <c r="AE724" s="556"/>
      <c r="AF724" s="556"/>
      <c r="AG724" s="556"/>
      <c r="AH724" s="556"/>
      <c r="AI724" s="556"/>
      <c r="AJ724" s="556"/>
      <c r="AK724" s="556"/>
      <c r="AL724" s="556"/>
      <c r="AM724" s="556"/>
      <c r="AN724" s="556"/>
      <c r="AO724" s="556"/>
      <c r="AP724" s="556"/>
      <c r="AQ724" s="556"/>
      <c r="AR724" s="556"/>
      <c r="AS724" s="565"/>
      <c r="AT724" s="556"/>
    </row>
    <row r="725" spans="1:46" hidden="1" x14ac:dyDescent="0.45">
      <c r="A725" s="556"/>
      <c r="B725" s="556"/>
      <c r="C725" s="556"/>
      <c r="D725" s="564"/>
      <c r="E725" s="556"/>
      <c r="F725" s="564"/>
      <c r="G725" s="564"/>
      <c r="H725" s="564"/>
      <c r="I725" s="564"/>
      <c r="J725" s="564"/>
      <c r="K725" s="564"/>
      <c r="L725" s="564"/>
      <c r="M725" s="564"/>
      <c r="N725" s="564"/>
      <c r="O725" s="564"/>
      <c r="P725" s="564"/>
      <c r="Q725" s="564"/>
      <c r="R725" s="564"/>
      <c r="S725" s="564"/>
      <c r="T725" s="564"/>
      <c r="U725" s="564"/>
      <c r="V725" s="564"/>
      <c r="W725" s="564"/>
      <c r="X725" s="564"/>
      <c r="Y725" s="564"/>
      <c r="Z725" s="564"/>
      <c r="AA725" s="564"/>
      <c r="AB725" s="556"/>
      <c r="AC725" s="556"/>
      <c r="AD725" s="556"/>
      <c r="AE725" s="556"/>
      <c r="AF725" s="556"/>
      <c r="AG725" s="556"/>
      <c r="AH725" s="556"/>
      <c r="AI725" s="556"/>
      <c r="AJ725" s="556"/>
      <c r="AK725" s="556"/>
      <c r="AL725" s="556"/>
      <c r="AM725" s="556"/>
      <c r="AN725" s="556"/>
      <c r="AO725" s="556"/>
      <c r="AP725" s="556"/>
      <c r="AQ725" s="556"/>
      <c r="AR725" s="556"/>
      <c r="AS725" s="565"/>
      <c r="AT725" s="556"/>
    </row>
    <row r="726" spans="1:46" hidden="1" x14ac:dyDescent="0.45">
      <c r="A726" s="556"/>
      <c r="B726" s="556"/>
      <c r="C726" s="556"/>
      <c r="D726" s="564"/>
      <c r="E726" s="556"/>
      <c r="F726" s="564"/>
      <c r="G726" s="564"/>
      <c r="H726" s="564"/>
      <c r="I726" s="564"/>
      <c r="J726" s="564"/>
      <c r="K726" s="564"/>
      <c r="L726" s="564"/>
      <c r="M726" s="564"/>
      <c r="N726" s="564"/>
      <c r="O726" s="564"/>
      <c r="P726" s="564"/>
      <c r="Q726" s="564"/>
      <c r="R726" s="564"/>
      <c r="S726" s="564"/>
      <c r="T726" s="564"/>
      <c r="U726" s="564"/>
      <c r="V726" s="564"/>
      <c r="W726" s="564"/>
      <c r="X726" s="564"/>
      <c r="Y726" s="564"/>
      <c r="Z726" s="564"/>
      <c r="AA726" s="564"/>
      <c r="AB726" s="556"/>
      <c r="AC726" s="556"/>
      <c r="AD726" s="556"/>
      <c r="AE726" s="556"/>
      <c r="AF726" s="556"/>
      <c r="AG726" s="556"/>
      <c r="AH726" s="556"/>
      <c r="AI726" s="556"/>
      <c r="AJ726" s="556"/>
      <c r="AK726" s="556"/>
      <c r="AL726" s="556"/>
      <c r="AM726" s="556"/>
      <c r="AN726" s="556"/>
      <c r="AO726" s="556"/>
      <c r="AP726" s="556"/>
      <c r="AQ726" s="556"/>
      <c r="AR726" s="556"/>
      <c r="AS726" s="565"/>
      <c r="AT726" s="556"/>
    </row>
    <row r="727" spans="1:46" hidden="1" x14ac:dyDescent="0.45">
      <c r="A727" s="556"/>
      <c r="B727" s="556"/>
      <c r="C727" s="556"/>
      <c r="D727" s="564"/>
      <c r="E727" s="556"/>
      <c r="F727" s="564"/>
      <c r="G727" s="564"/>
      <c r="H727" s="564"/>
      <c r="I727" s="564"/>
      <c r="J727" s="564"/>
      <c r="K727" s="564"/>
      <c r="L727" s="564"/>
      <c r="M727" s="564"/>
      <c r="N727" s="564"/>
      <c r="O727" s="564"/>
      <c r="P727" s="564"/>
      <c r="Q727" s="564"/>
      <c r="R727" s="564"/>
      <c r="S727" s="564"/>
      <c r="T727" s="564"/>
      <c r="U727" s="564"/>
      <c r="V727" s="564"/>
      <c r="W727" s="564"/>
      <c r="X727" s="564"/>
      <c r="Y727" s="564"/>
      <c r="Z727" s="564"/>
      <c r="AA727" s="564"/>
      <c r="AB727" s="556"/>
      <c r="AC727" s="556"/>
      <c r="AD727" s="556"/>
      <c r="AE727" s="556"/>
      <c r="AF727" s="556"/>
      <c r="AG727" s="556"/>
      <c r="AH727" s="556"/>
      <c r="AI727" s="556"/>
      <c r="AJ727" s="556"/>
      <c r="AK727" s="556"/>
      <c r="AL727" s="556"/>
      <c r="AM727" s="556"/>
      <c r="AN727" s="556"/>
      <c r="AO727" s="556"/>
      <c r="AP727" s="556"/>
      <c r="AQ727" s="556"/>
      <c r="AR727" s="556"/>
      <c r="AS727" s="565"/>
      <c r="AT727" s="556"/>
    </row>
    <row r="728" spans="1:46" hidden="1" x14ac:dyDescent="0.45">
      <c r="A728" s="556"/>
      <c r="B728" s="556"/>
      <c r="C728" s="556"/>
      <c r="D728" s="564"/>
      <c r="E728" s="556"/>
      <c r="F728" s="564"/>
      <c r="G728" s="564"/>
      <c r="H728" s="564"/>
      <c r="I728" s="564"/>
      <c r="J728" s="564"/>
      <c r="K728" s="564"/>
      <c r="L728" s="564"/>
      <c r="M728" s="564"/>
      <c r="N728" s="564"/>
      <c r="O728" s="564"/>
      <c r="P728" s="564"/>
      <c r="Q728" s="564"/>
      <c r="R728" s="564"/>
      <c r="S728" s="564"/>
      <c r="T728" s="564"/>
      <c r="U728" s="564"/>
      <c r="V728" s="564"/>
      <c r="W728" s="564"/>
      <c r="X728" s="564"/>
      <c r="Y728" s="564"/>
      <c r="Z728" s="564"/>
      <c r="AA728" s="564"/>
      <c r="AB728" s="556"/>
      <c r="AC728" s="556"/>
      <c r="AD728" s="556"/>
      <c r="AE728" s="556"/>
      <c r="AF728" s="556"/>
      <c r="AG728" s="556"/>
      <c r="AH728" s="556"/>
      <c r="AI728" s="556"/>
      <c r="AJ728" s="556"/>
      <c r="AK728" s="556"/>
      <c r="AL728" s="556"/>
      <c r="AM728" s="556"/>
      <c r="AN728" s="556"/>
      <c r="AO728" s="556"/>
      <c r="AP728" s="556"/>
      <c r="AQ728" s="556"/>
      <c r="AR728" s="556"/>
      <c r="AS728" s="565"/>
      <c r="AT728" s="556"/>
    </row>
    <row r="729" spans="1:46" hidden="1" x14ac:dyDescent="0.45">
      <c r="A729" s="556"/>
      <c r="B729" s="556"/>
      <c r="C729" s="556"/>
      <c r="D729" s="564"/>
      <c r="E729" s="556"/>
      <c r="F729" s="564"/>
      <c r="G729" s="564"/>
      <c r="H729" s="564"/>
      <c r="I729" s="564"/>
      <c r="J729" s="564"/>
      <c r="K729" s="564"/>
      <c r="L729" s="564"/>
      <c r="M729" s="564"/>
      <c r="N729" s="564"/>
      <c r="O729" s="564"/>
      <c r="P729" s="564"/>
      <c r="Q729" s="564"/>
      <c r="R729" s="564"/>
      <c r="S729" s="564"/>
      <c r="T729" s="564"/>
      <c r="U729" s="564"/>
      <c r="V729" s="564"/>
      <c r="W729" s="564"/>
      <c r="X729" s="564"/>
      <c r="Y729" s="564"/>
      <c r="Z729" s="564"/>
      <c r="AA729" s="564"/>
      <c r="AB729" s="556"/>
      <c r="AC729" s="556"/>
      <c r="AD729" s="556"/>
      <c r="AE729" s="556"/>
      <c r="AF729" s="556"/>
      <c r="AG729" s="556"/>
      <c r="AH729" s="556"/>
      <c r="AI729" s="556"/>
      <c r="AJ729" s="556"/>
      <c r="AK729" s="556"/>
      <c r="AL729" s="556"/>
      <c r="AM729" s="556"/>
      <c r="AN729" s="556"/>
      <c r="AO729" s="556"/>
      <c r="AP729" s="556"/>
      <c r="AQ729" s="556"/>
      <c r="AR729" s="556"/>
      <c r="AS729" s="565"/>
      <c r="AT729" s="556"/>
    </row>
    <row r="730" spans="1:46" hidden="1" x14ac:dyDescent="0.45">
      <c r="A730" s="556"/>
      <c r="B730" s="556"/>
      <c r="C730" s="556"/>
      <c r="D730" s="564"/>
      <c r="E730" s="556"/>
      <c r="F730" s="564"/>
      <c r="G730" s="564"/>
      <c r="H730" s="564"/>
      <c r="I730" s="564"/>
      <c r="J730" s="564"/>
      <c r="K730" s="564"/>
      <c r="L730" s="564"/>
      <c r="M730" s="564"/>
      <c r="N730" s="564"/>
      <c r="O730" s="564"/>
      <c r="P730" s="564"/>
      <c r="Q730" s="564"/>
      <c r="R730" s="564"/>
      <c r="S730" s="564"/>
      <c r="T730" s="564"/>
      <c r="U730" s="564"/>
      <c r="V730" s="564"/>
      <c r="W730" s="564"/>
      <c r="X730" s="564"/>
      <c r="Y730" s="564"/>
      <c r="Z730" s="564"/>
      <c r="AA730" s="564"/>
      <c r="AB730" s="556"/>
      <c r="AC730" s="556"/>
      <c r="AD730" s="556"/>
      <c r="AE730" s="556"/>
      <c r="AF730" s="556"/>
      <c r="AG730" s="556"/>
      <c r="AH730" s="556"/>
      <c r="AI730" s="556"/>
      <c r="AJ730" s="556"/>
      <c r="AK730" s="556"/>
      <c r="AL730" s="556"/>
      <c r="AM730" s="556"/>
      <c r="AN730" s="556"/>
      <c r="AO730" s="556"/>
      <c r="AP730" s="556"/>
      <c r="AQ730" s="556"/>
      <c r="AR730" s="556"/>
      <c r="AS730" s="565"/>
      <c r="AT730" s="556"/>
    </row>
    <row r="731" spans="1:46" hidden="1" x14ac:dyDescent="0.45">
      <c r="A731" s="556"/>
      <c r="B731" s="556"/>
      <c r="C731" s="556"/>
      <c r="D731" s="564"/>
      <c r="E731" s="556"/>
      <c r="F731" s="564"/>
      <c r="G731" s="564"/>
      <c r="H731" s="564"/>
      <c r="I731" s="564"/>
      <c r="J731" s="564"/>
      <c r="K731" s="564"/>
      <c r="L731" s="564"/>
      <c r="M731" s="564"/>
      <c r="N731" s="564"/>
      <c r="O731" s="564"/>
      <c r="P731" s="564"/>
      <c r="Q731" s="564"/>
      <c r="R731" s="564"/>
      <c r="S731" s="564"/>
      <c r="T731" s="564"/>
      <c r="U731" s="564"/>
      <c r="V731" s="564"/>
      <c r="W731" s="564"/>
      <c r="X731" s="564"/>
      <c r="Y731" s="564"/>
      <c r="Z731" s="564"/>
      <c r="AA731" s="564"/>
      <c r="AB731" s="556"/>
      <c r="AC731" s="556"/>
      <c r="AD731" s="556"/>
      <c r="AE731" s="556"/>
      <c r="AF731" s="556"/>
      <c r="AG731" s="556"/>
      <c r="AH731" s="556"/>
      <c r="AI731" s="556"/>
      <c r="AJ731" s="556"/>
      <c r="AK731" s="556"/>
      <c r="AL731" s="556"/>
      <c r="AM731" s="556"/>
      <c r="AN731" s="556"/>
      <c r="AO731" s="556"/>
      <c r="AP731" s="556"/>
      <c r="AQ731" s="556"/>
      <c r="AR731" s="556"/>
      <c r="AS731" s="565"/>
      <c r="AT731" s="556"/>
    </row>
    <row r="732" spans="1:46" hidden="1" x14ac:dyDescent="0.45">
      <c r="A732" s="556"/>
      <c r="B732" s="556"/>
      <c r="C732" s="556"/>
      <c r="D732" s="564"/>
      <c r="E732" s="556"/>
      <c r="F732" s="564"/>
      <c r="G732" s="564"/>
      <c r="H732" s="564"/>
      <c r="I732" s="564"/>
      <c r="J732" s="564"/>
      <c r="K732" s="564"/>
      <c r="L732" s="564"/>
      <c r="M732" s="564"/>
      <c r="N732" s="564"/>
      <c r="O732" s="564"/>
      <c r="P732" s="564"/>
      <c r="Q732" s="564"/>
      <c r="R732" s="564"/>
      <c r="S732" s="564"/>
      <c r="T732" s="564"/>
      <c r="U732" s="564"/>
      <c r="V732" s="564"/>
      <c r="W732" s="564"/>
      <c r="X732" s="564"/>
      <c r="Y732" s="564"/>
      <c r="Z732" s="564"/>
      <c r="AA732" s="564"/>
      <c r="AB732" s="556"/>
      <c r="AC732" s="556"/>
      <c r="AD732" s="556"/>
      <c r="AE732" s="556"/>
      <c r="AF732" s="556"/>
      <c r="AG732" s="556"/>
      <c r="AH732" s="556"/>
      <c r="AI732" s="556"/>
      <c r="AJ732" s="556"/>
      <c r="AK732" s="556"/>
      <c r="AL732" s="556"/>
      <c r="AM732" s="556"/>
      <c r="AN732" s="556"/>
      <c r="AO732" s="556"/>
      <c r="AP732" s="556"/>
      <c r="AQ732" s="556"/>
      <c r="AR732" s="556"/>
      <c r="AS732" s="565"/>
      <c r="AT732" s="556"/>
    </row>
    <row r="733" spans="1:46" hidden="1" x14ac:dyDescent="0.45">
      <c r="A733" s="556"/>
      <c r="B733" s="556"/>
      <c r="C733" s="556"/>
      <c r="D733" s="564"/>
      <c r="E733" s="556"/>
      <c r="F733" s="564"/>
      <c r="G733" s="564"/>
      <c r="H733" s="564"/>
      <c r="I733" s="564"/>
      <c r="J733" s="564"/>
      <c r="K733" s="564"/>
      <c r="L733" s="564"/>
      <c r="M733" s="564"/>
      <c r="N733" s="564"/>
      <c r="O733" s="564"/>
      <c r="P733" s="564"/>
      <c r="Q733" s="564"/>
      <c r="R733" s="564"/>
      <c r="S733" s="564"/>
      <c r="T733" s="564"/>
      <c r="U733" s="564"/>
      <c r="V733" s="564"/>
      <c r="W733" s="564"/>
      <c r="X733" s="564"/>
      <c r="Y733" s="564"/>
      <c r="Z733" s="564"/>
      <c r="AA733" s="564"/>
      <c r="AB733" s="556"/>
      <c r="AC733" s="556"/>
      <c r="AD733" s="556"/>
      <c r="AE733" s="556"/>
      <c r="AF733" s="556"/>
      <c r="AG733" s="556"/>
      <c r="AH733" s="556"/>
      <c r="AI733" s="556"/>
      <c r="AJ733" s="556"/>
      <c r="AK733" s="556"/>
      <c r="AL733" s="556"/>
      <c r="AM733" s="556"/>
      <c r="AN733" s="556"/>
      <c r="AO733" s="556"/>
      <c r="AP733" s="556"/>
      <c r="AQ733" s="556"/>
      <c r="AR733" s="556"/>
      <c r="AS733" s="565"/>
      <c r="AT733" s="556"/>
    </row>
    <row r="734" spans="1:46" hidden="1" x14ac:dyDescent="0.45">
      <c r="A734" s="556"/>
      <c r="B734" s="556"/>
      <c r="C734" s="556"/>
      <c r="D734" s="564"/>
      <c r="E734" s="556"/>
      <c r="F734" s="564"/>
      <c r="G734" s="564"/>
      <c r="H734" s="564"/>
      <c r="I734" s="564"/>
      <c r="J734" s="564"/>
      <c r="K734" s="564"/>
      <c r="L734" s="564"/>
      <c r="M734" s="564"/>
      <c r="N734" s="564"/>
      <c r="O734" s="564"/>
      <c r="P734" s="564"/>
      <c r="Q734" s="564"/>
      <c r="R734" s="564"/>
      <c r="S734" s="564"/>
      <c r="T734" s="564"/>
      <c r="U734" s="564"/>
      <c r="V734" s="564"/>
      <c r="W734" s="564"/>
      <c r="X734" s="564"/>
      <c r="Y734" s="564"/>
      <c r="Z734" s="564"/>
      <c r="AA734" s="564"/>
      <c r="AB734" s="556"/>
      <c r="AC734" s="556"/>
      <c r="AD734" s="556"/>
      <c r="AE734" s="556"/>
      <c r="AF734" s="556"/>
      <c r="AG734" s="556"/>
      <c r="AH734" s="556"/>
      <c r="AI734" s="556"/>
      <c r="AJ734" s="556"/>
      <c r="AK734" s="556"/>
      <c r="AL734" s="556"/>
      <c r="AM734" s="556"/>
      <c r="AN734" s="556"/>
      <c r="AO734" s="556"/>
      <c r="AP734" s="556"/>
      <c r="AQ734" s="556"/>
      <c r="AR734" s="556"/>
      <c r="AS734" s="565"/>
      <c r="AT734" s="556"/>
    </row>
    <row r="735" spans="1:46" hidden="1" x14ac:dyDescent="0.45">
      <c r="A735" s="556"/>
      <c r="B735" s="556"/>
      <c r="C735" s="556"/>
      <c r="D735" s="564"/>
      <c r="E735" s="556"/>
      <c r="F735" s="564"/>
      <c r="G735" s="564"/>
      <c r="H735" s="564"/>
      <c r="I735" s="564"/>
      <c r="J735" s="564"/>
      <c r="K735" s="564"/>
      <c r="L735" s="564"/>
      <c r="M735" s="564"/>
      <c r="N735" s="564"/>
      <c r="O735" s="564"/>
      <c r="P735" s="564"/>
      <c r="Q735" s="564"/>
      <c r="R735" s="564"/>
      <c r="S735" s="564"/>
      <c r="T735" s="564"/>
      <c r="U735" s="564"/>
      <c r="V735" s="564"/>
      <c r="W735" s="564"/>
      <c r="X735" s="564"/>
      <c r="Y735" s="564"/>
      <c r="Z735" s="564"/>
      <c r="AA735" s="564"/>
      <c r="AB735" s="556"/>
      <c r="AC735" s="556"/>
      <c r="AD735" s="556"/>
      <c r="AE735" s="556"/>
      <c r="AF735" s="556"/>
      <c r="AG735" s="556"/>
      <c r="AH735" s="556"/>
      <c r="AI735" s="556"/>
      <c r="AJ735" s="556"/>
      <c r="AK735" s="556"/>
      <c r="AL735" s="556"/>
      <c r="AM735" s="556"/>
      <c r="AN735" s="556"/>
      <c r="AO735" s="556"/>
      <c r="AP735" s="556"/>
      <c r="AQ735" s="556"/>
      <c r="AR735" s="556"/>
      <c r="AS735" s="565"/>
      <c r="AT735" s="556"/>
    </row>
    <row r="736" spans="1:46" hidden="1" x14ac:dyDescent="0.45">
      <c r="A736" s="556"/>
      <c r="B736" s="556"/>
      <c r="C736" s="556"/>
      <c r="D736" s="564"/>
      <c r="E736" s="556"/>
      <c r="F736" s="564"/>
      <c r="G736" s="564"/>
      <c r="H736" s="564"/>
      <c r="I736" s="564"/>
      <c r="J736" s="564"/>
      <c r="K736" s="564"/>
      <c r="L736" s="564"/>
      <c r="M736" s="564"/>
      <c r="N736" s="564"/>
      <c r="O736" s="564"/>
      <c r="P736" s="564"/>
      <c r="Q736" s="564"/>
      <c r="R736" s="564"/>
      <c r="S736" s="564"/>
      <c r="T736" s="564"/>
      <c r="U736" s="564"/>
      <c r="V736" s="564"/>
      <c r="W736" s="564"/>
      <c r="X736" s="564"/>
      <c r="Y736" s="564"/>
      <c r="Z736" s="564"/>
      <c r="AA736" s="564"/>
      <c r="AB736" s="556"/>
      <c r="AC736" s="556"/>
      <c r="AD736" s="556"/>
      <c r="AE736" s="556"/>
      <c r="AF736" s="556"/>
      <c r="AG736" s="556"/>
      <c r="AH736" s="556"/>
      <c r="AI736" s="556"/>
      <c r="AJ736" s="556"/>
      <c r="AK736" s="556"/>
      <c r="AL736" s="556"/>
      <c r="AM736" s="556"/>
      <c r="AN736" s="556"/>
      <c r="AO736" s="556"/>
      <c r="AP736" s="556"/>
      <c r="AQ736" s="556"/>
      <c r="AR736" s="556"/>
      <c r="AS736" s="565"/>
      <c r="AT736" s="556"/>
    </row>
    <row r="737" spans="1:46" hidden="1" x14ac:dyDescent="0.45">
      <c r="A737" s="556"/>
      <c r="B737" s="556"/>
      <c r="C737" s="556"/>
      <c r="D737" s="564"/>
      <c r="E737" s="556"/>
      <c r="F737" s="564"/>
      <c r="G737" s="564"/>
      <c r="H737" s="564"/>
      <c r="I737" s="564"/>
      <c r="J737" s="564"/>
      <c r="K737" s="564"/>
      <c r="L737" s="564"/>
      <c r="M737" s="564"/>
      <c r="N737" s="564"/>
      <c r="O737" s="564"/>
      <c r="P737" s="564"/>
      <c r="Q737" s="564"/>
      <c r="R737" s="564"/>
      <c r="S737" s="564"/>
      <c r="T737" s="564"/>
      <c r="U737" s="564"/>
      <c r="V737" s="564"/>
      <c r="W737" s="564"/>
      <c r="X737" s="564"/>
      <c r="Y737" s="564"/>
      <c r="Z737" s="564"/>
      <c r="AA737" s="564"/>
      <c r="AB737" s="556"/>
      <c r="AC737" s="556"/>
      <c r="AD737" s="556"/>
      <c r="AE737" s="556"/>
      <c r="AF737" s="556"/>
      <c r="AG737" s="556"/>
      <c r="AH737" s="556"/>
      <c r="AI737" s="556"/>
      <c r="AJ737" s="556"/>
      <c r="AK737" s="556"/>
      <c r="AL737" s="556"/>
      <c r="AM737" s="556"/>
      <c r="AN737" s="556"/>
      <c r="AO737" s="556"/>
      <c r="AP737" s="556"/>
      <c r="AQ737" s="556"/>
      <c r="AR737" s="556"/>
      <c r="AS737" s="565"/>
      <c r="AT737" s="556"/>
    </row>
    <row r="738" spans="1:46" hidden="1" x14ac:dyDescent="0.45">
      <c r="A738" s="556"/>
      <c r="B738" s="556"/>
      <c r="C738" s="556"/>
      <c r="D738" s="564"/>
      <c r="E738" s="556"/>
      <c r="F738" s="564"/>
      <c r="G738" s="564"/>
      <c r="H738" s="564"/>
      <c r="I738" s="564"/>
      <c r="J738" s="564"/>
      <c r="K738" s="564"/>
      <c r="L738" s="564"/>
      <c r="M738" s="564"/>
      <c r="N738" s="564"/>
      <c r="O738" s="564"/>
      <c r="P738" s="564"/>
      <c r="Q738" s="564"/>
      <c r="R738" s="564"/>
      <c r="S738" s="564"/>
      <c r="T738" s="564"/>
      <c r="U738" s="564"/>
      <c r="V738" s="564"/>
      <c r="W738" s="564"/>
      <c r="X738" s="564"/>
      <c r="Y738" s="564"/>
      <c r="Z738" s="564"/>
      <c r="AA738" s="564"/>
      <c r="AB738" s="556"/>
      <c r="AC738" s="556"/>
      <c r="AD738" s="556"/>
      <c r="AE738" s="556"/>
      <c r="AF738" s="556"/>
      <c r="AG738" s="556"/>
      <c r="AH738" s="556"/>
      <c r="AI738" s="556"/>
      <c r="AJ738" s="556"/>
      <c r="AK738" s="556"/>
      <c r="AL738" s="556"/>
      <c r="AM738" s="556"/>
      <c r="AN738" s="556"/>
      <c r="AO738" s="556"/>
      <c r="AP738" s="556"/>
      <c r="AQ738" s="556"/>
      <c r="AR738" s="556"/>
      <c r="AS738" s="565"/>
      <c r="AT738" s="556"/>
    </row>
    <row r="739" spans="1:46" hidden="1" x14ac:dyDescent="0.45">
      <c r="A739" s="556"/>
      <c r="B739" s="556"/>
      <c r="C739" s="556"/>
      <c r="D739" s="564"/>
      <c r="E739" s="556"/>
      <c r="F739" s="564"/>
      <c r="G739" s="564"/>
      <c r="H739" s="564"/>
      <c r="I739" s="564"/>
      <c r="J739" s="564"/>
      <c r="K739" s="564"/>
      <c r="L739" s="564"/>
      <c r="M739" s="564"/>
      <c r="N739" s="564"/>
      <c r="O739" s="564"/>
      <c r="P739" s="564"/>
      <c r="Q739" s="564"/>
      <c r="R739" s="564"/>
      <c r="S739" s="564"/>
      <c r="T739" s="564"/>
      <c r="U739" s="564"/>
      <c r="V739" s="564"/>
      <c r="W739" s="564"/>
      <c r="X739" s="564"/>
      <c r="Y739" s="564"/>
      <c r="Z739" s="564"/>
      <c r="AA739" s="564"/>
      <c r="AB739" s="556"/>
      <c r="AC739" s="556"/>
      <c r="AD739" s="556"/>
      <c r="AE739" s="556"/>
      <c r="AF739" s="556"/>
      <c r="AG739" s="556"/>
      <c r="AH739" s="556"/>
      <c r="AI739" s="556"/>
      <c r="AJ739" s="556"/>
      <c r="AK739" s="556"/>
      <c r="AL739" s="556"/>
      <c r="AM739" s="556"/>
      <c r="AN739" s="556"/>
      <c r="AO739" s="556"/>
      <c r="AP739" s="556"/>
      <c r="AQ739" s="556"/>
      <c r="AR739" s="556"/>
      <c r="AS739" s="565"/>
      <c r="AT739" s="556"/>
    </row>
    <row r="740" spans="1:46" hidden="1" x14ac:dyDescent="0.45">
      <c r="A740" s="556"/>
      <c r="B740" s="556"/>
      <c r="C740" s="556"/>
      <c r="D740" s="564"/>
      <c r="E740" s="556"/>
      <c r="F740" s="564"/>
      <c r="G740" s="564"/>
      <c r="H740" s="564"/>
      <c r="I740" s="564"/>
      <c r="J740" s="564"/>
      <c r="K740" s="564"/>
      <c r="L740" s="564"/>
      <c r="M740" s="564"/>
      <c r="N740" s="564"/>
      <c r="O740" s="564"/>
      <c r="P740" s="564"/>
      <c r="Q740" s="564"/>
      <c r="R740" s="564"/>
      <c r="S740" s="564"/>
      <c r="T740" s="564"/>
      <c r="U740" s="564"/>
      <c r="V740" s="564"/>
      <c r="W740" s="564"/>
      <c r="X740" s="564"/>
      <c r="Y740" s="564"/>
      <c r="Z740" s="564"/>
      <c r="AA740" s="564"/>
      <c r="AB740" s="556"/>
      <c r="AC740" s="556"/>
      <c r="AD740" s="556"/>
      <c r="AE740" s="556"/>
      <c r="AF740" s="556"/>
      <c r="AG740" s="556"/>
      <c r="AH740" s="556"/>
      <c r="AI740" s="556"/>
      <c r="AJ740" s="556"/>
      <c r="AK740" s="556"/>
      <c r="AL740" s="556"/>
      <c r="AM740" s="556"/>
      <c r="AN740" s="556"/>
      <c r="AO740" s="556"/>
      <c r="AP740" s="556"/>
      <c r="AQ740" s="556"/>
      <c r="AR740" s="556"/>
      <c r="AS740" s="565"/>
      <c r="AT740" s="556"/>
    </row>
    <row r="741" spans="1:46" hidden="1" x14ac:dyDescent="0.45">
      <c r="A741" s="556"/>
      <c r="B741" s="556"/>
      <c r="C741" s="556"/>
      <c r="D741" s="564"/>
      <c r="E741" s="556"/>
      <c r="F741" s="564"/>
      <c r="G741" s="564"/>
      <c r="H741" s="564"/>
      <c r="I741" s="564"/>
      <c r="J741" s="564"/>
      <c r="K741" s="564"/>
      <c r="L741" s="564"/>
      <c r="M741" s="564"/>
      <c r="N741" s="564"/>
      <c r="O741" s="564"/>
      <c r="P741" s="564"/>
      <c r="Q741" s="564"/>
      <c r="R741" s="564"/>
      <c r="S741" s="564"/>
      <c r="T741" s="564"/>
      <c r="U741" s="564"/>
      <c r="V741" s="564"/>
      <c r="W741" s="564"/>
      <c r="X741" s="564"/>
      <c r="Y741" s="564"/>
      <c r="Z741" s="564"/>
      <c r="AA741" s="564"/>
      <c r="AB741" s="556"/>
      <c r="AC741" s="556"/>
      <c r="AD741" s="556"/>
      <c r="AE741" s="556"/>
      <c r="AF741" s="556"/>
      <c r="AG741" s="556"/>
      <c r="AH741" s="556"/>
      <c r="AI741" s="556"/>
      <c r="AJ741" s="556"/>
      <c r="AK741" s="556"/>
      <c r="AL741" s="556"/>
      <c r="AM741" s="556"/>
      <c r="AN741" s="556"/>
      <c r="AO741" s="556"/>
      <c r="AP741" s="556"/>
      <c r="AQ741" s="556"/>
      <c r="AR741" s="556"/>
      <c r="AS741" s="565"/>
      <c r="AT741" s="556"/>
    </row>
    <row r="742" spans="1:46" hidden="1" x14ac:dyDescent="0.45">
      <c r="A742" s="556"/>
      <c r="B742" s="556"/>
      <c r="C742" s="556"/>
      <c r="D742" s="564"/>
      <c r="E742" s="556"/>
      <c r="F742" s="564"/>
      <c r="G742" s="564"/>
      <c r="H742" s="564"/>
      <c r="I742" s="564"/>
      <c r="J742" s="564"/>
      <c r="K742" s="564"/>
      <c r="L742" s="564"/>
      <c r="M742" s="564"/>
      <c r="N742" s="564"/>
      <c r="O742" s="564"/>
      <c r="P742" s="564"/>
      <c r="Q742" s="564"/>
      <c r="R742" s="564"/>
      <c r="S742" s="564"/>
      <c r="T742" s="564"/>
      <c r="U742" s="564"/>
      <c r="V742" s="564"/>
      <c r="W742" s="564"/>
      <c r="X742" s="564"/>
      <c r="Y742" s="564"/>
      <c r="Z742" s="564"/>
      <c r="AA742" s="564"/>
      <c r="AB742" s="556"/>
      <c r="AC742" s="556"/>
      <c r="AD742" s="556"/>
      <c r="AE742" s="556"/>
      <c r="AF742" s="556"/>
      <c r="AG742" s="556"/>
      <c r="AH742" s="556"/>
      <c r="AI742" s="556"/>
      <c r="AJ742" s="556"/>
      <c r="AK742" s="556"/>
      <c r="AL742" s="556"/>
      <c r="AM742" s="556"/>
      <c r="AN742" s="556"/>
      <c r="AO742" s="556"/>
      <c r="AP742" s="556"/>
      <c r="AQ742" s="556"/>
      <c r="AR742" s="556"/>
      <c r="AS742" s="565"/>
      <c r="AT742" s="556"/>
    </row>
    <row r="743" spans="1:46" hidden="1" x14ac:dyDescent="0.45">
      <c r="A743" s="556"/>
      <c r="B743" s="556"/>
      <c r="C743" s="556"/>
      <c r="D743" s="564"/>
      <c r="E743" s="556"/>
      <c r="F743" s="564"/>
      <c r="G743" s="564"/>
      <c r="H743" s="564"/>
      <c r="I743" s="564"/>
      <c r="J743" s="564"/>
      <c r="K743" s="564"/>
      <c r="L743" s="564"/>
      <c r="M743" s="564"/>
      <c r="N743" s="564"/>
      <c r="O743" s="564"/>
      <c r="P743" s="564"/>
      <c r="Q743" s="564"/>
      <c r="R743" s="564"/>
      <c r="S743" s="564"/>
      <c r="T743" s="564"/>
      <c r="U743" s="564"/>
      <c r="V743" s="564"/>
      <c r="W743" s="564"/>
      <c r="X743" s="564"/>
      <c r="Y743" s="564"/>
      <c r="Z743" s="564"/>
      <c r="AA743" s="564"/>
      <c r="AB743" s="556"/>
      <c r="AC743" s="556"/>
      <c r="AD743" s="556"/>
      <c r="AE743" s="556"/>
      <c r="AF743" s="556"/>
      <c r="AG743" s="556"/>
      <c r="AH743" s="556"/>
      <c r="AI743" s="556"/>
      <c r="AJ743" s="556"/>
      <c r="AK743" s="556"/>
      <c r="AL743" s="556"/>
      <c r="AM743" s="556"/>
      <c r="AN743" s="556"/>
      <c r="AO743" s="556"/>
      <c r="AP743" s="556"/>
      <c r="AQ743" s="556"/>
      <c r="AR743" s="556"/>
      <c r="AS743" s="565"/>
      <c r="AT743" s="556"/>
    </row>
    <row r="744" spans="1:46" hidden="1" x14ac:dyDescent="0.45">
      <c r="A744" s="556"/>
      <c r="B744" s="556"/>
      <c r="C744" s="556"/>
      <c r="D744" s="564"/>
      <c r="E744" s="556"/>
      <c r="F744" s="564"/>
      <c r="G744" s="564"/>
      <c r="H744" s="564"/>
      <c r="I744" s="564"/>
      <c r="J744" s="564"/>
      <c r="K744" s="564"/>
      <c r="L744" s="564"/>
      <c r="M744" s="564"/>
      <c r="N744" s="564"/>
      <c r="O744" s="564"/>
      <c r="P744" s="564"/>
      <c r="Q744" s="564"/>
      <c r="R744" s="564"/>
      <c r="S744" s="564"/>
      <c r="T744" s="564"/>
      <c r="U744" s="564"/>
      <c r="V744" s="564"/>
      <c r="W744" s="564"/>
      <c r="X744" s="564"/>
      <c r="Y744" s="564"/>
      <c r="Z744" s="564"/>
      <c r="AA744" s="564"/>
      <c r="AB744" s="556"/>
      <c r="AC744" s="556"/>
      <c r="AD744" s="556"/>
      <c r="AE744" s="556"/>
      <c r="AF744" s="556"/>
      <c r="AG744" s="556"/>
      <c r="AH744" s="556"/>
      <c r="AI744" s="556"/>
      <c r="AJ744" s="556"/>
      <c r="AK744" s="556"/>
      <c r="AL744" s="556"/>
      <c r="AM744" s="556"/>
      <c r="AN744" s="556"/>
      <c r="AO744" s="556"/>
      <c r="AP744" s="556"/>
      <c r="AQ744" s="556"/>
      <c r="AR744" s="556"/>
      <c r="AS744" s="565"/>
      <c r="AT744" s="556"/>
    </row>
    <row r="745" spans="1:46" hidden="1" x14ac:dyDescent="0.45">
      <c r="A745" s="556"/>
      <c r="B745" s="556"/>
      <c r="C745" s="556"/>
      <c r="D745" s="564"/>
      <c r="E745" s="556"/>
      <c r="F745" s="564"/>
      <c r="G745" s="564"/>
      <c r="H745" s="564"/>
      <c r="I745" s="564"/>
      <c r="J745" s="564"/>
      <c r="K745" s="564"/>
      <c r="L745" s="564"/>
      <c r="M745" s="564"/>
      <c r="N745" s="564"/>
      <c r="O745" s="564"/>
      <c r="P745" s="564"/>
      <c r="Q745" s="564"/>
      <c r="R745" s="564"/>
      <c r="S745" s="564"/>
      <c r="T745" s="564"/>
      <c r="U745" s="564"/>
      <c r="V745" s="564"/>
      <c r="W745" s="564"/>
      <c r="X745" s="564"/>
      <c r="Y745" s="564"/>
      <c r="Z745" s="564"/>
      <c r="AA745" s="564"/>
      <c r="AB745" s="556"/>
      <c r="AC745" s="556"/>
      <c r="AD745" s="556"/>
      <c r="AE745" s="556"/>
      <c r="AF745" s="556"/>
      <c r="AG745" s="556"/>
      <c r="AH745" s="556"/>
      <c r="AI745" s="556"/>
      <c r="AJ745" s="556"/>
      <c r="AK745" s="556"/>
      <c r="AL745" s="556"/>
      <c r="AM745" s="556"/>
      <c r="AN745" s="556"/>
      <c r="AO745" s="556"/>
      <c r="AP745" s="556"/>
      <c r="AQ745" s="556"/>
      <c r="AR745" s="556"/>
      <c r="AS745" s="565"/>
      <c r="AT745" s="556"/>
    </row>
    <row r="746" spans="1:46" hidden="1" x14ac:dyDescent="0.45">
      <c r="A746" s="556"/>
      <c r="B746" s="556"/>
      <c r="C746" s="556"/>
      <c r="D746" s="564"/>
      <c r="E746" s="556"/>
      <c r="F746" s="564"/>
      <c r="G746" s="564"/>
      <c r="H746" s="564"/>
      <c r="I746" s="564"/>
      <c r="J746" s="564"/>
      <c r="K746" s="564"/>
      <c r="L746" s="564"/>
      <c r="M746" s="564"/>
      <c r="N746" s="564"/>
      <c r="O746" s="564"/>
      <c r="P746" s="564"/>
      <c r="Q746" s="564"/>
      <c r="R746" s="564"/>
      <c r="S746" s="564"/>
      <c r="T746" s="564"/>
      <c r="U746" s="564"/>
      <c r="V746" s="564"/>
      <c r="W746" s="564"/>
      <c r="X746" s="564"/>
      <c r="Y746" s="564"/>
      <c r="Z746" s="564"/>
      <c r="AA746" s="564"/>
      <c r="AB746" s="556"/>
      <c r="AC746" s="556"/>
      <c r="AD746" s="556"/>
      <c r="AE746" s="556"/>
      <c r="AF746" s="556"/>
      <c r="AG746" s="556"/>
      <c r="AH746" s="556"/>
      <c r="AI746" s="556"/>
      <c r="AJ746" s="556"/>
      <c r="AK746" s="556"/>
      <c r="AL746" s="556"/>
      <c r="AM746" s="556"/>
      <c r="AN746" s="556"/>
      <c r="AO746" s="556"/>
      <c r="AP746" s="556"/>
      <c r="AQ746" s="556"/>
      <c r="AR746" s="556"/>
      <c r="AS746" s="565"/>
      <c r="AT746" s="556"/>
    </row>
    <row r="747" spans="1:46" hidden="1" x14ac:dyDescent="0.45">
      <c r="A747" s="556"/>
      <c r="B747" s="556"/>
      <c r="C747" s="556"/>
      <c r="D747" s="564"/>
      <c r="E747" s="556"/>
      <c r="F747" s="564"/>
      <c r="G747" s="564"/>
      <c r="H747" s="564"/>
      <c r="I747" s="564"/>
      <c r="J747" s="564"/>
      <c r="K747" s="564"/>
      <c r="L747" s="564"/>
      <c r="M747" s="564"/>
      <c r="N747" s="564"/>
      <c r="O747" s="564"/>
      <c r="P747" s="564"/>
      <c r="Q747" s="564"/>
      <c r="R747" s="564"/>
      <c r="S747" s="564"/>
      <c r="T747" s="564"/>
      <c r="U747" s="564"/>
      <c r="V747" s="564"/>
      <c r="W747" s="564"/>
      <c r="X747" s="564"/>
      <c r="Y747" s="564"/>
      <c r="Z747" s="564"/>
      <c r="AA747" s="564"/>
      <c r="AB747" s="556"/>
      <c r="AC747" s="556"/>
      <c r="AD747" s="556"/>
      <c r="AE747" s="556"/>
      <c r="AF747" s="556"/>
      <c r="AG747" s="556"/>
      <c r="AH747" s="556"/>
      <c r="AI747" s="556"/>
      <c r="AJ747" s="556"/>
      <c r="AK747" s="556"/>
      <c r="AL747" s="556"/>
      <c r="AM747" s="556"/>
      <c r="AN747" s="556"/>
      <c r="AO747" s="556"/>
      <c r="AP747" s="556"/>
      <c r="AQ747" s="556"/>
      <c r="AR747" s="556"/>
      <c r="AS747" s="565"/>
      <c r="AT747" s="556"/>
    </row>
    <row r="748" spans="1:46" hidden="1" x14ac:dyDescent="0.45">
      <c r="A748" s="556"/>
      <c r="B748" s="556"/>
      <c r="C748" s="556"/>
      <c r="D748" s="564"/>
      <c r="E748" s="556"/>
      <c r="F748" s="564"/>
      <c r="G748" s="564"/>
      <c r="H748" s="564"/>
      <c r="I748" s="564"/>
      <c r="J748" s="564"/>
      <c r="K748" s="564"/>
      <c r="L748" s="564"/>
      <c r="M748" s="564"/>
      <c r="N748" s="564"/>
      <c r="O748" s="564"/>
      <c r="P748" s="564"/>
      <c r="Q748" s="564"/>
      <c r="R748" s="564"/>
      <c r="S748" s="564"/>
      <c r="T748" s="564"/>
      <c r="U748" s="564"/>
      <c r="V748" s="564"/>
      <c r="W748" s="564"/>
      <c r="X748" s="564"/>
      <c r="Y748" s="564"/>
      <c r="Z748" s="564"/>
      <c r="AA748" s="564"/>
      <c r="AB748" s="556"/>
      <c r="AC748" s="556"/>
      <c r="AD748" s="556"/>
      <c r="AE748" s="556"/>
      <c r="AF748" s="556"/>
      <c r="AG748" s="556"/>
      <c r="AH748" s="556"/>
      <c r="AI748" s="556"/>
      <c r="AJ748" s="556"/>
      <c r="AK748" s="556"/>
      <c r="AL748" s="556"/>
      <c r="AM748" s="556"/>
      <c r="AN748" s="556"/>
      <c r="AO748" s="556"/>
      <c r="AP748" s="556"/>
      <c r="AQ748" s="556"/>
      <c r="AR748" s="556"/>
      <c r="AS748" s="565"/>
      <c r="AT748" s="556"/>
    </row>
    <row r="749" spans="1:46" hidden="1" x14ac:dyDescent="0.45">
      <c r="A749" s="556"/>
      <c r="B749" s="556"/>
      <c r="C749" s="556"/>
      <c r="D749" s="564"/>
      <c r="E749" s="556"/>
      <c r="F749" s="564"/>
      <c r="G749" s="564"/>
      <c r="H749" s="564"/>
      <c r="I749" s="564"/>
      <c r="J749" s="564"/>
      <c r="K749" s="564"/>
      <c r="L749" s="564"/>
      <c r="M749" s="564"/>
      <c r="N749" s="564"/>
      <c r="O749" s="564"/>
      <c r="P749" s="564"/>
      <c r="Q749" s="564"/>
      <c r="R749" s="564"/>
      <c r="S749" s="564"/>
      <c r="T749" s="564"/>
      <c r="U749" s="564"/>
      <c r="V749" s="564"/>
      <c r="W749" s="564"/>
      <c r="X749" s="564"/>
      <c r="Y749" s="564"/>
      <c r="Z749" s="564"/>
      <c r="AA749" s="564"/>
      <c r="AB749" s="556"/>
      <c r="AC749" s="556"/>
      <c r="AD749" s="556"/>
      <c r="AE749" s="556"/>
      <c r="AF749" s="556"/>
      <c r="AG749" s="556"/>
      <c r="AH749" s="556"/>
      <c r="AI749" s="556"/>
      <c r="AJ749" s="556"/>
      <c r="AK749" s="556"/>
      <c r="AL749" s="556"/>
      <c r="AM749" s="556"/>
      <c r="AN749" s="556"/>
      <c r="AO749" s="556"/>
      <c r="AP749" s="556"/>
      <c r="AQ749" s="556"/>
      <c r="AR749" s="556"/>
      <c r="AS749" s="565"/>
      <c r="AT749" s="556"/>
    </row>
    <row r="750" spans="1:46" hidden="1" x14ac:dyDescent="0.45">
      <c r="A750" s="556"/>
      <c r="B750" s="556"/>
      <c r="C750" s="556"/>
      <c r="D750" s="564"/>
      <c r="E750" s="556"/>
      <c r="F750" s="564"/>
      <c r="G750" s="564"/>
      <c r="H750" s="564"/>
      <c r="I750" s="564"/>
      <c r="J750" s="564"/>
      <c r="K750" s="564"/>
      <c r="L750" s="564"/>
      <c r="M750" s="564"/>
      <c r="N750" s="564"/>
      <c r="O750" s="564"/>
      <c r="P750" s="564"/>
      <c r="Q750" s="564"/>
      <c r="R750" s="564"/>
      <c r="S750" s="564"/>
      <c r="T750" s="564"/>
      <c r="U750" s="564"/>
      <c r="V750" s="564"/>
      <c r="W750" s="564"/>
      <c r="X750" s="564"/>
      <c r="Y750" s="564"/>
      <c r="Z750" s="564"/>
      <c r="AA750" s="564"/>
      <c r="AB750" s="556"/>
      <c r="AC750" s="556"/>
      <c r="AD750" s="556"/>
      <c r="AE750" s="556"/>
      <c r="AF750" s="556"/>
      <c r="AG750" s="556"/>
      <c r="AH750" s="556"/>
      <c r="AI750" s="556"/>
      <c r="AJ750" s="556"/>
      <c r="AK750" s="556"/>
      <c r="AL750" s="556"/>
      <c r="AM750" s="556"/>
      <c r="AN750" s="556"/>
      <c r="AO750" s="556"/>
      <c r="AP750" s="556"/>
      <c r="AQ750" s="556"/>
      <c r="AR750" s="556"/>
      <c r="AS750" s="565"/>
      <c r="AT750" s="556"/>
    </row>
    <row r="751" spans="1:46" hidden="1" x14ac:dyDescent="0.45">
      <c r="A751" s="556"/>
      <c r="B751" s="556"/>
      <c r="C751" s="556"/>
      <c r="D751" s="564"/>
      <c r="E751" s="556"/>
      <c r="F751" s="564"/>
      <c r="G751" s="564"/>
      <c r="H751" s="564"/>
      <c r="I751" s="564"/>
      <c r="J751" s="564"/>
      <c r="K751" s="564"/>
      <c r="L751" s="564"/>
      <c r="M751" s="564"/>
      <c r="N751" s="564"/>
      <c r="O751" s="564"/>
      <c r="P751" s="564"/>
      <c r="Q751" s="564"/>
      <c r="R751" s="564"/>
      <c r="S751" s="564"/>
      <c r="T751" s="564"/>
      <c r="U751" s="564"/>
      <c r="V751" s="564"/>
      <c r="W751" s="564"/>
      <c r="X751" s="564"/>
      <c r="Y751" s="564"/>
      <c r="Z751" s="564"/>
      <c r="AA751" s="564"/>
      <c r="AB751" s="556"/>
      <c r="AC751" s="556"/>
      <c r="AD751" s="556"/>
      <c r="AE751" s="556"/>
      <c r="AF751" s="556"/>
      <c r="AG751" s="556"/>
      <c r="AH751" s="556"/>
      <c r="AI751" s="556"/>
      <c r="AJ751" s="556"/>
      <c r="AK751" s="556"/>
      <c r="AL751" s="556"/>
      <c r="AM751" s="556"/>
      <c r="AN751" s="556"/>
      <c r="AO751" s="556"/>
      <c r="AP751" s="556"/>
      <c r="AQ751" s="556"/>
      <c r="AR751" s="556"/>
      <c r="AS751" s="565"/>
      <c r="AT751" s="556"/>
    </row>
    <row r="752" spans="1:46" hidden="1" x14ac:dyDescent="0.45">
      <c r="A752" s="556"/>
      <c r="B752" s="556"/>
      <c r="C752" s="556"/>
      <c r="D752" s="564"/>
      <c r="E752" s="556"/>
      <c r="F752" s="564"/>
      <c r="G752" s="564"/>
      <c r="H752" s="564"/>
      <c r="I752" s="564"/>
      <c r="J752" s="564"/>
      <c r="K752" s="564"/>
      <c r="L752" s="564"/>
      <c r="M752" s="564"/>
      <c r="N752" s="564"/>
      <c r="O752" s="564"/>
      <c r="P752" s="564"/>
      <c r="Q752" s="564"/>
      <c r="R752" s="564"/>
      <c r="S752" s="564"/>
      <c r="T752" s="564"/>
      <c r="U752" s="564"/>
      <c r="V752" s="564"/>
      <c r="W752" s="564"/>
      <c r="X752" s="564"/>
      <c r="Y752" s="564"/>
      <c r="Z752" s="564"/>
      <c r="AA752" s="564"/>
      <c r="AB752" s="556"/>
      <c r="AC752" s="556"/>
      <c r="AD752" s="556"/>
      <c r="AE752" s="556"/>
      <c r="AF752" s="556"/>
      <c r="AG752" s="556"/>
      <c r="AH752" s="556"/>
      <c r="AI752" s="556"/>
      <c r="AJ752" s="556"/>
      <c r="AK752" s="556"/>
      <c r="AL752" s="556"/>
      <c r="AM752" s="556"/>
      <c r="AN752" s="556"/>
      <c r="AO752" s="556"/>
      <c r="AP752" s="556"/>
      <c r="AQ752" s="556"/>
      <c r="AR752" s="556"/>
      <c r="AS752" s="565"/>
      <c r="AT752" s="556"/>
    </row>
    <row r="753" spans="1:46" hidden="1" x14ac:dyDescent="0.45">
      <c r="A753" s="556"/>
      <c r="B753" s="556"/>
      <c r="C753" s="556"/>
      <c r="D753" s="564"/>
      <c r="E753" s="556"/>
      <c r="F753" s="564"/>
      <c r="G753" s="564"/>
      <c r="H753" s="564"/>
      <c r="I753" s="564"/>
      <c r="J753" s="564"/>
      <c r="K753" s="564"/>
      <c r="L753" s="564"/>
      <c r="M753" s="564"/>
      <c r="N753" s="564"/>
      <c r="O753" s="564"/>
      <c r="P753" s="564"/>
      <c r="Q753" s="564"/>
      <c r="R753" s="564"/>
      <c r="S753" s="564"/>
      <c r="T753" s="564"/>
      <c r="U753" s="564"/>
      <c r="V753" s="564"/>
      <c r="W753" s="564"/>
      <c r="X753" s="564"/>
      <c r="Y753" s="564"/>
      <c r="Z753" s="564"/>
      <c r="AA753" s="564"/>
      <c r="AB753" s="556"/>
      <c r="AC753" s="556"/>
      <c r="AD753" s="556"/>
      <c r="AE753" s="556"/>
      <c r="AF753" s="556"/>
      <c r="AG753" s="556"/>
      <c r="AH753" s="556"/>
      <c r="AI753" s="556"/>
      <c r="AJ753" s="556"/>
      <c r="AK753" s="556"/>
      <c r="AL753" s="556"/>
      <c r="AM753" s="556"/>
      <c r="AN753" s="556"/>
      <c r="AO753" s="556"/>
      <c r="AP753" s="556"/>
      <c r="AQ753" s="556"/>
      <c r="AR753" s="556"/>
      <c r="AS753" s="565"/>
      <c r="AT753" s="556"/>
    </row>
    <row r="754" spans="1:46" hidden="1" x14ac:dyDescent="0.45">
      <c r="A754" s="556"/>
      <c r="B754" s="556"/>
      <c r="C754" s="556"/>
      <c r="D754" s="564"/>
      <c r="E754" s="556"/>
      <c r="F754" s="564"/>
      <c r="G754" s="564"/>
      <c r="H754" s="564"/>
      <c r="I754" s="564"/>
      <c r="J754" s="564"/>
      <c r="K754" s="564"/>
      <c r="L754" s="564"/>
      <c r="M754" s="564"/>
      <c r="N754" s="564"/>
      <c r="O754" s="564"/>
      <c r="P754" s="564"/>
      <c r="Q754" s="564"/>
      <c r="R754" s="564"/>
      <c r="S754" s="564"/>
      <c r="T754" s="564"/>
      <c r="U754" s="564"/>
      <c r="V754" s="564"/>
      <c r="W754" s="564"/>
      <c r="X754" s="564"/>
      <c r="Y754" s="564"/>
      <c r="Z754" s="564"/>
      <c r="AA754" s="564"/>
      <c r="AB754" s="556"/>
      <c r="AC754" s="556"/>
      <c r="AD754" s="556"/>
      <c r="AE754" s="556"/>
      <c r="AF754" s="556"/>
      <c r="AG754" s="556"/>
      <c r="AH754" s="556"/>
      <c r="AI754" s="556"/>
      <c r="AJ754" s="556"/>
      <c r="AK754" s="556"/>
      <c r="AL754" s="556"/>
      <c r="AM754" s="556"/>
      <c r="AN754" s="556"/>
      <c r="AO754" s="556"/>
      <c r="AP754" s="556"/>
      <c r="AQ754" s="556"/>
      <c r="AR754" s="556"/>
      <c r="AS754" s="565"/>
      <c r="AT754" s="556"/>
    </row>
    <row r="755" spans="1:46" hidden="1" x14ac:dyDescent="0.45">
      <c r="A755" s="556"/>
      <c r="B755" s="556"/>
      <c r="C755" s="556"/>
      <c r="D755" s="564"/>
      <c r="E755" s="556"/>
      <c r="F755" s="564"/>
      <c r="G755" s="564"/>
      <c r="H755" s="564"/>
      <c r="I755" s="564"/>
      <c r="J755" s="564"/>
      <c r="K755" s="564"/>
      <c r="L755" s="564"/>
      <c r="M755" s="564"/>
      <c r="N755" s="564"/>
      <c r="O755" s="564"/>
      <c r="P755" s="564"/>
      <c r="Q755" s="564"/>
      <c r="R755" s="564"/>
      <c r="S755" s="564"/>
      <c r="T755" s="564"/>
      <c r="U755" s="564"/>
      <c r="V755" s="564"/>
      <c r="W755" s="564"/>
      <c r="X755" s="564"/>
      <c r="Y755" s="564"/>
      <c r="Z755" s="564"/>
      <c r="AA755" s="564"/>
      <c r="AB755" s="556"/>
      <c r="AC755" s="556"/>
      <c r="AD755" s="556"/>
      <c r="AE755" s="556"/>
      <c r="AF755" s="556"/>
      <c r="AG755" s="556"/>
      <c r="AH755" s="556"/>
      <c r="AI755" s="556"/>
      <c r="AJ755" s="556"/>
      <c r="AK755" s="556"/>
      <c r="AL755" s="556"/>
      <c r="AM755" s="556"/>
      <c r="AN755" s="556"/>
      <c r="AO755" s="556"/>
      <c r="AP755" s="556"/>
      <c r="AQ755" s="556"/>
      <c r="AR755" s="556"/>
      <c r="AS755" s="565"/>
      <c r="AT755" s="556"/>
    </row>
    <row r="756" spans="1:46" hidden="1" x14ac:dyDescent="0.45">
      <c r="A756" s="556"/>
      <c r="B756" s="556"/>
      <c r="C756" s="556"/>
      <c r="D756" s="564"/>
      <c r="E756" s="556"/>
      <c r="F756" s="564"/>
      <c r="G756" s="564"/>
      <c r="H756" s="564"/>
      <c r="I756" s="564"/>
      <c r="J756" s="564"/>
      <c r="K756" s="564"/>
      <c r="L756" s="564"/>
      <c r="M756" s="564"/>
      <c r="N756" s="564"/>
      <c r="O756" s="564"/>
      <c r="P756" s="564"/>
      <c r="Q756" s="564"/>
      <c r="R756" s="564"/>
      <c r="S756" s="564"/>
      <c r="T756" s="564"/>
      <c r="U756" s="564"/>
      <c r="V756" s="564"/>
      <c r="W756" s="564"/>
      <c r="X756" s="564"/>
      <c r="Y756" s="564"/>
      <c r="Z756" s="564"/>
      <c r="AA756" s="564"/>
      <c r="AB756" s="556"/>
      <c r="AC756" s="556"/>
      <c r="AD756" s="556"/>
      <c r="AE756" s="556"/>
      <c r="AF756" s="556"/>
      <c r="AG756" s="556"/>
      <c r="AH756" s="556"/>
      <c r="AI756" s="556"/>
      <c r="AJ756" s="556"/>
      <c r="AK756" s="556"/>
      <c r="AL756" s="556"/>
      <c r="AM756" s="556"/>
      <c r="AN756" s="556"/>
      <c r="AO756" s="556"/>
      <c r="AP756" s="556"/>
      <c r="AQ756" s="556"/>
      <c r="AR756" s="556"/>
      <c r="AS756" s="565"/>
      <c r="AT756" s="556"/>
    </row>
    <row r="757" spans="1:46" hidden="1" x14ac:dyDescent="0.45">
      <c r="A757" s="556"/>
      <c r="B757" s="556"/>
      <c r="C757" s="556"/>
      <c r="D757" s="564"/>
      <c r="E757" s="556"/>
      <c r="F757" s="564"/>
      <c r="G757" s="564"/>
      <c r="H757" s="564"/>
      <c r="I757" s="564"/>
      <c r="J757" s="564"/>
      <c r="K757" s="564"/>
      <c r="L757" s="564"/>
      <c r="M757" s="564"/>
      <c r="N757" s="564"/>
      <c r="O757" s="564"/>
      <c r="P757" s="564"/>
      <c r="Q757" s="564"/>
      <c r="R757" s="564"/>
      <c r="S757" s="564"/>
      <c r="T757" s="564"/>
      <c r="U757" s="564"/>
      <c r="V757" s="564"/>
      <c r="W757" s="564"/>
      <c r="X757" s="564"/>
      <c r="Y757" s="564"/>
      <c r="Z757" s="564"/>
      <c r="AA757" s="564"/>
      <c r="AB757" s="556"/>
      <c r="AC757" s="556"/>
      <c r="AD757" s="556"/>
      <c r="AE757" s="556"/>
      <c r="AF757" s="556"/>
      <c r="AG757" s="556"/>
      <c r="AH757" s="556"/>
      <c r="AI757" s="556"/>
      <c r="AJ757" s="556"/>
      <c r="AK757" s="556"/>
      <c r="AL757" s="556"/>
      <c r="AM757" s="556"/>
      <c r="AN757" s="556"/>
      <c r="AO757" s="556"/>
      <c r="AP757" s="556"/>
      <c r="AQ757" s="556"/>
      <c r="AR757" s="556"/>
      <c r="AS757" s="565"/>
      <c r="AT757" s="556"/>
    </row>
    <row r="758" spans="1:46" hidden="1" x14ac:dyDescent="0.45">
      <c r="A758" s="556"/>
      <c r="B758" s="556"/>
      <c r="C758" s="556"/>
      <c r="D758" s="564"/>
      <c r="E758" s="556"/>
      <c r="F758" s="564"/>
      <c r="G758" s="564"/>
      <c r="H758" s="564"/>
      <c r="I758" s="564"/>
      <c r="J758" s="564"/>
      <c r="K758" s="564"/>
      <c r="L758" s="564"/>
      <c r="M758" s="564"/>
      <c r="N758" s="564"/>
      <c r="O758" s="564"/>
      <c r="P758" s="564"/>
      <c r="Q758" s="564"/>
      <c r="R758" s="564"/>
      <c r="S758" s="564"/>
      <c r="T758" s="564"/>
      <c r="U758" s="564"/>
      <c r="V758" s="564"/>
      <c r="W758" s="564"/>
      <c r="X758" s="564"/>
      <c r="Y758" s="564"/>
      <c r="Z758" s="564"/>
      <c r="AA758" s="564"/>
      <c r="AB758" s="556"/>
      <c r="AC758" s="556"/>
      <c r="AD758" s="556"/>
      <c r="AE758" s="556"/>
      <c r="AF758" s="556"/>
      <c r="AG758" s="556"/>
      <c r="AH758" s="556"/>
      <c r="AI758" s="556"/>
      <c r="AJ758" s="556"/>
      <c r="AK758" s="556"/>
      <c r="AL758" s="556"/>
      <c r="AM758" s="556"/>
      <c r="AN758" s="556"/>
      <c r="AO758" s="556"/>
      <c r="AP758" s="556"/>
      <c r="AQ758" s="556"/>
      <c r="AR758" s="556"/>
      <c r="AS758" s="565"/>
      <c r="AT758" s="556"/>
    </row>
    <row r="759" spans="1:46" hidden="1" x14ac:dyDescent="0.45">
      <c r="A759" s="556"/>
      <c r="B759" s="556"/>
      <c r="C759" s="556"/>
      <c r="D759" s="564"/>
      <c r="E759" s="556"/>
      <c r="F759" s="564"/>
      <c r="G759" s="564"/>
      <c r="H759" s="564"/>
      <c r="I759" s="564"/>
      <c r="J759" s="564"/>
      <c r="K759" s="564"/>
      <c r="L759" s="564"/>
      <c r="M759" s="564"/>
      <c r="N759" s="564"/>
      <c r="O759" s="564"/>
      <c r="P759" s="564"/>
      <c r="Q759" s="564"/>
      <c r="R759" s="564"/>
      <c r="S759" s="564"/>
      <c r="T759" s="564"/>
      <c r="U759" s="564"/>
      <c r="V759" s="564"/>
      <c r="W759" s="564"/>
      <c r="X759" s="564"/>
      <c r="Y759" s="564"/>
      <c r="Z759" s="564"/>
      <c r="AA759" s="564"/>
      <c r="AB759" s="556"/>
      <c r="AC759" s="556"/>
      <c r="AD759" s="556"/>
      <c r="AE759" s="556"/>
      <c r="AF759" s="556"/>
      <c r="AG759" s="556"/>
      <c r="AH759" s="556"/>
      <c r="AI759" s="556"/>
      <c r="AJ759" s="556"/>
      <c r="AK759" s="556"/>
      <c r="AL759" s="556"/>
      <c r="AM759" s="556"/>
      <c r="AN759" s="556"/>
      <c r="AO759" s="556"/>
      <c r="AP759" s="556"/>
      <c r="AQ759" s="556"/>
      <c r="AR759" s="556"/>
      <c r="AS759" s="565"/>
      <c r="AT759" s="556"/>
    </row>
    <row r="760" spans="1:46" hidden="1" x14ac:dyDescent="0.45">
      <c r="A760" s="556"/>
      <c r="B760" s="556"/>
      <c r="C760" s="556"/>
      <c r="D760" s="564"/>
      <c r="E760" s="556"/>
      <c r="F760" s="564"/>
      <c r="G760" s="564"/>
      <c r="H760" s="564"/>
      <c r="I760" s="564"/>
      <c r="J760" s="564"/>
      <c r="K760" s="564"/>
      <c r="L760" s="564"/>
      <c r="M760" s="564"/>
      <c r="N760" s="564"/>
      <c r="O760" s="564"/>
      <c r="P760" s="564"/>
      <c r="Q760" s="564"/>
      <c r="R760" s="564"/>
      <c r="S760" s="564"/>
      <c r="T760" s="564"/>
      <c r="U760" s="564"/>
      <c r="V760" s="564"/>
      <c r="W760" s="564"/>
      <c r="X760" s="564"/>
      <c r="Y760" s="564"/>
      <c r="Z760" s="564"/>
      <c r="AA760" s="564"/>
      <c r="AB760" s="556"/>
      <c r="AC760" s="556"/>
      <c r="AD760" s="556"/>
      <c r="AE760" s="556"/>
      <c r="AF760" s="556"/>
      <c r="AG760" s="556"/>
      <c r="AH760" s="556"/>
      <c r="AI760" s="556"/>
      <c r="AJ760" s="556"/>
      <c r="AK760" s="556"/>
      <c r="AL760" s="556"/>
      <c r="AM760" s="556"/>
      <c r="AN760" s="556"/>
      <c r="AO760" s="556"/>
      <c r="AP760" s="556"/>
      <c r="AQ760" s="556"/>
      <c r="AR760" s="556"/>
      <c r="AS760" s="565"/>
      <c r="AT760" s="556"/>
    </row>
    <row r="761" spans="1:46" hidden="1" x14ac:dyDescent="0.45">
      <c r="A761" s="556"/>
      <c r="B761" s="556"/>
      <c r="C761" s="556"/>
      <c r="D761" s="564"/>
      <c r="E761" s="556"/>
      <c r="F761" s="564"/>
      <c r="G761" s="564"/>
      <c r="H761" s="564"/>
      <c r="I761" s="564"/>
      <c r="J761" s="564"/>
      <c r="K761" s="564"/>
      <c r="L761" s="564"/>
      <c r="M761" s="564"/>
      <c r="N761" s="564"/>
      <c r="O761" s="564"/>
      <c r="P761" s="564"/>
      <c r="Q761" s="564"/>
      <c r="R761" s="564"/>
      <c r="S761" s="564"/>
      <c r="T761" s="564"/>
      <c r="U761" s="564"/>
      <c r="V761" s="564"/>
      <c r="W761" s="564"/>
      <c r="X761" s="564"/>
      <c r="Y761" s="564"/>
      <c r="Z761" s="564"/>
      <c r="AA761" s="564"/>
      <c r="AB761" s="556"/>
      <c r="AC761" s="556"/>
      <c r="AD761" s="556"/>
      <c r="AE761" s="556"/>
      <c r="AF761" s="556"/>
      <c r="AG761" s="556"/>
      <c r="AH761" s="556"/>
      <c r="AI761" s="556"/>
      <c r="AJ761" s="556"/>
      <c r="AK761" s="556"/>
      <c r="AL761" s="556"/>
      <c r="AM761" s="556"/>
      <c r="AN761" s="556"/>
      <c r="AO761" s="556"/>
      <c r="AP761" s="556"/>
      <c r="AQ761" s="556"/>
      <c r="AR761" s="556"/>
      <c r="AS761" s="565"/>
      <c r="AT761" s="556"/>
    </row>
    <row r="762" spans="1:46" hidden="1" x14ac:dyDescent="0.45">
      <c r="A762" s="556"/>
      <c r="B762" s="556"/>
      <c r="C762" s="556"/>
      <c r="D762" s="564"/>
      <c r="E762" s="556"/>
      <c r="F762" s="564"/>
      <c r="G762" s="564"/>
      <c r="H762" s="564"/>
      <c r="I762" s="564"/>
      <c r="J762" s="564"/>
      <c r="K762" s="564"/>
      <c r="L762" s="564"/>
      <c r="M762" s="564"/>
      <c r="N762" s="564"/>
      <c r="O762" s="564"/>
      <c r="P762" s="564"/>
      <c r="Q762" s="564"/>
      <c r="R762" s="564"/>
      <c r="S762" s="564"/>
      <c r="T762" s="564"/>
      <c r="U762" s="564"/>
      <c r="V762" s="564"/>
      <c r="W762" s="564"/>
      <c r="X762" s="564"/>
      <c r="Y762" s="564"/>
      <c r="Z762" s="564"/>
      <c r="AA762" s="564"/>
      <c r="AB762" s="556"/>
      <c r="AC762" s="556"/>
      <c r="AD762" s="556"/>
      <c r="AE762" s="556"/>
      <c r="AF762" s="556"/>
      <c r="AG762" s="556"/>
      <c r="AH762" s="556"/>
      <c r="AI762" s="556"/>
      <c r="AJ762" s="556"/>
      <c r="AK762" s="556"/>
      <c r="AL762" s="556"/>
      <c r="AM762" s="556"/>
      <c r="AN762" s="556"/>
      <c r="AO762" s="556"/>
      <c r="AP762" s="556"/>
      <c r="AQ762" s="556"/>
      <c r="AR762" s="556"/>
      <c r="AS762" s="565"/>
      <c r="AT762" s="556"/>
    </row>
    <row r="763" spans="1:46" hidden="1" x14ac:dyDescent="0.45">
      <c r="A763" s="556"/>
      <c r="B763" s="556"/>
      <c r="C763" s="556"/>
      <c r="D763" s="564"/>
      <c r="E763" s="556"/>
      <c r="F763" s="564"/>
      <c r="G763" s="564"/>
      <c r="H763" s="564"/>
      <c r="I763" s="564"/>
      <c r="J763" s="564"/>
      <c r="K763" s="564"/>
      <c r="L763" s="564"/>
      <c r="M763" s="564"/>
      <c r="N763" s="564"/>
      <c r="O763" s="564"/>
      <c r="P763" s="564"/>
      <c r="Q763" s="564"/>
      <c r="R763" s="564"/>
      <c r="S763" s="564"/>
      <c r="T763" s="564"/>
      <c r="U763" s="564"/>
      <c r="V763" s="564"/>
      <c r="W763" s="564"/>
      <c r="X763" s="564"/>
      <c r="Y763" s="564"/>
      <c r="Z763" s="564"/>
      <c r="AA763" s="564"/>
      <c r="AB763" s="556"/>
      <c r="AC763" s="556"/>
      <c r="AD763" s="556"/>
      <c r="AE763" s="556"/>
      <c r="AF763" s="556"/>
      <c r="AG763" s="556"/>
      <c r="AH763" s="556"/>
      <c r="AI763" s="556"/>
      <c r="AJ763" s="556"/>
      <c r="AK763" s="556"/>
      <c r="AL763" s="556"/>
      <c r="AM763" s="556"/>
      <c r="AN763" s="556"/>
      <c r="AO763" s="556"/>
      <c r="AP763" s="556"/>
      <c r="AQ763" s="556"/>
      <c r="AR763" s="556"/>
      <c r="AS763" s="565"/>
      <c r="AT763" s="556"/>
    </row>
    <row r="764" spans="1:46" hidden="1" x14ac:dyDescent="0.45">
      <c r="A764" s="556"/>
      <c r="B764" s="556"/>
      <c r="C764" s="556"/>
      <c r="D764" s="564"/>
      <c r="E764" s="556"/>
      <c r="F764" s="564"/>
      <c r="G764" s="564"/>
      <c r="H764" s="564"/>
      <c r="I764" s="564"/>
      <c r="J764" s="564"/>
      <c r="K764" s="564"/>
      <c r="L764" s="564"/>
      <c r="M764" s="564"/>
      <c r="N764" s="564"/>
      <c r="O764" s="564"/>
      <c r="P764" s="564"/>
      <c r="Q764" s="564"/>
      <c r="R764" s="564"/>
      <c r="S764" s="564"/>
      <c r="T764" s="564"/>
      <c r="U764" s="564"/>
      <c r="V764" s="564"/>
      <c r="W764" s="564"/>
      <c r="X764" s="564"/>
      <c r="Y764" s="564"/>
      <c r="Z764" s="564"/>
      <c r="AA764" s="564"/>
      <c r="AB764" s="556"/>
      <c r="AC764" s="556"/>
      <c r="AD764" s="556"/>
      <c r="AE764" s="556"/>
      <c r="AF764" s="556"/>
      <c r="AG764" s="556"/>
      <c r="AH764" s="556"/>
      <c r="AI764" s="556"/>
      <c r="AJ764" s="556"/>
      <c r="AK764" s="556"/>
      <c r="AL764" s="556"/>
      <c r="AM764" s="556"/>
      <c r="AN764" s="556"/>
      <c r="AO764" s="556"/>
      <c r="AP764" s="556"/>
      <c r="AQ764" s="556"/>
      <c r="AR764" s="556"/>
      <c r="AS764" s="565"/>
      <c r="AT764" s="556"/>
    </row>
    <row r="765" spans="1:46" hidden="1" x14ac:dyDescent="0.45">
      <c r="A765" s="556"/>
      <c r="B765" s="556"/>
      <c r="C765" s="556"/>
      <c r="D765" s="564"/>
      <c r="E765" s="556"/>
      <c r="F765" s="564"/>
      <c r="G765" s="564"/>
      <c r="H765" s="564"/>
      <c r="I765" s="564"/>
      <c r="J765" s="564"/>
      <c r="K765" s="564"/>
      <c r="L765" s="564"/>
      <c r="M765" s="564"/>
      <c r="N765" s="564"/>
      <c r="O765" s="564"/>
      <c r="P765" s="564"/>
      <c r="Q765" s="564"/>
      <c r="R765" s="564"/>
      <c r="S765" s="564"/>
      <c r="T765" s="564"/>
      <c r="U765" s="564"/>
      <c r="V765" s="564"/>
      <c r="W765" s="564"/>
      <c r="X765" s="564"/>
      <c r="Y765" s="564"/>
      <c r="Z765" s="564"/>
      <c r="AA765" s="564"/>
      <c r="AB765" s="556"/>
      <c r="AC765" s="556"/>
      <c r="AD765" s="556"/>
      <c r="AE765" s="556"/>
      <c r="AF765" s="556"/>
      <c r="AG765" s="556"/>
      <c r="AH765" s="556"/>
      <c r="AI765" s="556"/>
      <c r="AJ765" s="556"/>
      <c r="AK765" s="556"/>
      <c r="AL765" s="556"/>
      <c r="AM765" s="556"/>
      <c r="AN765" s="556"/>
      <c r="AO765" s="556"/>
      <c r="AP765" s="556"/>
      <c r="AQ765" s="556"/>
      <c r="AR765" s="556"/>
      <c r="AS765" s="565"/>
      <c r="AT765" s="556"/>
    </row>
    <row r="766" spans="1:46" hidden="1" x14ac:dyDescent="0.45">
      <c r="A766" s="556"/>
      <c r="B766" s="556"/>
      <c r="C766" s="556"/>
      <c r="D766" s="564"/>
      <c r="E766" s="556"/>
      <c r="F766" s="564"/>
      <c r="G766" s="564"/>
      <c r="H766" s="564"/>
      <c r="I766" s="564"/>
      <c r="J766" s="564"/>
      <c r="K766" s="564"/>
      <c r="L766" s="564"/>
      <c r="M766" s="564"/>
      <c r="N766" s="564"/>
      <c r="O766" s="564"/>
      <c r="P766" s="564"/>
      <c r="Q766" s="564"/>
      <c r="R766" s="564"/>
      <c r="S766" s="564"/>
      <c r="T766" s="564"/>
      <c r="U766" s="564"/>
      <c r="V766" s="564"/>
      <c r="W766" s="564"/>
      <c r="X766" s="564"/>
      <c r="Y766" s="564"/>
      <c r="Z766" s="564"/>
      <c r="AA766" s="564"/>
      <c r="AB766" s="556"/>
      <c r="AC766" s="556"/>
      <c r="AD766" s="556"/>
      <c r="AE766" s="556"/>
      <c r="AF766" s="556"/>
      <c r="AG766" s="556"/>
      <c r="AH766" s="556"/>
      <c r="AI766" s="556"/>
      <c r="AJ766" s="556"/>
      <c r="AK766" s="556"/>
      <c r="AL766" s="556"/>
      <c r="AM766" s="556"/>
      <c r="AN766" s="556"/>
      <c r="AO766" s="556"/>
      <c r="AP766" s="556"/>
      <c r="AQ766" s="556"/>
      <c r="AR766" s="556"/>
      <c r="AS766" s="565"/>
      <c r="AT766" s="556"/>
    </row>
    <row r="767" spans="1:46" hidden="1" x14ac:dyDescent="0.45">
      <c r="A767" s="556"/>
      <c r="B767" s="556"/>
      <c r="C767" s="556"/>
      <c r="D767" s="564"/>
      <c r="E767" s="556"/>
      <c r="F767" s="564"/>
      <c r="G767" s="564"/>
      <c r="H767" s="564"/>
      <c r="I767" s="564"/>
      <c r="J767" s="564"/>
      <c r="K767" s="564"/>
      <c r="L767" s="564"/>
      <c r="M767" s="564"/>
      <c r="N767" s="564"/>
      <c r="O767" s="564"/>
      <c r="P767" s="564"/>
      <c r="Q767" s="564"/>
      <c r="R767" s="564"/>
      <c r="S767" s="564"/>
      <c r="T767" s="564"/>
      <c r="U767" s="564"/>
      <c r="V767" s="564"/>
      <c r="W767" s="564"/>
      <c r="X767" s="564"/>
      <c r="Y767" s="564"/>
      <c r="Z767" s="564"/>
      <c r="AA767" s="564"/>
      <c r="AB767" s="556"/>
      <c r="AC767" s="556"/>
      <c r="AD767" s="556"/>
      <c r="AE767" s="556"/>
      <c r="AF767" s="556"/>
      <c r="AG767" s="556"/>
      <c r="AH767" s="556"/>
      <c r="AI767" s="556"/>
      <c r="AJ767" s="556"/>
      <c r="AK767" s="556"/>
      <c r="AL767" s="556"/>
      <c r="AM767" s="556"/>
      <c r="AN767" s="556"/>
      <c r="AO767" s="556"/>
      <c r="AP767" s="556"/>
      <c r="AQ767" s="556"/>
      <c r="AR767" s="556"/>
      <c r="AS767" s="565"/>
      <c r="AT767" s="556"/>
    </row>
    <row r="768" spans="1:46" hidden="1" x14ac:dyDescent="0.45">
      <c r="A768" s="556"/>
      <c r="B768" s="556"/>
      <c r="C768" s="556"/>
      <c r="D768" s="564"/>
      <c r="E768" s="556"/>
      <c r="F768" s="564"/>
      <c r="G768" s="564"/>
      <c r="H768" s="564"/>
      <c r="I768" s="564"/>
      <c r="J768" s="564"/>
      <c r="K768" s="564"/>
      <c r="L768" s="564"/>
      <c r="M768" s="564"/>
      <c r="N768" s="564"/>
      <c r="O768" s="564"/>
      <c r="P768" s="564"/>
      <c r="Q768" s="564"/>
      <c r="R768" s="564"/>
      <c r="S768" s="564"/>
      <c r="T768" s="564"/>
      <c r="U768" s="564"/>
      <c r="V768" s="564"/>
      <c r="W768" s="564"/>
      <c r="X768" s="564"/>
      <c r="Y768" s="564"/>
      <c r="Z768" s="564"/>
      <c r="AA768" s="564"/>
      <c r="AB768" s="556"/>
      <c r="AC768" s="556"/>
      <c r="AD768" s="556"/>
      <c r="AE768" s="556"/>
      <c r="AF768" s="556"/>
      <c r="AG768" s="556"/>
      <c r="AH768" s="556"/>
      <c r="AI768" s="556"/>
      <c r="AJ768" s="556"/>
      <c r="AK768" s="556"/>
      <c r="AL768" s="556"/>
      <c r="AM768" s="556"/>
      <c r="AN768" s="556"/>
      <c r="AO768" s="556"/>
      <c r="AP768" s="556"/>
      <c r="AQ768" s="556"/>
      <c r="AR768" s="556"/>
      <c r="AS768" s="565"/>
      <c r="AT768" s="556"/>
    </row>
    <row r="769" spans="1:46" hidden="1" x14ac:dyDescent="0.45">
      <c r="A769" s="556"/>
      <c r="B769" s="556"/>
      <c r="C769" s="556"/>
      <c r="D769" s="564"/>
      <c r="E769" s="556"/>
      <c r="F769" s="564"/>
      <c r="G769" s="564"/>
      <c r="H769" s="564"/>
      <c r="I769" s="564"/>
      <c r="J769" s="564"/>
      <c r="K769" s="564"/>
      <c r="L769" s="564"/>
      <c r="M769" s="564"/>
      <c r="N769" s="564"/>
      <c r="O769" s="564"/>
      <c r="P769" s="564"/>
      <c r="Q769" s="564"/>
      <c r="R769" s="564"/>
      <c r="S769" s="564"/>
      <c r="T769" s="564"/>
      <c r="U769" s="564"/>
      <c r="V769" s="564"/>
      <c r="W769" s="564"/>
      <c r="X769" s="564"/>
      <c r="Y769" s="564"/>
      <c r="Z769" s="564"/>
      <c r="AA769" s="564"/>
      <c r="AB769" s="556"/>
      <c r="AC769" s="556"/>
      <c r="AD769" s="556"/>
      <c r="AE769" s="556"/>
      <c r="AF769" s="556"/>
      <c r="AG769" s="556"/>
      <c r="AH769" s="556"/>
      <c r="AI769" s="556"/>
      <c r="AJ769" s="556"/>
      <c r="AK769" s="556"/>
      <c r="AL769" s="556"/>
      <c r="AM769" s="556"/>
      <c r="AN769" s="556"/>
      <c r="AO769" s="556"/>
      <c r="AP769" s="556"/>
      <c r="AQ769" s="556"/>
      <c r="AR769" s="556"/>
      <c r="AS769" s="565"/>
      <c r="AT769" s="556"/>
    </row>
    <row r="770" spans="1:46" hidden="1" x14ac:dyDescent="0.45">
      <c r="A770" s="556"/>
      <c r="B770" s="556"/>
      <c r="C770" s="556"/>
      <c r="D770" s="564"/>
      <c r="E770" s="556"/>
      <c r="F770" s="564"/>
      <c r="G770" s="564"/>
      <c r="H770" s="564"/>
      <c r="I770" s="564"/>
      <c r="J770" s="564"/>
      <c r="K770" s="564"/>
      <c r="L770" s="564"/>
      <c r="M770" s="564"/>
      <c r="N770" s="564"/>
      <c r="O770" s="564"/>
      <c r="P770" s="564"/>
      <c r="Q770" s="564"/>
      <c r="R770" s="564"/>
      <c r="S770" s="564"/>
      <c r="T770" s="564"/>
      <c r="U770" s="564"/>
      <c r="V770" s="564"/>
      <c r="W770" s="564"/>
      <c r="X770" s="564"/>
      <c r="Y770" s="564"/>
      <c r="Z770" s="564"/>
      <c r="AA770" s="564"/>
      <c r="AB770" s="556"/>
      <c r="AC770" s="556"/>
      <c r="AD770" s="556"/>
      <c r="AE770" s="556"/>
      <c r="AF770" s="556"/>
      <c r="AG770" s="556"/>
      <c r="AH770" s="556"/>
      <c r="AI770" s="556"/>
      <c r="AJ770" s="556"/>
      <c r="AK770" s="556"/>
      <c r="AL770" s="556"/>
      <c r="AM770" s="556"/>
      <c r="AN770" s="556"/>
      <c r="AO770" s="556"/>
      <c r="AP770" s="556"/>
      <c r="AQ770" s="556"/>
      <c r="AR770" s="556"/>
      <c r="AS770" s="565"/>
      <c r="AT770" s="556"/>
    </row>
    <row r="771" spans="1:46" hidden="1" x14ac:dyDescent="0.45">
      <c r="A771" s="556"/>
      <c r="B771" s="556"/>
      <c r="C771" s="556"/>
      <c r="D771" s="564"/>
      <c r="E771" s="556"/>
      <c r="F771" s="564"/>
      <c r="G771" s="564"/>
      <c r="H771" s="564"/>
      <c r="I771" s="564"/>
      <c r="J771" s="564"/>
      <c r="K771" s="564"/>
      <c r="L771" s="564"/>
      <c r="M771" s="564"/>
      <c r="N771" s="564"/>
      <c r="O771" s="564"/>
      <c r="P771" s="564"/>
      <c r="Q771" s="564"/>
      <c r="R771" s="564"/>
      <c r="S771" s="564"/>
      <c r="T771" s="564"/>
      <c r="U771" s="564"/>
      <c r="V771" s="564"/>
      <c r="W771" s="564"/>
      <c r="X771" s="564"/>
      <c r="Y771" s="564"/>
      <c r="Z771" s="564"/>
      <c r="AA771" s="564"/>
      <c r="AB771" s="556"/>
      <c r="AC771" s="556"/>
      <c r="AD771" s="556"/>
      <c r="AE771" s="556"/>
      <c r="AF771" s="556"/>
      <c r="AG771" s="556"/>
      <c r="AH771" s="556"/>
      <c r="AI771" s="556"/>
      <c r="AJ771" s="556"/>
      <c r="AK771" s="556"/>
      <c r="AL771" s="556"/>
      <c r="AM771" s="556"/>
      <c r="AN771" s="556"/>
      <c r="AO771" s="556"/>
      <c r="AP771" s="556"/>
      <c r="AQ771" s="556"/>
      <c r="AR771" s="556"/>
      <c r="AS771" s="565"/>
      <c r="AT771" s="556"/>
    </row>
    <row r="772" spans="1:46" hidden="1" x14ac:dyDescent="0.45">
      <c r="A772" s="556"/>
      <c r="B772" s="556"/>
      <c r="C772" s="556"/>
      <c r="D772" s="564"/>
      <c r="E772" s="556"/>
      <c r="F772" s="564"/>
      <c r="G772" s="564"/>
      <c r="H772" s="564"/>
      <c r="I772" s="564"/>
      <c r="J772" s="564"/>
      <c r="K772" s="564"/>
      <c r="L772" s="564"/>
      <c r="M772" s="564"/>
      <c r="N772" s="564"/>
      <c r="O772" s="564"/>
      <c r="P772" s="564"/>
      <c r="Q772" s="564"/>
      <c r="R772" s="564"/>
      <c r="S772" s="564"/>
      <c r="T772" s="564"/>
      <c r="U772" s="564"/>
      <c r="V772" s="564"/>
      <c r="W772" s="564"/>
      <c r="X772" s="564"/>
      <c r="Y772" s="564"/>
      <c r="Z772" s="564"/>
      <c r="AA772" s="564"/>
      <c r="AB772" s="556"/>
      <c r="AC772" s="556"/>
      <c r="AD772" s="556"/>
      <c r="AE772" s="556"/>
      <c r="AF772" s="556"/>
      <c r="AG772" s="556"/>
      <c r="AH772" s="556"/>
      <c r="AI772" s="556"/>
      <c r="AJ772" s="556"/>
      <c r="AK772" s="556"/>
      <c r="AL772" s="556"/>
      <c r="AM772" s="556"/>
      <c r="AN772" s="556"/>
      <c r="AO772" s="556"/>
      <c r="AP772" s="556"/>
      <c r="AQ772" s="556"/>
      <c r="AR772" s="556"/>
      <c r="AS772" s="565"/>
      <c r="AT772" s="556"/>
    </row>
    <row r="773" spans="1:46" hidden="1" x14ac:dyDescent="0.45">
      <c r="A773" s="556"/>
      <c r="B773" s="556"/>
      <c r="C773" s="556"/>
      <c r="D773" s="564"/>
      <c r="E773" s="556"/>
      <c r="F773" s="564"/>
      <c r="G773" s="564"/>
      <c r="H773" s="564"/>
      <c r="I773" s="564"/>
      <c r="J773" s="564"/>
      <c r="K773" s="564"/>
      <c r="L773" s="564"/>
      <c r="M773" s="564"/>
      <c r="N773" s="564"/>
      <c r="O773" s="564"/>
      <c r="P773" s="564"/>
      <c r="Q773" s="564"/>
      <c r="R773" s="564"/>
      <c r="S773" s="564"/>
      <c r="T773" s="564"/>
      <c r="U773" s="564"/>
      <c r="V773" s="564"/>
      <c r="W773" s="564"/>
      <c r="X773" s="564"/>
      <c r="Y773" s="564"/>
      <c r="Z773" s="564"/>
      <c r="AA773" s="564"/>
      <c r="AB773" s="556"/>
      <c r="AC773" s="556"/>
      <c r="AD773" s="556"/>
      <c r="AE773" s="556"/>
      <c r="AF773" s="556"/>
      <c r="AG773" s="556"/>
      <c r="AH773" s="556"/>
      <c r="AI773" s="556"/>
      <c r="AJ773" s="556"/>
      <c r="AK773" s="556"/>
      <c r="AL773" s="556"/>
      <c r="AM773" s="556"/>
      <c r="AN773" s="556"/>
      <c r="AO773" s="556"/>
      <c r="AP773" s="556"/>
      <c r="AQ773" s="556"/>
      <c r="AR773" s="556"/>
      <c r="AS773" s="565"/>
      <c r="AT773" s="556"/>
    </row>
    <row r="774" spans="1:46" hidden="1" x14ac:dyDescent="0.45">
      <c r="A774" s="556"/>
      <c r="B774" s="556"/>
      <c r="C774" s="556"/>
      <c r="D774" s="564"/>
      <c r="E774" s="556"/>
      <c r="F774" s="564"/>
      <c r="G774" s="564"/>
      <c r="H774" s="564"/>
      <c r="I774" s="564"/>
      <c r="J774" s="564"/>
      <c r="K774" s="564"/>
      <c r="L774" s="564"/>
      <c r="M774" s="564"/>
      <c r="N774" s="564"/>
      <c r="O774" s="564"/>
      <c r="P774" s="564"/>
      <c r="Q774" s="564"/>
      <c r="R774" s="564"/>
      <c r="S774" s="564"/>
      <c r="T774" s="564"/>
      <c r="U774" s="564"/>
      <c r="V774" s="564"/>
      <c r="W774" s="564"/>
      <c r="X774" s="564"/>
      <c r="Y774" s="564"/>
      <c r="Z774" s="564"/>
      <c r="AA774" s="564"/>
      <c r="AB774" s="556"/>
      <c r="AC774" s="556"/>
      <c r="AD774" s="556"/>
      <c r="AE774" s="556"/>
      <c r="AF774" s="556"/>
      <c r="AG774" s="556"/>
      <c r="AH774" s="556"/>
      <c r="AI774" s="556"/>
      <c r="AJ774" s="556"/>
      <c r="AK774" s="556"/>
      <c r="AL774" s="556"/>
      <c r="AM774" s="556"/>
      <c r="AN774" s="556"/>
      <c r="AO774" s="556"/>
      <c r="AP774" s="556"/>
      <c r="AQ774" s="556"/>
      <c r="AR774" s="556"/>
      <c r="AS774" s="565"/>
      <c r="AT774" s="556"/>
    </row>
    <row r="775" spans="1:46" hidden="1" x14ac:dyDescent="0.45">
      <c r="A775" s="556"/>
      <c r="B775" s="556"/>
      <c r="C775" s="556"/>
      <c r="D775" s="564"/>
      <c r="E775" s="556"/>
      <c r="F775" s="564"/>
      <c r="G775" s="564"/>
      <c r="H775" s="564"/>
      <c r="I775" s="564"/>
      <c r="J775" s="564"/>
      <c r="K775" s="564"/>
      <c r="L775" s="564"/>
      <c r="M775" s="564"/>
      <c r="N775" s="564"/>
      <c r="O775" s="564"/>
      <c r="P775" s="564"/>
      <c r="Q775" s="564"/>
      <c r="R775" s="564"/>
      <c r="S775" s="564"/>
      <c r="T775" s="564"/>
      <c r="U775" s="564"/>
      <c r="V775" s="564"/>
      <c r="W775" s="564"/>
      <c r="X775" s="564"/>
      <c r="Y775" s="564"/>
      <c r="Z775" s="564"/>
      <c r="AA775" s="564"/>
      <c r="AB775" s="556"/>
      <c r="AC775" s="556"/>
      <c r="AD775" s="556"/>
      <c r="AE775" s="556"/>
      <c r="AF775" s="556"/>
      <c r="AG775" s="556"/>
      <c r="AH775" s="556"/>
      <c r="AI775" s="556"/>
      <c r="AJ775" s="556"/>
      <c r="AK775" s="556"/>
      <c r="AL775" s="556"/>
      <c r="AM775" s="556"/>
      <c r="AN775" s="556"/>
      <c r="AO775" s="556"/>
      <c r="AP775" s="556"/>
      <c r="AQ775" s="556"/>
      <c r="AR775" s="556"/>
      <c r="AS775" s="565"/>
      <c r="AT775" s="556"/>
    </row>
    <row r="776" spans="1:46" hidden="1" x14ac:dyDescent="0.45">
      <c r="A776" s="556"/>
      <c r="B776" s="556"/>
      <c r="C776" s="556"/>
      <c r="D776" s="564"/>
      <c r="E776" s="556"/>
      <c r="F776" s="564"/>
      <c r="G776" s="564"/>
      <c r="H776" s="564"/>
      <c r="I776" s="564"/>
      <c r="J776" s="564"/>
      <c r="K776" s="564"/>
      <c r="L776" s="564"/>
      <c r="M776" s="564"/>
      <c r="N776" s="564"/>
      <c r="O776" s="564"/>
      <c r="P776" s="564"/>
      <c r="Q776" s="564"/>
      <c r="R776" s="564"/>
      <c r="S776" s="564"/>
      <c r="T776" s="564"/>
      <c r="U776" s="564"/>
      <c r="V776" s="564"/>
      <c r="W776" s="564"/>
      <c r="X776" s="564"/>
      <c r="Y776" s="564"/>
      <c r="Z776" s="564"/>
      <c r="AA776" s="564"/>
      <c r="AB776" s="556"/>
      <c r="AC776" s="556"/>
      <c r="AD776" s="556"/>
      <c r="AE776" s="556"/>
      <c r="AF776" s="556"/>
      <c r="AG776" s="556"/>
      <c r="AH776" s="556"/>
      <c r="AI776" s="556"/>
      <c r="AJ776" s="556"/>
      <c r="AK776" s="556"/>
      <c r="AL776" s="556"/>
      <c r="AM776" s="556"/>
      <c r="AN776" s="556"/>
      <c r="AO776" s="556"/>
      <c r="AP776" s="556"/>
      <c r="AQ776" s="556"/>
      <c r="AR776" s="556"/>
      <c r="AS776" s="565"/>
      <c r="AT776" s="556"/>
    </row>
    <row r="777" spans="1:46" hidden="1" x14ac:dyDescent="0.45">
      <c r="A777" s="556"/>
      <c r="B777" s="556"/>
      <c r="C777" s="556"/>
      <c r="D777" s="564"/>
      <c r="E777" s="556"/>
      <c r="F777" s="564"/>
      <c r="G777" s="564"/>
      <c r="H777" s="564"/>
      <c r="I777" s="564"/>
      <c r="J777" s="564"/>
      <c r="K777" s="564"/>
      <c r="L777" s="564"/>
      <c r="M777" s="564"/>
      <c r="N777" s="564"/>
      <c r="O777" s="564"/>
      <c r="P777" s="564"/>
      <c r="Q777" s="564"/>
      <c r="R777" s="564"/>
      <c r="S777" s="564"/>
      <c r="T777" s="564"/>
      <c r="U777" s="564"/>
      <c r="V777" s="564"/>
      <c r="W777" s="564"/>
      <c r="X777" s="564"/>
      <c r="Y777" s="564"/>
      <c r="Z777" s="564"/>
      <c r="AA777" s="564"/>
      <c r="AB777" s="556"/>
      <c r="AC777" s="556"/>
      <c r="AD777" s="556"/>
      <c r="AE777" s="556"/>
      <c r="AF777" s="556"/>
      <c r="AG777" s="556"/>
      <c r="AH777" s="556"/>
      <c r="AI777" s="556"/>
      <c r="AJ777" s="556"/>
      <c r="AK777" s="556"/>
      <c r="AL777" s="556"/>
      <c r="AM777" s="556"/>
      <c r="AN777" s="556"/>
      <c r="AO777" s="556"/>
      <c r="AP777" s="556"/>
      <c r="AQ777" s="556"/>
      <c r="AR777" s="556"/>
      <c r="AS777" s="565"/>
      <c r="AT777" s="556"/>
    </row>
    <row r="778" spans="1:46" hidden="1" x14ac:dyDescent="0.45">
      <c r="A778" s="556"/>
      <c r="B778" s="556"/>
      <c r="C778" s="556"/>
      <c r="D778" s="564"/>
      <c r="E778" s="556"/>
      <c r="F778" s="564"/>
      <c r="G778" s="564"/>
      <c r="H778" s="564"/>
      <c r="I778" s="564"/>
      <c r="J778" s="564"/>
      <c r="K778" s="564"/>
      <c r="L778" s="564"/>
      <c r="M778" s="564"/>
      <c r="N778" s="564"/>
      <c r="O778" s="564"/>
      <c r="P778" s="564"/>
      <c r="Q778" s="564"/>
      <c r="R778" s="564"/>
      <c r="S778" s="564"/>
      <c r="T778" s="564"/>
      <c r="U778" s="564"/>
      <c r="V778" s="564"/>
      <c r="W778" s="564"/>
      <c r="X778" s="564"/>
      <c r="Y778" s="564"/>
      <c r="Z778" s="564"/>
      <c r="AA778" s="564"/>
      <c r="AB778" s="556"/>
      <c r="AC778" s="556"/>
      <c r="AD778" s="556"/>
      <c r="AE778" s="556"/>
      <c r="AF778" s="556"/>
      <c r="AG778" s="556"/>
      <c r="AH778" s="556"/>
      <c r="AI778" s="556"/>
      <c r="AJ778" s="556"/>
      <c r="AK778" s="556"/>
      <c r="AL778" s="556"/>
      <c r="AM778" s="556"/>
      <c r="AN778" s="556"/>
      <c r="AO778" s="556"/>
      <c r="AP778" s="556"/>
      <c r="AQ778" s="556"/>
      <c r="AR778" s="556"/>
      <c r="AS778" s="565"/>
      <c r="AT778" s="556"/>
    </row>
    <row r="779" spans="1:46" hidden="1" x14ac:dyDescent="0.45">
      <c r="A779" s="556"/>
      <c r="B779" s="556"/>
      <c r="C779" s="556"/>
      <c r="D779" s="564"/>
      <c r="E779" s="556"/>
      <c r="F779" s="564"/>
      <c r="G779" s="564"/>
      <c r="H779" s="564"/>
      <c r="I779" s="564"/>
      <c r="J779" s="564"/>
      <c r="K779" s="564"/>
      <c r="L779" s="564"/>
      <c r="M779" s="564"/>
      <c r="N779" s="564"/>
      <c r="O779" s="564"/>
      <c r="P779" s="564"/>
      <c r="Q779" s="564"/>
      <c r="R779" s="564"/>
      <c r="S779" s="564"/>
      <c r="T779" s="564"/>
      <c r="U779" s="564"/>
      <c r="V779" s="564"/>
      <c r="W779" s="564"/>
      <c r="X779" s="564"/>
      <c r="Y779" s="564"/>
      <c r="Z779" s="564"/>
      <c r="AA779" s="564"/>
      <c r="AB779" s="556"/>
      <c r="AC779" s="556"/>
      <c r="AD779" s="556"/>
      <c r="AE779" s="556"/>
      <c r="AF779" s="556"/>
      <c r="AG779" s="556"/>
      <c r="AH779" s="556"/>
      <c r="AI779" s="556"/>
      <c r="AJ779" s="556"/>
      <c r="AK779" s="556"/>
      <c r="AL779" s="556"/>
      <c r="AM779" s="556"/>
      <c r="AN779" s="556"/>
      <c r="AO779" s="556"/>
      <c r="AP779" s="556"/>
      <c r="AQ779" s="556"/>
      <c r="AR779" s="556"/>
      <c r="AS779" s="565"/>
      <c r="AT779" s="556"/>
    </row>
    <row r="780" spans="1:46" hidden="1" x14ac:dyDescent="0.45">
      <c r="A780" s="556"/>
      <c r="B780" s="556"/>
      <c r="C780" s="556"/>
      <c r="D780" s="564"/>
      <c r="E780" s="556"/>
      <c r="F780" s="564"/>
      <c r="G780" s="564"/>
      <c r="H780" s="564"/>
      <c r="I780" s="564"/>
      <c r="J780" s="564"/>
      <c r="K780" s="564"/>
      <c r="L780" s="564"/>
      <c r="M780" s="564"/>
      <c r="N780" s="564"/>
      <c r="O780" s="564"/>
      <c r="P780" s="564"/>
      <c r="Q780" s="564"/>
      <c r="R780" s="564"/>
      <c r="S780" s="564"/>
      <c r="T780" s="564"/>
      <c r="U780" s="564"/>
      <c r="V780" s="564"/>
      <c r="W780" s="564"/>
      <c r="X780" s="564"/>
      <c r="Y780" s="564"/>
      <c r="Z780" s="564"/>
      <c r="AA780" s="564"/>
      <c r="AB780" s="556"/>
      <c r="AC780" s="556"/>
      <c r="AD780" s="556"/>
      <c r="AE780" s="556"/>
      <c r="AF780" s="556"/>
      <c r="AG780" s="556"/>
      <c r="AH780" s="556"/>
      <c r="AI780" s="556"/>
      <c r="AJ780" s="556"/>
      <c r="AK780" s="556"/>
      <c r="AL780" s="556"/>
      <c r="AM780" s="556"/>
      <c r="AN780" s="556"/>
      <c r="AO780" s="556"/>
      <c r="AP780" s="556"/>
      <c r="AQ780" s="556"/>
      <c r="AR780" s="556"/>
      <c r="AS780" s="565"/>
      <c r="AT780" s="556"/>
    </row>
    <row r="781" spans="1:46" hidden="1" x14ac:dyDescent="0.45">
      <c r="A781" s="556"/>
      <c r="B781" s="556"/>
      <c r="C781" s="556"/>
      <c r="D781" s="564"/>
      <c r="E781" s="556"/>
      <c r="F781" s="564"/>
      <c r="G781" s="564"/>
      <c r="H781" s="564"/>
      <c r="I781" s="564"/>
      <c r="J781" s="564"/>
      <c r="K781" s="564"/>
      <c r="L781" s="564"/>
      <c r="M781" s="564"/>
      <c r="N781" s="564"/>
      <c r="O781" s="564"/>
      <c r="P781" s="564"/>
      <c r="Q781" s="564"/>
      <c r="R781" s="564"/>
      <c r="S781" s="564"/>
      <c r="T781" s="564"/>
      <c r="U781" s="564"/>
      <c r="V781" s="564"/>
      <c r="W781" s="564"/>
      <c r="X781" s="564"/>
      <c r="Y781" s="564"/>
      <c r="Z781" s="564"/>
      <c r="AA781" s="564"/>
      <c r="AB781" s="556"/>
      <c r="AC781" s="556"/>
      <c r="AD781" s="556"/>
      <c r="AE781" s="556"/>
      <c r="AF781" s="556"/>
      <c r="AG781" s="556"/>
      <c r="AH781" s="556"/>
      <c r="AI781" s="556"/>
      <c r="AJ781" s="556"/>
      <c r="AK781" s="556"/>
      <c r="AL781" s="556"/>
      <c r="AM781" s="556"/>
      <c r="AN781" s="556"/>
      <c r="AO781" s="556"/>
      <c r="AP781" s="556"/>
      <c r="AQ781" s="556"/>
      <c r="AR781" s="556"/>
      <c r="AS781" s="565"/>
      <c r="AT781" s="556"/>
    </row>
    <row r="782" spans="1:46" hidden="1" x14ac:dyDescent="0.45">
      <c r="A782" s="556"/>
      <c r="B782" s="556"/>
      <c r="C782" s="556"/>
      <c r="D782" s="564"/>
      <c r="E782" s="556"/>
      <c r="F782" s="564"/>
      <c r="G782" s="564"/>
      <c r="H782" s="564"/>
      <c r="I782" s="564"/>
      <c r="J782" s="564"/>
      <c r="K782" s="564"/>
      <c r="L782" s="564"/>
      <c r="M782" s="564"/>
      <c r="N782" s="564"/>
      <c r="O782" s="564"/>
      <c r="P782" s="564"/>
      <c r="Q782" s="564"/>
      <c r="R782" s="564"/>
      <c r="S782" s="564"/>
      <c r="T782" s="564"/>
      <c r="U782" s="564"/>
      <c r="V782" s="564"/>
      <c r="W782" s="564"/>
      <c r="X782" s="564"/>
      <c r="Y782" s="564"/>
      <c r="Z782" s="564"/>
      <c r="AA782" s="564"/>
      <c r="AB782" s="556"/>
      <c r="AC782" s="556"/>
      <c r="AD782" s="556"/>
      <c r="AE782" s="556"/>
      <c r="AF782" s="556"/>
      <c r="AG782" s="556"/>
      <c r="AH782" s="556"/>
      <c r="AI782" s="556"/>
      <c r="AJ782" s="556"/>
      <c r="AK782" s="556"/>
      <c r="AL782" s="556"/>
      <c r="AM782" s="556"/>
      <c r="AN782" s="556"/>
      <c r="AO782" s="556"/>
      <c r="AP782" s="556"/>
      <c r="AQ782" s="556"/>
      <c r="AR782" s="556"/>
      <c r="AS782" s="565"/>
      <c r="AT782" s="556"/>
    </row>
    <row r="783" spans="1:46" hidden="1" x14ac:dyDescent="0.45">
      <c r="A783" s="556"/>
      <c r="B783" s="556"/>
      <c r="C783" s="556"/>
      <c r="D783" s="564"/>
      <c r="E783" s="556"/>
      <c r="F783" s="564"/>
      <c r="G783" s="564"/>
      <c r="H783" s="564"/>
      <c r="I783" s="564"/>
      <c r="J783" s="564"/>
      <c r="K783" s="564"/>
      <c r="L783" s="564"/>
      <c r="M783" s="564"/>
      <c r="N783" s="564"/>
      <c r="O783" s="564"/>
      <c r="P783" s="564"/>
      <c r="Q783" s="564"/>
      <c r="R783" s="564"/>
      <c r="S783" s="564"/>
      <c r="T783" s="564"/>
      <c r="U783" s="564"/>
      <c r="V783" s="564"/>
      <c r="W783" s="564"/>
      <c r="X783" s="564"/>
      <c r="Y783" s="564"/>
      <c r="Z783" s="564"/>
      <c r="AA783" s="564"/>
      <c r="AB783" s="556"/>
      <c r="AC783" s="556"/>
      <c r="AD783" s="556"/>
      <c r="AE783" s="556"/>
      <c r="AF783" s="556"/>
      <c r="AG783" s="556"/>
      <c r="AH783" s="556"/>
      <c r="AI783" s="556"/>
      <c r="AJ783" s="556"/>
      <c r="AK783" s="556"/>
      <c r="AL783" s="556"/>
      <c r="AM783" s="556"/>
      <c r="AN783" s="556"/>
      <c r="AO783" s="556"/>
      <c r="AP783" s="556"/>
      <c r="AQ783" s="556"/>
      <c r="AR783" s="556"/>
      <c r="AS783" s="565"/>
      <c r="AT783" s="556"/>
    </row>
    <row r="784" spans="1:46" hidden="1" x14ac:dyDescent="0.45">
      <c r="A784" s="556"/>
      <c r="B784" s="556"/>
      <c r="C784" s="556"/>
      <c r="D784" s="564"/>
      <c r="E784" s="556"/>
      <c r="F784" s="564"/>
      <c r="G784" s="564"/>
      <c r="H784" s="564"/>
      <c r="I784" s="564"/>
      <c r="J784" s="564"/>
      <c r="K784" s="564"/>
      <c r="L784" s="564"/>
      <c r="M784" s="564"/>
      <c r="N784" s="564"/>
      <c r="O784" s="564"/>
      <c r="P784" s="564"/>
      <c r="Q784" s="564"/>
      <c r="R784" s="564"/>
      <c r="S784" s="564"/>
      <c r="T784" s="564"/>
      <c r="U784" s="564"/>
      <c r="V784" s="564"/>
      <c r="W784" s="564"/>
      <c r="X784" s="564"/>
      <c r="Y784" s="564"/>
      <c r="Z784" s="564"/>
      <c r="AA784" s="564"/>
      <c r="AB784" s="556"/>
      <c r="AC784" s="556"/>
      <c r="AD784" s="556"/>
      <c r="AE784" s="556"/>
      <c r="AF784" s="556"/>
      <c r="AG784" s="556"/>
      <c r="AH784" s="556"/>
      <c r="AI784" s="556"/>
      <c r="AJ784" s="556"/>
      <c r="AK784" s="556"/>
      <c r="AL784" s="556"/>
      <c r="AM784" s="556"/>
      <c r="AN784" s="556"/>
      <c r="AO784" s="556"/>
      <c r="AP784" s="556"/>
      <c r="AQ784" s="556"/>
      <c r="AR784" s="556"/>
      <c r="AS784" s="565"/>
      <c r="AT784" s="556"/>
    </row>
    <row r="785" spans="1:46" hidden="1" x14ac:dyDescent="0.45">
      <c r="A785" s="556"/>
      <c r="B785" s="556"/>
      <c r="C785" s="556"/>
      <c r="D785" s="564"/>
      <c r="E785" s="556"/>
      <c r="F785" s="564"/>
      <c r="G785" s="564"/>
      <c r="H785" s="564"/>
      <c r="I785" s="564"/>
      <c r="J785" s="564"/>
      <c r="K785" s="564"/>
      <c r="L785" s="564"/>
      <c r="M785" s="564"/>
      <c r="N785" s="564"/>
      <c r="O785" s="564"/>
      <c r="P785" s="564"/>
      <c r="Q785" s="564"/>
      <c r="R785" s="564"/>
      <c r="S785" s="564"/>
      <c r="T785" s="564"/>
      <c r="U785" s="564"/>
      <c r="V785" s="564"/>
      <c r="W785" s="564"/>
      <c r="X785" s="564"/>
      <c r="Y785" s="564"/>
      <c r="Z785" s="564"/>
      <c r="AA785" s="564"/>
      <c r="AB785" s="556"/>
      <c r="AC785" s="556"/>
      <c r="AD785" s="556"/>
      <c r="AE785" s="556"/>
      <c r="AF785" s="556"/>
      <c r="AG785" s="556"/>
      <c r="AH785" s="556"/>
      <c r="AI785" s="556"/>
      <c r="AJ785" s="556"/>
      <c r="AK785" s="556"/>
      <c r="AL785" s="556"/>
      <c r="AM785" s="556"/>
      <c r="AN785" s="556"/>
      <c r="AO785" s="556"/>
      <c r="AP785" s="556"/>
      <c r="AQ785" s="556"/>
      <c r="AR785" s="556"/>
      <c r="AS785" s="565"/>
      <c r="AT785" s="556"/>
    </row>
    <row r="786" spans="1:46" hidden="1" x14ac:dyDescent="0.45">
      <c r="A786" s="556"/>
      <c r="B786" s="556"/>
      <c r="C786" s="556"/>
      <c r="D786" s="564"/>
      <c r="E786" s="556"/>
      <c r="F786" s="564"/>
      <c r="G786" s="564"/>
      <c r="H786" s="564"/>
      <c r="I786" s="564"/>
      <c r="J786" s="564"/>
      <c r="K786" s="564"/>
      <c r="L786" s="564"/>
      <c r="M786" s="564"/>
      <c r="N786" s="564"/>
      <c r="O786" s="564"/>
      <c r="P786" s="564"/>
      <c r="Q786" s="564"/>
      <c r="R786" s="564"/>
      <c r="S786" s="564"/>
      <c r="T786" s="564"/>
      <c r="U786" s="564"/>
      <c r="V786" s="564"/>
      <c r="W786" s="564"/>
      <c r="X786" s="564"/>
      <c r="Y786" s="564"/>
      <c r="Z786" s="564"/>
      <c r="AA786" s="564"/>
      <c r="AB786" s="556"/>
      <c r="AC786" s="556"/>
      <c r="AD786" s="556"/>
      <c r="AE786" s="556"/>
      <c r="AF786" s="556"/>
      <c r="AG786" s="556"/>
      <c r="AH786" s="556"/>
      <c r="AI786" s="556"/>
      <c r="AJ786" s="556"/>
      <c r="AK786" s="556"/>
      <c r="AL786" s="556"/>
      <c r="AM786" s="556"/>
      <c r="AN786" s="556"/>
      <c r="AO786" s="556"/>
      <c r="AP786" s="556"/>
      <c r="AQ786" s="556"/>
      <c r="AR786" s="556"/>
      <c r="AS786" s="565"/>
      <c r="AT786" s="556"/>
    </row>
    <row r="787" spans="1:46" hidden="1" x14ac:dyDescent="0.45">
      <c r="A787" s="556"/>
      <c r="B787" s="556"/>
      <c r="C787" s="556"/>
      <c r="D787" s="564"/>
      <c r="E787" s="556"/>
      <c r="F787" s="564"/>
      <c r="G787" s="564"/>
      <c r="H787" s="564"/>
      <c r="I787" s="564"/>
      <c r="J787" s="564"/>
      <c r="K787" s="564"/>
      <c r="L787" s="564"/>
      <c r="M787" s="564"/>
      <c r="N787" s="564"/>
      <c r="O787" s="564"/>
      <c r="P787" s="564"/>
      <c r="Q787" s="564"/>
      <c r="R787" s="564"/>
      <c r="S787" s="564"/>
      <c r="T787" s="564"/>
      <c r="U787" s="564"/>
      <c r="V787" s="564"/>
      <c r="W787" s="564"/>
      <c r="X787" s="564"/>
      <c r="Y787" s="564"/>
      <c r="Z787" s="564"/>
      <c r="AA787" s="564"/>
      <c r="AB787" s="556"/>
      <c r="AC787" s="556"/>
      <c r="AD787" s="556"/>
      <c r="AE787" s="556"/>
      <c r="AF787" s="556"/>
      <c r="AG787" s="556"/>
      <c r="AH787" s="556"/>
      <c r="AI787" s="556"/>
      <c r="AJ787" s="556"/>
      <c r="AK787" s="556"/>
      <c r="AL787" s="556"/>
      <c r="AM787" s="556"/>
      <c r="AN787" s="556"/>
      <c r="AO787" s="556"/>
      <c r="AP787" s="556"/>
      <c r="AQ787" s="556"/>
      <c r="AR787" s="556"/>
      <c r="AS787" s="565"/>
      <c r="AT787" s="556"/>
    </row>
    <row r="788" spans="1:46" hidden="1" x14ac:dyDescent="0.45">
      <c r="A788" s="556"/>
      <c r="B788" s="556"/>
      <c r="C788" s="556"/>
      <c r="D788" s="564"/>
      <c r="E788" s="556"/>
      <c r="F788" s="564"/>
      <c r="G788" s="564"/>
      <c r="H788" s="564"/>
      <c r="I788" s="564"/>
      <c r="J788" s="564"/>
      <c r="K788" s="564"/>
      <c r="L788" s="564"/>
      <c r="M788" s="564"/>
      <c r="N788" s="564"/>
      <c r="O788" s="564"/>
      <c r="P788" s="564"/>
      <c r="Q788" s="564"/>
      <c r="R788" s="564"/>
      <c r="S788" s="564"/>
      <c r="T788" s="564"/>
      <c r="U788" s="564"/>
      <c r="V788" s="564"/>
      <c r="W788" s="564"/>
      <c r="X788" s="564"/>
      <c r="Y788" s="564"/>
      <c r="Z788" s="564"/>
      <c r="AA788" s="564"/>
      <c r="AB788" s="556"/>
      <c r="AC788" s="556"/>
      <c r="AD788" s="556"/>
      <c r="AE788" s="556"/>
      <c r="AF788" s="556"/>
      <c r="AG788" s="556"/>
      <c r="AH788" s="556"/>
      <c r="AI788" s="556"/>
      <c r="AJ788" s="556"/>
      <c r="AK788" s="556"/>
      <c r="AL788" s="556"/>
      <c r="AM788" s="556"/>
      <c r="AN788" s="556"/>
      <c r="AO788" s="556"/>
      <c r="AP788" s="556"/>
      <c r="AQ788" s="556"/>
      <c r="AR788" s="556"/>
      <c r="AS788" s="565"/>
      <c r="AT788" s="556"/>
    </row>
    <row r="789" spans="1:46" hidden="1" x14ac:dyDescent="0.45">
      <c r="A789" s="556"/>
      <c r="B789" s="556"/>
      <c r="C789" s="556"/>
      <c r="D789" s="564"/>
      <c r="E789" s="556"/>
      <c r="F789" s="564"/>
      <c r="G789" s="564"/>
      <c r="H789" s="564"/>
      <c r="I789" s="564"/>
      <c r="J789" s="564"/>
      <c r="K789" s="564"/>
      <c r="L789" s="564"/>
      <c r="M789" s="564"/>
      <c r="N789" s="564"/>
      <c r="O789" s="564"/>
      <c r="P789" s="564"/>
      <c r="Q789" s="564"/>
      <c r="R789" s="564"/>
      <c r="S789" s="564"/>
      <c r="T789" s="564"/>
      <c r="U789" s="564"/>
      <c r="V789" s="564"/>
      <c r="W789" s="564"/>
      <c r="X789" s="564"/>
      <c r="Y789" s="564"/>
      <c r="Z789" s="564"/>
      <c r="AA789" s="564"/>
      <c r="AB789" s="556"/>
      <c r="AC789" s="556"/>
      <c r="AD789" s="556"/>
      <c r="AE789" s="556"/>
      <c r="AF789" s="556"/>
      <c r="AG789" s="556"/>
      <c r="AH789" s="556"/>
      <c r="AI789" s="556"/>
      <c r="AJ789" s="556"/>
      <c r="AK789" s="556"/>
      <c r="AL789" s="556"/>
      <c r="AM789" s="556"/>
      <c r="AN789" s="556"/>
      <c r="AO789" s="556"/>
      <c r="AP789" s="556"/>
      <c r="AQ789" s="556"/>
      <c r="AR789" s="556"/>
      <c r="AS789" s="565"/>
      <c r="AT789" s="556"/>
    </row>
    <row r="790" spans="1:46" hidden="1" x14ac:dyDescent="0.45">
      <c r="A790" s="556"/>
      <c r="B790" s="556"/>
      <c r="C790" s="556"/>
      <c r="D790" s="564"/>
      <c r="E790" s="556"/>
      <c r="F790" s="564"/>
      <c r="G790" s="564"/>
      <c r="H790" s="564"/>
      <c r="I790" s="564"/>
      <c r="J790" s="564"/>
      <c r="K790" s="564"/>
      <c r="L790" s="564"/>
      <c r="M790" s="564"/>
      <c r="N790" s="564"/>
      <c r="O790" s="564"/>
      <c r="P790" s="564"/>
      <c r="Q790" s="564"/>
      <c r="R790" s="564"/>
      <c r="S790" s="564"/>
      <c r="T790" s="564"/>
      <c r="U790" s="564"/>
      <c r="V790" s="564"/>
      <c r="W790" s="564"/>
      <c r="X790" s="564"/>
      <c r="Y790" s="564"/>
      <c r="Z790" s="564"/>
      <c r="AA790" s="564"/>
      <c r="AB790" s="556"/>
      <c r="AC790" s="556"/>
      <c r="AD790" s="556"/>
      <c r="AE790" s="556"/>
      <c r="AF790" s="556"/>
      <c r="AG790" s="556"/>
      <c r="AH790" s="556"/>
      <c r="AI790" s="556"/>
      <c r="AJ790" s="556"/>
      <c r="AK790" s="556"/>
      <c r="AL790" s="556"/>
      <c r="AM790" s="556"/>
      <c r="AN790" s="556"/>
      <c r="AO790" s="556"/>
      <c r="AP790" s="556"/>
      <c r="AQ790" s="556"/>
      <c r="AR790" s="556"/>
      <c r="AS790" s="565"/>
      <c r="AT790" s="556"/>
    </row>
    <row r="791" spans="1:46" hidden="1" x14ac:dyDescent="0.45">
      <c r="A791" s="556"/>
      <c r="B791" s="556"/>
      <c r="C791" s="556"/>
      <c r="D791" s="564"/>
      <c r="E791" s="556"/>
      <c r="F791" s="564"/>
      <c r="G791" s="564"/>
      <c r="H791" s="564"/>
      <c r="I791" s="564"/>
      <c r="J791" s="564"/>
      <c r="K791" s="564"/>
      <c r="L791" s="564"/>
      <c r="M791" s="564"/>
      <c r="N791" s="564"/>
      <c r="O791" s="564"/>
      <c r="P791" s="564"/>
      <c r="Q791" s="564"/>
      <c r="R791" s="564"/>
      <c r="S791" s="564"/>
      <c r="T791" s="564"/>
      <c r="U791" s="564"/>
      <c r="V791" s="564"/>
      <c r="W791" s="564"/>
      <c r="X791" s="564"/>
      <c r="Y791" s="564"/>
      <c r="Z791" s="564"/>
      <c r="AA791" s="564"/>
      <c r="AB791" s="556"/>
      <c r="AC791" s="556"/>
      <c r="AD791" s="556"/>
      <c r="AE791" s="556"/>
      <c r="AF791" s="556"/>
      <c r="AG791" s="556"/>
      <c r="AH791" s="556"/>
      <c r="AI791" s="556"/>
      <c r="AJ791" s="556"/>
      <c r="AK791" s="556"/>
      <c r="AL791" s="556"/>
      <c r="AM791" s="556"/>
      <c r="AN791" s="556"/>
      <c r="AO791" s="556"/>
      <c r="AP791" s="556"/>
      <c r="AQ791" s="556"/>
      <c r="AR791" s="556"/>
      <c r="AS791" s="565"/>
      <c r="AT791" s="556"/>
    </row>
    <row r="792" spans="1:46" hidden="1" x14ac:dyDescent="0.45">
      <c r="A792" s="556"/>
      <c r="B792" s="556"/>
      <c r="C792" s="556"/>
      <c r="D792" s="564"/>
      <c r="E792" s="556"/>
      <c r="F792" s="564"/>
      <c r="G792" s="564"/>
      <c r="H792" s="564"/>
      <c r="I792" s="564"/>
      <c r="J792" s="564"/>
      <c r="K792" s="564"/>
      <c r="L792" s="564"/>
      <c r="M792" s="564"/>
      <c r="N792" s="564"/>
      <c r="O792" s="564"/>
      <c r="P792" s="564"/>
      <c r="Q792" s="564"/>
      <c r="R792" s="564"/>
      <c r="S792" s="564"/>
      <c r="T792" s="564"/>
      <c r="U792" s="564"/>
      <c r="V792" s="564"/>
      <c r="W792" s="564"/>
      <c r="X792" s="564"/>
      <c r="Y792" s="564"/>
      <c r="Z792" s="564"/>
      <c r="AA792" s="564"/>
      <c r="AB792" s="556"/>
      <c r="AC792" s="556"/>
      <c r="AD792" s="556"/>
      <c r="AE792" s="556"/>
      <c r="AF792" s="556"/>
      <c r="AG792" s="556"/>
      <c r="AH792" s="556"/>
      <c r="AI792" s="556"/>
      <c r="AJ792" s="556"/>
      <c r="AK792" s="556"/>
      <c r="AL792" s="556"/>
      <c r="AM792" s="556"/>
      <c r="AN792" s="556"/>
      <c r="AO792" s="556"/>
      <c r="AP792" s="556"/>
      <c r="AQ792" s="556"/>
      <c r="AR792" s="556"/>
      <c r="AS792" s="565"/>
      <c r="AT792" s="556"/>
    </row>
    <row r="793" spans="1:46" hidden="1" x14ac:dyDescent="0.45">
      <c r="A793" s="556"/>
      <c r="B793" s="556"/>
      <c r="C793" s="556"/>
      <c r="D793" s="564"/>
      <c r="E793" s="556"/>
      <c r="F793" s="564"/>
      <c r="G793" s="564"/>
      <c r="H793" s="564"/>
      <c r="I793" s="564"/>
      <c r="J793" s="564"/>
      <c r="K793" s="564"/>
      <c r="L793" s="564"/>
      <c r="M793" s="564"/>
      <c r="N793" s="564"/>
      <c r="O793" s="564"/>
      <c r="P793" s="564"/>
      <c r="Q793" s="564"/>
      <c r="R793" s="564"/>
      <c r="S793" s="564"/>
      <c r="T793" s="564"/>
      <c r="U793" s="564"/>
      <c r="V793" s="564"/>
      <c r="W793" s="564"/>
      <c r="X793" s="564"/>
      <c r="Y793" s="564"/>
      <c r="Z793" s="564"/>
      <c r="AA793" s="564"/>
      <c r="AB793" s="556"/>
      <c r="AC793" s="556"/>
      <c r="AD793" s="556"/>
      <c r="AE793" s="556"/>
      <c r="AF793" s="556"/>
      <c r="AG793" s="556"/>
      <c r="AH793" s="556"/>
      <c r="AI793" s="556"/>
      <c r="AJ793" s="556"/>
      <c r="AK793" s="556"/>
      <c r="AL793" s="556"/>
      <c r="AM793" s="556"/>
      <c r="AN793" s="556"/>
      <c r="AO793" s="556"/>
      <c r="AP793" s="556"/>
      <c r="AQ793" s="556"/>
      <c r="AR793" s="556"/>
      <c r="AS793" s="565"/>
      <c r="AT793" s="556"/>
    </row>
    <row r="794" spans="1:46" hidden="1" x14ac:dyDescent="0.45">
      <c r="A794" s="556"/>
      <c r="B794" s="556"/>
      <c r="C794" s="556"/>
      <c r="D794" s="564"/>
      <c r="E794" s="556"/>
      <c r="F794" s="564"/>
      <c r="G794" s="564"/>
      <c r="H794" s="564"/>
      <c r="I794" s="564"/>
      <c r="J794" s="564"/>
      <c r="K794" s="564"/>
      <c r="L794" s="564"/>
      <c r="M794" s="564"/>
      <c r="N794" s="564"/>
      <c r="O794" s="564"/>
      <c r="P794" s="564"/>
      <c r="Q794" s="564"/>
      <c r="R794" s="564"/>
      <c r="S794" s="564"/>
      <c r="T794" s="564"/>
      <c r="U794" s="564"/>
      <c r="V794" s="564"/>
      <c r="W794" s="564"/>
      <c r="X794" s="564"/>
      <c r="Y794" s="564"/>
      <c r="Z794" s="564"/>
      <c r="AA794" s="564"/>
      <c r="AB794" s="556"/>
      <c r="AC794" s="556"/>
      <c r="AD794" s="556"/>
      <c r="AE794" s="556"/>
      <c r="AF794" s="556"/>
      <c r="AG794" s="556"/>
      <c r="AH794" s="556"/>
      <c r="AI794" s="556"/>
      <c r="AJ794" s="556"/>
      <c r="AK794" s="556"/>
      <c r="AL794" s="556"/>
      <c r="AM794" s="556"/>
      <c r="AN794" s="556"/>
      <c r="AO794" s="556"/>
      <c r="AP794" s="556"/>
      <c r="AQ794" s="556"/>
      <c r="AR794" s="556"/>
      <c r="AS794" s="565"/>
      <c r="AT794" s="556"/>
    </row>
    <row r="795" spans="1:46" hidden="1" x14ac:dyDescent="0.45">
      <c r="A795" s="556"/>
      <c r="B795" s="556"/>
      <c r="C795" s="556"/>
      <c r="D795" s="564"/>
      <c r="E795" s="556"/>
      <c r="F795" s="564"/>
      <c r="G795" s="564"/>
      <c r="H795" s="564"/>
      <c r="I795" s="564"/>
      <c r="J795" s="564"/>
      <c r="K795" s="564"/>
      <c r="L795" s="564"/>
      <c r="M795" s="564"/>
      <c r="N795" s="564"/>
      <c r="O795" s="564"/>
      <c r="P795" s="564"/>
      <c r="Q795" s="564"/>
      <c r="R795" s="564"/>
      <c r="S795" s="564"/>
      <c r="T795" s="564"/>
      <c r="U795" s="564"/>
      <c r="V795" s="564"/>
      <c r="W795" s="564"/>
      <c r="X795" s="564"/>
      <c r="Y795" s="564"/>
      <c r="Z795" s="564"/>
      <c r="AA795" s="564"/>
      <c r="AB795" s="556"/>
      <c r="AC795" s="556"/>
      <c r="AD795" s="556"/>
      <c r="AE795" s="556"/>
      <c r="AF795" s="556"/>
      <c r="AG795" s="556"/>
      <c r="AH795" s="556"/>
      <c r="AI795" s="556"/>
      <c r="AJ795" s="556"/>
      <c r="AK795" s="556"/>
      <c r="AL795" s="556"/>
      <c r="AM795" s="556"/>
      <c r="AN795" s="556"/>
      <c r="AO795" s="556"/>
      <c r="AP795" s="556"/>
      <c r="AQ795" s="556"/>
      <c r="AR795" s="556"/>
      <c r="AS795" s="565"/>
      <c r="AT795" s="556"/>
    </row>
    <row r="796" spans="1:46" hidden="1" x14ac:dyDescent="0.45">
      <c r="A796" s="556"/>
      <c r="B796" s="556"/>
      <c r="C796" s="556"/>
      <c r="D796" s="564"/>
      <c r="E796" s="556"/>
      <c r="F796" s="564"/>
      <c r="G796" s="564"/>
      <c r="H796" s="564"/>
      <c r="I796" s="564"/>
      <c r="J796" s="564"/>
      <c r="K796" s="564"/>
      <c r="L796" s="564"/>
      <c r="M796" s="564"/>
      <c r="N796" s="564"/>
      <c r="O796" s="564"/>
      <c r="P796" s="564"/>
      <c r="Q796" s="564"/>
      <c r="R796" s="564"/>
      <c r="S796" s="564"/>
      <c r="T796" s="564"/>
      <c r="U796" s="564"/>
      <c r="V796" s="564"/>
      <c r="W796" s="564"/>
      <c r="X796" s="564"/>
      <c r="Y796" s="564"/>
      <c r="Z796" s="564"/>
      <c r="AA796" s="564"/>
      <c r="AB796" s="556"/>
      <c r="AC796" s="556"/>
      <c r="AD796" s="556"/>
      <c r="AE796" s="556"/>
      <c r="AF796" s="556"/>
      <c r="AG796" s="556"/>
      <c r="AH796" s="556"/>
      <c r="AI796" s="556"/>
      <c r="AJ796" s="556"/>
      <c r="AK796" s="556"/>
      <c r="AL796" s="556"/>
      <c r="AM796" s="556"/>
      <c r="AN796" s="556"/>
      <c r="AO796" s="556"/>
      <c r="AP796" s="556"/>
      <c r="AQ796" s="556"/>
      <c r="AR796" s="556"/>
      <c r="AS796" s="565"/>
      <c r="AT796" s="556"/>
    </row>
    <row r="797" spans="1:46" hidden="1" x14ac:dyDescent="0.45">
      <c r="A797" s="556"/>
      <c r="B797" s="556"/>
      <c r="C797" s="556"/>
      <c r="D797" s="564"/>
      <c r="E797" s="556"/>
      <c r="F797" s="564"/>
      <c r="G797" s="564"/>
      <c r="H797" s="564"/>
      <c r="I797" s="564"/>
      <c r="J797" s="564"/>
      <c r="K797" s="564"/>
      <c r="L797" s="564"/>
      <c r="M797" s="564"/>
      <c r="N797" s="564"/>
      <c r="O797" s="564"/>
      <c r="P797" s="564"/>
      <c r="Q797" s="564"/>
      <c r="R797" s="564"/>
      <c r="S797" s="564"/>
      <c r="T797" s="564"/>
      <c r="U797" s="564"/>
      <c r="V797" s="564"/>
      <c r="W797" s="564"/>
      <c r="X797" s="564"/>
      <c r="Y797" s="564"/>
      <c r="Z797" s="564"/>
      <c r="AA797" s="564"/>
      <c r="AB797" s="556"/>
      <c r="AC797" s="556"/>
      <c r="AD797" s="556"/>
      <c r="AE797" s="556"/>
      <c r="AF797" s="556"/>
      <c r="AG797" s="556"/>
      <c r="AH797" s="556"/>
      <c r="AI797" s="556"/>
      <c r="AJ797" s="556"/>
      <c r="AK797" s="556"/>
      <c r="AL797" s="556"/>
      <c r="AM797" s="556"/>
      <c r="AN797" s="556"/>
      <c r="AO797" s="556"/>
      <c r="AP797" s="556"/>
      <c r="AQ797" s="556"/>
      <c r="AR797" s="556"/>
      <c r="AS797" s="565"/>
      <c r="AT797" s="556"/>
    </row>
    <row r="798" spans="1:46" hidden="1" x14ac:dyDescent="0.45">
      <c r="A798" s="556"/>
      <c r="B798" s="556"/>
      <c r="C798" s="556"/>
      <c r="D798" s="564"/>
      <c r="E798" s="556"/>
      <c r="F798" s="564"/>
      <c r="G798" s="564"/>
      <c r="H798" s="564"/>
      <c r="I798" s="564"/>
      <c r="J798" s="564"/>
      <c r="K798" s="564"/>
      <c r="L798" s="564"/>
      <c r="M798" s="564"/>
      <c r="N798" s="564"/>
      <c r="O798" s="564"/>
      <c r="P798" s="564"/>
      <c r="Q798" s="564"/>
      <c r="R798" s="564"/>
      <c r="S798" s="564"/>
      <c r="T798" s="564"/>
      <c r="U798" s="564"/>
      <c r="V798" s="564"/>
      <c r="W798" s="564"/>
      <c r="X798" s="564"/>
      <c r="Y798" s="564"/>
      <c r="Z798" s="564"/>
      <c r="AA798" s="564"/>
      <c r="AB798" s="556"/>
      <c r="AC798" s="556"/>
      <c r="AD798" s="556"/>
      <c r="AE798" s="556"/>
      <c r="AF798" s="556"/>
      <c r="AG798" s="556"/>
      <c r="AH798" s="556"/>
      <c r="AI798" s="556"/>
      <c r="AJ798" s="556"/>
      <c r="AK798" s="556"/>
      <c r="AL798" s="556"/>
      <c r="AM798" s="556"/>
      <c r="AN798" s="556"/>
      <c r="AO798" s="556"/>
      <c r="AP798" s="556"/>
      <c r="AQ798" s="556"/>
      <c r="AR798" s="556"/>
      <c r="AS798" s="565"/>
      <c r="AT798" s="556"/>
    </row>
    <row r="799" spans="1:46" hidden="1" x14ac:dyDescent="0.45">
      <c r="A799" s="556"/>
      <c r="B799" s="556"/>
      <c r="C799" s="556"/>
      <c r="D799" s="564"/>
      <c r="E799" s="556"/>
      <c r="F799" s="564"/>
      <c r="G799" s="564"/>
      <c r="H799" s="564"/>
      <c r="I799" s="564"/>
      <c r="J799" s="564"/>
      <c r="K799" s="564"/>
      <c r="L799" s="564"/>
      <c r="M799" s="564"/>
      <c r="N799" s="564"/>
      <c r="O799" s="564"/>
      <c r="P799" s="564"/>
      <c r="Q799" s="564"/>
      <c r="R799" s="564"/>
      <c r="S799" s="564"/>
      <c r="T799" s="564"/>
      <c r="U799" s="564"/>
      <c r="V799" s="564"/>
      <c r="W799" s="564"/>
      <c r="X799" s="564"/>
      <c r="Y799" s="564"/>
      <c r="Z799" s="564"/>
      <c r="AA799" s="564"/>
      <c r="AB799" s="556"/>
      <c r="AC799" s="556"/>
      <c r="AD799" s="556"/>
      <c r="AE799" s="556"/>
      <c r="AF799" s="556"/>
      <c r="AG799" s="556"/>
      <c r="AH799" s="556"/>
      <c r="AI799" s="556"/>
      <c r="AJ799" s="556"/>
      <c r="AK799" s="556"/>
      <c r="AL799" s="556"/>
      <c r="AM799" s="556"/>
      <c r="AN799" s="556"/>
      <c r="AO799" s="556"/>
      <c r="AP799" s="556"/>
      <c r="AQ799" s="556"/>
      <c r="AR799" s="556"/>
      <c r="AS799" s="565"/>
      <c r="AT799" s="556"/>
    </row>
    <row r="800" spans="1:46" hidden="1" x14ac:dyDescent="0.45">
      <c r="A800" s="556"/>
      <c r="B800" s="556"/>
      <c r="C800" s="556"/>
      <c r="D800" s="564"/>
      <c r="E800" s="556"/>
      <c r="F800" s="564"/>
      <c r="G800" s="564"/>
      <c r="H800" s="564"/>
      <c r="I800" s="564"/>
      <c r="J800" s="564"/>
      <c r="K800" s="564"/>
      <c r="L800" s="564"/>
      <c r="M800" s="564"/>
      <c r="N800" s="564"/>
      <c r="O800" s="564"/>
      <c r="P800" s="564"/>
      <c r="Q800" s="564"/>
      <c r="R800" s="564"/>
      <c r="S800" s="564"/>
      <c r="T800" s="564"/>
      <c r="U800" s="564"/>
      <c r="V800" s="564"/>
      <c r="W800" s="564"/>
      <c r="X800" s="564"/>
      <c r="Y800" s="564"/>
      <c r="Z800" s="564"/>
      <c r="AA800" s="564"/>
      <c r="AB800" s="556"/>
      <c r="AC800" s="556"/>
      <c r="AD800" s="556"/>
      <c r="AE800" s="556"/>
      <c r="AF800" s="556"/>
      <c r="AG800" s="556"/>
      <c r="AH800" s="556"/>
      <c r="AI800" s="556"/>
      <c r="AJ800" s="556"/>
      <c r="AK800" s="556"/>
      <c r="AL800" s="556"/>
      <c r="AM800" s="556"/>
      <c r="AN800" s="556"/>
      <c r="AO800" s="556"/>
      <c r="AP800" s="556"/>
      <c r="AQ800" s="556"/>
      <c r="AR800" s="556"/>
      <c r="AS800" s="565"/>
      <c r="AT800" s="556"/>
    </row>
    <row r="801" spans="1:46" hidden="1" x14ac:dyDescent="0.45">
      <c r="A801" s="556"/>
      <c r="B801" s="556"/>
      <c r="C801" s="556"/>
      <c r="D801" s="564"/>
      <c r="E801" s="556"/>
      <c r="F801" s="564"/>
      <c r="G801" s="564"/>
      <c r="H801" s="564"/>
      <c r="I801" s="564"/>
      <c r="J801" s="564"/>
      <c r="K801" s="564"/>
      <c r="L801" s="564"/>
      <c r="M801" s="564"/>
      <c r="N801" s="564"/>
      <c r="O801" s="564"/>
      <c r="P801" s="564"/>
      <c r="Q801" s="564"/>
      <c r="R801" s="564"/>
      <c r="S801" s="564"/>
      <c r="T801" s="564"/>
      <c r="U801" s="564"/>
      <c r="V801" s="564"/>
      <c r="W801" s="564"/>
      <c r="X801" s="564"/>
      <c r="Y801" s="564"/>
      <c r="Z801" s="564"/>
      <c r="AA801" s="564"/>
      <c r="AB801" s="556"/>
      <c r="AC801" s="556"/>
      <c r="AD801" s="556"/>
      <c r="AE801" s="556"/>
      <c r="AF801" s="556"/>
      <c r="AG801" s="556"/>
      <c r="AH801" s="556"/>
      <c r="AI801" s="556"/>
      <c r="AJ801" s="556"/>
      <c r="AK801" s="556"/>
      <c r="AL801" s="556"/>
      <c r="AM801" s="556"/>
      <c r="AN801" s="556"/>
      <c r="AO801" s="556"/>
      <c r="AP801" s="556"/>
      <c r="AQ801" s="556"/>
      <c r="AR801" s="556"/>
      <c r="AS801" s="565"/>
      <c r="AT801" s="556"/>
    </row>
    <row r="802" spans="1:46" hidden="1" x14ac:dyDescent="0.45">
      <c r="A802" s="556"/>
      <c r="B802" s="556"/>
      <c r="C802" s="556"/>
      <c r="D802" s="564"/>
      <c r="E802" s="556"/>
      <c r="F802" s="564"/>
      <c r="G802" s="564"/>
      <c r="H802" s="564"/>
      <c r="I802" s="564"/>
      <c r="J802" s="564"/>
      <c r="K802" s="564"/>
      <c r="L802" s="564"/>
      <c r="M802" s="564"/>
      <c r="N802" s="564"/>
      <c r="O802" s="564"/>
      <c r="P802" s="564"/>
      <c r="Q802" s="564"/>
      <c r="R802" s="564"/>
      <c r="S802" s="564"/>
      <c r="T802" s="564"/>
      <c r="U802" s="564"/>
      <c r="V802" s="564"/>
      <c r="W802" s="564"/>
      <c r="X802" s="564"/>
      <c r="Y802" s="564"/>
      <c r="Z802" s="564"/>
      <c r="AA802" s="564"/>
      <c r="AB802" s="556"/>
      <c r="AC802" s="556"/>
      <c r="AD802" s="556"/>
      <c r="AE802" s="556"/>
      <c r="AF802" s="556"/>
      <c r="AG802" s="556"/>
      <c r="AH802" s="556"/>
      <c r="AI802" s="556"/>
      <c r="AJ802" s="556"/>
      <c r="AK802" s="556"/>
      <c r="AL802" s="556"/>
      <c r="AM802" s="556"/>
      <c r="AN802" s="556"/>
      <c r="AO802" s="556"/>
      <c r="AP802" s="556"/>
      <c r="AQ802" s="556"/>
      <c r="AR802" s="556"/>
      <c r="AS802" s="565"/>
      <c r="AT802" s="556"/>
    </row>
    <row r="803" spans="1:46" hidden="1" x14ac:dyDescent="0.45">
      <c r="A803" s="556"/>
      <c r="B803" s="556"/>
      <c r="C803" s="556"/>
      <c r="D803" s="564"/>
      <c r="E803" s="556"/>
      <c r="F803" s="564"/>
      <c r="G803" s="564"/>
      <c r="H803" s="564"/>
      <c r="I803" s="564"/>
      <c r="J803" s="564"/>
      <c r="K803" s="564"/>
      <c r="L803" s="564"/>
      <c r="M803" s="564"/>
      <c r="N803" s="564"/>
      <c r="O803" s="564"/>
      <c r="P803" s="564"/>
      <c r="Q803" s="564"/>
      <c r="R803" s="564"/>
      <c r="S803" s="564"/>
      <c r="T803" s="564"/>
      <c r="U803" s="564"/>
      <c r="V803" s="564"/>
      <c r="W803" s="564"/>
      <c r="X803" s="564"/>
      <c r="Y803" s="564"/>
      <c r="Z803" s="564"/>
      <c r="AA803" s="564"/>
      <c r="AB803" s="556"/>
      <c r="AC803" s="556"/>
      <c r="AD803" s="556"/>
      <c r="AE803" s="556"/>
      <c r="AF803" s="556"/>
      <c r="AG803" s="556"/>
      <c r="AH803" s="556"/>
      <c r="AI803" s="556"/>
      <c r="AJ803" s="556"/>
      <c r="AK803" s="556"/>
      <c r="AL803" s="556"/>
      <c r="AM803" s="556"/>
      <c r="AN803" s="556"/>
      <c r="AO803" s="556"/>
      <c r="AP803" s="556"/>
      <c r="AQ803" s="556"/>
      <c r="AR803" s="556"/>
      <c r="AS803" s="565"/>
      <c r="AT803" s="556"/>
    </row>
    <row r="804" spans="1:46" hidden="1" x14ac:dyDescent="0.45">
      <c r="A804" s="556"/>
      <c r="B804" s="556"/>
      <c r="C804" s="556"/>
      <c r="D804" s="564"/>
      <c r="E804" s="556"/>
      <c r="F804" s="564"/>
      <c r="G804" s="564"/>
      <c r="H804" s="564"/>
      <c r="I804" s="564"/>
      <c r="J804" s="564"/>
      <c r="K804" s="564"/>
      <c r="L804" s="564"/>
      <c r="M804" s="564"/>
      <c r="N804" s="564"/>
      <c r="O804" s="564"/>
      <c r="P804" s="564"/>
      <c r="Q804" s="564"/>
      <c r="R804" s="564"/>
      <c r="S804" s="564"/>
      <c r="T804" s="564"/>
      <c r="U804" s="564"/>
      <c r="V804" s="564"/>
      <c r="W804" s="564"/>
      <c r="X804" s="564"/>
      <c r="Y804" s="564"/>
      <c r="Z804" s="564"/>
      <c r="AA804" s="564"/>
      <c r="AB804" s="556"/>
      <c r="AC804" s="556"/>
      <c r="AD804" s="556"/>
      <c r="AE804" s="556"/>
      <c r="AF804" s="556"/>
      <c r="AG804" s="556"/>
      <c r="AH804" s="556"/>
      <c r="AI804" s="556"/>
      <c r="AJ804" s="556"/>
      <c r="AK804" s="556"/>
      <c r="AL804" s="556"/>
      <c r="AM804" s="556"/>
      <c r="AN804" s="556"/>
      <c r="AO804" s="556"/>
      <c r="AP804" s="556"/>
      <c r="AQ804" s="556"/>
      <c r="AR804" s="556"/>
      <c r="AS804" s="565"/>
      <c r="AT804" s="556"/>
    </row>
    <row r="805" spans="1:46" hidden="1" x14ac:dyDescent="0.45">
      <c r="A805" s="556"/>
      <c r="B805" s="556"/>
      <c r="C805" s="556"/>
      <c r="D805" s="564"/>
      <c r="E805" s="556"/>
      <c r="F805" s="564"/>
      <c r="G805" s="564"/>
      <c r="H805" s="564"/>
      <c r="I805" s="564"/>
      <c r="J805" s="564"/>
      <c r="K805" s="564"/>
      <c r="L805" s="564"/>
      <c r="M805" s="564"/>
      <c r="N805" s="564"/>
      <c r="O805" s="564"/>
      <c r="P805" s="564"/>
      <c r="Q805" s="564"/>
      <c r="R805" s="564"/>
      <c r="S805" s="564"/>
      <c r="T805" s="564"/>
      <c r="U805" s="564"/>
      <c r="V805" s="564"/>
      <c r="W805" s="564"/>
      <c r="X805" s="564"/>
      <c r="Y805" s="564"/>
      <c r="Z805" s="564"/>
      <c r="AA805" s="564"/>
      <c r="AB805" s="556"/>
      <c r="AC805" s="556"/>
      <c r="AD805" s="556"/>
      <c r="AE805" s="556"/>
      <c r="AF805" s="556"/>
      <c r="AG805" s="556"/>
      <c r="AH805" s="556"/>
      <c r="AI805" s="556"/>
      <c r="AJ805" s="556"/>
      <c r="AK805" s="556"/>
      <c r="AL805" s="556"/>
      <c r="AM805" s="556"/>
      <c r="AN805" s="556"/>
      <c r="AO805" s="556"/>
      <c r="AP805" s="556"/>
      <c r="AQ805" s="556"/>
      <c r="AR805" s="556"/>
      <c r="AS805" s="565"/>
      <c r="AT805" s="556"/>
    </row>
    <row r="806" spans="1:46" hidden="1" x14ac:dyDescent="0.45">
      <c r="A806" s="556"/>
      <c r="B806" s="556"/>
      <c r="C806" s="556"/>
      <c r="D806" s="564"/>
      <c r="E806" s="556"/>
      <c r="F806" s="564"/>
      <c r="G806" s="564"/>
      <c r="H806" s="564"/>
      <c r="I806" s="564"/>
      <c r="J806" s="564"/>
      <c r="K806" s="564"/>
      <c r="L806" s="564"/>
      <c r="M806" s="564"/>
      <c r="N806" s="564"/>
      <c r="O806" s="564"/>
      <c r="P806" s="564"/>
      <c r="Q806" s="564"/>
      <c r="R806" s="564"/>
      <c r="S806" s="564"/>
      <c r="T806" s="564"/>
      <c r="U806" s="564"/>
      <c r="V806" s="564"/>
      <c r="W806" s="564"/>
      <c r="X806" s="564"/>
      <c r="Y806" s="564"/>
      <c r="Z806" s="564"/>
      <c r="AA806" s="564"/>
      <c r="AB806" s="556"/>
      <c r="AC806" s="556"/>
      <c r="AD806" s="556"/>
      <c r="AE806" s="556"/>
      <c r="AF806" s="556"/>
      <c r="AG806" s="556"/>
      <c r="AH806" s="556"/>
      <c r="AI806" s="556"/>
      <c r="AJ806" s="556"/>
      <c r="AK806" s="556"/>
      <c r="AL806" s="556"/>
      <c r="AM806" s="556"/>
      <c r="AN806" s="556"/>
      <c r="AO806" s="556"/>
      <c r="AP806" s="556"/>
      <c r="AQ806" s="556"/>
      <c r="AR806" s="556"/>
      <c r="AS806" s="565"/>
      <c r="AT806" s="556"/>
    </row>
    <row r="807" spans="1:46" hidden="1" x14ac:dyDescent="0.45">
      <c r="A807" s="556"/>
      <c r="B807" s="556"/>
      <c r="C807" s="556"/>
      <c r="D807" s="564"/>
      <c r="E807" s="556"/>
      <c r="F807" s="564"/>
      <c r="G807" s="564"/>
      <c r="H807" s="564"/>
      <c r="I807" s="564"/>
      <c r="J807" s="564"/>
      <c r="K807" s="564"/>
      <c r="L807" s="564"/>
      <c r="M807" s="564"/>
      <c r="N807" s="564"/>
      <c r="O807" s="564"/>
      <c r="P807" s="564"/>
      <c r="Q807" s="564"/>
      <c r="R807" s="564"/>
      <c r="S807" s="564"/>
      <c r="T807" s="564"/>
      <c r="U807" s="564"/>
      <c r="V807" s="564"/>
      <c r="W807" s="564"/>
      <c r="X807" s="564"/>
      <c r="Y807" s="564"/>
      <c r="Z807" s="564"/>
      <c r="AA807" s="564"/>
      <c r="AB807" s="556"/>
      <c r="AC807" s="556"/>
      <c r="AD807" s="556"/>
      <c r="AE807" s="556"/>
      <c r="AF807" s="556"/>
      <c r="AG807" s="556"/>
      <c r="AH807" s="556"/>
      <c r="AI807" s="556"/>
      <c r="AJ807" s="556"/>
      <c r="AK807" s="556"/>
      <c r="AL807" s="556"/>
      <c r="AM807" s="556"/>
      <c r="AN807" s="556"/>
      <c r="AO807" s="556"/>
      <c r="AP807" s="556"/>
      <c r="AQ807" s="556"/>
      <c r="AR807" s="556"/>
      <c r="AS807" s="565"/>
      <c r="AT807" s="556"/>
    </row>
    <row r="808" spans="1:46" hidden="1" x14ac:dyDescent="0.45">
      <c r="A808" s="556"/>
      <c r="B808" s="556"/>
      <c r="C808" s="556"/>
      <c r="D808" s="564"/>
      <c r="E808" s="556"/>
      <c r="F808" s="564"/>
      <c r="G808" s="564"/>
      <c r="H808" s="564"/>
      <c r="I808" s="564"/>
      <c r="J808" s="564"/>
      <c r="K808" s="564"/>
      <c r="L808" s="564"/>
      <c r="M808" s="564"/>
      <c r="N808" s="564"/>
      <c r="O808" s="564"/>
      <c r="P808" s="564"/>
      <c r="Q808" s="564"/>
      <c r="R808" s="564"/>
      <c r="S808" s="564"/>
      <c r="T808" s="564"/>
      <c r="U808" s="564"/>
      <c r="V808" s="564"/>
      <c r="W808" s="564"/>
      <c r="X808" s="564"/>
      <c r="Y808" s="564"/>
      <c r="Z808" s="564"/>
      <c r="AA808" s="564"/>
      <c r="AB808" s="556"/>
      <c r="AC808" s="556"/>
      <c r="AD808" s="556"/>
      <c r="AE808" s="556"/>
      <c r="AF808" s="556"/>
      <c r="AG808" s="556"/>
      <c r="AH808" s="556"/>
      <c r="AI808" s="556"/>
      <c r="AJ808" s="556"/>
      <c r="AK808" s="556"/>
      <c r="AL808" s="556"/>
      <c r="AM808" s="556"/>
      <c r="AN808" s="556"/>
      <c r="AO808" s="556"/>
      <c r="AP808" s="556"/>
      <c r="AQ808" s="556"/>
      <c r="AR808" s="556"/>
      <c r="AS808" s="565"/>
      <c r="AT808" s="556"/>
    </row>
    <row r="809" spans="1:46" hidden="1" x14ac:dyDescent="0.45">
      <c r="A809" s="556"/>
      <c r="B809" s="556"/>
      <c r="C809" s="556"/>
      <c r="D809" s="564"/>
      <c r="E809" s="556"/>
      <c r="F809" s="564"/>
      <c r="G809" s="564"/>
      <c r="H809" s="564"/>
      <c r="I809" s="564"/>
      <c r="J809" s="564"/>
      <c r="K809" s="564"/>
      <c r="L809" s="564"/>
      <c r="M809" s="564"/>
      <c r="N809" s="564"/>
      <c r="O809" s="564"/>
      <c r="P809" s="564"/>
      <c r="Q809" s="564"/>
      <c r="R809" s="564"/>
      <c r="S809" s="564"/>
      <c r="T809" s="564"/>
      <c r="U809" s="564"/>
      <c r="V809" s="564"/>
      <c r="W809" s="564"/>
      <c r="X809" s="564"/>
      <c r="Y809" s="564"/>
      <c r="Z809" s="564"/>
      <c r="AA809" s="564"/>
      <c r="AB809" s="556"/>
      <c r="AC809" s="556"/>
      <c r="AD809" s="556"/>
      <c r="AE809" s="556"/>
      <c r="AF809" s="556"/>
      <c r="AG809" s="556"/>
      <c r="AH809" s="556"/>
      <c r="AI809" s="556"/>
      <c r="AJ809" s="556"/>
      <c r="AK809" s="556"/>
      <c r="AL809" s="556"/>
      <c r="AM809" s="556"/>
      <c r="AN809" s="556"/>
      <c r="AO809" s="556"/>
      <c r="AP809" s="556"/>
      <c r="AQ809" s="556"/>
      <c r="AR809" s="556"/>
      <c r="AS809" s="565"/>
      <c r="AT809" s="556"/>
    </row>
    <row r="810" spans="1:46" hidden="1" x14ac:dyDescent="0.45">
      <c r="A810" s="556"/>
      <c r="B810" s="556"/>
      <c r="C810" s="556"/>
      <c r="D810" s="564"/>
      <c r="E810" s="556"/>
      <c r="F810" s="564"/>
      <c r="G810" s="564"/>
      <c r="H810" s="564"/>
      <c r="I810" s="564"/>
      <c r="J810" s="564"/>
      <c r="K810" s="564"/>
      <c r="L810" s="564"/>
      <c r="M810" s="564"/>
      <c r="N810" s="564"/>
      <c r="O810" s="564"/>
      <c r="P810" s="564"/>
      <c r="Q810" s="564"/>
      <c r="R810" s="564"/>
      <c r="S810" s="564"/>
      <c r="T810" s="564"/>
      <c r="U810" s="564"/>
      <c r="V810" s="564"/>
      <c r="W810" s="564"/>
      <c r="X810" s="564"/>
      <c r="Y810" s="564"/>
      <c r="Z810" s="564"/>
      <c r="AA810" s="564"/>
      <c r="AB810" s="556"/>
      <c r="AC810" s="556"/>
      <c r="AD810" s="556"/>
      <c r="AE810" s="556"/>
      <c r="AF810" s="556"/>
      <c r="AG810" s="556"/>
      <c r="AH810" s="556"/>
      <c r="AI810" s="556"/>
      <c r="AJ810" s="556"/>
      <c r="AK810" s="556"/>
      <c r="AL810" s="556"/>
      <c r="AM810" s="556"/>
      <c r="AN810" s="556"/>
      <c r="AO810" s="556"/>
      <c r="AP810" s="556"/>
      <c r="AQ810" s="556"/>
      <c r="AR810" s="556"/>
      <c r="AS810" s="565"/>
      <c r="AT810" s="556"/>
    </row>
    <row r="811" spans="1:46" hidden="1" x14ac:dyDescent="0.45">
      <c r="A811" s="556"/>
      <c r="B811" s="556"/>
      <c r="C811" s="556"/>
      <c r="D811" s="564"/>
      <c r="E811" s="556"/>
      <c r="F811" s="564"/>
      <c r="G811" s="564"/>
      <c r="H811" s="564"/>
      <c r="I811" s="564"/>
      <c r="J811" s="564"/>
      <c r="K811" s="564"/>
      <c r="L811" s="564"/>
      <c r="M811" s="564"/>
      <c r="N811" s="564"/>
      <c r="O811" s="564"/>
      <c r="P811" s="564"/>
      <c r="Q811" s="564"/>
      <c r="R811" s="564"/>
      <c r="S811" s="564"/>
      <c r="T811" s="564"/>
      <c r="U811" s="564"/>
      <c r="V811" s="564"/>
      <c r="W811" s="564"/>
      <c r="X811" s="564"/>
      <c r="Y811" s="564"/>
      <c r="Z811" s="564"/>
      <c r="AA811" s="564"/>
      <c r="AB811" s="556"/>
      <c r="AC811" s="556"/>
      <c r="AD811" s="556"/>
      <c r="AE811" s="556"/>
      <c r="AF811" s="556"/>
      <c r="AG811" s="556"/>
      <c r="AH811" s="556"/>
      <c r="AI811" s="556"/>
      <c r="AJ811" s="556"/>
      <c r="AK811" s="556"/>
      <c r="AL811" s="556"/>
      <c r="AM811" s="556"/>
      <c r="AN811" s="556"/>
      <c r="AO811" s="556"/>
      <c r="AP811" s="556"/>
      <c r="AQ811" s="556"/>
      <c r="AR811" s="556"/>
      <c r="AS811" s="565"/>
      <c r="AT811" s="556"/>
    </row>
    <row r="812" spans="1:46" hidden="1" x14ac:dyDescent="0.45">
      <c r="A812" s="556"/>
      <c r="B812" s="556"/>
      <c r="C812" s="556"/>
      <c r="D812" s="564"/>
      <c r="E812" s="556"/>
      <c r="F812" s="564"/>
      <c r="G812" s="564"/>
      <c r="H812" s="564"/>
      <c r="I812" s="564"/>
      <c r="J812" s="564"/>
      <c r="K812" s="564"/>
      <c r="L812" s="564"/>
      <c r="M812" s="564"/>
      <c r="N812" s="564"/>
      <c r="O812" s="564"/>
      <c r="P812" s="564"/>
      <c r="Q812" s="564"/>
      <c r="R812" s="564"/>
      <c r="S812" s="564"/>
      <c r="T812" s="564"/>
      <c r="U812" s="564"/>
      <c r="V812" s="564"/>
      <c r="W812" s="564"/>
      <c r="X812" s="564"/>
      <c r="Y812" s="564"/>
      <c r="Z812" s="564"/>
      <c r="AA812" s="564"/>
      <c r="AB812" s="556"/>
      <c r="AC812" s="556"/>
      <c r="AD812" s="556"/>
      <c r="AE812" s="556"/>
      <c r="AF812" s="556"/>
      <c r="AG812" s="556"/>
      <c r="AH812" s="556"/>
      <c r="AI812" s="556"/>
      <c r="AJ812" s="556"/>
      <c r="AK812" s="556"/>
      <c r="AL812" s="556"/>
      <c r="AM812" s="556"/>
      <c r="AN812" s="556"/>
      <c r="AO812" s="556"/>
      <c r="AP812" s="556"/>
      <c r="AQ812" s="556"/>
      <c r="AR812" s="556"/>
      <c r="AS812" s="565"/>
      <c r="AT812" s="556"/>
    </row>
    <row r="813" spans="1:46" hidden="1" x14ac:dyDescent="0.45">
      <c r="A813" s="556"/>
      <c r="B813" s="556"/>
      <c r="C813" s="556"/>
      <c r="D813" s="564"/>
      <c r="E813" s="556"/>
      <c r="F813" s="564"/>
      <c r="G813" s="564"/>
      <c r="H813" s="564"/>
      <c r="I813" s="564"/>
      <c r="J813" s="564"/>
      <c r="K813" s="564"/>
      <c r="L813" s="564"/>
      <c r="M813" s="564"/>
      <c r="N813" s="564"/>
      <c r="O813" s="564"/>
      <c r="P813" s="564"/>
      <c r="Q813" s="564"/>
      <c r="R813" s="564"/>
      <c r="S813" s="564"/>
      <c r="T813" s="564"/>
      <c r="U813" s="564"/>
      <c r="V813" s="564"/>
      <c r="W813" s="564"/>
      <c r="X813" s="564"/>
      <c r="Y813" s="564"/>
      <c r="Z813" s="564"/>
      <c r="AA813" s="564"/>
      <c r="AB813" s="556"/>
      <c r="AC813" s="556"/>
      <c r="AD813" s="556"/>
      <c r="AE813" s="556"/>
      <c r="AF813" s="556"/>
      <c r="AG813" s="556"/>
      <c r="AH813" s="556"/>
      <c r="AI813" s="556"/>
      <c r="AJ813" s="556"/>
      <c r="AK813" s="556"/>
      <c r="AL813" s="556"/>
      <c r="AM813" s="556"/>
      <c r="AN813" s="556"/>
      <c r="AO813" s="556"/>
      <c r="AP813" s="556"/>
      <c r="AQ813" s="556"/>
      <c r="AR813" s="556"/>
      <c r="AS813" s="565"/>
      <c r="AT813" s="556"/>
    </row>
    <row r="814" spans="1:46" hidden="1" x14ac:dyDescent="0.45">
      <c r="A814" s="556"/>
      <c r="B814" s="556"/>
      <c r="C814" s="556"/>
      <c r="D814" s="564"/>
      <c r="E814" s="556"/>
      <c r="F814" s="564"/>
      <c r="G814" s="564"/>
      <c r="H814" s="564"/>
      <c r="I814" s="564"/>
      <c r="J814" s="564"/>
      <c r="K814" s="564"/>
      <c r="L814" s="564"/>
      <c r="M814" s="564"/>
      <c r="N814" s="564"/>
      <c r="O814" s="564"/>
      <c r="P814" s="564"/>
      <c r="Q814" s="564"/>
      <c r="R814" s="564"/>
      <c r="S814" s="564"/>
      <c r="T814" s="564"/>
      <c r="U814" s="564"/>
      <c r="V814" s="564"/>
      <c r="W814" s="564"/>
      <c r="X814" s="564"/>
      <c r="Y814" s="564"/>
      <c r="Z814" s="564"/>
      <c r="AA814" s="564"/>
      <c r="AB814" s="556"/>
      <c r="AC814" s="556"/>
      <c r="AD814" s="556"/>
      <c r="AE814" s="556"/>
      <c r="AF814" s="556"/>
      <c r="AG814" s="556"/>
      <c r="AH814" s="556"/>
      <c r="AI814" s="556"/>
      <c r="AJ814" s="556"/>
      <c r="AK814" s="556"/>
      <c r="AL814" s="556"/>
      <c r="AM814" s="556"/>
      <c r="AN814" s="556"/>
      <c r="AO814" s="556"/>
      <c r="AP814" s="556"/>
      <c r="AQ814" s="556"/>
      <c r="AR814" s="556"/>
      <c r="AS814" s="565"/>
      <c r="AT814" s="556"/>
    </row>
    <row r="815" spans="1:46" hidden="1" x14ac:dyDescent="0.45">
      <c r="A815" s="556"/>
      <c r="B815" s="556"/>
      <c r="C815" s="556"/>
      <c r="D815" s="564"/>
      <c r="E815" s="556"/>
      <c r="F815" s="564"/>
      <c r="G815" s="564"/>
      <c r="H815" s="564"/>
      <c r="I815" s="564"/>
      <c r="J815" s="564"/>
      <c r="K815" s="564"/>
      <c r="L815" s="564"/>
      <c r="M815" s="564"/>
      <c r="N815" s="564"/>
      <c r="O815" s="564"/>
      <c r="P815" s="564"/>
      <c r="Q815" s="564"/>
      <c r="R815" s="564"/>
      <c r="S815" s="564"/>
      <c r="T815" s="564"/>
      <c r="U815" s="564"/>
      <c r="V815" s="564"/>
      <c r="W815" s="564"/>
      <c r="X815" s="564"/>
      <c r="Y815" s="564"/>
      <c r="Z815" s="564"/>
      <c r="AA815" s="564"/>
      <c r="AB815" s="556"/>
      <c r="AC815" s="556"/>
      <c r="AD815" s="556"/>
      <c r="AE815" s="556"/>
      <c r="AF815" s="556"/>
      <c r="AG815" s="556"/>
      <c r="AH815" s="556"/>
      <c r="AI815" s="556"/>
      <c r="AJ815" s="556"/>
      <c r="AK815" s="556"/>
      <c r="AL815" s="556"/>
      <c r="AM815" s="556"/>
      <c r="AN815" s="556"/>
      <c r="AO815" s="556"/>
      <c r="AP815" s="556"/>
      <c r="AQ815" s="556"/>
      <c r="AR815" s="556"/>
      <c r="AS815" s="565"/>
      <c r="AT815" s="556"/>
    </row>
    <row r="816" spans="1:46" hidden="1" x14ac:dyDescent="0.45">
      <c r="A816" s="556"/>
      <c r="B816" s="556"/>
      <c r="C816" s="556"/>
      <c r="D816" s="564"/>
      <c r="E816" s="556"/>
      <c r="F816" s="564"/>
      <c r="G816" s="564"/>
      <c r="H816" s="564"/>
      <c r="I816" s="564"/>
      <c r="J816" s="564"/>
      <c r="K816" s="564"/>
      <c r="L816" s="564"/>
      <c r="M816" s="564"/>
      <c r="N816" s="564"/>
      <c r="O816" s="564"/>
      <c r="P816" s="564"/>
      <c r="Q816" s="564"/>
      <c r="R816" s="564"/>
      <c r="S816" s="564"/>
      <c r="T816" s="564"/>
      <c r="U816" s="564"/>
      <c r="V816" s="564"/>
      <c r="W816" s="564"/>
      <c r="X816" s="564"/>
      <c r="Y816" s="564"/>
      <c r="Z816" s="564"/>
      <c r="AA816" s="564"/>
      <c r="AB816" s="556"/>
      <c r="AC816" s="556"/>
      <c r="AD816" s="556"/>
      <c r="AE816" s="556"/>
      <c r="AF816" s="556"/>
      <c r="AG816" s="556"/>
      <c r="AH816" s="556"/>
      <c r="AI816" s="556"/>
      <c r="AJ816" s="556"/>
      <c r="AK816" s="556"/>
      <c r="AL816" s="556"/>
      <c r="AM816" s="556"/>
      <c r="AN816" s="556"/>
      <c r="AO816" s="556"/>
      <c r="AP816" s="556"/>
      <c r="AQ816" s="556"/>
      <c r="AR816" s="556"/>
      <c r="AS816" s="565"/>
      <c r="AT816" s="556"/>
    </row>
    <row r="817" spans="1:46" hidden="1" x14ac:dyDescent="0.45">
      <c r="A817" s="556"/>
      <c r="B817" s="556"/>
      <c r="C817" s="556"/>
      <c r="D817" s="564"/>
      <c r="E817" s="556"/>
      <c r="F817" s="564"/>
      <c r="G817" s="564"/>
      <c r="H817" s="564"/>
      <c r="I817" s="564"/>
      <c r="J817" s="564"/>
      <c r="K817" s="564"/>
      <c r="L817" s="564"/>
      <c r="M817" s="564"/>
      <c r="N817" s="564"/>
      <c r="O817" s="564"/>
      <c r="P817" s="564"/>
      <c r="Q817" s="564"/>
      <c r="R817" s="564"/>
      <c r="S817" s="564"/>
      <c r="T817" s="564"/>
      <c r="U817" s="564"/>
      <c r="V817" s="564"/>
      <c r="W817" s="564"/>
      <c r="X817" s="564"/>
      <c r="Y817" s="564"/>
      <c r="Z817" s="564"/>
      <c r="AA817" s="564"/>
      <c r="AB817" s="556"/>
      <c r="AC817" s="556"/>
      <c r="AD817" s="556"/>
      <c r="AE817" s="556"/>
      <c r="AF817" s="556"/>
      <c r="AG817" s="556"/>
      <c r="AH817" s="556"/>
      <c r="AI817" s="556"/>
      <c r="AJ817" s="556"/>
      <c r="AK817" s="556"/>
      <c r="AL817" s="556"/>
      <c r="AM817" s="556"/>
      <c r="AN817" s="556"/>
      <c r="AO817" s="556"/>
      <c r="AP817" s="556"/>
      <c r="AQ817" s="556"/>
      <c r="AR817" s="556"/>
      <c r="AS817" s="565"/>
      <c r="AT817" s="556"/>
    </row>
    <row r="818" spans="1:46" hidden="1" x14ac:dyDescent="0.45">
      <c r="A818" s="556"/>
      <c r="B818" s="556"/>
      <c r="C818" s="556"/>
      <c r="D818" s="564"/>
      <c r="E818" s="556"/>
      <c r="F818" s="564"/>
      <c r="G818" s="564"/>
      <c r="H818" s="564"/>
      <c r="I818" s="564"/>
      <c r="J818" s="564"/>
      <c r="K818" s="564"/>
      <c r="L818" s="564"/>
      <c r="M818" s="564"/>
      <c r="N818" s="564"/>
      <c r="O818" s="564"/>
      <c r="P818" s="564"/>
      <c r="Q818" s="564"/>
      <c r="R818" s="564"/>
      <c r="S818" s="564"/>
      <c r="T818" s="564"/>
      <c r="U818" s="564"/>
      <c r="V818" s="564"/>
      <c r="W818" s="564"/>
      <c r="X818" s="564"/>
      <c r="Y818" s="564"/>
      <c r="Z818" s="564"/>
      <c r="AA818" s="564"/>
      <c r="AB818" s="556"/>
      <c r="AC818" s="556"/>
      <c r="AD818" s="556"/>
      <c r="AE818" s="556"/>
      <c r="AF818" s="556"/>
      <c r="AG818" s="556"/>
      <c r="AH818" s="556"/>
      <c r="AI818" s="556"/>
      <c r="AJ818" s="556"/>
      <c r="AK818" s="556"/>
      <c r="AL818" s="556"/>
      <c r="AM818" s="556"/>
      <c r="AN818" s="556"/>
      <c r="AO818" s="556"/>
      <c r="AP818" s="556"/>
      <c r="AQ818" s="556"/>
      <c r="AR818" s="556"/>
      <c r="AS818" s="565"/>
      <c r="AT818" s="556"/>
    </row>
    <row r="819" spans="1:46" hidden="1" x14ac:dyDescent="0.45">
      <c r="A819" s="556"/>
      <c r="B819" s="556"/>
      <c r="C819" s="556"/>
      <c r="D819" s="564"/>
      <c r="E819" s="556"/>
      <c r="F819" s="564"/>
      <c r="G819" s="564"/>
      <c r="H819" s="564"/>
      <c r="I819" s="564"/>
      <c r="J819" s="564"/>
      <c r="K819" s="564"/>
      <c r="L819" s="564"/>
      <c r="M819" s="564"/>
      <c r="N819" s="564"/>
      <c r="O819" s="564"/>
      <c r="P819" s="564"/>
      <c r="Q819" s="564"/>
      <c r="R819" s="564"/>
      <c r="S819" s="564"/>
      <c r="T819" s="564"/>
      <c r="U819" s="564"/>
      <c r="V819" s="564"/>
      <c r="W819" s="564"/>
      <c r="X819" s="564"/>
      <c r="Y819" s="564"/>
      <c r="Z819" s="564"/>
      <c r="AA819" s="564"/>
      <c r="AB819" s="556"/>
      <c r="AC819" s="556"/>
      <c r="AD819" s="556"/>
      <c r="AE819" s="556"/>
      <c r="AF819" s="556"/>
      <c r="AG819" s="556"/>
      <c r="AH819" s="556"/>
      <c r="AI819" s="556"/>
      <c r="AJ819" s="556"/>
      <c r="AK819" s="556"/>
      <c r="AL819" s="556"/>
      <c r="AM819" s="556"/>
      <c r="AN819" s="556"/>
      <c r="AO819" s="556"/>
      <c r="AP819" s="556"/>
      <c r="AQ819" s="556"/>
      <c r="AR819" s="556"/>
      <c r="AS819" s="565"/>
      <c r="AT819" s="556"/>
    </row>
    <row r="820" spans="1:46" hidden="1" x14ac:dyDescent="0.45">
      <c r="A820" s="556"/>
      <c r="B820" s="556"/>
      <c r="C820" s="556"/>
      <c r="D820" s="564"/>
      <c r="E820" s="556"/>
      <c r="F820" s="564"/>
      <c r="G820" s="564"/>
      <c r="H820" s="564"/>
      <c r="I820" s="564"/>
      <c r="J820" s="564"/>
      <c r="K820" s="564"/>
      <c r="L820" s="564"/>
      <c r="M820" s="564"/>
      <c r="N820" s="564"/>
      <c r="O820" s="564"/>
      <c r="P820" s="564"/>
      <c r="Q820" s="564"/>
      <c r="R820" s="564"/>
      <c r="S820" s="564"/>
      <c r="T820" s="564"/>
      <c r="U820" s="564"/>
      <c r="V820" s="564"/>
      <c r="W820" s="564"/>
      <c r="X820" s="564"/>
      <c r="Y820" s="564"/>
      <c r="Z820" s="564"/>
      <c r="AA820" s="564"/>
      <c r="AB820" s="556"/>
      <c r="AC820" s="556"/>
      <c r="AD820" s="556"/>
      <c r="AE820" s="556"/>
      <c r="AF820" s="556"/>
      <c r="AG820" s="556"/>
      <c r="AH820" s="556"/>
      <c r="AI820" s="556"/>
      <c r="AJ820" s="556"/>
      <c r="AK820" s="556"/>
      <c r="AL820" s="556"/>
      <c r="AM820" s="556"/>
      <c r="AN820" s="556"/>
      <c r="AO820" s="556"/>
      <c r="AP820" s="556"/>
      <c r="AQ820" s="556"/>
      <c r="AR820" s="556"/>
      <c r="AS820" s="565"/>
      <c r="AT820" s="556"/>
    </row>
    <row r="821" spans="1:46" hidden="1" x14ac:dyDescent="0.45">
      <c r="A821" s="556"/>
      <c r="B821" s="556"/>
      <c r="C821" s="556"/>
      <c r="D821" s="564"/>
      <c r="E821" s="556"/>
      <c r="F821" s="564"/>
      <c r="G821" s="564"/>
      <c r="H821" s="564"/>
      <c r="I821" s="564"/>
      <c r="J821" s="564"/>
      <c r="K821" s="564"/>
      <c r="L821" s="564"/>
      <c r="M821" s="564"/>
      <c r="N821" s="564"/>
      <c r="O821" s="564"/>
      <c r="P821" s="564"/>
      <c r="Q821" s="564"/>
      <c r="R821" s="564"/>
      <c r="S821" s="564"/>
      <c r="T821" s="564"/>
      <c r="U821" s="564"/>
      <c r="V821" s="564"/>
      <c r="W821" s="564"/>
      <c r="X821" s="564"/>
      <c r="Y821" s="564"/>
      <c r="Z821" s="564"/>
      <c r="AA821" s="564"/>
      <c r="AB821" s="556"/>
      <c r="AC821" s="556"/>
      <c r="AD821" s="556"/>
      <c r="AE821" s="556"/>
      <c r="AF821" s="556"/>
      <c r="AG821" s="556"/>
      <c r="AH821" s="556"/>
      <c r="AI821" s="556"/>
      <c r="AJ821" s="556"/>
      <c r="AK821" s="556"/>
      <c r="AL821" s="556"/>
      <c r="AM821" s="556"/>
      <c r="AN821" s="556"/>
      <c r="AO821" s="556"/>
      <c r="AP821" s="556"/>
      <c r="AQ821" s="556"/>
      <c r="AR821" s="556"/>
      <c r="AS821" s="565"/>
      <c r="AT821" s="556"/>
    </row>
    <row r="822" spans="1:46" hidden="1" x14ac:dyDescent="0.45">
      <c r="A822" s="556"/>
      <c r="B822" s="556"/>
      <c r="C822" s="556"/>
      <c r="D822" s="564"/>
      <c r="E822" s="556"/>
      <c r="F822" s="564"/>
      <c r="G822" s="564"/>
      <c r="H822" s="564"/>
      <c r="I822" s="564"/>
      <c r="J822" s="564"/>
      <c r="K822" s="564"/>
      <c r="L822" s="564"/>
      <c r="M822" s="564"/>
      <c r="N822" s="564"/>
      <c r="O822" s="564"/>
      <c r="P822" s="564"/>
      <c r="Q822" s="564"/>
      <c r="R822" s="564"/>
      <c r="S822" s="564"/>
      <c r="T822" s="564"/>
      <c r="U822" s="564"/>
      <c r="V822" s="564"/>
      <c r="W822" s="564"/>
      <c r="X822" s="564"/>
      <c r="Y822" s="564"/>
      <c r="Z822" s="564"/>
      <c r="AA822" s="564"/>
      <c r="AB822" s="556"/>
      <c r="AC822" s="556"/>
      <c r="AD822" s="556"/>
      <c r="AE822" s="556"/>
      <c r="AF822" s="556"/>
      <c r="AG822" s="556"/>
      <c r="AH822" s="556"/>
      <c r="AI822" s="556"/>
      <c r="AJ822" s="556"/>
      <c r="AK822" s="556"/>
      <c r="AL822" s="556"/>
      <c r="AM822" s="556"/>
      <c r="AN822" s="556"/>
      <c r="AO822" s="556"/>
      <c r="AP822" s="556"/>
      <c r="AQ822" s="556"/>
      <c r="AR822" s="556"/>
      <c r="AS822" s="565"/>
      <c r="AT822" s="556"/>
    </row>
    <row r="823" spans="1:46" hidden="1" x14ac:dyDescent="0.45">
      <c r="A823" s="556"/>
      <c r="B823" s="556"/>
      <c r="C823" s="556"/>
      <c r="D823" s="564"/>
      <c r="E823" s="556"/>
      <c r="F823" s="564"/>
      <c r="G823" s="564"/>
      <c r="H823" s="564"/>
      <c r="I823" s="564"/>
      <c r="J823" s="564"/>
      <c r="K823" s="564"/>
      <c r="L823" s="564"/>
      <c r="M823" s="564"/>
      <c r="N823" s="564"/>
      <c r="O823" s="564"/>
      <c r="P823" s="564"/>
      <c r="Q823" s="564"/>
      <c r="R823" s="564"/>
      <c r="S823" s="564"/>
      <c r="T823" s="564"/>
      <c r="U823" s="564"/>
      <c r="V823" s="564"/>
      <c r="W823" s="564"/>
      <c r="X823" s="564"/>
      <c r="Y823" s="564"/>
      <c r="Z823" s="564"/>
      <c r="AA823" s="564"/>
      <c r="AB823" s="556"/>
      <c r="AC823" s="556"/>
      <c r="AD823" s="556"/>
      <c r="AE823" s="556"/>
      <c r="AF823" s="556"/>
      <c r="AG823" s="556"/>
      <c r="AH823" s="556"/>
      <c r="AI823" s="556"/>
      <c r="AJ823" s="556"/>
      <c r="AK823" s="556"/>
      <c r="AL823" s="556"/>
      <c r="AM823" s="556"/>
      <c r="AN823" s="556"/>
      <c r="AO823" s="556"/>
      <c r="AP823" s="556"/>
      <c r="AQ823" s="556"/>
      <c r="AR823" s="556"/>
      <c r="AS823" s="565"/>
      <c r="AT823" s="556"/>
    </row>
    <row r="824" spans="1:46" hidden="1" x14ac:dyDescent="0.45">
      <c r="A824" s="556"/>
      <c r="B824" s="556"/>
      <c r="C824" s="556"/>
      <c r="D824" s="564"/>
      <c r="E824" s="556"/>
      <c r="F824" s="564"/>
      <c r="G824" s="564"/>
      <c r="H824" s="564"/>
      <c r="I824" s="564"/>
      <c r="J824" s="564"/>
      <c r="K824" s="564"/>
      <c r="L824" s="564"/>
      <c r="M824" s="564"/>
      <c r="N824" s="564"/>
      <c r="O824" s="564"/>
      <c r="P824" s="564"/>
      <c r="Q824" s="564"/>
      <c r="R824" s="564"/>
      <c r="S824" s="564"/>
      <c r="T824" s="564"/>
      <c r="U824" s="564"/>
      <c r="V824" s="564"/>
      <c r="W824" s="564"/>
      <c r="X824" s="564"/>
      <c r="Y824" s="564"/>
      <c r="Z824" s="564"/>
      <c r="AA824" s="564"/>
      <c r="AB824" s="556"/>
      <c r="AC824" s="556"/>
      <c r="AD824" s="556"/>
      <c r="AE824" s="556"/>
      <c r="AF824" s="556"/>
      <c r="AG824" s="556"/>
      <c r="AH824" s="556"/>
      <c r="AI824" s="556"/>
      <c r="AJ824" s="556"/>
      <c r="AK824" s="556"/>
      <c r="AL824" s="556"/>
      <c r="AM824" s="556"/>
      <c r="AN824" s="556"/>
      <c r="AO824" s="556"/>
      <c r="AP824" s="556"/>
      <c r="AQ824" s="556"/>
      <c r="AR824" s="556"/>
      <c r="AS824" s="565"/>
      <c r="AT824" s="556"/>
    </row>
    <row r="825" spans="1:46" hidden="1" x14ac:dyDescent="0.45">
      <c r="A825" s="556"/>
      <c r="B825" s="556"/>
      <c r="C825" s="556"/>
      <c r="D825" s="564"/>
      <c r="E825" s="556"/>
      <c r="F825" s="564"/>
      <c r="G825" s="564"/>
      <c r="H825" s="564"/>
      <c r="I825" s="564"/>
      <c r="J825" s="564"/>
      <c r="K825" s="564"/>
      <c r="L825" s="564"/>
      <c r="M825" s="564"/>
      <c r="N825" s="564"/>
      <c r="O825" s="564"/>
      <c r="P825" s="564"/>
      <c r="Q825" s="564"/>
      <c r="R825" s="564"/>
      <c r="S825" s="564"/>
      <c r="T825" s="564"/>
      <c r="U825" s="564"/>
      <c r="V825" s="564"/>
      <c r="W825" s="564"/>
      <c r="X825" s="564"/>
      <c r="Y825" s="564"/>
      <c r="Z825" s="564"/>
      <c r="AA825" s="564"/>
      <c r="AB825" s="556"/>
      <c r="AC825" s="556"/>
      <c r="AD825" s="556"/>
      <c r="AE825" s="556"/>
      <c r="AF825" s="556"/>
      <c r="AG825" s="556"/>
      <c r="AH825" s="556"/>
      <c r="AI825" s="556"/>
      <c r="AJ825" s="556"/>
      <c r="AK825" s="556"/>
      <c r="AL825" s="556"/>
      <c r="AM825" s="556"/>
      <c r="AN825" s="556"/>
      <c r="AO825" s="556"/>
      <c r="AP825" s="556"/>
      <c r="AQ825" s="556"/>
      <c r="AR825" s="556"/>
      <c r="AS825" s="565"/>
      <c r="AT825" s="556"/>
    </row>
    <row r="826" spans="1:46" hidden="1" x14ac:dyDescent="0.45">
      <c r="A826" s="556"/>
      <c r="B826" s="556"/>
      <c r="C826" s="556"/>
      <c r="D826" s="564"/>
      <c r="E826" s="556"/>
      <c r="F826" s="564"/>
      <c r="G826" s="564"/>
      <c r="H826" s="564"/>
      <c r="I826" s="564"/>
      <c r="J826" s="564"/>
      <c r="K826" s="564"/>
      <c r="L826" s="564"/>
      <c r="M826" s="564"/>
      <c r="N826" s="564"/>
      <c r="O826" s="564"/>
      <c r="P826" s="564"/>
      <c r="Q826" s="564"/>
      <c r="R826" s="564"/>
      <c r="S826" s="564"/>
      <c r="T826" s="564"/>
      <c r="U826" s="564"/>
      <c r="V826" s="564"/>
      <c r="W826" s="564"/>
      <c r="X826" s="564"/>
      <c r="Y826" s="564"/>
      <c r="Z826" s="564"/>
      <c r="AA826" s="564"/>
      <c r="AB826" s="556"/>
      <c r="AC826" s="556"/>
      <c r="AD826" s="556"/>
      <c r="AE826" s="556"/>
      <c r="AF826" s="556"/>
      <c r="AG826" s="556"/>
      <c r="AH826" s="556"/>
      <c r="AI826" s="556"/>
      <c r="AJ826" s="556"/>
      <c r="AK826" s="556"/>
      <c r="AL826" s="556"/>
      <c r="AM826" s="556"/>
      <c r="AN826" s="556"/>
      <c r="AO826" s="556"/>
      <c r="AP826" s="556"/>
      <c r="AQ826" s="556"/>
      <c r="AR826" s="556"/>
      <c r="AS826" s="565"/>
      <c r="AT826" s="556"/>
    </row>
    <row r="827" spans="1:46" hidden="1" x14ac:dyDescent="0.45">
      <c r="A827" s="556"/>
      <c r="B827" s="556"/>
      <c r="C827" s="556"/>
      <c r="D827" s="564"/>
      <c r="E827" s="556"/>
      <c r="F827" s="564"/>
      <c r="G827" s="564"/>
      <c r="H827" s="564"/>
      <c r="I827" s="564"/>
      <c r="J827" s="564"/>
      <c r="K827" s="564"/>
      <c r="L827" s="564"/>
      <c r="M827" s="564"/>
      <c r="N827" s="564"/>
      <c r="O827" s="564"/>
      <c r="P827" s="564"/>
      <c r="Q827" s="564"/>
      <c r="R827" s="564"/>
      <c r="S827" s="564"/>
      <c r="T827" s="564"/>
      <c r="U827" s="564"/>
      <c r="V827" s="564"/>
      <c r="W827" s="564"/>
      <c r="X827" s="564"/>
      <c r="Y827" s="564"/>
      <c r="Z827" s="564"/>
      <c r="AA827" s="564"/>
      <c r="AB827" s="556"/>
      <c r="AC827" s="556"/>
      <c r="AD827" s="556"/>
      <c r="AE827" s="556"/>
      <c r="AF827" s="556"/>
      <c r="AG827" s="556"/>
      <c r="AH827" s="556"/>
      <c r="AI827" s="556"/>
      <c r="AJ827" s="556"/>
      <c r="AK827" s="556"/>
      <c r="AL827" s="556"/>
      <c r="AM827" s="556"/>
      <c r="AN827" s="556"/>
      <c r="AO827" s="556"/>
      <c r="AP827" s="556"/>
      <c r="AQ827" s="556"/>
      <c r="AR827" s="556"/>
      <c r="AS827" s="565"/>
      <c r="AT827" s="556"/>
    </row>
    <row r="828" spans="1:46" hidden="1" x14ac:dyDescent="0.45">
      <c r="A828" s="556"/>
      <c r="B828" s="556"/>
      <c r="C828" s="556"/>
      <c r="D828" s="564"/>
      <c r="E828" s="556"/>
      <c r="F828" s="564"/>
      <c r="G828" s="564"/>
      <c r="H828" s="564"/>
      <c r="I828" s="564"/>
      <c r="J828" s="564"/>
      <c r="K828" s="564"/>
      <c r="L828" s="564"/>
      <c r="M828" s="564"/>
      <c r="N828" s="564"/>
      <c r="O828" s="564"/>
      <c r="P828" s="564"/>
      <c r="Q828" s="564"/>
      <c r="R828" s="564"/>
      <c r="S828" s="564"/>
      <c r="T828" s="564"/>
      <c r="U828" s="564"/>
      <c r="V828" s="564"/>
      <c r="W828" s="564"/>
      <c r="X828" s="564"/>
      <c r="Y828" s="564"/>
      <c r="Z828" s="564"/>
      <c r="AA828" s="564"/>
      <c r="AB828" s="556"/>
      <c r="AC828" s="556"/>
      <c r="AD828" s="556"/>
      <c r="AE828" s="556"/>
      <c r="AF828" s="556"/>
      <c r="AG828" s="556"/>
      <c r="AH828" s="556"/>
      <c r="AI828" s="556"/>
      <c r="AJ828" s="556"/>
      <c r="AK828" s="556"/>
      <c r="AL828" s="556"/>
      <c r="AM828" s="556"/>
      <c r="AN828" s="556"/>
      <c r="AO828" s="556"/>
      <c r="AP828" s="556"/>
      <c r="AQ828" s="556"/>
      <c r="AR828" s="556"/>
      <c r="AS828" s="565"/>
      <c r="AT828" s="556"/>
    </row>
    <row r="829" spans="1:46" hidden="1" x14ac:dyDescent="0.45">
      <c r="A829" s="556"/>
      <c r="B829" s="556"/>
      <c r="C829" s="556"/>
      <c r="D829" s="564"/>
      <c r="E829" s="556"/>
      <c r="F829" s="564"/>
      <c r="G829" s="564"/>
      <c r="H829" s="564"/>
      <c r="I829" s="564"/>
      <c r="J829" s="564"/>
      <c r="K829" s="564"/>
      <c r="L829" s="564"/>
      <c r="M829" s="564"/>
      <c r="N829" s="564"/>
      <c r="O829" s="564"/>
      <c r="P829" s="564"/>
      <c r="Q829" s="564"/>
      <c r="R829" s="564"/>
      <c r="S829" s="564"/>
      <c r="T829" s="564"/>
      <c r="U829" s="564"/>
      <c r="V829" s="564"/>
      <c r="W829" s="564"/>
      <c r="X829" s="564"/>
      <c r="Y829" s="564"/>
      <c r="Z829" s="564"/>
      <c r="AA829" s="564"/>
      <c r="AB829" s="556"/>
      <c r="AC829" s="556"/>
      <c r="AD829" s="556"/>
      <c r="AE829" s="556"/>
      <c r="AF829" s="556"/>
      <c r="AG829" s="556"/>
      <c r="AH829" s="556"/>
      <c r="AI829" s="556"/>
      <c r="AJ829" s="556"/>
      <c r="AK829" s="556"/>
      <c r="AL829" s="556"/>
      <c r="AM829" s="556"/>
      <c r="AN829" s="556"/>
      <c r="AO829" s="556"/>
      <c r="AP829" s="556"/>
      <c r="AQ829" s="556"/>
      <c r="AR829" s="556"/>
      <c r="AS829" s="565"/>
      <c r="AT829" s="556"/>
    </row>
    <row r="830" spans="1:46" hidden="1" x14ac:dyDescent="0.45">
      <c r="A830" s="556"/>
      <c r="B830" s="556"/>
      <c r="C830" s="556"/>
      <c r="D830" s="564"/>
      <c r="E830" s="556"/>
      <c r="F830" s="564"/>
      <c r="G830" s="564"/>
      <c r="H830" s="564"/>
      <c r="I830" s="564"/>
      <c r="J830" s="564"/>
      <c r="K830" s="564"/>
      <c r="L830" s="564"/>
      <c r="M830" s="564"/>
      <c r="N830" s="564"/>
      <c r="O830" s="564"/>
      <c r="P830" s="564"/>
      <c r="Q830" s="564"/>
      <c r="R830" s="564"/>
      <c r="S830" s="564"/>
      <c r="T830" s="564"/>
      <c r="U830" s="564"/>
      <c r="V830" s="564"/>
      <c r="W830" s="564"/>
      <c r="X830" s="564"/>
      <c r="Y830" s="564"/>
      <c r="Z830" s="564"/>
      <c r="AA830" s="564"/>
      <c r="AB830" s="556"/>
      <c r="AC830" s="556"/>
      <c r="AD830" s="556"/>
      <c r="AE830" s="556"/>
      <c r="AF830" s="556"/>
      <c r="AG830" s="556"/>
      <c r="AH830" s="556"/>
      <c r="AI830" s="556"/>
      <c r="AJ830" s="556"/>
      <c r="AK830" s="556"/>
      <c r="AL830" s="556"/>
      <c r="AM830" s="556"/>
      <c r="AN830" s="556"/>
      <c r="AO830" s="556"/>
      <c r="AP830" s="556"/>
      <c r="AQ830" s="556"/>
      <c r="AR830" s="556"/>
      <c r="AS830" s="565"/>
      <c r="AT830" s="556"/>
    </row>
    <row r="831" spans="1:46" hidden="1" x14ac:dyDescent="0.45">
      <c r="A831" s="556"/>
      <c r="B831" s="556"/>
      <c r="C831" s="556"/>
      <c r="D831" s="564"/>
      <c r="E831" s="556"/>
      <c r="F831" s="564"/>
      <c r="G831" s="564"/>
      <c r="H831" s="564"/>
      <c r="I831" s="564"/>
      <c r="J831" s="564"/>
      <c r="K831" s="564"/>
      <c r="L831" s="564"/>
      <c r="M831" s="564"/>
      <c r="N831" s="564"/>
      <c r="O831" s="564"/>
      <c r="P831" s="564"/>
      <c r="Q831" s="564"/>
      <c r="R831" s="564"/>
      <c r="S831" s="564"/>
      <c r="T831" s="564"/>
      <c r="U831" s="564"/>
      <c r="V831" s="564"/>
      <c r="W831" s="564"/>
      <c r="X831" s="564"/>
      <c r="Y831" s="564"/>
      <c r="Z831" s="564"/>
      <c r="AA831" s="564"/>
      <c r="AB831" s="556"/>
      <c r="AC831" s="556"/>
      <c r="AD831" s="556"/>
      <c r="AE831" s="556"/>
      <c r="AF831" s="556"/>
      <c r="AG831" s="556"/>
      <c r="AH831" s="556"/>
      <c r="AI831" s="556"/>
      <c r="AJ831" s="556"/>
      <c r="AK831" s="556"/>
      <c r="AL831" s="556"/>
      <c r="AM831" s="556"/>
      <c r="AN831" s="556"/>
      <c r="AO831" s="556"/>
      <c r="AP831" s="556"/>
      <c r="AQ831" s="556"/>
      <c r="AR831" s="556"/>
      <c r="AS831" s="565"/>
      <c r="AT831" s="556"/>
    </row>
    <row r="832" spans="1:46" hidden="1" x14ac:dyDescent="0.45">
      <c r="A832" s="556"/>
      <c r="B832" s="556"/>
      <c r="C832" s="556"/>
      <c r="D832" s="564"/>
      <c r="E832" s="556"/>
      <c r="F832" s="564"/>
      <c r="G832" s="564"/>
      <c r="H832" s="564"/>
      <c r="I832" s="564"/>
      <c r="J832" s="564"/>
      <c r="K832" s="564"/>
      <c r="L832" s="564"/>
      <c r="M832" s="564"/>
      <c r="N832" s="564"/>
      <c r="O832" s="564"/>
      <c r="P832" s="564"/>
      <c r="Q832" s="564"/>
      <c r="R832" s="564"/>
      <c r="S832" s="564"/>
      <c r="T832" s="564"/>
      <c r="U832" s="564"/>
      <c r="V832" s="564"/>
      <c r="W832" s="564"/>
      <c r="X832" s="564"/>
      <c r="Y832" s="564"/>
      <c r="Z832" s="564"/>
      <c r="AA832" s="564"/>
      <c r="AB832" s="556"/>
      <c r="AC832" s="556"/>
      <c r="AD832" s="556"/>
      <c r="AE832" s="556"/>
      <c r="AF832" s="556"/>
      <c r="AG832" s="556"/>
      <c r="AH832" s="556"/>
      <c r="AI832" s="556"/>
      <c r="AJ832" s="556"/>
      <c r="AK832" s="556"/>
      <c r="AL832" s="556"/>
      <c r="AM832" s="556"/>
      <c r="AN832" s="556"/>
      <c r="AO832" s="556"/>
      <c r="AP832" s="556"/>
      <c r="AQ832" s="556"/>
      <c r="AR832" s="556"/>
      <c r="AS832" s="565"/>
      <c r="AT832" s="556"/>
    </row>
    <row r="833" spans="1:46" hidden="1" x14ac:dyDescent="0.45">
      <c r="A833" s="556"/>
      <c r="B833" s="556"/>
      <c r="C833" s="556"/>
      <c r="D833" s="564"/>
      <c r="E833" s="556"/>
      <c r="F833" s="564"/>
      <c r="G833" s="564"/>
      <c r="H833" s="564"/>
      <c r="I833" s="564"/>
      <c r="J833" s="564"/>
      <c r="K833" s="564"/>
      <c r="L833" s="564"/>
      <c r="M833" s="564"/>
      <c r="N833" s="564"/>
      <c r="O833" s="564"/>
      <c r="P833" s="564"/>
      <c r="Q833" s="564"/>
      <c r="R833" s="564"/>
      <c r="S833" s="564"/>
      <c r="T833" s="564"/>
      <c r="U833" s="564"/>
      <c r="V833" s="564"/>
      <c r="W833" s="564"/>
      <c r="X833" s="564"/>
      <c r="Y833" s="564"/>
      <c r="Z833" s="564"/>
      <c r="AA833" s="564"/>
      <c r="AB833" s="556"/>
      <c r="AC833" s="556"/>
      <c r="AD833" s="556"/>
      <c r="AE833" s="556"/>
      <c r="AF833" s="556"/>
      <c r="AG833" s="556"/>
      <c r="AH833" s="556"/>
      <c r="AI833" s="556"/>
      <c r="AJ833" s="556"/>
      <c r="AK833" s="556"/>
      <c r="AL833" s="556"/>
      <c r="AM833" s="556"/>
      <c r="AN833" s="556"/>
      <c r="AO833" s="556"/>
      <c r="AP833" s="556"/>
      <c r="AQ833" s="556"/>
      <c r="AR833" s="556"/>
      <c r="AS833" s="565"/>
      <c r="AT833" s="556"/>
    </row>
    <row r="834" spans="1:46" hidden="1" x14ac:dyDescent="0.45">
      <c r="A834" s="556"/>
      <c r="B834" s="556"/>
      <c r="C834" s="556"/>
      <c r="D834" s="564"/>
      <c r="E834" s="556"/>
      <c r="F834" s="564"/>
      <c r="G834" s="564"/>
      <c r="H834" s="564"/>
      <c r="I834" s="564"/>
      <c r="J834" s="564"/>
      <c r="K834" s="564"/>
      <c r="L834" s="564"/>
      <c r="M834" s="564"/>
      <c r="N834" s="564"/>
      <c r="O834" s="564"/>
      <c r="P834" s="564"/>
      <c r="Q834" s="564"/>
      <c r="R834" s="564"/>
      <c r="S834" s="564"/>
      <c r="T834" s="564"/>
      <c r="U834" s="564"/>
      <c r="V834" s="564"/>
      <c r="W834" s="564"/>
      <c r="X834" s="564"/>
      <c r="Y834" s="564"/>
      <c r="Z834" s="564"/>
      <c r="AA834" s="564"/>
      <c r="AB834" s="556"/>
      <c r="AC834" s="556"/>
      <c r="AD834" s="556"/>
      <c r="AE834" s="556"/>
      <c r="AF834" s="556"/>
      <c r="AG834" s="556"/>
      <c r="AH834" s="556"/>
      <c r="AI834" s="556"/>
      <c r="AJ834" s="556"/>
      <c r="AK834" s="556"/>
      <c r="AL834" s="556"/>
      <c r="AM834" s="556"/>
      <c r="AN834" s="556"/>
      <c r="AO834" s="556"/>
      <c r="AP834" s="556"/>
      <c r="AQ834" s="556"/>
      <c r="AR834" s="556"/>
      <c r="AS834" s="565"/>
      <c r="AT834" s="556"/>
    </row>
    <row r="835" spans="1:46" hidden="1" x14ac:dyDescent="0.45">
      <c r="A835" s="556"/>
      <c r="B835" s="556"/>
      <c r="C835" s="556"/>
      <c r="D835" s="564"/>
      <c r="E835" s="556"/>
      <c r="F835" s="564"/>
      <c r="G835" s="564"/>
      <c r="H835" s="564"/>
      <c r="I835" s="564"/>
      <c r="J835" s="564"/>
      <c r="K835" s="564"/>
      <c r="L835" s="564"/>
      <c r="M835" s="564"/>
      <c r="N835" s="564"/>
      <c r="O835" s="564"/>
      <c r="P835" s="564"/>
      <c r="Q835" s="564"/>
      <c r="R835" s="564"/>
      <c r="S835" s="564"/>
      <c r="T835" s="564"/>
      <c r="U835" s="564"/>
      <c r="V835" s="564"/>
      <c r="W835" s="564"/>
      <c r="X835" s="564"/>
      <c r="Y835" s="564"/>
      <c r="Z835" s="564"/>
      <c r="AA835" s="564"/>
      <c r="AB835" s="556"/>
      <c r="AC835" s="556"/>
      <c r="AD835" s="556"/>
      <c r="AE835" s="556"/>
      <c r="AF835" s="556"/>
      <c r="AG835" s="556"/>
      <c r="AH835" s="556"/>
      <c r="AI835" s="556"/>
      <c r="AJ835" s="556"/>
      <c r="AK835" s="556"/>
      <c r="AL835" s="556"/>
      <c r="AM835" s="556"/>
      <c r="AN835" s="556"/>
      <c r="AO835" s="556"/>
      <c r="AP835" s="556"/>
      <c r="AQ835" s="556"/>
      <c r="AR835" s="556"/>
      <c r="AS835" s="565"/>
      <c r="AT835" s="556"/>
    </row>
    <row r="836" spans="1:46" hidden="1" x14ac:dyDescent="0.45">
      <c r="A836" s="556"/>
      <c r="B836" s="556"/>
      <c r="C836" s="556"/>
      <c r="D836" s="564"/>
      <c r="E836" s="556"/>
      <c r="F836" s="564"/>
      <c r="G836" s="564"/>
      <c r="H836" s="564"/>
      <c r="I836" s="564"/>
      <c r="J836" s="564"/>
      <c r="K836" s="564"/>
      <c r="L836" s="564"/>
      <c r="M836" s="564"/>
      <c r="N836" s="564"/>
      <c r="O836" s="564"/>
      <c r="P836" s="564"/>
      <c r="Q836" s="564"/>
      <c r="R836" s="564"/>
      <c r="S836" s="564"/>
      <c r="T836" s="564"/>
      <c r="U836" s="564"/>
      <c r="V836" s="564"/>
      <c r="W836" s="564"/>
      <c r="X836" s="564"/>
      <c r="Y836" s="564"/>
      <c r="Z836" s="564"/>
      <c r="AA836" s="564"/>
      <c r="AB836" s="556"/>
      <c r="AC836" s="556"/>
      <c r="AD836" s="556"/>
      <c r="AE836" s="556"/>
      <c r="AF836" s="556"/>
      <c r="AG836" s="556"/>
      <c r="AH836" s="556"/>
      <c r="AI836" s="556"/>
      <c r="AJ836" s="556"/>
      <c r="AK836" s="556"/>
      <c r="AL836" s="556"/>
      <c r="AM836" s="556"/>
      <c r="AN836" s="556"/>
      <c r="AO836" s="556"/>
      <c r="AP836" s="556"/>
      <c r="AQ836" s="556"/>
      <c r="AR836" s="556"/>
      <c r="AS836" s="565"/>
      <c r="AT836" s="556"/>
    </row>
    <row r="837" spans="1:46" hidden="1" x14ac:dyDescent="0.45">
      <c r="A837" s="556"/>
      <c r="B837" s="556"/>
      <c r="C837" s="556"/>
      <c r="D837" s="564"/>
      <c r="E837" s="556"/>
      <c r="F837" s="564"/>
      <c r="G837" s="564"/>
      <c r="H837" s="564"/>
      <c r="I837" s="564"/>
      <c r="J837" s="564"/>
      <c r="K837" s="564"/>
      <c r="L837" s="564"/>
      <c r="M837" s="564"/>
      <c r="N837" s="564"/>
      <c r="O837" s="564"/>
      <c r="P837" s="564"/>
      <c r="Q837" s="564"/>
      <c r="R837" s="564"/>
      <c r="S837" s="564"/>
      <c r="T837" s="564"/>
      <c r="U837" s="564"/>
      <c r="V837" s="564"/>
      <c r="W837" s="564"/>
      <c r="X837" s="564"/>
      <c r="Y837" s="564"/>
      <c r="Z837" s="564"/>
      <c r="AA837" s="564"/>
      <c r="AB837" s="556"/>
      <c r="AC837" s="556"/>
      <c r="AD837" s="556"/>
      <c r="AE837" s="556"/>
      <c r="AF837" s="556"/>
      <c r="AG837" s="556"/>
      <c r="AH837" s="556"/>
      <c r="AI837" s="556"/>
      <c r="AJ837" s="556"/>
      <c r="AK837" s="556"/>
      <c r="AL837" s="556"/>
      <c r="AM837" s="556"/>
      <c r="AN837" s="556"/>
      <c r="AO837" s="556"/>
      <c r="AP837" s="556"/>
      <c r="AQ837" s="556"/>
      <c r="AR837" s="556"/>
      <c r="AS837" s="565"/>
      <c r="AT837" s="556"/>
    </row>
    <row r="838" spans="1:46" hidden="1" x14ac:dyDescent="0.45">
      <c r="A838" s="556"/>
      <c r="B838" s="556"/>
      <c r="C838" s="556"/>
      <c r="D838" s="564"/>
      <c r="E838" s="556"/>
      <c r="F838" s="564"/>
      <c r="G838" s="564"/>
      <c r="H838" s="564"/>
      <c r="I838" s="564"/>
      <c r="J838" s="564"/>
      <c r="K838" s="564"/>
      <c r="L838" s="564"/>
      <c r="M838" s="564"/>
      <c r="N838" s="564"/>
      <c r="O838" s="564"/>
      <c r="P838" s="564"/>
      <c r="Q838" s="564"/>
      <c r="R838" s="564"/>
      <c r="S838" s="564"/>
      <c r="T838" s="564"/>
      <c r="U838" s="564"/>
      <c r="V838" s="564"/>
      <c r="W838" s="564"/>
      <c r="X838" s="564"/>
      <c r="Y838" s="564"/>
      <c r="Z838" s="564"/>
      <c r="AA838" s="564"/>
      <c r="AB838" s="556"/>
      <c r="AC838" s="556"/>
      <c r="AD838" s="556"/>
      <c r="AE838" s="556"/>
      <c r="AF838" s="556"/>
      <c r="AG838" s="556"/>
      <c r="AH838" s="556"/>
      <c r="AI838" s="556"/>
      <c r="AJ838" s="556"/>
      <c r="AK838" s="556"/>
      <c r="AL838" s="556"/>
      <c r="AM838" s="556"/>
      <c r="AN838" s="556"/>
      <c r="AO838" s="556"/>
      <c r="AP838" s="556"/>
      <c r="AQ838" s="556"/>
      <c r="AR838" s="556"/>
      <c r="AS838" s="565"/>
      <c r="AT838" s="556"/>
    </row>
    <row r="839" spans="1:46" hidden="1" x14ac:dyDescent="0.45">
      <c r="A839" s="556"/>
      <c r="B839" s="556"/>
      <c r="C839" s="556"/>
      <c r="D839" s="564"/>
      <c r="E839" s="556"/>
      <c r="F839" s="564"/>
      <c r="G839" s="564"/>
      <c r="H839" s="564"/>
      <c r="I839" s="564"/>
      <c r="J839" s="564"/>
      <c r="K839" s="564"/>
      <c r="L839" s="564"/>
      <c r="M839" s="564"/>
      <c r="N839" s="564"/>
      <c r="O839" s="564"/>
      <c r="P839" s="564"/>
      <c r="Q839" s="564"/>
      <c r="R839" s="564"/>
      <c r="S839" s="564"/>
      <c r="T839" s="564"/>
      <c r="U839" s="564"/>
      <c r="V839" s="564"/>
      <c r="W839" s="564"/>
      <c r="X839" s="564"/>
      <c r="Y839" s="564"/>
      <c r="Z839" s="564"/>
      <c r="AA839" s="564"/>
      <c r="AB839" s="556"/>
      <c r="AC839" s="556"/>
      <c r="AD839" s="556"/>
      <c r="AE839" s="556"/>
      <c r="AF839" s="556"/>
      <c r="AG839" s="556"/>
      <c r="AH839" s="556"/>
      <c r="AI839" s="556"/>
      <c r="AJ839" s="556"/>
      <c r="AK839" s="556"/>
      <c r="AL839" s="556"/>
      <c r="AM839" s="556"/>
      <c r="AN839" s="556"/>
      <c r="AO839" s="556"/>
      <c r="AP839" s="556"/>
      <c r="AQ839" s="556"/>
      <c r="AR839" s="556"/>
      <c r="AS839" s="565"/>
      <c r="AT839" s="556"/>
    </row>
    <row r="840" spans="1:46" hidden="1" x14ac:dyDescent="0.45">
      <c r="A840" s="556"/>
      <c r="B840" s="556"/>
      <c r="C840" s="556"/>
      <c r="D840" s="564"/>
      <c r="E840" s="556"/>
      <c r="F840" s="564"/>
      <c r="G840" s="564"/>
      <c r="H840" s="564"/>
      <c r="I840" s="564"/>
      <c r="J840" s="564"/>
      <c r="K840" s="564"/>
      <c r="L840" s="564"/>
      <c r="M840" s="564"/>
      <c r="N840" s="564"/>
      <c r="O840" s="564"/>
      <c r="P840" s="564"/>
      <c r="Q840" s="564"/>
      <c r="R840" s="564"/>
      <c r="S840" s="564"/>
      <c r="T840" s="564"/>
      <c r="U840" s="564"/>
      <c r="V840" s="564"/>
      <c r="W840" s="564"/>
      <c r="X840" s="564"/>
      <c r="Y840" s="564"/>
      <c r="Z840" s="564"/>
      <c r="AA840" s="564"/>
      <c r="AB840" s="556"/>
      <c r="AC840" s="556"/>
      <c r="AD840" s="556"/>
      <c r="AE840" s="556"/>
      <c r="AF840" s="556"/>
      <c r="AG840" s="556"/>
      <c r="AH840" s="556"/>
      <c r="AI840" s="556"/>
      <c r="AJ840" s="556"/>
      <c r="AK840" s="556"/>
      <c r="AL840" s="556"/>
      <c r="AM840" s="556"/>
      <c r="AN840" s="556"/>
      <c r="AO840" s="556"/>
      <c r="AP840" s="556"/>
      <c r="AQ840" s="556"/>
      <c r="AR840" s="556"/>
      <c r="AS840" s="565"/>
      <c r="AT840" s="556"/>
    </row>
    <row r="841" spans="1:46" hidden="1" x14ac:dyDescent="0.45">
      <c r="A841" s="556"/>
      <c r="B841" s="556"/>
      <c r="C841" s="556"/>
      <c r="D841" s="564"/>
      <c r="E841" s="556"/>
      <c r="F841" s="564"/>
      <c r="G841" s="564"/>
      <c r="H841" s="564"/>
      <c r="I841" s="564"/>
      <c r="J841" s="564"/>
      <c r="K841" s="564"/>
      <c r="L841" s="564"/>
      <c r="M841" s="564"/>
      <c r="N841" s="564"/>
      <c r="O841" s="564"/>
      <c r="P841" s="564"/>
      <c r="Q841" s="564"/>
      <c r="R841" s="564"/>
      <c r="S841" s="564"/>
      <c r="T841" s="564"/>
      <c r="U841" s="564"/>
      <c r="V841" s="564"/>
      <c r="W841" s="564"/>
      <c r="X841" s="564"/>
      <c r="Y841" s="564"/>
      <c r="Z841" s="564"/>
      <c r="AA841" s="564"/>
      <c r="AB841" s="556"/>
      <c r="AC841" s="556"/>
      <c r="AD841" s="556"/>
      <c r="AE841" s="556"/>
      <c r="AF841" s="556"/>
      <c r="AG841" s="556"/>
      <c r="AH841" s="556"/>
      <c r="AI841" s="556"/>
      <c r="AJ841" s="556"/>
      <c r="AK841" s="556"/>
      <c r="AL841" s="556"/>
      <c r="AM841" s="556"/>
      <c r="AN841" s="556"/>
      <c r="AO841" s="556"/>
      <c r="AP841" s="556"/>
      <c r="AQ841" s="556"/>
      <c r="AR841" s="556"/>
      <c r="AS841" s="565"/>
      <c r="AT841" s="556"/>
    </row>
    <row r="842" spans="1:46" hidden="1" x14ac:dyDescent="0.45">
      <c r="A842" s="556"/>
      <c r="B842" s="556"/>
      <c r="C842" s="556"/>
      <c r="D842" s="564"/>
      <c r="E842" s="556"/>
      <c r="F842" s="564"/>
      <c r="G842" s="564"/>
      <c r="H842" s="564"/>
      <c r="I842" s="564"/>
      <c r="J842" s="564"/>
      <c r="K842" s="564"/>
      <c r="L842" s="564"/>
      <c r="M842" s="564"/>
      <c r="N842" s="564"/>
      <c r="O842" s="564"/>
      <c r="P842" s="564"/>
      <c r="Q842" s="564"/>
      <c r="R842" s="564"/>
      <c r="S842" s="564"/>
      <c r="T842" s="564"/>
      <c r="U842" s="564"/>
      <c r="V842" s="564"/>
      <c r="W842" s="564"/>
      <c r="X842" s="564"/>
      <c r="Y842" s="564"/>
      <c r="Z842" s="564"/>
      <c r="AA842" s="564"/>
      <c r="AB842" s="556"/>
      <c r="AC842" s="556"/>
      <c r="AD842" s="556"/>
      <c r="AE842" s="556"/>
      <c r="AF842" s="556"/>
      <c r="AG842" s="556"/>
      <c r="AH842" s="556"/>
      <c r="AI842" s="556"/>
      <c r="AJ842" s="556"/>
      <c r="AK842" s="556"/>
      <c r="AL842" s="556"/>
      <c r="AM842" s="556"/>
      <c r="AN842" s="556"/>
      <c r="AO842" s="556"/>
      <c r="AP842" s="556"/>
      <c r="AQ842" s="556"/>
      <c r="AR842" s="556"/>
      <c r="AS842" s="565"/>
      <c r="AT842" s="556"/>
    </row>
    <row r="843" spans="1:46" hidden="1" x14ac:dyDescent="0.45">
      <c r="A843" s="556"/>
      <c r="B843" s="556"/>
      <c r="C843" s="556"/>
      <c r="D843" s="564"/>
      <c r="E843" s="556"/>
      <c r="F843" s="564"/>
      <c r="G843" s="564"/>
      <c r="H843" s="564"/>
      <c r="I843" s="564"/>
      <c r="J843" s="564"/>
      <c r="K843" s="564"/>
      <c r="L843" s="564"/>
      <c r="M843" s="564"/>
      <c r="N843" s="564"/>
      <c r="O843" s="564"/>
      <c r="P843" s="564"/>
      <c r="Q843" s="564"/>
      <c r="R843" s="564"/>
      <c r="S843" s="564"/>
      <c r="T843" s="564"/>
      <c r="U843" s="564"/>
      <c r="V843" s="564"/>
      <c r="W843" s="564"/>
      <c r="X843" s="564"/>
      <c r="Y843" s="564"/>
      <c r="Z843" s="564"/>
      <c r="AA843" s="564"/>
      <c r="AB843" s="556"/>
      <c r="AC843" s="556"/>
      <c r="AD843" s="556"/>
      <c r="AE843" s="556"/>
      <c r="AF843" s="556"/>
      <c r="AG843" s="556"/>
      <c r="AH843" s="556"/>
      <c r="AI843" s="556"/>
      <c r="AJ843" s="556"/>
      <c r="AK843" s="556"/>
      <c r="AL843" s="556"/>
      <c r="AM843" s="556"/>
      <c r="AN843" s="556"/>
      <c r="AO843" s="556"/>
      <c r="AP843" s="556"/>
      <c r="AQ843" s="556"/>
      <c r="AR843" s="556"/>
      <c r="AS843" s="565"/>
      <c r="AT843" s="556"/>
    </row>
    <row r="844" spans="1:46" hidden="1" x14ac:dyDescent="0.45">
      <c r="A844" s="556"/>
      <c r="B844" s="556"/>
      <c r="C844" s="556"/>
      <c r="D844" s="564"/>
      <c r="E844" s="556"/>
      <c r="F844" s="564"/>
      <c r="G844" s="564"/>
      <c r="H844" s="564"/>
      <c r="I844" s="564"/>
      <c r="J844" s="564"/>
      <c r="K844" s="564"/>
      <c r="L844" s="564"/>
      <c r="M844" s="564"/>
      <c r="N844" s="564"/>
      <c r="O844" s="564"/>
      <c r="P844" s="564"/>
      <c r="Q844" s="564"/>
      <c r="R844" s="564"/>
      <c r="S844" s="564"/>
      <c r="T844" s="564"/>
      <c r="U844" s="564"/>
      <c r="V844" s="564"/>
      <c r="W844" s="564"/>
      <c r="X844" s="564"/>
      <c r="Y844" s="564"/>
      <c r="Z844" s="564"/>
      <c r="AA844" s="564"/>
      <c r="AB844" s="556"/>
      <c r="AC844" s="556"/>
      <c r="AD844" s="556"/>
      <c r="AE844" s="556"/>
      <c r="AF844" s="556"/>
      <c r="AG844" s="556"/>
      <c r="AH844" s="556"/>
      <c r="AI844" s="556"/>
      <c r="AJ844" s="556"/>
      <c r="AK844" s="556"/>
      <c r="AL844" s="556"/>
      <c r="AM844" s="556"/>
      <c r="AN844" s="556"/>
      <c r="AO844" s="556"/>
      <c r="AP844" s="556"/>
      <c r="AQ844" s="556"/>
      <c r="AR844" s="556"/>
      <c r="AS844" s="565"/>
      <c r="AT844" s="556"/>
    </row>
    <row r="845" spans="1:46" hidden="1" x14ac:dyDescent="0.45">
      <c r="A845" s="556"/>
      <c r="B845" s="556"/>
      <c r="C845" s="556"/>
      <c r="D845" s="564"/>
      <c r="E845" s="556"/>
      <c r="F845" s="564"/>
      <c r="G845" s="564"/>
      <c r="H845" s="564"/>
      <c r="I845" s="564"/>
      <c r="J845" s="564"/>
      <c r="K845" s="564"/>
      <c r="L845" s="564"/>
      <c r="M845" s="564"/>
      <c r="N845" s="564"/>
      <c r="O845" s="564"/>
      <c r="P845" s="564"/>
      <c r="Q845" s="564"/>
      <c r="R845" s="564"/>
      <c r="S845" s="564"/>
      <c r="T845" s="564"/>
      <c r="U845" s="564"/>
      <c r="V845" s="564"/>
      <c r="W845" s="564"/>
      <c r="X845" s="564"/>
      <c r="Y845" s="564"/>
      <c r="Z845" s="564"/>
      <c r="AA845" s="564"/>
      <c r="AB845" s="556"/>
      <c r="AC845" s="556"/>
      <c r="AD845" s="556"/>
      <c r="AE845" s="556"/>
      <c r="AF845" s="556"/>
      <c r="AG845" s="556"/>
      <c r="AH845" s="556"/>
      <c r="AI845" s="556"/>
      <c r="AJ845" s="556"/>
      <c r="AK845" s="556"/>
      <c r="AL845" s="556"/>
      <c r="AM845" s="556"/>
      <c r="AN845" s="556"/>
      <c r="AO845" s="556"/>
      <c r="AP845" s="556"/>
      <c r="AQ845" s="556"/>
      <c r="AR845" s="556"/>
      <c r="AS845" s="565"/>
      <c r="AT845" s="556"/>
    </row>
    <row r="846" spans="1:46" hidden="1" x14ac:dyDescent="0.45">
      <c r="A846" s="556"/>
      <c r="B846" s="556"/>
      <c r="C846" s="556"/>
      <c r="D846" s="564"/>
      <c r="E846" s="556"/>
      <c r="F846" s="564"/>
      <c r="G846" s="564"/>
      <c r="H846" s="564"/>
      <c r="I846" s="564"/>
      <c r="J846" s="564"/>
      <c r="K846" s="564"/>
      <c r="L846" s="564"/>
      <c r="M846" s="564"/>
      <c r="N846" s="564"/>
      <c r="O846" s="564"/>
      <c r="P846" s="564"/>
      <c r="Q846" s="564"/>
      <c r="R846" s="564"/>
      <c r="S846" s="564"/>
      <c r="T846" s="564"/>
      <c r="U846" s="564"/>
      <c r="V846" s="564"/>
      <c r="W846" s="564"/>
      <c r="X846" s="564"/>
      <c r="Y846" s="564"/>
      <c r="Z846" s="564"/>
      <c r="AA846" s="564"/>
      <c r="AB846" s="556"/>
      <c r="AC846" s="556"/>
      <c r="AD846" s="556"/>
      <c r="AE846" s="556"/>
      <c r="AF846" s="556"/>
      <c r="AG846" s="556"/>
      <c r="AH846" s="556"/>
      <c r="AI846" s="556"/>
      <c r="AJ846" s="556"/>
      <c r="AK846" s="556"/>
      <c r="AL846" s="556"/>
      <c r="AM846" s="556"/>
      <c r="AN846" s="556"/>
      <c r="AO846" s="556"/>
      <c r="AP846" s="556"/>
      <c r="AQ846" s="556"/>
      <c r="AR846" s="556"/>
      <c r="AS846" s="565"/>
      <c r="AT846" s="556"/>
    </row>
    <row r="847" spans="1:46" hidden="1" x14ac:dyDescent="0.45">
      <c r="A847" s="556"/>
      <c r="B847" s="556"/>
      <c r="C847" s="556"/>
      <c r="D847" s="564"/>
      <c r="E847" s="556"/>
      <c r="F847" s="564"/>
      <c r="G847" s="564"/>
      <c r="H847" s="564"/>
      <c r="I847" s="564"/>
      <c r="J847" s="564"/>
      <c r="K847" s="564"/>
      <c r="L847" s="564"/>
      <c r="M847" s="564"/>
      <c r="N847" s="564"/>
      <c r="O847" s="564"/>
      <c r="P847" s="564"/>
      <c r="Q847" s="564"/>
      <c r="R847" s="564"/>
      <c r="S847" s="564"/>
      <c r="T847" s="564"/>
      <c r="U847" s="564"/>
      <c r="V847" s="564"/>
      <c r="W847" s="564"/>
      <c r="X847" s="564"/>
      <c r="Y847" s="564"/>
      <c r="Z847" s="564"/>
      <c r="AA847" s="564"/>
      <c r="AB847" s="556"/>
      <c r="AC847" s="556"/>
      <c r="AD847" s="556"/>
      <c r="AE847" s="556"/>
      <c r="AF847" s="556"/>
      <c r="AG847" s="556"/>
      <c r="AH847" s="556"/>
      <c r="AI847" s="556"/>
      <c r="AJ847" s="556"/>
      <c r="AK847" s="556"/>
      <c r="AL847" s="556"/>
      <c r="AM847" s="556"/>
      <c r="AN847" s="556"/>
      <c r="AO847" s="556"/>
      <c r="AP847" s="556"/>
      <c r="AQ847" s="556"/>
      <c r="AR847" s="556"/>
      <c r="AS847" s="565"/>
      <c r="AT847" s="556"/>
    </row>
    <row r="848" spans="1:46" hidden="1" x14ac:dyDescent="0.45">
      <c r="A848" s="556"/>
      <c r="B848" s="556"/>
      <c r="C848" s="556"/>
      <c r="D848" s="564"/>
      <c r="E848" s="556"/>
      <c r="F848" s="564"/>
      <c r="G848" s="564"/>
      <c r="H848" s="564"/>
      <c r="I848" s="564"/>
      <c r="J848" s="564"/>
      <c r="K848" s="564"/>
      <c r="L848" s="564"/>
      <c r="M848" s="564"/>
      <c r="N848" s="564"/>
      <c r="O848" s="564"/>
      <c r="P848" s="564"/>
      <c r="Q848" s="564"/>
      <c r="R848" s="564"/>
      <c r="S848" s="564"/>
      <c r="T848" s="564"/>
      <c r="U848" s="564"/>
      <c r="V848" s="564"/>
      <c r="W848" s="564"/>
      <c r="X848" s="564"/>
      <c r="Y848" s="564"/>
      <c r="Z848" s="564"/>
      <c r="AA848" s="564"/>
      <c r="AB848" s="556"/>
      <c r="AC848" s="556"/>
      <c r="AD848" s="556"/>
      <c r="AE848" s="556"/>
      <c r="AF848" s="556"/>
      <c r="AG848" s="556"/>
      <c r="AH848" s="556"/>
      <c r="AI848" s="556"/>
      <c r="AJ848" s="556"/>
      <c r="AK848" s="556"/>
      <c r="AL848" s="556"/>
      <c r="AM848" s="556"/>
      <c r="AN848" s="556"/>
      <c r="AO848" s="556"/>
      <c r="AP848" s="556"/>
      <c r="AQ848" s="556"/>
      <c r="AR848" s="556"/>
      <c r="AS848" s="565"/>
      <c r="AT848" s="556"/>
    </row>
    <row r="849" spans="1:46" hidden="1" x14ac:dyDescent="0.45">
      <c r="A849" s="556"/>
      <c r="B849" s="556"/>
      <c r="C849" s="556"/>
      <c r="D849" s="564"/>
      <c r="E849" s="556"/>
      <c r="F849" s="564"/>
      <c r="G849" s="564"/>
      <c r="H849" s="564"/>
      <c r="I849" s="564"/>
      <c r="J849" s="564"/>
      <c r="K849" s="564"/>
      <c r="L849" s="564"/>
      <c r="M849" s="564"/>
      <c r="N849" s="564"/>
      <c r="O849" s="564"/>
      <c r="P849" s="564"/>
      <c r="Q849" s="564"/>
      <c r="R849" s="564"/>
      <c r="S849" s="564"/>
      <c r="T849" s="564"/>
      <c r="U849" s="564"/>
      <c r="V849" s="564"/>
      <c r="W849" s="564"/>
      <c r="X849" s="564"/>
      <c r="Y849" s="564"/>
      <c r="Z849" s="564"/>
      <c r="AA849" s="564"/>
      <c r="AB849" s="556"/>
      <c r="AC849" s="556"/>
      <c r="AD849" s="556"/>
      <c r="AE849" s="556"/>
      <c r="AF849" s="556"/>
      <c r="AG849" s="556"/>
      <c r="AH849" s="556"/>
      <c r="AI849" s="556"/>
      <c r="AJ849" s="556"/>
      <c r="AK849" s="556"/>
      <c r="AL849" s="556"/>
      <c r="AM849" s="556"/>
      <c r="AN849" s="556"/>
      <c r="AO849" s="556"/>
      <c r="AP849" s="556"/>
      <c r="AQ849" s="556"/>
      <c r="AR849" s="556"/>
      <c r="AS849" s="565"/>
      <c r="AT849" s="556"/>
    </row>
    <row r="850" spans="1:46" hidden="1" x14ac:dyDescent="0.45">
      <c r="A850" s="556"/>
      <c r="B850" s="556"/>
      <c r="C850" s="556"/>
      <c r="D850" s="564"/>
      <c r="E850" s="556"/>
      <c r="F850" s="564"/>
      <c r="G850" s="564"/>
      <c r="H850" s="564"/>
      <c r="I850" s="564"/>
      <c r="J850" s="564"/>
      <c r="K850" s="564"/>
      <c r="L850" s="564"/>
      <c r="M850" s="564"/>
      <c r="N850" s="564"/>
      <c r="O850" s="564"/>
      <c r="P850" s="564"/>
      <c r="Q850" s="564"/>
      <c r="R850" s="564"/>
      <c r="S850" s="564"/>
      <c r="T850" s="564"/>
      <c r="U850" s="564"/>
      <c r="V850" s="564"/>
      <c r="W850" s="564"/>
      <c r="X850" s="564"/>
      <c r="Y850" s="564"/>
      <c r="Z850" s="564"/>
      <c r="AA850" s="564"/>
      <c r="AB850" s="556"/>
      <c r="AC850" s="556"/>
      <c r="AD850" s="556"/>
      <c r="AE850" s="556"/>
      <c r="AF850" s="556"/>
      <c r="AG850" s="556"/>
      <c r="AH850" s="556"/>
      <c r="AI850" s="556"/>
      <c r="AJ850" s="556"/>
      <c r="AK850" s="556"/>
      <c r="AL850" s="556"/>
      <c r="AM850" s="556"/>
      <c r="AN850" s="556"/>
      <c r="AO850" s="556"/>
      <c r="AP850" s="556"/>
      <c r="AQ850" s="556"/>
      <c r="AR850" s="556"/>
      <c r="AS850" s="565"/>
      <c r="AT850" s="556"/>
    </row>
    <row r="851" spans="1:46" hidden="1" x14ac:dyDescent="0.45">
      <c r="A851" s="556"/>
      <c r="B851" s="556"/>
      <c r="C851" s="556"/>
      <c r="D851" s="564"/>
      <c r="E851" s="556"/>
      <c r="F851" s="564"/>
      <c r="G851" s="564"/>
      <c r="H851" s="564"/>
      <c r="I851" s="564"/>
      <c r="J851" s="564"/>
      <c r="K851" s="564"/>
      <c r="L851" s="564"/>
      <c r="M851" s="564"/>
      <c r="N851" s="564"/>
      <c r="O851" s="564"/>
      <c r="P851" s="564"/>
      <c r="Q851" s="564"/>
      <c r="R851" s="564"/>
      <c r="S851" s="564"/>
      <c r="T851" s="564"/>
      <c r="U851" s="564"/>
      <c r="V851" s="564"/>
      <c r="W851" s="564"/>
      <c r="X851" s="564"/>
      <c r="Y851" s="564"/>
      <c r="Z851" s="564"/>
      <c r="AA851" s="564"/>
      <c r="AB851" s="556"/>
      <c r="AC851" s="556"/>
      <c r="AD851" s="556"/>
      <c r="AE851" s="556"/>
      <c r="AF851" s="556"/>
      <c r="AG851" s="556"/>
      <c r="AH851" s="556"/>
      <c r="AI851" s="556"/>
      <c r="AJ851" s="556"/>
      <c r="AK851" s="556"/>
      <c r="AL851" s="556"/>
      <c r="AM851" s="556"/>
      <c r="AN851" s="556"/>
      <c r="AO851" s="556"/>
      <c r="AP851" s="556"/>
      <c r="AQ851" s="556"/>
      <c r="AR851" s="556"/>
      <c r="AS851" s="565"/>
      <c r="AT851" s="556"/>
    </row>
    <row r="852" spans="1:46" hidden="1" x14ac:dyDescent="0.45">
      <c r="A852" s="556"/>
      <c r="B852" s="556"/>
      <c r="C852" s="556"/>
      <c r="D852" s="564"/>
      <c r="E852" s="556"/>
      <c r="F852" s="564"/>
      <c r="G852" s="564"/>
      <c r="H852" s="564"/>
      <c r="I852" s="564"/>
      <c r="J852" s="564"/>
      <c r="K852" s="564"/>
      <c r="L852" s="564"/>
      <c r="M852" s="564"/>
      <c r="N852" s="564"/>
      <c r="O852" s="564"/>
      <c r="P852" s="564"/>
      <c r="Q852" s="564"/>
      <c r="R852" s="564"/>
      <c r="S852" s="564"/>
      <c r="T852" s="564"/>
      <c r="U852" s="564"/>
      <c r="V852" s="564"/>
      <c r="W852" s="564"/>
      <c r="X852" s="564"/>
      <c r="Y852" s="564"/>
      <c r="Z852" s="564"/>
      <c r="AA852" s="564"/>
      <c r="AB852" s="556"/>
      <c r="AC852" s="556"/>
      <c r="AD852" s="556"/>
      <c r="AE852" s="556"/>
      <c r="AF852" s="556"/>
      <c r="AG852" s="556"/>
      <c r="AH852" s="556"/>
      <c r="AI852" s="556"/>
      <c r="AJ852" s="556"/>
      <c r="AK852" s="556"/>
      <c r="AL852" s="556"/>
      <c r="AM852" s="556"/>
      <c r="AN852" s="556"/>
      <c r="AO852" s="556"/>
      <c r="AP852" s="556"/>
      <c r="AQ852" s="556"/>
      <c r="AR852" s="556"/>
      <c r="AS852" s="565"/>
      <c r="AT852" s="556"/>
    </row>
    <row r="853" spans="1:46" hidden="1" x14ac:dyDescent="0.45">
      <c r="A853" s="556"/>
      <c r="B853" s="556"/>
      <c r="C853" s="556"/>
      <c r="D853" s="564"/>
      <c r="E853" s="556"/>
      <c r="F853" s="564"/>
      <c r="G853" s="564"/>
      <c r="H853" s="564"/>
      <c r="I853" s="564"/>
      <c r="J853" s="564"/>
      <c r="K853" s="564"/>
      <c r="L853" s="564"/>
      <c r="M853" s="564"/>
      <c r="N853" s="564"/>
      <c r="O853" s="564"/>
      <c r="P853" s="564"/>
      <c r="Q853" s="564"/>
      <c r="R853" s="564"/>
      <c r="S853" s="564"/>
      <c r="T853" s="564"/>
      <c r="U853" s="564"/>
      <c r="V853" s="564"/>
      <c r="W853" s="564"/>
      <c r="X853" s="564"/>
      <c r="Y853" s="564"/>
      <c r="Z853" s="564"/>
      <c r="AA853" s="564"/>
      <c r="AB853" s="556"/>
      <c r="AC853" s="556"/>
      <c r="AD853" s="556"/>
      <c r="AE853" s="556"/>
      <c r="AF853" s="556"/>
      <c r="AG853" s="556"/>
      <c r="AH853" s="556"/>
      <c r="AI853" s="556"/>
      <c r="AJ853" s="556"/>
      <c r="AK853" s="556"/>
      <c r="AL853" s="556"/>
      <c r="AM853" s="556"/>
      <c r="AN853" s="556"/>
      <c r="AO853" s="556"/>
      <c r="AP853" s="556"/>
      <c r="AQ853" s="556"/>
      <c r="AR853" s="556"/>
      <c r="AS853" s="565"/>
      <c r="AT853" s="556"/>
    </row>
    <row r="854" spans="1:46" hidden="1" x14ac:dyDescent="0.45">
      <c r="A854" s="556"/>
      <c r="B854" s="556"/>
      <c r="C854" s="556"/>
      <c r="D854" s="564"/>
      <c r="E854" s="556"/>
      <c r="F854" s="564"/>
      <c r="G854" s="564"/>
      <c r="H854" s="564"/>
      <c r="I854" s="564"/>
      <c r="J854" s="564"/>
      <c r="K854" s="564"/>
      <c r="L854" s="564"/>
      <c r="M854" s="564"/>
      <c r="N854" s="564"/>
      <c r="O854" s="564"/>
      <c r="P854" s="564"/>
      <c r="Q854" s="564"/>
      <c r="R854" s="564"/>
      <c r="S854" s="564"/>
      <c r="T854" s="564"/>
      <c r="U854" s="564"/>
      <c r="V854" s="564"/>
      <c r="W854" s="564"/>
      <c r="X854" s="564"/>
      <c r="Y854" s="564"/>
      <c r="Z854" s="564"/>
      <c r="AA854" s="564"/>
      <c r="AB854" s="556"/>
      <c r="AC854" s="556"/>
      <c r="AD854" s="556"/>
      <c r="AE854" s="556"/>
      <c r="AF854" s="556"/>
      <c r="AG854" s="556"/>
      <c r="AH854" s="556"/>
      <c r="AI854" s="556"/>
      <c r="AJ854" s="556"/>
      <c r="AK854" s="556"/>
      <c r="AL854" s="556"/>
      <c r="AM854" s="556"/>
      <c r="AN854" s="556"/>
      <c r="AO854" s="556"/>
      <c r="AP854" s="556"/>
      <c r="AQ854" s="556"/>
      <c r="AR854" s="556"/>
      <c r="AS854" s="565"/>
      <c r="AT854" s="556"/>
    </row>
    <row r="855" spans="1:46" hidden="1" x14ac:dyDescent="0.45">
      <c r="A855" s="556"/>
      <c r="B855" s="556"/>
      <c r="C855" s="556"/>
      <c r="D855" s="564"/>
      <c r="E855" s="556"/>
      <c r="F855" s="564"/>
      <c r="G855" s="564"/>
      <c r="H855" s="564"/>
      <c r="I855" s="564"/>
      <c r="J855" s="564"/>
      <c r="K855" s="564"/>
      <c r="L855" s="564"/>
      <c r="M855" s="564"/>
      <c r="N855" s="564"/>
      <c r="O855" s="564"/>
      <c r="P855" s="564"/>
      <c r="Q855" s="564"/>
      <c r="R855" s="564"/>
      <c r="S855" s="564"/>
      <c r="T855" s="564"/>
      <c r="U855" s="564"/>
      <c r="V855" s="564"/>
      <c r="W855" s="564"/>
      <c r="X855" s="564"/>
      <c r="Y855" s="564"/>
      <c r="Z855" s="564"/>
      <c r="AA855" s="564"/>
      <c r="AB855" s="556"/>
      <c r="AC855" s="556"/>
      <c r="AD855" s="556"/>
      <c r="AE855" s="556"/>
      <c r="AF855" s="556"/>
      <c r="AG855" s="556"/>
      <c r="AH855" s="556"/>
      <c r="AI855" s="556"/>
      <c r="AJ855" s="556"/>
      <c r="AK855" s="556"/>
      <c r="AL855" s="556"/>
      <c r="AM855" s="556"/>
      <c r="AN855" s="556"/>
      <c r="AO855" s="556"/>
      <c r="AP855" s="556"/>
      <c r="AQ855" s="556"/>
      <c r="AR855" s="556"/>
      <c r="AS855" s="565"/>
      <c r="AT855" s="556"/>
    </row>
    <row r="856" spans="1:46" hidden="1" x14ac:dyDescent="0.45">
      <c r="A856" s="556"/>
      <c r="B856" s="556"/>
      <c r="C856" s="556"/>
      <c r="D856" s="564"/>
      <c r="E856" s="556"/>
      <c r="F856" s="564"/>
      <c r="G856" s="564"/>
      <c r="H856" s="564"/>
      <c r="I856" s="564"/>
      <c r="J856" s="564"/>
      <c r="K856" s="564"/>
      <c r="L856" s="564"/>
      <c r="M856" s="564"/>
      <c r="N856" s="564"/>
      <c r="O856" s="564"/>
      <c r="P856" s="564"/>
      <c r="Q856" s="564"/>
      <c r="R856" s="564"/>
      <c r="S856" s="564"/>
      <c r="T856" s="564"/>
      <c r="U856" s="564"/>
      <c r="V856" s="564"/>
      <c r="W856" s="564"/>
      <c r="X856" s="564"/>
      <c r="Y856" s="564"/>
      <c r="Z856" s="564"/>
      <c r="AA856" s="564"/>
      <c r="AB856" s="556"/>
      <c r="AC856" s="556"/>
      <c r="AD856" s="556"/>
      <c r="AE856" s="556"/>
      <c r="AF856" s="556"/>
      <c r="AG856" s="556"/>
      <c r="AH856" s="556"/>
      <c r="AI856" s="556"/>
      <c r="AJ856" s="556"/>
      <c r="AK856" s="556"/>
      <c r="AL856" s="556"/>
      <c r="AM856" s="556"/>
      <c r="AN856" s="556"/>
      <c r="AO856" s="556"/>
      <c r="AP856" s="556"/>
      <c r="AQ856" s="556"/>
      <c r="AR856" s="556"/>
      <c r="AS856" s="565"/>
      <c r="AT856" s="556"/>
    </row>
    <row r="857" spans="1:46" hidden="1" x14ac:dyDescent="0.45">
      <c r="A857" s="556"/>
      <c r="B857" s="556"/>
      <c r="C857" s="556"/>
      <c r="D857" s="564"/>
      <c r="E857" s="556"/>
      <c r="F857" s="564"/>
      <c r="G857" s="564"/>
      <c r="H857" s="564"/>
      <c r="I857" s="564"/>
      <c r="J857" s="564"/>
      <c r="K857" s="564"/>
      <c r="L857" s="564"/>
      <c r="M857" s="564"/>
      <c r="N857" s="564"/>
      <c r="O857" s="564"/>
      <c r="P857" s="564"/>
      <c r="Q857" s="564"/>
      <c r="R857" s="564"/>
      <c r="S857" s="564"/>
      <c r="T857" s="564"/>
      <c r="U857" s="564"/>
      <c r="V857" s="564"/>
      <c r="W857" s="564"/>
      <c r="X857" s="564"/>
      <c r="Y857" s="564"/>
      <c r="Z857" s="564"/>
      <c r="AA857" s="564"/>
      <c r="AB857" s="556"/>
      <c r="AC857" s="556"/>
      <c r="AD857" s="556"/>
      <c r="AE857" s="556"/>
      <c r="AF857" s="556"/>
      <c r="AG857" s="556"/>
      <c r="AH857" s="556"/>
      <c r="AI857" s="556"/>
      <c r="AJ857" s="556"/>
      <c r="AK857" s="556"/>
      <c r="AL857" s="556"/>
      <c r="AM857" s="556"/>
      <c r="AN857" s="556"/>
      <c r="AO857" s="556"/>
      <c r="AP857" s="556"/>
      <c r="AQ857" s="556"/>
      <c r="AR857" s="556"/>
      <c r="AS857" s="565"/>
      <c r="AT857" s="556"/>
    </row>
    <row r="858" spans="1:46" hidden="1" x14ac:dyDescent="0.45">
      <c r="A858" s="556"/>
      <c r="B858" s="556"/>
      <c r="C858" s="556"/>
      <c r="D858" s="564"/>
      <c r="E858" s="556"/>
      <c r="F858" s="564"/>
      <c r="G858" s="564"/>
      <c r="H858" s="564"/>
      <c r="I858" s="564"/>
      <c r="J858" s="564"/>
      <c r="K858" s="564"/>
      <c r="L858" s="564"/>
      <c r="M858" s="564"/>
      <c r="N858" s="564"/>
      <c r="O858" s="564"/>
      <c r="P858" s="564"/>
      <c r="Q858" s="564"/>
      <c r="R858" s="564"/>
      <c r="S858" s="564"/>
      <c r="T858" s="564"/>
      <c r="U858" s="564"/>
      <c r="V858" s="564"/>
      <c r="W858" s="564"/>
      <c r="X858" s="564"/>
      <c r="Y858" s="564"/>
      <c r="Z858" s="564"/>
      <c r="AA858" s="564"/>
      <c r="AB858" s="556"/>
      <c r="AC858" s="556"/>
      <c r="AD858" s="556"/>
      <c r="AE858" s="556"/>
      <c r="AF858" s="556"/>
      <c r="AG858" s="556"/>
      <c r="AH858" s="556"/>
      <c r="AI858" s="556"/>
      <c r="AJ858" s="556"/>
      <c r="AK858" s="556"/>
      <c r="AL858" s="556"/>
      <c r="AM858" s="556"/>
      <c r="AN858" s="556"/>
      <c r="AO858" s="556"/>
      <c r="AP858" s="556"/>
      <c r="AQ858" s="556"/>
      <c r="AR858" s="556"/>
      <c r="AS858" s="565"/>
      <c r="AT858" s="556"/>
    </row>
    <row r="859" spans="1:46" hidden="1" x14ac:dyDescent="0.45">
      <c r="A859" s="556"/>
      <c r="B859" s="556"/>
      <c r="C859" s="556"/>
      <c r="D859" s="564"/>
      <c r="E859" s="556"/>
      <c r="F859" s="564"/>
      <c r="G859" s="564"/>
      <c r="H859" s="564"/>
      <c r="I859" s="564"/>
      <c r="J859" s="564"/>
      <c r="K859" s="564"/>
      <c r="L859" s="564"/>
      <c r="M859" s="564"/>
      <c r="N859" s="564"/>
      <c r="O859" s="564"/>
      <c r="P859" s="564"/>
      <c r="Q859" s="564"/>
      <c r="R859" s="564"/>
      <c r="S859" s="564"/>
      <c r="T859" s="564"/>
      <c r="U859" s="564"/>
      <c r="V859" s="564"/>
      <c r="W859" s="564"/>
      <c r="X859" s="564"/>
      <c r="Y859" s="564"/>
      <c r="Z859" s="564"/>
      <c r="AA859" s="564"/>
      <c r="AB859" s="556"/>
      <c r="AC859" s="556"/>
      <c r="AD859" s="556"/>
      <c r="AE859" s="556"/>
      <c r="AF859" s="556"/>
      <c r="AG859" s="556"/>
      <c r="AH859" s="556"/>
      <c r="AI859" s="556"/>
      <c r="AJ859" s="556"/>
      <c r="AK859" s="556"/>
      <c r="AL859" s="556"/>
      <c r="AM859" s="556"/>
      <c r="AN859" s="556"/>
      <c r="AO859" s="556"/>
      <c r="AP859" s="556"/>
      <c r="AQ859" s="556"/>
      <c r="AR859" s="556"/>
      <c r="AS859" s="565"/>
      <c r="AT859" s="556"/>
    </row>
    <row r="860" spans="1:46" hidden="1" x14ac:dyDescent="0.45">
      <c r="A860" s="556"/>
      <c r="B860" s="556"/>
      <c r="C860" s="556"/>
      <c r="D860" s="564"/>
      <c r="E860" s="556"/>
      <c r="F860" s="564"/>
      <c r="G860" s="564"/>
      <c r="H860" s="564"/>
      <c r="I860" s="564"/>
      <c r="J860" s="564"/>
      <c r="K860" s="564"/>
      <c r="L860" s="564"/>
      <c r="M860" s="564"/>
      <c r="N860" s="564"/>
      <c r="O860" s="564"/>
      <c r="P860" s="564"/>
      <c r="Q860" s="564"/>
      <c r="R860" s="564"/>
      <c r="S860" s="564"/>
      <c r="T860" s="564"/>
      <c r="U860" s="564"/>
      <c r="V860" s="564"/>
      <c r="W860" s="564"/>
      <c r="X860" s="564"/>
      <c r="Y860" s="564"/>
      <c r="Z860" s="564"/>
      <c r="AA860" s="564"/>
      <c r="AB860" s="556"/>
      <c r="AC860" s="556"/>
      <c r="AD860" s="556"/>
      <c r="AE860" s="556"/>
      <c r="AF860" s="556"/>
      <c r="AG860" s="556"/>
      <c r="AH860" s="556"/>
      <c r="AI860" s="556"/>
      <c r="AJ860" s="556"/>
      <c r="AK860" s="556"/>
      <c r="AL860" s="556"/>
      <c r="AM860" s="556"/>
      <c r="AN860" s="556"/>
      <c r="AO860" s="556"/>
      <c r="AP860" s="556"/>
      <c r="AQ860" s="556"/>
      <c r="AR860" s="556"/>
      <c r="AS860" s="565"/>
      <c r="AT860" s="556"/>
    </row>
    <row r="861" spans="1:46" hidden="1" x14ac:dyDescent="0.45">
      <c r="A861" s="556"/>
      <c r="B861" s="556"/>
      <c r="C861" s="556"/>
      <c r="D861" s="564"/>
      <c r="E861" s="556"/>
      <c r="F861" s="564"/>
      <c r="G861" s="564"/>
      <c r="H861" s="564"/>
      <c r="I861" s="564"/>
      <c r="J861" s="564"/>
      <c r="K861" s="564"/>
      <c r="L861" s="564"/>
      <c r="M861" s="564"/>
      <c r="N861" s="564"/>
      <c r="O861" s="564"/>
      <c r="P861" s="564"/>
      <c r="Q861" s="564"/>
      <c r="R861" s="564"/>
      <c r="S861" s="564"/>
      <c r="T861" s="564"/>
      <c r="U861" s="564"/>
      <c r="V861" s="564"/>
      <c r="W861" s="564"/>
      <c r="X861" s="564"/>
      <c r="Y861" s="564"/>
      <c r="Z861" s="564"/>
      <c r="AA861" s="564"/>
      <c r="AB861" s="556"/>
      <c r="AC861" s="556"/>
      <c r="AD861" s="556"/>
      <c r="AE861" s="556"/>
      <c r="AF861" s="556"/>
      <c r="AG861" s="556"/>
      <c r="AH861" s="556"/>
      <c r="AI861" s="556"/>
      <c r="AJ861" s="556"/>
      <c r="AK861" s="556"/>
      <c r="AL861" s="556"/>
      <c r="AM861" s="556"/>
      <c r="AN861" s="556"/>
      <c r="AO861" s="556"/>
      <c r="AP861" s="556"/>
      <c r="AQ861" s="556"/>
      <c r="AR861" s="556"/>
      <c r="AS861" s="565"/>
      <c r="AT861" s="556"/>
    </row>
    <row r="862" spans="1:46" hidden="1" x14ac:dyDescent="0.45">
      <c r="A862" s="556"/>
      <c r="B862" s="556"/>
      <c r="C862" s="556"/>
      <c r="D862" s="564"/>
      <c r="E862" s="556"/>
      <c r="F862" s="564"/>
      <c r="G862" s="564"/>
      <c r="H862" s="564"/>
      <c r="I862" s="564"/>
      <c r="J862" s="564"/>
      <c r="K862" s="564"/>
      <c r="L862" s="564"/>
      <c r="M862" s="564"/>
      <c r="N862" s="564"/>
      <c r="O862" s="564"/>
      <c r="P862" s="564"/>
      <c r="Q862" s="564"/>
      <c r="R862" s="564"/>
      <c r="S862" s="564"/>
      <c r="T862" s="564"/>
      <c r="U862" s="564"/>
      <c r="V862" s="564"/>
      <c r="W862" s="564"/>
      <c r="X862" s="564"/>
      <c r="Y862" s="564"/>
      <c r="Z862" s="564"/>
      <c r="AA862" s="564"/>
      <c r="AB862" s="556"/>
      <c r="AC862" s="556"/>
      <c r="AD862" s="556"/>
      <c r="AE862" s="556"/>
      <c r="AF862" s="556"/>
      <c r="AG862" s="556"/>
      <c r="AH862" s="556"/>
      <c r="AI862" s="556"/>
      <c r="AJ862" s="556"/>
      <c r="AK862" s="556"/>
      <c r="AL862" s="556"/>
      <c r="AM862" s="556"/>
      <c r="AN862" s="556"/>
      <c r="AO862" s="556"/>
      <c r="AP862" s="556"/>
      <c r="AQ862" s="556"/>
      <c r="AR862" s="556"/>
      <c r="AS862" s="565"/>
      <c r="AT862" s="556"/>
    </row>
    <row r="863" spans="1:46" hidden="1" x14ac:dyDescent="0.45">
      <c r="A863" s="556"/>
      <c r="B863" s="556"/>
      <c r="C863" s="556"/>
      <c r="D863" s="564"/>
      <c r="E863" s="556"/>
      <c r="F863" s="564"/>
      <c r="G863" s="564"/>
      <c r="H863" s="564"/>
      <c r="I863" s="564"/>
      <c r="J863" s="564"/>
      <c r="K863" s="564"/>
      <c r="L863" s="564"/>
      <c r="M863" s="564"/>
      <c r="N863" s="564"/>
      <c r="O863" s="564"/>
      <c r="P863" s="564"/>
      <c r="Q863" s="564"/>
      <c r="R863" s="564"/>
      <c r="S863" s="564"/>
      <c r="T863" s="564"/>
      <c r="U863" s="564"/>
      <c r="V863" s="564"/>
      <c r="W863" s="564"/>
      <c r="X863" s="564"/>
      <c r="Y863" s="564"/>
      <c r="Z863" s="564"/>
      <c r="AA863" s="564"/>
      <c r="AB863" s="556"/>
      <c r="AC863" s="556"/>
      <c r="AD863" s="556"/>
      <c r="AE863" s="556"/>
      <c r="AF863" s="556"/>
      <c r="AG863" s="556"/>
      <c r="AH863" s="556"/>
      <c r="AI863" s="556"/>
      <c r="AJ863" s="556"/>
      <c r="AK863" s="556"/>
      <c r="AL863" s="556"/>
      <c r="AM863" s="556"/>
      <c r="AN863" s="556"/>
      <c r="AO863" s="556"/>
      <c r="AP863" s="556"/>
      <c r="AQ863" s="556"/>
      <c r="AR863" s="556"/>
      <c r="AS863" s="565"/>
      <c r="AT863" s="556"/>
    </row>
    <row r="864" spans="1:46" hidden="1" x14ac:dyDescent="0.45">
      <c r="A864" s="556"/>
      <c r="B864" s="556"/>
      <c r="C864" s="556"/>
      <c r="D864" s="564"/>
      <c r="E864" s="556"/>
      <c r="F864" s="564"/>
      <c r="G864" s="564"/>
      <c r="H864" s="564"/>
      <c r="I864" s="564"/>
      <c r="J864" s="564"/>
      <c r="K864" s="564"/>
      <c r="L864" s="564"/>
      <c r="M864" s="564"/>
      <c r="N864" s="564"/>
      <c r="O864" s="564"/>
      <c r="P864" s="564"/>
      <c r="Q864" s="564"/>
      <c r="R864" s="564"/>
      <c r="S864" s="564"/>
      <c r="T864" s="564"/>
      <c r="U864" s="564"/>
      <c r="V864" s="564"/>
      <c r="W864" s="564"/>
      <c r="X864" s="564"/>
      <c r="Y864" s="564"/>
      <c r="Z864" s="564"/>
      <c r="AA864" s="564"/>
      <c r="AB864" s="556"/>
      <c r="AC864" s="556"/>
      <c r="AD864" s="556"/>
      <c r="AE864" s="556"/>
      <c r="AF864" s="556"/>
      <c r="AG864" s="556"/>
      <c r="AH864" s="556"/>
      <c r="AI864" s="556"/>
      <c r="AJ864" s="556"/>
      <c r="AK864" s="556"/>
      <c r="AL864" s="556"/>
      <c r="AM864" s="556"/>
      <c r="AN864" s="556"/>
      <c r="AO864" s="556"/>
      <c r="AP864" s="556"/>
      <c r="AQ864" s="556"/>
      <c r="AR864" s="556"/>
      <c r="AS864" s="565"/>
      <c r="AT864" s="556"/>
    </row>
    <row r="865" spans="1:46" hidden="1" x14ac:dyDescent="0.45">
      <c r="A865" s="556"/>
      <c r="B865" s="556"/>
      <c r="C865" s="556"/>
      <c r="D865" s="564"/>
      <c r="E865" s="556"/>
      <c r="F865" s="564"/>
      <c r="G865" s="564"/>
      <c r="H865" s="564"/>
      <c r="I865" s="564"/>
      <c r="J865" s="564"/>
      <c r="K865" s="564"/>
      <c r="L865" s="564"/>
      <c r="M865" s="564"/>
      <c r="N865" s="564"/>
      <c r="O865" s="564"/>
      <c r="P865" s="564"/>
      <c r="Q865" s="564"/>
      <c r="R865" s="564"/>
      <c r="S865" s="564"/>
      <c r="T865" s="564"/>
      <c r="U865" s="564"/>
      <c r="V865" s="564"/>
      <c r="W865" s="564"/>
      <c r="X865" s="564"/>
      <c r="Y865" s="564"/>
      <c r="Z865" s="564"/>
      <c r="AA865" s="564"/>
      <c r="AB865" s="556"/>
      <c r="AC865" s="556"/>
      <c r="AD865" s="556"/>
      <c r="AE865" s="556"/>
      <c r="AF865" s="556"/>
      <c r="AG865" s="556"/>
      <c r="AH865" s="556"/>
      <c r="AI865" s="556"/>
      <c r="AJ865" s="556"/>
      <c r="AK865" s="556"/>
      <c r="AL865" s="556"/>
      <c r="AM865" s="556"/>
      <c r="AN865" s="556"/>
      <c r="AO865" s="556"/>
      <c r="AP865" s="556"/>
      <c r="AQ865" s="556"/>
      <c r="AR865" s="556"/>
      <c r="AS865" s="565"/>
      <c r="AT865" s="556"/>
    </row>
    <row r="866" spans="1:46" hidden="1" x14ac:dyDescent="0.45">
      <c r="A866" s="556"/>
      <c r="B866" s="556"/>
      <c r="C866" s="556"/>
      <c r="D866" s="564"/>
      <c r="E866" s="556"/>
      <c r="F866" s="564"/>
      <c r="G866" s="564"/>
      <c r="H866" s="564"/>
      <c r="I866" s="564"/>
      <c r="J866" s="564"/>
      <c r="K866" s="564"/>
      <c r="L866" s="564"/>
      <c r="M866" s="564"/>
      <c r="N866" s="564"/>
      <c r="O866" s="564"/>
      <c r="P866" s="564"/>
      <c r="Q866" s="564"/>
      <c r="R866" s="564"/>
      <c r="S866" s="564"/>
      <c r="T866" s="564"/>
      <c r="U866" s="564"/>
      <c r="V866" s="564"/>
      <c r="W866" s="564"/>
      <c r="X866" s="564"/>
      <c r="Y866" s="564"/>
      <c r="Z866" s="564"/>
      <c r="AA866" s="564"/>
      <c r="AB866" s="556"/>
      <c r="AC866" s="556"/>
      <c r="AD866" s="556"/>
      <c r="AE866" s="556"/>
      <c r="AF866" s="556"/>
      <c r="AG866" s="556"/>
      <c r="AH866" s="556"/>
      <c r="AI866" s="556"/>
      <c r="AJ866" s="556"/>
      <c r="AK866" s="556"/>
      <c r="AL866" s="556"/>
      <c r="AM866" s="556"/>
      <c r="AN866" s="556"/>
      <c r="AO866" s="556"/>
      <c r="AP866" s="556"/>
      <c r="AQ866" s="556"/>
      <c r="AR866" s="556"/>
      <c r="AS866" s="565"/>
      <c r="AT866" s="556"/>
    </row>
    <row r="867" spans="1:46" hidden="1" x14ac:dyDescent="0.45">
      <c r="A867" s="556"/>
      <c r="B867" s="556"/>
      <c r="C867" s="556"/>
      <c r="D867" s="564"/>
      <c r="E867" s="556"/>
      <c r="F867" s="564"/>
      <c r="G867" s="564"/>
      <c r="H867" s="564"/>
      <c r="I867" s="564"/>
      <c r="J867" s="564"/>
      <c r="K867" s="564"/>
      <c r="L867" s="564"/>
      <c r="M867" s="564"/>
      <c r="N867" s="564"/>
      <c r="O867" s="564"/>
      <c r="P867" s="564"/>
      <c r="Q867" s="564"/>
      <c r="R867" s="564"/>
      <c r="S867" s="564"/>
      <c r="T867" s="564"/>
      <c r="U867" s="564"/>
      <c r="V867" s="564"/>
      <c r="W867" s="564"/>
      <c r="X867" s="564"/>
      <c r="Y867" s="564"/>
      <c r="Z867" s="564"/>
      <c r="AA867" s="564"/>
      <c r="AB867" s="556"/>
      <c r="AC867" s="556"/>
      <c r="AD867" s="556"/>
      <c r="AE867" s="556"/>
      <c r="AF867" s="556"/>
      <c r="AG867" s="556"/>
      <c r="AH867" s="556"/>
      <c r="AI867" s="556"/>
      <c r="AJ867" s="556"/>
      <c r="AK867" s="556"/>
      <c r="AL867" s="556"/>
      <c r="AM867" s="556"/>
      <c r="AN867" s="556"/>
      <c r="AO867" s="556"/>
      <c r="AP867" s="556"/>
      <c r="AQ867" s="556"/>
      <c r="AR867" s="556"/>
      <c r="AS867" s="565"/>
      <c r="AT867" s="556"/>
    </row>
    <row r="868" spans="1:46" hidden="1" x14ac:dyDescent="0.45">
      <c r="A868" s="556"/>
      <c r="B868" s="556"/>
      <c r="C868" s="556"/>
      <c r="D868" s="564"/>
      <c r="E868" s="556"/>
      <c r="F868" s="564"/>
      <c r="G868" s="564"/>
      <c r="H868" s="564"/>
      <c r="I868" s="564"/>
      <c r="J868" s="564"/>
      <c r="K868" s="564"/>
      <c r="L868" s="564"/>
      <c r="M868" s="564"/>
      <c r="N868" s="564"/>
      <c r="O868" s="564"/>
      <c r="P868" s="564"/>
      <c r="Q868" s="564"/>
      <c r="R868" s="564"/>
      <c r="S868" s="564"/>
      <c r="T868" s="564"/>
      <c r="U868" s="564"/>
      <c r="V868" s="564"/>
      <c r="W868" s="564"/>
      <c r="X868" s="564"/>
      <c r="Y868" s="564"/>
      <c r="Z868" s="564"/>
      <c r="AA868" s="564"/>
      <c r="AB868" s="556"/>
      <c r="AC868" s="556"/>
      <c r="AD868" s="556"/>
      <c r="AE868" s="556"/>
      <c r="AF868" s="556"/>
      <c r="AG868" s="556"/>
      <c r="AH868" s="556"/>
      <c r="AI868" s="556"/>
      <c r="AJ868" s="556"/>
      <c r="AK868" s="556"/>
      <c r="AL868" s="556"/>
      <c r="AM868" s="556"/>
      <c r="AN868" s="556"/>
      <c r="AO868" s="556"/>
      <c r="AP868" s="556"/>
      <c r="AQ868" s="556"/>
      <c r="AR868" s="556"/>
      <c r="AS868" s="565"/>
      <c r="AT868" s="556"/>
    </row>
    <row r="869" spans="1:46" hidden="1" x14ac:dyDescent="0.45">
      <c r="A869" s="556"/>
      <c r="B869" s="556"/>
      <c r="C869" s="556"/>
      <c r="D869" s="564"/>
      <c r="E869" s="556"/>
      <c r="F869" s="564"/>
      <c r="G869" s="564"/>
      <c r="H869" s="564"/>
      <c r="I869" s="564"/>
      <c r="J869" s="564"/>
      <c r="K869" s="564"/>
      <c r="L869" s="564"/>
      <c r="M869" s="564"/>
      <c r="N869" s="564"/>
      <c r="O869" s="564"/>
      <c r="P869" s="564"/>
      <c r="Q869" s="564"/>
      <c r="R869" s="564"/>
      <c r="S869" s="564"/>
      <c r="T869" s="564"/>
      <c r="U869" s="564"/>
      <c r="V869" s="564"/>
      <c r="W869" s="564"/>
      <c r="X869" s="564"/>
      <c r="Y869" s="564"/>
      <c r="Z869" s="564"/>
      <c r="AA869" s="564"/>
      <c r="AB869" s="556"/>
      <c r="AC869" s="556"/>
      <c r="AD869" s="556"/>
      <c r="AE869" s="556"/>
      <c r="AF869" s="556"/>
      <c r="AG869" s="556"/>
      <c r="AH869" s="556"/>
      <c r="AI869" s="556"/>
      <c r="AJ869" s="556"/>
      <c r="AK869" s="556"/>
      <c r="AL869" s="556"/>
      <c r="AM869" s="556"/>
      <c r="AN869" s="556"/>
      <c r="AO869" s="556"/>
      <c r="AP869" s="556"/>
      <c r="AQ869" s="556"/>
      <c r="AR869" s="556"/>
      <c r="AS869" s="565"/>
      <c r="AT869" s="556"/>
    </row>
    <row r="870" spans="1:46" hidden="1" x14ac:dyDescent="0.45">
      <c r="A870" s="556"/>
      <c r="B870" s="556"/>
      <c r="C870" s="556"/>
      <c r="D870" s="564"/>
      <c r="E870" s="556"/>
      <c r="F870" s="564"/>
      <c r="G870" s="564"/>
      <c r="H870" s="564"/>
      <c r="I870" s="564"/>
      <c r="J870" s="564"/>
      <c r="K870" s="564"/>
      <c r="L870" s="564"/>
      <c r="M870" s="564"/>
      <c r="N870" s="564"/>
      <c r="O870" s="564"/>
      <c r="P870" s="564"/>
      <c r="Q870" s="564"/>
      <c r="R870" s="564"/>
      <c r="S870" s="564"/>
      <c r="T870" s="564"/>
      <c r="U870" s="564"/>
      <c r="V870" s="564"/>
      <c r="W870" s="564"/>
      <c r="X870" s="564"/>
      <c r="Y870" s="564"/>
      <c r="Z870" s="564"/>
      <c r="AA870" s="564"/>
      <c r="AB870" s="556"/>
      <c r="AC870" s="556"/>
      <c r="AD870" s="556"/>
      <c r="AE870" s="556"/>
      <c r="AF870" s="556"/>
      <c r="AG870" s="556"/>
      <c r="AH870" s="556"/>
      <c r="AI870" s="556"/>
      <c r="AJ870" s="556"/>
      <c r="AK870" s="556"/>
      <c r="AL870" s="556"/>
      <c r="AM870" s="556"/>
      <c r="AN870" s="556"/>
      <c r="AO870" s="556"/>
      <c r="AP870" s="556"/>
      <c r="AQ870" s="556"/>
      <c r="AR870" s="556"/>
      <c r="AS870" s="565"/>
      <c r="AT870" s="556"/>
    </row>
    <row r="871" spans="1:46" hidden="1" x14ac:dyDescent="0.45">
      <c r="A871" s="556"/>
      <c r="B871" s="556"/>
      <c r="C871" s="556"/>
      <c r="D871" s="564"/>
      <c r="E871" s="556"/>
      <c r="F871" s="564"/>
      <c r="G871" s="564"/>
      <c r="H871" s="564"/>
      <c r="I871" s="564"/>
      <c r="J871" s="564"/>
      <c r="K871" s="564"/>
      <c r="L871" s="564"/>
      <c r="M871" s="564"/>
      <c r="N871" s="564"/>
      <c r="O871" s="564"/>
      <c r="P871" s="564"/>
      <c r="Q871" s="564"/>
      <c r="R871" s="564"/>
      <c r="S871" s="564"/>
      <c r="T871" s="564"/>
      <c r="U871" s="564"/>
      <c r="V871" s="564"/>
      <c r="W871" s="564"/>
      <c r="X871" s="564"/>
      <c r="Y871" s="564"/>
      <c r="Z871" s="564"/>
      <c r="AA871" s="564"/>
      <c r="AB871" s="556"/>
      <c r="AC871" s="556"/>
      <c r="AD871" s="556"/>
      <c r="AE871" s="556"/>
      <c r="AF871" s="556"/>
      <c r="AG871" s="556"/>
      <c r="AH871" s="556"/>
      <c r="AI871" s="556"/>
      <c r="AJ871" s="556"/>
      <c r="AK871" s="556"/>
      <c r="AL871" s="556"/>
      <c r="AM871" s="556"/>
      <c r="AN871" s="556"/>
      <c r="AO871" s="556"/>
      <c r="AP871" s="556"/>
      <c r="AQ871" s="556"/>
      <c r="AR871" s="556"/>
      <c r="AS871" s="565"/>
      <c r="AT871" s="556"/>
    </row>
    <row r="872" spans="1:46" hidden="1" x14ac:dyDescent="0.45">
      <c r="A872" s="556"/>
      <c r="B872" s="556"/>
      <c r="C872" s="556"/>
      <c r="D872" s="564"/>
      <c r="E872" s="556"/>
      <c r="F872" s="564"/>
      <c r="G872" s="564"/>
      <c r="H872" s="564"/>
      <c r="I872" s="564"/>
      <c r="J872" s="564"/>
      <c r="K872" s="564"/>
      <c r="L872" s="564"/>
      <c r="M872" s="564"/>
      <c r="N872" s="564"/>
      <c r="O872" s="564"/>
      <c r="P872" s="564"/>
      <c r="Q872" s="564"/>
      <c r="R872" s="564"/>
      <c r="S872" s="564"/>
      <c r="T872" s="564"/>
      <c r="U872" s="564"/>
      <c r="V872" s="564"/>
      <c r="W872" s="564"/>
      <c r="X872" s="564"/>
      <c r="Y872" s="564"/>
      <c r="Z872" s="564"/>
      <c r="AA872" s="564"/>
      <c r="AB872" s="556"/>
      <c r="AC872" s="556"/>
      <c r="AD872" s="556"/>
      <c r="AE872" s="556"/>
      <c r="AF872" s="556"/>
      <c r="AG872" s="556"/>
      <c r="AH872" s="556"/>
      <c r="AI872" s="556"/>
      <c r="AJ872" s="556"/>
      <c r="AK872" s="556"/>
      <c r="AL872" s="556"/>
      <c r="AM872" s="556"/>
      <c r="AN872" s="556"/>
      <c r="AO872" s="556"/>
      <c r="AP872" s="556"/>
      <c r="AQ872" s="556"/>
      <c r="AR872" s="556"/>
      <c r="AS872" s="565"/>
      <c r="AT872" s="556"/>
    </row>
    <row r="873" spans="1:46" hidden="1" x14ac:dyDescent="0.45">
      <c r="A873" s="556"/>
      <c r="B873" s="556"/>
      <c r="C873" s="556"/>
      <c r="D873" s="564"/>
      <c r="E873" s="556"/>
      <c r="F873" s="564"/>
      <c r="G873" s="564"/>
      <c r="H873" s="564"/>
      <c r="I873" s="564"/>
      <c r="J873" s="564"/>
      <c r="K873" s="564"/>
      <c r="L873" s="564"/>
      <c r="M873" s="564"/>
      <c r="N873" s="564"/>
      <c r="O873" s="564"/>
      <c r="P873" s="564"/>
      <c r="Q873" s="564"/>
      <c r="R873" s="564"/>
      <c r="S873" s="564"/>
      <c r="T873" s="564"/>
      <c r="U873" s="564"/>
      <c r="V873" s="564"/>
      <c r="W873" s="564"/>
      <c r="X873" s="564"/>
      <c r="Y873" s="564"/>
      <c r="Z873" s="564"/>
      <c r="AA873" s="564"/>
      <c r="AB873" s="556"/>
      <c r="AC873" s="556"/>
      <c r="AD873" s="556"/>
      <c r="AE873" s="556"/>
      <c r="AF873" s="556"/>
      <c r="AG873" s="556"/>
      <c r="AH873" s="556"/>
      <c r="AI873" s="556"/>
      <c r="AJ873" s="556"/>
      <c r="AK873" s="556"/>
      <c r="AL873" s="556"/>
      <c r="AM873" s="556"/>
      <c r="AN873" s="556"/>
      <c r="AO873" s="556"/>
      <c r="AP873" s="556"/>
      <c r="AQ873" s="556"/>
      <c r="AR873" s="556"/>
      <c r="AS873" s="565"/>
      <c r="AT873" s="556"/>
    </row>
    <row r="874" spans="1:46" hidden="1" x14ac:dyDescent="0.45">
      <c r="A874" s="556"/>
      <c r="B874" s="556"/>
      <c r="C874" s="556"/>
      <c r="D874" s="564"/>
      <c r="E874" s="556"/>
      <c r="F874" s="564"/>
      <c r="G874" s="564"/>
      <c r="H874" s="564"/>
      <c r="I874" s="564"/>
      <c r="J874" s="564"/>
      <c r="K874" s="564"/>
      <c r="L874" s="564"/>
      <c r="M874" s="564"/>
      <c r="N874" s="564"/>
      <c r="O874" s="564"/>
      <c r="P874" s="564"/>
      <c r="Q874" s="564"/>
      <c r="R874" s="564"/>
      <c r="S874" s="564"/>
      <c r="T874" s="564"/>
      <c r="U874" s="564"/>
      <c r="V874" s="564"/>
      <c r="W874" s="564"/>
      <c r="X874" s="564"/>
      <c r="Y874" s="564"/>
      <c r="Z874" s="564"/>
      <c r="AA874" s="564"/>
      <c r="AB874" s="556"/>
      <c r="AC874" s="556"/>
      <c r="AD874" s="556"/>
      <c r="AE874" s="556"/>
      <c r="AF874" s="556"/>
      <c r="AG874" s="556"/>
      <c r="AH874" s="556"/>
      <c r="AI874" s="556"/>
      <c r="AJ874" s="556"/>
      <c r="AK874" s="556"/>
      <c r="AL874" s="556"/>
      <c r="AM874" s="556"/>
      <c r="AN874" s="556"/>
      <c r="AO874" s="556"/>
      <c r="AP874" s="556"/>
      <c r="AQ874" s="556"/>
      <c r="AR874" s="556"/>
      <c r="AS874" s="565"/>
      <c r="AT874" s="556"/>
    </row>
    <row r="875" spans="1:46" hidden="1" x14ac:dyDescent="0.45">
      <c r="A875" s="556"/>
      <c r="B875" s="556"/>
      <c r="C875" s="556"/>
      <c r="D875" s="564"/>
      <c r="E875" s="556"/>
      <c r="F875" s="564"/>
      <c r="G875" s="564"/>
      <c r="H875" s="564"/>
      <c r="I875" s="564"/>
      <c r="J875" s="564"/>
      <c r="K875" s="564"/>
      <c r="L875" s="564"/>
      <c r="M875" s="564"/>
      <c r="N875" s="564"/>
      <c r="O875" s="564"/>
      <c r="P875" s="564"/>
      <c r="Q875" s="564"/>
      <c r="R875" s="564"/>
      <c r="S875" s="564"/>
      <c r="T875" s="564"/>
      <c r="U875" s="564"/>
      <c r="V875" s="564"/>
      <c r="W875" s="564"/>
      <c r="X875" s="564"/>
      <c r="Y875" s="564"/>
      <c r="Z875" s="564"/>
      <c r="AA875" s="564"/>
      <c r="AB875" s="556"/>
      <c r="AC875" s="556"/>
      <c r="AD875" s="556"/>
      <c r="AE875" s="556"/>
      <c r="AF875" s="556"/>
      <c r="AG875" s="556"/>
      <c r="AH875" s="556"/>
      <c r="AI875" s="556"/>
      <c r="AJ875" s="556"/>
      <c r="AK875" s="556"/>
      <c r="AL875" s="556"/>
      <c r="AM875" s="556"/>
      <c r="AN875" s="556"/>
      <c r="AO875" s="556"/>
      <c r="AP875" s="556"/>
      <c r="AQ875" s="556"/>
      <c r="AR875" s="556"/>
      <c r="AS875" s="565"/>
      <c r="AT875" s="556"/>
    </row>
    <row r="876" spans="1:46" hidden="1" x14ac:dyDescent="0.45">
      <c r="A876" s="556"/>
      <c r="B876" s="556"/>
      <c r="C876" s="556"/>
      <c r="D876" s="564"/>
      <c r="E876" s="556"/>
      <c r="F876" s="564"/>
      <c r="G876" s="564"/>
      <c r="H876" s="564"/>
      <c r="I876" s="564"/>
      <c r="J876" s="564"/>
      <c r="K876" s="564"/>
      <c r="L876" s="564"/>
      <c r="M876" s="564"/>
      <c r="N876" s="564"/>
      <c r="O876" s="564"/>
      <c r="P876" s="564"/>
      <c r="Q876" s="564"/>
      <c r="R876" s="564"/>
      <c r="S876" s="564"/>
      <c r="T876" s="564"/>
      <c r="U876" s="564"/>
      <c r="V876" s="564"/>
      <c r="W876" s="564"/>
      <c r="X876" s="564"/>
      <c r="Y876" s="564"/>
      <c r="Z876" s="564"/>
      <c r="AA876" s="564"/>
      <c r="AB876" s="556"/>
      <c r="AC876" s="556"/>
      <c r="AD876" s="556"/>
      <c r="AE876" s="556"/>
      <c r="AF876" s="556"/>
      <c r="AG876" s="556"/>
      <c r="AH876" s="556"/>
      <c r="AI876" s="556"/>
      <c r="AJ876" s="556"/>
      <c r="AK876" s="556"/>
      <c r="AL876" s="556"/>
      <c r="AM876" s="556"/>
      <c r="AN876" s="556"/>
      <c r="AO876" s="556"/>
      <c r="AP876" s="556"/>
      <c r="AQ876" s="556"/>
      <c r="AR876" s="556"/>
      <c r="AS876" s="565"/>
      <c r="AT876" s="556"/>
    </row>
    <row r="877" spans="1:46" hidden="1" x14ac:dyDescent="0.45">
      <c r="A877" s="556"/>
      <c r="B877" s="556"/>
      <c r="C877" s="556"/>
      <c r="D877" s="564"/>
      <c r="E877" s="556"/>
      <c r="F877" s="564"/>
      <c r="G877" s="564"/>
      <c r="H877" s="564"/>
      <c r="I877" s="564"/>
      <c r="J877" s="564"/>
      <c r="K877" s="564"/>
      <c r="L877" s="564"/>
      <c r="M877" s="564"/>
      <c r="N877" s="564"/>
      <c r="O877" s="564"/>
      <c r="P877" s="564"/>
      <c r="Q877" s="564"/>
      <c r="R877" s="564"/>
      <c r="S877" s="564"/>
      <c r="T877" s="564"/>
      <c r="U877" s="564"/>
      <c r="V877" s="564"/>
      <c r="W877" s="564"/>
      <c r="X877" s="564"/>
      <c r="Y877" s="564"/>
      <c r="Z877" s="564"/>
      <c r="AA877" s="564"/>
      <c r="AB877" s="556"/>
      <c r="AC877" s="556"/>
      <c r="AD877" s="556"/>
      <c r="AE877" s="556"/>
      <c r="AF877" s="556"/>
      <c r="AG877" s="556"/>
      <c r="AH877" s="556"/>
      <c r="AI877" s="556"/>
      <c r="AJ877" s="556"/>
      <c r="AK877" s="556"/>
      <c r="AL877" s="556"/>
      <c r="AM877" s="556"/>
      <c r="AN877" s="556"/>
      <c r="AO877" s="556"/>
      <c r="AP877" s="556"/>
      <c r="AQ877" s="556"/>
      <c r="AR877" s="556"/>
      <c r="AS877" s="565"/>
      <c r="AT877" s="556"/>
    </row>
    <row r="878" spans="1:46" hidden="1" x14ac:dyDescent="0.45">
      <c r="A878" s="556"/>
      <c r="B878" s="556"/>
      <c r="C878" s="556"/>
      <c r="D878" s="564"/>
      <c r="E878" s="556"/>
      <c r="F878" s="564"/>
      <c r="G878" s="564"/>
      <c r="H878" s="564"/>
      <c r="I878" s="564"/>
      <c r="J878" s="564"/>
      <c r="K878" s="564"/>
      <c r="L878" s="564"/>
      <c r="M878" s="564"/>
      <c r="N878" s="564"/>
      <c r="O878" s="564"/>
      <c r="P878" s="564"/>
      <c r="Q878" s="564"/>
      <c r="R878" s="564"/>
      <c r="S878" s="564"/>
      <c r="T878" s="564"/>
      <c r="U878" s="564"/>
      <c r="V878" s="564"/>
      <c r="W878" s="564"/>
      <c r="X878" s="564"/>
      <c r="Y878" s="564"/>
      <c r="Z878" s="564"/>
      <c r="AA878" s="564"/>
      <c r="AB878" s="556"/>
      <c r="AC878" s="556"/>
      <c r="AD878" s="556"/>
      <c r="AE878" s="556"/>
      <c r="AF878" s="556"/>
      <c r="AG878" s="556"/>
      <c r="AH878" s="556"/>
      <c r="AI878" s="556"/>
      <c r="AJ878" s="556"/>
      <c r="AK878" s="556"/>
      <c r="AL878" s="556"/>
      <c r="AM878" s="556"/>
      <c r="AN878" s="556"/>
      <c r="AO878" s="556"/>
      <c r="AP878" s="556"/>
      <c r="AQ878" s="556"/>
      <c r="AR878" s="556"/>
      <c r="AS878" s="565"/>
      <c r="AT878" s="556"/>
    </row>
    <row r="879" spans="1:46" hidden="1" x14ac:dyDescent="0.45">
      <c r="A879" s="556"/>
      <c r="B879" s="556"/>
      <c r="C879" s="556"/>
      <c r="D879" s="564"/>
      <c r="E879" s="556"/>
      <c r="F879" s="564"/>
      <c r="G879" s="564"/>
      <c r="H879" s="564"/>
      <c r="I879" s="564"/>
      <c r="J879" s="564"/>
      <c r="K879" s="564"/>
      <c r="L879" s="564"/>
      <c r="M879" s="564"/>
      <c r="N879" s="564"/>
      <c r="O879" s="564"/>
      <c r="P879" s="564"/>
      <c r="Q879" s="564"/>
      <c r="R879" s="564"/>
      <c r="S879" s="564"/>
      <c r="T879" s="564"/>
      <c r="U879" s="564"/>
      <c r="V879" s="564"/>
      <c r="W879" s="564"/>
      <c r="X879" s="564"/>
      <c r="Y879" s="564"/>
      <c r="Z879" s="564"/>
      <c r="AA879" s="564"/>
      <c r="AB879" s="556"/>
      <c r="AC879" s="556"/>
      <c r="AD879" s="556"/>
      <c r="AE879" s="556"/>
      <c r="AF879" s="556"/>
      <c r="AG879" s="556"/>
      <c r="AH879" s="556"/>
      <c r="AI879" s="556"/>
      <c r="AJ879" s="556"/>
      <c r="AK879" s="556"/>
      <c r="AL879" s="556"/>
      <c r="AM879" s="556"/>
      <c r="AN879" s="556"/>
      <c r="AO879" s="556"/>
      <c r="AP879" s="556"/>
      <c r="AQ879" s="556"/>
      <c r="AR879" s="556"/>
      <c r="AS879" s="565"/>
      <c r="AT879" s="556"/>
    </row>
    <row r="880" spans="1:46" hidden="1" x14ac:dyDescent="0.45">
      <c r="A880" s="556"/>
      <c r="B880" s="556"/>
      <c r="C880" s="556"/>
      <c r="D880" s="564"/>
      <c r="E880" s="556"/>
      <c r="F880" s="564"/>
      <c r="G880" s="564"/>
      <c r="H880" s="564"/>
      <c r="I880" s="564"/>
      <c r="J880" s="564"/>
      <c r="K880" s="564"/>
      <c r="L880" s="564"/>
      <c r="M880" s="564"/>
      <c r="N880" s="564"/>
      <c r="O880" s="564"/>
      <c r="P880" s="564"/>
      <c r="Q880" s="564"/>
      <c r="R880" s="564"/>
      <c r="S880" s="564"/>
      <c r="T880" s="564"/>
      <c r="U880" s="564"/>
      <c r="V880" s="564"/>
      <c r="W880" s="564"/>
      <c r="X880" s="564"/>
      <c r="Y880" s="564"/>
      <c r="Z880" s="564"/>
      <c r="AA880" s="564"/>
      <c r="AB880" s="556"/>
      <c r="AC880" s="556"/>
      <c r="AD880" s="556"/>
      <c r="AE880" s="556"/>
      <c r="AF880" s="556"/>
      <c r="AG880" s="556"/>
      <c r="AH880" s="556"/>
      <c r="AI880" s="556"/>
      <c r="AJ880" s="556"/>
      <c r="AK880" s="556"/>
      <c r="AL880" s="556"/>
      <c r="AM880" s="556"/>
      <c r="AN880" s="556"/>
      <c r="AO880" s="556"/>
      <c r="AP880" s="556"/>
      <c r="AQ880" s="556"/>
      <c r="AR880" s="556"/>
      <c r="AS880" s="565"/>
      <c r="AT880" s="556"/>
    </row>
    <row r="881" spans="1:46" hidden="1" x14ac:dyDescent="0.45">
      <c r="A881" s="556"/>
      <c r="B881" s="556"/>
      <c r="C881" s="556"/>
      <c r="D881" s="564"/>
      <c r="E881" s="556"/>
      <c r="F881" s="564"/>
      <c r="G881" s="564"/>
      <c r="H881" s="564"/>
      <c r="I881" s="564"/>
      <c r="J881" s="564"/>
      <c r="K881" s="564"/>
      <c r="L881" s="564"/>
      <c r="M881" s="564"/>
      <c r="N881" s="564"/>
      <c r="O881" s="564"/>
      <c r="P881" s="564"/>
      <c r="Q881" s="564"/>
      <c r="R881" s="564"/>
      <c r="S881" s="564"/>
      <c r="T881" s="564"/>
      <c r="U881" s="564"/>
      <c r="V881" s="564"/>
      <c r="W881" s="564"/>
      <c r="X881" s="564"/>
      <c r="Y881" s="564"/>
      <c r="Z881" s="564"/>
      <c r="AA881" s="564"/>
      <c r="AB881" s="556"/>
      <c r="AC881" s="556"/>
      <c r="AD881" s="556"/>
      <c r="AE881" s="556"/>
      <c r="AF881" s="556"/>
      <c r="AG881" s="556"/>
      <c r="AH881" s="556"/>
      <c r="AI881" s="556"/>
      <c r="AJ881" s="556"/>
      <c r="AK881" s="556"/>
      <c r="AL881" s="556"/>
      <c r="AM881" s="556"/>
      <c r="AN881" s="556"/>
      <c r="AO881" s="556"/>
      <c r="AP881" s="556"/>
      <c r="AQ881" s="556"/>
      <c r="AR881" s="556"/>
      <c r="AS881" s="565"/>
      <c r="AT881" s="556"/>
    </row>
    <row r="882" spans="1:46" hidden="1" x14ac:dyDescent="0.45">
      <c r="A882" s="556"/>
      <c r="B882" s="556"/>
      <c r="C882" s="556"/>
      <c r="D882" s="564"/>
      <c r="E882" s="556"/>
      <c r="F882" s="564"/>
      <c r="G882" s="564"/>
      <c r="H882" s="564"/>
      <c r="I882" s="564"/>
      <c r="J882" s="564"/>
      <c r="K882" s="564"/>
      <c r="L882" s="564"/>
      <c r="M882" s="564"/>
      <c r="N882" s="564"/>
      <c r="O882" s="564"/>
      <c r="P882" s="564"/>
      <c r="Q882" s="564"/>
      <c r="R882" s="564"/>
      <c r="S882" s="564"/>
      <c r="T882" s="564"/>
      <c r="U882" s="564"/>
      <c r="V882" s="564"/>
      <c r="W882" s="564"/>
      <c r="X882" s="564"/>
      <c r="Y882" s="564"/>
      <c r="Z882" s="564"/>
      <c r="AA882" s="564"/>
      <c r="AB882" s="556"/>
      <c r="AC882" s="556"/>
      <c r="AD882" s="556"/>
      <c r="AE882" s="556"/>
      <c r="AF882" s="556"/>
      <c r="AG882" s="556"/>
      <c r="AH882" s="556"/>
      <c r="AI882" s="556"/>
      <c r="AJ882" s="556"/>
      <c r="AK882" s="556"/>
      <c r="AL882" s="556"/>
      <c r="AM882" s="556"/>
      <c r="AN882" s="556"/>
      <c r="AO882" s="556"/>
      <c r="AP882" s="556"/>
      <c r="AQ882" s="556"/>
      <c r="AR882" s="556"/>
      <c r="AS882" s="565"/>
      <c r="AT882" s="556"/>
    </row>
    <row r="883" spans="1:46" hidden="1" x14ac:dyDescent="0.45">
      <c r="A883" s="556"/>
      <c r="B883" s="556"/>
      <c r="C883" s="556"/>
      <c r="D883" s="564"/>
      <c r="E883" s="556"/>
      <c r="F883" s="564"/>
      <c r="G883" s="564"/>
      <c r="H883" s="564"/>
      <c r="I883" s="564"/>
      <c r="J883" s="564"/>
      <c r="K883" s="564"/>
      <c r="L883" s="564"/>
      <c r="M883" s="564"/>
      <c r="N883" s="564"/>
      <c r="O883" s="564"/>
      <c r="P883" s="564"/>
      <c r="Q883" s="564"/>
      <c r="R883" s="564"/>
      <c r="S883" s="564"/>
      <c r="T883" s="564"/>
      <c r="U883" s="564"/>
      <c r="V883" s="564"/>
      <c r="W883" s="564"/>
      <c r="X883" s="564"/>
      <c r="Y883" s="564"/>
      <c r="Z883" s="564"/>
      <c r="AA883" s="564"/>
      <c r="AB883" s="556"/>
      <c r="AC883" s="556"/>
      <c r="AD883" s="556"/>
      <c r="AE883" s="556"/>
      <c r="AF883" s="556"/>
      <c r="AG883" s="556"/>
      <c r="AH883" s="556"/>
      <c r="AI883" s="556"/>
      <c r="AJ883" s="556"/>
      <c r="AK883" s="556"/>
      <c r="AL883" s="556"/>
      <c r="AM883" s="556"/>
      <c r="AN883" s="556"/>
      <c r="AO883" s="556"/>
      <c r="AP883" s="556"/>
      <c r="AQ883" s="556"/>
      <c r="AR883" s="556"/>
      <c r="AS883" s="565"/>
      <c r="AT883" s="556"/>
    </row>
    <row r="884" spans="1:46" hidden="1" x14ac:dyDescent="0.45">
      <c r="A884" s="556"/>
      <c r="B884" s="556"/>
      <c r="C884" s="556"/>
      <c r="D884" s="564"/>
      <c r="E884" s="556"/>
      <c r="F884" s="564"/>
      <c r="G884" s="564"/>
      <c r="H884" s="564"/>
      <c r="I884" s="564"/>
      <c r="J884" s="564"/>
      <c r="K884" s="564"/>
      <c r="L884" s="564"/>
      <c r="M884" s="564"/>
      <c r="N884" s="564"/>
      <c r="O884" s="564"/>
      <c r="P884" s="564"/>
      <c r="Q884" s="564"/>
      <c r="R884" s="564"/>
      <c r="S884" s="564"/>
      <c r="T884" s="564"/>
      <c r="U884" s="564"/>
      <c r="V884" s="564"/>
      <c r="W884" s="564"/>
      <c r="X884" s="564"/>
      <c r="Y884" s="564"/>
      <c r="Z884" s="564"/>
      <c r="AA884" s="564"/>
      <c r="AB884" s="556"/>
      <c r="AC884" s="556"/>
      <c r="AD884" s="556"/>
      <c r="AE884" s="556"/>
      <c r="AF884" s="556"/>
      <c r="AG884" s="556"/>
      <c r="AH884" s="556"/>
      <c r="AI884" s="556"/>
      <c r="AJ884" s="556"/>
      <c r="AK884" s="556"/>
      <c r="AL884" s="556"/>
      <c r="AM884" s="556"/>
      <c r="AN884" s="556"/>
      <c r="AO884" s="556"/>
      <c r="AP884" s="556"/>
      <c r="AQ884" s="556"/>
      <c r="AR884" s="556"/>
      <c r="AS884" s="565"/>
      <c r="AT884" s="556"/>
    </row>
    <row r="885" spans="1:46" hidden="1" x14ac:dyDescent="0.45">
      <c r="A885" s="556"/>
      <c r="B885" s="556"/>
      <c r="C885" s="556"/>
      <c r="D885" s="564"/>
      <c r="E885" s="556"/>
      <c r="F885" s="564"/>
      <c r="G885" s="564"/>
      <c r="H885" s="564"/>
      <c r="I885" s="564"/>
      <c r="J885" s="564"/>
      <c r="K885" s="564"/>
      <c r="L885" s="564"/>
      <c r="M885" s="564"/>
      <c r="N885" s="564"/>
      <c r="O885" s="564"/>
      <c r="P885" s="564"/>
      <c r="Q885" s="564"/>
      <c r="R885" s="564"/>
      <c r="S885" s="564"/>
      <c r="T885" s="564"/>
      <c r="U885" s="564"/>
      <c r="V885" s="564"/>
      <c r="W885" s="564"/>
      <c r="X885" s="564"/>
      <c r="Y885" s="564"/>
      <c r="Z885" s="564"/>
      <c r="AA885" s="564"/>
      <c r="AB885" s="556"/>
      <c r="AC885" s="556"/>
      <c r="AD885" s="556"/>
      <c r="AE885" s="556"/>
      <c r="AF885" s="556"/>
      <c r="AG885" s="556"/>
      <c r="AH885" s="556"/>
      <c r="AI885" s="556"/>
      <c r="AJ885" s="556"/>
      <c r="AK885" s="556"/>
      <c r="AL885" s="556"/>
      <c r="AM885" s="556"/>
      <c r="AN885" s="556"/>
      <c r="AO885" s="556"/>
      <c r="AP885" s="556"/>
      <c r="AQ885" s="556"/>
      <c r="AR885" s="556"/>
      <c r="AS885" s="565"/>
      <c r="AT885" s="556"/>
    </row>
    <row r="886" spans="1:46" hidden="1" x14ac:dyDescent="0.45">
      <c r="A886" s="556"/>
      <c r="B886" s="556"/>
      <c r="C886" s="556"/>
      <c r="D886" s="564"/>
      <c r="E886" s="556"/>
      <c r="F886" s="564"/>
      <c r="G886" s="564"/>
      <c r="H886" s="564"/>
      <c r="I886" s="564"/>
      <c r="J886" s="564"/>
      <c r="K886" s="564"/>
      <c r="L886" s="564"/>
      <c r="M886" s="564"/>
      <c r="N886" s="564"/>
      <c r="O886" s="564"/>
      <c r="P886" s="564"/>
      <c r="Q886" s="564"/>
      <c r="R886" s="564"/>
      <c r="S886" s="564"/>
      <c r="T886" s="564"/>
      <c r="U886" s="564"/>
      <c r="V886" s="564"/>
      <c r="W886" s="564"/>
      <c r="X886" s="564"/>
      <c r="Y886" s="564"/>
      <c r="Z886" s="564"/>
      <c r="AA886" s="564"/>
      <c r="AB886" s="556"/>
      <c r="AC886" s="556"/>
      <c r="AD886" s="556"/>
      <c r="AE886" s="556"/>
      <c r="AF886" s="556"/>
      <c r="AG886" s="556"/>
      <c r="AH886" s="556"/>
      <c r="AI886" s="556"/>
      <c r="AJ886" s="556"/>
      <c r="AK886" s="556"/>
      <c r="AL886" s="556"/>
      <c r="AM886" s="556"/>
      <c r="AN886" s="556"/>
      <c r="AO886" s="556"/>
      <c r="AP886" s="556"/>
      <c r="AQ886" s="556"/>
      <c r="AR886" s="556"/>
      <c r="AS886" s="565"/>
      <c r="AT886" s="556"/>
    </row>
    <row r="887" spans="1:46" hidden="1" x14ac:dyDescent="0.45">
      <c r="A887" s="556"/>
      <c r="B887" s="556"/>
      <c r="C887" s="556"/>
      <c r="D887" s="564"/>
      <c r="E887" s="556"/>
      <c r="F887" s="564"/>
      <c r="G887" s="564"/>
      <c r="H887" s="564"/>
      <c r="I887" s="564"/>
      <c r="J887" s="564"/>
      <c r="K887" s="564"/>
      <c r="L887" s="564"/>
      <c r="M887" s="564"/>
      <c r="N887" s="564"/>
      <c r="O887" s="564"/>
      <c r="P887" s="564"/>
      <c r="Q887" s="564"/>
      <c r="R887" s="564"/>
      <c r="S887" s="564"/>
      <c r="T887" s="564"/>
      <c r="U887" s="564"/>
      <c r="V887" s="564"/>
      <c r="W887" s="564"/>
      <c r="X887" s="564"/>
      <c r="Y887" s="564"/>
      <c r="Z887" s="564"/>
      <c r="AA887" s="564"/>
      <c r="AB887" s="556"/>
      <c r="AC887" s="556"/>
      <c r="AD887" s="556"/>
      <c r="AE887" s="556"/>
      <c r="AF887" s="556"/>
      <c r="AG887" s="556"/>
      <c r="AH887" s="556"/>
      <c r="AI887" s="556"/>
      <c r="AJ887" s="556"/>
      <c r="AK887" s="556"/>
      <c r="AL887" s="556"/>
      <c r="AM887" s="556"/>
      <c r="AN887" s="556"/>
      <c r="AO887" s="556"/>
      <c r="AP887" s="556"/>
      <c r="AQ887" s="556"/>
      <c r="AR887" s="556"/>
      <c r="AS887" s="565"/>
      <c r="AT887" s="556"/>
    </row>
    <row r="888" spans="1:46" hidden="1" x14ac:dyDescent="0.45">
      <c r="A888" s="556"/>
      <c r="B888" s="556"/>
      <c r="C888" s="556"/>
      <c r="D888" s="564"/>
      <c r="E888" s="556"/>
      <c r="F888" s="564"/>
      <c r="G888" s="564"/>
      <c r="H888" s="564"/>
      <c r="I888" s="564"/>
      <c r="J888" s="564"/>
      <c r="K888" s="564"/>
      <c r="L888" s="564"/>
      <c r="M888" s="564"/>
      <c r="N888" s="564"/>
      <c r="O888" s="564"/>
      <c r="P888" s="564"/>
      <c r="Q888" s="564"/>
      <c r="R888" s="564"/>
      <c r="S888" s="564"/>
      <c r="T888" s="564"/>
      <c r="U888" s="564"/>
      <c r="V888" s="564"/>
      <c r="W888" s="564"/>
      <c r="X888" s="564"/>
      <c r="Y888" s="564"/>
      <c r="Z888" s="564"/>
      <c r="AA888" s="564"/>
      <c r="AB888" s="556"/>
      <c r="AC888" s="556"/>
      <c r="AD888" s="556"/>
      <c r="AE888" s="556"/>
      <c r="AF888" s="556"/>
      <c r="AG888" s="556"/>
      <c r="AH888" s="556"/>
      <c r="AI888" s="556"/>
      <c r="AJ888" s="556"/>
      <c r="AK888" s="556"/>
      <c r="AL888" s="556"/>
      <c r="AM888" s="556"/>
      <c r="AN888" s="556"/>
      <c r="AO888" s="556"/>
      <c r="AP888" s="556"/>
      <c r="AQ888" s="556"/>
      <c r="AR888" s="556"/>
      <c r="AS888" s="565"/>
      <c r="AT888" s="556"/>
    </row>
    <row r="889" spans="1:46" hidden="1" x14ac:dyDescent="0.45">
      <c r="A889" s="556"/>
      <c r="B889" s="556"/>
      <c r="C889" s="556"/>
      <c r="D889" s="564"/>
      <c r="E889" s="556"/>
      <c r="F889" s="564"/>
      <c r="G889" s="564"/>
      <c r="H889" s="564"/>
      <c r="I889" s="564"/>
      <c r="J889" s="564"/>
      <c r="K889" s="564"/>
      <c r="L889" s="564"/>
      <c r="M889" s="564"/>
      <c r="N889" s="564"/>
      <c r="O889" s="564"/>
      <c r="P889" s="564"/>
      <c r="Q889" s="564"/>
      <c r="R889" s="564"/>
      <c r="S889" s="564"/>
      <c r="T889" s="564"/>
      <c r="U889" s="564"/>
      <c r="V889" s="564"/>
      <c r="W889" s="564"/>
      <c r="X889" s="564"/>
      <c r="Y889" s="564"/>
      <c r="Z889" s="564"/>
      <c r="AA889" s="564"/>
      <c r="AB889" s="556"/>
      <c r="AC889" s="556"/>
      <c r="AD889" s="556"/>
      <c r="AE889" s="556"/>
      <c r="AF889" s="556"/>
      <c r="AG889" s="556"/>
      <c r="AH889" s="556"/>
      <c r="AI889" s="556"/>
      <c r="AJ889" s="556"/>
      <c r="AK889" s="556"/>
      <c r="AL889" s="556"/>
      <c r="AM889" s="556"/>
      <c r="AN889" s="556"/>
      <c r="AO889" s="556"/>
      <c r="AP889" s="556"/>
      <c r="AQ889" s="556"/>
      <c r="AR889" s="556"/>
      <c r="AS889" s="565"/>
      <c r="AT889" s="556"/>
    </row>
    <row r="890" spans="1:46" hidden="1" x14ac:dyDescent="0.45">
      <c r="A890" s="556"/>
      <c r="B890" s="556"/>
      <c r="C890" s="556"/>
      <c r="D890" s="564"/>
      <c r="E890" s="556"/>
      <c r="F890" s="564"/>
      <c r="G890" s="564"/>
      <c r="H890" s="564"/>
      <c r="I890" s="564"/>
      <c r="J890" s="564"/>
      <c r="K890" s="564"/>
      <c r="L890" s="564"/>
      <c r="M890" s="564"/>
      <c r="N890" s="564"/>
      <c r="O890" s="564"/>
      <c r="P890" s="564"/>
      <c r="Q890" s="564"/>
      <c r="R890" s="564"/>
      <c r="S890" s="564"/>
      <c r="T890" s="564"/>
      <c r="U890" s="564"/>
      <c r="V890" s="564"/>
      <c r="W890" s="564"/>
      <c r="X890" s="564"/>
      <c r="Y890" s="564"/>
      <c r="Z890" s="564"/>
      <c r="AA890" s="564"/>
      <c r="AB890" s="556"/>
      <c r="AC890" s="556"/>
      <c r="AD890" s="556"/>
      <c r="AE890" s="556"/>
      <c r="AF890" s="556"/>
      <c r="AG890" s="556"/>
      <c r="AH890" s="556"/>
      <c r="AI890" s="556"/>
      <c r="AJ890" s="556"/>
      <c r="AK890" s="556"/>
      <c r="AL890" s="556"/>
      <c r="AM890" s="556"/>
      <c r="AN890" s="556"/>
      <c r="AO890" s="556"/>
      <c r="AP890" s="556"/>
      <c r="AQ890" s="556"/>
      <c r="AR890" s="556"/>
      <c r="AS890" s="565"/>
      <c r="AT890" s="556"/>
    </row>
    <row r="891" spans="1:46" hidden="1" x14ac:dyDescent="0.45">
      <c r="A891" s="556"/>
      <c r="B891" s="556"/>
      <c r="C891" s="556"/>
      <c r="D891" s="564"/>
      <c r="E891" s="556"/>
      <c r="F891" s="564"/>
      <c r="G891" s="564"/>
      <c r="H891" s="564"/>
      <c r="I891" s="564"/>
      <c r="J891" s="564"/>
      <c r="K891" s="564"/>
      <c r="L891" s="564"/>
      <c r="M891" s="564"/>
      <c r="N891" s="564"/>
      <c r="O891" s="564"/>
      <c r="P891" s="564"/>
      <c r="Q891" s="564"/>
      <c r="R891" s="564"/>
      <c r="S891" s="564"/>
      <c r="T891" s="564"/>
      <c r="U891" s="564"/>
      <c r="V891" s="564"/>
      <c r="W891" s="564"/>
      <c r="X891" s="564"/>
      <c r="Y891" s="564"/>
      <c r="Z891" s="564"/>
      <c r="AA891" s="564"/>
      <c r="AB891" s="556"/>
      <c r="AC891" s="556"/>
      <c r="AD891" s="556"/>
      <c r="AE891" s="556"/>
      <c r="AF891" s="556"/>
      <c r="AG891" s="556"/>
      <c r="AH891" s="556"/>
      <c r="AI891" s="556"/>
      <c r="AJ891" s="556"/>
      <c r="AK891" s="556"/>
      <c r="AL891" s="556"/>
      <c r="AM891" s="556"/>
      <c r="AN891" s="556"/>
      <c r="AO891" s="556"/>
      <c r="AP891" s="556"/>
      <c r="AQ891" s="556"/>
      <c r="AR891" s="556"/>
      <c r="AS891" s="565"/>
      <c r="AT891" s="556"/>
    </row>
    <row r="892" spans="1:46" hidden="1" x14ac:dyDescent="0.45">
      <c r="A892" s="556"/>
      <c r="B892" s="556"/>
      <c r="C892" s="556"/>
      <c r="D892" s="564"/>
      <c r="E892" s="556"/>
      <c r="F892" s="564"/>
      <c r="G892" s="564"/>
      <c r="H892" s="564"/>
      <c r="I892" s="564"/>
      <c r="J892" s="564"/>
      <c r="K892" s="564"/>
      <c r="L892" s="564"/>
      <c r="M892" s="564"/>
      <c r="N892" s="564"/>
      <c r="O892" s="564"/>
      <c r="P892" s="564"/>
      <c r="Q892" s="564"/>
      <c r="R892" s="564"/>
      <c r="S892" s="564"/>
      <c r="T892" s="564"/>
      <c r="U892" s="564"/>
      <c r="V892" s="564"/>
      <c r="W892" s="564"/>
      <c r="X892" s="564"/>
      <c r="Y892" s="564"/>
      <c r="Z892" s="564"/>
      <c r="AA892" s="564"/>
      <c r="AB892" s="556"/>
      <c r="AC892" s="556"/>
      <c r="AD892" s="556"/>
      <c r="AE892" s="556"/>
      <c r="AF892" s="556"/>
      <c r="AG892" s="556"/>
      <c r="AH892" s="556"/>
      <c r="AI892" s="556"/>
      <c r="AJ892" s="556"/>
      <c r="AK892" s="556"/>
      <c r="AL892" s="556"/>
      <c r="AM892" s="556"/>
      <c r="AN892" s="556"/>
      <c r="AO892" s="556"/>
      <c r="AP892" s="556"/>
      <c r="AQ892" s="556"/>
      <c r="AR892" s="556"/>
      <c r="AS892" s="565"/>
      <c r="AT892" s="556"/>
    </row>
    <row r="893" spans="1:46" hidden="1" x14ac:dyDescent="0.45">
      <c r="A893" s="556"/>
      <c r="B893" s="556"/>
      <c r="C893" s="556"/>
      <c r="D893" s="564"/>
      <c r="E893" s="556"/>
      <c r="F893" s="564"/>
      <c r="G893" s="564"/>
      <c r="H893" s="564"/>
      <c r="I893" s="564"/>
      <c r="J893" s="564"/>
      <c r="K893" s="564"/>
      <c r="L893" s="564"/>
      <c r="M893" s="564"/>
      <c r="N893" s="564"/>
      <c r="O893" s="564"/>
      <c r="P893" s="564"/>
      <c r="Q893" s="564"/>
      <c r="R893" s="564"/>
      <c r="S893" s="564"/>
      <c r="T893" s="564"/>
      <c r="U893" s="564"/>
      <c r="V893" s="564"/>
      <c r="W893" s="564"/>
      <c r="X893" s="564"/>
      <c r="Y893" s="564"/>
      <c r="Z893" s="564"/>
      <c r="AA893" s="564"/>
      <c r="AB893" s="556"/>
      <c r="AC893" s="556"/>
      <c r="AD893" s="556"/>
      <c r="AE893" s="556"/>
      <c r="AF893" s="556"/>
      <c r="AG893" s="556"/>
      <c r="AH893" s="556"/>
      <c r="AI893" s="556"/>
      <c r="AJ893" s="556"/>
      <c r="AK893" s="556"/>
      <c r="AL893" s="556"/>
      <c r="AM893" s="556"/>
      <c r="AN893" s="556"/>
      <c r="AO893" s="556"/>
      <c r="AP893" s="556"/>
      <c r="AQ893" s="556"/>
      <c r="AR893" s="556"/>
      <c r="AS893" s="565"/>
      <c r="AT893" s="556"/>
    </row>
    <row r="894" spans="1:46" hidden="1" x14ac:dyDescent="0.45">
      <c r="A894" s="556"/>
      <c r="B894" s="556"/>
      <c r="C894" s="556"/>
      <c r="D894" s="564"/>
      <c r="E894" s="556"/>
      <c r="F894" s="564"/>
      <c r="G894" s="564"/>
      <c r="H894" s="564"/>
      <c r="I894" s="564"/>
      <c r="J894" s="564"/>
      <c r="K894" s="564"/>
      <c r="L894" s="564"/>
      <c r="M894" s="564"/>
      <c r="N894" s="564"/>
      <c r="O894" s="564"/>
      <c r="P894" s="564"/>
      <c r="Q894" s="564"/>
      <c r="R894" s="564"/>
      <c r="S894" s="564"/>
      <c r="T894" s="564"/>
      <c r="U894" s="564"/>
      <c r="V894" s="564"/>
      <c r="W894" s="564"/>
      <c r="X894" s="564"/>
      <c r="Y894" s="564"/>
      <c r="Z894" s="564"/>
      <c r="AA894" s="564"/>
      <c r="AB894" s="556"/>
      <c r="AC894" s="556"/>
      <c r="AD894" s="556"/>
      <c r="AE894" s="556"/>
      <c r="AF894" s="556"/>
      <c r="AG894" s="556"/>
      <c r="AH894" s="556"/>
      <c r="AI894" s="556"/>
      <c r="AJ894" s="556"/>
      <c r="AK894" s="556"/>
      <c r="AL894" s="556"/>
      <c r="AM894" s="556"/>
      <c r="AN894" s="556"/>
      <c r="AO894" s="556"/>
      <c r="AP894" s="556"/>
      <c r="AQ894" s="556"/>
      <c r="AR894" s="556"/>
      <c r="AS894" s="565"/>
      <c r="AT894" s="556"/>
    </row>
    <row r="895" spans="1:46" hidden="1" x14ac:dyDescent="0.45">
      <c r="A895" s="556"/>
      <c r="B895" s="556"/>
      <c r="C895" s="556"/>
      <c r="D895" s="564"/>
      <c r="E895" s="556"/>
      <c r="F895" s="564"/>
      <c r="G895" s="564"/>
      <c r="H895" s="564"/>
      <c r="I895" s="564"/>
      <c r="J895" s="564"/>
      <c r="K895" s="564"/>
      <c r="L895" s="564"/>
      <c r="M895" s="564"/>
      <c r="N895" s="564"/>
      <c r="O895" s="564"/>
      <c r="P895" s="564"/>
      <c r="Q895" s="564"/>
      <c r="R895" s="564"/>
      <c r="S895" s="564"/>
      <c r="T895" s="564"/>
      <c r="U895" s="564"/>
      <c r="V895" s="564"/>
      <c r="W895" s="564"/>
      <c r="X895" s="564"/>
      <c r="Y895" s="564"/>
      <c r="Z895" s="564"/>
      <c r="AA895" s="564"/>
      <c r="AB895" s="556"/>
      <c r="AC895" s="556"/>
      <c r="AD895" s="556"/>
      <c r="AE895" s="556"/>
      <c r="AF895" s="556"/>
      <c r="AG895" s="556"/>
      <c r="AH895" s="556"/>
      <c r="AI895" s="556"/>
      <c r="AJ895" s="556"/>
      <c r="AK895" s="556"/>
      <c r="AL895" s="556"/>
      <c r="AM895" s="556"/>
      <c r="AN895" s="556"/>
      <c r="AO895" s="556"/>
      <c r="AP895" s="556"/>
      <c r="AQ895" s="556"/>
      <c r="AR895" s="556"/>
      <c r="AS895" s="565"/>
      <c r="AT895" s="556"/>
    </row>
    <row r="896" spans="1:46" hidden="1" x14ac:dyDescent="0.45">
      <c r="A896" s="556"/>
      <c r="B896" s="556"/>
      <c r="C896" s="556"/>
      <c r="D896" s="564"/>
      <c r="E896" s="556"/>
      <c r="F896" s="564"/>
      <c r="G896" s="564"/>
      <c r="H896" s="564"/>
      <c r="I896" s="564"/>
      <c r="J896" s="564"/>
      <c r="K896" s="564"/>
      <c r="L896" s="564"/>
      <c r="M896" s="564"/>
      <c r="N896" s="564"/>
      <c r="O896" s="564"/>
      <c r="P896" s="564"/>
      <c r="Q896" s="564"/>
      <c r="R896" s="564"/>
      <c r="S896" s="564"/>
      <c r="T896" s="564"/>
      <c r="U896" s="564"/>
      <c r="V896" s="564"/>
      <c r="W896" s="564"/>
      <c r="X896" s="564"/>
      <c r="Y896" s="564"/>
      <c r="Z896" s="564"/>
      <c r="AA896" s="564"/>
      <c r="AB896" s="556"/>
      <c r="AC896" s="556"/>
      <c r="AD896" s="556"/>
      <c r="AE896" s="556"/>
      <c r="AF896" s="556"/>
      <c r="AG896" s="556"/>
      <c r="AH896" s="556"/>
      <c r="AI896" s="556"/>
      <c r="AJ896" s="556"/>
      <c r="AK896" s="556"/>
      <c r="AL896" s="556"/>
      <c r="AM896" s="556"/>
      <c r="AN896" s="556"/>
      <c r="AO896" s="556"/>
      <c r="AP896" s="556"/>
      <c r="AQ896" s="556"/>
      <c r="AR896" s="556"/>
      <c r="AS896" s="565"/>
      <c r="AT896" s="556"/>
    </row>
    <row r="897" spans="1:46" hidden="1" x14ac:dyDescent="0.45">
      <c r="A897" s="556"/>
      <c r="B897" s="556"/>
      <c r="C897" s="556"/>
      <c r="D897" s="564"/>
      <c r="E897" s="556"/>
      <c r="F897" s="564"/>
      <c r="G897" s="564"/>
      <c r="H897" s="564"/>
      <c r="I897" s="564"/>
      <c r="J897" s="564"/>
      <c r="K897" s="564"/>
      <c r="L897" s="564"/>
      <c r="M897" s="564"/>
      <c r="N897" s="564"/>
      <c r="O897" s="564"/>
      <c r="P897" s="564"/>
      <c r="Q897" s="564"/>
      <c r="R897" s="564"/>
      <c r="S897" s="564"/>
      <c r="T897" s="564"/>
      <c r="U897" s="564"/>
      <c r="V897" s="564"/>
      <c r="W897" s="564"/>
      <c r="X897" s="564"/>
      <c r="Y897" s="564"/>
      <c r="Z897" s="564"/>
      <c r="AA897" s="564"/>
      <c r="AB897" s="556"/>
      <c r="AC897" s="556"/>
      <c r="AD897" s="556"/>
      <c r="AE897" s="556"/>
      <c r="AF897" s="556"/>
      <c r="AG897" s="556"/>
      <c r="AH897" s="556"/>
      <c r="AI897" s="556"/>
      <c r="AJ897" s="556"/>
      <c r="AK897" s="556"/>
      <c r="AL897" s="556"/>
      <c r="AM897" s="556"/>
      <c r="AN897" s="556"/>
      <c r="AO897" s="556"/>
      <c r="AP897" s="556"/>
      <c r="AQ897" s="556"/>
      <c r="AR897" s="556"/>
      <c r="AS897" s="565"/>
      <c r="AT897" s="556"/>
    </row>
    <row r="898" spans="1:46" hidden="1" x14ac:dyDescent="0.45">
      <c r="A898" s="556"/>
      <c r="B898" s="556"/>
      <c r="C898" s="556"/>
      <c r="D898" s="564"/>
      <c r="E898" s="556"/>
      <c r="F898" s="564"/>
      <c r="G898" s="564"/>
      <c r="H898" s="564"/>
      <c r="I898" s="564"/>
      <c r="J898" s="564"/>
      <c r="K898" s="564"/>
      <c r="L898" s="564"/>
      <c r="M898" s="564"/>
      <c r="N898" s="564"/>
      <c r="O898" s="564"/>
      <c r="P898" s="564"/>
      <c r="Q898" s="564"/>
      <c r="R898" s="564"/>
      <c r="S898" s="564"/>
      <c r="T898" s="564"/>
      <c r="U898" s="564"/>
      <c r="V898" s="564"/>
      <c r="W898" s="564"/>
      <c r="X898" s="564"/>
      <c r="Y898" s="564"/>
      <c r="Z898" s="564"/>
      <c r="AA898" s="564"/>
      <c r="AB898" s="556"/>
      <c r="AC898" s="556"/>
      <c r="AD898" s="556"/>
      <c r="AE898" s="556"/>
      <c r="AF898" s="556"/>
      <c r="AG898" s="556"/>
      <c r="AH898" s="556"/>
      <c r="AI898" s="556"/>
      <c r="AJ898" s="556"/>
      <c r="AK898" s="556"/>
      <c r="AL898" s="556"/>
      <c r="AM898" s="556"/>
      <c r="AN898" s="556"/>
      <c r="AO898" s="556"/>
      <c r="AP898" s="556"/>
      <c r="AQ898" s="556"/>
      <c r="AR898" s="556"/>
      <c r="AS898" s="565"/>
      <c r="AT898" s="556"/>
    </row>
    <row r="899" spans="1:46" hidden="1" x14ac:dyDescent="0.45">
      <c r="A899" s="556"/>
      <c r="B899" s="556"/>
      <c r="C899" s="556"/>
      <c r="D899" s="564"/>
      <c r="E899" s="556"/>
      <c r="F899" s="564"/>
      <c r="G899" s="564"/>
      <c r="H899" s="564"/>
      <c r="I899" s="564"/>
      <c r="J899" s="564"/>
      <c r="K899" s="564"/>
      <c r="L899" s="564"/>
      <c r="M899" s="564"/>
      <c r="N899" s="564"/>
      <c r="O899" s="564"/>
      <c r="P899" s="564"/>
      <c r="Q899" s="564"/>
      <c r="R899" s="564"/>
      <c r="S899" s="564"/>
      <c r="T899" s="564"/>
      <c r="U899" s="564"/>
      <c r="V899" s="564"/>
      <c r="W899" s="564"/>
      <c r="X899" s="564"/>
      <c r="Y899" s="564"/>
      <c r="Z899" s="564"/>
      <c r="AA899" s="564"/>
      <c r="AB899" s="556"/>
      <c r="AC899" s="556"/>
      <c r="AD899" s="556"/>
      <c r="AE899" s="556"/>
      <c r="AF899" s="556"/>
      <c r="AG899" s="556"/>
      <c r="AH899" s="556"/>
      <c r="AI899" s="556"/>
      <c r="AJ899" s="556"/>
      <c r="AK899" s="556"/>
      <c r="AL899" s="556"/>
      <c r="AM899" s="556"/>
      <c r="AN899" s="556"/>
      <c r="AO899" s="556"/>
      <c r="AP899" s="556"/>
      <c r="AQ899" s="556"/>
      <c r="AR899" s="556"/>
      <c r="AS899" s="565"/>
      <c r="AT899" s="556"/>
    </row>
    <row r="900" spans="1:46" hidden="1" x14ac:dyDescent="0.45">
      <c r="A900" s="556"/>
      <c r="B900" s="556"/>
      <c r="C900" s="556"/>
      <c r="D900" s="564"/>
      <c r="E900" s="556"/>
      <c r="F900" s="564"/>
      <c r="G900" s="564"/>
      <c r="H900" s="564"/>
      <c r="I900" s="564"/>
      <c r="J900" s="564"/>
      <c r="K900" s="564"/>
      <c r="L900" s="564"/>
      <c r="M900" s="564"/>
      <c r="N900" s="564"/>
      <c r="O900" s="564"/>
      <c r="P900" s="564"/>
      <c r="Q900" s="564"/>
      <c r="R900" s="564"/>
      <c r="S900" s="564"/>
      <c r="T900" s="564"/>
      <c r="U900" s="564"/>
      <c r="V900" s="564"/>
      <c r="W900" s="564"/>
      <c r="X900" s="564"/>
      <c r="Y900" s="564"/>
      <c r="Z900" s="564"/>
      <c r="AA900" s="564"/>
      <c r="AB900" s="556"/>
      <c r="AC900" s="556"/>
      <c r="AD900" s="556"/>
      <c r="AE900" s="556"/>
      <c r="AF900" s="556"/>
      <c r="AG900" s="556"/>
      <c r="AH900" s="556"/>
      <c r="AI900" s="556"/>
      <c r="AJ900" s="556"/>
      <c r="AK900" s="556"/>
      <c r="AL900" s="556"/>
      <c r="AM900" s="556"/>
      <c r="AN900" s="556"/>
      <c r="AO900" s="556"/>
      <c r="AP900" s="556"/>
      <c r="AQ900" s="556"/>
      <c r="AR900" s="556"/>
      <c r="AS900" s="565"/>
      <c r="AT900" s="556"/>
    </row>
    <row r="901" spans="1:46" hidden="1" x14ac:dyDescent="0.45">
      <c r="A901" s="556"/>
      <c r="B901" s="556"/>
      <c r="C901" s="556"/>
      <c r="D901" s="564"/>
      <c r="E901" s="556"/>
      <c r="F901" s="564"/>
      <c r="G901" s="564"/>
      <c r="H901" s="564"/>
      <c r="I901" s="564"/>
      <c r="J901" s="564"/>
      <c r="K901" s="564"/>
      <c r="L901" s="564"/>
      <c r="M901" s="564"/>
      <c r="N901" s="564"/>
      <c r="O901" s="564"/>
      <c r="P901" s="564"/>
      <c r="Q901" s="564"/>
      <c r="R901" s="564"/>
      <c r="S901" s="564"/>
      <c r="T901" s="564"/>
      <c r="U901" s="564"/>
      <c r="V901" s="564"/>
      <c r="W901" s="564"/>
      <c r="X901" s="564"/>
      <c r="Y901" s="564"/>
      <c r="Z901" s="564"/>
      <c r="AA901" s="564"/>
      <c r="AB901" s="556"/>
      <c r="AC901" s="556"/>
      <c r="AD901" s="556"/>
      <c r="AE901" s="556"/>
      <c r="AF901" s="556"/>
      <c r="AG901" s="556"/>
      <c r="AH901" s="556"/>
      <c r="AI901" s="556"/>
      <c r="AJ901" s="556"/>
      <c r="AK901" s="556"/>
      <c r="AL901" s="556"/>
      <c r="AM901" s="556"/>
      <c r="AN901" s="556"/>
      <c r="AO901" s="556"/>
      <c r="AP901" s="556"/>
      <c r="AQ901" s="556"/>
      <c r="AR901" s="556"/>
      <c r="AS901" s="565"/>
      <c r="AT901" s="556"/>
    </row>
    <row r="902" spans="1:46" hidden="1" x14ac:dyDescent="0.45">
      <c r="A902" s="556"/>
      <c r="B902" s="556"/>
      <c r="C902" s="556"/>
      <c r="D902" s="564"/>
      <c r="E902" s="556"/>
      <c r="F902" s="564"/>
      <c r="G902" s="564"/>
      <c r="H902" s="564"/>
      <c r="I902" s="564"/>
      <c r="J902" s="564"/>
      <c r="K902" s="564"/>
      <c r="L902" s="564"/>
      <c r="M902" s="564"/>
      <c r="N902" s="564"/>
      <c r="O902" s="564"/>
      <c r="P902" s="564"/>
      <c r="Q902" s="564"/>
      <c r="R902" s="564"/>
      <c r="S902" s="564"/>
      <c r="T902" s="564"/>
      <c r="U902" s="564"/>
      <c r="V902" s="564"/>
      <c r="W902" s="564"/>
      <c r="X902" s="564"/>
      <c r="Y902" s="564"/>
      <c r="Z902" s="564"/>
      <c r="AA902" s="564"/>
      <c r="AB902" s="556"/>
      <c r="AC902" s="556"/>
      <c r="AD902" s="556"/>
      <c r="AE902" s="556"/>
      <c r="AF902" s="556"/>
      <c r="AG902" s="556"/>
      <c r="AH902" s="556"/>
      <c r="AI902" s="556"/>
      <c r="AJ902" s="556"/>
      <c r="AK902" s="556"/>
      <c r="AL902" s="556"/>
      <c r="AM902" s="556"/>
      <c r="AN902" s="556"/>
      <c r="AO902" s="556"/>
      <c r="AP902" s="556"/>
      <c r="AQ902" s="556"/>
      <c r="AR902" s="556"/>
      <c r="AS902" s="565"/>
      <c r="AT902" s="556"/>
    </row>
    <row r="903" spans="1:46" hidden="1" x14ac:dyDescent="0.45">
      <c r="A903" s="556"/>
      <c r="B903" s="556"/>
      <c r="C903" s="556"/>
      <c r="D903" s="564"/>
      <c r="E903" s="556"/>
      <c r="F903" s="564"/>
      <c r="G903" s="564"/>
      <c r="H903" s="564"/>
      <c r="I903" s="564"/>
      <c r="J903" s="564"/>
      <c r="K903" s="564"/>
      <c r="L903" s="564"/>
      <c r="M903" s="564"/>
      <c r="N903" s="564"/>
      <c r="O903" s="564"/>
      <c r="P903" s="564"/>
      <c r="Q903" s="564"/>
      <c r="R903" s="564"/>
      <c r="S903" s="564"/>
      <c r="T903" s="564"/>
      <c r="U903" s="564"/>
      <c r="V903" s="564"/>
      <c r="W903" s="564"/>
      <c r="X903" s="564"/>
      <c r="Y903" s="564"/>
      <c r="Z903" s="564"/>
      <c r="AA903" s="564"/>
      <c r="AB903" s="556"/>
      <c r="AC903" s="556"/>
      <c r="AD903" s="556"/>
      <c r="AE903" s="556"/>
      <c r="AF903" s="556"/>
      <c r="AG903" s="556"/>
      <c r="AH903" s="556"/>
      <c r="AI903" s="556"/>
      <c r="AJ903" s="556"/>
      <c r="AK903" s="556"/>
      <c r="AL903" s="556"/>
      <c r="AM903" s="556"/>
      <c r="AN903" s="556"/>
      <c r="AO903" s="556"/>
      <c r="AP903" s="556"/>
      <c r="AQ903" s="556"/>
      <c r="AR903" s="556"/>
      <c r="AS903" s="565"/>
      <c r="AT903" s="556"/>
    </row>
    <row r="904" spans="1:46" hidden="1" x14ac:dyDescent="0.45">
      <c r="A904" s="556"/>
      <c r="B904" s="556"/>
      <c r="C904" s="556"/>
      <c r="D904" s="564"/>
      <c r="E904" s="556"/>
      <c r="F904" s="564"/>
      <c r="G904" s="564"/>
      <c r="H904" s="564"/>
      <c r="I904" s="564"/>
      <c r="J904" s="564"/>
      <c r="K904" s="564"/>
      <c r="L904" s="564"/>
      <c r="M904" s="564"/>
      <c r="N904" s="564"/>
      <c r="O904" s="564"/>
      <c r="P904" s="564"/>
      <c r="Q904" s="564"/>
      <c r="R904" s="564"/>
      <c r="S904" s="564"/>
      <c r="T904" s="564"/>
      <c r="U904" s="564"/>
      <c r="V904" s="564"/>
      <c r="W904" s="564"/>
      <c r="X904" s="564"/>
      <c r="Y904" s="564"/>
      <c r="Z904" s="564"/>
      <c r="AA904" s="564"/>
      <c r="AB904" s="556"/>
      <c r="AC904" s="556"/>
      <c r="AD904" s="556"/>
      <c r="AE904" s="556"/>
      <c r="AF904" s="556"/>
      <c r="AG904" s="556"/>
      <c r="AH904" s="556"/>
      <c r="AI904" s="556"/>
      <c r="AJ904" s="556"/>
      <c r="AK904" s="556"/>
      <c r="AL904" s="556"/>
      <c r="AM904" s="556"/>
      <c r="AN904" s="556"/>
      <c r="AO904" s="556"/>
      <c r="AP904" s="556"/>
      <c r="AQ904" s="556"/>
      <c r="AR904" s="556"/>
      <c r="AS904" s="565"/>
      <c r="AT904" s="556"/>
    </row>
    <row r="905" spans="1:46" hidden="1" x14ac:dyDescent="0.45">
      <c r="A905" s="556"/>
      <c r="B905" s="556"/>
      <c r="C905" s="556"/>
      <c r="D905" s="564"/>
      <c r="E905" s="556"/>
      <c r="F905" s="564"/>
      <c r="G905" s="564"/>
      <c r="H905" s="564"/>
      <c r="I905" s="564"/>
      <c r="J905" s="564"/>
      <c r="K905" s="564"/>
      <c r="L905" s="564"/>
      <c r="M905" s="564"/>
      <c r="N905" s="564"/>
      <c r="O905" s="564"/>
      <c r="P905" s="564"/>
      <c r="Q905" s="564"/>
      <c r="R905" s="564"/>
      <c r="S905" s="564"/>
      <c r="T905" s="564"/>
      <c r="U905" s="564"/>
      <c r="V905" s="564"/>
      <c r="W905" s="564"/>
      <c r="X905" s="564"/>
      <c r="Y905" s="564"/>
      <c r="Z905" s="564"/>
      <c r="AA905" s="564"/>
      <c r="AB905" s="556"/>
      <c r="AC905" s="556"/>
      <c r="AD905" s="556"/>
      <c r="AE905" s="556"/>
      <c r="AF905" s="556"/>
      <c r="AG905" s="556"/>
      <c r="AH905" s="556"/>
      <c r="AI905" s="556"/>
      <c r="AJ905" s="556"/>
      <c r="AK905" s="556"/>
      <c r="AL905" s="556"/>
      <c r="AM905" s="556"/>
      <c r="AN905" s="556"/>
      <c r="AO905" s="556"/>
      <c r="AP905" s="556"/>
      <c r="AQ905" s="556"/>
      <c r="AR905" s="556"/>
      <c r="AS905" s="565"/>
      <c r="AT905" s="556"/>
    </row>
    <row r="906" spans="1:46" hidden="1" x14ac:dyDescent="0.45">
      <c r="A906" s="556"/>
      <c r="B906" s="556"/>
      <c r="C906" s="556"/>
      <c r="D906" s="564"/>
      <c r="E906" s="556"/>
      <c r="F906" s="564"/>
      <c r="G906" s="564"/>
      <c r="H906" s="564"/>
      <c r="I906" s="564"/>
      <c r="J906" s="564"/>
      <c r="K906" s="564"/>
      <c r="L906" s="564"/>
      <c r="M906" s="564"/>
      <c r="N906" s="564"/>
      <c r="O906" s="564"/>
      <c r="P906" s="564"/>
      <c r="Q906" s="564"/>
      <c r="R906" s="564"/>
      <c r="S906" s="564"/>
      <c r="T906" s="564"/>
      <c r="U906" s="564"/>
      <c r="V906" s="564"/>
      <c r="W906" s="564"/>
      <c r="X906" s="564"/>
      <c r="Y906" s="564"/>
      <c r="Z906" s="564"/>
      <c r="AA906" s="564"/>
      <c r="AB906" s="556"/>
      <c r="AC906" s="556"/>
      <c r="AD906" s="556"/>
      <c r="AE906" s="556"/>
      <c r="AF906" s="556"/>
      <c r="AG906" s="556"/>
      <c r="AH906" s="556"/>
      <c r="AI906" s="556"/>
      <c r="AJ906" s="556"/>
      <c r="AK906" s="556"/>
      <c r="AL906" s="556"/>
      <c r="AM906" s="556"/>
      <c r="AN906" s="556"/>
      <c r="AO906" s="556"/>
      <c r="AP906" s="556"/>
      <c r="AQ906" s="556"/>
      <c r="AR906" s="556"/>
      <c r="AS906" s="565"/>
      <c r="AT906" s="556"/>
    </row>
    <row r="907" spans="1:46" hidden="1" x14ac:dyDescent="0.45">
      <c r="A907" s="556"/>
      <c r="B907" s="556"/>
      <c r="C907" s="556"/>
      <c r="D907" s="564"/>
      <c r="E907" s="556"/>
      <c r="F907" s="564"/>
      <c r="G907" s="564"/>
      <c r="H907" s="564"/>
      <c r="I907" s="564"/>
      <c r="J907" s="564"/>
      <c r="K907" s="564"/>
      <c r="L907" s="564"/>
      <c r="M907" s="564"/>
      <c r="N907" s="564"/>
      <c r="O907" s="564"/>
      <c r="P907" s="564"/>
      <c r="Q907" s="564"/>
      <c r="R907" s="564"/>
      <c r="S907" s="564"/>
      <c r="T907" s="564"/>
      <c r="U907" s="564"/>
      <c r="V907" s="564"/>
      <c r="W907" s="564"/>
      <c r="X907" s="564"/>
      <c r="Y907" s="564"/>
      <c r="Z907" s="564"/>
      <c r="AA907" s="564"/>
      <c r="AB907" s="556"/>
      <c r="AC907" s="556"/>
      <c r="AD907" s="556"/>
      <c r="AE907" s="556"/>
      <c r="AF907" s="556"/>
      <c r="AG907" s="556"/>
      <c r="AH907" s="556"/>
      <c r="AI907" s="556"/>
      <c r="AJ907" s="556"/>
      <c r="AK907" s="556"/>
      <c r="AL907" s="556"/>
      <c r="AM907" s="556"/>
      <c r="AN907" s="556"/>
      <c r="AO907" s="556"/>
      <c r="AP907" s="556"/>
      <c r="AQ907" s="556"/>
      <c r="AR907" s="556"/>
      <c r="AS907" s="565"/>
      <c r="AT907" s="556"/>
    </row>
    <row r="908" spans="1:46" hidden="1" x14ac:dyDescent="0.45">
      <c r="A908" s="556"/>
      <c r="B908" s="556"/>
      <c r="C908" s="556"/>
      <c r="D908" s="564"/>
      <c r="E908" s="556"/>
      <c r="F908" s="564"/>
      <c r="G908" s="564"/>
      <c r="H908" s="564"/>
      <c r="I908" s="564"/>
      <c r="J908" s="564"/>
      <c r="K908" s="564"/>
      <c r="L908" s="564"/>
      <c r="M908" s="564"/>
      <c r="N908" s="564"/>
      <c r="O908" s="564"/>
      <c r="P908" s="564"/>
      <c r="Q908" s="564"/>
      <c r="R908" s="564"/>
      <c r="S908" s="564"/>
      <c r="T908" s="564"/>
      <c r="U908" s="564"/>
      <c r="V908" s="564"/>
      <c r="W908" s="564"/>
      <c r="X908" s="564"/>
      <c r="Y908" s="564"/>
      <c r="Z908" s="564"/>
      <c r="AA908" s="564"/>
      <c r="AB908" s="556"/>
      <c r="AC908" s="556"/>
      <c r="AD908" s="556"/>
      <c r="AE908" s="556"/>
      <c r="AF908" s="556"/>
      <c r="AG908" s="556"/>
      <c r="AH908" s="556"/>
      <c r="AI908" s="556"/>
      <c r="AJ908" s="556"/>
      <c r="AK908" s="556"/>
      <c r="AL908" s="556"/>
      <c r="AM908" s="556"/>
      <c r="AN908" s="556"/>
      <c r="AO908" s="556"/>
      <c r="AP908" s="556"/>
      <c r="AQ908" s="556"/>
      <c r="AR908" s="556"/>
      <c r="AS908" s="565"/>
      <c r="AT908" s="556"/>
    </row>
    <row r="909" spans="1:46" hidden="1" x14ac:dyDescent="0.45">
      <c r="A909" s="556"/>
      <c r="B909" s="556"/>
      <c r="C909" s="556"/>
      <c r="D909" s="564"/>
      <c r="E909" s="556"/>
      <c r="F909" s="564"/>
      <c r="G909" s="564"/>
      <c r="H909" s="564"/>
      <c r="I909" s="564"/>
      <c r="J909" s="564"/>
      <c r="K909" s="564"/>
      <c r="L909" s="564"/>
      <c r="M909" s="564"/>
      <c r="N909" s="564"/>
      <c r="O909" s="564"/>
      <c r="P909" s="564"/>
      <c r="Q909" s="564"/>
      <c r="R909" s="564"/>
      <c r="S909" s="564"/>
      <c r="T909" s="564"/>
      <c r="U909" s="564"/>
      <c r="V909" s="564"/>
      <c r="W909" s="564"/>
      <c r="X909" s="564"/>
      <c r="Y909" s="564"/>
      <c r="Z909" s="564"/>
      <c r="AA909" s="564"/>
      <c r="AB909" s="556"/>
      <c r="AC909" s="556"/>
      <c r="AD909" s="556"/>
      <c r="AE909" s="556"/>
      <c r="AF909" s="556"/>
      <c r="AG909" s="556"/>
      <c r="AH909" s="556"/>
      <c r="AI909" s="556"/>
      <c r="AJ909" s="556"/>
      <c r="AK909" s="556"/>
      <c r="AL909" s="556"/>
      <c r="AM909" s="556"/>
      <c r="AN909" s="556"/>
      <c r="AO909" s="556"/>
      <c r="AP909" s="556"/>
      <c r="AQ909" s="556"/>
      <c r="AR909" s="556"/>
      <c r="AS909" s="565"/>
      <c r="AT909" s="556"/>
    </row>
    <row r="910" spans="1:46" hidden="1" x14ac:dyDescent="0.45">
      <c r="A910" s="556"/>
      <c r="B910" s="556"/>
      <c r="C910" s="556"/>
      <c r="D910" s="564"/>
      <c r="E910" s="556"/>
      <c r="F910" s="564"/>
      <c r="G910" s="564"/>
      <c r="H910" s="564"/>
      <c r="I910" s="564"/>
      <c r="J910" s="564"/>
      <c r="K910" s="564"/>
      <c r="L910" s="564"/>
      <c r="M910" s="564"/>
      <c r="N910" s="564"/>
      <c r="O910" s="564"/>
      <c r="P910" s="564"/>
      <c r="Q910" s="564"/>
      <c r="R910" s="564"/>
      <c r="S910" s="564"/>
      <c r="T910" s="564"/>
      <c r="U910" s="564"/>
      <c r="V910" s="564"/>
      <c r="W910" s="564"/>
      <c r="X910" s="564"/>
      <c r="Y910" s="564"/>
      <c r="Z910" s="564"/>
      <c r="AA910" s="564"/>
      <c r="AB910" s="556"/>
      <c r="AC910" s="556"/>
      <c r="AD910" s="556"/>
      <c r="AE910" s="556"/>
      <c r="AF910" s="556"/>
      <c r="AG910" s="556"/>
      <c r="AH910" s="556"/>
      <c r="AI910" s="556"/>
      <c r="AJ910" s="556"/>
      <c r="AK910" s="556"/>
      <c r="AL910" s="556"/>
      <c r="AM910" s="556"/>
      <c r="AN910" s="556"/>
      <c r="AO910" s="556"/>
      <c r="AP910" s="556"/>
      <c r="AQ910" s="556"/>
      <c r="AR910" s="556"/>
      <c r="AS910" s="565"/>
      <c r="AT910" s="556"/>
    </row>
    <row r="911" spans="1:46" hidden="1" x14ac:dyDescent="0.45">
      <c r="A911" s="556"/>
      <c r="B911" s="556"/>
      <c r="C911" s="556"/>
      <c r="D911" s="564"/>
      <c r="E911" s="556"/>
      <c r="F911" s="564"/>
      <c r="G911" s="564"/>
      <c r="H911" s="564"/>
      <c r="I911" s="564"/>
      <c r="J911" s="564"/>
      <c r="K911" s="564"/>
      <c r="L911" s="564"/>
      <c r="M911" s="564"/>
      <c r="N911" s="564"/>
      <c r="O911" s="564"/>
      <c r="P911" s="564"/>
      <c r="Q911" s="564"/>
      <c r="R911" s="564"/>
      <c r="S911" s="564"/>
      <c r="T911" s="564"/>
      <c r="U911" s="564"/>
      <c r="V911" s="564"/>
      <c r="W911" s="564"/>
      <c r="X911" s="564"/>
      <c r="Y911" s="564"/>
      <c r="Z911" s="564"/>
      <c r="AA911" s="564"/>
      <c r="AB911" s="556"/>
      <c r="AC911" s="556"/>
      <c r="AD911" s="556"/>
      <c r="AE911" s="556"/>
      <c r="AF911" s="556"/>
      <c r="AG911" s="556"/>
      <c r="AH911" s="556"/>
      <c r="AI911" s="556"/>
      <c r="AJ911" s="556"/>
      <c r="AK911" s="556"/>
      <c r="AL911" s="556"/>
      <c r="AM911" s="556"/>
      <c r="AN911" s="556"/>
      <c r="AO911" s="556"/>
      <c r="AP911" s="556"/>
      <c r="AQ911" s="556"/>
      <c r="AR911" s="556"/>
      <c r="AS911" s="565"/>
      <c r="AT911" s="556"/>
    </row>
    <row r="912" spans="1:46" hidden="1" x14ac:dyDescent="0.45">
      <c r="A912" s="556"/>
      <c r="B912" s="556"/>
      <c r="C912" s="556"/>
      <c r="D912" s="564"/>
      <c r="E912" s="556"/>
      <c r="F912" s="564"/>
      <c r="G912" s="564"/>
      <c r="H912" s="564"/>
      <c r="I912" s="564"/>
      <c r="J912" s="564"/>
      <c r="K912" s="564"/>
      <c r="L912" s="564"/>
      <c r="M912" s="564"/>
      <c r="N912" s="564"/>
      <c r="O912" s="564"/>
      <c r="P912" s="564"/>
      <c r="Q912" s="564"/>
      <c r="R912" s="564"/>
      <c r="S912" s="564"/>
      <c r="T912" s="564"/>
      <c r="U912" s="564"/>
      <c r="V912" s="564"/>
      <c r="W912" s="564"/>
      <c r="X912" s="564"/>
      <c r="Y912" s="564"/>
      <c r="Z912" s="564"/>
      <c r="AA912" s="564"/>
      <c r="AB912" s="556"/>
      <c r="AC912" s="556"/>
      <c r="AD912" s="556"/>
      <c r="AE912" s="556"/>
      <c r="AF912" s="556"/>
      <c r="AG912" s="556"/>
      <c r="AH912" s="556"/>
      <c r="AI912" s="556"/>
      <c r="AJ912" s="556"/>
      <c r="AK912" s="556"/>
      <c r="AL912" s="556"/>
      <c r="AM912" s="556"/>
      <c r="AN912" s="556"/>
      <c r="AO912" s="556"/>
      <c r="AP912" s="556"/>
      <c r="AQ912" s="556"/>
      <c r="AR912" s="556"/>
      <c r="AS912" s="565"/>
      <c r="AT912" s="556"/>
    </row>
    <row r="913" spans="1:46" hidden="1" x14ac:dyDescent="0.45">
      <c r="A913" s="556"/>
      <c r="B913" s="556"/>
      <c r="C913" s="556"/>
      <c r="D913" s="564"/>
      <c r="E913" s="556"/>
      <c r="F913" s="564"/>
      <c r="G913" s="564"/>
      <c r="H913" s="564"/>
      <c r="I913" s="564"/>
      <c r="J913" s="564"/>
      <c r="K913" s="564"/>
      <c r="L913" s="564"/>
      <c r="M913" s="564"/>
      <c r="N913" s="564"/>
      <c r="O913" s="564"/>
      <c r="P913" s="564"/>
      <c r="Q913" s="564"/>
      <c r="R913" s="564"/>
      <c r="S913" s="564"/>
      <c r="T913" s="564"/>
      <c r="U913" s="564"/>
      <c r="V913" s="564"/>
      <c r="W913" s="564"/>
      <c r="X913" s="564"/>
      <c r="Y913" s="564"/>
      <c r="Z913" s="564"/>
      <c r="AA913" s="564"/>
      <c r="AB913" s="556"/>
      <c r="AC913" s="556"/>
      <c r="AD913" s="556"/>
      <c r="AE913" s="556"/>
      <c r="AF913" s="556"/>
      <c r="AG913" s="556"/>
      <c r="AH913" s="556"/>
      <c r="AI913" s="556"/>
      <c r="AJ913" s="556"/>
      <c r="AK913" s="556"/>
      <c r="AL913" s="556"/>
      <c r="AM913" s="556"/>
      <c r="AN913" s="556"/>
      <c r="AO913" s="556"/>
      <c r="AP913" s="556"/>
      <c r="AQ913" s="556"/>
      <c r="AR913" s="556"/>
      <c r="AS913" s="565"/>
      <c r="AT913" s="556"/>
    </row>
    <row r="914" spans="1:46" hidden="1" x14ac:dyDescent="0.45">
      <c r="A914" s="556"/>
      <c r="B914" s="556"/>
      <c r="C914" s="556"/>
      <c r="D914" s="564"/>
      <c r="E914" s="556"/>
      <c r="F914" s="564"/>
      <c r="G914" s="564"/>
      <c r="H914" s="564"/>
      <c r="I914" s="564"/>
      <c r="J914" s="564"/>
      <c r="K914" s="564"/>
      <c r="L914" s="564"/>
      <c r="M914" s="564"/>
      <c r="N914" s="564"/>
      <c r="O914" s="564"/>
      <c r="P914" s="564"/>
      <c r="Q914" s="564"/>
      <c r="R914" s="564"/>
      <c r="S914" s="564"/>
      <c r="T914" s="564"/>
      <c r="U914" s="564"/>
      <c r="V914" s="564"/>
      <c r="W914" s="564"/>
      <c r="X914" s="564"/>
      <c r="Y914" s="564"/>
      <c r="Z914" s="564"/>
      <c r="AA914" s="564"/>
      <c r="AB914" s="556"/>
      <c r="AC914" s="556"/>
      <c r="AD914" s="556"/>
      <c r="AE914" s="556"/>
      <c r="AF914" s="556"/>
      <c r="AG914" s="556"/>
      <c r="AH914" s="556"/>
      <c r="AI914" s="556"/>
      <c r="AJ914" s="556"/>
      <c r="AK914" s="556"/>
      <c r="AL914" s="556"/>
      <c r="AM914" s="556"/>
      <c r="AN914" s="556"/>
      <c r="AO914" s="556"/>
      <c r="AP914" s="556"/>
      <c r="AQ914" s="556"/>
      <c r="AR914" s="556"/>
      <c r="AS914" s="565"/>
      <c r="AT914" s="556"/>
    </row>
    <row r="915" spans="1:46" hidden="1" x14ac:dyDescent="0.45">
      <c r="A915" s="556"/>
      <c r="B915" s="556"/>
      <c r="C915" s="556"/>
      <c r="D915" s="564"/>
      <c r="E915" s="556"/>
      <c r="F915" s="564"/>
      <c r="G915" s="564"/>
      <c r="H915" s="564"/>
      <c r="I915" s="564"/>
      <c r="J915" s="564"/>
      <c r="K915" s="564"/>
      <c r="L915" s="564"/>
      <c r="M915" s="564"/>
      <c r="N915" s="564"/>
      <c r="O915" s="564"/>
      <c r="P915" s="564"/>
      <c r="Q915" s="564"/>
      <c r="R915" s="564"/>
      <c r="S915" s="564"/>
      <c r="T915" s="564"/>
      <c r="U915" s="564"/>
      <c r="V915" s="564"/>
      <c r="W915" s="564"/>
      <c r="X915" s="564"/>
      <c r="Y915" s="564"/>
      <c r="Z915" s="564"/>
      <c r="AA915" s="564"/>
      <c r="AB915" s="556"/>
      <c r="AC915" s="556"/>
      <c r="AD915" s="556"/>
      <c r="AE915" s="556"/>
      <c r="AF915" s="556"/>
      <c r="AG915" s="556"/>
      <c r="AH915" s="556"/>
      <c r="AI915" s="556"/>
      <c r="AJ915" s="556"/>
      <c r="AK915" s="556"/>
      <c r="AL915" s="556"/>
      <c r="AM915" s="556"/>
      <c r="AN915" s="556"/>
      <c r="AO915" s="556"/>
      <c r="AP915" s="556"/>
      <c r="AQ915" s="556"/>
      <c r="AR915" s="556"/>
      <c r="AS915" s="565"/>
      <c r="AT915" s="556"/>
    </row>
    <row r="916" spans="1:46" hidden="1" x14ac:dyDescent="0.45">
      <c r="A916" s="556"/>
      <c r="B916" s="556"/>
      <c r="C916" s="556"/>
      <c r="D916" s="564"/>
      <c r="E916" s="556"/>
      <c r="F916" s="564"/>
      <c r="G916" s="564"/>
      <c r="H916" s="564"/>
      <c r="I916" s="564"/>
      <c r="J916" s="564"/>
      <c r="K916" s="564"/>
      <c r="L916" s="564"/>
      <c r="M916" s="564"/>
      <c r="N916" s="564"/>
      <c r="O916" s="564"/>
      <c r="P916" s="564"/>
      <c r="Q916" s="564"/>
      <c r="R916" s="564"/>
      <c r="S916" s="564"/>
      <c r="T916" s="564"/>
      <c r="U916" s="564"/>
      <c r="V916" s="564"/>
      <c r="W916" s="564"/>
      <c r="X916" s="564"/>
      <c r="Y916" s="564"/>
      <c r="Z916" s="564"/>
      <c r="AA916" s="564"/>
      <c r="AB916" s="556"/>
      <c r="AC916" s="556"/>
      <c r="AD916" s="556"/>
      <c r="AE916" s="556"/>
      <c r="AF916" s="556"/>
      <c r="AG916" s="556"/>
      <c r="AH916" s="556"/>
      <c r="AI916" s="556"/>
      <c r="AJ916" s="556"/>
      <c r="AK916" s="556"/>
      <c r="AL916" s="556"/>
      <c r="AM916" s="556"/>
      <c r="AN916" s="556"/>
      <c r="AO916" s="556"/>
      <c r="AP916" s="556"/>
      <c r="AQ916" s="556"/>
      <c r="AR916" s="556"/>
      <c r="AS916" s="565"/>
      <c r="AT916" s="556"/>
    </row>
    <row r="917" spans="1:46" hidden="1" x14ac:dyDescent="0.45">
      <c r="A917" s="556"/>
      <c r="B917" s="556"/>
      <c r="C917" s="556"/>
      <c r="D917" s="564"/>
      <c r="E917" s="556"/>
      <c r="F917" s="564"/>
      <c r="G917" s="564"/>
      <c r="H917" s="564"/>
      <c r="I917" s="564"/>
      <c r="J917" s="564"/>
      <c r="K917" s="564"/>
      <c r="L917" s="564"/>
      <c r="M917" s="564"/>
      <c r="N917" s="564"/>
      <c r="O917" s="564"/>
      <c r="P917" s="564"/>
      <c r="Q917" s="564"/>
      <c r="R917" s="564"/>
      <c r="S917" s="564"/>
      <c r="T917" s="564"/>
      <c r="U917" s="564"/>
      <c r="V917" s="564"/>
      <c r="W917" s="564"/>
      <c r="X917" s="564"/>
      <c r="Y917" s="564"/>
      <c r="Z917" s="564"/>
      <c r="AA917" s="564"/>
      <c r="AB917" s="556"/>
      <c r="AC917" s="556"/>
      <c r="AD917" s="556"/>
      <c r="AE917" s="556"/>
      <c r="AF917" s="556"/>
      <c r="AG917" s="556"/>
      <c r="AH917" s="556"/>
      <c r="AI917" s="556"/>
      <c r="AJ917" s="556"/>
      <c r="AK917" s="556"/>
      <c r="AL917" s="556"/>
      <c r="AM917" s="556"/>
      <c r="AN917" s="556"/>
      <c r="AO917" s="556"/>
      <c r="AP917" s="556"/>
      <c r="AQ917" s="556"/>
      <c r="AR917" s="556"/>
      <c r="AS917" s="565"/>
      <c r="AT917" s="556"/>
    </row>
    <row r="918" spans="1:46" hidden="1" x14ac:dyDescent="0.45">
      <c r="A918" s="556"/>
      <c r="B918" s="556"/>
      <c r="C918" s="556"/>
      <c r="D918" s="564"/>
      <c r="E918" s="556"/>
      <c r="F918" s="564"/>
      <c r="G918" s="564"/>
      <c r="H918" s="564"/>
      <c r="I918" s="564"/>
      <c r="J918" s="564"/>
      <c r="K918" s="564"/>
      <c r="L918" s="564"/>
      <c r="M918" s="564"/>
      <c r="N918" s="564"/>
      <c r="O918" s="564"/>
      <c r="P918" s="564"/>
      <c r="Q918" s="564"/>
      <c r="R918" s="564"/>
      <c r="S918" s="564"/>
      <c r="T918" s="564"/>
      <c r="U918" s="564"/>
      <c r="V918" s="564"/>
      <c r="W918" s="564"/>
      <c r="X918" s="564"/>
      <c r="Y918" s="564"/>
      <c r="Z918" s="564"/>
      <c r="AA918" s="564"/>
      <c r="AB918" s="556"/>
      <c r="AC918" s="556"/>
      <c r="AD918" s="556"/>
      <c r="AE918" s="556"/>
      <c r="AF918" s="556"/>
      <c r="AG918" s="556"/>
      <c r="AH918" s="556"/>
      <c r="AI918" s="556"/>
      <c r="AJ918" s="556"/>
      <c r="AK918" s="556"/>
      <c r="AL918" s="556"/>
      <c r="AM918" s="556"/>
      <c r="AN918" s="556"/>
      <c r="AO918" s="556"/>
      <c r="AP918" s="556"/>
      <c r="AQ918" s="556"/>
      <c r="AR918" s="556"/>
      <c r="AS918" s="565"/>
      <c r="AT918" s="556"/>
    </row>
    <row r="919" spans="1:46" hidden="1" x14ac:dyDescent="0.45">
      <c r="A919" s="556"/>
      <c r="B919" s="556"/>
      <c r="C919" s="556"/>
      <c r="D919" s="564"/>
      <c r="E919" s="556"/>
      <c r="F919" s="564"/>
      <c r="G919" s="564"/>
      <c r="H919" s="564"/>
      <c r="I919" s="564"/>
      <c r="J919" s="564"/>
      <c r="K919" s="564"/>
      <c r="L919" s="564"/>
      <c r="M919" s="564"/>
      <c r="N919" s="564"/>
      <c r="O919" s="564"/>
      <c r="P919" s="564"/>
      <c r="Q919" s="564"/>
      <c r="R919" s="564"/>
      <c r="S919" s="564"/>
      <c r="T919" s="564"/>
      <c r="U919" s="564"/>
      <c r="V919" s="564"/>
      <c r="W919" s="564"/>
      <c r="X919" s="564"/>
      <c r="Y919" s="564"/>
      <c r="Z919" s="564"/>
      <c r="AA919" s="564"/>
      <c r="AB919" s="556"/>
      <c r="AC919" s="556"/>
      <c r="AD919" s="556"/>
      <c r="AE919" s="556"/>
      <c r="AF919" s="556"/>
      <c r="AG919" s="556"/>
      <c r="AH919" s="556"/>
      <c r="AI919" s="556"/>
      <c r="AJ919" s="556"/>
      <c r="AK919" s="556"/>
      <c r="AL919" s="556"/>
      <c r="AM919" s="556"/>
      <c r="AN919" s="556"/>
      <c r="AO919" s="556"/>
      <c r="AP919" s="556"/>
      <c r="AQ919" s="556"/>
      <c r="AR919" s="556"/>
      <c r="AS919" s="565"/>
      <c r="AT919" s="556"/>
    </row>
    <row r="920" spans="1:46" hidden="1" x14ac:dyDescent="0.45">
      <c r="A920" s="556"/>
      <c r="B920" s="556"/>
      <c r="C920" s="556"/>
      <c r="D920" s="564"/>
      <c r="E920" s="556"/>
      <c r="F920" s="564"/>
      <c r="G920" s="564"/>
      <c r="H920" s="564"/>
      <c r="I920" s="564"/>
      <c r="J920" s="564"/>
      <c r="K920" s="564"/>
      <c r="L920" s="564"/>
      <c r="M920" s="564"/>
      <c r="N920" s="564"/>
      <c r="O920" s="564"/>
      <c r="P920" s="564"/>
      <c r="Q920" s="564"/>
      <c r="R920" s="564"/>
      <c r="S920" s="564"/>
      <c r="T920" s="564"/>
      <c r="U920" s="564"/>
      <c r="V920" s="564"/>
      <c r="W920" s="564"/>
      <c r="X920" s="564"/>
      <c r="Y920" s="564"/>
      <c r="Z920" s="564"/>
      <c r="AA920" s="564"/>
      <c r="AB920" s="556"/>
      <c r="AC920" s="556"/>
      <c r="AD920" s="556"/>
      <c r="AE920" s="556"/>
      <c r="AF920" s="556"/>
      <c r="AG920" s="556"/>
      <c r="AH920" s="556"/>
      <c r="AI920" s="556"/>
      <c r="AJ920" s="556"/>
      <c r="AK920" s="556"/>
      <c r="AL920" s="556"/>
      <c r="AM920" s="556"/>
      <c r="AN920" s="556"/>
      <c r="AO920" s="556"/>
      <c r="AP920" s="556"/>
      <c r="AQ920" s="556"/>
      <c r="AR920" s="556"/>
      <c r="AS920" s="565"/>
      <c r="AT920" s="556"/>
    </row>
    <row r="921" spans="1:46" hidden="1" x14ac:dyDescent="0.45">
      <c r="A921" s="556"/>
      <c r="B921" s="556"/>
      <c r="C921" s="556"/>
      <c r="D921" s="564"/>
      <c r="E921" s="556"/>
      <c r="F921" s="564"/>
      <c r="G921" s="564"/>
      <c r="H921" s="564"/>
      <c r="I921" s="564"/>
      <c r="J921" s="564"/>
      <c r="K921" s="564"/>
      <c r="L921" s="564"/>
      <c r="M921" s="564"/>
      <c r="N921" s="564"/>
      <c r="O921" s="564"/>
      <c r="P921" s="564"/>
      <c r="Q921" s="564"/>
      <c r="R921" s="564"/>
      <c r="S921" s="564"/>
      <c r="T921" s="564"/>
      <c r="U921" s="564"/>
      <c r="V921" s="564"/>
      <c r="W921" s="564"/>
      <c r="X921" s="564"/>
      <c r="Y921" s="564"/>
      <c r="Z921" s="564"/>
      <c r="AA921" s="564"/>
      <c r="AB921" s="556"/>
      <c r="AC921" s="556"/>
      <c r="AD921" s="556"/>
      <c r="AE921" s="556"/>
      <c r="AF921" s="556"/>
      <c r="AG921" s="556"/>
      <c r="AH921" s="556"/>
      <c r="AI921" s="556"/>
      <c r="AJ921" s="556"/>
      <c r="AK921" s="556"/>
      <c r="AL921" s="556"/>
      <c r="AM921" s="556"/>
      <c r="AN921" s="556"/>
      <c r="AO921" s="556"/>
      <c r="AP921" s="556"/>
      <c r="AQ921" s="556"/>
      <c r="AR921" s="556"/>
      <c r="AS921" s="565"/>
      <c r="AT921" s="556"/>
    </row>
    <row r="922" spans="1:46" hidden="1" x14ac:dyDescent="0.45">
      <c r="A922" s="556"/>
      <c r="B922" s="556"/>
      <c r="C922" s="556"/>
      <c r="D922" s="564"/>
      <c r="E922" s="556"/>
      <c r="F922" s="564"/>
      <c r="G922" s="564"/>
      <c r="H922" s="564"/>
      <c r="I922" s="564"/>
      <c r="J922" s="564"/>
      <c r="K922" s="564"/>
      <c r="L922" s="564"/>
      <c r="M922" s="564"/>
      <c r="N922" s="564"/>
      <c r="O922" s="564"/>
      <c r="P922" s="564"/>
      <c r="Q922" s="564"/>
      <c r="R922" s="564"/>
      <c r="S922" s="564"/>
      <c r="T922" s="564"/>
      <c r="U922" s="564"/>
      <c r="V922" s="564"/>
      <c r="W922" s="564"/>
      <c r="X922" s="564"/>
      <c r="Y922" s="564"/>
      <c r="Z922" s="564"/>
      <c r="AA922" s="564"/>
      <c r="AB922" s="556"/>
      <c r="AC922" s="556"/>
      <c r="AD922" s="556"/>
      <c r="AE922" s="556"/>
      <c r="AF922" s="556"/>
      <c r="AG922" s="556"/>
      <c r="AH922" s="556"/>
      <c r="AI922" s="556"/>
      <c r="AJ922" s="556"/>
      <c r="AK922" s="556"/>
      <c r="AL922" s="556"/>
      <c r="AM922" s="556"/>
      <c r="AN922" s="556"/>
      <c r="AO922" s="556"/>
      <c r="AP922" s="556"/>
      <c r="AQ922" s="556"/>
      <c r="AR922" s="556"/>
      <c r="AS922" s="565"/>
      <c r="AT922" s="556"/>
    </row>
    <row r="923" spans="1:46" hidden="1" x14ac:dyDescent="0.45">
      <c r="A923" s="556"/>
      <c r="B923" s="556"/>
      <c r="C923" s="556"/>
      <c r="D923" s="564"/>
      <c r="E923" s="556"/>
      <c r="F923" s="564"/>
      <c r="G923" s="564"/>
      <c r="H923" s="564"/>
      <c r="I923" s="564"/>
      <c r="J923" s="564"/>
      <c r="K923" s="564"/>
      <c r="L923" s="564"/>
      <c r="M923" s="564"/>
      <c r="N923" s="564"/>
      <c r="O923" s="564"/>
      <c r="P923" s="564"/>
      <c r="Q923" s="564"/>
      <c r="R923" s="564"/>
      <c r="S923" s="564"/>
      <c r="T923" s="564"/>
      <c r="U923" s="564"/>
      <c r="V923" s="564"/>
      <c r="W923" s="564"/>
      <c r="X923" s="564"/>
      <c r="Y923" s="564"/>
      <c r="Z923" s="564"/>
      <c r="AA923" s="564"/>
      <c r="AB923" s="556"/>
      <c r="AC923" s="556"/>
      <c r="AD923" s="556"/>
      <c r="AE923" s="556"/>
      <c r="AF923" s="556"/>
      <c r="AG923" s="556"/>
      <c r="AH923" s="556"/>
      <c r="AI923" s="556"/>
      <c r="AJ923" s="556"/>
      <c r="AK923" s="556"/>
      <c r="AL923" s="556"/>
      <c r="AM923" s="556"/>
      <c r="AN923" s="556"/>
      <c r="AO923" s="556"/>
      <c r="AP923" s="556"/>
      <c r="AQ923" s="556"/>
      <c r="AR923" s="556"/>
      <c r="AS923" s="565"/>
      <c r="AT923" s="556"/>
    </row>
    <row r="924" spans="1:46" hidden="1" x14ac:dyDescent="0.45">
      <c r="A924" s="556"/>
      <c r="B924" s="556"/>
      <c r="C924" s="556"/>
      <c r="D924" s="564"/>
      <c r="E924" s="556"/>
      <c r="F924" s="564"/>
      <c r="G924" s="564"/>
      <c r="H924" s="564"/>
      <c r="I924" s="564"/>
      <c r="J924" s="564"/>
      <c r="K924" s="564"/>
      <c r="L924" s="564"/>
      <c r="M924" s="564"/>
      <c r="N924" s="564"/>
      <c r="O924" s="564"/>
      <c r="P924" s="564"/>
      <c r="Q924" s="564"/>
      <c r="R924" s="564"/>
      <c r="S924" s="564"/>
      <c r="T924" s="564"/>
      <c r="U924" s="564"/>
      <c r="V924" s="564"/>
      <c r="W924" s="564"/>
      <c r="X924" s="564"/>
      <c r="Y924" s="564"/>
      <c r="Z924" s="564"/>
      <c r="AA924" s="564"/>
      <c r="AB924" s="556"/>
      <c r="AC924" s="556"/>
      <c r="AD924" s="556"/>
      <c r="AE924" s="556"/>
      <c r="AF924" s="556"/>
      <c r="AG924" s="556"/>
      <c r="AH924" s="556"/>
      <c r="AI924" s="556"/>
      <c r="AJ924" s="556"/>
      <c r="AK924" s="556"/>
      <c r="AL924" s="556"/>
      <c r="AM924" s="556"/>
      <c r="AN924" s="556"/>
      <c r="AO924" s="556"/>
      <c r="AP924" s="556"/>
      <c r="AQ924" s="556"/>
      <c r="AR924" s="556"/>
      <c r="AS924" s="565"/>
      <c r="AT924" s="556"/>
    </row>
    <row r="925" spans="1:46" hidden="1" x14ac:dyDescent="0.45">
      <c r="A925" s="556"/>
      <c r="B925" s="556"/>
      <c r="C925" s="556"/>
      <c r="D925" s="564"/>
      <c r="E925" s="556"/>
      <c r="F925" s="564"/>
      <c r="G925" s="564"/>
      <c r="H925" s="564"/>
      <c r="I925" s="564"/>
      <c r="J925" s="564"/>
      <c r="K925" s="564"/>
      <c r="L925" s="564"/>
      <c r="M925" s="564"/>
      <c r="N925" s="564"/>
      <c r="O925" s="564"/>
      <c r="P925" s="564"/>
      <c r="Q925" s="564"/>
      <c r="R925" s="564"/>
      <c r="S925" s="564"/>
      <c r="T925" s="564"/>
      <c r="U925" s="564"/>
      <c r="V925" s="564"/>
      <c r="W925" s="564"/>
      <c r="X925" s="564"/>
      <c r="Y925" s="564"/>
      <c r="Z925" s="564"/>
      <c r="AA925" s="564"/>
      <c r="AB925" s="556"/>
      <c r="AC925" s="556"/>
      <c r="AD925" s="556"/>
      <c r="AE925" s="556"/>
      <c r="AF925" s="556"/>
      <c r="AG925" s="556"/>
      <c r="AH925" s="556"/>
      <c r="AI925" s="556"/>
      <c r="AJ925" s="556"/>
      <c r="AK925" s="556"/>
      <c r="AL925" s="556"/>
      <c r="AM925" s="556"/>
      <c r="AN925" s="556"/>
      <c r="AO925" s="556"/>
      <c r="AP925" s="556"/>
      <c r="AQ925" s="556"/>
      <c r="AR925" s="556"/>
      <c r="AS925" s="565"/>
      <c r="AT925" s="556"/>
    </row>
    <row r="926" spans="1:46" hidden="1" x14ac:dyDescent="0.45">
      <c r="A926" s="556"/>
      <c r="B926" s="556"/>
      <c r="C926" s="556"/>
      <c r="D926" s="564"/>
      <c r="E926" s="556"/>
      <c r="F926" s="564"/>
      <c r="G926" s="564"/>
      <c r="H926" s="564"/>
      <c r="I926" s="564"/>
      <c r="J926" s="564"/>
      <c r="K926" s="564"/>
      <c r="L926" s="564"/>
      <c r="M926" s="564"/>
      <c r="N926" s="564"/>
      <c r="O926" s="564"/>
      <c r="P926" s="564"/>
      <c r="Q926" s="564"/>
      <c r="R926" s="564"/>
      <c r="S926" s="564"/>
      <c r="T926" s="564"/>
      <c r="U926" s="564"/>
      <c r="V926" s="564"/>
      <c r="W926" s="564"/>
      <c r="X926" s="564"/>
      <c r="Y926" s="564"/>
      <c r="Z926" s="564"/>
      <c r="AA926" s="564"/>
      <c r="AB926" s="556"/>
      <c r="AC926" s="556"/>
      <c r="AD926" s="556"/>
      <c r="AE926" s="556"/>
      <c r="AF926" s="556"/>
      <c r="AG926" s="556"/>
      <c r="AH926" s="556"/>
      <c r="AI926" s="556"/>
      <c r="AJ926" s="556"/>
      <c r="AK926" s="556"/>
      <c r="AL926" s="556"/>
      <c r="AM926" s="556"/>
      <c r="AN926" s="556"/>
      <c r="AO926" s="556"/>
      <c r="AP926" s="556"/>
      <c r="AQ926" s="556"/>
      <c r="AR926" s="556"/>
      <c r="AS926" s="565"/>
      <c r="AT926" s="556"/>
    </row>
    <row r="927" spans="1:46" hidden="1" x14ac:dyDescent="0.45">
      <c r="A927" s="556"/>
      <c r="B927" s="556"/>
      <c r="C927" s="556"/>
      <c r="D927" s="564"/>
      <c r="E927" s="556"/>
      <c r="F927" s="564"/>
      <c r="G927" s="564"/>
      <c r="H927" s="564"/>
      <c r="I927" s="564"/>
      <c r="J927" s="564"/>
      <c r="K927" s="564"/>
      <c r="L927" s="564"/>
      <c r="M927" s="564"/>
      <c r="N927" s="564"/>
      <c r="O927" s="564"/>
      <c r="P927" s="564"/>
      <c r="Q927" s="564"/>
      <c r="R927" s="564"/>
      <c r="S927" s="564"/>
      <c r="T927" s="564"/>
      <c r="U927" s="564"/>
      <c r="V927" s="564"/>
      <c r="W927" s="564"/>
      <c r="X927" s="564"/>
      <c r="Y927" s="564"/>
      <c r="Z927" s="564"/>
      <c r="AA927" s="564"/>
      <c r="AB927" s="556"/>
      <c r="AC927" s="556"/>
      <c r="AD927" s="556"/>
      <c r="AE927" s="556"/>
      <c r="AF927" s="556"/>
      <c r="AG927" s="556"/>
      <c r="AH927" s="556"/>
      <c r="AI927" s="556"/>
      <c r="AJ927" s="556"/>
      <c r="AK927" s="556"/>
      <c r="AL927" s="556"/>
      <c r="AM927" s="556"/>
      <c r="AN927" s="556"/>
      <c r="AO927" s="556"/>
      <c r="AP927" s="556"/>
      <c r="AQ927" s="556"/>
      <c r="AR927" s="556"/>
      <c r="AS927" s="565"/>
      <c r="AT927" s="556"/>
    </row>
    <row r="928" spans="1:46" hidden="1" x14ac:dyDescent="0.45">
      <c r="A928" s="556"/>
      <c r="B928" s="556"/>
      <c r="C928" s="556"/>
      <c r="D928" s="564"/>
      <c r="E928" s="556"/>
      <c r="F928" s="564"/>
      <c r="G928" s="564"/>
      <c r="H928" s="564"/>
      <c r="I928" s="564"/>
      <c r="J928" s="564"/>
      <c r="K928" s="564"/>
      <c r="L928" s="564"/>
      <c r="M928" s="564"/>
      <c r="N928" s="564"/>
      <c r="O928" s="564"/>
      <c r="P928" s="564"/>
      <c r="Q928" s="564"/>
      <c r="R928" s="564"/>
      <c r="S928" s="564"/>
      <c r="T928" s="564"/>
      <c r="U928" s="564"/>
      <c r="V928" s="564"/>
      <c r="W928" s="564"/>
      <c r="X928" s="564"/>
      <c r="Y928" s="564"/>
      <c r="Z928" s="564"/>
      <c r="AA928" s="564"/>
      <c r="AB928" s="556"/>
      <c r="AC928" s="556"/>
      <c r="AD928" s="556"/>
      <c r="AE928" s="556"/>
      <c r="AF928" s="556"/>
      <c r="AG928" s="556"/>
      <c r="AH928" s="556"/>
      <c r="AI928" s="556"/>
      <c r="AJ928" s="556"/>
      <c r="AK928" s="556"/>
      <c r="AL928" s="556"/>
      <c r="AM928" s="556"/>
      <c r="AN928" s="556"/>
      <c r="AO928" s="556"/>
      <c r="AP928" s="556"/>
      <c r="AQ928" s="556"/>
      <c r="AR928" s="556"/>
      <c r="AS928" s="565"/>
      <c r="AT928" s="556"/>
    </row>
    <row r="929" spans="1:46" hidden="1" x14ac:dyDescent="0.45">
      <c r="A929" s="556"/>
      <c r="B929" s="556"/>
      <c r="C929" s="556"/>
      <c r="D929" s="564"/>
      <c r="E929" s="556"/>
      <c r="F929" s="564"/>
      <c r="G929" s="564"/>
      <c r="H929" s="564"/>
      <c r="I929" s="564"/>
      <c r="J929" s="564"/>
      <c r="K929" s="564"/>
      <c r="L929" s="564"/>
      <c r="M929" s="564"/>
      <c r="N929" s="564"/>
      <c r="O929" s="564"/>
      <c r="P929" s="564"/>
      <c r="Q929" s="564"/>
      <c r="R929" s="564"/>
      <c r="S929" s="564"/>
      <c r="T929" s="564"/>
      <c r="U929" s="564"/>
      <c r="V929" s="564"/>
      <c r="W929" s="564"/>
      <c r="X929" s="564"/>
      <c r="Y929" s="564"/>
      <c r="Z929" s="564"/>
      <c r="AA929" s="564"/>
      <c r="AB929" s="556"/>
      <c r="AC929" s="556"/>
      <c r="AD929" s="556"/>
      <c r="AE929" s="556"/>
      <c r="AF929" s="556"/>
      <c r="AG929" s="556"/>
      <c r="AH929" s="556"/>
      <c r="AI929" s="556"/>
      <c r="AJ929" s="556"/>
      <c r="AK929" s="556"/>
      <c r="AL929" s="556"/>
      <c r="AM929" s="556"/>
      <c r="AN929" s="556"/>
      <c r="AO929" s="556"/>
      <c r="AP929" s="556"/>
      <c r="AQ929" s="556"/>
      <c r="AR929" s="556"/>
      <c r="AS929" s="565"/>
      <c r="AT929" s="556"/>
    </row>
    <row r="930" spans="1:46" hidden="1" x14ac:dyDescent="0.45">
      <c r="A930" s="556"/>
      <c r="B930" s="556"/>
      <c r="C930" s="556"/>
      <c r="D930" s="564"/>
      <c r="E930" s="556"/>
      <c r="F930" s="564"/>
      <c r="G930" s="564"/>
      <c r="H930" s="564"/>
      <c r="I930" s="564"/>
      <c r="J930" s="564"/>
      <c r="K930" s="564"/>
      <c r="L930" s="564"/>
      <c r="M930" s="564"/>
      <c r="N930" s="564"/>
      <c r="O930" s="564"/>
      <c r="P930" s="564"/>
      <c r="Q930" s="564"/>
      <c r="R930" s="564"/>
      <c r="S930" s="564"/>
      <c r="T930" s="564"/>
      <c r="U930" s="564"/>
      <c r="V930" s="564"/>
      <c r="W930" s="564"/>
      <c r="X930" s="564"/>
      <c r="Y930" s="564"/>
      <c r="Z930" s="564"/>
      <c r="AA930" s="564"/>
      <c r="AB930" s="556"/>
      <c r="AC930" s="556"/>
      <c r="AD930" s="556"/>
      <c r="AE930" s="556"/>
      <c r="AF930" s="556"/>
      <c r="AG930" s="556"/>
      <c r="AH930" s="556"/>
      <c r="AI930" s="556"/>
      <c r="AJ930" s="556"/>
      <c r="AK930" s="556"/>
      <c r="AL930" s="556"/>
      <c r="AM930" s="556"/>
      <c r="AN930" s="556"/>
      <c r="AO930" s="556"/>
      <c r="AP930" s="556"/>
      <c r="AQ930" s="556"/>
      <c r="AR930" s="556"/>
      <c r="AS930" s="565"/>
      <c r="AT930" s="556"/>
    </row>
    <row r="931" spans="1:46" hidden="1" x14ac:dyDescent="0.45">
      <c r="A931" s="556"/>
      <c r="B931" s="556"/>
      <c r="C931" s="556"/>
      <c r="D931" s="564"/>
      <c r="E931" s="556"/>
      <c r="F931" s="564"/>
      <c r="G931" s="564"/>
      <c r="H931" s="564"/>
      <c r="I931" s="564"/>
      <c r="J931" s="564"/>
      <c r="K931" s="564"/>
      <c r="L931" s="564"/>
      <c r="M931" s="564"/>
      <c r="N931" s="564"/>
      <c r="O931" s="564"/>
      <c r="P931" s="564"/>
      <c r="Q931" s="564"/>
      <c r="R931" s="564"/>
      <c r="S931" s="564"/>
      <c r="T931" s="564"/>
      <c r="U931" s="564"/>
      <c r="V931" s="564"/>
      <c r="W931" s="564"/>
      <c r="X931" s="564"/>
      <c r="Y931" s="564"/>
      <c r="Z931" s="564"/>
      <c r="AA931" s="564"/>
      <c r="AB931" s="556"/>
      <c r="AC931" s="556"/>
      <c r="AD931" s="556"/>
      <c r="AE931" s="556"/>
      <c r="AF931" s="556"/>
      <c r="AG931" s="556"/>
      <c r="AH931" s="556"/>
      <c r="AI931" s="556"/>
      <c r="AJ931" s="556"/>
      <c r="AK931" s="556"/>
      <c r="AL931" s="556"/>
      <c r="AM931" s="556"/>
      <c r="AN931" s="556"/>
      <c r="AO931" s="556"/>
      <c r="AP931" s="556"/>
      <c r="AQ931" s="556"/>
      <c r="AR931" s="556"/>
      <c r="AS931" s="565"/>
      <c r="AT931" s="556"/>
    </row>
    <row r="932" spans="1:46" hidden="1" x14ac:dyDescent="0.45">
      <c r="A932" s="556"/>
      <c r="B932" s="556"/>
      <c r="C932" s="556"/>
      <c r="D932" s="564"/>
      <c r="E932" s="556"/>
      <c r="F932" s="564"/>
      <c r="G932" s="564"/>
      <c r="H932" s="564"/>
      <c r="I932" s="564"/>
      <c r="J932" s="564"/>
      <c r="K932" s="564"/>
      <c r="L932" s="564"/>
      <c r="M932" s="564"/>
      <c r="N932" s="564"/>
      <c r="O932" s="564"/>
      <c r="P932" s="564"/>
      <c r="Q932" s="564"/>
      <c r="R932" s="564"/>
      <c r="S932" s="564"/>
      <c r="T932" s="564"/>
      <c r="U932" s="564"/>
      <c r="V932" s="564"/>
      <c r="W932" s="564"/>
      <c r="X932" s="564"/>
      <c r="Y932" s="564"/>
      <c r="Z932" s="564"/>
      <c r="AA932" s="564"/>
      <c r="AB932" s="556"/>
      <c r="AC932" s="556"/>
      <c r="AD932" s="556"/>
      <c r="AE932" s="556"/>
      <c r="AF932" s="556"/>
      <c r="AG932" s="556"/>
      <c r="AH932" s="556"/>
      <c r="AI932" s="556"/>
      <c r="AJ932" s="556"/>
      <c r="AK932" s="556"/>
      <c r="AL932" s="556"/>
      <c r="AM932" s="556"/>
      <c r="AN932" s="556"/>
      <c r="AO932" s="556"/>
      <c r="AP932" s="556"/>
      <c r="AQ932" s="556"/>
      <c r="AR932" s="556"/>
      <c r="AS932" s="565"/>
      <c r="AT932" s="556"/>
    </row>
    <row r="933" spans="1:46" hidden="1" x14ac:dyDescent="0.45">
      <c r="A933" s="556"/>
      <c r="B933" s="556"/>
      <c r="C933" s="556"/>
      <c r="D933" s="564"/>
      <c r="E933" s="556"/>
      <c r="F933" s="564"/>
      <c r="G933" s="564"/>
      <c r="H933" s="564"/>
      <c r="I933" s="564"/>
      <c r="J933" s="564"/>
      <c r="K933" s="564"/>
      <c r="L933" s="564"/>
      <c r="M933" s="564"/>
      <c r="N933" s="564"/>
      <c r="O933" s="564"/>
      <c r="P933" s="564"/>
      <c r="Q933" s="564"/>
      <c r="R933" s="564"/>
      <c r="S933" s="564"/>
      <c r="T933" s="564"/>
      <c r="U933" s="564"/>
      <c r="V933" s="564"/>
      <c r="W933" s="564"/>
      <c r="X933" s="564"/>
      <c r="Y933" s="564"/>
      <c r="Z933" s="564"/>
      <c r="AA933" s="564"/>
      <c r="AB933" s="556"/>
      <c r="AC933" s="556"/>
      <c r="AD933" s="556"/>
      <c r="AE933" s="556"/>
      <c r="AF933" s="556"/>
      <c r="AG933" s="556"/>
      <c r="AH933" s="556"/>
      <c r="AI933" s="556"/>
      <c r="AJ933" s="556"/>
      <c r="AK933" s="556"/>
      <c r="AL933" s="556"/>
      <c r="AM933" s="556"/>
      <c r="AN933" s="556"/>
      <c r="AO933" s="556"/>
      <c r="AP933" s="556"/>
      <c r="AQ933" s="556"/>
      <c r="AR933" s="556"/>
      <c r="AS933" s="565"/>
      <c r="AT933" s="556"/>
    </row>
    <row r="934" spans="1:46" hidden="1" x14ac:dyDescent="0.45">
      <c r="A934" s="556"/>
      <c r="B934" s="556"/>
      <c r="C934" s="556"/>
      <c r="D934" s="564"/>
      <c r="E934" s="556"/>
      <c r="F934" s="564"/>
      <c r="G934" s="564"/>
      <c r="H934" s="564"/>
      <c r="I934" s="564"/>
      <c r="J934" s="564"/>
      <c r="K934" s="564"/>
      <c r="L934" s="564"/>
      <c r="M934" s="564"/>
      <c r="N934" s="564"/>
      <c r="O934" s="564"/>
      <c r="P934" s="564"/>
      <c r="Q934" s="564"/>
      <c r="R934" s="564"/>
      <c r="S934" s="564"/>
      <c r="T934" s="564"/>
      <c r="U934" s="564"/>
      <c r="V934" s="564"/>
      <c r="W934" s="564"/>
      <c r="X934" s="564"/>
      <c r="Y934" s="564"/>
      <c r="Z934" s="564"/>
      <c r="AA934" s="564"/>
      <c r="AB934" s="556"/>
      <c r="AC934" s="556"/>
      <c r="AD934" s="556"/>
      <c r="AE934" s="556"/>
      <c r="AF934" s="556"/>
      <c r="AG934" s="556"/>
      <c r="AH934" s="556"/>
      <c r="AI934" s="556"/>
      <c r="AJ934" s="556"/>
      <c r="AK934" s="556"/>
      <c r="AL934" s="556"/>
      <c r="AM934" s="556"/>
      <c r="AN934" s="556"/>
      <c r="AO934" s="556"/>
      <c r="AP934" s="556"/>
      <c r="AQ934" s="556"/>
      <c r="AR934" s="556"/>
      <c r="AS934" s="565"/>
      <c r="AT934" s="556"/>
    </row>
    <row r="935" spans="1:46" hidden="1" x14ac:dyDescent="0.45">
      <c r="A935" s="556"/>
      <c r="B935" s="556"/>
      <c r="C935" s="556"/>
      <c r="D935" s="564"/>
      <c r="E935" s="556"/>
      <c r="F935" s="564"/>
      <c r="G935" s="564"/>
      <c r="H935" s="564"/>
      <c r="I935" s="564"/>
      <c r="J935" s="564"/>
      <c r="K935" s="564"/>
      <c r="L935" s="564"/>
      <c r="M935" s="564"/>
      <c r="N935" s="564"/>
      <c r="O935" s="564"/>
      <c r="P935" s="564"/>
      <c r="Q935" s="564"/>
      <c r="R935" s="564"/>
      <c r="S935" s="564"/>
      <c r="T935" s="564"/>
      <c r="U935" s="564"/>
      <c r="V935" s="564"/>
      <c r="W935" s="564"/>
      <c r="X935" s="564"/>
      <c r="Y935" s="564"/>
      <c r="Z935" s="564"/>
      <c r="AA935" s="564"/>
      <c r="AB935" s="556"/>
      <c r="AC935" s="556"/>
      <c r="AD935" s="556"/>
      <c r="AE935" s="556"/>
      <c r="AF935" s="556"/>
      <c r="AG935" s="556"/>
      <c r="AH935" s="556"/>
      <c r="AI935" s="556"/>
      <c r="AJ935" s="556"/>
      <c r="AK935" s="556"/>
      <c r="AL935" s="556"/>
      <c r="AM935" s="556"/>
      <c r="AN935" s="556"/>
      <c r="AO935" s="556"/>
      <c r="AP935" s="556"/>
      <c r="AQ935" s="556"/>
      <c r="AR935" s="556"/>
      <c r="AS935" s="565"/>
      <c r="AT935" s="556"/>
    </row>
    <row r="936" spans="1:46" hidden="1" x14ac:dyDescent="0.45">
      <c r="A936" s="556"/>
      <c r="B936" s="556"/>
      <c r="C936" s="556"/>
      <c r="D936" s="564"/>
      <c r="E936" s="556"/>
      <c r="F936" s="564"/>
      <c r="G936" s="564"/>
      <c r="H936" s="564"/>
      <c r="I936" s="564"/>
      <c r="J936" s="564"/>
      <c r="K936" s="564"/>
      <c r="L936" s="564"/>
      <c r="M936" s="564"/>
      <c r="N936" s="564"/>
      <c r="O936" s="564"/>
      <c r="P936" s="564"/>
      <c r="Q936" s="564"/>
      <c r="R936" s="564"/>
      <c r="S936" s="564"/>
      <c r="T936" s="564"/>
      <c r="U936" s="564"/>
      <c r="V936" s="564"/>
      <c r="W936" s="564"/>
      <c r="X936" s="564"/>
      <c r="Y936" s="564"/>
      <c r="Z936" s="564"/>
      <c r="AA936" s="564"/>
      <c r="AB936" s="556"/>
      <c r="AC936" s="556"/>
      <c r="AD936" s="556"/>
      <c r="AE936" s="556"/>
      <c r="AF936" s="556"/>
      <c r="AG936" s="556"/>
      <c r="AH936" s="556"/>
      <c r="AI936" s="556"/>
      <c r="AJ936" s="556"/>
      <c r="AK936" s="556"/>
      <c r="AL936" s="556"/>
      <c r="AM936" s="556"/>
      <c r="AN936" s="556"/>
      <c r="AO936" s="556"/>
      <c r="AP936" s="556"/>
      <c r="AQ936" s="556"/>
      <c r="AR936" s="556"/>
      <c r="AS936" s="565"/>
      <c r="AT936" s="556"/>
    </row>
    <row r="937" spans="1:46" hidden="1" x14ac:dyDescent="0.45">
      <c r="A937" s="556"/>
      <c r="B937" s="556"/>
      <c r="C937" s="556"/>
      <c r="D937" s="564"/>
      <c r="E937" s="556"/>
      <c r="F937" s="564"/>
      <c r="G937" s="564"/>
      <c r="H937" s="564"/>
      <c r="I937" s="564"/>
      <c r="J937" s="564"/>
      <c r="K937" s="564"/>
      <c r="L937" s="564"/>
      <c r="M937" s="564"/>
      <c r="N937" s="564"/>
      <c r="O937" s="564"/>
      <c r="P937" s="564"/>
      <c r="Q937" s="564"/>
      <c r="R937" s="564"/>
      <c r="S937" s="564"/>
      <c r="T937" s="564"/>
      <c r="U937" s="564"/>
      <c r="V937" s="564"/>
      <c r="W937" s="564"/>
      <c r="X937" s="564"/>
      <c r="Y937" s="564"/>
      <c r="Z937" s="564"/>
      <c r="AA937" s="564"/>
      <c r="AB937" s="556"/>
      <c r="AC937" s="556"/>
      <c r="AD937" s="556"/>
      <c r="AE937" s="556"/>
      <c r="AF937" s="556"/>
      <c r="AG937" s="556"/>
      <c r="AH937" s="556"/>
      <c r="AI937" s="556"/>
      <c r="AJ937" s="556"/>
      <c r="AK937" s="556"/>
      <c r="AL937" s="556"/>
      <c r="AM937" s="556"/>
      <c r="AN937" s="556"/>
      <c r="AO937" s="556"/>
      <c r="AP937" s="556"/>
      <c r="AQ937" s="556"/>
      <c r="AR937" s="556"/>
      <c r="AS937" s="565"/>
      <c r="AT937" s="556"/>
    </row>
    <row r="938" spans="1:46" hidden="1" x14ac:dyDescent="0.45">
      <c r="A938" s="556"/>
      <c r="B938" s="556"/>
      <c r="C938" s="556"/>
      <c r="D938" s="564"/>
      <c r="E938" s="556"/>
      <c r="F938" s="564"/>
      <c r="G938" s="564"/>
      <c r="H938" s="564"/>
      <c r="I938" s="564"/>
      <c r="J938" s="564"/>
      <c r="K938" s="564"/>
      <c r="L938" s="564"/>
      <c r="M938" s="564"/>
      <c r="N938" s="564"/>
      <c r="O938" s="564"/>
      <c r="P938" s="564"/>
      <c r="Q938" s="564"/>
      <c r="R938" s="564"/>
      <c r="S938" s="564"/>
      <c r="T938" s="564"/>
      <c r="U938" s="564"/>
      <c r="V938" s="564"/>
      <c r="W938" s="564"/>
      <c r="X938" s="564"/>
      <c r="Y938" s="564"/>
      <c r="Z938" s="564"/>
      <c r="AA938" s="564"/>
      <c r="AB938" s="556"/>
      <c r="AC938" s="556"/>
      <c r="AD938" s="556"/>
      <c r="AE938" s="556"/>
      <c r="AF938" s="556"/>
      <c r="AG938" s="556"/>
      <c r="AH938" s="556"/>
      <c r="AI938" s="556"/>
      <c r="AJ938" s="556"/>
      <c r="AK938" s="556"/>
      <c r="AL938" s="556"/>
      <c r="AM938" s="556"/>
      <c r="AN938" s="556"/>
      <c r="AO938" s="556"/>
      <c r="AP938" s="556"/>
      <c r="AQ938" s="556"/>
      <c r="AR938" s="556"/>
      <c r="AS938" s="565"/>
      <c r="AT938" s="556"/>
    </row>
    <row r="939" spans="1:46" hidden="1" x14ac:dyDescent="0.45">
      <c r="A939" s="556"/>
      <c r="B939" s="556"/>
      <c r="C939" s="556"/>
      <c r="D939" s="564"/>
      <c r="E939" s="556"/>
      <c r="F939" s="564"/>
      <c r="G939" s="564"/>
      <c r="H939" s="564"/>
      <c r="I939" s="564"/>
      <c r="J939" s="564"/>
      <c r="K939" s="564"/>
      <c r="L939" s="564"/>
      <c r="M939" s="564"/>
      <c r="N939" s="564"/>
      <c r="O939" s="564"/>
      <c r="P939" s="564"/>
      <c r="Q939" s="564"/>
      <c r="R939" s="564"/>
      <c r="S939" s="564"/>
      <c r="T939" s="564"/>
      <c r="U939" s="564"/>
      <c r="V939" s="564"/>
      <c r="W939" s="564"/>
      <c r="X939" s="564"/>
      <c r="Y939" s="564"/>
      <c r="Z939" s="564"/>
      <c r="AA939" s="564"/>
      <c r="AB939" s="556"/>
      <c r="AC939" s="556"/>
      <c r="AD939" s="556"/>
      <c r="AE939" s="556"/>
      <c r="AF939" s="556"/>
      <c r="AG939" s="556"/>
      <c r="AH939" s="556"/>
      <c r="AI939" s="556"/>
      <c r="AJ939" s="556"/>
      <c r="AK939" s="556"/>
      <c r="AL939" s="556"/>
      <c r="AM939" s="556"/>
      <c r="AN939" s="556"/>
      <c r="AO939" s="556"/>
      <c r="AP939" s="556"/>
      <c r="AQ939" s="556"/>
      <c r="AR939" s="556"/>
      <c r="AS939" s="565"/>
      <c r="AT939" s="556"/>
    </row>
    <row r="940" spans="1:46" hidden="1" x14ac:dyDescent="0.45">
      <c r="A940" s="556"/>
      <c r="B940" s="556"/>
      <c r="C940" s="556"/>
      <c r="D940" s="564"/>
      <c r="E940" s="556"/>
      <c r="F940" s="564"/>
      <c r="G940" s="564"/>
      <c r="H940" s="564"/>
      <c r="I940" s="564"/>
      <c r="J940" s="564"/>
      <c r="K940" s="564"/>
      <c r="L940" s="564"/>
      <c r="M940" s="564"/>
      <c r="N940" s="564"/>
      <c r="O940" s="564"/>
      <c r="P940" s="564"/>
      <c r="Q940" s="564"/>
      <c r="R940" s="564"/>
      <c r="S940" s="564"/>
      <c r="T940" s="564"/>
      <c r="U940" s="564"/>
      <c r="V940" s="564"/>
      <c r="W940" s="564"/>
      <c r="X940" s="564"/>
      <c r="Y940" s="564"/>
      <c r="Z940" s="564"/>
      <c r="AA940" s="564"/>
      <c r="AB940" s="556"/>
      <c r="AC940" s="556"/>
      <c r="AD940" s="556"/>
      <c r="AE940" s="556"/>
      <c r="AF940" s="556"/>
      <c r="AG940" s="556"/>
      <c r="AH940" s="556"/>
      <c r="AI940" s="556"/>
      <c r="AJ940" s="556"/>
      <c r="AK940" s="556"/>
      <c r="AL940" s="556"/>
      <c r="AM940" s="556"/>
      <c r="AN940" s="556"/>
      <c r="AO940" s="556"/>
      <c r="AP940" s="556"/>
      <c r="AQ940" s="556"/>
      <c r="AR940" s="556"/>
      <c r="AS940" s="565"/>
      <c r="AT940" s="556"/>
    </row>
    <row r="941" spans="1:46" hidden="1" x14ac:dyDescent="0.45">
      <c r="A941" s="556"/>
      <c r="B941" s="556"/>
      <c r="C941" s="556"/>
      <c r="D941" s="564"/>
      <c r="E941" s="556"/>
      <c r="F941" s="564"/>
      <c r="G941" s="564"/>
      <c r="H941" s="564"/>
      <c r="I941" s="564"/>
      <c r="J941" s="564"/>
      <c r="K941" s="564"/>
      <c r="L941" s="564"/>
      <c r="M941" s="564"/>
      <c r="N941" s="564"/>
      <c r="O941" s="564"/>
      <c r="P941" s="564"/>
      <c r="Q941" s="564"/>
      <c r="R941" s="564"/>
      <c r="S941" s="564"/>
      <c r="T941" s="564"/>
      <c r="U941" s="564"/>
      <c r="V941" s="564"/>
      <c r="W941" s="564"/>
      <c r="X941" s="564"/>
      <c r="Y941" s="564"/>
      <c r="Z941" s="564"/>
      <c r="AA941" s="564"/>
      <c r="AB941" s="556"/>
      <c r="AC941" s="556"/>
      <c r="AD941" s="556"/>
      <c r="AE941" s="556"/>
      <c r="AF941" s="556"/>
      <c r="AG941" s="556"/>
      <c r="AH941" s="556"/>
      <c r="AI941" s="556"/>
      <c r="AJ941" s="556"/>
      <c r="AK941" s="556"/>
      <c r="AL941" s="556"/>
      <c r="AM941" s="556"/>
      <c r="AN941" s="556"/>
      <c r="AO941" s="556"/>
      <c r="AP941" s="556"/>
      <c r="AQ941" s="556"/>
      <c r="AR941" s="556"/>
      <c r="AS941" s="565"/>
      <c r="AT941" s="556"/>
    </row>
    <row r="942" spans="1:46" hidden="1" x14ac:dyDescent="0.45">
      <c r="A942" s="556"/>
      <c r="B942" s="556"/>
      <c r="C942" s="556"/>
      <c r="D942" s="564"/>
      <c r="E942" s="556"/>
      <c r="F942" s="564"/>
      <c r="G942" s="564"/>
      <c r="H942" s="564"/>
      <c r="I942" s="564"/>
      <c r="J942" s="564"/>
      <c r="K942" s="564"/>
      <c r="L942" s="564"/>
      <c r="M942" s="564"/>
      <c r="N942" s="564"/>
      <c r="O942" s="564"/>
      <c r="P942" s="564"/>
      <c r="Q942" s="564"/>
      <c r="R942" s="564"/>
      <c r="S942" s="564"/>
      <c r="T942" s="564"/>
      <c r="U942" s="564"/>
      <c r="V942" s="564"/>
      <c r="W942" s="564"/>
      <c r="X942" s="564"/>
      <c r="Y942" s="564"/>
      <c r="Z942" s="564"/>
      <c r="AA942" s="564"/>
      <c r="AB942" s="556"/>
      <c r="AC942" s="556"/>
      <c r="AD942" s="556"/>
      <c r="AE942" s="556"/>
      <c r="AF942" s="556"/>
      <c r="AG942" s="556"/>
      <c r="AH942" s="556"/>
      <c r="AI942" s="556"/>
      <c r="AJ942" s="556"/>
      <c r="AK942" s="556"/>
      <c r="AL942" s="556"/>
      <c r="AM942" s="556"/>
      <c r="AN942" s="556"/>
      <c r="AO942" s="556"/>
      <c r="AP942" s="556"/>
      <c r="AQ942" s="556"/>
      <c r="AR942" s="556"/>
      <c r="AS942" s="565"/>
      <c r="AT942" s="556"/>
    </row>
    <row r="943" spans="1:46" hidden="1" x14ac:dyDescent="0.45">
      <c r="A943" s="556"/>
      <c r="B943" s="556"/>
      <c r="C943" s="556"/>
      <c r="D943" s="564"/>
      <c r="E943" s="556"/>
      <c r="F943" s="564"/>
      <c r="G943" s="564"/>
      <c r="H943" s="564"/>
      <c r="I943" s="564"/>
      <c r="J943" s="564"/>
      <c r="K943" s="564"/>
      <c r="L943" s="564"/>
      <c r="M943" s="564"/>
      <c r="N943" s="564"/>
      <c r="O943" s="564"/>
      <c r="P943" s="564"/>
      <c r="Q943" s="564"/>
      <c r="R943" s="564"/>
      <c r="S943" s="564"/>
      <c r="T943" s="564"/>
      <c r="U943" s="564"/>
      <c r="V943" s="564"/>
      <c r="W943" s="564"/>
      <c r="X943" s="564"/>
      <c r="Y943" s="564"/>
      <c r="Z943" s="564"/>
      <c r="AA943" s="564"/>
      <c r="AB943" s="556"/>
      <c r="AC943" s="556"/>
      <c r="AD943" s="556"/>
      <c r="AE943" s="556"/>
      <c r="AF943" s="556"/>
      <c r="AG943" s="556"/>
      <c r="AH943" s="556"/>
      <c r="AI943" s="556"/>
      <c r="AJ943" s="556"/>
      <c r="AK943" s="556"/>
      <c r="AL943" s="556"/>
      <c r="AM943" s="556"/>
      <c r="AN943" s="556"/>
      <c r="AO943" s="556"/>
      <c r="AP943" s="556"/>
      <c r="AQ943" s="556"/>
      <c r="AR943" s="556"/>
      <c r="AS943" s="565"/>
      <c r="AT943" s="556"/>
    </row>
    <row r="944" spans="1:46" hidden="1" x14ac:dyDescent="0.45">
      <c r="A944" s="556"/>
      <c r="B944" s="556"/>
      <c r="C944" s="556"/>
      <c r="D944" s="564"/>
      <c r="E944" s="556"/>
      <c r="F944" s="564"/>
      <c r="G944" s="564"/>
      <c r="H944" s="564"/>
      <c r="I944" s="564"/>
      <c r="J944" s="564"/>
      <c r="K944" s="564"/>
      <c r="L944" s="564"/>
      <c r="M944" s="564"/>
      <c r="N944" s="564"/>
      <c r="O944" s="564"/>
      <c r="P944" s="564"/>
      <c r="Q944" s="564"/>
      <c r="R944" s="564"/>
      <c r="S944" s="564"/>
      <c r="T944" s="564"/>
      <c r="U944" s="564"/>
      <c r="V944" s="564"/>
      <c r="W944" s="564"/>
      <c r="X944" s="564"/>
      <c r="Y944" s="564"/>
      <c r="Z944" s="564"/>
      <c r="AA944" s="564"/>
      <c r="AB944" s="556"/>
      <c r="AC944" s="556"/>
      <c r="AD944" s="556"/>
      <c r="AE944" s="556"/>
      <c r="AF944" s="556"/>
      <c r="AG944" s="556"/>
      <c r="AH944" s="556"/>
      <c r="AI944" s="556"/>
      <c r="AJ944" s="556"/>
      <c r="AK944" s="556"/>
      <c r="AL944" s="556"/>
      <c r="AM944" s="556"/>
      <c r="AN944" s="556"/>
      <c r="AO944" s="556"/>
      <c r="AP944" s="556"/>
      <c r="AQ944" s="556"/>
      <c r="AR944" s="556"/>
      <c r="AS944" s="565"/>
      <c r="AT944" s="556"/>
    </row>
    <row r="945" spans="1:46" hidden="1" x14ac:dyDescent="0.45">
      <c r="A945" s="556"/>
      <c r="B945" s="556"/>
      <c r="C945" s="556"/>
      <c r="D945" s="564"/>
      <c r="E945" s="556"/>
      <c r="F945" s="564"/>
      <c r="G945" s="564"/>
      <c r="H945" s="564"/>
      <c r="I945" s="564"/>
      <c r="J945" s="564"/>
      <c r="K945" s="564"/>
      <c r="L945" s="564"/>
      <c r="M945" s="564"/>
      <c r="N945" s="564"/>
      <c r="O945" s="564"/>
      <c r="P945" s="564"/>
      <c r="Q945" s="564"/>
      <c r="R945" s="564"/>
      <c r="S945" s="564"/>
      <c r="T945" s="564"/>
      <c r="U945" s="564"/>
      <c r="V945" s="564"/>
      <c r="W945" s="564"/>
      <c r="X945" s="564"/>
      <c r="Y945" s="564"/>
      <c r="Z945" s="564"/>
      <c r="AA945" s="564"/>
      <c r="AB945" s="556"/>
      <c r="AC945" s="556"/>
      <c r="AD945" s="556"/>
      <c r="AE945" s="556"/>
      <c r="AF945" s="556"/>
      <c r="AG945" s="556"/>
      <c r="AH945" s="556"/>
      <c r="AI945" s="556"/>
      <c r="AJ945" s="556"/>
      <c r="AK945" s="556"/>
      <c r="AL945" s="556"/>
      <c r="AM945" s="556"/>
      <c r="AN945" s="556"/>
      <c r="AO945" s="556"/>
      <c r="AP945" s="556"/>
      <c r="AQ945" s="556"/>
      <c r="AR945" s="556"/>
      <c r="AS945" s="565"/>
      <c r="AT945" s="556"/>
    </row>
    <row r="946" spans="1:46" hidden="1" x14ac:dyDescent="0.45">
      <c r="A946" s="556"/>
      <c r="B946" s="556"/>
      <c r="C946" s="556"/>
      <c r="D946" s="564"/>
      <c r="E946" s="556"/>
      <c r="F946" s="564"/>
      <c r="G946" s="564"/>
      <c r="H946" s="564"/>
      <c r="I946" s="564"/>
      <c r="J946" s="564"/>
      <c r="K946" s="564"/>
      <c r="L946" s="564"/>
      <c r="M946" s="564"/>
      <c r="N946" s="564"/>
      <c r="O946" s="564"/>
      <c r="P946" s="564"/>
      <c r="Q946" s="564"/>
      <c r="R946" s="564"/>
      <c r="S946" s="564"/>
      <c r="T946" s="564"/>
      <c r="U946" s="564"/>
      <c r="V946" s="564"/>
      <c r="W946" s="564"/>
      <c r="X946" s="564"/>
      <c r="Y946" s="564"/>
      <c r="Z946" s="564"/>
      <c r="AA946" s="564"/>
      <c r="AB946" s="556"/>
      <c r="AC946" s="556"/>
      <c r="AD946" s="556"/>
      <c r="AE946" s="556"/>
      <c r="AF946" s="556"/>
      <c r="AG946" s="556"/>
      <c r="AH946" s="556"/>
      <c r="AI946" s="556"/>
      <c r="AJ946" s="556"/>
      <c r="AK946" s="556"/>
      <c r="AL946" s="556"/>
      <c r="AM946" s="556"/>
      <c r="AN946" s="556"/>
      <c r="AO946" s="556"/>
      <c r="AP946" s="556"/>
      <c r="AQ946" s="556"/>
      <c r="AR946" s="556"/>
      <c r="AS946" s="565"/>
      <c r="AT946" s="556"/>
    </row>
    <row r="947" spans="1:46" hidden="1" x14ac:dyDescent="0.45">
      <c r="A947" s="556"/>
      <c r="B947" s="556"/>
      <c r="C947" s="556"/>
      <c r="D947" s="564"/>
      <c r="E947" s="556"/>
      <c r="F947" s="564"/>
      <c r="G947" s="564"/>
      <c r="H947" s="564"/>
      <c r="I947" s="564"/>
      <c r="J947" s="564"/>
      <c r="K947" s="564"/>
      <c r="L947" s="564"/>
      <c r="M947" s="564"/>
      <c r="N947" s="564"/>
      <c r="O947" s="564"/>
      <c r="P947" s="564"/>
      <c r="Q947" s="564"/>
      <c r="R947" s="564"/>
      <c r="S947" s="564"/>
      <c r="T947" s="564"/>
      <c r="U947" s="564"/>
      <c r="V947" s="564"/>
      <c r="W947" s="564"/>
      <c r="X947" s="564"/>
      <c r="Y947" s="564"/>
      <c r="Z947" s="564"/>
      <c r="AA947" s="564"/>
      <c r="AB947" s="556"/>
      <c r="AC947" s="556"/>
      <c r="AD947" s="556"/>
      <c r="AE947" s="556"/>
      <c r="AF947" s="556"/>
      <c r="AG947" s="556"/>
      <c r="AH947" s="556"/>
      <c r="AI947" s="556"/>
      <c r="AJ947" s="556"/>
      <c r="AK947" s="556"/>
      <c r="AL947" s="556"/>
      <c r="AM947" s="556"/>
      <c r="AN947" s="556"/>
      <c r="AO947" s="556"/>
      <c r="AP947" s="556"/>
      <c r="AQ947" s="556"/>
      <c r="AR947" s="556"/>
      <c r="AS947" s="565"/>
      <c r="AT947" s="556"/>
    </row>
    <row r="948" spans="1:46" hidden="1" x14ac:dyDescent="0.45">
      <c r="A948" s="556"/>
      <c r="B948" s="556"/>
      <c r="C948" s="556"/>
      <c r="D948" s="564"/>
      <c r="E948" s="556"/>
      <c r="F948" s="564"/>
      <c r="G948" s="564"/>
      <c r="H948" s="564"/>
      <c r="I948" s="564"/>
      <c r="J948" s="564"/>
      <c r="K948" s="564"/>
      <c r="L948" s="564"/>
      <c r="M948" s="564"/>
      <c r="N948" s="564"/>
      <c r="O948" s="564"/>
      <c r="P948" s="564"/>
      <c r="Q948" s="564"/>
      <c r="R948" s="564"/>
      <c r="S948" s="564"/>
      <c r="T948" s="564"/>
      <c r="U948" s="564"/>
      <c r="V948" s="564"/>
      <c r="W948" s="564"/>
      <c r="X948" s="564"/>
      <c r="Y948" s="564"/>
      <c r="Z948" s="564"/>
      <c r="AA948" s="564"/>
      <c r="AB948" s="556"/>
      <c r="AC948" s="556"/>
      <c r="AD948" s="556"/>
      <c r="AE948" s="556"/>
      <c r="AF948" s="556"/>
      <c r="AG948" s="556"/>
      <c r="AH948" s="556"/>
      <c r="AI948" s="556"/>
      <c r="AJ948" s="556"/>
      <c r="AK948" s="556"/>
      <c r="AL948" s="556"/>
      <c r="AM948" s="556"/>
      <c r="AN948" s="556"/>
      <c r="AO948" s="556"/>
      <c r="AP948" s="556"/>
      <c r="AQ948" s="556"/>
      <c r="AR948" s="556"/>
      <c r="AS948" s="565"/>
      <c r="AT948" s="556"/>
    </row>
    <row r="949" spans="1:46" hidden="1" x14ac:dyDescent="0.45">
      <c r="A949" s="556"/>
      <c r="B949" s="556"/>
      <c r="C949" s="556"/>
      <c r="D949" s="564"/>
      <c r="E949" s="556"/>
      <c r="F949" s="564"/>
      <c r="G949" s="564"/>
      <c r="H949" s="564"/>
      <c r="I949" s="564"/>
      <c r="J949" s="564"/>
      <c r="K949" s="564"/>
      <c r="L949" s="564"/>
      <c r="M949" s="564"/>
      <c r="N949" s="564"/>
      <c r="O949" s="564"/>
      <c r="P949" s="564"/>
      <c r="Q949" s="564"/>
      <c r="R949" s="564"/>
      <c r="S949" s="564"/>
      <c r="T949" s="564"/>
      <c r="U949" s="564"/>
      <c r="V949" s="564"/>
      <c r="W949" s="564"/>
      <c r="X949" s="564"/>
      <c r="Y949" s="564"/>
      <c r="Z949" s="564"/>
      <c r="AA949" s="564"/>
      <c r="AB949" s="556"/>
      <c r="AC949" s="556"/>
      <c r="AD949" s="556"/>
      <c r="AE949" s="556"/>
      <c r="AF949" s="556"/>
      <c r="AG949" s="556"/>
      <c r="AH949" s="556"/>
      <c r="AI949" s="556"/>
      <c r="AJ949" s="556"/>
      <c r="AK949" s="556"/>
      <c r="AL949" s="556"/>
      <c r="AM949" s="556"/>
      <c r="AN949" s="556"/>
      <c r="AO949" s="556"/>
      <c r="AP949" s="556"/>
      <c r="AQ949" s="556"/>
      <c r="AR949" s="556"/>
      <c r="AS949" s="565"/>
      <c r="AT949" s="556"/>
    </row>
    <row r="950" spans="1:46" hidden="1" x14ac:dyDescent="0.45">
      <c r="A950" s="556"/>
      <c r="B950" s="556"/>
      <c r="C950" s="556"/>
      <c r="D950" s="564"/>
      <c r="E950" s="556"/>
      <c r="F950" s="564"/>
      <c r="G950" s="564"/>
      <c r="H950" s="564"/>
      <c r="I950" s="564"/>
      <c r="J950" s="564"/>
      <c r="K950" s="564"/>
      <c r="L950" s="564"/>
      <c r="M950" s="564"/>
      <c r="N950" s="564"/>
      <c r="O950" s="564"/>
      <c r="P950" s="564"/>
      <c r="Q950" s="564"/>
      <c r="R950" s="564"/>
      <c r="S950" s="564"/>
      <c r="T950" s="564"/>
      <c r="U950" s="564"/>
      <c r="V950" s="564"/>
      <c r="W950" s="564"/>
      <c r="X950" s="564"/>
      <c r="Y950" s="564"/>
      <c r="Z950" s="564"/>
      <c r="AA950" s="564"/>
      <c r="AB950" s="556"/>
      <c r="AC950" s="556"/>
      <c r="AD950" s="556"/>
      <c r="AE950" s="556"/>
      <c r="AF950" s="556"/>
      <c r="AG950" s="556"/>
      <c r="AH950" s="556"/>
      <c r="AI950" s="556"/>
      <c r="AJ950" s="556"/>
      <c r="AK950" s="556"/>
      <c r="AL950" s="556"/>
      <c r="AM950" s="556"/>
      <c r="AN950" s="556"/>
      <c r="AO950" s="556"/>
      <c r="AP950" s="556"/>
      <c r="AQ950" s="556"/>
      <c r="AR950" s="556"/>
      <c r="AS950" s="565"/>
      <c r="AT950" s="556"/>
    </row>
    <row r="951" spans="1:46" hidden="1" x14ac:dyDescent="0.45">
      <c r="A951" s="556"/>
      <c r="B951" s="556"/>
      <c r="C951" s="556"/>
      <c r="D951" s="564"/>
      <c r="E951" s="556"/>
      <c r="F951" s="564"/>
      <c r="G951" s="564"/>
      <c r="H951" s="564"/>
      <c r="I951" s="564"/>
      <c r="J951" s="564"/>
      <c r="K951" s="564"/>
      <c r="L951" s="564"/>
      <c r="M951" s="564"/>
      <c r="N951" s="564"/>
      <c r="O951" s="564"/>
      <c r="P951" s="564"/>
      <c r="Q951" s="564"/>
      <c r="R951" s="564"/>
      <c r="S951" s="564"/>
      <c r="T951" s="564"/>
      <c r="U951" s="564"/>
      <c r="V951" s="564"/>
      <c r="W951" s="564"/>
      <c r="X951" s="564"/>
      <c r="Y951" s="564"/>
      <c r="Z951" s="564"/>
      <c r="AA951" s="564"/>
      <c r="AB951" s="556"/>
      <c r="AC951" s="556"/>
      <c r="AD951" s="556"/>
      <c r="AE951" s="556"/>
      <c r="AF951" s="556"/>
      <c r="AG951" s="556"/>
      <c r="AH951" s="556"/>
      <c r="AI951" s="556"/>
      <c r="AJ951" s="556"/>
      <c r="AK951" s="556"/>
      <c r="AL951" s="556"/>
      <c r="AM951" s="556"/>
      <c r="AN951" s="556"/>
      <c r="AO951" s="556"/>
      <c r="AP951" s="556"/>
      <c r="AQ951" s="556"/>
      <c r="AR951" s="556"/>
      <c r="AS951" s="565"/>
      <c r="AT951" s="556"/>
    </row>
    <row r="952" spans="1:46" hidden="1" x14ac:dyDescent="0.45">
      <c r="A952" s="556"/>
      <c r="B952" s="556"/>
      <c r="C952" s="556"/>
      <c r="D952" s="564"/>
      <c r="E952" s="556"/>
      <c r="F952" s="564"/>
      <c r="G952" s="564"/>
      <c r="H952" s="564"/>
      <c r="I952" s="564"/>
      <c r="J952" s="564"/>
      <c r="K952" s="564"/>
      <c r="L952" s="564"/>
      <c r="M952" s="564"/>
      <c r="N952" s="564"/>
      <c r="O952" s="564"/>
      <c r="P952" s="564"/>
      <c r="Q952" s="564"/>
      <c r="R952" s="564"/>
      <c r="S952" s="564"/>
      <c r="T952" s="564"/>
      <c r="U952" s="564"/>
      <c r="V952" s="564"/>
      <c r="W952" s="564"/>
      <c r="X952" s="564"/>
      <c r="Y952" s="564"/>
      <c r="Z952" s="564"/>
      <c r="AA952" s="564"/>
      <c r="AB952" s="556"/>
      <c r="AC952" s="556"/>
      <c r="AD952" s="556"/>
      <c r="AE952" s="556"/>
      <c r="AF952" s="556"/>
      <c r="AG952" s="556"/>
      <c r="AH952" s="556"/>
      <c r="AI952" s="556"/>
      <c r="AJ952" s="556"/>
      <c r="AK952" s="556"/>
      <c r="AL952" s="556"/>
      <c r="AM952" s="556"/>
      <c r="AN952" s="556"/>
      <c r="AO952" s="556"/>
      <c r="AP952" s="556"/>
      <c r="AQ952" s="556"/>
      <c r="AR952" s="556"/>
      <c r="AS952" s="565"/>
      <c r="AT952" s="556"/>
    </row>
    <row r="953" spans="1:46" hidden="1" x14ac:dyDescent="0.45">
      <c r="A953" s="556"/>
      <c r="B953" s="556"/>
      <c r="C953" s="556"/>
      <c r="D953" s="564"/>
      <c r="E953" s="556"/>
      <c r="F953" s="564"/>
      <c r="G953" s="564"/>
      <c r="H953" s="564"/>
      <c r="I953" s="564"/>
      <c r="J953" s="564"/>
      <c r="K953" s="564"/>
      <c r="L953" s="564"/>
      <c r="M953" s="564"/>
      <c r="N953" s="564"/>
      <c r="O953" s="564"/>
      <c r="P953" s="564"/>
      <c r="Q953" s="564"/>
      <c r="R953" s="564"/>
      <c r="S953" s="564"/>
      <c r="T953" s="564"/>
      <c r="U953" s="564"/>
      <c r="V953" s="564"/>
      <c r="W953" s="564"/>
      <c r="X953" s="564"/>
      <c r="Y953" s="564"/>
      <c r="Z953" s="564"/>
      <c r="AA953" s="564"/>
      <c r="AB953" s="556"/>
      <c r="AC953" s="556"/>
      <c r="AD953" s="556"/>
      <c r="AE953" s="556"/>
      <c r="AF953" s="556"/>
      <c r="AG953" s="556"/>
      <c r="AH953" s="556"/>
      <c r="AI953" s="556"/>
      <c r="AJ953" s="556"/>
      <c r="AK953" s="556"/>
      <c r="AL953" s="556"/>
      <c r="AM953" s="556"/>
      <c r="AN953" s="556"/>
      <c r="AO953" s="556"/>
      <c r="AP953" s="556"/>
      <c r="AQ953" s="556"/>
      <c r="AR953" s="556"/>
      <c r="AS953" s="565"/>
      <c r="AT953" s="556"/>
    </row>
    <row r="954" spans="1:46" hidden="1" x14ac:dyDescent="0.45">
      <c r="A954" s="556"/>
      <c r="B954" s="556"/>
      <c r="C954" s="556"/>
      <c r="D954" s="564"/>
      <c r="E954" s="556"/>
      <c r="F954" s="564"/>
      <c r="G954" s="564"/>
      <c r="H954" s="564"/>
      <c r="I954" s="564"/>
      <c r="J954" s="564"/>
      <c r="K954" s="564"/>
      <c r="L954" s="564"/>
      <c r="M954" s="564"/>
      <c r="N954" s="564"/>
      <c r="O954" s="564"/>
      <c r="P954" s="564"/>
      <c r="Q954" s="564"/>
      <c r="R954" s="564"/>
      <c r="S954" s="564"/>
      <c r="T954" s="564"/>
      <c r="U954" s="564"/>
      <c r="V954" s="564"/>
      <c r="W954" s="564"/>
      <c r="X954" s="564"/>
      <c r="Y954" s="564"/>
      <c r="Z954" s="564"/>
      <c r="AA954" s="564"/>
      <c r="AB954" s="556"/>
      <c r="AC954" s="556"/>
      <c r="AD954" s="556"/>
      <c r="AE954" s="556"/>
      <c r="AF954" s="556"/>
      <c r="AG954" s="556"/>
      <c r="AH954" s="556"/>
      <c r="AI954" s="556"/>
      <c r="AJ954" s="556"/>
      <c r="AK954" s="556"/>
      <c r="AL954" s="556"/>
      <c r="AM954" s="556"/>
      <c r="AN954" s="556"/>
      <c r="AO954" s="556"/>
      <c r="AP954" s="556"/>
      <c r="AQ954" s="556"/>
      <c r="AR954" s="556"/>
      <c r="AS954" s="565"/>
      <c r="AT954" s="556"/>
    </row>
    <row r="955" spans="1:46" hidden="1" x14ac:dyDescent="0.45">
      <c r="A955" s="556"/>
      <c r="B955" s="556"/>
      <c r="C955" s="556"/>
      <c r="D955" s="564"/>
      <c r="E955" s="556"/>
      <c r="F955" s="564"/>
      <c r="G955" s="564"/>
      <c r="H955" s="564"/>
      <c r="I955" s="564"/>
      <c r="J955" s="564"/>
      <c r="K955" s="564"/>
      <c r="L955" s="564"/>
      <c r="M955" s="564"/>
      <c r="N955" s="564"/>
      <c r="O955" s="564"/>
      <c r="P955" s="564"/>
      <c r="Q955" s="564"/>
      <c r="R955" s="564"/>
      <c r="S955" s="564"/>
      <c r="T955" s="564"/>
      <c r="U955" s="564"/>
      <c r="V955" s="564"/>
      <c r="W955" s="564"/>
      <c r="X955" s="564"/>
      <c r="Y955" s="564"/>
      <c r="Z955" s="564"/>
      <c r="AA955" s="564"/>
      <c r="AB955" s="556"/>
      <c r="AC955" s="556"/>
      <c r="AD955" s="556"/>
      <c r="AE955" s="556"/>
      <c r="AF955" s="556"/>
      <c r="AG955" s="556"/>
      <c r="AH955" s="556"/>
      <c r="AI955" s="556"/>
      <c r="AJ955" s="556"/>
      <c r="AK955" s="556"/>
      <c r="AL955" s="556"/>
      <c r="AM955" s="556"/>
      <c r="AN955" s="556"/>
      <c r="AO955" s="556"/>
      <c r="AP955" s="556"/>
      <c r="AQ955" s="556"/>
      <c r="AR955" s="556"/>
      <c r="AS955" s="565"/>
      <c r="AT955" s="556"/>
    </row>
    <row r="956" spans="1:46" hidden="1" x14ac:dyDescent="0.45">
      <c r="A956" s="556"/>
      <c r="B956" s="556"/>
      <c r="C956" s="556"/>
      <c r="D956" s="564"/>
      <c r="E956" s="556"/>
      <c r="F956" s="564"/>
      <c r="G956" s="564"/>
      <c r="H956" s="564"/>
      <c r="I956" s="564"/>
      <c r="J956" s="564"/>
      <c r="K956" s="564"/>
      <c r="L956" s="564"/>
      <c r="M956" s="564"/>
      <c r="N956" s="564"/>
      <c r="O956" s="564"/>
      <c r="P956" s="564"/>
      <c r="Q956" s="564"/>
      <c r="R956" s="564"/>
      <c r="S956" s="564"/>
      <c r="T956" s="564"/>
      <c r="U956" s="564"/>
      <c r="V956" s="564"/>
      <c r="W956" s="564"/>
      <c r="X956" s="564"/>
      <c r="Y956" s="564"/>
      <c r="Z956" s="564"/>
      <c r="AA956" s="564"/>
      <c r="AB956" s="556"/>
      <c r="AC956" s="556"/>
      <c r="AD956" s="556"/>
      <c r="AE956" s="556"/>
      <c r="AF956" s="556"/>
      <c r="AG956" s="556"/>
      <c r="AH956" s="556"/>
      <c r="AI956" s="556"/>
      <c r="AJ956" s="556"/>
      <c r="AK956" s="556"/>
      <c r="AL956" s="556"/>
      <c r="AM956" s="556"/>
      <c r="AN956" s="556"/>
      <c r="AO956" s="556"/>
      <c r="AP956" s="556"/>
      <c r="AQ956" s="556"/>
      <c r="AR956" s="556"/>
      <c r="AS956" s="565"/>
      <c r="AT956" s="556"/>
    </row>
    <row r="957" spans="1:46" hidden="1" x14ac:dyDescent="0.45">
      <c r="A957" s="556"/>
      <c r="B957" s="556"/>
      <c r="C957" s="556"/>
      <c r="D957" s="564"/>
      <c r="E957" s="556"/>
      <c r="F957" s="564"/>
      <c r="G957" s="564"/>
      <c r="H957" s="564"/>
      <c r="I957" s="564"/>
      <c r="J957" s="564"/>
      <c r="K957" s="564"/>
      <c r="L957" s="564"/>
      <c r="M957" s="564"/>
      <c r="N957" s="564"/>
      <c r="O957" s="564"/>
      <c r="P957" s="564"/>
      <c r="Q957" s="564"/>
      <c r="R957" s="564"/>
      <c r="S957" s="564"/>
      <c r="T957" s="564"/>
      <c r="U957" s="564"/>
      <c r="V957" s="564"/>
      <c r="W957" s="564"/>
      <c r="X957" s="564"/>
      <c r="Y957" s="564"/>
      <c r="Z957" s="564"/>
      <c r="AA957" s="564"/>
      <c r="AB957" s="556"/>
      <c r="AC957" s="556"/>
      <c r="AD957" s="556"/>
      <c r="AE957" s="556"/>
      <c r="AF957" s="556"/>
      <c r="AG957" s="556"/>
      <c r="AH957" s="556"/>
      <c r="AI957" s="556"/>
      <c r="AJ957" s="556"/>
      <c r="AK957" s="556"/>
      <c r="AL957" s="556"/>
      <c r="AM957" s="556"/>
      <c r="AN957" s="556"/>
      <c r="AO957" s="556"/>
      <c r="AP957" s="556"/>
      <c r="AQ957" s="556"/>
      <c r="AR957" s="556"/>
      <c r="AS957" s="565"/>
      <c r="AT957" s="556"/>
    </row>
    <row r="958" spans="1:46" hidden="1" x14ac:dyDescent="0.45">
      <c r="A958" s="556"/>
      <c r="B958" s="556"/>
      <c r="C958" s="556"/>
      <c r="D958" s="564"/>
      <c r="E958" s="556"/>
      <c r="F958" s="564"/>
      <c r="G958" s="564"/>
      <c r="H958" s="564"/>
      <c r="I958" s="564"/>
      <c r="J958" s="564"/>
      <c r="K958" s="564"/>
      <c r="L958" s="564"/>
      <c r="M958" s="564"/>
      <c r="N958" s="564"/>
      <c r="O958" s="564"/>
      <c r="P958" s="564"/>
      <c r="Q958" s="564"/>
      <c r="R958" s="564"/>
      <c r="S958" s="564"/>
      <c r="T958" s="564"/>
      <c r="U958" s="564"/>
      <c r="V958" s="564"/>
      <c r="W958" s="564"/>
      <c r="X958" s="564"/>
      <c r="Y958" s="564"/>
      <c r="Z958" s="564"/>
      <c r="AA958" s="564"/>
      <c r="AB958" s="556"/>
      <c r="AC958" s="556"/>
      <c r="AD958" s="556"/>
      <c r="AE958" s="556"/>
      <c r="AF958" s="556"/>
      <c r="AG958" s="556"/>
      <c r="AH958" s="556"/>
      <c r="AI958" s="556"/>
      <c r="AJ958" s="556"/>
      <c r="AK958" s="556"/>
      <c r="AL958" s="556"/>
      <c r="AM958" s="556"/>
      <c r="AN958" s="556"/>
      <c r="AO958" s="556"/>
      <c r="AP958" s="556"/>
      <c r="AQ958" s="556"/>
      <c r="AR958" s="556"/>
      <c r="AS958" s="565"/>
      <c r="AT958" s="556"/>
    </row>
    <row r="959" spans="1:46" hidden="1" x14ac:dyDescent="0.45">
      <c r="A959" s="556"/>
      <c r="B959" s="556"/>
      <c r="C959" s="556"/>
      <c r="D959" s="564"/>
      <c r="E959" s="556"/>
      <c r="F959" s="564"/>
      <c r="G959" s="564"/>
      <c r="H959" s="564"/>
      <c r="I959" s="564"/>
      <c r="J959" s="564"/>
      <c r="K959" s="564"/>
      <c r="L959" s="564"/>
      <c r="M959" s="564"/>
      <c r="N959" s="564"/>
      <c r="O959" s="564"/>
      <c r="P959" s="564"/>
      <c r="Q959" s="564"/>
      <c r="R959" s="564"/>
      <c r="S959" s="564"/>
      <c r="T959" s="564"/>
      <c r="U959" s="564"/>
      <c r="V959" s="564"/>
      <c r="W959" s="564"/>
      <c r="X959" s="564"/>
      <c r="Y959" s="564"/>
      <c r="Z959" s="564"/>
      <c r="AA959" s="564"/>
      <c r="AB959" s="556"/>
      <c r="AC959" s="556"/>
      <c r="AD959" s="556"/>
      <c r="AE959" s="556"/>
      <c r="AF959" s="556"/>
      <c r="AG959" s="556"/>
      <c r="AH959" s="556"/>
      <c r="AI959" s="556"/>
      <c r="AJ959" s="556"/>
      <c r="AK959" s="556"/>
      <c r="AL959" s="556"/>
      <c r="AM959" s="556"/>
      <c r="AN959" s="556"/>
      <c r="AO959" s="556"/>
      <c r="AP959" s="556"/>
      <c r="AQ959" s="556"/>
      <c r="AR959" s="556"/>
      <c r="AS959" s="565"/>
      <c r="AT959" s="556"/>
    </row>
    <row r="960" spans="1:46" hidden="1" x14ac:dyDescent="0.45">
      <c r="A960" s="556"/>
      <c r="B960" s="556"/>
      <c r="C960" s="556"/>
      <c r="D960" s="564"/>
      <c r="E960" s="556"/>
      <c r="F960" s="564"/>
      <c r="G960" s="564"/>
      <c r="H960" s="564"/>
      <c r="I960" s="564"/>
      <c r="J960" s="564"/>
      <c r="K960" s="564"/>
      <c r="L960" s="564"/>
      <c r="M960" s="564"/>
      <c r="N960" s="564"/>
      <c r="O960" s="564"/>
      <c r="P960" s="564"/>
      <c r="Q960" s="564"/>
      <c r="R960" s="564"/>
      <c r="S960" s="564"/>
      <c r="T960" s="564"/>
      <c r="U960" s="564"/>
      <c r="V960" s="564"/>
      <c r="W960" s="564"/>
      <c r="X960" s="564"/>
      <c r="Y960" s="564"/>
      <c r="Z960" s="564"/>
      <c r="AA960" s="564"/>
      <c r="AB960" s="556"/>
      <c r="AC960" s="556"/>
      <c r="AD960" s="556"/>
      <c r="AE960" s="556"/>
      <c r="AF960" s="556"/>
      <c r="AG960" s="556"/>
      <c r="AH960" s="556"/>
      <c r="AI960" s="556"/>
      <c r="AJ960" s="556"/>
      <c r="AK960" s="556"/>
      <c r="AL960" s="556"/>
      <c r="AM960" s="556"/>
      <c r="AN960" s="556"/>
      <c r="AO960" s="556"/>
      <c r="AP960" s="556"/>
      <c r="AQ960" s="556"/>
      <c r="AR960" s="556"/>
      <c r="AS960" s="565"/>
      <c r="AT960" s="556"/>
    </row>
    <row r="961" spans="1:46" hidden="1" x14ac:dyDescent="0.45">
      <c r="A961" s="556"/>
      <c r="B961" s="556"/>
      <c r="C961" s="556"/>
      <c r="D961" s="564"/>
      <c r="E961" s="556"/>
      <c r="F961" s="564"/>
      <c r="G961" s="564"/>
      <c r="H961" s="564"/>
      <c r="I961" s="564"/>
      <c r="J961" s="564"/>
      <c r="K961" s="564"/>
      <c r="L961" s="564"/>
      <c r="M961" s="564"/>
      <c r="N961" s="564"/>
      <c r="O961" s="564"/>
      <c r="P961" s="564"/>
      <c r="Q961" s="564"/>
      <c r="R961" s="564"/>
      <c r="S961" s="564"/>
      <c r="T961" s="564"/>
      <c r="U961" s="564"/>
      <c r="V961" s="564"/>
      <c r="W961" s="564"/>
      <c r="X961" s="564"/>
      <c r="Y961" s="564"/>
      <c r="Z961" s="564"/>
      <c r="AA961" s="564"/>
      <c r="AB961" s="556"/>
      <c r="AC961" s="556"/>
      <c r="AD961" s="556"/>
      <c r="AE961" s="556"/>
      <c r="AF961" s="556"/>
      <c r="AG961" s="556"/>
      <c r="AH961" s="556"/>
      <c r="AI961" s="556"/>
      <c r="AJ961" s="556"/>
      <c r="AK961" s="556"/>
      <c r="AL961" s="556"/>
      <c r="AM961" s="556"/>
      <c r="AN961" s="556"/>
      <c r="AO961" s="556"/>
      <c r="AP961" s="556"/>
      <c r="AQ961" s="556"/>
      <c r="AR961" s="556"/>
      <c r="AS961" s="565"/>
      <c r="AT961" s="556"/>
    </row>
    <row r="962" spans="1:46" hidden="1" x14ac:dyDescent="0.45">
      <c r="A962" s="556"/>
      <c r="B962" s="556"/>
      <c r="C962" s="556"/>
      <c r="D962" s="564"/>
      <c r="E962" s="556"/>
      <c r="F962" s="564"/>
      <c r="G962" s="564"/>
      <c r="H962" s="564"/>
      <c r="I962" s="564"/>
      <c r="J962" s="564"/>
      <c r="K962" s="564"/>
      <c r="L962" s="564"/>
      <c r="M962" s="564"/>
      <c r="N962" s="564"/>
      <c r="O962" s="564"/>
      <c r="P962" s="564"/>
      <c r="Q962" s="564"/>
      <c r="R962" s="564"/>
      <c r="S962" s="564"/>
      <c r="T962" s="564"/>
      <c r="U962" s="564"/>
      <c r="V962" s="564"/>
      <c r="W962" s="564"/>
      <c r="X962" s="564"/>
      <c r="Y962" s="564"/>
      <c r="Z962" s="564"/>
      <c r="AA962" s="564"/>
      <c r="AB962" s="556"/>
      <c r="AC962" s="556"/>
      <c r="AD962" s="556"/>
      <c r="AE962" s="556"/>
      <c r="AF962" s="556"/>
      <c r="AG962" s="556"/>
      <c r="AH962" s="556"/>
      <c r="AI962" s="556"/>
      <c r="AJ962" s="556"/>
      <c r="AK962" s="556"/>
      <c r="AL962" s="556"/>
      <c r="AM962" s="556"/>
      <c r="AN962" s="556"/>
      <c r="AO962" s="556"/>
      <c r="AP962" s="556"/>
      <c r="AQ962" s="556"/>
      <c r="AR962" s="556"/>
      <c r="AS962" s="565"/>
      <c r="AT962" s="556"/>
    </row>
    <row r="963" spans="1:46" hidden="1" x14ac:dyDescent="0.45">
      <c r="A963" s="556"/>
      <c r="B963" s="556"/>
      <c r="C963" s="556"/>
      <c r="D963" s="564"/>
      <c r="E963" s="556"/>
      <c r="F963" s="564"/>
      <c r="G963" s="564"/>
      <c r="H963" s="564"/>
      <c r="I963" s="564"/>
      <c r="J963" s="564"/>
      <c r="K963" s="564"/>
      <c r="L963" s="564"/>
      <c r="M963" s="564"/>
      <c r="N963" s="564"/>
      <c r="O963" s="564"/>
      <c r="P963" s="564"/>
      <c r="Q963" s="564"/>
      <c r="R963" s="564"/>
      <c r="S963" s="564"/>
      <c r="T963" s="564"/>
      <c r="U963" s="564"/>
      <c r="V963" s="564"/>
      <c r="W963" s="564"/>
      <c r="X963" s="564"/>
      <c r="Y963" s="564"/>
      <c r="Z963" s="564"/>
      <c r="AA963" s="564"/>
      <c r="AB963" s="556"/>
      <c r="AC963" s="556"/>
      <c r="AD963" s="556"/>
      <c r="AE963" s="556"/>
      <c r="AF963" s="556"/>
      <c r="AG963" s="556"/>
      <c r="AH963" s="556"/>
      <c r="AI963" s="556"/>
      <c r="AJ963" s="556"/>
      <c r="AK963" s="556"/>
      <c r="AL963" s="556"/>
      <c r="AM963" s="556"/>
      <c r="AN963" s="556"/>
      <c r="AO963" s="556"/>
      <c r="AP963" s="556"/>
      <c r="AQ963" s="556"/>
      <c r="AR963" s="556"/>
      <c r="AS963" s="565"/>
      <c r="AT963" s="556"/>
    </row>
    <row r="964" spans="1:46" hidden="1" x14ac:dyDescent="0.45">
      <c r="A964" s="556"/>
      <c r="B964" s="556"/>
      <c r="C964" s="556"/>
      <c r="D964" s="564"/>
      <c r="E964" s="556"/>
      <c r="F964" s="564"/>
      <c r="G964" s="564"/>
      <c r="H964" s="564"/>
      <c r="I964" s="564"/>
      <c r="J964" s="564"/>
      <c r="K964" s="564"/>
      <c r="L964" s="564"/>
      <c r="M964" s="564"/>
      <c r="N964" s="564"/>
      <c r="O964" s="564"/>
      <c r="P964" s="564"/>
      <c r="Q964" s="564"/>
      <c r="R964" s="564"/>
      <c r="S964" s="564"/>
      <c r="T964" s="564"/>
      <c r="U964" s="564"/>
      <c r="V964" s="564"/>
      <c r="W964" s="564"/>
      <c r="X964" s="564"/>
      <c r="Y964" s="564"/>
      <c r="Z964" s="564"/>
      <c r="AA964" s="564"/>
      <c r="AB964" s="556"/>
      <c r="AC964" s="556"/>
      <c r="AD964" s="556"/>
      <c r="AE964" s="556"/>
      <c r="AF964" s="556"/>
      <c r="AG964" s="556"/>
      <c r="AH964" s="556"/>
      <c r="AI964" s="556"/>
      <c r="AJ964" s="556"/>
      <c r="AK964" s="556"/>
      <c r="AL964" s="556"/>
      <c r="AM964" s="556"/>
      <c r="AN964" s="556"/>
      <c r="AO964" s="556"/>
      <c r="AP964" s="556"/>
      <c r="AQ964" s="556"/>
      <c r="AR964" s="556"/>
      <c r="AS964" s="565"/>
      <c r="AT964" s="556"/>
    </row>
    <row r="965" spans="1:46" hidden="1" x14ac:dyDescent="0.45">
      <c r="A965" s="556"/>
      <c r="B965" s="556"/>
      <c r="C965" s="556"/>
      <c r="D965" s="564"/>
      <c r="E965" s="556"/>
      <c r="F965" s="564"/>
      <c r="G965" s="564"/>
      <c r="H965" s="564"/>
      <c r="I965" s="564"/>
      <c r="J965" s="564"/>
      <c r="K965" s="564"/>
      <c r="L965" s="564"/>
      <c r="M965" s="564"/>
      <c r="N965" s="564"/>
      <c r="O965" s="564"/>
      <c r="P965" s="564"/>
      <c r="Q965" s="564"/>
      <c r="R965" s="564"/>
      <c r="S965" s="564"/>
      <c r="T965" s="564"/>
      <c r="U965" s="564"/>
      <c r="V965" s="564"/>
      <c r="W965" s="564"/>
      <c r="X965" s="564"/>
      <c r="Y965" s="564"/>
      <c r="Z965" s="564"/>
      <c r="AA965" s="564"/>
      <c r="AB965" s="556"/>
      <c r="AC965" s="556"/>
      <c r="AD965" s="556"/>
      <c r="AE965" s="556"/>
      <c r="AF965" s="556"/>
      <c r="AG965" s="556"/>
      <c r="AH965" s="556"/>
      <c r="AI965" s="556"/>
      <c r="AJ965" s="556"/>
      <c r="AK965" s="556"/>
      <c r="AL965" s="556"/>
      <c r="AM965" s="556"/>
      <c r="AN965" s="556"/>
      <c r="AO965" s="556"/>
      <c r="AP965" s="556"/>
      <c r="AQ965" s="556"/>
      <c r="AR965" s="556"/>
      <c r="AS965" s="565"/>
      <c r="AT965" s="556"/>
    </row>
    <row r="966" spans="1:46" hidden="1" x14ac:dyDescent="0.45">
      <c r="A966" s="556"/>
      <c r="B966" s="556"/>
      <c r="C966" s="556"/>
      <c r="D966" s="564"/>
      <c r="E966" s="556"/>
      <c r="F966" s="564"/>
      <c r="G966" s="564"/>
      <c r="H966" s="564"/>
      <c r="I966" s="564"/>
      <c r="J966" s="564"/>
      <c r="K966" s="564"/>
      <c r="L966" s="564"/>
      <c r="M966" s="564"/>
      <c r="N966" s="564"/>
      <c r="O966" s="564"/>
      <c r="P966" s="564"/>
      <c r="Q966" s="564"/>
      <c r="R966" s="564"/>
      <c r="S966" s="564"/>
      <c r="T966" s="564"/>
      <c r="U966" s="564"/>
      <c r="V966" s="564"/>
      <c r="W966" s="564"/>
      <c r="X966" s="564"/>
      <c r="Y966" s="564"/>
      <c r="Z966" s="564"/>
      <c r="AA966" s="564"/>
      <c r="AB966" s="556"/>
      <c r="AC966" s="556"/>
      <c r="AD966" s="556"/>
      <c r="AE966" s="556"/>
      <c r="AF966" s="556"/>
      <c r="AG966" s="556"/>
      <c r="AH966" s="556"/>
      <c r="AI966" s="556"/>
      <c r="AJ966" s="556"/>
      <c r="AK966" s="556"/>
      <c r="AL966" s="556"/>
      <c r="AM966" s="556"/>
      <c r="AN966" s="556"/>
      <c r="AO966" s="556"/>
      <c r="AP966" s="556"/>
      <c r="AQ966" s="556"/>
      <c r="AR966" s="556"/>
      <c r="AS966" s="565"/>
      <c r="AT966" s="556"/>
    </row>
    <row r="967" spans="1:46" hidden="1" x14ac:dyDescent="0.45">
      <c r="A967" s="556"/>
      <c r="B967" s="556"/>
      <c r="C967" s="556"/>
      <c r="D967" s="564"/>
      <c r="E967" s="556"/>
      <c r="F967" s="564"/>
      <c r="G967" s="564"/>
      <c r="H967" s="564"/>
      <c r="I967" s="564"/>
      <c r="J967" s="564"/>
      <c r="K967" s="564"/>
      <c r="L967" s="564"/>
      <c r="M967" s="564"/>
      <c r="N967" s="564"/>
      <c r="O967" s="564"/>
      <c r="P967" s="564"/>
      <c r="Q967" s="564"/>
      <c r="R967" s="564"/>
      <c r="S967" s="564"/>
      <c r="T967" s="564"/>
      <c r="U967" s="564"/>
      <c r="V967" s="564"/>
      <c r="W967" s="564"/>
      <c r="X967" s="564"/>
      <c r="Y967" s="564"/>
      <c r="Z967" s="564"/>
      <c r="AA967" s="564"/>
      <c r="AB967" s="556"/>
      <c r="AC967" s="556"/>
      <c r="AD967" s="556"/>
      <c r="AE967" s="556"/>
      <c r="AF967" s="556"/>
      <c r="AG967" s="556"/>
      <c r="AH967" s="556"/>
      <c r="AI967" s="556"/>
      <c r="AJ967" s="556"/>
      <c r="AK967" s="556"/>
      <c r="AL967" s="556"/>
      <c r="AM967" s="556"/>
      <c r="AN967" s="556"/>
      <c r="AO967" s="556"/>
      <c r="AP967" s="556"/>
      <c r="AQ967" s="556"/>
      <c r="AR967" s="556"/>
      <c r="AS967" s="565"/>
      <c r="AT967" s="556"/>
    </row>
    <row r="968" spans="1:46" hidden="1" x14ac:dyDescent="0.45">
      <c r="A968" s="556"/>
      <c r="B968" s="556"/>
      <c r="C968" s="556"/>
      <c r="D968" s="564"/>
      <c r="E968" s="556"/>
      <c r="F968" s="564"/>
      <c r="G968" s="564"/>
      <c r="H968" s="564"/>
      <c r="I968" s="564"/>
      <c r="J968" s="564"/>
      <c r="K968" s="564"/>
      <c r="L968" s="564"/>
      <c r="M968" s="564"/>
      <c r="N968" s="564"/>
      <c r="O968" s="564"/>
      <c r="P968" s="564"/>
      <c r="Q968" s="564"/>
      <c r="R968" s="564"/>
      <c r="S968" s="564"/>
      <c r="T968" s="564"/>
      <c r="U968" s="564"/>
      <c r="V968" s="564"/>
      <c r="W968" s="564"/>
      <c r="X968" s="564"/>
      <c r="Y968" s="564"/>
      <c r="Z968" s="564"/>
      <c r="AA968" s="564"/>
      <c r="AB968" s="556"/>
      <c r="AC968" s="556"/>
      <c r="AD968" s="556"/>
      <c r="AE968" s="556"/>
      <c r="AF968" s="556"/>
      <c r="AG968" s="556"/>
      <c r="AH968" s="556"/>
      <c r="AI968" s="556"/>
      <c r="AJ968" s="556"/>
      <c r="AK968" s="556"/>
      <c r="AL968" s="556"/>
      <c r="AM968" s="556"/>
      <c r="AN968" s="556"/>
      <c r="AO968" s="556"/>
      <c r="AP968" s="556"/>
      <c r="AQ968" s="556"/>
      <c r="AR968" s="556"/>
      <c r="AS968" s="565"/>
      <c r="AT968" s="556"/>
    </row>
    <row r="969" spans="1:46" hidden="1" x14ac:dyDescent="0.45">
      <c r="A969" s="556"/>
      <c r="B969" s="556"/>
      <c r="C969" s="556"/>
      <c r="D969" s="564"/>
      <c r="E969" s="556"/>
      <c r="F969" s="564"/>
      <c r="G969" s="564"/>
      <c r="H969" s="564"/>
      <c r="I969" s="564"/>
      <c r="J969" s="564"/>
      <c r="K969" s="564"/>
      <c r="L969" s="564"/>
      <c r="M969" s="564"/>
      <c r="N969" s="564"/>
      <c r="O969" s="564"/>
      <c r="P969" s="564"/>
      <c r="Q969" s="564"/>
      <c r="R969" s="564"/>
      <c r="S969" s="564"/>
      <c r="T969" s="564"/>
      <c r="U969" s="564"/>
      <c r="V969" s="564"/>
      <c r="W969" s="564"/>
      <c r="X969" s="564"/>
      <c r="Y969" s="564"/>
      <c r="Z969" s="564"/>
      <c r="AA969" s="564"/>
      <c r="AB969" s="556"/>
      <c r="AC969" s="556"/>
      <c r="AD969" s="556"/>
      <c r="AE969" s="556"/>
      <c r="AF969" s="556"/>
      <c r="AG969" s="556"/>
      <c r="AH969" s="556"/>
      <c r="AI969" s="556"/>
      <c r="AJ969" s="556"/>
      <c r="AK969" s="556"/>
      <c r="AL969" s="556"/>
      <c r="AM969" s="556"/>
      <c r="AN969" s="556"/>
      <c r="AO969" s="556"/>
      <c r="AP969" s="556"/>
      <c r="AQ969" s="556"/>
      <c r="AR969" s="556"/>
      <c r="AS969" s="565"/>
      <c r="AT969" s="556"/>
    </row>
    <row r="970" spans="1:46" hidden="1" x14ac:dyDescent="0.45">
      <c r="A970" s="556"/>
      <c r="B970" s="556"/>
      <c r="C970" s="556"/>
      <c r="D970" s="564"/>
      <c r="E970" s="556"/>
      <c r="F970" s="564"/>
      <c r="G970" s="564"/>
      <c r="H970" s="564"/>
      <c r="I970" s="564"/>
      <c r="J970" s="564"/>
      <c r="K970" s="564"/>
      <c r="L970" s="564"/>
      <c r="M970" s="564"/>
      <c r="N970" s="564"/>
      <c r="O970" s="564"/>
      <c r="P970" s="564"/>
      <c r="Q970" s="564"/>
      <c r="R970" s="564"/>
      <c r="S970" s="564"/>
      <c r="T970" s="564"/>
      <c r="U970" s="564"/>
      <c r="V970" s="564"/>
      <c r="W970" s="564"/>
      <c r="X970" s="564"/>
      <c r="Y970" s="564"/>
      <c r="Z970" s="564"/>
      <c r="AA970" s="564"/>
      <c r="AB970" s="556"/>
      <c r="AC970" s="556"/>
      <c r="AD970" s="556"/>
      <c r="AE970" s="556"/>
      <c r="AF970" s="556"/>
      <c r="AG970" s="556"/>
      <c r="AH970" s="556"/>
      <c r="AI970" s="556"/>
      <c r="AJ970" s="556"/>
      <c r="AK970" s="556"/>
      <c r="AL970" s="556"/>
      <c r="AM970" s="556"/>
      <c r="AN970" s="556"/>
      <c r="AO970" s="556"/>
      <c r="AP970" s="556"/>
      <c r="AQ970" s="556"/>
      <c r="AR970" s="556"/>
      <c r="AS970" s="565"/>
      <c r="AT970" s="556"/>
    </row>
    <row r="971" spans="1:46" hidden="1" x14ac:dyDescent="0.45">
      <c r="A971" s="556"/>
      <c r="B971" s="556"/>
      <c r="C971" s="556"/>
      <c r="D971" s="564"/>
      <c r="E971" s="556"/>
      <c r="F971" s="564"/>
      <c r="G971" s="564"/>
      <c r="H971" s="564"/>
      <c r="I971" s="564"/>
      <c r="J971" s="564"/>
      <c r="K971" s="564"/>
      <c r="L971" s="564"/>
      <c r="M971" s="564"/>
      <c r="N971" s="564"/>
      <c r="O971" s="564"/>
      <c r="P971" s="564"/>
      <c r="Q971" s="564"/>
      <c r="R971" s="564"/>
      <c r="S971" s="564"/>
      <c r="T971" s="564"/>
      <c r="U971" s="564"/>
      <c r="V971" s="564"/>
      <c r="W971" s="564"/>
      <c r="X971" s="564"/>
      <c r="Y971" s="564"/>
      <c r="Z971" s="564"/>
      <c r="AA971" s="564"/>
      <c r="AB971" s="556"/>
      <c r="AC971" s="556"/>
      <c r="AD971" s="556"/>
      <c r="AE971" s="556"/>
      <c r="AF971" s="556"/>
      <c r="AG971" s="556"/>
      <c r="AH971" s="556"/>
      <c r="AI971" s="556"/>
      <c r="AJ971" s="556"/>
      <c r="AK971" s="556"/>
      <c r="AL971" s="556"/>
      <c r="AM971" s="556"/>
      <c r="AN971" s="556"/>
      <c r="AO971" s="556"/>
      <c r="AP971" s="556"/>
      <c r="AQ971" s="556"/>
      <c r="AR971" s="556"/>
      <c r="AS971" s="565"/>
      <c r="AT971" s="556"/>
    </row>
    <row r="972" spans="1:46" hidden="1" x14ac:dyDescent="0.45">
      <c r="A972" s="556"/>
      <c r="B972" s="556"/>
      <c r="C972" s="556"/>
      <c r="D972" s="564"/>
      <c r="E972" s="556"/>
      <c r="F972" s="564"/>
      <c r="G972" s="564"/>
      <c r="H972" s="564"/>
      <c r="I972" s="564"/>
      <c r="J972" s="564"/>
      <c r="K972" s="564"/>
      <c r="L972" s="564"/>
      <c r="M972" s="564"/>
      <c r="N972" s="564"/>
      <c r="O972" s="564"/>
      <c r="P972" s="564"/>
      <c r="Q972" s="564"/>
      <c r="R972" s="564"/>
      <c r="S972" s="564"/>
      <c r="T972" s="564"/>
      <c r="U972" s="564"/>
      <c r="V972" s="564"/>
      <c r="W972" s="564"/>
      <c r="X972" s="564"/>
      <c r="Y972" s="564"/>
      <c r="Z972" s="564"/>
      <c r="AA972" s="564"/>
      <c r="AB972" s="556"/>
      <c r="AC972" s="556"/>
      <c r="AD972" s="556"/>
      <c r="AE972" s="556"/>
      <c r="AF972" s="556"/>
      <c r="AG972" s="556"/>
      <c r="AH972" s="556"/>
      <c r="AI972" s="556"/>
      <c r="AJ972" s="556"/>
      <c r="AK972" s="556"/>
      <c r="AL972" s="556"/>
      <c r="AM972" s="556"/>
      <c r="AN972" s="556"/>
      <c r="AO972" s="556"/>
      <c r="AP972" s="556"/>
      <c r="AQ972" s="556"/>
      <c r="AR972" s="556"/>
      <c r="AS972" s="565"/>
      <c r="AT972" s="556"/>
    </row>
    <row r="973" spans="1:46" hidden="1" x14ac:dyDescent="0.45">
      <c r="A973" s="556"/>
      <c r="B973" s="556"/>
      <c r="C973" s="556"/>
      <c r="D973" s="564"/>
      <c r="E973" s="556"/>
      <c r="F973" s="564"/>
      <c r="G973" s="564"/>
      <c r="H973" s="564"/>
      <c r="I973" s="564"/>
      <c r="J973" s="564"/>
      <c r="K973" s="564"/>
      <c r="L973" s="564"/>
      <c r="M973" s="564"/>
      <c r="N973" s="564"/>
      <c r="O973" s="564"/>
      <c r="P973" s="564"/>
      <c r="Q973" s="564"/>
      <c r="R973" s="564"/>
      <c r="S973" s="564"/>
      <c r="T973" s="564"/>
      <c r="U973" s="564"/>
      <c r="V973" s="564"/>
      <c r="W973" s="564"/>
      <c r="X973" s="564"/>
      <c r="Y973" s="564"/>
      <c r="Z973" s="564"/>
      <c r="AA973" s="564"/>
      <c r="AB973" s="556"/>
      <c r="AC973" s="556"/>
      <c r="AD973" s="556"/>
      <c r="AE973" s="556"/>
      <c r="AF973" s="556"/>
      <c r="AG973" s="556"/>
      <c r="AH973" s="556"/>
      <c r="AI973" s="556"/>
      <c r="AJ973" s="556"/>
      <c r="AK973" s="556"/>
      <c r="AL973" s="556"/>
      <c r="AM973" s="556"/>
      <c r="AN973" s="556"/>
      <c r="AO973" s="556"/>
      <c r="AP973" s="556"/>
      <c r="AQ973" s="556"/>
      <c r="AR973" s="556"/>
      <c r="AS973" s="565"/>
      <c r="AT973" s="556"/>
    </row>
    <row r="974" spans="1:46" hidden="1" x14ac:dyDescent="0.45">
      <c r="A974" s="556"/>
      <c r="B974" s="556"/>
      <c r="C974" s="556"/>
      <c r="D974" s="564"/>
      <c r="E974" s="556"/>
      <c r="F974" s="564"/>
      <c r="G974" s="564"/>
      <c r="H974" s="564"/>
      <c r="I974" s="564"/>
      <c r="J974" s="564"/>
      <c r="K974" s="564"/>
      <c r="L974" s="564"/>
      <c r="M974" s="564"/>
      <c r="N974" s="564"/>
      <c r="O974" s="564"/>
      <c r="P974" s="564"/>
      <c r="Q974" s="564"/>
      <c r="R974" s="564"/>
      <c r="S974" s="564"/>
      <c r="T974" s="564"/>
      <c r="U974" s="564"/>
      <c r="V974" s="564"/>
      <c r="W974" s="564"/>
      <c r="X974" s="564"/>
      <c r="Y974" s="564"/>
      <c r="Z974" s="564"/>
      <c r="AA974" s="564"/>
      <c r="AB974" s="556"/>
      <c r="AC974" s="556"/>
      <c r="AD974" s="556"/>
      <c r="AE974" s="556"/>
      <c r="AF974" s="556"/>
      <c r="AG974" s="556"/>
      <c r="AH974" s="556"/>
      <c r="AI974" s="556"/>
      <c r="AJ974" s="556"/>
      <c r="AK974" s="556"/>
      <c r="AL974" s="556"/>
      <c r="AM974" s="556"/>
      <c r="AN974" s="556"/>
      <c r="AO974" s="556"/>
      <c r="AP974" s="556"/>
      <c r="AQ974" s="556"/>
      <c r="AR974" s="556"/>
      <c r="AS974" s="565"/>
      <c r="AT974" s="556"/>
    </row>
    <row r="975" spans="1:46" hidden="1" x14ac:dyDescent="0.45">
      <c r="A975" s="556"/>
      <c r="B975" s="556"/>
      <c r="C975" s="556"/>
      <c r="D975" s="564"/>
      <c r="E975" s="556"/>
      <c r="F975" s="564"/>
      <c r="G975" s="564"/>
      <c r="H975" s="564"/>
      <c r="I975" s="564"/>
      <c r="J975" s="564"/>
      <c r="K975" s="564"/>
      <c r="L975" s="564"/>
      <c r="M975" s="564"/>
      <c r="N975" s="564"/>
      <c r="O975" s="564"/>
      <c r="P975" s="564"/>
      <c r="Q975" s="564"/>
      <c r="R975" s="564"/>
      <c r="S975" s="564"/>
      <c r="T975" s="564"/>
      <c r="U975" s="564"/>
      <c r="V975" s="564"/>
      <c r="W975" s="564"/>
      <c r="X975" s="564"/>
      <c r="Y975" s="564"/>
      <c r="Z975" s="564"/>
      <c r="AA975" s="564"/>
      <c r="AB975" s="556"/>
      <c r="AC975" s="556"/>
      <c r="AD975" s="556"/>
      <c r="AE975" s="556"/>
      <c r="AF975" s="556"/>
      <c r="AG975" s="556"/>
      <c r="AH975" s="556"/>
      <c r="AI975" s="556"/>
      <c r="AJ975" s="556"/>
      <c r="AK975" s="556"/>
      <c r="AL975" s="556"/>
      <c r="AM975" s="556"/>
      <c r="AN975" s="556"/>
      <c r="AO975" s="556"/>
      <c r="AP975" s="556"/>
      <c r="AQ975" s="556"/>
      <c r="AR975" s="556"/>
      <c r="AS975" s="565"/>
      <c r="AT975" s="556"/>
    </row>
    <row r="976" spans="1:46" hidden="1" x14ac:dyDescent="0.45">
      <c r="A976" s="556"/>
      <c r="B976" s="556"/>
      <c r="C976" s="556"/>
      <c r="D976" s="564"/>
      <c r="E976" s="556"/>
      <c r="F976" s="564"/>
      <c r="G976" s="564"/>
      <c r="H976" s="564"/>
      <c r="I976" s="564"/>
      <c r="J976" s="564"/>
      <c r="K976" s="564"/>
      <c r="L976" s="564"/>
      <c r="M976" s="564"/>
      <c r="N976" s="564"/>
      <c r="O976" s="564"/>
      <c r="P976" s="564"/>
      <c r="Q976" s="564"/>
      <c r="R976" s="564"/>
      <c r="S976" s="564"/>
      <c r="T976" s="564"/>
      <c r="U976" s="564"/>
      <c r="V976" s="564"/>
      <c r="W976" s="564"/>
      <c r="X976" s="564"/>
      <c r="Y976" s="564"/>
      <c r="Z976" s="564"/>
      <c r="AA976" s="564"/>
      <c r="AB976" s="556"/>
      <c r="AC976" s="556"/>
      <c r="AD976" s="556"/>
      <c r="AE976" s="556"/>
      <c r="AF976" s="556"/>
      <c r="AG976" s="556"/>
      <c r="AH976" s="556"/>
      <c r="AI976" s="556"/>
      <c r="AJ976" s="556"/>
      <c r="AK976" s="556"/>
      <c r="AL976" s="556"/>
      <c r="AM976" s="556"/>
      <c r="AN976" s="556"/>
      <c r="AO976" s="556"/>
      <c r="AP976" s="556"/>
      <c r="AQ976" s="556"/>
      <c r="AR976" s="556"/>
      <c r="AS976" s="565"/>
      <c r="AT976" s="556"/>
    </row>
    <row r="977" spans="1:46" hidden="1" x14ac:dyDescent="0.45">
      <c r="A977" s="556"/>
      <c r="B977" s="556"/>
      <c r="C977" s="556"/>
      <c r="D977" s="564"/>
      <c r="E977" s="556"/>
      <c r="F977" s="564"/>
      <c r="G977" s="564"/>
      <c r="H977" s="564"/>
      <c r="I977" s="564"/>
      <c r="J977" s="564"/>
      <c r="K977" s="564"/>
      <c r="L977" s="564"/>
      <c r="M977" s="564"/>
      <c r="N977" s="564"/>
      <c r="O977" s="564"/>
      <c r="P977" s="564"/>
      <c r="Q977" s="564"/>
      <c r="R977" s="564"/>
      <c r="S977" s="564"/>
      <c r="T977" s="564"/>
      <c r="U977" s="564"/>
      <c r="V977" s="564"/>
      <c r="W977" s="564"/>
      <c r="X977" s="564"/>
      <c r="Y977" s="564"/>
      <c r="Z977" s="564"/>
      <c r="AA977" s="564"/>
      <c r="AB977" s="556"/>
      <c r="AC977" s="556"/>
      <c r="AD977" s="556"/>
      <c r="AE977" s="556"/>
      <c r="AF977" s="556"/>
      <c r="AG977" s="556"/>
      <c r="AH977" s="556"/>
      <c r="AI977" s="556"/>
      <c r="AJ977" s="556"/>
      <c r="AK977" s="556"/>
      <c r="AL977" s="556"/>
      <c r="AM977" s="556"/>
      <c r="AN977" s="556"/>
      <c r="AO977" s="556"/>
      <c r="AP977" s="556"/>
      <c r="AQ977" s="556"/>
      <c r="AR977" s="556"/>
      <c r="AS977" s="565"/>
      <c r="AT977" s="556"/>
    </row>
    <row r="978" spans="1:46" hidden="1" x14ac:dyDescent="0.45">
      <c r="A978" s="556"/>
      <c r="B978" s="556"/>
      <c r="C978" s="556"/>
      <c r="D978" s="564"/>
      <c r="E978" s="556"/>
      <c r="F978" s="564"/>
      <c r="G978" s="564"/>
      <c r="H978" s="564"/>
      <c r="I978" s="564"/>
      <c r="J978" s="564"/>
      <c r="K978" s="564"/>
      <c r="L978" s="564"/>
      <c r="M978" s="564"/>
      <c r="N978" s="564"/>
      <c r="O978" s="564"/>
      <c r="P978" s="564"/>
      <c r="Q978" s="564"/>
      <c r="R978" s="564"/>
      <c r="S978" s="564"/>
      <c r="T978" s="564"/>
      <c r="U978" s="564"/>
      <c r="V978" s="564"/>
      <c r="W978" s="564"/>
      <c r="X978" s="564"/>
      <c r="Y978" s="564"/>
      <c r="Z978" s="564"/>
      <c r="AA978" s="564"/>
      <c r="AB978" s="556"/>
      <c r="AC978" s="556"/>
      <c r="AD978" s="556"/>
      <c r="AE978" s="556"/>
      <c r="AF978" s="556"/>
      <c r="AG978" s="556"/>
      <c r="AH978" s="556"/>
      <c r="AI978" s="556"/>
      <c r="AJ978" s="556"/>
      <c r="AK978" s="556"/>
      <c r="AL978" s="556"/>
      <c r="AM978" s="556"/>
      <c r="AN978" s="556"/>
      <c r="AO978" s="556"/>
      <c r="AP978" s="556"/>
      <c r="AQ978" s="556"/>
      <c r="AR978" s="556"/>
      <c r="AS978" s="565"/>
      <c r="AT978" s="556"/>
    </row>
    <row r="979" spans="1:46" hidden="1" x14ac:dyDescent="0.45">
      <c r="A979" s="556"/>
      <c r="B979" s="556"/>
      <c r="C979" s="556"/>
      <c r="D979" s="564"/>
      <c r="E979" s="556"/>
      <c r="F979" s="564"/>
      <c r="G979" s="564"/>
      <c r="H979" s="564"/>
      <c r="I979" s="564"/>
      <c r="J979" s="564"/>
      <c r="K979" s="564"/>
      <c r="L979" s="564"/>
      <c r="M979" s="564"/>
      <c r="N979" s="564"/>
      <c r="O979" s="564"/>
      <c r="P979" s="564"/>
      <c r="Q979" s="564"/>
      <c r="R979" s="564"/>
      <c r="S979" s="564"/>
      <c r="T979" s="564"/>
      <c r="U979" s="564"/>
      <c r="V979" s="564"/>
      <c r="W979" s="564"/>
      <c r="X979" s="564"/>
      <c r="Y979" s="564"/>
      <c r="Z979" s="564"/>
      <c r="AA979" s="564"/>
      <c r="AB979" s="556"/>
      <c r="AC979" s="556"/>
      <c r="AD979" s="556"/>
      <c r="AE979" s="556"/>
      <c r="AF979" s="556"/>
      <c r="AG979" s="556"/>
      <c r="AH979" s="556"/>
      <c r="AI979" s="556"/>
      <c r="AJ979" s="556"/>
      <c r="AK979" s="556"/>
      <c r="AL979" s="556"/>
      <c r="AM979" s="556"/>
      <c r="AN979" s="556"/>
      <c r="AO979" s="556"/>
      <c r="AP979" s="556"/>
      <c r="AQ979" s="556"/>
      <c r="AR979" s="556"/>
      <c r="AS979" s="565"/>
      <c r="AT979" s="556"/>
    </row>
    <row r="980" spans="1:46" hidden="1" x14ac:dyDescent="0.45">
      <c r="A980" s="556"/>
      <c r="B980" s="556"/>
      <c r="C980" s="556"/>
      <c r="D980" s="564"/>
      <c r="E980" s="556"/>
      <c r="F980" s="564"/>
      <c r="G980" s="564"/>
      <c r="H980" s="564"/>
      <c r="I980" s="564"/>
      <c r="J980" s="564"/>
      <c r="K980" s="564"/>
      <c r="L980" s="564"/>
      <c r="M980" s="564"/>
      <c r="N980" s="564"/>
      <c r="O980" s="564"/>
      <c r="P980" s="564"/>
      <c r="Q980" s="564"/>
      <c r="R980" s="564"/>
      <c r="S980" s="564"/>
      <c r="T980" s="564"/>
      <c r="U980" s="564"/>
      <c r="V980" s="564"/>
      <c r="W980" s="564"/>
      <c r="X980" s="564"/>
      <c r="Y980" s="564"/>
      <c r="Z980" s="564"/>
      <c r="AA980" s="564"/>
      <c r="AB980" s="556"/>
      <c r="AC980" s="556"/>
      <c r="AD980" s="556"/>
      <c r="AE980" s="556"/>
      <c r="AF980" s="556"/>
      <c r="AG980" s="556"/>
      <c r="AH980" s="556"/>
      <c r="AI980" s="556"/>
      <c r="AJ980" s="556"/>
      <c r="AK980" s="556"/>
      <c r="AL980" s="556"/>
      <c r="AM980" s="556"/>
      <c r="AN980" s="556"/>
      <c r="AO980" s="556"/>
      <c r="AP980" s="556"/>
      <c r="AQ980" s="556"/>
      <c r="AR980" s="556"/>
      <c r="AS980" s="565"/>
      <c r="AT980" s="556"/>
    </row>
    <row r="981" spans="1:46" hidden="1" x14ac:dyDescent="0.45">
      <c r="A981" s="556"/>
      <c r="B981" s="556"/>
      <c r="C981" s="556"/>
      <c r="D981" s="564"/>
      <c r="E981" s="556"/>
      <c r="F981" s="564"/>
      <c r="G981" s="564"/>
      <c r="H981" s="564"/>
      <c r="I981" s="564"/>
      <c r="J981" s="564"/>
      <c r="K981" s="564"/>
      <c r="L981" s="564"/>
      <c r="M981" s="564"/>
      <c r="N981" s="564"/>
      <c r="O981" s="564"/>
      <c r="P981" s="564"/>
      <c r="Q981" s="564"/>
      <c r="R981" s="564"/>
      <c r="S981" s="564"/>
      <c r="T981" s="564"/>
      <c r="U981" s="564"/>
      <c r="V981" s="564"/>
      <c r="W981" s="564"/>
      <c r="X981" s="564"/>
      <c r="Y981" s="564"/>
      <c r="Z981" s="564"/>
      <c r="AA981" s="564"/>
      <c r="AB981" s="556"/>
      <c r="AC981" s="556"/>
      <c r="AD981" s="556"/>
      <c r="AE981" s="556"/>
      <c r="AF981" s="556"/>
      <c r="AG981" s="556"/>
      <c r="AH981" s="556"/>
      <c r="AI981" s="556"/>
      <c r="AJ981" s="556"/>
      <c r="AK981" s="556"/>
      <c r="AL981" s="556"/>
      <c r="AM981" s="556"/>
      <c r="AN981" s="556"/>
      <c r="AO981" s="556"/>
      <c r="AP981" s="556"/>
      <c r="AQ981" s="556"/>
      <c r="AR981" s="556"/>
      <c r="AS981" s="565"/>
      <c r="AT981" s="556"/>
    </row>
    <row r="982" spans="1:46" hidden="1" x14ac:dyDescent="0.45">
      <c r="A982" s="556"/>
      <c r="B982" s="556"/>
      <c r="C982" s="556"/>
      <c r="D982" s="564"/>
      <c r="E982" s="556"/>
      <c r="F982" s="564"/>
      <c r="G982" s="564"/>
      <c r="H982" s="564"/>
      <c r="I982" s="564"/>
      <c r="J982" s="564"/>
      <c r="K982" s="564"/>
      <c r="L982" s="564"/>
      <c r="M982" s="564"/>
      <c r="N982" s="564"/>
      <c r="O982" s="564"/>
      <c r="P982" s="564"/>
      <c r="Q982" s="564"/>
      <c r="R982" s="564"/>
      <c r="S982" s="564"/>
      <c r="T982" s="564"/>
      <c r="U982" s="564"/>
      <c r="V982" s="564"/>
      <c r="W982" s="564"/>
      <c r="X982" s="564"/>
      <c r="Y982" s="564"/>
      <c r="Z982" s="564"/>
      <c r="AA982" s="564"/>
      <c r="AB982" s="556"/>
      <c r="AC982" s="556"/>
      <c r="AD982" s="556"/>
      <c r="AE982" s="556"/>
      <c r="AF982" s="556"/>
      <c r="AG982" s="556"/>
      <c r="AH982" s="556"/>
      <c r="AI982" s="556"/>
      <c r="AJ982" s="556"/>
      <c r="AK982" s="556"/>
      <c r="AL982" s="556"/>
      <c r="AM982" s="556"/>
      <c r="AN982" s="556"/>
      <c r="AO982" s="556"/>
      <c r="AP982" s="556"/>
      <c r="AQ982" s="556"/>
      <c r="AR982" s="556"/>
      <c r="AS982" s="565"/>
      <c r="AT982" s="556"/>
    </row>
    <row r="983" spans="1:46" hidden="1" x14ac:dyDescent="0.45">
      <c r="A983" s="556"/>
      <c r="B983" s="556"/>
      <c r="C983" s="556"/>
      <c r="D983" s="564"/>
      <c r="E983" s="556"/>
      <c r="F983" s="564"/>
      <c r="G983" s="564"/>
      <c r="H983" s="564"/>
      <c r="I983" s="564"/>
      <c r="J983" s="564"/>
      <c r="K983" s="564"/>
      <c r="L983" s="564"/>
      <c r="M983" s="564"/>
      <c r="N983" s="564"/>
      <c r="O983" s="564"/>
      <c r="P983" s="564"/>
      <c r="Q983" s="564"/>
      <c r="R983" s="564"/>
      <c r="S983" s="564"/>
      <c r="T983" s="564"/>
      <c r="U983" s="564"/>
      <c r="V983" s="564"/>
      <c r="W983" s="564"/>
      <c r="X983" s="564"/>
      <c r="Y983" s="564"/>
      <c r="Z983" s="564"/>
      <c r="AA983" s="564"/>
      <c r="AB983" s="556"/>
      <c r="AC983" s="556"/>
      <c r="AD983" s="556"/>
      <c r="AE983" s="556"/>
      <c r="AF983" s="556"/>
      <c r="AG983" s="556"/>
      <c r="AH983" s="556"/>
      <c r="AI983" s="556"/>
      <c r="AJ983" s="556"/>
      <c r="AK983" s="556"/>
      <c r="AL983" s="556"/>
      <c r="AM983" s="556"/>
      <c r="AN983" s="556"/>
      <c r="AO983" s="556"/>
      <c r="AP983" s="556"/>
      <c r="AQ983" s="556"/>
      <c r="AR983" s="556"/>
      <c r="AS983" s="565"/>
      <c r="AT983" s="556"/>
    </row>
    <row r="984" spans="1:46" hidden="1" x14ac:dyDescent="0.45">
      <c r="A984" s="556"/>
      <c r="B984" s="556"/>
      <c r="C984" s="556"/>
      <c r="D984" s="564"/>
      <c r="E984" s="556"/>
      <c r="F984" s="564"/>
      <c r="G984" s="564"/>
      <c r="H984" s="564"/>
      <c r="I984" s="564"/>
      <c r="J984" s="564"/>
      <c r="K984" s="564"/>
      <c r="L984" s="564"/>
      <c r="M984" s="564"/>
      <c r="N984" s="564"/>
      <c r="O984" s="564"/>
      <c r="P984" s="564"/>
      <c r="Q984" s="564"/>
      <c r="R984" s="564"/>
      <c r="S984" s="564"/>
      <c r="T984" s="564"/>
      <c r="U984" s="564"/>
      <c r="V984" s="564"/>
      <c r="W984" s="564"/>
      <c r="X984" s="564"/>
      <c r="Y984" s="564"/>
      <c r="Z984" s="564"/>
      <c r="AA984" s="564"/>
      <c r="AB984" s="556"/>
      <c r="AC984" s="556"/>
      <c r="AD984" s="556"/>
      <c r="AE984" s="556"/>
      <c r="AF984" s="556"/>
      <c r="AG984" s="556"/>
      <c r="AH984" s="556"/>
      <c r="AI984" s="556"/>
      <c r="AJ984" s="556"/>
      <c r="AK984" s="556"/>
      <c r="AL984" s="556"/>
      <c r="AM984" s="556"/>
      <c r="AN984" s="556"/>
      <c r="AO984" s="556"/>
      <c r="AP984" s="556"/>
      <c r="AQ984" s="556"/>
      <c r="AR984" s="556"/>
      <c r="AS984" s="565"/>
      <c r="AT984" s="556"/>
    </row>
    <row r="985" spans="1:46" hidden="1" x14ac:dyDescent="0.45">
      <c r="A985" s="556"/>
      <c r="B985" s="556"/>
      <c r="C985" s="556"/>
      <c r="D985" s="564"/>
      <c r="E985" s="556"/>
      <c r="F985" s="564"/>
      <c r="G985" s="564"/>
      <c r="H985" s="564"/>
      <c r="I985" s="564"/>
      <c r="J985" s="564"/>
      <c r="K985" s="564"/>
      <c r="L985" s="564"/>
      <c r="M985" s="564"/>
      <c r="N985" s="564"/>
      <c r="O985" s="564"/>
      <c r="P985" s="564"/>
      <c r="Q985" s="564"/>
      <c r="R985" s="564"/>
      <c r="S985" s="564"/>
      <c r="T985" s="564"/>
      <c r="U985" s="564"/>
      <c r="V985" s="564"/>
      <c r="W985" s="564"/>
      <c r="X985" s="564"/>
      <c r="Y985" s="564"/>
      <c r="Z985" s="564"/>
      <c r="AA985" s="564"/>
      <c r="AB985" s="556"/>
      <c r="AC985" s="556"/>
      <c r="AD985" s="556"/>
      <c r="AE985" s="556"/>
      <c r="AF985" s="556"/>
      <c r="AG985" s="556"/>
      <c r="AH985" s="556"/>
      <c r="AI985" s="556"/>
      <c r="AJ985" s="556"/>
      <c r="AK985" s="556"/>
      <c r="AL985" s="556"/>
      <c r="AM985" s="556"/>
      <c r="AN985" s="556"/>
      <c r="AO985" s="556"/>
      <c r="AP985" s="556"/>
      <c r="AQ985" s="556"/>
      <c r="AR985" s="556"/>
      <c r="AS985" s="565"/>
      <c r="AT985" s="556"/>
    </row>
    <row r="986" spans="1:46" hidden="1" x14ac:dyDescent="0.45">
      <c r="A986" s="556"/>
      <c r="B986" s="556"/>
      <c r="C986" s="556"/>
      <c r="D986" s="564"/>
      <c r="E986" s="556"/>
      <c r="F986" s="564"/>
      <c r="G986" s="564"/>
      <c r="H986" s="564"/>
      <c r="I986" s="564"/>
      <c r="J986" s="564"/>
      <c r="K986" s="564"/>
      <c r="L986" s="564"/>
      <c r="M986" s="564"/>
      <c r="N986" s="564"/>
      <c r="O986" s="564"/>
      <c r="P986" s="564"/>
      <c r="Q986" s="564"/>
      <c r="R986" s="564"/>
      <c r="S986" s="564"/>
      <c r="T986" s="564"/>
      <c r="U986" s="564"/>
      <c r="V986" s="564"/>
      <c r="W986" s="564"/>
      <c r="X986" s="564"/>
      <c r="Y986" s="564"/>
      <c r="Z986" s="564"/>
      <c r="AA986" s="564"/>
      <c r="AB986" s="556"/>
      <c r="AC986" s="556"/>
      <c r="AD986" s="556"/>
      <c r="AE986" s="556"/>
      <c r="AF986" s="556"/>
      <c r="AG986" s="556"/>
      <c r="AH986" s="556"/>
      <c r="AI986" s="556"/>
      <c r="AJ986" s="556"/>
      <c r="AK986" s="556"/>
      <c r="AL986" s="556"/>
      <c r="AM986" s="556"/>
      <c r="AN986" s="556"/>
      <c r="AO986" s="556"/>
      <c r="AP986" s="556"/>
      <c r="AQ986" s="556"/>
      <c r="AR986" s="556"/>
      <c r="AS986" s="565"/>
      <c r="AT986" s="556"/>
    </row>
    <row r="987" spans="1:46" hidden="1" x14ac:dyDescent="0.45">
      <c r="A987" s="556"/>
      <c r="B987" s="556"/>
      <c r="C987" s="556"/>
      <c r="D987" s="564"/>
      <c r="E987" s="556"/>
      <c r="F987" s="564"/>
      <c r="G987" s="564"/>
      <c r="H987" s="564"/>
      <c r="I987" s="564"/>
      <c r="J987" s="564"/>
      <c r="K987" s="564"/>
      <c r="L987" s="564"/>
      <c r="M987" s="564"/>
      <c r="N987" s="564"/>
      <c r="O987" s="564"/>
      <c r="P987" s="564"/>
      <c r="Q987" s="564"/>
      <c r="R987" s="564"/>
      <c r="S987" s="564"/>
      <c r="T987" s="564"/>
      <c r="U987" s="564"/>
      <c r="V987" s="564"/>
      <c r="W987" s="564"/>
      <c r="X987" s="564"/>
      <c r="Y987" s="564"/>
      <c r="Z987" s="564"/>
      <c r="AA987" s="564"/>
      <c r="AB987" s="556"/>
      <c r="AC987" s="556"/>
      <c r="AD987" s="556"/>
      <c r="AE987" s="556"/>
      <c r="AF987" s="556"/>
      <c r="AG987" s="556"/>
      <c r="AH987" s="556"/>
      <c r="AI987" s="556"/>
      <c r="AJ987" s="556"/>
      <c r="AK987" s="556"/>
      <c r="AL987" s="556"/>
      <c r="AM987" s="556"/>
      <c r="AN987" s="556"/>
      <c r="AO987" s="556"/>
      <c r="AP987" s="556"/>
      <c r="AQ987" s="556"/>
      <c r="AR987" s="556"/>
      <c r="AS987" s="565"/>
      <c r="AT987" s="556"/>
    </row>
    <row r="988" spans="1:46" hidden="1" x14ac:dyDescent="0.45">
      <c r="A988" s="556"/>
      <c r="B988" s="556"/>
      <c r="C988" s="556"/>
      <c r="D988" s="564"/>
      <c r="E988" s="556"/>
      <c r="F988" s="564"/>
      <c r="G988" s="564"/>
      <c r="H988" s="564"/>
      <c r="I988" s="564"/>
      <c r="J988" s="564"/>
      <c r="K988" s="564"/>
      <c r="L988" s="564"/>
      <c r="M988" s="564"/>
      <c r="N988" s="564"/>
      <c r="O988" s="564"/>
      <c r="P988" s="564"/>
      <c r="Q988" s="564"/>
      <c r="R988" s="564"/>
      <c r="S988" s="564"/>
      <c r="T988" s="564"/>
      <c r="U988" s="564"/>
      <c r="V988" s="564"/>
      <c r="W988" s="564"/>
      <c r="X988" s="564"/>
      <c r="Y988" s="564"/>
      <c r="Z988" s="564"/>
      <c r="AA988" s="564"/>
      <c r="AB988" s="556"/>
      <c r="AC988" s="556"/>
      <c r="AD988" s="556"/>
      <c r="AE988" s="556"/>
      <c r="AF988" s="556"/>
      <c r="AG988" s="556"/>
      <c r="AH988" s="556"/>
      <c r="AI988" s="556"/>
      <c r="AJ988" s="556"/>
      <c r="AK988" s="556"/>
      <c r="AL988" s="556"/>
      <c r="AM988" s="556"/>
      <c r="AN988" s="556"/>
      <c r="AO988" s="556"/>
      <c r="AP988" s="556"/>
      <c r="AQ988" s="556"/>
      <c r="AR988" s="556"/>
      <c r="AS988" s="565"/>
      <c r="AT988" s="556"/>
    </row>
    <row r="989" spans="1:46" hidden="1" x14ac:dyDescent="0.45">
      <c r="A989" s="556"/>
      <c r="B989" s="556"/>
      <c r="C989" s="556"/>
      <c r="D989" s="564"/>
      <c r="E989" s="556"/>
      <c r="F989" s="564"/>
      <c r="G989" s="564"/>
      <c r="H989" s="564"/>
      <c r="I989" s="564"/>
      <c r="J989" s="564"/>
      <c r="K989" s="564"/>
      <c r="L989" s="564"/>
      <c r="M989" s="564"/>
      <c r="N989" s="564"/>
      <c r="O989" s="564"/>
      <c r="P989" s="564"/>
      <c r="Q989" s="564"/>
      <c r="R989" s="564"/>
      <c r="S989" s="564"/>
      <c r="T989" s="564"/>
      <c r="U989" s="564"/>
      <c r="V989" s="564"/>
      <c r="W989" s="564"/>
      <c r="X989" s="564"/>
      <c r="Y989" s="564"/>
      <c r="Z989" s="564"/>
      <c r="AA989" s="564"/>
      <c r="AB989" s="556"/>
      <c r="AC989" s="556"/>
      <c r="AD989" s="556"/>
      <c r="AE989" s="556"/>
      <c r="AF989" s="556"/>
      <c r="AG989" s="556"/>
      <c r="AH989" s="556"/>
      <c r="AI989" s="556"/>
      <c r="AJ989" s="556"/>
      <c r="AK989" s="556"/>
      <c r="AL989" s="556"/>
      <c r="AM989" s="556"/>
      <c r="AN989" s="556"/>
      <c r="AO989" s="556"/>
      <c r="AP989" s="556"/>
      <c r="AQ989" s="556"/>
      <c r="AR989" s="556"/>
      <c r="AS989" s="565"/>
      <c r="AT989" s="556"/>
    </row>
    <row r="990" spans="1:46" hidden="1" x14ac:dyDescent="0.45">
      <c r="A990" s="556"/>
      <c r="B990" s="556"/>
      <c r="C990" s="556"/>
      <c r="D990" s="564"/>
      <c r="E990" s="556"/>
      <c r="F990" s="564"/>
      <c r="G990" s="564"/>
      <c r="H990" s="564"/>
      <c r="I990" s="564"/>
      <c r="J990" s="564"/>
      <c r="K990" s="564"/>
      <c r="L990" s="564"/>
      <c r="M990" s="564"/>
      <c r="N990" s="564"/>
      <c r="O990" s="564"/>
      <c r="P990" s="564"/>
      <c r="Q990" s="564"/>
      <c r="R990" s="564"/>
      <c r="S990" s="564"/>
      <c r="T990" s="564"/>
      <c r="U990" s="564"/>
      <c r="V990" s="564"/>
      <c r="W990" s="564"/>
      <c r="X990" s="564"/>
      <c r="Y990" s="564"/>
      <c r="Z990" s="564"/>
      <c r="AA990" s="564"/>
      <c r="AB990" s="556"/>
      <c r="AC990" s="556"/>
      <c r="AD990" s="556"/>
      <c r="AE990" s="556"/>
      <c r="AF990" s="556"/>
      <c r="AG990" s="556"/>
      <c r="AH990" s="556"/>
      <c r="AI990" s="556"/>
      <c r="AJ990" s="556"/>
      <c r="AK990" s="556"/>
      <c r="AL990" s="556"/>
      <c r="AM990" s="556"/>
      <c r="AN990" s="556"/>
      <c r="AO990" s="556"/>
      <c r="AP990" s="556"/>
      <c r="AQ990" s="556"/>
      <c r="AR990" s="556"/>
      <c r="AS990" s="565"/>
      <c r="AT990" s="556"/>
    </row>
    <row r="991" spans="1:46" hidden="1" x14ac:dyDescent="0.45">
      <c r="A991" s="556"/>
      <c r="B991" s="556"/>
      <c r="C991" s="556"/>
      <c r="D991" s="564"/>
      <c r="E991" s="556"/>
      <c r="F991" s="564"/>
      <c r="G991" s="564"/>
      <c r="H991" s="564"/>
      <c r="I991" s="564"/>
      <c r="J991" s="564"/>
      <c r="K991" s="564"/>
      <c r="L991" s="564"/>
      <c r="M991" s="564"/>
      <c r="N991" s="564"/>
      <c r="O991" s="564"/>
      <c r="P991" s="564"/>
      <c r="Q991" s="564"/>
      <c r="R991" s="564"/>
      <c r="S991" s="564"/>
      <c r="T991" s="564"/>
      <c r="U991" s="564"/>
      <c r="V991" s="564"/>
      <c r="W991" s="564"/>
      <c r="X991" s="564"/>
      <c r="Y991" s="564"/>
      <c r="Z991" s="564"/>
      <c r="AA991" s="564"/>
      <c r="AB991" s="556"/>
      <c r="AC991" s="556"/>
      <c r="AD991" s="556"/>
      <c r="AE991" s="556"/>
      <c r="AF991" s="556"/>
      <c r="AG991" s="556"/>
      <c r="AH991" s="556"/>
      <c r="AI991" s="556"/>
      <c r="AJ991" s="556"/>
      <c r="AK991" s="556"/>
      <c r="AL991" s="556"/>
      <c r="AM991" s="556"/>
      <c r="AN991" s="556"/>
      <c r="AO991" s="556"/>
      <c r="AP991" s="556"/>
      <c r="AQ991" s="556"/>
      <c r="AR991" s="556"/>
      <c r="AS991" s="565"/>
      <c r="AT991" s="556"/>
    </row>
    <row r="992" spans="1:46" hidden="1" x14ac:dyDescent="0.45">
      <c r="A992" s="556"/>
      <c r="B992" s="556"/>
      <c r="C992" s="556"/>
      <c r="D992" s="564"/>
      <c r="E992" s="556"/>
      <c r="F992" s="564"/>
      <c r="G992" s="564"/>
      <c r="H992" s="564"/>
      <c r="I992" s="564"/>
      <c r="J992" s="564"/>
      <c r="K992" s="564"/>
      <c r="L992" s="564"/>
      <c r="M992" s="564"/>
      <c r="N992" s="564"/>
      <c r="O992" s="564"/>
      <c r="P992" s="564"/>
      <c r="Q992" s="564"/>
      <c r="R992" s="564"/>
      <c r="S992" s="564"/>
      <c r="T992" s="564"/>
      <c r="U992" s="564"/>
      <c r="V992" s="564"/>
      <c r="W992" s="564"/>
      <c r="X992" s="564"/>
      <c r="Y992" s="564"/>
      <c r="Z992" s="564"/>
      <c r="AA992" s="564"/>
      <c r="AB992" s="556"/>
      <c r="AC992" s="556"/>
      <c r="AD992" s="556"/>
      <c r="AE992" s="556"/>
      <c r="AF992" s="556"/>
      <c r="AG992" s="556"/>
      <c r="AH992" s="556"/>
      <c r="AI992" s="556"/>
      <c r="AJ992" s="556"/>
      <c r="AK992" s="556"/>
      <c r="AL992" s="556"/>
      <c r="AM992" s="556"/>
      <c r="AN992" s="556"/>
      <c r="AO992" s="556"/>
      <c r="AP992" s="556"/>
      <c r="AQ992" s="556"/>
      <c r="AR992" s="556"/>
      <c r="AS992" s="565"/>
      <c r="AT992" s="556"/>
    </row>
    <row r="993" spans="1:46" hidden="1" x14ac:dyDescent="0.45">
      <c r="A993" s="556"/>
      <c r="B993" s="556"/>
      <c r="C993" s="556"/>
      <c r="D993" s="564"/>
      <c r="E993" s="556"/>
      <c r="F993" s="564"/>
      <c r="G993" s="564"/>
      <c r="H993" s="564"/>
      <c r="I993" s="564"/>
      <c r="J993" s="564"/>
      <c r="K993" s="564"/>
      <c r="L993" s="564"/>
      <c r="M993" s="564"/>
      <c r="N993" s="564"/>
      <c r="O993" s="564"/>
      <c r="P993" s="564"/>
      <c r="Q993" s="564"/>
      <c r="R993" s="564"/>
      <c r="S993" s="564"/>
      <c r="T993" s="564"/>
      <c r="U993" s="564"/>
      <c r="V993" s="564"/>
      <c r="W993" s="564"/>
      <c r="X993" s="564"/>
      <c r="Y993" s="564"/>
      <c r="Z993" s="564"/>
      <c r="AA993" s="564"/>
      <c r="AB993" s="556"/>
      <c r="AC993" s="556"/>
      <c r="AD993" s="556"/>
      <c r="AE993" s="556"/>
      <c r="AF993" s="556"/>
      <c r="AG993" s="556"/>
      <c r="AH993" s="556"/>
      <c r="AI993" s="556"/>
      <c r="AJ993" s="556"/>
      <c r="AK993" s="556"/>
      <c r="AL993" s="556"/>
      <c r="AM993" s="556"/>
      <c r="AN993" s="556"/>
      <c r="AO993" s="556"/>
      <c r="AP993" s="556"/>
      <c r="AQ993" s="556"/>
      <c r="AR993" s="556"/>
      <c r="AS993" s="565"/>
      <c r="AT993" s="556"/>
    </row>
    <row r="994" spans="1:46" hidden="1" x14ac:dyDescent="0.45">
      <c r="A994" s="556"/>
      <c r="B994" s="556"/>
      <c r="C994" s="556"/>
      <c r="D994" s="564"/>
      <c r="E994" s="556"/>
      <c r="F994" s="564"/>
      <c r="G994" s="564"/>
      <c r="H994" s="564"/>
      <c r="I994" s="564"/>
      <c r="J994" s="564"/>
      <c r="K994" s="564"/>
      <c r="L994" s="564"/>
      <c r="M994" s="564"/>
      <c r="N994" s="564"/>
      <c r="O994" s="564"/>
      <c r="P994" s="564"/>
      <c r="Q994" s="564"/>
      <c r="R994" s="564"/>
      <c r="S994" s="564"/>
      <c r="T994" s="564"/>
      <c r="U994" s="564"/>
      <c r="V994" s="564"/>
      <c r="W994" s="564"/>
      <c r="X994" s="564"/>
      <c r="Y994" s="564"/>
      <c r="Z994" s="564"/>
      <c r="AA994" s="564"/>
      <c r="AB994" s="556"/>
      <c r="AC994" s="556"/>
      <c r="AD994" s="556"/>
      <c r="AE994" s="556"/>
      <c r="AF994" s="556"/>
      <c r="AG994" s="556"/>
      <c r="AH994" s="556"/>
      <c r="AI994" s="556"/>
      <c r="AJ994" s="556"/>
      <c r="AK994" s="556"/>
      <c r="AL994" s="556"/>
      <c r="AM994" s="556"/>
      <c r="AN994" s="556"/>
      <c r="AO994" s="556"/>
      <c r="AP994" s="556"/>
      <c r="AQ994" s="556"/>
      <c r="AR994" s="556"/>
      <c r="AS994" s="565"/>
      <c r="AT994" s="556"/>
    </row>
    <row r="995" spans="1:46" hidden="1" x14ac:dyDescent="0.45">
      <c r="A995" s="556"/>
      <c r="B995" s="556"/>
      <c r="C995" s="556"/>
      <c r="D995" s="564"/>
      <c r="E995" s="556"/>
      <c r="F995" s="564"/>
      <c r="G995" s="564"/>
      <c r="H995" s="564"/>
      <c r="I995" s="564"/>
      <c r="J995" s="564"/>
      <c r="K995" s="564"/>
      <c r="L995" s="564"/>
      <c r="M995" s="564"/>
      <c r="N995" s="564"/>
      <c r="O995" s="564"/>
      <c r="P995" s="564"/>
      <c r="Q995" s="564"/>
      <c r="R995" s="564"/>
      <c r="S995" s="564"/>
      <c r="T995" s="564"/>
      <c r="U995" s="564"/>
      <c r="V995" s="564"/>
      <c r="W995" s="564"/>
      <c r="X995" s="564"/>
      <c r="Y995" s="564"/>
      <c r="Z995" s="564"/>
      <c r="AA995" s="564"/>
      <c r="AB995" s="556"/>
      <c r="AC995" s="556"/>
      <c r="AD995" s="556"/>
      <c r="AE995" s="556"/>
      <c r="AF995" s="556"/>
      <c r="AG995" s="556"/>
      <c r="AH995" s="556"/>
      <c r="AI995" s="556"/>
      <c r="AJ995" s="556"/>
      <c r="AK995" s="556"/>
      <c r="AL995" s="556"/>
      <c r="AM995" s="556"/>
      <c r="AN995" s="556"/>
      <c r="AO995" s="556"/>
      <c r="AP995" s="556"/>
      <c r="AQ995" s="556"/>
      <c r="AR995" s="556"/>
      <c r="AS995" s="565"/>
      <c r="AT995" s="556"/>
    </row>
    <row r="996" spans="1:46" hidden="1" x14ac:dyDescent="0.45">
      <c r="A996" s="556"/>
      <c r="B996" s="556"/>
      <c r="C996" s="556"/>
      <c r="D996" s="564"/>
      <c r="E996" s="556"/>
      <c r="F996" s="564"/>
      <c r="G996" s="564"/>
      <c r="H996" s="564"/>
      <c r="I996" s="564"/>
      <c r="J996" s="564"/>
      <c r="K996" s="564"/>
      <c r="L996" s="564"/>
      <c r="M996" s="564"/>
      <c r="N996" s="564"/>
      <c r="O996" s="564"/>
      <c r="P996" s="564"/>
      <c r="Q996" s="564"/>
      <c r="R996" s="564"/>
      <c r="S996" s="564"/>
      <c r="T996" s="564"/>
      <c r="U996" s="564"/>
      <c r="V996" s="564"/>
      <c r="W996" s="564"/>
      <c r="X996" s="564"/>
      <c r="Y996" s="564"/>
      <c r="Z996" s="564"/>
      <c r="AA996" s="564"/>
      <c r="AB996" s="556"/>
      <c r="AC996" s="556"/>
      <c r="AD996" s="556"/>
      <c r="AE996" s="556"/>
      <c r="AF996" s="556"/>
      <c r="AG996" s="556"/>
      <c r="AH996" s="556"/>
      <c r="AI996" s="556"/>
      <c r="AJ996" s="556"/>
      <c r="AK996" s="556"/>
      <c r="AL996" s="556"/>
      <c r="AM996" s="556"/>
      <c r="AN996" s="556"/>
      <c r="AO996" s="556"/>
      <c r="AP996" s="556"/>
      <c r="AQ996" s="556"/>
      <c r="AR996" s="556"/>
      <c r="AS996" s="565"/>
      <c r="AT996" s="556"/>
    </row>
    <row r="997" spans="1:46" hidden="1" x14ac:dyDescent="0.45">
      <c r="A997" s="556"/>
      <c r="B997" s="556"/>
      <c r="C997" s="556"/>
      <c r="D997" s="564"/>
      <c r="E997" s="556"/>
      <c r="F997" s="564"/>
      <c r="G997" s="564"/>
      <c r="H997" s="564"/>
      <c r="I997" s="564"/>
      <c r="J997" s="564"/>
      <c r="K997" s="564"/>
      <c r="L997" s="564"/>
      <c r="M997" s="564"/>
      <c r="N997" s="564"/>
      <c r="O997" s="564"/>
      <c r="P997" s="564"/>
      <c r="Q997" s="564"/>
      <c r="R997" s="564"/>
      <c r="S997" s="564"/>
      <c r="T997" s="564"/>
      <c r="U997" s="564"/>
      <c r="V997" s="564"/>
      <c r="W997" s="564"/>
      <c r="X997" s="564"/>
      <c r="Y997" s="564"/>
      <c r="Z997" s="564"/>
      <c r="AA997" s="564"/>
      <c r="AB997" s="556"/>
      <c r="AC997" s="556"/>
      <c r="AD997" s="556"/>
      <c r="AE997" s="556"/>
      <c r="AF997" s="556"/>
      <c r="AG997" s="556"/>
      <c r="AH997" s="556"/>
      <c r="AI997" s="556"/>
      <c r="AJ997" s="556"/>
      <c r="AK997" s="556"/>
      <c r="AL997" s="556"/>
      <c r="AM997" s="556"/>
      <c r="AN997" s="556"/>
      <c r="AO997" s="556"/>
      <c r="AP997" s="556"/>
      <c r="AQ997" s="556"/>
      <c r="AR997" s="556"/>
      <c r="AS997" s="565"/>
      <c r="AT997" s="556"/>
    </row>
    <row r="998" spans="1:46" hidden="1" x14ac:dyDescent="0.45">
      <c r="A998" s="556"/>
      <c r="B998" s="556"/>
      <c r="C998" s="556"/>
      <c r="D998" s="564"/>
      <c r="E998" s="556"/>
      <c r="F998" s="564"/>
      <c r="G998" s="564"/>
      <c r="H998" s="564"/>
      <c r="I998" s="564"/>
      <c r="J998" s="564"/>
      <c r="K998" s="564"/>
      <c r="L998" s="564"/>
      <c r="M998" s="564"/>
      <c r="N998" s="564"/>
      <c r="O998" s="564"/>
      <c r="P998" s="564"/>
      <c r="Q998" s="564"/>
      <c r="R998" s="564"/>
      <c r="S998" s="564"/>
      <c r="T998" s="564"/>
      <c r="U998" s="564"/>
      <c r="V998" s="564"/>
      <c r="W998" s="564"/>
      <c r="X998" s="564"/>
      <c r="Y998" s="564"/>
      <c r="Z998" s="564"/>
      <c r="AA998" s="564"/>
      <c r="AB998" s="556"/>
      <c r="AC998" s="556"/>
      <c r="AD998" s="556"/>
      <c r="AE998" s="556"/>
      <c r="AF998" s="556"/>
      <c r="AG998" s="556"/>
      <c r="AH998" s="556"/>
      <c r="AI998" s="556"/>
      <c r="AJ998" s="556"/>
      <c r="AK998" s="556"/>
      <c r="AL998" s="556"/>
      <c r="AM998" s="556"/>
      <c r="AN998" s="556"/>
      <c r="AO998" s="556"/>
      <c r="AP998" s="556"/>
      <c r="AQ998" s="556"/>
      <c r="AR998" s="556"/>
      <c r="AS998" s="565"/>
      <c r="AT998" s="556"/>
    </row>
    <row r="999" spans="1:46" hidden="1" x14ac:dyDescent="0.45">
      <c r="A999" s="556"/>
      <c r="B999" s="556"/>
      <c r="C999" s="556"/>
      <c r="D999" s="564"/>
      <c r="E999" s="556"/>
      <c r="F999" s="564"/>
      <c r="G999" s="564"/>
      <c r="H999" s="564"/>
      <c r="I999" s="564"/>
      <c r="J999" s="564"/>
      <c r="K999" s="564"/>
      <c r="L999" s="564"/>
      <c r="M999" s="564"/>
      <c r="N999" s="564"/>
      <c r="O999" s="564"/>
      <c r="P999" s="564"/>
      <c r="Q999" s="564"/>
      <c r="R999" s="564"/>
      <c r="S999" s="564"/>
      <c r="T999" s="564"/>
      <c r="U999" s="564"/>
      <c r="V999" s="564"/>
      <c r="W999" s="564"/>
      <c r="X999" s="564"/>
      <c r="Y999" s="564"/>
      <c r="Z999" s="564"/>
      <c r="AA999" s="564"/>
      <c r="AB999" s="556"/>
      <c r="AC999" s="556"/>
      <c r="AD999" s="556"/>
      <c r="AE999" s="556"/>
      <c r="AF999" s="556"/>
      <c r="AG999" s="556"/>
      <c r="AH999" s="556"/>
      <c r="AI999" s="556"/>
      <c r="AJ999" s="556"/>
      <c r="AK999" s="556"/>
      <c r="AL999" s="556"/>
      <c r="AM999" s="556"/>
      <c r="AN999" s="556"/>
      <c r="AO999" s="556"/>
      <c r="AP999" s="556"/>
      <c r="AQ999" s="556"/>
      <c r="AR999" s="556"/>
      <c r="AS999" s="565"/>
      <c r="AT999" s="556"/>
    </row>
    <row r="1000" spans="1:46" hidden="1" x14ac:dyDescent="0.45">
      <c r="A1000" s="556"/>
      <c r="B1000" s="556"/>
      <c r="C1000" s="556"/>
      <c r="D1000" s="564"/>
      <c r="E1000" s="556"/>
      <c r="F1000" s="564"/>
      <c r="G1000" s="564"/>
      <c r="H1000" s="564"/>
      <c r="I1000" s="564"/>
      <c r="J1000" s="564"/>
      <c r="K1000" s="564"/>
      <c r="L1000" s="564"/>
      <c r="M1000" s="564"/>
      <c r="N1000" s="564"/>
      <c r="O1000" s="564"/>
      <c r="P1000" s="564"/>
      <c r="Q1000" s="564"/>
      <c r="R1000" s="564"/>
      <c r="S1000" s="564"/>
      <c r="T1000" s="564"/>
      <c r="U1000" s="564"/>
      <c r="V1000" s="564"/>
      <c r="W1000" s="564"/>
      <c r="X1000" s="564"/>
      <c r="Y1000" s="564"/>
      <c r="Z1000" s="564"/>
      <c r="AA1000" s="564"/>
      <c r="AB1000" s="556"/>
      <c r="AC1000" s="556"/>
      <c r="AD1000" s="556"/>
      <c r="AE1000" s="556"/>
      <c r="AF1000" s="556"/>
      <c r="AG1000" s="556"/>
      <c r="AH1000" s="556"/>
      <c r="AI1000" s="556"/>
      <c r="AJ1000" s="556"/>
      <c r="AK1000" s="556"/>
      <c r="AL1000" s="556"/>
      <c r="AM1000" s="556"/>
      <c r="AN1000" s="556"/>
      <c r="AO1000" s="556"/>
      <c r="AP1000" s="556"/>
      <c r="AQ1000" s="556"/>
      <c r="AR1000" s="556"/>
      <c r="AS1000" s="565"/>
      <c r="AT1000" s="556"/>
    </row>
    <row r="1001" spans="1:46" hidden="1" x14ac:dyDescent="0.45">
      <c r="A1001" s="556"/>
      <c r="B1001" s="556"/>
      <c r="C1001" s="556"/>
      <c r="D1001" s="564"/>
      <c r="E1001" s="556"/>
      <c r="F1001" s="564"/>
      <c r="G1001" s="564"/>
      <c r="H1001" s="564"/>
      <c r="I1001" s="564"/>
      <c r="J1001" s="564"/>
      <c r="K1001" s="564"/>
      <c r="L1001" s="564"/>
      <c r="M1001" s="564"/>
      <c r="N1001" s="564"/>
      <c r="O1001" s="564"/>
      <c r="P1001" s="564"/>
      <c r="Q1001" s="564"/>
      <c r="R1001" s="564"/>
      <c r="S1001" s="564"/>
      <c r="T1001" s="564"/>
      <c r="U1001" s="564"/>
      <c r="V1001" s="564"/>
      <c r="W1001" s="564"/>
      <c r="X1001" s="564"/>
      <c r="Y1001" s="564"/>
      <c r="Z1001" s="564"/>
      <c r="AA1001" s="564"/>
      <c r="AB1001" s="556"/>
      <c r="AC1001" s="556"/>
      <c r="AD1001" s="556"/>
      <c r="AE1001" s="556"/>
      <c r="AF1001" s="556"/>
      <c r="AG1001" s="556"/>
      <c r="AH1001" s="556"/>
      <c r="AI1001" s="556"/>
      <c r="AJ1001" s="556"/>
      <c r="AK1001" s="556"/>
      <c r="AL1001" s="556"/>
      <c r="AM1001" s="556"/>
      <c r="AN1001" s="556"/>
      <c r="AO1001" s="556"/>
      <c r="AP1001" s="556"/>
      <c r="AQ1001" s="556"/>
      <c r="AR1001" s="556"/>
      <c r="AS1001" s="565"/>
      <c r="AT1001" s="556"/>
    </row>
    <row r="1002" spans="1:46" hidden="1" x14ac:dyDescent="0.45">
      <c r="A1002" s="556"/>
      <c r="B1002" s="556"/>
      <c r="C1002" s="556"/>
      <c r="D1002" s="564"/>
      <c r="E1002" s="556"/>
      <c r="F1002" s="564"/>
      <c r="G1002" s="564"/>
      <c r="H1002" s="564"/>
      <c r="I1002" s="564"/>
      <c r="J1002" s="564"/>
      <c r="K1002" s="564"/>
      <c r="L1002" s="564"/>
      <c r="M1002" s="564"/>
      <c r="N1002" s="564"/>
      <c r="O1002" s="564"/>
      <c r="P1002" s="564"/>
      <c r="Q1002" s="564"/>
      <c r="R1002" s="564"/>
      <c r="S1002" s="564"/>
      <c r="T1002" s="564"/>
      <c r="U1002" s="564"/>
      <c r="V1002" s="564"/>
      <c r="W1002" s="564"/>
      <c r="X1002" s="564"/>
      <c r="Y1002" s="564"/>
      <c r="Z1002" s="564"/>
      <c r="AA1002" s="564"/>
      <c r="AB1002" s="556"/>
      <c r="AC1002" s="556"/>
      <c r="AD1002" s="556"/>
      <c r="AE1002" s="556"/>
      <c r="AF1002" s="556"/>
      <c r="AG1002" s="556"/>
      <c r="AH1002" s="556"/>
      <c r="AI1002" s="556"/>
      <c r="AJ1002" s="556"/>
      <c r="AK1002" s="556"/>
      <c r="AL1002" s="556"/>
      <c r="AM1002" s="556"/>
      <c r="AN1002" s="556"/>
      <c r="AO1002" s="556"/>
      <c r="AP1002" s="556"/>
      <c r="AQ1002" s="556"/>
      <c r="AR1002" s="556"/>
      <c r="AS1002" s="565"/>
      <c r="AT1002" s="556"/>
    </row>
    <row r="1003" spans="1:46" hidden="1" x14ac:dyDescent="0.45">
      <c r="A1003" s="556"/>
      <c r="B1003" s="556"/>
      <c r="C1003" s="556"/>
      <c r="D1003" s="564"/>
      <c r="E1003" s="556"/>
      <c r="F1003" s="564"/>
      <c r="G1003" s="564"/>
      <c r="H1003" s="564"/>
      <c r="I1003" s="564"/>
      <c r="J1003" s="564"/>
      <c r="K1003" s="564"/>
      <c r="L1003" s="564"/>
      <c r="M1003" s="564"/>
      <c r="N1003" s="564"/>
      <c r="O1003" s="564"/>
      <c r="P1003" s="564"/>
      <c r="Q1003" s="564"/>
      <c r="R1003" s="564"/>
      <c r="S1003" s="564"/>
      <c r="T1003" s="564"/>
      <c r="U1003" s="564"/>
      <c r="V1003" s="564"/>
      <c r="W1003" s="564"/>
      <c r="X1003" s="564"/>
      <c r="Y1003" s="564"/>
      <c r="Z1003" s="564"/>
      <c r="AA1003" s="564"/>
      <c r="AB1003" s="556"/>
      <c r="AC1003" s="556"/>
      <c r="AD1003" s="556"/>
      <c r="AE1003" s="556"/>
      <c r="AF1003" s="556"/>
      <c r="AG1003" s="556"/>
      <c r="AH1003" s="556"/>
      <c r="AI1003" s="556"/>
      <c r="AJ1003" s="556"/>
      <c r="AK1003" s="556"/>
      <c r="AL1003" s="556"/>
      <c r="AM1003" s="556"/>
      <c r="AN1003" s="556"/>
      <c r="AO1003" s="556"/>
      <c r="AP1003" s="556"/>
      <c r="AQ1003" s="556"/>
      <c r="AR1003" s="556"/>
      <c r="AS1003" s="565"/>
      <c r="AT1003" s="556"/>
    </row>
    <row r="1004" spans="1:46" hidden="1" x14ac:dyDescent="0.45">
      <c r="A1004" s="556"/>
      <c r="B1004" s="556"/>
      <c r="C1004" s="556"/>
      <c r="D1004" s="564"/>
      <c r="E1004" s="556"/>
      <c r="F1004" s="564"/>
      <c r="G1004" s="564"/>
      <c r="H1004" s="564"/>
      <c r="I1004" s="564"/>
      <c r="J1004" s="564"/>
      <c r="K1004" s="564"/>
      <c r="L1004" s="564"/>
      <c r="M1004" s="564"/>
      <c r="N1004" s="564"/>
      <c r="O1004" s="564"/>
      <c r="P1004" s="564"/>
      <c r="Q1004" s="564"/>
      <c r="R1004" s="564"/>
      <c r="S1004" s="564"/>
      <c r="T1004" s="564"/>
      <c r="U1004" s="564"/>
      <c r="V1004" s="564"/>
      <c r="W1004" s="564"/>
      <c r="X1004" s="564"/>
      <c r="Y1004" s="564"/>
      <c r="Z1004" s="564"/>
      <c r="AA1004" s="564"/>
      <c r="AB1004" s="556"/>
      <c r="AC1004" s="556"/>
      <c r="AD1004" s="556"/>
      <c r="AE1004" s="556"/>
      <c r="AF1004" s="556"/>
      <c r="AG1004" s="556"/>
      <c r="AH1004" s="556"/>
      <c r="AI1004" s="556"/>
      <c r="AJ1004" s="556"/>
      <c r="AK1004" s="556"/>
      <c r="AL1004" s="556"/>
      <c r="AM1004" s="556"/>
      <c r="AN1004" s="556"/>
      <c r="AO1004" s="556"/>
      <c r="AP1004" s="556"/>
      <c r="AQ1004" s="556"/>
      <c r="AR1004" s="556"/>
      <c r="AS1004" s="565"/>
      <c r="AT1004" s="556"/>
    </row>
    <row r="1005" spans="1:46" hidden="1" x14ac:dyDescent="0.45">
      <c r="A1005" s="556"/>
      <c r="B1005" s="556"/>
      <c r="C1005" s="556"/>
      <c r="D1005" s="564"/>
      <c r="E1005" s="556"/>
      <c r="F1005" s="564"/>
      <c r="G1005" s="564"/>
      <c r="H1005" s="564"/>
      <c r="I1005" s="564"/>
      <c r="J1005" s="564"/>
      <c r="K1005" s="564"/>
      <c r="L1005" s="564"/>
      <c r="M1005" s="564"/>
      <c r="N1005" s="564"/>
      <c r="O1005" s="564"/>
      <c r="P1005" s="564"/>
      <c r="Q1005" s="564"/>
      <c r="R1005" s="564"/>
      <c r="S1005" s="564"/>
      <c r="T1005" s="564"/>
      <c r="U1005" s="564"/>
      <c r="V1005" s="564"/>
      <c r="W1005" s="564"/>
      <c r="X1005" s="564"/>
      <c r="Y1005" s="564"/>
      <c r="Z1005" s="564"/>
      <c r="AA1005" s="564"/>
      <c r="AB1005" s="556"/>
      <c r="AC1005" s="556"/>
      <c r="AD1005" s="556"/>
      <c r="AE1005" s="556"/>
      <c r="AF1005" s="556"/>
      <c r="AG1005" s="556"/>
      <c r="AH1005" s="556"/>
      <c r="AI1005" s="556"/>
      <c r="AJ1005" s="556"/>
      <c r="AK1005" s="556"/>
      <c r="AL1005" s="556"/>
      <c r="AM1005" s="556"/>
      <c r="AN1005" s="556"/>
      <c r="AO1005" s="556"/>
      <c r="AP1005" s="556"/>
      <c r="AQ1005" s="556"/>
      <c r="AR1005" s="556"/>
      <c r="AS1005" s="565"/>
      <c r="AT1005" s="556"/>
    </row>
    <row r="1006" spans="1:46" hidden="1" x14ac:dyDescent="0.45">
      <c r="A1006" s="556"/>
      <c r="B1006" s="556"/>
      <c r="C1006" s="556"/>
      <c r="D1006" s="564"/>
      <c r="E1006" s="556"/>
      <c r="F1006" s="564"/>
      <c r="G1006" s="564"/>
      <c r="H1006" s="564"/>
      <c r="I1006" s="564"/>
      <c r="J1006" s="564"/>
      <c r="K1006" s="564"/>
      <c r="L1006" s="564"/>
      <c r="M1006" s="564"/>
      <c r="N1006" s="564"/>
      <c r="O1006" s="564"/>
      <c r="P1006" s="564"/>
      <c r="Q1006" s="564"/>
      <c r="R1006" s="564"/>
      <c r="S1006" s="564"/>
      <c r="T1006" s="564"/>
      <c r="U1006" s="564"/>
      <c r="V1006" s="564"/>
      <c r="W1006" s="564"/>
      <c r="X1006" s="564"/>
      <c r="Y1006" s="564"/>
      <c r="Z1006" s="564"/>
      <c r="AA1006" s="564"/>
      <c r="AB1006" s="556"/>
      <c r="AC1006" s="556"/>
      <c r="AD1006" s="556"/>
      <c r="AE1006" s="556"/>
      <c r="AF1006" s="556"/>
      <c r="AG1006" s="556"/>
      <c r="AH1006" s="556"/>
      <c r="AI1006" s="556"/>
      <c r="AJ1006" s="556"/>
      <c r="AK1006" s="556"/>
      <c r="AL1006" s="556"/>
      <c r="AM1006" s="556"/>
      <c r="AN1006" s="556"/>
      <c r="AO1006" s="556"/>
      <c r="AP1006" s="556"/>
      <c r="AQ1006" s="556"/>
      <c r="AR1006" s="556"/>
      <c r="AS1006" s="565"/>
      <c r="AT1006" s="556"/>
    </row>
    <row r="1007" spans="1:46" hidden="1" x14ac:dyDescent="0.45">
      <c r="A1007" s="556"/>
      <c r="B1007" s="556"/>
      <c r="C1007" s="556"/>
      <c r="D1007" s="564"/>
      <c r="E1007" s="556"/>
      <c r="F1007" s="564"/>
      <c r="G1007" s="564"/>
      <c r="H1007" s="564"/>
      <c r="I1007" s="564"/>
      <c r="J1007" s="564"/>
      <c r="K1007" s="564"/>
      <c r="L1007" s="564"/>
      <c r="M1007" s="564"/>
      <c r="N1007" s="564"/>
      <c r="O1007" s="564"/>
      <c r="P1007" s="564"/>
      <c r="Q1007" s="564"/>
      <c r="R1007" s="564"/>
      <c r="S1007" s="564"/>
      <c r="T1007" s="564"/>
      <c r="U1007" s="564"/>
      <c r="V1007" s="564"/>
      <c r="W1007" s="564"/>
      <c r="X1007" s="564"/>
      <c r="Y1007" s="564"/>
      <c r="Z1007" s="564"/>
      <c r="AA1007" s="564"/>
      <c r="AB1007" s="556"/>
      <c r="AC1007" s="556"/>
      <c r="AD1007" s="556"/>
      <c r="AE1007" s="556"/>
      <c r="AF1007" s="556"/>
      <c r="AG1007" s="556"/>
      <c r="AH1007" s="556"/>
      <c r="AI1007" s="556"/>
      <c r="AJ1007" s="556"/>
      <c r="AK1007" s="556"/>
      <c r="AL1007" s="556"/>
      <c r="AM1007" s="556"/>
      <c r="AN1007" s="556"/>
      <c r="AO1007" s="556"/>
      <c r="AP1007" s="556"/>
      <c r="AQ1007" s="556"/>
      <c r="AR1007" s="556"/>
      <c r="AS1007" s="565"/>
      <c r="AT1007" s="556"/>
    </row>
    <row r="1008" spans="1:46" hidden="1" x14ac:dyDescent="0.45">
      <c r="A1008" s="556"/>
      <c r="B1008" s="556"/>
      <c r="C1008" s="556"/>
      <c r="D1008" s="564"/>
      <c r="E1008" s="556"/>
      <c r="F1008" s="564"/>
      <c r="G1008" s="564"/>
      <c r="H1008" s="564"/>
      <c r="I1008" s="564"/>
      <c r="J1008" s="564"/>
      <c r="K1008" s="564"/>
      <c r="L1008" s="564"/>
      <c r="M1008" s="564"/>
      <c r="N1008" s="564"/>
      <c r="O1008" s="564"/>
      <c r="P1008" s="564"/>
      <c r="Q1008" s="564"/>
      <c r="R1008" s="564"/>
      <c r="S1008" s="564"/>
      <c r="T1008" s="564"/>
      <c r="U1008" s="564"/>
      <c r="V1008" s="564"/>
      <c r="W1008" s="564"/>
      <c r="X1008" s="564"/>
      <c r="Y1008" s="564"/>
      <c r="Z1008" s="564"/>
      <c r="AA1008" s="564"/>
      <c r="AB1008" s="556"/>
      <c r="AC1008" s="556"/>
      <c r="AD1008" s="556"/>
      <c r="AE1008" s="556"/>
      <c r="AF1008" s="556"/>
      <c r="AG1008" s="556"/>
      <c r="AH1008" s="556"/>
      <c r="AI1008" s="556"/>
      <c r="AJ1008" s="556"/>
      <c r="AK1008" s="556"/>
      <c r="AL1008" s="556"/>
      <c r="AM1008" s="556"/>
      <c r="AN1008" s="556"/>
      <c r="AO1008" s="556"/>
      <c r="AP1008" s="556"/>
      <c r="AQ1008" s="556"/>
      <c r="AR1008" s="556"/>
      <c r="AS1008" s="565"/>
      <c r="AT1008" s="556"/>
    </row>
    <row r="1009" spans="1:46" hidden="1" x14ac:dyDescent="0.45">
      <c r="A1009" s="556"/>
      <c r="B1009" s="556"/>
      <c r="C1009" s="556"/>
      <c r="D1009" s="564"/>
      <c r="E1009" s="556"/>
      <c r="F1009" s="564"/>
      <c r="G1009" s="564"/>
      <c r="H1009" s="564"/>
      <c r="I1009" s="564"/>
      <c r="J1009" s="564"/>
      <c r="K1009" s="564"/>
      <c r="L1009" s="564"/>
      <c r="M1009" s="564"/>
      <c r="N1009" s="564"/>
      <c r="O1009" s="564"/>
      <c r="P1009" s="564"/>
      <c r="Q1009" s="564"/>
      <c r="R1009" s="564"/>
      <c r="S1009" s="564"/>
      <c r="T1009" s="564"/>
      <c r="U1009" s="564"/>
      <c r="V1009" s="564"/>
      <c r="W1009" s="564"/>
      <c r="X1009" s="564"/>
      <c r="Y1009" s="564"/>
      <c r="Z1009" s="564"/>
      <c r="AA1009" s="564"/>
      <c r="AB1009" s="556"/>
      <c r="AC1009" s="556"/>
      <c r="AD1009" s="556"/>
      <c r="AE1009" s="556"/>
      <c r="AF1009" s="556"/>
      <c r="AG1009" s="556"/>
      <c r="AH1009" s="556"/>
      <c r="AI1009" s="556"/>
      <c r="AJ1009" s="556"/>
      <c r="AK1009" s="556"/>
      <c r="AL1009" s="556"/>
      <c r="AM1009" s="556"/>
      <c r="AN1009" s="556"/>
      <c r="AO1009" s="556"/>
      <c r="AP1009" s="556"/>
      <c r="AQ1009" s="556"/>
      <c r="AR1009" s="556"/>
      <c r="AS1009" s="565"/>
      <c r="AT1009" s="556"/>
    </row>
    <row r="1010" spans="1:46" hidden="1" x14ac:dyDescent="0.45">
      <c r="A1010" s="556"/>
      <c r="B1010" s="556"/>
      <c r="C1010" s="556"/>
      <c r="D1010" s="564"/>
      <c r="E1010" s="556"/>
      <c r="F1010" s="564"/>
      <c r="G1010" s="564"/>
      <c r="H1010" s="564"/>
      <c r="I1010" s="564"/>
      <c r="J1010" s="564"/>
      <c r="K1010" s="564"/>
      <c r="L1010" s="564"/>
      <c r="M1010" s="564"/>
      <c r="N1010" s="564"/>
      <c r="O1010" s="564"/>
      <c r="P1010" s="564"/>
      <c r="Q1010" s="564"/>
      <c r="R1010" s="564"/>
      <c r="S1010" s="564"/>
      <c r="T1010" s="564"/>
      <c r="U1010" s="564"/>
      <c r="V1010" s="564"/>
      <c r="W1010" s="564"/>
      <c r="X1010" s="564"/>
      <c r="Y1010" s="564"/>
      <c r="Z1010" s="564"/>
      <c r="AA1010" s="564"/>
      <c r="AB1010" s="556"/>
      <c r="AC1010" s="556"/>
      <c r="AD1010" s="556"/>
      <c r="AE1010" s="556"/>
      <c r="AF1010" s="556"/>
      <c r="AG1010" s="556"/>
      <c r="AH1010" s="556"/>
      <c r="AI1010" s="556"/>
      <c r="AJ1010" s="556"/>
      <c r="AK1010" s="556"/>
      <c r="AL1010" s="556"/>
      <c r="AM1010" s="556"/>
      <c r="AN1010" s="556"/>
      <c r="AO1010" s="556"/>
      <c r="AP1010" s="556"/>
      <c r="AQ1010" s="556"/>
      <c r="AR1010" s="556"/>
      <c r="AS1010" s="565"/>
      <c r="AT1010" s="556"/>
    </row>
    <row r="1011" spans="1:46" hidden="1" x14ac:dyDescent="0.45">
      <c r="A1011" s="556"/>
      <c r="B1011" s="556"/>
      <c r="C1011" s="556"/>
      <c r="D1011" s="564"/>
      <c r="E1011" s="556"/>
      <c r="F1011" s="564"/>
      <c r="G1011" s="564"/>
      <c r="H1011" s="564"/>
      <c r="I1011" s="564"/>
      <c r="J1011" s="564"/>
      <c r="K1011" s="564"/>
      <c r="L1011" s="564"/>
      <c r="M1011" s="564"/>
      <c r="N1011" s="564"/>
      <c r="O1011" s="564"/>
      <c r="P1011" s="564"/>
      <c r="Q1011" s="564"/>
      <c r="R1011" s="564"/>
      <c r="S1011" s="564"/>
      <c r="T1011" s="564"/>
      <c r="U1011" s="564"/>
      <c r="V1011" s="564"/>
      <c r="W1011" s="564"/>
      <c r="X1011" s="564"/>
      <c r="Y1011" s="564"/>
      <c r="Z1011" s="564"/>
      <c r="AA1011" s="564"/>
      <c r="AB1011" s="556"/>
      <c r="AC1011" s="556"/>
      <c r="AD1011" s="556"/>
      <c r="AE1011" s="556"/>
      <c r="AF1011" s="556"/>
      <c r="AG1011" s="556"/>
      <c r="AH1011" s="556"/>
      <c r="AI1011" s="556"/>
      <c r="AJ1011" s="556"/>
      <c r="AK1011" s="556"/>
      <c r="AL1011" s="556"/>
      <c r="AM1011" s="556"/>
      <c r="AN1011" s="556"/>
      <c r="AO1011" s="556"/>
      <c r="AP1011" s="556"/>
      <c r="AQ1011" s="556"/>
      <c r="AR1011" s="556"/>
      <c r="AS1011" s="565"/>
      <c r="AT1011" s="556"/>
    </row>
    <row r="1012" spans="1:46" hidden="1" x14ac:dyDescent="0.45">
      <c r="A1012" s="556"/>
      <c r="B1012" s="556"/>
      <c r="C1012" s="556"/>
      <c r="D1012" s="564"/>
      <c r="E1012" s="556"/>
      <c r="F1012" s="564"/>
      <c r="G1012" s="564"/>
      <c r="H1012" s="564"/>
      <c r="I1012" s="564"/>
      <c r="J1012" s="564"/>
      <c r="K1012" s="564"/>
      <c r="L1012" s="564"/>
      <c r="M1012" s="564"/>
      <c r="N1012" s="564"/>
      <c r="O1012" s="564"/>
      <c r="P1012" s="564"/>
      <c r="Q1012" s="564"/>
      <c r="R1012" s="564"/>
      <c r="S1012" s="564"/>
      <c r="T1012" s="564"/>
      <c r="U1012" s="564"/>
      <c r="V1012" s="564"/>
      <c r="W1012" s="564"/>
      <c r="X1012" s="564"/>
      <c r="Y1012" s="564"/>
      <c r="Z1012" s="564"/>
      <c r="AA1012" s="564"/>
      <c r="AB1012" s="556"/>
      <c r="AC1012" s="556"/>
      <c r="AD1012" s="556"/>
      <c r="AE1012" s="556"/>
      <c r="AF1012" s="556"/>
      <c r="AG1012" s="556"/>
      <c r="AH1012" s="556"/>
      <c r="AI1012" s="556"/>
      <c r="AJ1012" s="556"/>
      <c r="AK1012" s="556"/>
      <c r="AL1012" s="556"/>
      <c r="AM1012" s="556"/>
      <c r="AN1012" s="556"/>
      <c r="AO1012" s="556"/>
      <c r="AP1012" s="556"/>
      <c r="AQ1012" s="556"/>
      <c r="AR1012" s="556"/>
      <c r="AS1012" s="565"/>
      <c r="AT1012" s="556"/>
    </row>
    <row r="1013" spans="1:46" hidden="1" x14ac:dyDescent="0.45">
      <c r="A1013" s="556"/>
      <c r="B1013" s="556"/>
      <c r="C1013" s="556"/>
      <c r="D1013" s="564"/>
      <c r="E1013" s="556"/>
      <c r="F1013" s="564"/>
      <c r="G1013" s="564"/>
      <c r="H1013" s="564"/>
      <c r="I1013" s="564"/>
      <c r="J1013" s="564"/>
      <c r="K1013" s="564"/>
      <c r="L1013" s="564"/>
      <c r="M1013" s="564"/>
      <c r="N1013" s="564"/>
      <c r="O1013" s="564"/>
      <c r="P1013" s="564"/>
      <c r="Q1013" s="564"/>
      <c r="R1013" s="564"/>
      <c r="S1013" s="564"/>
      <c r="T1013" s="564"/>
      <c r="U1013" s="564"/>
      <c r="V1013" s="564"/>
      <c r="W1013" s="564"/>
      <c r="X1013" s="564"/>
      <c r="Y1013" s="564"/>
      <c r="Z1013" s="564"/>
      <c r="AA1013" s="564"/>
      <c r="AB1013" s="556"/>
      <c r="AC1013" s="556"/>
      <c r="AD1013" s="556"/>
      <c r="AE1013" s="556"/>
      <c r="AF1013" s="556"/>
      <c r="AG1013" s="556"/>
      <c r="AH1013" s="556"/>
      <c r="AI1013" s="556"/>
      <c r="AJ1013" s="556"/>
      <c r="AK1013" s="556"/>
      <c r="AL1013" s="556"/>
      <c r="AM1013" s="556"/>
      <c r="AN1013" s="556"/>
      <c r="AO1013" s="556"/>
      <c r="AP1013" s="556"/>
      <c r="AQ1013" s="556"/>
      <c r="AR1013" s="556"/>
      <c r="AS1013" s="565"/>
      <c r="AT1013" s="556"/>
    </row>
    <row r="1014" spans="1:46" hidden="1" x14ac:dyDescent="0.45">
      <c r="A1014" s="556"/>
      <c r="B1014" s="556"/>
      <c r="C1014" s="556"/>
      <c r="D1014" s="564"/>
      <c r="E1014" s="556"/>
      <c r="F1014" s="564"/>
      <c r="G1014" s="564"/>
      <c r="H1014" s="564"/>
      <c r="I1014" s="564"/>
      <c r="J1014" s="564"/>
      <c r="K1014" s="564"/>
      <c r="L1014" s="564"/>
      <c r="M1014" s="564"/>
      <c r="N1014" s="564"/>
      <c r="O1014" s="564"/>
      <c r="P1014" s="564"/>
      <c r="Q1014" s="564"/>
      <c r="R1014" s="564"/>
      <c r="S1014" s="564"/>
      <c r="T1014" s="564"/>
      <c r="U1014" s="564"/>
      <c r="V1014" s="564"/>
      <c r="W1014" s="564"/>
      <c r="X1014" s="564"/>
      <c r="Y1014" s="564"/>
      <c r="Z1014" s="564"/>
      <c r="AA1014" s="564"/>
      <c r="AB1014" s="556"/>
      <c r="AC1014" s="556"/>
      <c r="AD1014" s="556"/>
      <c r="AE1014" s="556"/>
      <c r="AF1014" s="556"/>
      <c r="AG1014" s="556"/>
      <c r="AH1014" s="556"/>
      <c r="AI1014" s="556"/>
      <c r="AJ1014" s="556"/>
      <c r="AK1014" s="556"/>
      <c r="AL1014" s="556"/>
      <c r="AM1014" s="556"/>
      <c r="AN1014" s="556"/>
      <c r="AO1014" s="556"/>
      <c r="AP1014" s="556"/>
      <c r="AQ1014" s="556"/>
      <c r="AR1014" s="556"/>
      <c r="AS1014" s="565"/>
      <c r="AT1014" s="556"/>
    </row>
    <row r="1015" spans="1:46" hidden="1" x14ac:dyDescent="0.45">
      <c r="A1015" s="556"/>
      <c r="B1015" s="556"/>
      <c r="C1015" s="556"/>
      <c r="D1015" s="564"/>
      <c r="E1015" s="556"/>
      <c r="F1015" s="564"/>
      <c r="G1015" s="564"/>
      <c r="H1015" s="564"/>
      <c r="I1015" s="564"/>
      <c r="J1015" s="564"/>
      <c r="K1015" s="564"/>
      <c r="L1015" s="564"/>
      <c r="M1015" s="564"/>
      <c r="N1015" s="564"/>
      <c r="O1015" s="564"/>
      <c r="P1015" s="564"/>
      <c r="Q1015" s="564"/>
      <c r="R1015" s="564"/>
      <c r="S1015" s="564"/>
      <c r="T1015" s="564"/>
      <c r="U1015" s="564"/>
      <c r="V1015" s="564"/>
      <c r="W1015" s="564"/>
      <c r="X1015" s="564"/>
      <c r="Y1015" s="564"/>
      <c r="Z1015" s="564"/>
      <c r="AA1015" s="564"/>
      <c r="AB1015" s="556"/>
      <c r="AC1015" s="556"/>
      <c r="AD1015" s="556"/>
      <c r="AE1015" s="556"/>
      <c r="AF1015" s="556"/>
      <c r="AG1015" s="556"/>
      <c r="AH1015" s="556"/>
      <c r="AI1015" s="556"/>
      <c r="AJ1015" s="556"/>
      <c r="AK1015" s="556"/>
      <c r="AL1015" s="556"/>
      <c r="AM1015" s="556"/>
      <c r="AN1015" s="556"/>
      <c r="AO1015" s="556"/>
      <c r="AP1015" s="556"/>
      <c r="AQ1015" s="556"/>
      <c r="AR1015" s="556"/>
      <c r="AS1015" s="565"/>
      <c r="AT1015" s="556"/>
    </row>
    <row r="1016" spans="1:46" hidden="1" x14ac:dyDescent="0.45">
      <c r="A1016" s="556"/>
      <c r="B1016" s="556"/>
      <c r="C1016" s="556"/>
      <c r="D1016" s="564"/>
      <c r="E1016" s="556"/>
      <c r="F1016" s="564"/>
      <c r="G1016" s="564"/>
      <c r="H1016" s="564"/>
      <c r="I1016" s="564"/>
      <c r="J1016" s="564"/>
      <c r="K1016" s="564"/>
      <c r="L1016" s="564"/>
      <c r="M1016" s="564"/>
      <c r="N1016" s="564"/>
      <c r="O1016" s="564"/>
      <c r="P1016" s="564"/>
      <c r="Q1016" s="564"/>
      <c r="R1016" s="564"/>
      <c r="S1016" s="564"/>
      <c r="T1016" s="564"/>
      <c r="U1016" s="564"/>
      <c r="V1016" s="564"/>
      <c r="W1016" s="564"/>
      <c r="X1016" s="564"/>
      <c r="Y1016" s="564"/>
      <c r="Z1016" s="564"/>
      <c r="AA1016" s="564"/>
      <c r="AB1016" s="556"/>
      <c r="AC1016" s="556"/>
      <c r="AD1016" s="556"/>
      <c r="AE1016" s="556"/>
      <c r="AF1016" s="556"/>
      <c r="AG1016" s="556"/>
      <c r="AH1016" s="556"/>
      <c r="AI1016" s="556"/>
      <c r="AJ1016" s="556"/>
      <c r="AK1016" s="556"/>
      <c r="AL1016" s="556"/>
      <c r="AM1016" s="556"/>
      <c r="AN1016" s="556"/>
      <c r="AO1016" s="556"/>
      <c r="AP1016" s="556"/>
      <c r="AQ1016" s="556"/>
      <c r="AR1016" s="556"/>
      <c r="AS1016" s="565"/>
      <c r="AT1016" s="556"/>
    </row>
    <row r="1017" spans="1:46" hidden="1" x14ac:dyDescent="0.45">
      <c r="A1017" s="556"/>
      <c r="B1017" s="556"/>
      <c r="C1017" s="556"/>
      <c r="D1017" s="564"/>
      <c r="E1017" s="556"/>
      <c r="F1017" s="564"/>
      <c r="G1017" s="564"/>
      <c r="H1017" s="564"/>
      <c r="I1017" s="564"/>
      <c r="J1017" s="564"/>
      <c r="K1017" s="564"/>
      <c r="L1017" s="564"/>
      <c r="M1017" s="564"/>
      <c r="N1017" s="564"/>
      <c r="O1017" s="564"/>
      <c r="P1017" s="564"/>
      <c r="Q1017" s="564"/>
      <c r="R1017" s="564"/>
      <c r="S1017" s="564"/>
      <c r="T1017" s="564"/>
      <c r="U1017" s="564"/>
      <c r="V1017" s="564"/>
      <c r="W1017" s="564"/>
      <c r="X1017" s="564"/>
      <c r="Y1017" s="564"/>
      <c r="Z1017" s="564"/>
      <c r="AA1017" s="564"/>
      <c r="AB1017" s="556"/>
      <c r="AC1017" s="556"/>
      <c r="AD1017" s="556"/>
      <c r="AE1017" s="556"/>
      <c r="AF1017" s="556"/>
      <c r="AG1017" s="556"/>
      <c r="AH1017" s="556"/>
      <c r="AI1017" s="556"/>
      <c r="AJ1017" s="556"/>
      <c r="AK1017" s="556"/>
      <c r="AL1017" s="556"/>
      <c r="AM1017" s="556"/>
      <c r="AN1017" s="556"/>
      <c r="AO1017" s="556"/>
      <c r="AP1017" s="556"/>
      <c r="AQ1017" s="556"/>
      <c r="AR1017" s="556"/>
      <c r="AS1017" s="565"/>
      <c r="AT1017" s="556"/>
    </row>
    <row r="1018" spans="1:46" hidden="1" x14ac:dyDescent="0.45">
      <c r="A1018" s="556"/>
      <c r="B1018" s="556"/>
      <c r="C1018" s="556"/>
      <c r="D1018" s="564"/>
      <c r="E1018" s="556"/>
      <c r="F1018" s="564"/>
      <c r="G1018" s="564"/>
      <c r="H1018" s="564"/>
      <c r="I1018" s="564"/>
      <c r="J1018" s="564"/>
      <c r="K1018" s="564"/>
      <c r="L1018" s="564"/>
      <c r="M1018" s="564"/>
      <c r="N1018" s="564"/>
      <c r="O1018" s="564"/>
      <c r="P1018" s="564"/>
      <c r="Q1018" s="564"/>
      <c r="R1018" s="564"/>
      <c r="S1018" s="564"/>
      <c r="T1018" s="564"/>
      <c r="U1018" s="564"/>
      <c r="V1018" s="564"/>
      <c r="W1018" s="564"/>
      <c r="X1018" s="564"/>
      <c r="Y1018" s="564"/>
      <c r="Z1018" s="564"/>
      <c r="AA1018" s="564"/>
      <c r="AB1018" s="556"/>
      <c r="AC1018" s="556"/>
      <c r="AD1018" s="556"/>
      <c r="AE1018" s="556"/>
      <c r="AF1018" s="556"/>
      <c r="AG1018" s="556"/>
      <c r="AH1018" s="556"/>
      <c r="AI1018" s="556"/>
      <c r="AJ1018" s="556"/>
      <c r="AK1018" s="556"/>
      <c r="AL1018" s="556"/>
      <c r="AM1018" s="556"/>
      <c r="AN1018" s="556"/>
      <c r="AO1018" s="556"/>
      <c r="AP1018" s="556"/>
      <c r="AQ1018" s="556"/>
      <c r="AR1018" s="556"/>
      <c r="AS1018" s="565"/>
      <c r="AT1018" s="556"/>
    </row>
    <row r="1019" spans="1:46" hidden="1" x14ac:dyDescent="0.45">
      <c r="A1019" s="556"/>
      <c r="B1019" s="556"/>
      <c r="C1019" s="556"/>
      <c r="D1019" s="564"/>
      <c r="E1019" s="556"/>
      <c r="F1019" s="564"/>
      <c r="G1019" s="564"/>
      <c r="H1019" s="564"/>
      <c r="I1019" s="564"/>
      <c r="J1019" s="564"/>
      <c r="K1019" s="564"/>
      <c r="L1019" s="564"/>
      <c r="M1019" s="564"/>
      <c r="N1019" s="564"/>
      <c r="O1019" s="564"/>
      <c r="P1019" s="564"/>
      <c r="Q1019" s="564"/>
      <c r="R1019" s="564"/>
      <c r="S1019" s="564"/>
      <c r="T1019" s="564"/>
      <c r="U1019" s="564"/>
      <c r="V1019" s="564"/>
      <c r="W1019" s="564"/>
      <c r="X1019" s="564"/>
      <c r="Y1019" s="564"/>
      <c r="Z1019" s="564"/>
      <c r="AA1019" s="564"/>
      <c r="AB1019" s="556"/>
      <c r="AC1019" s="556"/>
      <c r="AD1019" s="556"/>
      <c r="AE1019" s="556"/>
      <c r="AF1019" s="556"/>
      <c r="AG1019" s="556"/>
      <c r="AH1019" s="556"/>
      <c r="AI1019" s="556"/>
      <c r="AJ1019" s="556"/>
      <c r="AK1019" s="556"/>
      <c r="AL1019" s="556"/>
      <c r="AM1019" s="556"/>
      <c r="AN1019" s="556"/>
      <c r="AO1019" s="556"/>
      <c r="AP1019" s="556"/>
      <c r="AQ1019" s="556"/>
      <c r="AR1019" s="556"/>
      <c r="AS1019" s="565"/>
      <c r="AT1019" s="556"/>
    </row>
    <row r="1020" spans="1:46" hidden="1" x14ac:dyDescent="0.45">
      <c r="A1020" s="556"/>
      <c r="B1020" s="556"/>
      <c r="C1020" s="556"/>
      <c r="D1020" s="564"/>
      <c r="E1020" s="556"/>
      <c r="F1020" s="564"/>
      <c r="G1020" s="564"/>
      <c r="H1020" s="564"/>
      <c r="I1020" s="564"/>
      <c r="J1020" s="564"/>
      <c r="K1020" s="564"/>
      <c r="L1020" s="564"/>
      <c r="M1020" s="564"/>
      <c r="N1020" s="564"/>
      <c r="O1020" s="564"/>
      <c r="P1020" s="564"/>
      <c r="Q1020" s="564"/>
      <c r="R1020" s="564"/>
      <c r="S1020" s="564"/>
      <c r="T1020" s="564"/>
      <c r="U1020" s="564"/>
      <c r="V1020" s="564"/>
      <c r="W1020" s="564"/>
      <c r="X1020" s="564"/>
      <c r="Y1020" s="564"/>
      <c r="Z1020" s="564"/>
      <c r="AA1020" s="564"/>
      <c r="AB1020" s="556"/>
      <c r="AC1020" s="556"/>
      <c r="AD1020" s="556"/>
      <c r="AE1020" s="556"/>
      <c r="AF1020" s="556"/>
      <c r="AG1020" s="556"/>
      <c r="AH1020" s="556"/>
      <c r="AI1020" s="556"/>
      <c r="AJ1020" s="556"/>
      <c r="AK1020" s="556"/>
      <c r="AL1020" s="556"/>
      <c r="AM1020" s="556"/>
      <c r="AN1020" s="556"/>
      <c r="AO1020" s="556"/>
      <c r="AP1020" s="556"/>
      <c r="AQ1020" s="556"/>
      <c r="AR1020" s="556"/>
      <c r="AS1020" s="565"/>
      <c r="AT1020" s="556"/>
    </row>
    <row r="1021" spans="1:46" hidden="1" x14ac:dyDescent="0.45">
      <c r="A1021" s="556"/>
      <c r="B1021" s="556"/>
      <c r="C1021" s="556"/>
      <c r="D1021" s="564"/>
      <c r="E1021" s="556"/>
      <c r="F1021" s="564"/>
      <c r="G1021" s="564"/>
      <c r="H1021" s="564"/>
      <c r="I1021" s="564"/>
      <c r="J1021" s="564"/>
      <c r="K1021" s="564"/>
      <c r="L1021" s="564"/>
      <c r="M1021" s="564"/>
      <c r="N1021" s="564"/>
      <c r="O1021" s="564"/>
      <c r="P1021" s="564"/>
      <c r="Q1021" s="564"/>
      <c r="R1021" s="564"/>
      <c r="S1021" s="564"/>
      <c r="T1021" s="564"/>
      <c r="U1021" s="564"/>
      <c r="V1021" s="564"/>
      <c r="W1021" s="564"/>
      <c r="X1021" s="564"/>
      <c r="Y1021" s="564"/>
      <c r="Z1021" s="564"/>
      <c r="AA1021" s="564"/>
      <c r="AB1021" s="556"/>
      <c r="AC1021" s="556"/>
      <c r="AD1021" s="556"/>
      <c r="AE1021" s="556"/>
      <c r="AF1021" s="556"/>
      <c r="AG1021" s="556"/>
      <c r="AH1021" s="556"/>
      <c r="AI1021" s="556"/>
      <c r="AJ1021" s="556"/>
      <c r="AK1021" s="556"/>
      <c r="AL1021" s="556"/>
      <c r="AM1021" s="556"/>
      <c r="AN1021" s="556"/>
      <c r="AO1021" s="556"/>
      <c r="AP1021" s="556"/>
      <c r="AQ1021" s="556"/>
      <c r="AR1021" s="556"/>
      <c r="AS1021" s="565"/>
      <c r="AT1021" s="556"/>
    </row>
    <row r="1022" spans="1:46" hidden="1" x14ac:dyDescent="0.45">
      <c r="A1022" s="556"/>
      <c r="B1022" s="556"/>
      <c r="C1022" s="556"/>
      <c r="D1022" s="564"/>
      <c r="E1022" s="556"/>
      <c r="F1022" s="564"/>
      <c r="G1022" s="564"/>
      <c r="H1022" s="564"/>
      <c r="I1022" s="564"/>
      <c r="J1022" s="564"/>
      <c r="K1022" s="564"/>
      <c r="L1022" s="564"/>
      <c r="M1022" s="564"/>
      <c r="N1022" s="564"/>
      <c r="O1022" s="564"/>
      <c r="P1022" s="564"/>
      <c r="Q1022" s="564"/>
      <c r="R1022" s="564"/>
      <c r="S1022" s="564"/>
      <c r="T1022" s="564"/>
      <c r="U1022" s="564"/>
      <c r="V1022" s="564"/>
      <c r="W1022" s="564"/>
      <c r="X1022" s="564"/>
      <c r="Y1022" s="564"/>
      <c r="Z1022" s="564"/>
      <c r="AA1022" s="564"/>
      <c r="AB1022" s="556"/>
      <c r="AC1022" s="556"/>
      <c r="AD1022" s="556"/>
      <c r="AE1022" s="556"/>
      <c r="AF1022" s="556"/>
      <c r="AG1022" s="556"/>
      <c r="AH1022" s="556"/>
      <c r="AI1022" s="556"/>
      <c r="AJ1022" s="556"/>
      <c r="AK1022" s="556"/>
      <c r="AL1022" s="556"/>
      <c r="AM1022" s="556"/>
      <c r="AN1022" s="556"/>
      <c r="AO1022" s="556"/>
      <c r="AP1022" s="556"/>
      <c r="AQ1022" s="556"/>
      <c r="AR1022" s="556"/>
      <c r="AS1022" s="565"/>
      <c r="AT1022" s="556"/>
    </row>
    <row r="1023" spans="1:46" hidden="1" x14ac:dyDescent="0.45">
      <c r="A1023" s="556"/>
      <c r="B1023" s="556"/>
      <c r="C1023" s="556"/>
      <c r="D1023" s="564"/>
      <c r="E1023" s="556"/>
      <c r="F1023" s="564"/>
      <c r="G1023" s="564"/>
      <c r="H1023" s="564"/>
      <c r="I1023" s="564"/>
      <c r="J1023" s="564"/>
      <c r="K1023" s="564"/>
      <c r="L1023" s="564"/>
      <c r="M1023" s="564"/>
      <c r="N1023" s="564"/>
      <c r="O1023" s="564"/>
      <c r="P1023" s="564"/>
      <c r="Q1023" s="564"/>
      <c r="R1023" s="564"/>
      <c r="S1023" s="564"/>
      <c r="T1023" s="564"/>
      <c r="U1023" s="564"/>
      <c r="V1023" s="564"/>
      <c r="W1023" s="564"/>
      <c r="X1023" s="564"/>
      <c r="Y1023" s="564"/>
      <c r="Z1023" s="564"/>
      <c r="AA1023" s="564"/>
      <c r="AB1023" s="556"/>
      <c r="AC1023" s="556"/>
      <c r="AD1023" s="556"/>
      <c r="AE1023" s="556"/>
      <c r="AF1023" s="556"/>
      <c r="AG1023" s="556"/>
      <c r="AH1023" s="556"/>
      <c r="AI1023" s="556"/>
      <c r="AJ1023" s="556"/>
      <c r="AK1023" s="556"/>
      <c r="AL1023" s="556"/>
      <c r="AM1023" s="556"/>
      <c r="AN1023" s="556"/>
      <c r="AO1023" s="556"/>
      <c r="AP1023" s="556"/>
      <c r="AQ1023" s="556"/>
      <c r="AR1023" s="556"/>
      <c r="AS1023" s="565"/>
      <c r="AT1023" s="556"/>
    </row>
    <row r="1024" spans="1:46" hidden="1" x14ac:dyDescent="0.45">
      <c r="A1024" s="556"/>
      <c r="B1024" s="556"/>
      <c r="C1024" s="556"/>
      <c r="D1024" s="564"/>
      <c r="E1024" s="556"/>
      <c r="F1024" s="564"/>
      <c r="G1024" s="564"/>
      <c r="H1024" s="564"/>
      <c r="I1024" s="564"/>
      <c r="J1024" s="564"/>
      <c r="K1024" s="564"/>
      <c r="L1024" s="564"/>
      <c r="M1024" s="564"/>
      <c r="N1024" s="564"/>
      <c r="O1024" s="564"/>
      <c r="P1024" s="564"/>
      <c r="Q1024" s="564"/>
      <c r="R1024" s="564"/>
      <c r="S1024" s="564"/>
      <c r="T1024" s="564"/>
      <c r="U1024" s="564"/>
      <c r="V1024" s="564"/>
      <c r="W1024" s="564"/>
      <c r="X1024" s="564"/>
      <c r="Y1024" s="564"/>
      <c r="Z1024" s="564"/>
      <c r="AA1024" s="564"/>
      <c r="AB1024" s="556"/>
      <c r="AC1024" s="556"/>
      <c r="AD1024" s="556"/>
      <c r="AE1024" s="556"/>
      <c r="AF1024" s="556"/>
      <c r="AG1024" s="556"/>
      <c r="AH1024" s="556"/>
      <c r="AI1024" s="556"/>
      <c r="AJ1024" s="556"/>
      <c r="AK1024" s="556"/>
      <c r="AL1024" s="556"/>
      <c r="AM1024" s="556"/>
      <c r="AN1024" s="556"/>
      <c r="AO1024" s="556"/>
      <c r="AP1024" s="556"/>
      <c r="AQ1024" s="556"/>
      <c r="AR1024" s="556"/>
      <c r="AS1024" s="565"/>
      <c r="AT1024" s="556"/>
    </row>
    <row r="1025" spans="1:46" hidden="1" x14ac:dyDescent="0.45">
      <c r="A1025" s="556"/>
      <c r="B1025" s="556"/>
      <c r="C1025" s="556"/>
      <c r="D1025" s="564"/>
      <c r="E1025" s="556"/>
      <c r="F1025" s="564"/>
      <c r="G1025" s="564"/>
      <c r="H1025" s="564"/>
      <c r="I1025" s="564"/>
      <c r="J1025" s="564"/>
      <c r="K1025" s="564"/>
      <c r="L1025" s="564"/>
      <c r="M1025" s="564"/>
      <c r="N1025" s="564"/>
      <c r="O1025" s="564"/>
      <c r="P1025" s="564"/>
      <c r="Q1025" s="564"/>
      <c r="R1025" s="564"/>
      <c r="S1025" s="564"/>
      <c r="T1025" s="564"/>
      <c r="U1025" s="564"/>
      <c r="V1025" s="564"/>
      <c r="W1025" s="564"/>
      <c r="X1025" s="564"/>
      <c r="Y1025" s="564"/>
      <c r="Z1025" s="564"/>
      <c r="AA1025" s="564"/>
      <c r="AB1025" s="556"/>
      <c r="AC1025" s="556"/>
      <c r="AD1025" s="556"/>
      <c r="AE1025" s="556"/>
      <c r="AF1025" s="556"/>
      <c r="AG1025" s="556"/>
      <c r="AH1025" s="556"/>
      <c r="AI1025" s="556"/>
      <c r="AJ1025" s="556"/>
      <c r="AK1025" s="556"/>
      <c r="AL1025" s="556"/>
      <c r="AM1025" s="556"/>
      <c r="AN1025" s="556"/>
      <c r="AO1025" s="556"/>
      <c r="AP1025" s="556"/>
      <c r="AQ1025" s="556"/>
      <c r="AR1025" s="556"/>
      <c r="AS1025" s="565"/>
      <c r="AT1025" s="556"/>
    </row>
    <row r="1026" spans="1:46" hidden="1" x14ac:dyDescent="0.45">
      <c r="A1026" s="556"/>
      <c r="B1026" s="556"/>
      <c r="C1026" s="556"/>
      <c r="D1026" s="564"/>
      <c r="E1026" s="556"/>
      <c r="F1026" s="564"/>
      <c r="G1026" s="564"/>
      <c r="H1026" s="564"/>
      <c r="I1026" s="564"/>
      <c r="J1026" s="564"/>
      <c r="K1026" s="564"/>
      <c r="L1026" s="564"/>
      <c r="M1026" s="564"/>
      <c r="N1026" s="564"/>
      <c r="O1026" s="564"/>
      <c r="P1026" s="564"/>
      <c r="Q1026" s="564"/>
      <c r="R1026" s="564"/>
      <c r="S1026" s="564"/>
      <c r="T1026" s="564"/>
      <c r="U1026" s="564"/>
      <c r="V1026" s="564"/>
      <c r="W1026" s="564"/>
      <c r="X1026" s="564"/>
      <c r="Y1026" s="564"/>
      <c r="Z1026" s="564"/>
      <c r="AA1026" s="564"/>
      <c r="AB1026" s="556"/>
      <c r="AC1026" s="556"/>
      <c r="AD1026" s="556"/>
      <c r="AE1026" s="556"/>
      <c r="AF1026" s="556"/>
      <c r="AG1026" s="556"/>
      <c r="AH1026" s="556"/>
      <c r="AI1026" s="556"/>
      <c r="AJ1026" s="556"/>
      <c r="AK1026" s="556"/>
      <c r="AL1026" s="556"/>
      <c r="AM1026" s="556"/>
      <c r="AN1026" s="556"/>
      <c r="AO1026" s="556"/>
      <c r="AP1026" s="556"/>
      <c r="AQ1026" s="556"/>
      <c r="AR1026" s="556"/>
      <c r="AS1026" s="565"/>
      <c r="AT1026" s="556"/>
    </row>
    <row r="1027" spans="1:46" hidden="1" x14ac:dyDescent="0.45">
      <c r="A1027" s="556"/>
      <c r="B1027" s="556"/>
      <c r="C1027" s="556"/>
      <c r="D1027" s="564"/>
      <c r="E1027" s="556"/>
      <c r="F1027" s="564"/>
      <c r="G1027" s="564"/>
      <c r="H1027" s="564"/>
      <c r="I1027" s="564"/>
      <c r="J1027" s="564"/>
      <c r="K1027" s="564"/>
      <c r="L1027" s="564"/>
      <c r="M1027" s="564"/>
      <c r="N1027" s="564"/>
      <c r="O1027" s="564"/>
      <c r="P1027" s="564"/>
      <c r="Q1027" s="564"/>
      <c r="R1027" s="564"/>
      <c r="S1027" s="564"/>
      <c r="T1027" s="564"/>
      <c r="U1027" s="564"/>
      <c r="V1027" s="564"/>
      <c r="W1027" s="564"/>
      <c r="X1027" s="564"/>
      <c r="Y1027" s="564"/>
      <c r="Z1027" s="564"/>
      <c r="AA1027" s="564"/>
      <c r="AB1027" s="556"/>
      <c r="AC1027" s="556"/>
      <c r="AD1027" s="556"/>
      <c r="AE1027" s="556"/>
      <c r="AF1027" s="556"/>
      <c r="AG1027" s="556"/>
      <c r="AH1027" s="556"/>
      <c r="AI1027" s="556"/>
      <c r="AJ1027" s="556"/>
      <c r="AK1027" s="556"/>
      <c r="AL1027" s="556"/>
      <c r="AM1027" s="556"/>
      <c r="AN1027" s="556"/>
      <c r="AO1027" s="556"/>
      <c r="AP1027" s="556"/>
      <c r="AQ1027" s="556"/>
      <c r="AR1027" s="556"/>
      <c r="AS1027" s="565"/>
      <c r="AT1027" s="556"/>
    </row>
    <row r="1028" spans="1:46" hidden="1" x14ac:dyDescent="0.45">
      <c r="A1028" s="556"/>
      <c r="B1028" s="556"/>
      <c r="C1028" s="556"/>
      <c r="D1028" s="564"/>
      <c r="E1028" s="556"/>
      <c r="F1028" s="564"/>
      <c r="G1028" s="564"/>
      <c r="H1028" s="564"/>
      <c r="I1028" s="564"/>
      <c r="J1028" s="564"/>
      <c r="K1028" s="564"/>
      <c r="L1028" s="564"/>
      <c r="M1028" s="564"/>
      <c r="N1028" s="564"/>
      <c r="O1028" s="564"/>
      <c r="P1028" s="564"/>
      <c r="Q1028" s="564"/>
      <c r="R1028" s="564"/>
      <c r="S1028" s="564"/>
      <c r="T1028" s="564"/>
      <c r="U1028" s="564"/>
      <c r="V1028" s="564"/>
      <c r="W1028" s="564"/>
      <c r="X1028" s="564"/>
      <c r="Y1028" s="564"/>
      <c r="Z1028" s="564"/>
      <c r="AA1028" s="564"/>
      <c r="AB1028" s="556"/>
      <c r="AC1028" s="556"/>
      <c r="AD1028" s="556"/>
      <c r="AE1028" s="556"/>
      <c r="AF1028" s="556"/>
      <c r="AG1028" s="556"/>
      <c r="AH1028" s="556"/>
      <c r="AI1028" s="556"/>
      <c r="AJ1028" s="556"/>
      <c r="AK1028" s="556"/>
      <c r="AL1028" s="556"/>
      <c r="AM1028" s="556"/>
      <c r="AN1028" s="556"/>
      <c r="AO1028" s="556"/>
      <c r="AP1028" s="556"/>
      <c r="AQ1028" s="556"/>
      <c r="AR1028" s="556"/>
      <c r="AS1028" s="565"/>
      <c r="AT1028" s="556"/>
    </row>
    <row r="1029" spans="1:46" hidden="1" x14ac:dyDescent="0.45">
      <c r="A1029" s="556"/>
      <c r="B1029" s="556"/>
      <c r="C1029" s="556"/>
      <c r="D1029" s="564"/>
      <c r="E1029" s="556"/>
      <c r="F1029" s="564"/>
      <c r="G1029" s="564"/>
      <c r="H1029" s="564"/>
      <c r="I1029" s="564"/>
      <c r="J1029" s="564"/>
      <c r="K1029" s="564"/>
      <c r="L1029" s="564"/>
      <c r="M1029" s="564"/>
      <c r="N1029" s="564"/>
      <c r="O1029" s="564"/>
      <c r="P1029" s="564"/>
      <c r="Q1029" s="564"/>
      <c r="R1029" s="564"/>
      <c r="S1029" s="564"/>
      <c r="T1029" s="564"/>
      <c r="U1029" s="564"/>
      <c r="V1029" s="564"/>
      <c r="W1029" s="564"/>
      <c r="X1029" s="564"/>
      <c r="Y1029" s="564"/>
      <c r="Z1029" s="564"/>
      <c r="AA1029" s="564"/>
      <c r="AB1029" s="556"/>
      <c r="AC1029" s="556"/>
      <c r="AD1029" s="556"/>
      <c r="AE1029" s="556"/>
      <c r="AF1029" s="556"/>
      <c r="AG1029" s="556"/>
      <c r="AH1029" s="556"/>
      <c r="AI1029" s="556"/>
      <c r="AJ1029" s="556"/>
      <c r="AK1029" s="556"/>
      <c r="AL1029" s="556"/>
      <c r="AM1029" s="556"/>
      <c r="AN1029" s="556"/>
      <c r="AO1029" s="556"/>
      <c r="AP1029" s="556"/>
      <c r="AQ1029" s="556"/>
      <c r="AR1029" s="556"/>
      <c r="AS1029" s="565"/>
      <c r="AT1029" s="556"/>
    </row>
    <row r="1030" spans="1:46" hidden="1" x14ac:dyDescent="0.45">
      <c r="A1030" s="556"/>
      <c r="B1030" s="556"/>
      <c r="C1030" s="556"/>
      <c r="D1030" s="564"/>
      <c r="E1030" s="556"/>
      <c r="F1030" s="564"/>
      <c r="G1030" s="564"/>
      <c r="H1030" s="564"/>
      <c r="I1030" s="564"/>
      <c r="J1030" s="564"/>
      <c r="K1030" s="564"/>
      <c r="L1030" s="564"/>
      <c r="M1030" s="564"/>
      <c r="N1030" s="564"/>
      <c r="O1030" s="564"/>
      <c r="P1030" s="564"/>
      <c r="Q1030" s="564"/>
      <c r="R1030" s="564"/>
      <c r="S1030" s="564"/>
      <c r="T1030" s="564"/>
      <c r="U1030" s="564"/>
      <c r="V1030" s="564"/>
      <c r="W1030" s="564"/>
      <c r="X1030" s="564"/>
      <c r="Y1030" s="564"/>
      <c r="Z1030" s="564"/>
      <c r="AA1030" s="564"/>
      <c r="AB1030" s="556"/>
      <c r="AC1030" s="556"/>
      <c r="AD1030" s="556"/>
      <c r="AE1030" s="556"/>
      <c r="AF1030" s="556"/>
      <c r="AG1030" s="556"/>
      <c r="AH1030" s="556"/>
      <c r="AI1030" s="556"/>
      <c r="AJ1030" s="556"/>
      <c r="AK1030" s="556"/>
      <c r="AL1030" s="556"/>
      <c r="AM1030" s="556"/>
      <c r="AN1030" s="556"/>
      <c r="AO1030" s="556"/>
      <c r="AP1030" s="556"/>
      <c r="AQ1030" s="556"/>
      <c r="AR1030" s="556"/>
      <c r="AS1030" s="565"/>
      <c r="AT1030" s="556"/>
    </row>
    <row r="1031" spans="1:46" hidden="1" x14ac:dyDescent="0.45">
      <c r="A1031" s="556"/>
      <c r="B1031" s="556"/>
      <c r="C1031" s="556"/>
      <c r="D1031" s="564"/>
      <c r="E1031" s="556"/>
      <c r="F1031" s="564"/>
      <c r="G1031" s="564"/>
      <c r="H1031" s="564"/>
      <c r="I1031" s="564"/>
      <c r="J1031" s="564"/>
      <c r="K1031" s="564"/>
      <c r="L1031" s="564"/>
      <c r="M1031" s="564"/>
      <c r="N1031" s="564"/>
      <c r="O1031" s="564"/>
      <c r="P1031" s="564"/>
      <c r="Q1031" s="564"/>
      <c r="R1031" s="564"/>
      <c r="S1031" s="564"/>
      <c r="T1031" s="564"/>
      <c r="U1031" s="564"/>
      <c r="V1031" s="564"/>
      <c r="W1031" s="564"/>
      <c r="X1031" s="564"/>
      <c r="Y1031" s="564"/>
      <c r="Z1031" s="564"/>
      <c r="AA1031" s="564"/>
      <c r="AB1031" s="556"/>
      <c r="AC1031" s="556"/>
      <c r="AD1031" s="556"/>
      <c r="AE1031" s="556"/>
      <c r="AF1031" s="556"/>
      <c r="AG1031" s="556"/>
      <c r="AH1031" s="556"/>
      <c r="AI1031" s="556"/>
      <c r="AJ1031" s="556"/>
      <c r="AK1031" s="556"/>
      <c r="AL1031" s="556"/>
      <c r="AM1031" s="556"/>
      <c r="AN1031" s="556"/>
      <c r="AO1031" s="556"/>
      <c r="AP1031" s="556"/>
      <c r="AQ1031" s="556"/>
      <c r="AR1031" s="556"/>
      <c r="AS1031" s="565"/>
      <c r="AT1031" s="556"/>
    </row>
    <row r="1032" spans="1:46" hidden="1" x14ac:dyDescent="0.45">
      <c r="A1032" s="556"/>
      <c r="B1032" s="556"/>
      <c r="C1032" s="556"/>
      <c r="D1032" s="564"/>
      <c r="E1032" s="556"/>
      <c r="F1032" s="564"/>
      <c r="G1032" s="564"/>
      <c r="H1032" s="564"/>
      <c r="I1032" s="564"/>
      <c r="J1032" s="564"/>
      <c r="K1032" s="564"/>
      <c r="L1032" s="564"/>
      <c r="M1032" s="564"/>
      <c r="N1032" s="564"/>
      <c r="O1032" s="564"/>
      <c r="P1032" s="564"/>
      <c r="Q1032" s="564"/>
      <c r="R1032" s="564"/>
      <c r="S1032" s="564"/>
      <c r="T1032" s="564"/>
      <c r="U1032" s="564"/>
      <c r="V1032" s="564"/>
      <c r="W1032" s="564"/>
      <c r="X1032" s="564"/>
      <c r="Y1032" s="564"/>
      <c r="Z1032" s="564"/>
      <c r="AA1032" s="564"/>
      <c r="AB1032" s="556"/>
      <c r="AC1032" s="556"/>
      <c r="AD1032" s="556"/>
      <c r="AE1032" s="556"/>
      <c r="AF1032" s="556"/>
      <c r="AG1032" s="556"/>
      <c r="AH1032" s="556"/>
      <c r="AI1032" s="556"/>
      <c r="AJ1032" s="556"/>
      <c r="AK1032" s="556"/>
      <c r="AL1032" s="556"/>
      <c r="AM1032" s="556"/>
      <c r="AN1032" s="556"/>
      <c r="AO1032" s="556"/>
      <c r="AP1032" s="556"/>
      <c r="AQ1032" s="556"/>
      <c r="AR1032" s="556"/>
      <c r="AS1032" s="565"/>
      <c r="AT1032" s="556"/>
    </row>
    <row r="1033" spans="1:46" hidden="1" x14ac:dyDescent="0.45">
      <c r="A1033" s="556"/>
      <c r="B1033" s="556"/>
      <c r="C1033" s="556"/>
      <c r="D1033" s="564"/>
      <c r="E1033" s="556"/>
      <c r="F1033" s="564"/>
      <c r="G1033" s="564"/>
      <c r="H1033" s="564"/>
      <c r="I1033" s="564"/>
      <c r="J1033" s="564"/>
      <c r="K1033" s="564"/>
      <c r="L1033" s="564"/>
      <c r="M1033" s="564"/>
      <c r="N1033" s="564"/>
      <c r="O1033" s="564"/>
      <c r="P1033" s="564"/>
      <c r="Q1033" s="564"/>
      <c r="R1033" s="564"/>
      <c r="S1033" s="564"/>
      <c r="T1033" s="564"/>
      <c r="U1033" s="564"/>
      <c r="V1033" s="564"/>
      <c r="W1033" s="564"/>
      <c r="X1033" s="564"/>
      <c r="Y1033" s="564"/>
      <c r="Z1033" s="564"/>
      <c r="AA1033" s="564"/>
      <c r="AB1033" s="556"/>
      <c r="AC1033" s="556"/>
      <c r="AD1033" s="556"/>
      <c r="AE1033" s="556"/>
      <c r="AF1033" s="556"/>
      <c r="AG1033" s="556"/>
      <c r="AH1033" s="556"/>
      <c r="AI1033" s="556"/>
      <c r="AJ1033" s="556"/>
      <c r="AK1033" s="556"/>
      <c r="AL1033" s="556"/>
      <c r="AM1033" s="556"/>
      <c r="AN1033" s="556"/>
      <c r="AO1033" s="556"/>
      <c r="AP1033" s="556"/>
      <c r="AQ1033" s="556"/>
      <c r="AR1033" s="556"/>
      <c r="AS1033" s="565"/>
      <c r="AT1033" s="556"/>
    </row>
    <row r="1034" spans="1:46" hidden="1" x14ac:dyDescent="0.45">
      <c r="A1034" s="556"/>
      <c r="B1034" s="556"/>
      <c r="C1034" s="556"/>
      <c r="D1034" s="564"/>
      <c r="E1034" s="556"/>
      <c r="F1034" s="564"/>
      <c r="G1034" s="564"/>
      <c r="H1034" s="564"/>
      <c r="I1034" s="564"/>
      <c r="J1034" s="564"/>
      <c r="K1034" s="564"/>
      <c r="L1034" s="564"/>
      <c r="M1034" s="564"/>
      <c r="N1034" s="564"/>
      <c r="O1034" s="564"/>
      <c r="P1034" s="564"/>
      <c r="Q1034" s="564"/>
      <c r="R1034" s="564"/>
      <c r="S1034" s="564"/>
      <c r="T1034" s="564"/>
      <c r="U1034" s="564"/>
      <c r="V1034" s="564"/>
      <c r="W1034" s="564"/>
      <c r="X1034" s="564"/>
      <c r="Y1034" s="564"/>
      <c r="Z1034" s="564"/>
      <c r="AA1034" s="564"/>
      <c r="AB1034" s="556"/>
      <c r="AC1034" s="556"/>
      <c r="AD1034" s="556"/>
      <c r="AE1034" s="556"/>
      <c r="AF1034" s="556"/>
      <c r="AG1034" s="556"/>
      <c r="AH1034" s="556"/>
      <c r="AI1034" s="556"/>
      <c r="AJ1034" s="556"/>
      <c r="AK1034" s="556"/>
      <c r="AL1034" s="556"/>
      <c r="AM1034" s="556"/>
      <c r="AN1034" s="556"/>
      <c r="AO1034" s="556"/>
      <c r="AP1034" s="556"/>
      <c r="AQ1034" s="556"/>
      <c r="AR1034" s="556"/>
      <c r="AS1034" s="565"/>
      <c r="AT1034" s="556"/>
    </row>
    <row r="1035" spans="1:46" hidden="1" x14ac:dyDescent="0.45">
      <c r="A1035" s="556"/>
      <c r="B1035" s="556"/>
      <c r="C1035" s="556"/>
      <c r="D1035" s="564"/>
      <c r="E1035" s="556"/>
      <c r="F1035" s="564"/>
      <c r="G1035" s="564"/>
      <c r="H1035" s="564"/>
      <c r="I1035" s="564"/>
      <c r="J1035" s="564"/>
      <c r="K1035" s="564"/>
      <c r="L1035" s="564"/>
      <c r="M1035" s="564"/>
      <c r="N1035" s="564"/>
      <c r="O1035" s="564"/>
      <c r="P1035" s="564"/>
      <c r="Q1035" s="564"/>
      <c r="R1035" s="564"/>
      <c r="S1035" s="564"/>
      <c r="T1035" s="564"/>
      <c r="U1035" s="564"/>
      <c r="V1035" s="564"/>
      <c r="W1035" s="564"/>
      <c r="X1035" s="564"/>
      <c r="Y1035" s="564"/>
      <c r="Z1035" s="564"/>
      <c r="AA1035" s="564"/>
      <c r="AB1035" s="556"/>
      <c r="AC1035" s="556"/>
      <c r="AD1035" s="556"/>
      <c r="AE1035" s="556"/>
      <c r="AF1035" s="556"/>
      <c r="AG1035" s="556"/>
      <c r="AH1035" s="556"/>
      <c r="AI1035" s="556"/>
      <c r="AJ1035" s="556"/>
      <c r="AK1035" s="556"/>
      <c r="AL1035" s="556"/>
      <c r="AM1035" s="556"/>
      <c r="AN1035" s="556"/>
      <c r="AO1035" s="556"/>
      <c r="AP1035" s="556"/>
      <c r="AQ1035" s="556"/>
      <c r="AR1035" s="556"/>
      <c r="AS1035" s="565"/>
      <c r="AT1035" s="556"/>
    </row>
    <row r="1036" spans="1:46" hidden="1" x14ac:dyDescent="0.45">
      <c r="A1036" s="556"/>
      <c r="B1036" s="556"/>
      <c r="C1036" s="556"/>
      <c r="D1036" s="564"/>
      <c r="E1036" s="556"/>
      <c r="F1036" s="564"/>
      <c r="G1036" s="564"/>
      <c r="H1036" s="564"/>
      <c r="I1036" s="564"/>
      <c r="J1036" s="564"/>
      <c r="K1036" s="564"/>
      <c r="L1036" s="564"/>
      <c r="M1036" s="564"/>
      <c r="N1036" s="564"/>
      <c r="O1036" s="564"/>
      <c r="P1036" s="564"/>
      <c r="Q1036" s="564"/>
      <c r="R1036" s="564"/>
      <c r="S1036" s="564"/>
      <c r="T1036" s="564"/>
      <c r="U1036" s="564"/>
      <c r="V1036" s="564"/>
      <c r="W1036" s="564"/>
      <c r="X1036" s="564"/>
      <c r="Y1036" s="564"/>
      <c r="Z1036" s="564"/>
      <c r="AA1036" s="564"/>
      <c r="AB1036" s="556"/>
      <c r="AC1036" s="556"/>
      <c r="AD1036" s="556"/>
      <c r="AE1036" s="556"/>
      <c r="AF1036" s="556"/>
      <c r="AG1036" s="556"/>
      <c r="AH1036" s="556"/>
      <c r="AI1036" s="556"/>
      <c r="AJ1036" s="556"/>
      <c r="AK1036" s="556"/>
      <c r="AL1036" s="556"/>
      <c r="AM1036" s="556"/>
      <c r="AN1036" s="556"/>
      <c r="AO1036" s="556"/>
      <c r="AP1036" s="556"/>
      <c r="AQ1036" s="556"/>
      <c r="AR1036" s="556"/>
      <c r="AS1036" s="565"/>
      <c r="AT1036" s="556"/>
    </row>
    <row r="1037" spans="1:46" hidden="1" x14ac:dyDescent="0.45">
      <c r="A1037" s="556"/>
      <c r="B1037" s="556"/>
      <c r="C1037" s="556"/>
      <c r="D1037" s="564"/>
      <c r="E1037" s="556"/>
      <c r="F1037" s="564"/>
      <c r="G1037" s="564"/>
      <c r="H1037" s="564"/>
      <c r="I1037" s="564"/>
      <c r="J1037" s="564"/>
      <c r="K1037" s="564"/>
      <c r="L1037" s="564"/>
      <c r="M1037" s="564"/>
      <c r="N1037" s="564"/>
      <c r="O1037" s="564"/>
      <c r="P1037" s="564"/>
      <c r="Q1037" s="564"/>
      <c r="R1037" s="564"/>
      <c r="S1037" s="564"/>
      <c r="T1037" s="564"/>
      <c r="U1037" s="564"/>
      <c r="V1037" s="564"/>
      <c r="W1037" s="564"/>
      <c r="X1037" s="564"/>
      <c r="Y1037" s="564"/>
      <c r="Z1037" s="564"/>
      <c r="AA1037" s="564"/>
      <c r="AB1037" s="556"/>
      <c r="AC1037" s="556"/>
      <c r="AD1037" s="556"/>
      <c r="AE1037" s="556"/>
      <c r="AF1037" s="556"/>
      <c r="AG1037" s="556"/>
      <c r="AH1037" s="556"/>
      <c r="AI1037" s="556"/>
      <c r="AJ1037" s="556"/>
      <c r="AK1037" s="556"/>
      <c r="AL1037" s="556"/>
      <c r="AM1037" s="556"/>
      <c r="AN1037" s="556"/>
      <c r="AO1037" s="556"/>
      <c r="AP1037" s="556"/>
      <c r="AQ1037" s="556"/>
      <c r="AR1037" s="556"/>
      <c r="AS1037" s="565"/>
      <c r="AT1037" s="556"/>
    </row>
    <row r="1038" spans="1:46" hidden="1" x14ac:dyDescent="0.45">
      <c r="A1038" s="556"/>
      <c r="B1038" s="556"/>
      <c r="C1038" s="556"/>
      <c r="D1038" s="564"/>
      <c r="E1038" s="556"/>
      <c r="F1038" s="564"/>
      <c r="G1038" s="564"/>
      <c r="H1038" s="564"/>
      <c r="I1038" s="564"/>
      <c r="J1038" s="564"/>
      <c r="K1038" s="564"/>
      <c r="L1038" s="564"/>
      <c r="M1038" s="564"/>
      <c r="N1038" s="564"/>
      <c r="O1038" s="564"/>
      <c r="P1038" s="564"/>
      <c r="Q1038" s="564"/>
      <c r="R1038" s="564"/>
      <c r="S1038" s="564"/>
      <c r="T1038" s="564"/>
      <c r="U1038" s="564"/>
      <c r="V1038" s="564"/>
      <c r="W1038" s="564"/>
      <c r="X1038" s="564"/>
      <c r="Y1038" s="564"/>
      <c r="Z1038" s="564"/>
      <c r="AA1038" s="564"/>
      <c r="AB1038" s="556"/>
      <c r="AC1038" s="556"/>
      <c r="AD1038" s="556"/>
      <c r="AE1038" s="556"/>
      <c r="AF1038" s="556"/>
      <c r="AG1038" s="556"/>
      <c r="AH1038" s="556"/>
      <c r="AI1038" s="556"/>
      <c r="AJ1038" s="556"/>
      <c r="AK1038" s="556"/>
      <c r="AL1038" s="556"/>
      <c r="AM1038" s="556"/>
      <c r="AN1038" s="556"/>
      <c r="AO1038" s="556"/>
      <c r="AP1038" s="556"/>
      <c r="AQ1038" s="556"/>
      <c r="AR1038" s="556"/>
      <c r="AS1038" s="565"/>
      <c r="AT1038" s="556"/>
    </row>
    <row r="1039" spans="1:46" hidden="1" x14ac:dyDescent="0.45">
      <c r="A1039" s="556"/>
      <c r="B1039" s="556"/>
      <c r="C1039" s="556"/>
      <c r="D1039" s="564"/>
      <c r="E1039" s="556"/>
      <c r="F1039" s="564"/>
      <c r="G1039" s="564"/>
      <c r="H1039" s="564"/>
      <c r="I1039" s="564"/>
      <c r="J1039" s="564"/>
      <c r="K1039" s="564"/>
      <c r="L1039" s="564"/>
      <c r="M1039" s="564"/>
      <c r="N1039" s="564"/>
      <c r="O1039" s="564"/>
      <c r="P1039" s="564"/>
      <c r="Q1039" s="564"/>
      <c r="R1039" s="564"/>
      <c r="S1039" s="564"/>
      <c r="T1039" s="564"/>
      <c r="U1039" s="564"/>
      <c r="V1039" s="564"/>
      <c r="W1039" s="564"/>
      <c r="X1039" s="564"/>
      <c r="Y1039" s="564"/>
      <c r="Z1039" s="564"/>
      <c r="AA1039" s="564"/>
      <c r="AB1039" s="556"/>
      <c r="AC1039" s="556"/>
      <c r="AD1039" s="556"/>
      <c r="AE1039" s="556"/>
      <c r="AF1039" s="556"/>
      <c r="AG1039" s="556"/>
      <c r="AH1039" s="556"/>
      <c r="AI1039" s="556"/>
      <c r="AJ1039" s="556"/>
      <c r="AK1039" s="556"/>
      <c r="AL1039" s="556"/>
      <c r="AM1039" s="556"/>
      <c r="AN1039" s="556"/>
      <c r="AO1039" s="556"/>
      <c r="AP1039" s="556"/>
      <c r="AQ1039" s="556"/>
      <c r="AR1039" s="556"/>
      <c r="AS1039" s="565"/>
      <c r="AT1039" s="556"/>
    </row>
    <row r="1040" spans="1:46" hidden="1" x14ac:dyDescent="0.45">
      <c r="A1040" s="556"/>
      <c r="B1040" s="556"/>
      <c r="C1040" s="556"/>
      <c r="D1040" s="564"/>
      <c r="E1040" s="556"/>
      <c r="F1040" s="564"/>
      <c r="G1040" s="564"/>
      <c r="H1040" s="564"/>
      <c r="I1040" s="564"/>
      <c r="J1040" s="564"/>
      <c r="K1040" s="564"/>
      <c r="L1040" s="564"/>
      <c r="M1040" s="564"/>
      <c r="N1040" s="564"/>
      <c r="O1040" s="564"/>
      <c r="P1040" s="564"/>
      <c r="Q1040" s="564"/>
      <c r="R1040" s="564"/>
      <c r="S1040" s="564"/>
      <c r="T1040" s="564"/>
      <c r="U1040" s="564"/>
      <c r="V1040" s="564"/>
      <c r="W1040" s="564"/>
      <c r="X1040" s="564"/>
      <c r="Y1040" s="564"/>
      <c r="Z1040" s="564"/>
      <c r="AA1040" s="564"/>
      <c r="AB1040" s="556"/>
      <c r="AC1040" s="556"/>
      <c r="AD1040" s="556"/>
      <c r="AE1040" s="556"/>
      <c r="AF1040" s="556"/>
      <c r="AG1040" s="556"/>
      <c r="AH1040" s="556"/>
      <c r="AI1040" s="556"/>
      <c r="AJ1040" s="556"/>
      <c r="AK1040" s="556"/>
      <c r="AL1040" s="556"/>
      <c r="AM1040" s="556"/>
      <c r="AN1040" s="556"/>
      <c r="AO1040" s="556"/>
      <c r="AP1040" s="556"/>
      <c r="AQ1040" s="556"/>
      <c r="AR1040" s="556"/>
      <c r="AS1040" s="565"/>
      <c r="AT1040" s="556"/>
    </row>
    <row r="1041" spans="1:46" hidden="1" x14ac:dyDescent="0.45">
      <c r="A1041" s="556"/>
      <c r="B1041" s="556"/>
      <c r="C1041" s="556"/>
      <c r="D1041" s="564"/>
      <c r="E1041" s="556"/>
      <c r="F1041" s="564"/>
      <c r="G1041" s="564"/>
      <c r="H1041" s="564"/>
      <c r="I1041" s="564"/>
      <c r="J1041" s="564"/>
      <c r="K1041" s="564"/>
      <c r="L1041" s="564"/>
      <c r="M1041" s="564"/>
      <c r="N1041" s="564"/>
      <c r="O1041" s="564"/>
      <c r="P1041" s="564"/>
      <c r="Q1041" s="564"/>
      <c r="R1041" s="564"/>
      <c r="S1041" s="564"/>
      <c r="T1041" s="564"/>
      <c r="U1041" s="564"/>
      <c r="V1041" s="564"/>
      <c r="W1041" s="564"/>
      <c r="X1041" s="564"/>
      <c r="Y1041" s="564"/>
      <c r="Z1041" s="564"/>
      <c r="AA1041" s="564"/>
      <c r="AB1041" s="556"/>
      <c r="AC1041" s="556"/>
      <c r="AD1041" s="556"/>
      <c r="AE1041" s="556"/>
      <c r="AF1041" s="556"/>
      <c r="AG1041" s="556"/>
      <c r="AH1041" s="556"/>
      <c r="AI1041" s="556"/>
      <c r="AJ1041" s="556"/>
      <c r="AK1041" s="556"/>
      <c r="AL1041" s="556"/>
      <c r="AM1041" s="556"/>
      <c r="AN1041" s="556"/>
      <c r="AO1041" s="556"/>
      <c r="AP1041" s="556"/>
      <c r="AQ1041" s="556"/>
      <c r="AR1041" s="556"/>
      <c r="AS1041" s="565"/>
      <c r="AT1041" s="556"/>
    </row>
    <row r="1042" spans="1:46" hidden="1" x14ac:dyDescent="0.45">
      <c r="A1042" s="556"/>
      <c r="B1042" s="556"/>
      <c r="C1042" s="556"/>
      <c r="D1042" s="564"/>
      <c r="E1042" s="556"/>
      <c r="F1042" s="564"/>
      <c r="G1042" s="564"/>
      <c r="H1042" s="564"/>
      <c r="I1042" s="564"/>
      <c r="J1042" s="564"/>
      <c r="K1042" s="564"/>
      <c r="L1042" s="564"/>
      <c r="M1042" s="564"/>
      <c r="N1042" s="564"/>
      <c r="O1042" s="564"/>
      <c r="P1042" s="564"/>
      <c r="Q1042" s="564"/>
      <c r="R1042" s="564"/>
      <c r="S1042" s="564"/>
      <c r="T1042" s="564"/>
      <c r="U1042" s="564"/>
      <c r="V1042" s="564"/>
      <c r="W1042" s="564"/>
      <c r="X1042" s="564"/>
      <c r="Y1042" s="564"/>
      <c r="Z1042" s="564"/>
      <c r="AA1042" s="564"/>
      <c r="AB1042" s="556"/>
      <c r="AC1042" s="556"/>
      <c r="AD1042" s="556"/>
      <c r="AE1042" s="556"/>
      <c r="AF1042" s="556"/>
      <c r="AG1042" s="556"/>
      <c r="AH1042" s="556"/>
      <c r="AI1042" s="556"/>
      <c r="AJ1042" s="556"/>
      <c r="AK1042" s="556"/>
      <c r="AL1042" s="556"/>
      <c r="AM1042" s="556"/>
      <c r="AN1042" s="556"/>
      <c r="AO1042" s="556"/>
      <c r="AP1042" s="556"/>
      <c r="AQ1042" s="556"/>
      <c r="AR1042" s="556"/>
      <c r="AS1042" s="565"/>
      <c r="AT1042" s="556"/>
    </row>
    <row r="1043" spans="1:46" hidden="1" x14ac:dyDescent="0.45">
      <c r="A1043" s="556"/>
      <c r="B1043" s="556"/>
      <c r="C1043" s="556"/>
      <c r="D1043" s="564"/>
      <c r="E1043" s="556"/>
      <c r="F1043" s="564"/>
      <c r="G1043" s="564"/>
      <c r="H1043" s="564"/>
      <c r="I1043" s="564"/>
      <c r="J1043" s="564"/>
      <c r="K1043" s="564"/>
      <c r="L1043" s="564"/>
      <c r="M1043" s="564"/>
      <c r="N1043" s="564"/>
      <c r="O1043" s="564"/>
      <c r="P1043" s="564"/>
      <c r="Q1043" s="564"/>
      <c r="R1043" s="564"/>
      <c r="S1043" s="564"/>
      <c r="T1043" s="564"/>
      <c r="U1043" s="564"/>
      <c r="V1043" s="564"/>
      <c r="W1043" s="564"/>
      <c r="X1043" s="564"/>
      <c r="Y1043" s="564"/>
      <c r="Z1043" s="564"/>
      <c r="AA1043" s="564"/>
      <c r="AB1043" s="556"/>
      <c r="AC1043" s="556"/>
      <c r="AD1043" s="556"/>
      <c r="AE1043" s="556"/>
      <c r="AF1043" s="556"/>
      <c r="AG1043" s="556"/>
      <c r="AH1043" s="556"/>
      <c r="AI1043" s="556"/>
      <c r="AJ1043" s="556"/>
      <c r="AK1043" s="556"/>
      <c r="AL1043" s="556"/>
      <c r="AM1043" s="556"/>
      <c r="AN1043" s="556"/>
      <c r="AO1043" s="556"/>
      <c r="AP1043" s="556"/>
      <c r="AQ1043" s="556"/>
      <c r="AR1043" s="556"/>
      <c r="AS1043" s="565"/>
      <c r="AT1043" s="556"/>
    </row>
    <row r="1044" spans="1:46" hidden="1" x14ac:dyDescent="0.45">
      <c r="A1044" s="556"/>
      <c r="B1044" s="556"/>
      <c r="C1044" s="556"/>
      <c r="D1044" s="564"/>
      <c r="E1044" s="556"/>
      <c r="F1044" s="564"/>
      <c r="G1044" s="564"/>
      <c r="H1044" s="564"/>
      <c r="I1044" s="564"/>
      <c r="J1044" s="564"/>
      <c r="K1044" s="564"/>
      <c r="L1044" s="564"/>
      <c r="M1044" s="564"/>
      <c r="N1044" s="564"/>
      <c r="O1044" s="564"/>
      <c r="P1044" s="564"/>
      <c r="Q1044" s="564"/>
      <c r="R1044" s="564"/>
      <c r="S1044" s="564"/>
      <c r="T1044" s="564"/>
      <c r="U1044" s="564"/>
      <c r="V1044" s="564"/>
      <c r="W1044" s="564"/>
      <c r="X1044" s="564"/>
      <c r="Y1044" s="564"/>
      <c r="Z1044" s="564"/>
      <c r="AA1044" s="564"/>
      <c r="AB1044" s="556"/>
      <c r="AC1044" s="556"/>
      <c r="AD1044" s="556"/>
      <c r="AE1044" s="556"/>
      <c r="AF1044" s="556"/>
      <c r="AG1044" s="556"/>
      <c r="AH1044" s="556"/>
      <c r="AI1044" s="556"/>
      <c r="AJ1044" s="556"/>
      <c r="AK1044" s="556"/>
      <c r="AL1044" s="556"/>
      <c r="AM1044" s="556"/>
      <c r="AN1044" s="556"/>
      <c r="AO1044" s="556"/>
      <c r="AP1044" s="556"/>
      <c r="AQ1044" s="556"/>
      <c r="AR1044" s="556"/>
      <c r="AS1044" s="565"/>
      <c r="AT1044" s="556"/>
    </row>
    <row r="1045" spans="1:46" hidden="1" x14ac:dyDescent="0.45">
      <c r="A1045" s="556"/>
      <c r="B1045" s="556"/>
      <c r="C1045" s="556"/>
      <c r="D1045" s="564"/>
      <c r="E1045" s="556"/>
      <c r="F1045" s="564"/>
      <c r="G1045" s="564"/>
      <c r="H1045" s="564"/>
      <c r="I1045" s="564"/>
      <c r="J1045" s="564"/>
      <c r="K1045" s="564"/>
      <c r="L1045" s="564"/>
      <c r="M1045" s="564"/>
      <c r="N1045" s="564"/>
      <c r="O1045" s="564"/>
      <c r="P1045" s="564"/>
      <c r="Q1045" s="564"/>
      <c r="R1045" s="564"/>
      <c r="S1045" s="564"/>
      <c r="T1045" s="564"/>
      <c r="U1045" s="564"/>
      <c r="V1045" s="564"/>
      <c r="W1045" s="564"/>
      <c r="X1045" s="564"/>
      <c r="Y1045" s="564"/>
      <c r="Z1045" s="564"/>
      <c r="AA1045" s="564"/>
      <c r="AB1045" s="556"/>
      <c r="AC1045" s="556"/>
      <c r="AD1045" s="556"/>
      <c r="AE1045" s="556"/>
      <c r="AF1045" s="556"/>
      <c r="AG1045" s="556"/>
      <c r="AH1045" s="556"/>
      <c r="AI1045" s="556"/>
      <c r="AJ1045" s="556"/>
      <c r="AK1045" s="556"/>
      <c r="AL1045" s="556"/>
      <c r="AM1045" s="556"/>
      <c r="AN1045" s="556"/>
      <c r="AO1045" s="556"/>
      <c r="AP1045" s="556"/>
      <c r="AQ1045" s="556"/>
      <c r="AR1045" s="556"/>
      <c r="AS1045" s="565"/>
      <c r="AT1045" s="556"/>
    </row>
    <row r="1046" spans="1:46" hidden="1" x14ac:dyDescent="0.45">
      <c r="A1046" s="556"/>
      <c r="B1046" s="556"/>
      <c r="C1046" s="556"/>
      <c r="D1046" s="564"/>
      <c r="E1046" s="556"/>
      <c r="F1046" s="564"/>
      <c r="G1046" s="564"/>
      <c r="H1046" s="564"/>
      <c r="I1046" s="564"/>
      <c r="J1046" s="564"/>
      <c r="K1046" s="564"/>
      <c r="L1046" s="564"/>
      <c r="M1046" s="564"/>
      <c r="N1046" s="564"/>
      <c r="O1046" s="564"/>
      <c r="P1046" s="564"/>
      <c r="Q1046" s="564"/>
      <c r="R1046" s="564"/>
      <c r="S1046" s="564"/>
      <c r="T1046" s="564"/>
      <c r="U1046" s="564"/>
      <c r="V1046" s="564"/>
      <c r="W1046" s="564"/>
      <c r="X1046" s="564"/>
      <c r="Y1046" s="564"/>
      <c r="Z1046" s="564"/>
      <c r="AA1046" s="564"/>
      <c r="AB1046" s="556"/>
      <c r="AC1046" s="556"/>
      <c r="AD1046" s="556"/>
      <c r="AE1046" s="556"/>
      <c r="AF1046" s="556"/>
      <c r="AG1046" s="556"/>
      <c r="AH1046" s="556"/>
      <c r="AI1046" s="556"/>
      <c r="AJ1046" s="556"/>
      <c r="AK1046" s="556"/>
      <c r="AL1046" s="556"/>
      <c r="AM1046" s="556"/>
      <c r="AN1046" s="556"/>
      <c r="AO1046" s="556"/>
      <c r="AP1046" s="556"/>
      <c r="AQ1046" s="556"/>
      <c r="AR1046" s="556"/>
      <c r="AS1046" s="565"/>
      <c r="AT1046" s="556"/>
    </row>
    <row r="1047" spans="1:46" hidden="1" x14ac:dyDescent="0.45">
      <c r="A1047" s="556"/>
      <c r="B1047" s="556"/>
      <c r="C1047" s="556"/>
      <c r="D1047" s="564"/>
      <c r="E1047" s="556"/>
      <c r="F1047" s="564"/>
      <c r="G1047" s="564"/>
      <c r="H1047" s="564"/>
      <c r="I1047" s="564"/>
      <c r="J1047" s="564"/>
      <c r="K1047" s="564"/>
      <c r="L1047" s="564"/>
      <c r="M1047" s="564"/>
      <c r="N1047" s="564"/>
      <c r="O1047" s="564"/>
      <c r="P1047" s="564"/>
      <c r="Q1047" s="564"/>
      <c r="R1047" s="564"/>
      <c r="S1047" s="564"/>
      <c r="T1047" s="564"/>
      <c r="U1047" s="564"/>
      <c r="V1047" s="564"/>
      <c r="W1047" s="564"/>
      <c r="X1047" s="564"/>
      <c r="Y1047" s="564"/>
      <c r="Z1047" s="564"/>
      <c r="AA1047" s="564"/>
      <c r="AB1047" s="556"/>
      <c r="AC1047" s="556"/>
      <c r="AD1047" s="556"/>
      <c r="AE1047" s="556"/>
      <c r="AF1047" s="556"/>
      <c r="AG1047" s="556"/>
      <c r="AH1047" s="556"/>
      <c r="AI1047" s="556"/>
      <c r="AJ1047" s="556"/>
      <c r="AK1047" s="556"/>
      <c r="AL1047" s="556"/>
      <c r="AM1047" s="556"/>
      <c r="AN1047" s="556"/>
      <c r="AO1047" s="556"/>
      <c r="AP1047" s="556"/>
      <c r="AQ1047" s="556"/>
      <c r="AR1047" s="556"/>
      <c r="AS1047" s="565"/>
      <c r="AT1047" s="556"/>
    </row>
    <row r="1048" spans="1:46" hidden="1" x14ac:dyDescent="0.45">
      <c r="A1048" s="556"/>
      <c r="B1048" s="556"/>
      <c r="C1048" s="556"/>
      <c r="D1048" s="564"/>
      <c r="E1048" s="556"/>
      <c r="F1048" s="564"/>
      <c r="G1048" s="564"/>
      <c r="H1048" s="564"/>
      <c r="I1048" s="564"/>
      <c r="J1048" s="564"/>
      <c r="K1048" s="564"/>
      <c r="L1048" s="564"/>
      <c r="M1048" s="564"/>
      <c r="N1048" s="564"/>
      <c r="O1048" s="564"/>
      <c r="P1048" s="564"/>
      <c r="Q1048" s="564"/>
      <c r="R1048" s="564"/>
      <c r="S1048" s="564"/>
      <c r="T1048" s="564"/>
      <c r="U1048" s="564"/>
      <c r="V1048" s="564"/>
      <c r="W1048" s="564"/>
      <c r="X1048" s="564"/>
      <c r="Y1048" s="564"/>
      <c r="Z1048" s="564"/>
      <c r="AA1048" s="564"/>
      <c r="AB1048" s="556"/>
      <c r="AC1048" s="556"/>
      <c r="AD1048" s="556"/>
      <c r="AE1048" s="556"/>
      <c r="AF1048" s="556"/>
      <c r="AG1048" s="556"/>
      <c r="AH1048" s="556"/>
      <c r="AI1048" s="556"/>
      <c r="AJ1048" s="556"/>
      <c r="AK1048" s="556"/>
      <c r="AL1048" s="556"/>
      <c r="AM1048" s="556"/>
      <c r="AN1048" s="556"/>
      <c r="AO1048" s="556"/>
      <c r="AP1048" s="556"/>
      <c r="AQ1048" s="556"/>
      <c r="AR1048" s="556"/>
      <c r="AS1048" s="565"/>
      <c r="AT1048" s="556"/>
    </row>
    <row r="1049" spans="1:46" hidden="1" x14ac:dyDescent="0.45">
      <c r="A1049" s="556"/>
      <c r="B1049" s="556"/>
      <c r="C1049" s="556"/>
      <c r="D1049" s="564"/>
      <c r="E1049" s="556"/>
      <c r="F1049" s="564"/>
      <c r="G1049" s="564"/>
      <c r="H1049" s="564"/>
      <c r="I1049" s="564"/>
      <c r="J1049" s="564"/>
      <c r="K1049" s="564"/>
      <c r="L1049" s="564"/>
      <c r="M1049" s="564"/>
      <c r="N1049" s="564"/>
      <c r="O1049" s="564"/>
      <c r="P1049" s="564"/>
      <c r="Q1049" s="564"/>
      <c r="R1049" s="564"/>
      <c r="S1049" s="564"/>
      <c r="T1049" s="564"/>
      <c r="U1049" s="564"/>
      <c r="V1049" s="564"/>
      <c r="W1049" s="564"/>
      <c r="X1049" s="564"/>
      <c r="Y1049" s="564"/>
      <c r="Z1049" s="564"/>
      <c r="AA1049" s="564"/>
      <c r="AB1049" s="556"/>
      <c r="AC1049" s="556"/>
      <c r="AD1049" s="556"/>
      <c r="AE1049" s="556"/>
      <c r="AF1049" s="556"/>
      <c r="AG1049" s="556"/>
      <c r="AH1049" s="556"/>
      <c r="AI1049" s="556"/>
      <c r="AJ1049" s="556"/>
      <c r="AK1049" s="556"/>
      <c r="AL1049" s="556"/>
      <c r="AM1049" s="556"/>
      <c r="AN1049" s="556"/>
      <c r="AO1049" s="556"/>
      <c r="AP1049" s="556"/>
      <c r="AQ1049" s="556"/>
      <c r="AR1049" s="556"/>
      <c r="AS1049" s="565"/>
      <c r="AT1049" s="556"/>
    </row>
    <row r="1050" spans="1:46" hidden="1" x14ac:dyDescent="0.45">
      <c r="A1050" s="556"/>
      <c r="B1050" s="556"/>
      <c r="C1050" s="556"/>
      <c r="D1050" s="564"/>
      <c r="E1050" s="556"/>
      <c r="F1050" s="564"/>
      <c r="G1050" s="564"/>
      <c r="H1050" s="564"/>
      <c r="I1050" s="564"/>
      <c r="J1050" s="564"/>
      <c r="K1050" s="564"/>
      <c r="L1050" s="564"/>
      <c r="M1050" s="564"/>
      <c r="N1050" s="564"/>
      <c r="O1050" s="564"/>
      <c r="P1050" s="564"/>
      <c r="Q1050" s="564"/>
      <c r="R1050" s="564"/>
      <c r="S1050" s="564"/>
      <c r="T1050" s="564"/>
      <c r="U1050" s="564"/>
      <c r="V1050" s="564"/>
      <c r="W1050" s="564"/>
      <c r="X1050" s="564"/>
      <c r="Y1050" s="564"/>
      <c r="Z1050" s="564"/>
      <c r="AA1050" s="564"/>
      <c r="AB1050" s="556"/>
      <c r="AC1050" s="556"/>
      <c r="AD1050" s="556"/>
      <c r="AE1050" s="556"/>
      <c r="AF1050" s="556"/>
      <c r="AG1050" s="556"/>
      <c r="AH1050" s="556"/>
      <c r="AI1050" s="556"/>
      <c r="AJ1050" s="556"/>
      <c r="AK1050" s="556"/>
      <c r="AL1050" s="556"/>
      <c r="AM1050" s="556"/>
      <c r="AN1050" s="556"/>
      <c r="AO1050" s="556"/>
      <c r="AP1050" s="556"/>
      <c r="AQ1050" s="556"/>
      <c r="AR1050" s="556"/>
      <c r="AS1050" s="565"/>
      <c r="AT1050" s="556"/>
    </row>
    <row r="1051" spans="1:46" hidden="1" x14ac:dyDescent="0.45">
      <c r="A1051" s="556"/>
      <c r="B1051" s="556"/>
      <c r="C1051" s="556"/>
      <c r="D1051" s="564"/>
      <c r="E1051" s="556"/>
      <c r="F1051" s="564"/>
      <c r="G1051" s="564"/>
      <c r="H1051" s="564"/>
      <c r="I1051" s="564"/>
      <c r="J1051" s="564"/>
      <c r="K1051" s="564"/>
      <c r="L1051" s="564"/>
      <c r="M1051" s="564"/>
      <c r="N1051" s="564"/>
      <c r="O1051" s="564"/>
      <c r="P1051" s="564"/>
      <c r="Q1051" s="564"/>
      <c r="R1051" s="564"/>
      <c r="S1051" s="564"/>
      <c r="T1051" s="564"/>
      <c r="U1051" s="564"/>
      <c r="V1051" s="564"/>
      <c r="W1051" s="564"/>
      <c r="X1051" s="564"/>
      <c r="Y1051" s="564"/>
      <c r="Z1051" s="564"/>
      <c r="AA1051" s="564"/>
      <c r="AB1051" s="556"/>
      <c r="AC1051" s="556"/>
      <c r="AD1051" s="556"/>
      <c r="AE1051" s="556"/>
      <c r="AF1051" s="556"/>
      <c r="AG1051" s="556"/>
      <c r="AH1051" s="556"/>
      <c r="AI1051" s="556"/>
      <c r="AJ1051" s="556"/>
      <c r="AK1051" s="556"/>
      <c r="AL1051" s="556"/>
      <c r="AM1051" s="556"/>
      <c r="AN1051" s="556"/>
      <c r="AO1051" s="556"/>
      <c r="AP1051" s="556"/>
      <c r="AQ1051" s="556"/>
      <c r="AR1051" s="556"/>
      <c r="AS1051" s="565"/>
      <c r="AT1051" s="556"/>
    </row>
    <row r="1052" spans="1:46" hidden="1" x14ac:dyDescent="0.45">
      <c r="A1052" s="556"/>
      <c r="B1052" s="556"/>
      <c r="C1052" s="556"/>
      <c r="D1052" s="564"/>
      <c r="E1052" s="556"/>
      <c r="F1052" s="564"/>
      <c r="G1052" s="564"/>
      <c r="H1052" s="564"/>
      <c r="I1052" s="564"/>
      <c r="J1052" s="564"/>
      <c r="K1052" s="564"/>
      <c r="L1052" s="564"/>
      <c r="M1052" s="564"/>
      <c r="N1052" s="564"/>
      <c r="O1052" s="564"/>
      <c r="P1052" s="564"/>
      <c r="Q1052" s="564"/>
      <c r="R1052" s="564"/>
      <c r="S1052" s="564"/>
      <c r="T1052" s="564"/>
      <c r="U1052" s="564"/>
      <c r="V1052" s="564"/>
      <c r="W1052" s="564"/>
      <c r="X1052" s="564"/>
      <c r="Y1052" s="564"/>
      <c r="Z1052" s="564"/>
      <c r="AA1052" s="564"/>
      <c r="AB1052" s="556"/>
      <c r="AC1052" s="556"/>
      <c r="AD1052" s="556"/>
      <c r="AE1052" s="556"/>
      <c r="AF1052" s="556"/>
      <c r="AG1052" s="556"/>
      <c r="AH1052" s="556"/>
      <c r="AI1052" s="556"/>
      <c r="AJ1052" s="556"/>
      <c r="AK1052" s="556"/>
      <c r="AL1052" s="556"/>
      <c r="AM1052" s="556"/>
      <c r="AN1052" s="556"/>
      <c r="AO1052" s="556"/>
      <c r="AP1052" s="556"/>
      <c r="AQ1052" s="556"/>
      <c r="AR1052" s="556"/>
      <c r="AS1052" s="565"/>
      <c r="AT1052" s="556"/>
    </row>
    <row r="1053" spans="1:46" hidden="1" x14ac:dyDescent="0.45">
      <c r="A1053" s="556"/>
      <c r="B1053" s="556"/>
      <c r="C1053" s="556"/>
      <c r="D1053" s="564"/>
      <c r="E1053" s="556"/>
      <c r="F1053" s="564"/>
      <c r="G1053" s="564"/>
      <c r="H1053" s="564"/>
      <c r="I1053" s="564"/>
      <c r="J1053" s="564"/>
      <c r="K1053" s="564"/>
      <c r="L1053" s="564"/>
      <c r="M1053" s="564"/>
      <c r="N1053" s="564"/>
      <c r="O1053" s="564"/>
      <c r="P1053" s="564"/>
      <c r="Q1053" s="564"/>
      <c r="R1053" s="564"/>
      <c r="S1053" s="564"/>
      <c r="T1053" s="564"/>
      <c r="U1053" s="564"/>
      <c r="V1053" s="564"/>
      <c r="W1053" s="564"/>
      <c r="X1053" s="564"/>
      <c r="Y1053" s="564"/>
      <c r="Z1053" s="564"/>
      <c r="AA1053" s="564"/>
      <c r="AB1053" s="556"/>
      <c r="AC1053" s="556"/>
      <c r="AD1053" s="556"/>
      <c r="AE1053" s="556"/>
      <c r="AF1053" s="556"/>
      <c r="AG1053" s="556"/>
      <c r="AH1053" s="556"/>
      <c r="AI1053" s="556"/>
      <c r="AJ1053" s="556"/>
      <c r="AK1053" s="556"/>
      <c r="AL1053" s="556"/>
      <c r="AM1053" s="556"/>
      <c r="AN1053" s="556"/>
      <c r="AO1053" s="556"/>
      <c r="AP1053" s="556"/>
      <c r="AQ1053" s="556"/>
      <c r="AR1053" s="556"/>
      <c r="AS1053" s="565"/>
      <c r="AT1053" s="556"/>
    </row>
    <row r="1054" spans="1:46" hidden="1" x14ac:dyDescent="0.45">
      <c r="A1054" s="556"/>
      <c r="B1054" s="556"/>
      <c r="C1054" s="556"/>
      <c r="D1054" s="564"/>
      <c r="E1054" s="556"/>
      <c r="F1054" s="564"/>
      <c r="G1054" s="564"/>
      <c r="H1054" s="564"/>
      <c r="I1054" s="564"/>
      <c r="J1054" s="564"/>
      <c r="K1054" s="564"/>
      <c r="L1054" s="564"/>
      <c r="M1054" s="564"/>
      <c r="N1054" s="564"/>
      <c r="O1054" s="564"/>
      <c r="P1054" s="564"/>
      <c r="Q1054" s="564"/>
      <c r="R1054" s="564"/>
      <c r="S1054" s="564"/>
      <c r="T1054" s="564"/>
      <c r="U1054" s="564"/>
      <c r="V1054" s="564"/>
      <c r="W1054" s="564"/>
      <c r="X1054" s="564"/>
      <c r="Y1054" s="564"/>
      <c r="Z1054" s="564"/>
      <c r="AA1054" s="564"/>
      <c r="AB1054" s="556"/>
      <c r="AC1054" s="556"/>
      <c r="AD1054" s="556"/>
      <c r="AE1054" s="556"/>
      <c r="AF1054" s="556"/>
      <c r="AG1054" s="556"/>
      <c r="AH1054" s="556"/>
      <c r="AI1054" s="556"/>
      <c r="AJ1054" s="556"/>
      <c r="AK1054" s="556"/>
      <c r="AL1054" s="556"/>
      <c r="AM1054" s="556"/>
      <c r="AN1054" s="556"/>
      <c r="AO1054" s="556"/>
      <c r="AP1054" s="556"/>
      <c r="AQ1054" s="556"/>
      <c r="AR1054" s="556"/>
      <c r="AS1054" s="565"/>
      <c r="AT1054" s="556"/>
    </row>
    <row r="1055" spans="1:46" hidden="1" x14ac:dyDescent="0.45">
      <c r="A1055" s="556"/>
      <c r="B1055" s="556"/>
      <c r="C1055" s="556"/>
      <c r="D1055" s="564"/>
      <c r="E1055" s="556"/>
      <c r="F1055" s="564"/>
      <c r="G1055" s="564"/>
      <c r="H1055" s="564"/>
      <c r="I1055" s="564"/>
      <c r="J1055" s="564"/>
      <c r="K1055" s="564"/>
      <c r="L1055" s="564"/>
      <c r="M1055" s="564"/>
      <c r="N1055" s="564"/>
      <c r="O1055" s="564"/>
      <c r="P1055" s="564"/>
      <c r="Q1055" s="564"/>
      <c r="R1055" s="564"/>
      <c r="S1055" s="564"/>
      <c r="T1055" s="564"/>
      <c r="U1055" s="564"/>
      <c r="V1055" s="564"/>
      <c r="W1055" s="564"/>
      <c r="X1055" s="564"/>
      <c r="Y1055" s="564"/>
      <c r="Z1055" s="564"/>
      <c r="AA1055" s="564"/>
      <c r="AB1055" s="556"/>
      <c r="AC1055" s="556"/>
      <c r="AD1055" s="556"/>
      <c r="AE1055" s="556"/>
      <c r="AF1055" s="556"/>
      <c r="AG1055" s="556"/>
      <c r="AH1055" s="556"/>
      <c r="AI1055" s="556"/>
      <c r="AJ1055" s="556"/>
      <c r="AK1055" s="556"/>
      <c r="AL1055" s="556"/>
      <c r="AM1055" s="556"/>
      <c r="AN1055" s="556"/>
      <c r="AO1055" s="556"/>
      <c r="AP1055" s="556"/>
      <c r="AQ1055" s="556"/>
      <c r="AR1055" s="556"/>
      <c r="AS1055" s="565"/>
      <c r="AT1055" s="556"/>
    </row>
    <row r="1056" spans="1:46" hidden="1" x14ac:dyDescent="0.45">
      <c r="A1056" s="556"/>
      <c r="B1056" s="556"/>
      <c r="C1056" s="556"/>
      <c r="D1056" s="564"/>
      <c r="E1056" s="556"/>
      <c r="F1056" s="564"/>
      <c r="G1056" s="564"/>
      <c r="H1056" s="564"/>
      <c r="I1056" s="564"/>
      <c r="J1056" s="564"/>
      <c r="K1056" s="564"/>
      <c r="L1056" s="564"/>
      <c r="M1056" s="564"/>
      <c r="N1056" s="564"/>
      <c r="O1056" s="564"/>
      <c r="P1056" s="564"/>
      <c r="Q1056" s="564"/>
      <c r="R1056" s="564"/>
      <c r="S1056" s="564"/>
      <c r="T1056" s="564"/>
      <c r="U1056" s="564"/>
      <c r="V1056" s="564"/>
      <c r="W1056" s="564"/>
      <c r="X1056" s="564"/>
      <c r="Y1056" s="564"/>
      <c r="Z1056" s="564"/>
      <c r="AA1056" s="564"/>
      <c r="AB1056" s="556"/>
      <c r="AC1056" s="556"/>
      <c r="AD1056" s="556"/>
      <c r="AE1056" s="556"/>
      <c r="AF1056" s="556"/>
      <c r="AG1056" s="556"/>
      <c r="AH1056" s="556"/>
      <c r="AI1056" s="556"/>
      <c r="AJ1056" s="556"/>
      <c r="AK1056" s="556"/>
      <c r="AL1056" s="556"/>
      <c r="AM1056" s="556"/>
      <c r="AN1056" s="556"/>
      <c r="AO1056" s="556"/>
      <c r="AP1056" s="556"/>
      <c r="AQ1056" s="556"/>
      <c r="AR1056" s="556"/>
      <c r="AS1056" s="565"/>
      <c r="AT1056" s="556"/>
    </row>
    <row r="1057" spans="1:46" hidden="1" x14ac:dyDescent="0.45">
      <c r="A1057" s="556"/>
      <c r="B1057" s="556"/>
      <c r="C1057" s="556"/>
      <c r="D1057" s="564"/>
      <c r="E1057" s="556"/>
      <c r="F1057" s="564"/>
      <c r="G1057" s="564"/>
      <c r="H1057" s="564"/>
      <c r="I1057" s="564"/>
      <c r="J1057" s="564"/>
      <c r="K1057" s="564"/>
      <c r="L1057" s="564"/>
      <c r="M1057" s="564"/>
      <c r="N1057" s="564"/>
      <c r="O1057" s="564"/>
      <c r="P1057" s="564"/>
      <c r="Q1057" s="564"/>
      <c r="R1057" s="564"/>
      <c r="S1057" s="564"/>
      <c r="T1057" s="564"/>
      <c r="U1057" s="564"/>
      <c r="V1057" s="564"/>
      <c r="W1057" s="564"/>
      <c r="X1057" s="564"/>
      <c r="Y1057" s="564"/>
      <c r="Z1057" s="564"/>
      <c r="AA1057" s="564"/>
      <c r="AB1057" s="556"/>
      <c r="AC1057" s="556"/>
      <c r="AD1057" s="556"/>
      <c r="AE1057" s="556"/>
      <c r="AF1057" s="556"/>
      <c r="AG1057" s="556"/>
      <c r="AH1057" s="556"/>
      <c r="AI1057" s="556"/>
      <c r="AJ1057" s="556"/>
      <c r="AK1057" s="556"/>
      <c r="AL1057" s="556"/>
      <c r="AM1057" s="556"/>
      <c r="AN1057" s="556"/>
      <c r="AO1057" s="556"/>
      <c r="AP1057" s="556"/>
      <c r="AQ1057" s="556"/>
      <c r="AR1057" s="556"/>
      <c r="AS1057" s="565"/>
      <c r="AT1057" s="556"/>
    </row>
    <row r="1058" spans="1:46" hidden="1" x14ac:dyDescent="0.45">
      <c r="A1058" s="556"/>
      <c r="B1058" s="556"/>
      <c r="C1058" s="556"/>
      <c r="D1058" s="564"/>
      <c r="E1058" s="556"/>
      <c r="F1058" s="564"/>
      <c r="G1058" s="564"/>
      <c r="H1058" s="564"/>
      <c r="I1058" s="564"/>
      <c r="J1058" s="564"/>
      <c r="K1058" s="564"/>
      <c r="L1058" s="564"/>
      <c r="M1058" s="564"/>
      <c r="N1058" s="564"/>
      <c r="O1058" s="564"/>
      <c r="P1058" s="564"/>
      <c r="Q1058" s="564"/>
      <c r="R1058" s="564"/>
      <c r="S1058" s="564"/>
      <c r="T1058" s="564"/>
      <c r="U1058" s="564"/>
      <c r="V1058" s="564"/>
      <c r="W1058" s="564"/>
      <c r="X1058" s="564"/>
      <c r="Y1058" s="564"/>
      <c r="Z1058" s="564"/>
      <c r="AA1058" s="564"/>
      <c r="AB1058" s="556"/>
      <c r="AC1058" s="556"/>
      <c r="AD1058" s="556"/>
      <c r="AE1058" s="556"/>
      <c r="AF1058" s="556"/>
      <c r="AG1058" s="556"/>
      <c r="AH1058" s="556"/>
      <c r="AI1058" s="556"/>
      <c r="AJ1058" s="556"/>
      <c r="AK1058" s="556"/>
      <c r="AL1058" s="556"/>
      <c r="AM1058" s="556"/>
      <c r="AN1058" s="556"/>
      <c r="AO1058" s="556"/>
      <c r="AP1058" s="556"/>
      <c r="AQ1058" s="556"/>
      <c r="AR1058" s="556"/>
      <c r="AS1058" s="565"/>
      <c r="AT1058" s="556"/>
    </row>
    <row r="1059" spans="1:46" hidden="1" x14ac:dyDescent="0.45">
      <c r="A1059" s="556"/>
      <c r="B1059" s="556"/>
      <c r="C1059" s="556"/>
      <c r="D1059" s="564"/>
      <c r="E1059" s="556"/>
      <c r="F1059" s="564"/>
      <c r="G1059" s="564"/>
      <c r="H1059" s="564"/>
      <c r="I1059" s="564"/>
      <c r="J1059" s="564"/>
      <c r="K1059" s="564"/>
      <c r="L1059" s="564"/>
      <c r="M1059" s="564"/>
      <c r="N1059" s="564"/>
      <c r="O1059" s="564"/>
      <c r="P1059" s="564"/>
      <c r="Q1059" s="564"/>
      <c r="R1059" s="564"/>
      <c r="S1059" s="564"/>
      <c r="T1059" s="564"/>
      <c r="U1059" s="564"/>
      <c r="V1059" s="564"/>
      <c r="W1059" s="564"/>
      <c r="X1059" s="564"/>
      <c r="Y1059" s="564"/>
      <c r="Z1059" s="564"/>
      <c r="AA1059" s="564"/>
      <c r="AB1059" s="556"/>
      <c r="AC1059" s="556"/>
      <c r="AD1059" s="556"/>
      <c r="AE1059" s="556"/>
      <c r="AF1059" s="556"/>
      <c r="AG1059" s="556"/>
      <c r="AH1059" s="556"/>
      <c r="AI1059" s="556"/>
      <c r="AJ1059" s="556"/>
      <c r="AK1059" s="556"/>
      <c r="AL1059" s="556"/>
      <c r="AM1059" s="556"/>
      <c r="AN1059" s="556"/>
      <c r="AO1059" s="556"/>
      <c r="AP1059" s="556"/>
      <c r="AQ1059" s="556"/>
      <c r="AR1059" s="556"/>
      <c r="AS1059" s="565"/>
      <c r="AT1059" s="556"/>
    </row>
    <row r="1060" spans="1:46" hidden="1" x14ac:dyDescent="0.45">
      <c r="A1060" s="556"/>
      <c r="B1060" s="556"/>
      <c r="C1060" s="556"/>
      <c r="D1060" s="564"/>
      <c r="E1060" s="556"/>
      <c r="F1060" s="564"/>
      <c r="G1060" s="564"/>
      <c r="H1060" s="564"/>
      <c r="I1060" s="564"/>
      <c r="J1060" s="564"/>
      <c r="K1060" s="564"/>
      <c r="L1060" s="564"/>
      <c r="M1060" s="564"/>
      <c r="N1060" s="564"/>
      <c r="O1060" s="564"/>
      <c r="P1060" s="564"/>
      <c r="Q1060" s="564"/>
      <c r="R1060" s="564"/>
      <c r="S1060" s="564"/>
      <c r="T1060" s="564"/>
      <c r="U1060" s="564"/>
      <c r="V1060" s="564"/>
      <c r="W1060" s="564"/>
      <c r="X1060" s="564"/>
      <c r="Y1060" s="564"/>
      <c r="Z1060" s="564"/>
      <c r="AA1060" s="564"/>
      <c r="AB1060" s="556"/>
      <c r="AC1060" s="556"/>
      <c r="AD1060" s="556"/>
      <c r="AE1060" s="556"/>
      <c r="AF1060" s="556"/>
      <c r="AG1060" s="556"/>
      <c r="AH1060" s="556"/>
      <c r="AI1060" s="556"/>
      <c r="AJ1060" s="556"/>
      <c r="AK1060" s="556"/>
      <c r="AL1060" s="556"/>
      <c r="AM1060" s="556"/>
      <c r="AN1060" s="556"/>
      <c r="AO1060" s="556"/>
      <c r="AP1060" s="556"/>
      <c r="AQ1060" s="556"/>
      <c r="AR1060" s="556"/>
      <c r="AS1060" s="565"/>
      <c r="AT1060" s="556"/>
    </row>
    <row r="1061" spans="1:46" hidden="1" x14ac:dyDescent="0.45">
      <c r="A1061" s="556"/>
      <c r="B1061" s="556"/>
      <c r="C1061" s="556"/>
      <c r="D1061" s="564"/>
      <c r="E1061" s="556"/>
      <c r="F1061" s="564"/>
      <c r="G1061" s="564"/>
      <c r="H1061" s="564"/>
      <c r="I1061" s="564"/>
      <c r="J1061" s="564"/>
      <c r="K1061" s="564"/>
      <c r="L1061" s="564"/>
      <c r="M1061" s="564"/>
      <c r="N1061" s="564"/>
      <c r="O1061" s="564"/>
      <c r="P1061" s="564"/>
      <c r="Q1061" s="564"/>
      <c r="R1061" s="564"/>
      <c r="S1061" s="564"/>
      <c r="T1061" s="564"/>
      <c r="U1061" s="564"/>
      <c r="V1061" s="564"/>
      <c r="W1061" s="564"/>
      <c r="X1061" s="564"/>
      <c r="Y1061" s="564"/>
      <c r="Z1061" s="564"/>
      <c r="AA1061" s="564"/>
      <c r="AB1061" s="556"/>
      <c r="AC1061" s="556"/>
      <c r="AD1061" s="556"/>
      <c r="AE1061" s="556"/>
      <c r="AF1061" s="556"/>
      <c r="AG1061" s="556"/>
      <c r="AH1061" s="556"/>
      <c r="AI1061" s="556"/>
      <c r="AJ1061" s="556"/>
      <c r="AK1061" s="556"/>
      <c r="AL1061" s="556"/>
      <c r="AM1061" s="556"/>
      <c r="AN1061" s="556"/>
      <c r="AO1061" s="556"/>
      <c r="AP1061" s="556"/>
      <c r="AQ1061" s="556"/>
      <c r="AR1061" s="556"/>
      <c r="AS1061" s="565"/>
      <c r="AT1061" s="556"/>
    </row>
    <row r="1062" spans="1:46" hidden="1" x14ac:dyDescent="0.45">
      <c r="A1062" s="556"/>
      <c r="B1062" s="556"/>
      <c r="C1062" s="556"/>
      <c r="D1062" s="564"/>
      <c r="E1062" s="556"/>
      <c r="F1062" s="564"/>
      <c r="G1062" s="564"/>
      <c r="H1062" s="564"/>
      <c r="I1062" s="564"/>
      <c r="J1062" s="564"/>
      <c r="K1062" s="564"/>
      <c r="L1062" s="564"/>
      <c r="M1062" s="564"/>
      <c r="N1062" s="564"/>
      <c r="O1062" s="564"/>
      <c r="P1062" s="564"/>
      <c r="Q1062" s="564"/>
      <c r="R1062" s="564"/>
      <c r="S1062" s="564"/>
      <c r="T1062" s="564"/>
      <c r="U1062" s="564"/>
      <c r="V1062" s="564"/>
      <c r="W1062" s="564"/>
      <c r="X1062" s="564"/>
      <c r="Y1062" s="564"/>
      <c r="Z1062" s="564"/>
      <c r="AA1062" s="564"/>
      <c r="AB1062" s="556"/>
      <c r="AC1062" s="556"/>
      <c r="AD1062" s="556"/>
      <c r="AE1062" s="556"/>
      <c r="AF1062" s="556"/>
      <c r="AG1062" s="556"/>
      <c r="AH1062" s="556"/>
      <c r="AI1062" s="556"/>
      <c r="AJ1062" s="556"/>
      <c r="AK1062" s="556"/>
      <c r="AL1062" s="556"/>
      <c r="AM1062" s="556"/>
      <c r="AN1062" s="556"/>
      <c r="AO1062" s="556"/>
      <c r="AP1062" s="556"/>
      <c r="AQ1062" s="556"/>
      <c r="AR1062" s="556"/>
      <c r="AS1062" s="565"/>
      <c r="AT1062" s="556"/>
    </row>
    <row r="1063" spans="1:46" hidden="1" x14ac:dyDescent="0.45">
      <c r="A1063" s="556"/>
      <c r="B1063" s="556"/>
      <c r="C1063" s="556"/>
      <c r="D1063" s="564"/>
      <c r="E1063" s="556"/>
      <c r="F1063" s="564"/>
      <c r="G1063" s="564"/>
      <c r="H1063" s="564"/>
      <c r="I1063" s="564"/>
      <c r="J1063" s="564"/>
      <c r="K1063" s="564"/>
      <c r="L1063" s="564"/>
      <c r="M1063" s="564"/>
      <c r="N1063" s="564"/>
      <c r="O1063" s="564"/>
      <c r="P1063" s="564"/>
      <c r="Q1063" s="564"/>
      <c r="R1063" s="564"/>
      <c r="S1063" s="564"/>
      <c r="T1063" s="564"/>
      <c r="U1063" s="564"/>
      <c r="V1063" s="564"/>
      <c r="W1063" s="564"/>
      <c r="X1063" s="564"/>
      <c r="Y1063" s="564"/>
      <c r="Z1063" s="564"/>
      <c r="AA1063" s="564"/>
      <c r="AB1063" s="556"/>
      <c r="AC1063" s="556"/>
      <c r="AD1063" s="556"/>
      <c r="AE1063" s="556"/>
      <c r="AF1063" s="556"/>
      <c r="AG1063" s="556"/>
      <c r="AH1063" s="556"/>
      <c r="AI1063" s="556"/>
      <c r="AJ1063" s="556"/>
      <c r="AK1063" s="556"/>
      <c r="AL1063" s="556"/>
      <c r="AM1063" s="556"/>
      <c r="AN1063" s="556"/>
      <c r="AO1063" s="556"/>
      <c r="AP1063" s="556"/>
      <c r="AQ1063" s="556"/>
      <c r="AR1063" s="556"/>
      <c r="AS1063" s="565"/>
      <c r="AT1063" s="556"/>
    </row>
    <row r="1064" spans="1:46" hidden="1" x14ac:dyDescent="0.45">
      <c r="A1064" s="556"/>
      <c r="B1064" s="556"/>
      <c r="C1064" s="556"/>
      <c r="D1064" s="564"/>
      <c r="E1064" s="556"/>
      <c r="F1064" s="564"/>
      <c r="G1064" s="564"/>
      <c r="H1064" s="564"/>
      <c r="I1064" s="564"/>
      <c r="J1064" s="564"/>
      <c r="K1064" s="564"/>
      <c r="L1064" s="564"/>
      <c r="M1064" s="564"/>
      <c r="N1064" s="564"/>
      <c r="O1064" s="564"/>
      <c r="P1064" s="564"/>
      <c r="Q1064" s="564"/>
      <c r="R1064" s="564"/>
      <c r="S1064" s="564"/>
      <c r="T1064" s="564"/>
      <c r="U1064" s="564"/>
      <c r="V1064" s="564"/>
      <c r="W1064" s="564"/>
      <c r="X1064" s="564"/>
      <c r="Y1064" s="564"/>
      <c r="Z1064" s="564"/>
      <c r="AA1064" s="564"/>
      <c r="AB1064" s="556"/>
      <c r="AC1064" s="556"/>
      <c r="AD1064" s="556"/>
      <c r="AE1064" s="556"/>
      <c r="AF1064" s="556"/>
      <c r="AG1064" s="556"/>
      <c r="AH1064" s="556"/>
      <c r="AI1064" s="556"/>
      <c r="AJ1064" s="556"/>
      <c r="AK1064" s="556"/>
      <c r="AL1064" s="556"/>
      <c r="AM1064" s="556"/>
      <c r="AN1064" s="556"/>
      <c r="AO1064" s="556"/>
      <c r="AP1064" s="556"/>
      <c r="AQ1064" s="556"/>
      <c r="AR1064" s="556"/>
      <c r="AS1064" s="565"/>
      <c r="AT1064" s="556"/>
    </row>
    <row r="1065" spans="1:46" hidden="1" x14ac:dyDescent="0.45">
      <c r="A1065" s="556"/>
      <c r="B1065" s="556"/>
      <c r="C1065" s="556"/>
      <c r="D1065" s="564"/>
      <c r="E1065" s="556"/>
      <c r="F1065" s="564"/>
      <c r="G1065" s="564"/>
      <c r="H1065" s="564"/>
      <c r="I1065" s="564"/>
      <c r="J1065" s="564"/>
      <c r="K1065" s="564"/>
      <c r="L1065" s="564"/>
      <c r="M1065" s="564"/>
      <c r="N1065" s="564"/>
      <c r="O1065" s="564"/>
      <c r="P1065" s="564"/>
      <c r="Q1065" s="564"/>
      <c r="R1065" s="564"/>
      <c r="S1065" s="564"/>
      <c r="T1065" s="564"/>
      <c r="U1065" s="564"/>
      <c r="V1065" s="564"/>
      <c r="W1065" s="564"/>
      <c r="X1065" s="564"/>
      <c r="Y1065" s="564"/>
      <c r="Z1065" s="564"/>
      <c r="AA1065" s="564"/>
      <c r="AB1065" s="556"/>
      <c r="AC1065" s="556"/>
      <c r="AD1065" s="556"/>
      <c r="AE1065" s="556"/>
      <c r="AF1065" s="556"/>
      <c r="AG1065" s="556"/>
      <c r="AH1065" s="556"/>
      <c r="AI1065" s="556"/>
      <c r="AJ1065" s="556"/>
      <c r="AK1065" s="556"/>
      <c r="AL1065" s="556"/>
      <c r="AM1065" s="556"/>
      <c r="AN1065" s="556"/>
      <c r="AO1065" s="556"/>
      <c r="AP1065" s="556"/>
      <c r="AQ1065" s="556"/>
      <c r="AR1065" s="556"/>
      <c r="AS1065" s="565"/>
      <c r="AT1065" s="556"/>
    </row>
    <row r="1066" spans="1:46" hidden="1" x14ac:dyDescent="0.45">
      <c r="A1066" s="556"/>
      <c r="B1066" s="556"/>
      <c r="C1066" s="556"/>
      <c r="D1066" s="564"/>
      <c r="E1066" s="556"/>
      <c r="F1066" s="564"/>
      <c r="G1066" s="564"/>
      <c r="H1066" s="564"/>
      <c r="I1066" s="564"/>
      <c r="J1066" s="564"/>
      <c r="K1066" s="564"/>
      <c r="L1066" s="564"/>
      <c r="M1066" s="564"/>
      <c r="N1066" s="564"/>
      <c r="O1066" s="564"/>
      <c r="P1066" s="564"/>
      <c r="Q1066" s="564"/>
      <c r="R1066" s="564"/>
      <c r="S1066" s="564"/>
      <c r="T1066" s="564"/>
      <c r="U1066" s="564"/>
      <c r="V1066" s="564"/>
      <c r="W1066" s="564"/>
      <c r="X1066" s="564"/>
      <c r="Y1066" s="564"/>
      <c r="Z1066" s="564"/>
      <c r="AA1066" s="564"/>
      <c r="AB1066" s="556"/>
      <c r="AC1066" s="556"/>
      <c r="AD1066" s="556"/>
      <c r="AE1066" s="556"/>
      <c r="AF1066" s="556"/>
      <c r="AG1066" s="556"/>
      <c r="AH1066" s="556"/>
      <c r="AI1066" s="556"/>
      <c r="AJ1066" s="556"/>
      <c r="AK1066" s="556"/>
      <c r="AL1066" s="556"/>
      <c r="AM1066" s="556"/>
      <c r="AN1066" s="556"/>
      <c r="AO1066" s="556"/>
      <c r="AP1066" s="556"/>
      <c r="AQ1066" s="556"/>
      <c r="AR1066" s="556"/>
      <c r="AS1066" s="565"/>
      <c r="AT1066" s="556"/>
    </row>
    <row r="1067" spans="1:46" hidden="1" x14ac:dyDescent="0.45">
      <c r="A1067" s="556"/>
      <c r="B1067" s="556"/>
      <c r="C1067" s="556"/>
      <c r="D1067" s="564"/>
      <c r="E1067" s="556"/>
      <c r="F1067" s="564"/>
      <c r="G1067" s="564"/>
      <c r="H1067" s="564"/>
      <c r="I1067" s="564"/>
      <c r="J1067" s="564"/>
      <c r="K1067" s="564"/>
      <c r="L1067" s="564"/>
      <c r="M1067" s="564"/>
      <c r="N1067" s="564"/>
      <c r="O1067" s="564"/>
      <c r="P1067" s="564"/>
      <c r="Q1067" s="564"/>
      <c r="R1067" s="564"/>
      <c r="S1067" s="564"/>
      <c r="T1067" s="564"/>
      <c r="U1067" s="564"/>
      <c r="V1067" s="564"/>
      <c r="W1067" s="564"/>
      <c r="X1067" s="564"/>
      <c r="Y1067" s="564"/>
      <c r="Z1067" s="564"/>
      <c r="AA1067" s="564"/>
      <c r="AB1067" s="556"/>
      <c r="AC1067" s="556"/>
      <c r="AD1067" s="556"/>
      <c r="AE1067" s="556"/>
      <c r="AF1067" s="556"/>
      <c r="AG1067" s="556"/>
      <c r="AH1067" s="556"/>
      <c r="AI1067" s="556"/>
      <c r="AJ1067" s="556"/>
      <c r="AK1067" s="556"/>
      <c r="AL1067" s="556"/>
      <c r="AM1067" s="556"/>
      <c r="AN1067" s="556"/>
      <c r="AO1067" s="556"/>
      <c r="AP1067" s="556"/>
      <c r="AQ1067" s="556"/>
      <c r="AR1067" s="556"/>
      <c r="AS1067" s="565"/>
      <c r="AT1067" s="556"/>
    </row>
    <row r="1068" spans="1:46" hidden="1" x14ac:dyDescent="0.45">
      <c r="A1068" s="556"/>
      <c r="B1068" s="556"/>
      <c r="C1068" s="556"/>
      <c r="D1068" s="564"/>
      <c r="E1068" s="556"/>
      <c r="F1068" s="564"/>
      <c r="G1068" s="564"/>
      <c r="H1068" s="564"/>
      <c r="I1068" s="564"/>
      <c r="J1068" s="564"/>
      <c r="K1068" s="564"/>
      <c r="L1068" s="564"/>
      <c r="M1068" s="564"/>
      <c r="N1068" s="564"/>
      <c r="O1068" s="564"/>
      <c r="P1068" s="564"/>
      <c r="Q1068" s="564"/>
      <c r="R1068" s="564"/>
      <c r="S1068" s="564"/>
      <c r="T1068" s="564"/>
      <c r="U1068" s="564"/>
      <c r="V1068" s="564"/>
      <c r="W1068" s="564"/>
      <c r="X1068" s="564"/>
      <c r="Y1068" s="564"/>
      <c r="Z1068" s="564"/>
      <c r="AA1068" s="564"/>
      <c r="AB1068" s="556"/>
      <c r="AC1068" s="556"/>
      <c r="AD1068" s="556"/>
      <c r="AE1068" s="556"/>
      <c r="AF1068" s="556"/>
      <c r="AG1068" s="556"/>
      <c r="AH1068" s="556"/>
      <c r="AI1068" s="556"/>
      <c r="AJ1068" s="556"/>
      <c r="AK1068" s="556"/>
      <c r="AL1068" s="556"/>
      <c r="AM1068" s="556"/>
      <c r="AN1068" s="556"/>
      <c r="AO1068" s="556"/>
      <c r="AP1068" s="556"/>
      <c r="AQ1068" s="556"/>
      <c r="AR1068" s="556"/>
      <c r="AS1068" s="565"/>
      <c r="AT1068" s="556"/>
    </row>
    <row r="1069" spans="1:46" hidden="1" x14ac:dyDescent="0.45">
      <c r="A1069" s="556"/>
      <c r="B1069" s="556"/>
      <c r="C1069" s="556"/>
      <c r="D1069" s="564"/>
      <c r="E1069" s="556"/>
      <c r="F1069" s="564"/>
      <c r="G1069" s="564"/>
      <c r="H1069" s="564"/>
      <c r="I1069" s="564"/>
      <c r="J1069" s="564"/>
      <c r="K1069" s="564"/>
      <c r="L1069" s="564"/>
      <c r="M1069" s="564"/>
      <c r="N1069" s="564"/>
      <c r="O1069" s="564"/>
      <c r="P1069" s="564"/>
      <c r="Q1069" s="564"/>
      <c r="R1069" s="564"/>
      <c r="S1069" s="564"/>
      <c r="T1069" s="564"/>
      <c r="U1069" s="564"/>
      <c r="V1069" s="564"/>
      <c r="W1069" s="564"/>
      <c r="X1069" s="564"/>
      <c r="Y1069" s="564"/>
      <c r="Z1069" s="564"/>
      <c r="AA1069" s="564"/>
      <c r="AB1069" s="556"/>
      <c r="AC1069" s="556"/>
      <c r="AD1069" s="556"/>
      <c r="AE1069" s="556"/>
      <c r="AF1069" s="556"/>
      <c r="AG1069" s="556"/>
      <c r="AH1069" s="556"/>
      <c r="AI1069" s="556"/>
      <c r="AJ1069" s="556"/>
      <c r="AK1069" s="556"/>
      <c r="AL1069" s="556"/>
      <c r="AM1069" s="556"/>
      <c r="AN1069" s="556"/>
      <c r="AO1069" s="556"/>
      <c r="AP1069" s="556"/>
      <c r="AQ1069" s="556"/>
      <c r="AR1069" s="556"/>
      <c r="AS1069" s="565"/>
      <c r="AT1069" s="556"/>
    </row>
    <row r="1070" spans="1:46" hidden="1" x14ac:dyDescent="0.45">
      <c r="A1070" s="556"/>
      <c r="B1070" s="556"/>
      <c r="C1070" s="556"/>
      <c r="D1070" s="564"/>
      <c r="E1070" s="556"/>
      <c r="F1070" s="564"/>
      <c r="G1070" s="564"/>
      <c r="H1070" s="564"/>
      <c r="I1070" s="564"/>
      <c r="J1070" s="564"/>
      <c r="K1070" s="564"/>
      <c r="L1070" s="564"/>
      <c r="M1070" s="564"/>
      <c r="N1070" s="564"/>
      <c r="O1070" s="564"/>
      <c r="P1070" s="564"/>
      <c r="Q1070" s="564"/>
      <c r="R1070" s="564"/>
      <c r="S1070" s="564"/>
      <c r="T1070" s="564"/>
      <c r="U1070" s="564"/>
      <c r="V1070" s="564"/>
      <c r="W1070" s="564"/>
      <c r="X1070" s="564"/>
      <c r="Y1070" s="564"/>
      <c r="Z1070" s="564"/>
      <c r="AA1070" s="564"/>
      <c r="AB1070" s="556"/>
      <c r="AC1070" s="556"/>
      <c r="AD1070" s="556"/>
      <c r="AE1070" s="556"/>
      <c r="AF1070" s="556"/>
      <c r="AG1070" s="556"/>
      <c r="AH1070" s="556"/>
      <c r="AI1070" s="556"/>
      <c r="AJ1070" s="556"/>
      <c r="AK1070" s="556"/>
      <c r="AL1070" s="556"/>
      <c r="AM1070" s="556"/>
      <c r="AN1070" s="556"/>
      <c r="AO1070" s="556"/>
      <c r="AP1070" s="556"/>
      <c r="AQ1070" s="556"/>
      <c r="AR1070" s="556"/>
      <c r="AS1070" s="565"/>
      <c r="AT1070" s="556"/>
    </row>
    <row r="1071" spans="1:46" hidden="1" x14ac:dyDescent="0.45">
      <c r="A1071" s="556"/>
      <c r="B1071" s="556"/>
      <c r="C1071" s="556"/>
      <c r="D1071" s="564"/>
      <c r="E1071" s="556"/>
      <c r="F1071" s="564"/>
      <c r="G1071" s="564"/>
      <c r="H1071" s="564"/>
      <c r="I1071" s="564"/>
      <c r="J1071" s="564"/>
      <c r="K1071" s="564"/>
      <c r="L1071" s="564"/>
      <c r="M1071" s="564"/>
      <c r="N1071" s="564"/>
      <c r="O1071" s="564"/>
      <c r="P1071" s="564"/>
      <c r="Q1071" s="564"/>
      <c r="R1071" s="564"/>
      <c r="S1071" s="564"/>
      <c r="T1071" s="564"/>
      <c r="U1071" s="564"/>
      <c r="V1071" s="564"/>
      <c r="W1071" s="564"/>
      <c r="X1071" s="564"/>
      <c r="Y1071" s="564"/>
      <c r="Z1071" s="564"/>
      <c r="AA1071" s="564"/>
      <c r="AB1071" s="556"/>
      <c r="AC1071" s="556"/>
      <c r="AD1071" s="556"/>
      <c r="AE1071" s="556"/>
      <c r="AF1071" s="556"/>
      <c r="AG1071" s="556"/>
      <c r="AH1071" s="556"/>
      <c r="AI1071" s="556"/>
      <c r="AJ1071" s="556"/>
      <c r="AK1071" s="556"/>
      <c r="AL1071" s="556"/>
      <c r="AM1071" s="556"/>
      <c r="AN1071" s="556"/>
      <c r="AO1071" s="556"/>
      <c r="AP1071" s="556"/>
      <c r="AQ1071" s="556"/>
      <c r="AR1071" s="556"/>
      <c r="AS1071" s="565"/>
      <c r="AT1071" s="556"/>
    </row>
    <row r="1072" spans="1:46" hidden="1" x14ac:dyDescent="0.45">
      <c r="A1072" s="556"/>
      <c r="B1072" s="556"/>
      <c r="C1072" s="556"/>
      <c r="D1072" s="564"/>
      <c r="E1072" s="556"/>
      <c r="F1072" s="564"/>
      <c r="G1072" s="564"/>
      <c r="H1072" s="564"/>
      <c r="I1072" s="564"/>
      <c r="J1072" s="564"/>
      <c r="K1072" s="564"/>
      <c r="L1072" s="564"/>
      <c r="M1072" s="564"/>
      <c r="N1072" s="564"/>
      <c r="O1072" s="564"/>
      <c r="P1072" s="564"/>
      <c r="Q1072" s="564"/>
      <c r="R1072" s="564"/>
      <c r="S1072" s="564"/>
      <c r="T1072" s="564"/>
      <c r="U1072" s="564"/>
      <c r="V1072" s="564"/>
      <c r="W1072" s="564"/>
      <c r="X1072" s="564"/>
      <c r="Y1072" s="564"/>
      <c r="Z1072" s="564"/>
      <c r="AA1072" s="564"/>
      <c r="AB1072" s="556"/>
      <c r="AC1072" s="556"/>
      <c r="AD1072" s="556"/>
      <c r="AE1072" s="556"/>
      <c r="AF1072" s="556"/>
      <c r="AG1072" s="556"/>
      <c r="AH1072" s="556"/>
      <c r="AI1072" s="556"/>
      <c r="AJ1072" s="556"/>
      <c r="AK1072" s="556"/>
      <c r="AL1072" s="556"/>
      <c r="AM1072" s="556"/>
      <c r="AN1072" s="556"/>
      <c r="AO1072" s="556"/>
      <c r="AP1072" s="556"/>
      <c r="AQ1072" s="556"/>
      <c r="AR1072" s="556"/>
      <c r="AS1072" s="565"/>
      <c r="AT1072" s="556"/>
    </row>
    <row r="1073" spans="1:46" hidden="1" x14ac:dyDescent="0.45">
      <c r="A1073" s="556"/>
      <c r="B1073" s="556"/>
      <c r="C1073" s="556"/>
      <c r="D1073" s="564"/>
      <c r="E1073" s="556"/>
      <c r="F1073" s="564"/>
      <c r="G1073" s="564"/>
      <c r="H1073" s="564"/>
      <c r="I1073" s="564"/>
      <c r="J1073" s="564"/>
      <c r="K1073" s="564"/>
      <c r="L1073" s="564"/>
      <c r="M1073" s="564"/>
      <c r="N1073" s="564"/>
      <c r="O1073" s="564"/>
      <c r="P1073" s="564"/>
      <c r="Q1073" s="564"/>
      <c r="R1073" s="564"/>
      <c r="S1073" s="564"/>
      <c r="T1073" s="564"/>
      <c r="U1073" s="564"/>
      <c r="V1073" s="564"/>
      <c r="W1073" s="564"/>
      <c r="X1073" s="564"/>
      <c r="Y1073" s="564"/>
      <c r="Z1073" s="564"/>
      <c r="AA1073" s="564"/>
      <c r="AB1073" s="556"/>
      <c r="AC1073" s="556"/>
      <c r="AD1073" s="556"/>
      <c r="AE1073" s="556"/>
      <c r="AF1073" s="556"/>
      <c r="AG1073" s="556"/>
      <c r="AH1073" s="556"/>
      <c r="AI1073" s="556"/>
      <c r="AJ1073" s="556"/>
      <c r="AK1073" s="556"/>
      <c r="AL1073" s="556"/>
      <c r="AM1073" s="556"/>
      <c r="AN1073" s="556"/>
      <c r="AO1073" s="556"/>
      <c r="AP1073" s="556"/>
      <c r="AQ1073" s="556"/>
      <c r="AR1073" s="556"/>
      <c r="AS1073" s="565"/>
      <c r="AT1073" s="556"/>
    </row>
    <row r="1074" spans="1:46" hidden="1" x14ac:dyDescent="0.45">
      <c r="A1074" s="556"/>
      <c r="B1074" s="556"/>
      <c r="C1074" s="556"/>
      <c r="D1074" s="564"/>
      <c r="E1074" s="556"/>
      <c r="F1074" s="564"/>
      <c r="G1074" s="564"/>
      <c r="H1074" s="564"/>
      <c r="I1074" s="564"/>
      <c r="J1074" s="564"/>
      <c r="K1074" s="564"/>
      <c r="L1074" s="564"/>
      <c r="M1074" s="564"/>
      <c r="N1074" s="564"/>
      <c r="O1074" s="564"/>
      <c r="P1074" s="564"/>
      <c r="Q1074" s="564"/>
      <c r="R1074" s="564"/>
      <c r="S1074" s="564"/>
      <c r="T1074" s="564"/>
      <c r="U1074" s="564"/>
      <c r="V1074" s="564"/>
      <c r="W1074" s="564"/>
      <c r="X1074" s="564"/>
      <c r="Y1074" s="564"/>
      <c r="Z1074" s="564"/>
      <c r="AA1074" s="564"/>
      <c r="AB1074" s="556"/>
      <c r="AC1074" s="556"/>
      <c r="AD1074" s="556"/>
      <c r="AE1074" s="556"/>
      <c r="AF1074" s="556"/>
      <c r="AG1074" s="556"/>
      <c r="AH1074" s="556"/>
      <c r="AI1074" s="556"/>
      <c r="AJ1074" s="556"/>
      <c r="AK1074" s="556"/>
      <c r="AL1074" s="556"/>
      <c r="AM1074" s="556"/>
      <c r="AN1074" s="556"/>
      <c r="AO1074" s="556"/>
      <c r="AP1074" s="556"/>
      <c r="AQ1074" s="556"/>
      <c r="AR1074" s="556"/>
      <c r="AS1074" s="565"/>
      <c r="AT1074" s="556"/>
    </row>
    <row r="1075" spans="1:46" hidden="1" x14ac:dyDescent="0.45">
      <c r="A1075" s="556"/>
      <c r="B1075" s="556"/>
      <c r="C1075" s="556"/>
      <c r="D1075" s="564"/>
      <c r="E1075" s="556"/>
      <c r="F1075" s="564"/>
      <c r="G1075" s="564"/>
      <c r="H1075" s="564"/>
      <c r="I1075" s="564"/>
      <c r="J1075" s="564"/>
      <c r="K1075" s="564"/>
      <c r="L1075" s="564"/>
      <c r="M1075" s="564"/>
      <c r="N1075" s="564"/>
      <c r="O1075" s="564"/>
      <c r="P1075" s="564"/>
      <c r="Q1075" s="564"/>
      <c r="R1075" s="564"/>
      <c r="S1075" s="564"/>
      <c r="T1075" s="564"/>
      <c r="U1075" s="564"/>
      <c r="V1075" s="564"/>
      <c r="W1075" s="564"/>
      <c r="X1075" s="564"/>
      <c r="Y1075" s="564"/>
      <c r="Z1075" s="564"/>
      <c r="AA1075" s="564"/>
      <c r="AB1075" s="556"/>
      <c r="AC1075" s="556"/>
      <c r="AD1075" s="556"/>
      <c r="AE1075" s="556"/>
      <c r="AF1075" s="556"/>
      <c r="AG1075" s="556"/>
      <c r="AH1075" s="556"/>
      <c r="AI1075" s="556"/>
      <c r="AJ1075" s="556"/>
      <c r="AK1075" s="556"/>
      <c r="AL1075" s="556"/>
      <c r="AM1075" s="556"/>
      <c r="AN1075" s="556"/>
      <c r="AO1075" s="556"/>
      <c r="AP1075" s="556"/>
      <c r="AQ1075" s="556"/>
      <c r="AR1075" s="556"/>
      <c r="AS1075" s="565"/>
      <c r="AT1075" s="556"/>
    </row>
    <row r="1076" spans="1:46" hidden="1" x14ac:dyDescent="0.45">
      <c r="A1076" s="556"/>
      <c r="B1076" s="556"/>
      <c r="C1076" s="556"/>
      <c r="D1076" s="564"/>
      <c r="E1076" s="556"/>
      <c r="F1076" s="564"/>
      <c r="G1076" s="564"/>
      <c r="H1076" s="564"/>
      <c r="I1076" s="564"/>
      <c r="J1076" s="564"/>
      <c r="K1076" s="564"/>
      <c r="L1076" s="564"/>
      <c r="M1076" s="564"/>
      <c r="N1076" s="564"/>
      <c r="O1076" s="564"/>
      <c r="P1076" s="564"/>
      <c r="Q1076" s="564"/>
      <c r="R1076" s="564"/>
      <c r="S1076" s="564"/>
      <c r="T1076" s="564"/>
      <c r="U1076" s="564"/>
      <c r="V1076" s="564"/>
      <c r="W1076" s="564"/>
      <c r="X1076" s="564"/>
      <c r="Y1076" s="564"/>
      <c r="Z1076" s="564"/>
      <c r="AA1076" s="564"/>
      <c r="AB1076" s="556"/>
      <c r="AC1076" s="556"/>
      <c r="AD1076" s="556"/>
      <c r="AE1076" s="556"/>
      <c r="AF1076" s="556"/>
      <c r="AG1076" s="556"/>
      <c r="AH1076" s="556"/>
      <c r="AI1076" s="556"/>
      <c r="AJ1076" s="556"/>
      <c r="AK1076" s="556"/>
      <c r="AL1076" s="556"/>
      <c r="AM1076" s="556"/>
      <c r="AN1076" s="556"/>
      <c r="AO1076" s="556"/>
      <c r="AP1076" s="556"/>
      <c r="AQ1076" s="556"/>
      <c r="AR1076" s="556"/>
      <c r="AS1076" s="565"/>
      <c r="AT1076" s="556"/>
    </row>
    <row r="1077" spans="1:46" hidden="1" x14ac:dyDescent="0.45">
      <c r="A1077" s="556"/>
      <c r="B1077" s="556"/>
      <c r="C1077" s="556"/>
      <c r="D1077" s="564"/>
      <c r="E1077" s="556"/>
      <c r="F1077" s="564"/>
      <c r="G1077" s="564"/>
      <c r="H1077" s="564"/>
      <c r="I1077" s="564"/>
      <c r="J1077" s="564"/>
      <c r="K1077" s="564"/>
      <c r="L1077" s="564"/>
      <c r="M1077" s="564"/>
      <c r="N1077" s="564"/>
      <c r="O1077" s="564"/>
      <c r="P1077" s="564"/>
      <c r="Q1077" s="564"/>
      <c r="R1077" s="564"/>
      <c r="S1077" s="564"/>
      <c r="T1077" s="564"/>
      <c r="U1077" s="564"/>
      <c r="V1077" s="564"/>
      <c r="W1077" s="564"/>
      <c r="X1077" s="564"/>
      <c r="Y1077" s="564"/>
      <c r="Z1077" s="564"/>
      <c r="AA1077" s="564"/>
      <c r="AB1077" s="556"/>
      <c r="AC1077" s="556"/>
      <c r="AD1077" s="556"/>
      <c r="AE1077" s="556"/>
      <c r="AF1077" s="556"/>
      <c r="AG1077" s="556"/>
      <c r="AH1077" s="556"/>
      <c r="AI1077" s="556"/>
      <c r="AJ1077" s="556"/>
      <c r="AK1077" s="556"/>
      <c r="AL1077" s="556"/>
      <c r="AM1077" s="556"/>
      <c r="AN1077" s="556"/>
      <c r="AO1077" s="556"/>
      <c r="AP1077" s="556"/>
      <c r="AQ1077" s="556"/>
      <c r="AR1077" s="556"/>
      <c r="AS1077" s="565"/>
      <c r="AT1077" s="556"/>
    </row>
    <row r="1078" spans="1:46" hidden="1" x14ac:dyDescent="0.45">
      <c r="A1078" s="556"/>
      <c r="B1078" s="556"/>
      <c r="C1078" s="556"/>
      <c r="D1078" s="564"/>
      <c r="E1078" s="556"/>
      <c r="F1078" s="564"/>
      <c r="G1078" s="564"/>
      <c r="H1078" s="564"/>
      <c r="I1078" s="564"/>
      <c r="J1078" s="564"/>
      <c r="K1078" s="564"/>
      <c r="L1078" s="564"/>
      <c r="M1078" s="564"/>
      <c r="N1078" s="564"/>
      <c r="O1078" s="564"/>
      <c r="P1078" s="564"/>
      <c r="Q1078" s="564"/>
      <c r="R1078" s="564"/>
      <c r="S1078" s="564"/>
      <c r="T1078" s="564"/>
      <c r="U1078" s="564"/>
      <c r="V1078" s="564"/>
      <c r="W1078" s="564"/>
      <c r="X1078" s="564"/>
      <c r="Y1078" s="564"/>
      <c r="Z1078" s="564"/>
      <c r="AA1078" s="564"/>
      <c r="AB1078" s="556"/>
      <c r="AC1078" s="556"/>
      <c r="AD1078" s="556"/>
      <c r="AE1078" s="556"/>
      <c r="AF1078" s="556"/>
      <c r="AG1078" s="556"/>
      <c r="AH1078" s="556"/>
      <c r="AI1078" s="556"/>
      <c r="AJ1078" s="556"/>
      <c r="AK1078" s="556"/>
      <c r="AL1078" s="556"/>
      <c r="AM1078" s="556"/>
      <c r="AN1078" s="556"/>
      <c r="AO1078" s="556"/>
      <c r="AP1078" s="556"/>
      <c r="AQ1078" s="556"/>
      <c r="AR1078" s="556"/>
      <c r="AS1078" s="565"/>
      <c r="AT1078" s="556"/>
    </row>
    <row r="1079" spans="1:46" hidden="1" x14ac:dyDescent="0.45">
      <c r="A1079" s="556"/>
      <c r="B1079" s="556"/>
      <c r="C1079" s="556"/>
      <c r="D1079" s="564"/>
      <c r="E1079" s="556"/>
      <c r="F1079" s="564"/>
      <c r="G1079" s="564"/>
      <c r="H1079" s="564"/>
      <c r="I1079" s="564"/>
      <c r="J1079" s="564"/>
      <c r="K1079" s="564"/>
      <c r="L1079" s="564"/>
      <c r="M1079" s="564"/>
      <c r="N1079" s="564"/>
      <c r="O1079" s="564"/>
      <c r="P1079" s="564"/>
      <c r="Q1079" s="564"/>
      <c r="R1079" s="564"/>
      <c r="S1079" s="564"/>
      <c r="T1079" s="564"/>
      <c r="U1079" s="564"/>
      <c r="V1079" s="564"/>
      <c r="W1079" s="564"/>
      <c r="X1079" s="564"/>
      <c r="Y1079" s="564"/>
      <c r="Z1079" s="564"/>
      <c r="AA1079" s="564"/>
      <c r="AB1079" s="556"/>
      <c r="AC1079" s="556"/>
      <c r="AD1079" s="556"/>
      <c r="AE1079" s="556"/>
      <c r="AF1079" s="556"/>
      <c r="AG1079" s="556"/>
      <c r="AH1079" s="556"/>
      <c r="AI1079" s="556"/>
      <c r="AJ1079" s="556"/>
      <c r="AK1079" s="556"/>
      <c r="AL1079" s="556"/>
      <c r="AM1079" s="556"/>
      <c r="AN1079" s="556"/>
      <c r="AO1079" s="556"/>
      <c r="AP1079" s="556"/>
      <c r="AQ1079" s="556"/>
      <c r="AR1079" s="556"/>
      <c r="AS1079" s="565"/>
      <c r="AT1079" s="556"/>
    </row>
    <row r="1080" spans="1:46" hidden="1" x14ac:dyDescent="0.45">
      <c r="A1080" s="556"/>
      <c r="B1080" s="556"/>
      <c r="C1080" s="556"/>
      <c r="D1080" s="564"/>
      <c r="E1080" s="556"/>
      <c r="F1080" s="564"/>
      <c r="G1080" s="564"/>
      <c r="H1080" s="564"/>
      <c r="I1080" s="564"/>
      <c r="J1080" s="564"/>
      <c r="K1080" s="564"/>
      <c r="L1080" s="564"/>
      <c r="M1080" s="564"/>
      <c r="N1080" s="564"/>
      <c r="O1080" s="564"/>
      <c r="P1080" s="564"/>
      <c r="Q1080" s="564"/>
      <c r="R1080" s="564"/>
      <c r="S1080" s="564"/>
      <c r="T1080" s="564"/>
      <c r="U1080" s="564"/>
      <c r="V1080" s="564"/>
      <c r="W1080" s="564"/>
      <c r="X1080" s="564"/>
      <c r="Y1080" s="564"/>
      <c r="Z1080" s="564"/>
      <c r="AA1080" s="564"/>
      <c r="AB1080" s="556"/>
      <c r="AC1080" s="556"/>
      <c r="AD1080" s="556"/>
      <c r="AE1080" s="556"/>
      <c r="AF1080" s="556"/>
      <c r="AG1080" s="556"/>
      <c r="AH1080" s="556"/>
      <c r="AI1080" s="556"/>
      <c r="AJ1080" s="556"/>
      <c r="AK1080" s="556"/>
      <c r="AL1080" s="556"/>
      <c r="AM1080" s="556"/>
      <c r="AN1080" s="556"/>
      <c r="AO1080" s="556"/>
      <c r="AP1080" s="556"/>
      <c r="AQ1080" s="556"/>
      <c r="AR1080" s="556"/>
      <c r="AS1080" s="565"/>
      <c r="AT1080" s="556"/>
    </row>
    <row r="1081" spans="1:46" hidden="1" x14ac:dyDescent="0.45">
      <c r="A1081" s="556"/>
      <c r="B1081" s="556"/>
      <c r="C1081" s="556"/>
      <c r="D1081" s="564"/>
      <c r="E1081" s="556"/>
      <c r="F1081" s="564"/>
      <c r="G1081" s="564"/>
      <c r="H1081" s="564"/>
      <c r="I1081" s="564"/>
      <c r="J1081" s="564"/>
      <c r="K1081" s="564"/>
      <c r="L1081" s="564"/>
      <c r="M1081" s="564"/>
      <c r="N1081" s="564"/>
      <c r="O1081" s="564"/>
      <c r="P1081" s="564"/>
      <c r="Q1081" s="564"/>
      <c r="R1081" s="564"/>
      <c r="S1081" s="564"/>
      <c r="T1081" s="564"/>
      <c r="U1081" s="564"/>
      <c r="V1081" s="564"/>
      <c r="W1081" s="564"/>
      <c r="X1081" s="564"/>
      <c r="Y1081" s="564"/>
      <c r="Z1081" s="564"/>
      <c r="AA1081" s="564"/>
      <c r="AB1081" s="556"/>
      <c r="AC1081" s="556"/>
      <c r="AD1081" s="556"/>
      <c r="AE1081" s="556"/>
      <c r="AF1081" s="556"/>
      <c r="AG1081" s="556"/>
      <c r="AH1081" s="556"/>
      <c r="AI1081" s="556"/>
      <c r="AJ1081" s="556"/>
      <c r="AK1081" s="556"/>
      <c r="AL1081" s="556"/>
      <c r="AM1081" s="556"/>
      <c r="AN1081" s="556"/>
      <c r="AO1081" s="556"/>
      <c r="AP1081" s="556"/>
      <c r="AQ1081" s="556"/>
      <c r="AR1081" s="556"/>
      <c r="AS1081" s="565"/>
      <c r="AT1081" s="556"/>
    </row>
    <row r="1082" spans="1:46" hidden="1" x14ac:dyDescent="0.45">
      <c r="A1082" s="556"/>
      <c r="B1082" s="556"/>
      <c r="C1082" s="556"/>
      <c r="D1082" s="564"/>
      <c r="E1082" s="556"/>
      <c r="F1082" s="564"/>
      <c r="G1082" s="564"/>
      <c r="H1082" s="564"/>
      <c r="I1082" s="564"/>
      <c r="J1082" s="564"/>
      <c r="K1082" s="564"/>
      <c r="L1082" s="564"/>
      <c r="M1082" s="564"/>
      <c r="N1082" s="564"/>
      <c r="O1082" s="564"/>
      <c r="P1082" s="564"/>
      <c r="Q1082" s="564"/>
      <c r="R1082" s="564"/>
      <c r="S1082" s="564"/>
      <c r="T1082" s="564"/>
      <c r="U1082" s="564"/>
      <c r="V1082" s="564"/>
      <c r="W1082" s="564"/>
      <c r="X1082" s="564"/>
      <c r="Y1082" s="564"/>
      <c r="Z1082" s="564"/>
      <c r="AA1082" s="564"/>
      <c r="AB1082" s="556"/>
      <c r="AC1082" s="556"/>
      <c r="AD1082" s="556"/>
      <c r="AE1082" s="556"/>
      <c r="AF1082" s="556"/>
      <c r="AG1082" s="556"/>
      <c r="AH1082" s="556"/>
      <c r="AI1082" s="556"/>
      <c r="AJ1082" s="556"/>
      <c r="AK1082" s="556"/>
      <c r="AL1082" s="556"/>
      <c r="AM1082" s="556"/>
      <c r="AN1082" s="556"/>
      <c r="AO1082" s="556"/>
      <c r="AP1082" s="556"/>
      <c r="AQ1082" s="556"/>
      <c r="AR1082" s="556"/>
      <c r="AS1082" s="565"/>
      <c r="AT1082" s="556"/>
    </row>
    <row r="1083" spans="1:46" hidden="1" x14ac:dyDescent="0.45">
      <c r="A1083" s="556"/>
      <c r="B1083" s="556"/>
      <c r="C1083" s="556"/>
      <c r="D1083" s="564"/>
      <c r="E1083" s="556"/>
      <c r="F1083" s="564"/>
      <c r="G1083" s="564"/>
      <c r="H1083" s="564"/>
      <c r="I1083" s="564"/>
      <c r="J1083" s="564"/>
      <c r="K1083" s="564"/>
      <c r="L1083" s="564"/>
      <c r="M1083" s="564"/>
      <c r="N1083" s="564"/>
      <c r="O1083" s="564"/>
      <c r="P1083" s="564"/>
      <c r="Q1083" s="564"/>
      <c r="R1083" s="564"/>
      <c r="S1083" s="564"/>
      <c r="T1083" s="564"/>
      <c r="U1083" s="564"/>
      <c r="V1083" s="564"/>
      <c r="W1083" s="564"/>
      <c r="X1083" s="564"/>
      <c r="Y1083" s="564"/>
      <c r="Z1083" s="564"/>
      <c r="AA1083" s="564"/>
      <c r="AB1083" s="556"/>
      <c r="AC1083" s="556"/>
      <c r="AD1083" s="556"/>
      <c r="AE1083" s="556"/>
      <c r="AF1083" s="556"/>
      <c r="AG1083" s="556"/>
      <c r="AH1083" s="556"/>
      <c r="AI1083" s="556"/>
      <c r="AJ1083" s="556"/>
      <c r="AK1083" s="556"/>
      <c r="AL1083" s="556"/>
      <c r="AM1083" s="556"/>
      <c r="AN1083" s="556"/>
      <c r="AO1083" s="556"/>
      <c r="AP1083" s="556"/>
      <c r="AQ1083" s="556"/>
      <c r="AR1083" s="556"/>
      <c r="AS1083" s="565"/>
      <c r="AT1083" s="556"/>
    </row>
    <row r="1084" spans="1:46" hidden="1" x14ac:dyDescent="0.45">
      <c r="A1084" s="556"/>
      <c r="B1084" s="556"/>
      <c r="C1084" s="556"/>
      <c r="D1084" s="564"/>
      <c r="E1084" s="556"/>
      <c r="F1084" s="564"/>
      <c r="G1084" s="564"/>
      <c r="H1084" s="564"/>
      <c r="I1084" s="564"/>
      <c r="J1084" s="564"/>
      <c r="K1084" s="564"/>
      <c r="L1084" s="564"/>
      <c r="M1084" s="564"/>
      <c r="N1084" s="564"/>
      <c r="O1084" s="564"/>
      <c r="P1084" s="564"/>
      <c r="Q1084" s="564"/>
      <c r="R1084" s="564"/>
      <c r="S1084" s="564"/>
      <c r="T1084" s="564"/>
      <c r="U1084" s="564"/>
      <c r="V1084" s="564"/>
      <c r="W1084" s="564"/>
      <c r="X1084" s="564"/>
      <c r="Y1084" s="564"/>
      <c r="Z1084" s="564"/>
      <c r="AA1084" s="564"/>
      <c r="AB1084" s="556"/>
      <c r="AC1084" s="556"/>
      <c r="AD1084" s="556"/>
      <c r="AE1084" s="556"/>
      <c r="AF1084" s="556"/>
      <c r="AG1084" s="556"/>
      <c r="AH1084" s="556"/>
      <c r="AI1084" s="556"/>
      <c r="AJ1084" s="556"/>
      <c r="AK1084" s="556"/>
      <c r="AL1084" s="556"/>
      <c r="AM1084" s="556"/>
      <c r="AN1084" s="556"/>
      <c r="AO1084" s="556"/>
      <c r="AP1084" s="556"/>
      <c r="AQ1084" s="556"/>
      <c r="AR1084" s="556"/>
      <c r="AS1084" s="565"/>
      <c r="AT1084" s="556"/>
    </row>
    <row r="1085" spans="1:46" hidden="1" x14ac:dyDescent="0.45">
      <c r="A1085" s="556"/>
      <c r="B1085" s="556"/>
      <c r="C1085" s="556"/>
      <c r="D1085" s="564"/>
      <c r="E1085" s="556"/>
      <c r="F1085" s="564"/>
      <c r="G1085" s="564"/>
      <c r="H1085" s="564"/>
      <c r="I1085" s="564"/>
      <c r="J1085" s="564"/>
      <c r="K1085" s="564"/>
      <c r="L1085" s="564"/>
      <c r="M1085" s="564"/>
      <c r="N1085" s="564"/>
      <c r="O1085" s="564"/>
      <c r="P1085" s="564"/>
      <c r="Q1085" s="564"/>
      <c r="R1085" s="564"/>
      <c r="S1085" s="564"/>
      <c r="T1085" s="564"/>
      <c r="U1085" s="564"/>
      <c r="V1085" s="564"/>
      <c r="W1085" s="564"/>
      <c r="X1085" s="564"/>
      <c r="Y1085" s="564"/>
      <c r="Z1085" s="564"/>
      <c r="AA1085" s="564"/>
      <c r="AB1085" s="556"/>
      <c r="AC1085" s="556"/>
      <c r="AD1085" s="556"/>
      <c r="AE1085" s="556"/>
      <c r="AF1085" s="556"/>
      <c r="AG1085" s="556"/>
      <c r="AH1085" s="556"/>
      <c r="AI1085" s="556"/>
      <c r="AJ1085" s="556"/>
      <c r="AK1085" s="556"/>
      <c r="AL1085" s="556"/>
      <c r="AM1085" s="556"/>
      <c r="AN1085" s="556"/>
      <c r="AO1085" s="556"/>
      <c r="AP1085" s="556"/>
      <c r="AQ1085" s="556"/>
      <c r="AR1085" s="556"/>
      <c r="AS1085" s="565"/>
      <c r="AT1085" s="556"/>
    </row>
    <row r="1086" spans="1:46" hidden="1" x14ac:dyDescent="0.45">
      <c r="A1086" s="556"/>
      <c r="B1086" s="556"/>
      <c r="C1086" s="556"/>
      <c r="D1086" s="564"/>
      <c r="E1086" s="556"/>
      <c r="F1086" s="564"/>
      <c r="G1086" s="564"/>
      <c r="H1086" s="564"/>
      <c r="I1086" s="564"/>
      <c r="J1086" s="564"/>
      <c r="K1086" s="564"/>
      <c r="L1086" s="564"/>
      <c r="M1086" s="564"/>
      <c r="N1086" s="564"/>
      <c r="O1086" s="564"/>
      <c r="P1086" s="564"/>
      <c r="Q1086" s="564"/>
      <c r="R1086" s="564"/>
      <c r="S1086" s="564"/>
      <c r="T1086" s="564"/>
      <c r="U1086" s="564"/>
      <c r="V1086" s="564"/>
      <c r="W1086" s="564"/>
      <c r="X1086" s="564"/>
      <c r="Y1086" s="564"/>
      <c r="Z1086" s="564"/>
      <c r="AA1086" s="564"/>
      <c r="AB1086" s="556"/>
      <c r="AC1086" s="556"/>
      <c r="AD1086" s="556"/>
      <c r="AE1086" s="556"/>
      <c r="AF1086" s="556"/>
      <c r="AG1086" s="556"/>
      <c r="AH1086" s="556"/>
      <c r="AI1086" s="556"/>
      <c r="AJ1086" s="556"/>
      <c r="AK1086" s="556"/>
      <c r="AL1086" s="556"/>
      <c r="AM1086" s="556"/>
      <c r="AN1086" s="556"/>
      <c r="AO1086" s="556"/>
      <c r="AP1086" s="556"/>
      <c r="AQ1086" s="556"/>
      <c r="AR1086" s="556"/>
      <c r="AS1086" s="565"/>
      <c r="AT1086" s="556"/>
    </row>
    <row r="1087" spans="1:46" hidden="1" x14ac:dyDescent="0.45">
      <c r="A1087" s="556"/>
      <c r="B1087" s="556"/>
      <c r="C1087" s="556"/>
      <c r="D1087" s="564"/>
      <c r="E1087" s="556"/>
      <c r="F1087" s="564"/>
      <c r="G1087" s="564"/>
      <c r="H1087" s="564"/>
      <c r="I1087" s="564"/>
      <c r="J1087" s="564"/>
      <c r="K1087" s="564"/>
      <c r="L1087" s="564"/>
      <c r="M1087" s="564"/>
      <c r="N1087" s="564"/>
      <c r="O1087" s="564"/>
      <c r="P1087" s="564"/>
      <c r="Q1087" s="564"/>
      <c r="R1087" s="564"/>
      <c r="S1087" s="564"/>
      <c r="T1087" s="564"/>
      <c r="U1087" s="564"/>
      <c r="V1087" s="564"/>
      <c r="W1087" s="564"/>
      <c r="X1087" s="564"/>
      <c r="Y1087" s="564"/>
      <c r="Z1087" s="564"/>
      <c r="AA1087" s="564"/>
      <c r="AB1087" s="556"/>
      <c r="AC1087" s="556"/>
      <c r="AD1087" s="556"/>
      <c r="AE1087" s="556"/>
      <c r="AF1087" s="556"/>
      <c r="AG1087" s="556"/>
      <c r="AH1087" s="556"/>
      <c r="AI1087" s="556"/>
      <c r="AJ1087" s="556"/>
      <c r="AK1087" s="556"/>
      <c r="AL1087" s="556"/>
      <c r="AM1087" s="556"/>
      <c r="AN1087" s="556"/>
      <c r="AO1087" s="556"/>
      <c r="AP1087" s="556"/>
      <c r="AQ1087" s="556"/>
      <c r="AR1087" s="556"/>
      <c r="AS1087" s="565"/>
      <c r="AT1087" s="556"/>
    </row>
    <row r="1088" spans="1:46" hidden="1" x14ac:dyDescent="0.45">
      <c r="A1088" s="556"/>
      <c r="B1088" s="556"/>
      <c r="C1088" s="556"/>
      <c r="D1088" s="564"/>
      <c r="E1088" s="556"/>
      <c r="F1088" s="564"/>
      <c r="G1088" s="564"/>
      <c r="H1088" s="564"/>
      <c r="I1088" s="564"/>
      <c r="J1088" s="564"/>
      <c r="K1088" s="564"/>
      <c r="L1088" s="564"/>
      <c r="M1088" s="564"/>
      <c r="N1088" s="564"/>
      <c r="O1088" s="564"/>
      <c r="P1088" s="564"/>
      <c r="Q1088" s="564"/>
      <c r="R1088" s="564"/>
      <c r="S1088" s="564"/>
      <c r="T1088" s="564"/>
      <c r="U1088" s="564"/>
      <c r="V1088" s="564"/>
      <c r="W1088" s="564"/>
      <c r="X1088" s="564"/>
      <c r="Y1088" s="564"/>
      <c r="Z1088" s="564"/>
      <c r="AA1088" s="564"/>
      <c r="AB1088" s="556"/>
      <c r="AC1088" s="556"/>
      <c r="AD1088" s="556"/>
      <c r="AE1088" s="556"/>
      <c r="AF1088" s="556"/>
      <c r="AG1088" s="556"/>
      <c r="AH1088" s="556"/>
      <c r="AI1088" s="556"/>
      <c r="AJ1088" s="556"/>
      <c r="AK1088" s="556"/>
      <c r="AL1088" s="556"/>
      <c r="AM1088" s="556"/>
      <c r="AN1088" s="556"/>
      <c r="AO1088" s="556"/>
      <c r="AP1088" s="556"/>
      <c r="AQ1088" s="556"/>
      <c r="AR1088" s="556"/>
      <c r="AS1088" s="565"/>
      <c r="AT1088" s="556"/>
    </row>
    <row r="1089" spans="1:46" hidden="1" x14ac:dyDescent="0.45">
      <c r="A1089" s="556"/>
      <c r="B1089" s="556"/>
      <c r="C1089" s="556"/>
      <c r="D1089" s="564"/>
      <c r="E1089" s="556"/>
      <c r="F1089" s="564"/>
      <c r="G1089" s="564"/>
      <c r="H1089" s="564"/>
      <c r="I1089" s="564"/>
      <c r="J1089" s="564"/>
      <c r="K1089" s="564"/>
      <c r="L1089" s="564"/>
      <c r="M1089" s="564"/>
      <c r="N1089" s="564"/>
      <c r="O1089" s="564"/>
      <c r="P1089" s="564"/>
      <c r="Q1089" s="564"/>
      <c r="R1089" s="564"/>
      <c r="S1089" s="564"/>
      <c r="T1089" s="564"/>
      <c r="U1089" s="564"/>
      <c r="V1089" s="564"/>
      <c r="W1089" s="564"/>
      <c r="X1089" s="564"/>
      <c r="Y1089" s="564"/>
      <c r="Z1089" s="564"/>
      <c r="AA1089" s="564"/>
      <c r="AB1089" s="556"/>
      <c r="AC1089" s="556"/>
      <c r="AD1089" s="556"/>
      <c r="AE1089" s="556"/>
      <c r="AF1089" s="556"/>
      <c r="AG1089" s="556"/>
      <c r="AH1089" s="556"/>
      <c r="AI1089" s="556"/>
      <c r="AJ1089" s="556"/>
      <c r="AK1089" s="556"/>
      <c r="AL1089" s="556"/>
      <c r="AM1089" s="556"/>
      <c r="AN1089" s="556"/>
      <c r="AO1089" s="556"/>
      <c r="AP1089" s="556"/>
      <c r="AQ1089" s="556"/>
      <c r="AR1089" s="556"/>
      <c r="AS1089" s="565"/>
      <c r="AT1089" s="556"/>
    </row>
    <row r="1090" spans="1:46" hidden="1" x14ac:dyDescent="0.45">
      <c r="A1090" s="556"/>
      <c r="B1090" s="556"/>
      <c r="C1090" s="556"/>
      <c r="D1090" s="564"/>
      <c r="E1090" s="556"/>
      <c r="F1090" s="564"/>
      <c r="G1090" s="564"/>
      <c r="H1090" s="564"/>
      <c r="I1090" s="564"/>
      <c r="J1090" s="564"/>
      <c r="K1090" s="564"/>
      <c r="L1090" s="564"/>
      <c r="M1090" s="564"/>
      <c r="N1090" s="564"/>
      <c r="O1090" s="564"/>
      <c r="P1090" s="564"/>
      <c r="Q1090" s="564"/>
      <c r="R1090" s="564"/>
      <c r="S1090" s="564"/>
      <c r="T1090" s="564"/>
      <c r="U1090" s="564"/>
      <c r="V1090" s="564"/>
      <c r="W1090" s="564"/>
      <c r="X1090" s="564"/>
      <c r="Y1090" s="564"/>
      <c r="Z1090" s="564"/>
      <c r="AA1090" s="564"/>
      <c r="AB1090" s="556"/>
      <c r="AC1090" s="556"/>
      <c r="AD1090" s="556"/>
      <c r="AE1090" s="556"/>
      <c r="AF1090" s="556"/>
      <c r="AG1090" s="556"/>
      <c r="AH1090" s="556"/>
      <c r="AI1090" s="556"/>
      <c r="AJ1090" s="556"/>
      <c r="AK1090" s="556"/>
      <c r="AL1090" s="556"/>
      <c r="AM1090" s="556"/>
      <c r="AN1090" s="556"/>
      <c r="AO1090" s="556"/>
      <c r="AP1090" s="556"/>
      <c r="AQ1090" s="556"/>
      <c r="AR1090" s="556"/>
      <c r="AS1090" s="565"/>
      <c r="AT1090" s="556"/>
    </row>
    <row r="1091" spans="1:46" hidden="1" x14ac:dyDescent="0.45">
      <c r="A1091" s="556"/>
      <c r="B1091" s="556"/>
      <c r="C1091" s="556"/>
      <c r="D1091" s="564"/>
      <c r="E1091" s="556"/>
      <c r="F1091" s="564"/>
      <c r="G1091" s="564"/>
      <c r="H1091" s="564"/>
      <c r="I1091" s="564"/>
      <c r="J1091" s="564"/>
      <c r="K1091" s="564"/>
      <c r="L1091" s="564"/>
      <c r="M1091" s="564"/>
      <c r="N1091" s="564"/>
      <c r="O1091" s="564"/>
      <c r="P1091" s="564"/>
      <c r="Q1091" s="564"/>
      <c r="R1091" s="564"/>
      <c r="S1091" s="564"/>
      <c r="T1091" s="564"/>
      <c r="U1091" s="564"/>
      <c r="V1091" s="564"/>
      <c r="W1091" s="564"/>
      <c r="X1091" s="564"/>
      <c r="Y1091" s="564"/>
      <c r="Z1091" s="564"/>
      <c r="AA1091" s="564"/>
      <c r="AB1091" s="556"/>
      <c r="AC1091" s="556"/>
      <c r="AD1091" s="556"/>
      <c r="AE1091" s="556"/>
      <c r="AF1091" s="556"/>
      <c r="AG1091" s="556"/>
      <c r="AH1091" s="556"/>
      <c r="AI1091" s="556"/>
      <c r="AJ1091" s="556"/>
      <c r="AK1091" s="556"/>
      <c r="AL1091" s="556"/>
      <c r="AM1091" s="556"/>
      <c r="AN1091" s="556"/>
      <c r="AO1091" s="556"/>
      <c r="AP1091" s="556"/>
      <c r="AQ1091" s="556"/>
      <c r="AR1091" s="556"/>
      <c r="AS1091" s="565"/>
      <c r="AT1091" s="556"/>
    </row>
    <row r="1092" spans="1:46" hidden="1" x14ac:dyDescent="0.45">
      <c r="A1092" s="556"/>
      <c r="B1092" s="556"/>
      <c r="C1092" s="556"/>
      <c r="D1092" s="564"/>
      <c r="E1092" s="556"/>
      <c r="F1092" s="564"/>
      <c r="G1092" s="564"/>
      <c r="H1092" s="564"/>
      <c r="I1092" s="564"/>
      <c r="J1092" s="564"/>
      <c r="K1092" s="564"/>
      <c r="L1092" s="564"/>
      <c r="M1092" s="564"/>
      <c r="N1092" s="564"/>
      <c r="O1092" s="564"/>
      <c r="P1092" s="564"/>
      <c r="Q1092" s="564"/>
      <c r="R1092" s="564"/>
      <c r="S1092" s="564"/>
      <c r="T1092" s="564"/>
      <c r="U1092" s="564"/>
      <c r="V1092" s="564"/>
      <c r="W1092" s="564"/>
      <c r="X1092" s="564"/>
      <c r="Y1092" s="564"/>
      <c r="Z1092" s="564"/>
      <c r="AA1092" s="564"/>
      <c r="AB1092" s="556"/>
      <c r="AC1092" s="556"/>
      <c r="AD1092" s="556"/>
      <c r="AE1092" s="556"/>
      <c r="AF1092" s="556"/>
      <c r="AG1092" s="556"/>
      <c r="AH1092" s="556"/>
      <c r="AI1092" s="556"/>
      <c r="AJ1092" s="556"/>
      <c r="AK1092" s="556"/>
      <c r="AL1092" s="556"/>
      <c r="AM1092" s="556"/>
      <c r="AN1092" s="556"/>
      <c r="AO1092" s="556"/>
      <c r="AP1092" s="556"/>
      <c r="AQ1092" s="556"/>
      <c r="AR1092" s="556"/>
      <c r="AS1092" s="565"/>
      <c r="AT1092" s="556"/>
    </row>
    <row r="1093" spans="1:46" hidden="1" x14ac:dyDescent="0.45">
      <c r="A1093" s="556"/>
      <c r="B1093" s="556"/>
      <c r="C1093" s="556"/>
      <c r="D1093" s="564"/>
      <c r="E1093" s="556"/>
      <c r="F1093" s="564"/>
      <c r="G1093" s="564"/>
      <c r="H1093" s="564"/>
      <c r="I1093" s="564"/>
      <c r="J1093" s="564"/>
      <c r="K1093" s="564"/>
      <c r="L1093" s="564"/>
      <c r="M1093" s="564"/>
      <c r="N1093" s="564"/>
      <c r="O1093" s="564"/>
      <c r="P1093" s="564"/>
      <c r="Q1093" s="564"/>
      <c r="R1093" s="564"/>
      <c r="S1093" s="564"/>
      <c r="T1093" s="564"/>
      <c r="U1093" s="564"/>
      <c r="V1093" s="564"/>
      <c r="W1093" s="564"/>
      <c r="X1093" s="564"/>
      <c r="Y1093" s="564"/>
      <c r="Z1093" s="564"/>
      <c r="AA1093" s="564"/>
      <c r="AB1093" s="556"/>
      <c r="AC1093" s="556"/>
      <c r="AD1093" s="556"/>
      <c r="AE1093" s="556"/>
      <c r="AF1093" s="556"/>
      <c r="AG1093" s="556"/>
      <c r="AH1093" s="556"/>
      <c r="AI1093" s="556"/>
      <c r="AJ1093" s="556"/>
      <c r="AK1093" s="556"/>
      <c r="AL1093" s="556"/>
      <c r="AM1093" s="556"/>
      <c r="AN1093" s="556"/>
      <c r="AO1093" s="556"/>
      <c r="AP1093" s="556"/>
      <c r="AQ1093" s="556"/>
      <c r="AR1093" s="556"/>
      <c r="AS1093" s="565"/>
      <c r="AT1093" s="556"/>
    </row>
    <row r="1094" spans="1:46" hidden="1" x14ac:dyDescent="0.45">
      <c r="A1094" s="556"/>
      <c r="B1094" s="556"/>
      <c r="C1094" s="556"/>
      <c r="D1094" s="564"/>
      <c r="E1094" s="556"/>
      <c r="F1094" s="564"/>
      <c r="G1094" s="564"/>
      <c r="H1094" s="564"/>
      <c r="I1094" s="564"/>
      <c r="J1094" s="564"/>
      <c r="K1094" s="564"/>
      <c r="L1094" s="564"/>
      <c r="M1094" s="564"/>
      <c r="N1094" s="564"/>
      <c r="O1094" s="564"/>
      <c r="P1094" s="564"/>
      <c r="Q1094" s="564"/>
      <c r="R1094" s="564"/>
      <c r="S1094" s="564"/>
      <c r="T1094" s="564"/>
      <c r="U1094" s="564"/>
      <c r="V1094" s="564"/>
      <c r="W1094" s="564"/>
      <c r="X1094" s="564"/>
      <c r="Y1094" s="564"/>
      <c r="Z1094" s="564"/>
      <c r="AA1094" s="564"/>
      <c r="AB1094" s="556"/>
      <c r="AC1094" s="556"/>
      <c r="AD1094" s="556"/>
      <c r="AE1094" s="556"/>
      <c r="AF1094" s="556"/>
      <c r="AG1094" s="556"/>
      <c r="AH1094" s="556"/>
      <c r="AI1094" s="556"/>
      <c r="AJ1094" s="556"/>
      <c r="AK1094" s="556"/>
      <c r="AL1094" s="556"/>
      <c r="AM1094" s="556"/>
      <c r="AN1094" s="556"/>
      <c r="AO1094" s="556"/>
      <c r="AP1094" s="556"/>
      <c r="AQ1094" s="556"/>
      <c r="AR1094" s="556"/>
      <c r="AS1094" s="565"/>
      <c r="AT1094" s="556"/>
    </row>
    <row r="1095" spans="1:46" hidden="1" x14ac:dyDescent="0.45">
      <c r="A1095" s="556"/>
      <c r="B1095" s="556"/>
      <c r="C1095" s="556"/>
      <c r="D1095" s="564"/>
      <c r="E1095" s="556"/>
      <c r="F1095" s="564"/>
      <c r="G1095" s="564"/>
      <c r="H1095" s="564"/>
      <c r="I1095" s="564"/>
      <c r="J1095" s="564"/>
      <c r="K1095" s="564"/>
      <c r="L1095" s="564"/>
      <c r="M1095" s="564"/>
      <c r="N1095" s="564"/>
      <c r="O1095" s="564"/>
      <c r="P1095" s="564"/>
      <c r="Q1095" s="564"/>
      <c r="R1095" s="564"/>
      <c r="S1095" s="564"/>
      <c r="T1095" s="564"/>
      <c r="U1095" s="564"/>
      <c r="V1095" s="564"/>
      <c r="W1095" s="564"/>
      <c r="X1095" s="564"/>
      <c r="Y1095" s="564"/>
      <c r="Z1095" s="564"/>
      <c r="AA1095" s="564"/>
      <c r="AB1095" s="556"/>
      <c r="AC1095" s="556"/>
      <c r="AD1095" s="556"/>
      <c r="AE1095" s="556"/>
      <c r="AF1095" s="556"/>
      <c r="AG1095" s="556"/>
      <c r="AH1095" s="556"/>
      <c r="AI1095" s="556"/>
      <c r="AJ1095" s="556"/>
      <c r="AK1095" s="556"/>
      <c r="AL1095" s="556"/>
      <c r="AM1095" s="556"/>
      <c r="AN1095" s="556"/>
      <c r="AO1095" s="556"/>
      <c r="AP1095" s="556"/>
      <c r="AQ1095" s="556"/>
      <c r="AR1095" s="556"/>
      <c r="AS1095" s="565"/>
      <c r="AT1095" s="556"/>
    </row>
    <row r="1096" spans="1:46" hidden="1" x14ac:dyDescent="0.45">
      <c r="A1096" s="556"/>
      <c r="B1096" s="556"/>
      <c r="C1096" s="556"/>
      <c r="D1096" s="564"/>
      <c r="E1096" s="556"/>
      <c r="F1096" s="564"/>
      <c r="G1096" s="564"/>
      <c r="H1096" s="564"/>
      <c r="I1096" s="564"/>
      <c r="J1096" s="564"/>
      <c r="K1096" s="564"/>
      <c r="L1096" s="564"/>
      <c r="M1096" s="564"/>
      <c r="N1096" s="564"/>
      <c r="O1096" s="564"/>
      <c r="P1096" s="564"/>
      <c r="Q1096" s="564"/>
      <c r="R1096" s="564"/>
      <c r="S1096" s="564"/>
      <c r="T1096" s="564"/>
      <c r="U1096" s="564"/>
      <c r="V1096" s="564"/>
      <c r="W1096" s="564"/>
      <c r="X1096" s="564"/>
      <c r="Y1096" s="564"/>
      <c r="Z1096" s="564"/>
      <c r="AA1096" s="564"/>
      <c r="AB1096" s="556"/>
      <c r="AC1096" s="556"/>
      <c r="AD1096" s="556"/>
      <c r="AE1096" s="556"/>
      <c r="AF1096" s="556"/>
      <c r="AG1096" s="556"/>
      <c r="AH1096" s="556"/>
      <c r="AI1096" s="556"/>
      <c r="AJ1096" s="556"/>
      <c r="AK1096" s="556"/>
      <c r="AL1096" s="556"/>
      <c r="AM1096" s="556"/>
      <c r="AN1096" s="556"/>
      <c r="AO1096" s="556"/>
      <c r="AP1096" s="556"/>
      <c r="AQ1096" s="556"/>
      <c r="AR1096" s="556"/>
      <c r="AS1096" s="565"/>
      <c r="AT1096" s="556"/>
    </row>
    <row r="1097" spans="1:46" hidden="1" x14ac:dyDescent="0.45">
      <c r="A1097" s="556"/>
      <c r="B1097" s="556"/>
      <c r="C1097" s="556"/>
      <c r="D1097" s="564"/>
      <c r="E1097" s="556"/>
      <c r="F1097" s="564"/>
      <c r="G1097" s="564"/>
      <c r="H1097" s="564"/>
      <c r="I1097" s="564"/>
      <c r="J1097" s="564"/>
      <c r="K1097" s="564"/>
      <c r="L1097" s="564"/>
      <c r="M1097" s="564"/>
      <c r="N1097" s="564"/>
      <c r="O1097" s="564"/>
      <c r="P1097" s="564"/>
      <c r="Q1097" s="564"/>
      <c r="R1097" s="564"/>
      <c r="S1097" s="564"/>
      <c r="T1097" s="564"/>
      <c r="U1097" s="564"/>
      <c r="V1097" s="564"/>
      <c r="W1097" s="564"/>
      <c r="X1097" s="564"/>
      <c r="Y1097" s="564"/>
      <c r="Z1097" s="564"/>
      <c r="AA1097" s="564"/>
      <c r="AB1097" s="556"/>
      <c r="AC1097" s="556"/>
      <c r="AD1097" s="556"/>
      <c r="AE1097" s="556"/>
      <c r="AF1097" s="556"/>
      <c r="AG1097" s="556"/>
      <c r="AH1097" s="556"/>
      <c r="AI1097" s="556"/>
      <c r="AJ1097" s="556"/>
      <c r="AK1097" s="556"/>
      <c r="AL1097" s="556"/>
      <c r="AM1097" s="556"/>
      <c r="AN1097" s="556"/>
      <c r="AO1097" s="556"/>
      <c r="AP1097" s="556"/>
      <c r="AQ1097" s="556"/>
      <c r="AR1097" s="556"/>
      <c r="AS1097" s="565"/>
      <c r="AT1097" s="556"/>
    </row>
    <row r="1098" spans="1:46" hidden="1" x14ac:dyDescent="0.45">
      <c r="A1098" s="556"/>
      <c r="B1098" s="556"/>
      <c r="C1098" s="556"/>
      <c r="D1098" s="564"/>
      <c r="E1098" s="556"/>
      <c r="F1098" s="564"/>
      <c r="G1098" s="564"/>
      <c r="H1098" s="564"/>
      <c r="I1098" s="564"/>
      <c r="J1098" s="564"/>
      <c r="K1098" s="564"/>
      <c r="L1098" s="564"/>
      <c r="M1098" s="564"/>
      <c r="N1098" s="564"/>
      <c r="O1098" s="564"/>
      <c r="P1098" s="564"/>
      <c r="Q1098" s="564"/>
      <c r="R1098" s="564"/>
      <c r="S1098" s="564"/>
      <c r="T1098" s="564"/>
      <c r="U1098" s="564"/>
      <c r="V1098" s="564"/>
      <c r="W1098" s="564"/>
      <c r="X1098" s="564"/>
      <c r="Y1098" s="564"/>
      <c r="Z1098" s="564"/>
      <c r="AA1098" s="564"/>
      <c r="AB1098" s="556"/>
      <c r="AC1098" s="556"/>
      <c r="AD1098" s="556"/>
      <c r="AE1098" s="556"/>
      <c r="AF1098" s="556"/>
      <c r="AG1098" s="556"/>
      <c r="AH1098" s="556"/>
      <c r="AI1098" s="556"/>
      <c r="AJ1098" s="556"/>
      <c r="AK1098" s="556"/>
      <c r="AL1098" s="556"/>
      <c r="AM1098" s="556"/>
      <c r="AN1098" s="556"/>
      <c r="AO1098" s="556"/>
      <c r="AP1098" s="556"/>
      <c r="AQ1098" s="556"/>
      <c r="AR1098" s="556"/>
      <c r="AS1098" s="565"/>
      <c r="AT1098" s="556"/>
    </row>
    <row r="1099" spans="1:46" hidden="1" x14ac:dyDescent="0.45">
      <c r="A1099" s="556"/>
      <c r="B1099" s="556"/>
      <c r="C1099" s="556"/>
      <c r="D1099" s="564"/>
      <c r="E1099" s="556"/>
      <c r="F1099" s="564"/>
      <c r="G1099" s="564"/>
      <c r="H1099" s="564"/>
      <c r="I1099" s="564"/>
      <c r="J1099" s="564"/>
      <c r="K1099" s="564"/>
      <c r="L1099" s="564"/>
      <c r="M1099" s="564"/>
      <c r="N1099" s="564"/>
      <c r="O1099" s="564"/>
      <c r="P1099" s="564"/>
      <c r="Q1099" s="564"/>
      <c r="R1099" s="564"/>
      <c r="S1099" s="564"/>
      <c r="T1099" s="564"/>
      <c r="U1099" s="564"/>
      <c r="V1099" s="564"/>
      <c r="W1099" s="564"/>
      <c r="X1099" s="564"/>
      <c r="Y1099" s="564"/>
      <c r="Z1099" s="564"/>
      <c r="AA1099" s="564"/>
      <c r="AB1099" s="556"/>
      <c r="AC1099" s="556"/>
      <c r="AD1099" s="556"/>
      <c r="AE1099" s="556"/>
      <c r="AF1099" s="556"/>
      <c r="AG1099" s="556"/>
      <c r="AH1099" s="556"/>
      <c r="AI1099" s="556"/>
      <c r="AJ1099" s="556"/>
      <c r="AK1099" s="556"/>
      <c r="AL1099" s="556"/>
      <c r="AM1099" s="556"/>
      <c r="AN1099" s="556"/>
      <c r="AO1099" s="556"/>
      <c r="AP1099" s="556"/>
      <c r="AQ1099" s="556"/>
      <c r="AR1099" s="556"/>
      <c r="AS1099" s="565"/>
      <c r="AT1099" s="556"/>
    </row>
    <row r="1100" spans="1:46" hidden="1" x14ac:dyDescent="0.45">
      <c r="A1100" s="556"/>
      <c r="B1100" s="556"/>
      <c r="C1100" s="556"/>
      <c r="D1100" s="564"/>
      <c r="E1100" s="556"/>
      <c r="F1100" s="564"/>
      <c r="G1100" s="564"/>
      <c r="H1100" s="564"/>
      <c r="I1100" s="564"/>
      <c r="J1100" s="564"/>
      <c r="K1100" s="564"/>
      <c r="L1100" s="564"/>
      <c r="M1100" s="564"/>
      <c r="N1100" s="564"/>
      <c r="O1100" s="564"/>
      <c r="P1100" s="564"/>
      <c r="Q1100" s="564"/>
      <c r="R1100" s="564"/>
      <c r="S1100" s="564"/>
      <c r="T1100" s="564"/>
      <c r="U1100" s="564"/>
      <c r="V1100" s="564"/>
      <c r="W1100" s="564"/>
      <c r="X1100" s="564"/>
      <c r="Y1100" s="564"/>
      <c r="Z1100" s="564"/>
      <c r="AA1100" s="564"/>
      <c r="AB1100" s="556"/>
      <c r="AC1100" s="556"/>
      <c r="AD1100" s="556"/>
      <c r="AE1100" s="556"/>
      <c r="AF1100" s="556"/>
      <c r="AG1100" s="556"/>
      <c r="AH1100" s="556"/>
      <c r="AI1100" s="556"/>
      <c r="AJ1100" s="556"/>
      <c r="AK1100" s="556"/>
      <c r="AL1100" s="556"/>
      <c r="AM1100" s="556"/>
      <c r="AN1100" s="556"/>
      <c r="AO1100" s="556"/>
      <c r="AP1100" s="556"/>
      <c r="AQ1100" s="556"/>
      <c r="AR1100" s="556"/>
      <c r="AS1100" s="565"/>
      <c r="AT1100" s="556"/>
    </row>
    <row r="1101" spans="1:46" hidden="1" x14ac:dyDescent="0.45">
      <c r="A1101" s="556"/>
      <c r="B1101" s="556"/>
      <c r="C1101" s="556"/>
      <c r="D1101" s="564"/>
      <c r="E1101" s="556"/>
      <c r="F1101" s="564"/>
      <c r="G1101" s="564"/>
      <c r="H1101" s="564"/>
      <c r="I1101" s="564"/>
      <c r="J1101" s="564"/>
      <c r="K1101" s="564"/>
      <c r="L1101" s="564"/>
      <c r="M1101" s="564"/>
      <c r="N1101" s="564"/>
      <c r="O1101" s="564"/>
      <c r="P1101" s="564"/>
      <c r="Q1101" s="564"/>
      <c r="R1101" s="564"/>
      <c r="S1101" s="564"/>
      <c r="T1101" s="564"/>
      <c r="U1101" s="564"/>
      <c r="V1101" s="564"/>
      <c r="W1101" s="564"/>
      <c r="X1101" s="564"/>
      <c r="Y1101" s="564"/>
      <c r="Z1101" s="564"/>
      <c r="AA1101" s="564"/>
      <c r="AB1101" s="556"/>
      <c r="AC1101" s="556"/>
      <c r="AD1101" s="556"/>
      <c r="AE1101" s="556"/>
      <c r="AF1101" s="556"/>
      <c r="AG1101" s="556"/>
      <c r="AH1101" s="556"/>
      <c r="AI1101" s="556"/>
      <c r="AJ1101" s="556"/>
      <c r="AK1101" s="556"/>
      <c r="AL1101" s="556"/>
      <c r="AM1101" s="556"/>
      <c r="AN1101" s="556"/>
      <c r="AO1101" s="556"/>
      <c r="AP1101" s="556"/>
      <c r="AQ1101" s="556"/>
      <c r="AR1101" s="556"/>
      <c r="AS1101" s="565"/>
      <c r="AT1101" s="556"/>
    </row>
    <row r="1102" spans="1:46" hidden="1" x14ac:dyDescent="0.45">
      <c r="A1102" s="556"/>
      <c r="B1102" s="556"/>
      <c r="C1102" s="556"/>
      <c r="D1102" s="564"/>
      <c r="E1102" s="556"/>
      <c r="F1102" s="564"/>
      <c r="G1102" s="564"/>
      <c r="H1102" s="564"/>
      <c r="I1102" s="564"/>
      <c r="J1102" s="564"/>
      <c r="K1102" s="564"/>
      <c r="L1102" s="564"/>
      <c r="M1102" s="564"/>
      <c r="N1102" s="564"/>
      <c r="O1102" s="564"/>
      <c r="P1102" s="564"/>
      <c r="Q1102" s="564"/>
      <c r="R1102" s="564"/>
      <c r="S1102" s="564"/>
      <c r="T1102" s="564"/>
      <c r="U1102" s="564"/>
      <c r="V1102" s="564"/>
      <c r="W1102" s="564"/>
      <c r="X1102" s="564"/>
      <c r="Y1102" s="564"/>
      <c r="Z1102" s="564"/>
      <c r="AA1102" s="564"/>
      <c r="AB1102" s="556"/>
      <c r="AC1102" s="556"/>
      <c r="AD1102" s="556"/>
      <c r="AE1102" s="556"/>
      <c r="AF1102" s="556"/>
      <c r="AG1102" s="556"/>
      <c r="AH1102" s="556"/>
      <c r="AI1102" s="556"/>
      <c r="AJ1102" s="556"/>
      <c r="AK1102" s="556"/>
      <c r="AL1102" s="556"/>
      <c r="AM1102" s="556"/>
      <c r="AN1102" s="556"/>
      <c r="AO1102" s="556"/>
      <c r="AP1102" s="556"/>
      <c r="AQ1102" s="556"/>
      <c r="AR1102" s="556"/>
      <c r="AS1102" s="565"/>
      <c r="AT1102" s="556"/>
    </row>
    <row r="1103" spans="1:46" hidden="1" x14ac:dyDescent="0.45">
      <c r="A1103" s="556"/>
      <c r="B1103" s="556"/>
      <c r="C1103" s="556"/>
      <c r="D1103" s="564"/>
      <c r="E1103" s="556"/>
      <c r="F1103" s="564"/>
      <c r="G1103" s="564"/>
      <c r="H1103" s="564"/>
      <c r="I1103" s="564"/>
      <c r="J1103" s="564"/>
      <c r="K1103" s="564"/>
      <c r="L1103" s="564"/>
      <c r="M1103" s="564"/>
      <c r="N1103" s="564"/>
      <c r="O1103" s="564"/>
      <c r="P1103" s="564"/>
      <c r="Q1103" s="564"/>
      <c r="R1103" s="564"/>
      <c r="S1103" s="564"/>
      <c r="T1103" s="564"/>
      <c r="U1103" s="564"/>
      <c r="V1103" s="564"/>
      <c r="W1103" s="564"/>
      <c r="X1103" s="564"/>
      <c r="Y1103" s="564"/>
      <c r="Z1103" s="564"/>
      <c r="AA1103" s="564"/>
      <c r="AB1103" s="556"/>
      <c r="AC1103" s="556"/>
      <c r="AD1103" s="556"/>
      <c r="AE1103" s="556"/>
      <c r="AF1103" s="556"/>
      <c r="AG1103" s="556"/>
      <c r="AH1103" s="556"/>
      <c r="AI1103" s="556"/>
      <c r="AJ1103" s="556"/>
      <c r="AK1103" s="556"/>
      <c r="AL1103" s="556"/>
      <c r="AM1103" s="556"/>
      <c r="AN1103" s="556"/>
      <c r="AO1103" s="556"/>
      <c r="AP1103" s="556"/>
      <c r="AQ1103" s="556"/>
      <c r="AR1103" s="556"/>
      <c r="AS1103" s="565"/>
      <c r="AT1103" s="556"/>
    </row>
    <row r="1104" spans="1:46" hidden="1" x14ac:dyDescent="0.45">
      <c r="A1104" s="556"/>
      <c r="B1104" s="556"/>
      <c r="C1104" s="556"/>
      <c r="D1104" s="564"/>
      <c r="E1104" s="556"/>
      <c r="F1104" s="564"/>
      <c r="G1104" s="564"/>
      <c r="H1104" s="564"/>
      <c r="I1104" s="564"/>
      <c r="J1104" s="564"/>
      <c r="K1104" s="564"/>
      <c r="L1104" s="564"/>
      <c r="M1104" s="564"/>
      <c r="N1104" s="564"/>
      <c r="O1104" s="564"/>
      <c r="P1104" s="564"/>
      <c r="Q1104" s="564"/>
      <c r="R1104" s="564"/>
      <c r="S1104" s="564"/>
      <c r="T1104" s="564"/>
      <c r="U1104" s="564"/>
      <c r="V1104" s="564"/>
      <c r="W1104" s="564"/>
      <c r="X1104" s="564"/>
      <c r="Y1104" s="564"/>
      <c r="Z1104" s="564"/>
      <c r="AA1104" s="564"/>
      <c r="AB1104" s="556"/>
      <c r="AC1104" s="556"/>
      <c r="AD1104" s="556"/>
      <c r="AE1104" s="556"/>
      <c r="AF1104" s="556"/>
      <c r="AG1104" s="556"/>
      <c r="AH1104" s="556"/>
      <c r="AI1104" s="556"/>
      <c r="AJ1104" s="556"/>
      <c r="AK1104" s="556"/>
      <c r="AL1104" s="556"/>
      <c r="AM1104" s="556"/>
      <c r="AN1104" s="556"/>
      <c r="AO1104" s="556"/>
      <c r="AP1104" s="556"/>
      <c r="AQ1104" s="556"/>
      <c r="AR1104" s="556"/>
      <c r="AS1104" s="565"/>
      <c r="AT1104" s="556"/>
    </row>
    <row r="1105" spans="1:46" hidden="1" x14ac:dyDescent="0.45">
      <c r="A1105" s="556"/>
      <c r="B1105" s="556"/>
      <c r="C1105" s="556"/>
      <c r="D1105" s="564"/>
      <c r="E1105" s="556"/>
      <c r="F1105" s="564"/>
      <c r="G1105" s="564"/>
      <c r="H1105" s="564"/>
      <c r="I1105" s="564"/>
      <c r="J1105" s="564"/>
      <c r="K1105" s="564"/>
      <c r="L1105" s="564"/>
      <c r="M1105" s="564"/>
      <c r="N1105" s="564"/>
      <c r="O1105" s="564"/>
      <c r="P1105" s="564"/>
      <c r="Q1105" s="564"/>
      <c r="R1105" s="564"/>
      <c r="S1105" s="564"/>
      <c r="T1105" s="564"/>
      <c r="U1105" s="564"/>
      <c r="V1105" s="564"/>
      <c r="W1105" s="564"/>
      <c r="X1105" s="564"/>
      <c r="Y1105" s="564"/>
      <c r="Z1105" s="564"/>
      <c r="AA1105" s="564"/>
      <c r="AB1105" s="556"/>
      <c r="AC1105" s="556"/>
      <c r="AD1105" s="556"/>
      <c r="AE1105" s="556"/>
      <c r="AF1105" s="556"/>
      <c r="AG1105" s="556"/>
      <c r="AH1105" s="556"/>
      <c r="AI1105" s="556"/>
      <c r="AJ1105" s="556"/>
      <c r="AK1105" s="556"/>
      <c r="AL1105" s="556"/>
      <c r="AM1105" s="556"/>
      <c r="AN1105" s="556"/>
      <c r="AO1105" s="556"/>
      <c r="AP1105" s="556"/>
      <c r="AQ1105" s="556"/>
      <c r="AR1105" s="556"/>
      <c r="AS1105" s="565"/>
      <c r="AT1105" s="556"/>
    </row>
    <row r="1106" spans="1:46" hidden="1" x14ac:dyDescent="0.45">
      <c r="A1106" s="556"/>
      <c r="B1106" s="556"/>
      <c r="C1106" s="556"/>
      <c r="D1106" s="564"/>
      <c r="E1106" s="556"/>
      <c r="F1106" s="564"/>
      <c r="G1106" s="564"/>
      <c r="H1106" s="564"/>
      <c r="I1106" s="564"/>
      <c r="J1106" s="564"/>
      <c r="K1106" s="564"/>
      <c r="L1106" s="564"/>
      <c r="M1106" s="564"/>
      <c r="N1106" s="564"/>
      <c r="O1106" s="564"/>
      <c r="P1106" s="564"/>
      <c r="Q1106" s="564"/>
      <c r="R1106" s="564"/>
      <c r="S1106" s="564"/>
      <c r="T1106" s="564"/>
      <c r="U1106" s="564"/>
      <c r="V1106" s="564"/>
      <c r="W1106" s="564"/>
      <c r="X1106" s="564"/>
      <c r="Y1106" s="564"/>
      <c r="Z1106" s="564"/>
      <c r="AA1106" s="564"/>
      <c r="AB1106" s="556"/>
      <c r="AC1106" s="556"/>
      <c r="AD1106" s="556"/>
      <c r="AE1106" s="556"/>
      <c r="AF1106" s="556"/>
      <c r="AG1106" s="556"/>
      <c r="AH1106" s="556"/>
      <c r="AI1106" s="556"/>
      <c r="AJ1106" s="556"/>
      <c r="AK1106" s="556"/>
      <c r="AL1106" s="556"/>
      <c r="AM1106" s="556"/>
      <c r="AN1106" s="556"/>
      <c r="AO1106" s="556"/>
      <c r="AP1106" s="556"/>
      <c r="AQ1106" s="556"/>
      <c r="AR1106" s="556"/>
      <c r="AS1106" s="565"/>
      <c r="AT1106" s="556"/>
    </row>
    <row r="1107" spans="1:46" hidden="1" x14ac:dyDescent="0.45">
      <c r="A1107" s="556"/>
      <c r="B1107" s="556"/>
      <c r="C1107" s="556"/>
      <c r="D1107" s="564"/>
      <c r="E1107" s="556"/>
      <c r="F1107" s="564"/>
      <c r="G1107" s="564"/>
      <c r="H1107" s="564"/>
      <c r="I1107" s="564"/>
      <c r="J1107" s="564"/>
      <c r="K1107" s="564"/>
      <c r="L1107" s="564"/>
      <c r="M1107" s="564"/>
      <c r="N1107" s="564"/>
      <c r="O1107" s="564"/>
      <c r="P1107" s="564"/>
      <c r="Q1107" s="564"/>
      <c r="R1107" s="564"/>
      <c r="S1107" s="564"/>
      <c r="T1107" s="564"/>
      <c r="U1107" s="564"/>
      <c r="V1107" s="564"/>
      <c r="W1107" s="564"/>
      <c r="X1107" s="564"/>
      <c r="Y1107" s="564"/>
      <c r="Z1107" s="564"/>
      <c r="AA1107" s="564"/>
      <c r="AB1107" s="556"/>
      <c r="AC1107" s="556"/>
      <c r="AD1107" s="556"/>
      <c r="AE1107" s="556"/>
      <c r="AF1107" s="556"/>
      <c r="AG1107" s="556"/>
      <c r="AH1107" s="556"/>
      <c r="AI1107" s="556"/>
      <c r="AJ1107" s="556"/>
      <c r="AK1107" s="556"/>
      <c r="AL1107" s="556"/>
      <c r="AM1107" s="556"/>
      <c r="AN1107" s="556"/>
      <c r="AO1107" s="556"/>
      <c r="AP1107" s="556"/>
      <c r="AQ1107" s="556"/>
      <c r="AR1107" s="556"/>
      <c r="AS1107" s="565"/>
      <c r="AT1107" s="556"/>
    </row>
    <row r="1108" spans="1:46" hidden="1" x14ac:dyDescent="0.45">
      <c r="A1108" s="556"/>
      <c r="B1108" s="556"/>
      <c r="C1108" s="556"/>
      <c r="D1108" s="564"/>
      <c r="E1108" s="556"/>
      <c r="F1108" s="564"/>
      <c r="G1108" s="564"/>
      <c r="H1108" s="564"/>
      <c r="I1108" s="564"/>
      <c r="J1108" s="564"/>
      <c r="K1108" s="564"/>
      <c r="L1108" s="564"/>
      <c r="M1108" s="564"/>
      <c r="N1108" s="564"/>
      <c r="O1108" s="564"/>
      <c r="P1108" s="564"/>
      <c r="Q1108" s="564"/>
      <c r="R1108" s="564"/>
      <c r="S1108" s="564"/>
      <c r="T1108" s="564"/>
      <c r="U1108" s="564"/>
      <c r="V1108" s="564"/>
      <c r="W1108" s="564"/>
      <c r="X1108" s="564"/>
      <c r="Y1108" s="564"/>
      <c r="Z1108" s="564"/>
      <c r="AA1108" s="564"/>
      <c r="AB1108" s="556"/>
      <c r="AC1108" s="556"/>
      <c r="AD1108" s="556"/>
      <c r="AE1108" s="556"/>
      <c r="AF1108" s="556"/>
      <c r="AG1108" s="556"/>
      <c r="AH1108" s="556"/>
      <c r="AI1108" s="556"/>
      <c r="AJ1108" s="556"/>
      <c r="AK1108" s="556"/>
      <c r="AL1108" s="556"/>
      <c r="AM1108" s="556"/>
      <c r="AN1108" s="556"/>
      <c r="AO1108" s="556"/>
      <c r="AP1108" s="556"/>
      <c r="AQ1108" s="556"/>
      <c r="AR1108" s="556"/>
      <c r="AS1108" s="565"/>
      <c r="AT1108" s="556"/>
    </row>
    <row r="1109" spans="1:46" hidden="1" x14ac:dyDescent="0.45">
      <c r="A1109" s="556"/>
      <c r="B1109" s="556"/>
      <c r="C1109" s="556"/>
      <c r="D1109" s="564"/>
      <c r="E1109" s="556"/>
      <c r="F1109" s="564"/>
      <c r="G1109" s="564"/>
      <c r="H1109" s="564"/>
      <c r="I1109" s="564"/>
      <c r="J1109" s="564"/>
      <c r="K1109" s="564"/>
      <c r="L1109" s="564"/>
      <c r="M1109" s="564"/>
      <c r="N1109" s="564"/>
      <c r="O1109" s="564"/>
      <c r="P1109" s="564"/>
      <c r="Q1109" s="564"/>
      <c r="R1109" s="564"/>
      <c r="S1109" s="564"/>
      <c r="T1109" s="564"/>
      <c r="U1109" s="564"/>
      <c r="V1109" s="564"/>
      <c r="W1109" s="564"/>
      <c r="X1109" s="564"/>
      <c r="Y1109" s="564"/>
      <c r="Z1109" s="564"/>
      <c r="AA1109" s="564"/>
      <c r="AB1109" s="556"/>
      <c r="AC1109" s="556"/>
      <c r="AD1109" s="556"/>
      <c r="AE1109" s="556"/>
      <c r="AF1109" s="556"/>
      <c r="AG1109" s="556"/>
      <c r="AH1109" s="556"/>
      <c r="AI1109" s="556"/>
      <c r="AJ1109" s="556"/>
      <c r="AK1109" s="556"/>
      <c r="AL1109" s="556"/>
      <c r="AM1109" s="556"/>
      <c r="AN1109" s="556"/>
      <c r="AO1109" s="556"/>
      <c r="AP1109" s="556"/>
      <c r="AQ1109" s="556"/>
      <c r="AR1109" s="556"/>
      <c r="AS1109" s="565"/>
      <c r="AT1109" s="556"/>
    </row>
    <row r="1110" spans="1:46" hidden="1" x14ac:dyDescent="0.45">
      <c r="A1110" s="556"/>
      <c r="B1110" s="556"/>
      <c r="C1110" s="556"/>
      <c r="D1110" s="564"/>
      <c r="E1110" s="556"/>
      <c r="F1110" s="564"/>
      <c r="G1110" s="564"/>
      <c r="H1110" s="564"/>
      <c r="I1110" s="564"/>
      <c r="J1110" s="564"/>
      <c r="K1110" s="564"/>
      <c r="L1110" s="564"/>
      <c r="M1110" s="564"/>
      <c r="N1110" s="564"/>
      <c r="O1110" s="564"/>
      <c r="P1110" s="564"/>
      <c r="Q1110" s="564"/>
      <c r="R1110" s="564"/>
      <c r="S1110" s="564"/>
      <c r="T1110" s="564"/>
      <c r="U1110" s="564"/>
      <c r="V1110" s="564"/>
      <c r="W1110" s="564"/>
      <c r="X1110" s="564"/>
      <c r="Y1110" s="564"/>
      <c r="Z1110" s="564"/>
      <c r="AA1110" s="564"/>
      <c r="AB1110" s="556"/>
      <c r="AC1110" s="556"/>
      <c r="AD1110" s="556"/>
      <c r="AE1110" s="556"/>
      <c r="AF1110" s="556"/>
      <c r="AG1110" s="556"/>
      <c r="AH1110" s="556"/>
      <c r="AI1110" s="556"/>
      <c r="AJ1110" s="556"/>
      <c r="AK1110" s="556"/>
      <c r="AL1110" s="556"/>
      <c r="AM1110" s="556"/>
      <c r="AN1110" s="556"/>
      <c r="AO1110" s="556"/>
      <c r="AP1110" s="556"/>
      <c r="AQ1110" s="556"/>
      <c r="AR1110" s="556"/>
      <c r="AS1110" s="565"/>
      <c r="AT1110" s="556"/>
    </row>
    <row r="1111" spans="1:46" hidden="1" x14ac:dyDescent="0.45">
      <c r="A1111" s="556"/>
      <c r="B1111" s="556"/>
      <c r="C1111" s="556"/>
      <c r="D1111" s="564"/>
      <c r="E1111" s="556"/>
      <c r="F1111" s="564"/>
      <c r="G1111" s="564"/>
      <c r="H1111" s="564"/>
      <c r="I1111" s="564"/>
      <c r="J1111" s="564"/>
      <c r="K1111" s="564"/>
      <c r="L1111" s="564"/>
      <c r="M1111" s="564"/>
      <c r="N1111" s="564"/>
      <c r="O1111" s="564"/>
      <c r="P1111" s="564"/>
      <c r="Q1111" s="564"/>
      <c r="R1111" s="564"/>
      <c r="S1111" s="564"/>
      <c r="T1111" s="564"/>
      <c r="U1111" s="564"/>
      <c r="V1111" s="564"/>
      <c r="W1111" s="564"/>
      <c r="X1111" s="564"/>
      <c r="Y1111" s="564"/>
      <c r="Z1111" s="564"/>
      <c r="AA1111" s="564"/>
      <c r="AB1111" s="556"/>
      <c r="AC1111" s="556"/>
      <c r="AD1111" s="556"/>
      <c r="AE1111" s="556"/>
      <c r="AF1111" s="556"/>
      <c r="AG1111" s="556"/>
      <c r="AH1111" s="556"/>
      <c r="AI1111" s="556"/>
      <c r="AJ1111" s="556"/>
      <c r="AK1111" s="556"/>
      <c r="AL1111" s="556"/>
      <c r="AM1111" s="556"/>
      <c r="AN1111" s="556"/>
      <c r="AO1111" s="556"/>
      <c r="AP1111" s="556"/>
      <c r="AQ1111" s="556"/>
      <c r="AR1111" s="556"/>
      <c r="AS1111" s="565"/>
      <c r="AT1111" s="556"/>
    </row>
    <row r="1112" spans="1:46" hidden="1" x14ac:dyDescent="0.45">
      <c r="A1112" s="556"/>
      <c r="B1112" s="556"/>
      <c r="C1112" s="556"/>
      <c r="D1112" s="564"/>
      <c r="E1112" s="556"/>
      <c r="F1112" s="564"/>
      <c r="G1112" s="564"/>
      <c r="H1112" s="564"/>
      <c r="I1112" s="564"/>
      <c r="J1112" s="564"/>
      <c r="K1112" s="564"/>
      <c r="L1112" s="564"/>
      <c r="M1112" s="564"/>
      <c r="N1112" s="564"/>
      <c r="O1112" s="564"/>
      <c r="P1112" s="564"/>
      <c r="Q1112" s="564"/>
      <c r="R1112" s="564"/>
      <c r="S1112" s="564"/>
      <c r="T1112" s="564"/>
      <c r="U1112" s="564"/>
      <c r="V1112" s="564"/>
      <c r="W1112" s="564"/>
      <c r="X1112" s="564"/>
      <c r="Y1112" s="564"/>
      <c r="Z1112" s="564"/>
      <c r="AA1112" s="564"/>
      <c r="AB1112" s="556"/>
      <c r="AC1112" s="556"/>
      <c r="AD1112" s="556"/>
      <c r="AE1112" s="556"/>
      <c r="AF1112" s="556"/>
      <c r="AG1112" s="556"/>
      <c r="AH1112" s="556"/>
      <c r="AI1112" s="556"/>
      <c r="AJ1112" s="556"/>
      <c r="AK1112" s="556"/>
      <c r="AL1112" s="556"/>
      <c r="AM1112" s="556"/>
      <c r="AN1112" s="556"/>
      <c r="AO1112" s="556"/>
      <c r="AP1112" s="556"/>
      <c r="AQ1112" s="556"/>
      <c r="AR1112" s="556"/>
      <c r="AS1112" s="565"/>
      <c r="AT1112" s="556"/>
    </row>
    <row r="1113" spans="1:46" hidden="1" x14ac:dyDescent="0.45">
      <c r="A1113" s="556"/>
      <c r="B1113" s="556"/>
      <c r="C1113" s="556"/>
      <c r="D1113" s="564"/>
      <c r="E1113" s="556"/>
      <c r="F1113" s="564"/>
      <c r="G1113" s="564"/>
      <c r="H1113" s="564"/>
      <c r="I1113" s="564"/>
      <c r="J1113" s="564"/>
      <c r="K1113" s="564"/>
      <c r="L1113" s="564"/>
      <c r="M1113" s="564"/>
      <c r="N1113" s="564"/>
      <c r="O1113" s="564"/>
      <c r="P1113" s="564"/>
      <c r="Q1113" s="564"/>
      <c r="R1113" s="564"/>
      <c r="S1113" s="564"/>
      <c r="T1113" s="564"/>
      <c r="U1113" s="564"/>
      <c r="V1113" s="564"/>
      <c r="W1113" s="564"/>
      <c r="X1113" s="564"/>
      <c r="Y1113" s="564"/>
      <c r="Z1113" s="564"/>
      <c r="AA1113" s="564"/>
      <c r="AB1113" s="556"/>
      <c r="AC1113" s="556"/>
      <c r="AD1113" s="556"/>
      <c r="AE1113" s="556"/>
      <c r="AF1113" s="556"/>
      <c r="AG1113" s="556"/>
      <c r="AH1113" s="556"/>
      <c r="AI1113" s="556"/>
      <c r="AJ1113" s="556"/>
      <c r="AK1113" s="556"/>
      <c r="AL1113" s="556"/>
      <c r="AM1113" s="556"/>
      <c r="AN1113" s="556"/>
      <c r="AO1113" s="556"/>
      <c r="AP1113" s="556"/>
      <c r="AQ1113" s="556"/>
      <c r="AR1113" s="556"/>
      <c r="AS1113" s="565"/>
      <c r="AT1113" s="556"/>
    </row>
    <row r="1114" spans="1:46" hidden="1" x14ac:dyDescent="0.45">
      <c r="A1114" s="556"/>
      <c r="B1114" s="556"/>
      <c r="C1114" s="556"/>
      <c r="D1114" s="564"/>
      <c r="E1114" s="556"/>
      <c r="F1114" s="564"/>
      <c r="G1114" s="564"/>
      <c r="H1114" s="564"/>
      <c r="I1114" s="564"/>
      <c r="J1114" s="564"/>
      <c r="K1114" s="564"/>
      <c r="L1114" s="564"/>
      <c r="M1114" s="564"/>
      <c r="N1114" s="564"/>
      <c r="O1114" s="564"/>
      <c r="P1114" s="564"/>
      <c r="Q1114" s="564"/>
      <c r="R1114" s="564"/>
      <c r="S1114" s="564"/>
      <c r="T1114" s="564"/>
      <c r="U1114" s="564"/>
      <c r="V1114" s="564"/>
      <c r="W1114" s="564"/>
      <c r="X1114" s="564"/>
      <c r="Y1114" s="564"/>
      <c r="Z1114" s="564"/>
      <c r="AA1114" s="564"/>
      <c r="AB1114" s="556"/>
      <c r="AC1114" s="556"/>
      <c r="AD1114" s="556"/>
      <c r="AE1114" s="556"/>
      <c r="AF1114" s="556"/>
      <c r="AG1114" s="556"/>
      <c r="AH1114" s="556"/>
      <c r="AI1114" s="556"/>
      <c r="AJ1114" s="556"/>
      <c r="AK1114" s="556"/>
      <c r="AL1114" s="556"/>
      <c r="AM1114" s="556"/>
      <c r="AN1114" s="556"/>
      <c r="AO1114" s="556"/>
      <c r="AP1114" s="556"/>
      <c r="AQ1114" s="556"/>
      <c r="AR1114" s="556"/>
      <c r="AS1114" s="565"/>
      <c r="AT1114" s="556"/>
    </row>
    <row r="1115" spans="1:46" hidden="1" x14ac:dyDescent="0.45">
      <c r="A1115" s="556"/>
      <c r="B1115" s="556"/>
      <c r="C1115" s="556"/>
      <c r="D1115" s="564"/>
      <c r="E1115" s="556"/>
      <c r="F1115" s="564"/>
      <c r="G1115" s="564"/>
      <c r="H1115" s="564"/>
      <c r="I1115" s="564"/>
      <c r="J1115" s="564"/>
      <c r="K1115" s="564"/>
      <c r="L1115" s="564"/>
      <c r="M1115" s="564"/>
      <c r="N1115" s="564"/>
      <c r="O1115" s="564"/>
      <c r="P1115" s="564"/>
      <c r="Q1115" s="564"/>
      <c r="R1115" s="564"/>
      <c r="S1115" s="564"/>
      <c r="T1115" s="564"/>
      <c r="U1115" s="564"/>
      <c r="V1115" s="564"/>
      <c r="W1115" s="564"/>
      <c r="X1115" s="564"/>
      <c r="Y1115" s="564"/>
      <c r="Z1115" s="564"/>
      <c r="AA1115" s="564"/>
      <c r="AB1115" s="556"/>
      <c r="AC1115" s="556"/>
      <c r="AD1115" s="556"/>
      <c r="AE1115" s="556"/>
      <c r="AF1115" s="556"/>
      <c r="AG1115" s="556"/>
      <c r="AH1115" s="556"/>
      <c r="AI1115" s="556"/>
      <c r="AJ1115" s="556"/>
      <c r="AK1115" s="556"/>
      <c r="AL1115" s="556"/>
      <c r="AM1115" s="556"/>
      <c r="AN1115" s="556"/>
      <c r="AO1115" s="556"/>
      <c r="AP1115" s="556"/>
      <c r="AQ1115" s="556"/>
      <c r="AR1115" s="556"/>
      <c r="AS1115" s="565"/>
      <c r="AT1115" s="556"/>
    </row>
    <row r="1116" spans="1:46" hidden="1" x14ac:dyDescent="0.45">
      <c r="A1116" s="556"/>
      <c r="B1116" s="556"/>
      <c r="C1116" s="556"/>
      <c r="D1116" s="564"/>
      <c r="E1116" s="556"/>
      <c r="F1116" s="564"/>
      <c r="G1116" s="564"/>
      <c r="H1116" s="564"/>
      <c r="I1116" s="564"/>
      <c r="J1116" s="564"/>
      <c r="K1116" s="564"/>
      <c r="L1116" s="564"/>
      <c r="M1116" s="564"/>
      <c r="N1116" s="564"/>
      <c r="O1116" s="564"/>
      <c r="P1116" s="564"/>
      <c r="Q1116" s="564"/>
      <c r="R1116" s="564"/>
      <c r="S1116" s="564"/>
      <c r="T1116" s="564"/>
      <c r="U1116" s="564"/>
      <c r="V1116" s="564"/>
      <c r="W1116" s="564"/>
      <c r="X1116" s="564"/>
      <c r="Y1116" s="564"/>
      <c r="Z1116" s="564"/>
      <c r="AA1116" s="564"/>
      <c r="AB1116" s="556"/>
      <c r="AC1116" s="556"/>
      <c r="AD1116" s="556"/>
      <c r="AE1116" s="556"/>
      <c r="AF1116" s="556"/>
      <c r="AG1116" s="556"/>
      <c r="AH1116" s="556"/>
      <c r="AI1116" s="556"/>
      <c r="AJ1116" s="556"/>
      <c r="AK1116" s="556"/>
      <c r="AL1116" s="556"/>
      <c r="AM1116" s="556"/>
      <c r="AN1116" s="556"/>
      <c r="AO1116" s="556"/>
      <c r="AP1116" s="556"/>
      <c r="AQ1116" s="556"/>
      <c r="AR1116" s="556"/>
      <c r="AS1116" s="565"/>
      <c r="AT1116" s="556"/>
    </row>
    <row r="1117" spans="1:46" hidden="1" x14ac:dyDescent="0.45">
      <c r="A1117" s="556"/>
      <c r="B1117" s="556"/>
      <c r="C1117" s="556"/>
      <c r="D1117" s="564"/>
      <c r="E1117" s="556"/>
      <c r="F1117" s="564"/>
      <c r="G1117" s="564"/>
      <c r="H1117" s="564"/>
      <c r="I1117" s="564"/>
      <c r="J1117" s="564"/>
      <c r="K1117" s="564"/>
      <c r="L1117" s="564"/>
      <c r="M1117" s="564"/>
      <c r="N1117" s="564"/>
      <c r="O1117" s="564"/>
      <c r="P1117" s="564"/>
      <c r="Q1117" s="564"/>
      <c r="R1117" s="564"/>
      <c r="S1117" s="564"/>
      <c r="T1117" s="564"/>
      <c r="U1117" s="564"/>
      <c r="V1117" s="564"/>
      <c r="W1117" s="564"/>
      <c r="X1117" s="564"/>
      <c r="Y1117" s="564"/>
      <c r="Z1117" s="564"/>
      <c r="AA1117" s="564"/>
      <c r="AB1117" s="556"/>
      <c r="AC1117" s="556"/>
      <c r="AD1117" s="556"/>
      <c r="AE1117" s="556"/>
      <c r="AF1117" s="556"/>
      <c r="AG1117" s="556"/>
      <c r="AH1117" s="556"/>
      <c r="AI1117" s="556"/>
      <c r="AJ1117" s="556"/>
      <c r="AK1117" s="556"/>
      <c r="AL1117" s="556"/>
      <c r="AM1117" s="556"/>
      <c r="AN1117" s="556"/>
      <c r="AO1117" s="556"/>
      <c r="AP1117" s="556"/>
      <c r="AQ1117" s="556"/>
      <c r="AR1117" s="556"/>
      <c r="AS1117" s="565"/>
      <c r="AT1117" s="556"/>
    </row>
    <row r="1118" spans="1:46" hidden="1" x14ac:dyDescent="0.45">
      <c r="A1118" s="556"/>
      <c r="B1118" s="556"/>
      <c r="C1118" s="556"/>
      <c r="D1118" s="564"/>
      <c r="E1118" s="556"/>
      <c r="F1118" s="564"/>
      <c r="G1118" s="564"/>
      <c r="H1118" s="564"/>
      <c r="I1118" s="564"/>
      <c r="J1118" s="564"/>
      <c r="K1118" s="564"/>
      <c r="L1118" s="564"/>
      <c r="M1118" s="564"/>
      <c r="N1118" s="564"/>
      <c r="O1118" s="564"/>
      <c r="P1118" s="564"/>
      <c r="Q1118" s="564"/>
      <c r="R1118" s="564"/>
      <c r="S1118" s="564"/>
      <c r="T1118" s="564"/>
      <c r="U1118" s="564"/>
      <c r="V1118" s="564"/>
      <c r="W1118" s="564"/>
      <c r="X1118" s="564"/>
      <c r="Y1118" s="564"/>
      <c r="Z1118" s="564"/>
      <c r="AA1118" s="564"/>
      <c r="AB1118" s="556"/>
      <c r="AC1118" s="556"/>
      <c r="AD1118" s="556"/>
      <c r="AE1118" s="556"/>
      <c r="AF1118" s="556"/>
      <c r="AG1118" s="556"/>
      <c r="AH1118" s="556"/>
      <c r="AI1118" s="556"/>
      <c r="AJ1118" s="556"/>
      <c r="AK1118" s="556"/>
      <c r="AL1118" s="556"/>
      <c r="AM1118" s="556"/>
      <c r="AN1118" s="556"/>
      <c r="AO1118" s="556"/>
      <c r="AP1118" s="556"/>
      <c r="AQ1118" s="556"/>
      <c r="AR1118" s="556"/>
      <c r="AS1118" s="565"/>
      <c r="AT1118" s="556"/>
    </row>
    <row r="1119" spans="1:46" hidden="1" x14ac:dyDescent="0.45">
      <c r="A1119" s="556"/>
      <c r="B1119" s="556"/>
      <c r="C1119" s="556"/>
      <c r="D1119" s="564"/>
      <c r="E1119" s="556"/>
      <c r="F1119" s="564"/>
      <c r="G1119" s="564"/>
      <c r="H1119" s="564"/>
      <c r="I1119" s="564"/>
      <c r="J1119" s="564"/>
      <c r="K1119" s="564"/>
      <c r="L1119" s="564"/>
      <c r="M1119" s="564"/>
      <c r="N1119" s="564"/>
      <c r="O1119" s="564"/>
      <c r="P1119" s="564"/>
      <c r="Q1119" s="564"/>
      <c r="R1119" s="564"/>
      <c r="S1119" s="564"/>
      <c r="T1119" s="564"/>
      <c r="U1119" s="564"/>
      <c r="V1119" s="564"/>
      <c r="W1119" s="564"/>
      <c r="X1119" s="564"/>
      <c r="Y1119" s="564"/>
      <c r="Z1119" s="564"/>
      <c r="AA1119" s="564"/>
      <c r="AB1119" s="556"/>
      <c r="AC1119" s="556"/>
      <c r="AD1119" s="556"/>
      <c r="AE1119" s="556"/>
      <c r="AF1119" s="556"/>
      <c r="AG1119" s="556"/>
      <c r="AH1119" s="556"/>
      <c r="AI1119" s="556"/>
      <c r="AJ1119" s="556"/>
      <c r="AK1119" s="556"/>
      <c r="AL1119" s="556"/>
      <c r="AM1119" s="556"/>
      <c r="AN1119" s="556"/>
      <c r="AO1119" s="556"/>
      <c r="AP1119" s="556"/>
      <c r="AQ1119" s="556"/>
      <c r="AR1119" s="556"/>
      <c r="AS1119" s="565"/>
      <c r="AT1119" s="556"/>
    </row>
    <row r="1120" spans="1:46" hidden="1" x14ac:dyDescent="0.45">
      <c r="A1120" s="556"/>
      <c r="B1120" s="556"/>
      <c r="C1120" s="556"/>
      <c r="D1120" s="564"/>
      <c r="E1120" s="556"/>
      <c r="F1120" s="564"/>
      <c r="G1120" s="564"/>
      <c r="H1120" s="564"/>
      <c r="I1120" s="564"/>
      <c r="J1120" s="564"/>
      <c r="K1120" s="564"/>
      <c r="L1120" s="564"/>
      <c r="M1120" s="564"/>
      <c r="N1120" s="564"/>
      <c r="O1120" s="564"/>
      <c r="P1120" s="564"/>
      <c r="Q1120" s="564"/>
      <c r="R1120" s="564"/>
      <c r="S1120" s="564"/>
      <c r="T1120" s="564"/>
      <c r="U1120" s="564"/>
      <c r="V1120" s="564"/>
      <c r="W1120" s="564"/>
      <c r="X1120" s="564"/>
      <c r="Y1120" s="564"/>
      <c r="Z1120" s="564"/>
      <c r="AA1120" s="564"/>
      <c r="AB1120" s="556"/>
      <c r="AC1120" s="556"/>
      <c r="AD1120" s="556"/>
      <c r="AE1120" s="556"/>
      <c r="AF1120" s="556"/>
      <c r="AG1120" s="556"/>
      <c r="AH1120" s="556"/>
      <c r="AI1120" s="556"/>
      <c r="AJ1120" s="556"/>
      <c r="AK1120" s="556"/>
      <c r="AL1120" s="556"/>
      <c r="AM1120" s="556"/>
      <c r="AN1120" s="556"/>
      <c r="AO1120" s="556"/>
      <c r="AP1120" s="556"/>
      <c r="AQ1120" s="556"/>
      <c r="AR1120" s="556"/>
      <c r="AS1120" s="565"/>
      <c r="AT1120" s="556"/>
    </row>
    <row r="1121" spans="1:46" hidden="1" x14ac:dyDescent="0.45">
      <c r="A1121" s="556"/>
      <c r="B1121" s="556"/>
      <c r="C1121" s="556"/>
      <c r="D1121" s="564"/>
      <c r="E1121" s="556"/>
      <c r="F1121" s="564"/>
      <c r="G1121" s="564"/>
      <c r="H1121" s="564"/>
      <c r="I1121" s="564"/>
      <c r="J1121" s="564"/>
      <c r="K1121" s="564"/>
      <c r="L1121" s="564"/>
      <c r="M1121" s="564"/>
      <c r="N1121" s="564"/>
      <c r="O1121" s="564"/>
      <c r="P1121" s="564"/>
      <c r="Q1121" s="564"/>
      <c r="R1121" s="564"/>
      <c r="S1121" s="564"/>
      <c r="T1121" s="564"/>
      <c r="U1121" s="564"/>
      <c r="V1121" s="564"/>
      <c r="W1121" s="564"/>
      <c r="X1121" s="564"/>
      <c r="Y1121" s="564"/>
      <c r="Z1121" s="564"/>
      <c r="AA1121" s="564"/>
      <c r="AB1121" s="556"/>
      <c r="AC1121" s="556"/>
      <c r="AD1121" s="556"/>
      <c r="AE1121" s="556"/>
      <c r="AF1121" s="556"/>
      <c r="AG1121" s="556"/>
      <c r="AH1121" s="556"/>
      <c r="AI1121" s="556"/>
      <c r="AJ1121" s="556"/>
      <c r="AK1121" s="556"/>
      <c r="AL1121" s="556"/>
      <c r="AM1121" s="556"/>
      <c r="AN1121" s="556"/>
      <c r="AO1121" s="556"/>
      <c r="AP1121" s="556"/>
      <c r="AQ1121" s="556"/>
      <c r="AR1121" s="556"/>
      <c r="AS1121" s="565"/>
      <c r="AT1121" s="556"/>
    </row>
    <row r="1122" spans="1:46" hidden="1" x14ac:dyDescent="0.45">
      <c r="A1122" s="556"/>
      <c r="B1122" s="556"/>
      <c r="C1122" s="556"/>
      <c r="D1122" s="564"/>
      <c r="E1122" s="556"/>
      <c r="F1122" s="564"/>
      <c r="G1122" s="564"/>
      <c r="H1122" s="564"/>
      <c r="I1122" s="564"/>
      <c r="J1122" s="564"/>
      <c r="K1122" s="564"/>
      <c r="L1122" s="564"/>
      <c r="M1122" s="564"/>
      <c r="N1122" s="564"/>
      <c r="O1122" s="564"/>
      <c r="P1122" s="564"/>
      <c r="Q1122" s="564"/>
      <c r="R1122" s="564"/>
      <c r="S1122" s="564"/>
      <c r="T1122" s="564"/>
      <c r="U1122" s="564"/>
      <c r="V1122" s="564"/>
      <c r="W1122" s="564"/>
      <c r="X1122" s="564"/>
      <c r="Y1122" s="564"/>
      <c r="Z1122" s="564"/>
      <c r="AA1122" s="564"/>
      <c r="AB1122" s="556"/>
      <c r="AC1122" s="556"/>
      <c r="AD1122" s="556"/>
      <c r="AE1122" s="556"/>
      <c r="AF1122" s="556"/>
      <c r="AG1122" s="556"/>
      <c r="AH1122" s="556"/>
      <c r="AI1122" s="556"/>
      <c r="AJ1122" s="556"/>
      <c r="AK1122" s="556"/>
      <c r="AL1122" s="556"/>
      <c r="AM1122" s="556"/>
      <c r="AN1122" s="556"/>
      <c r="AO1122" s="556"/>
      <c r="AP1122" s="556"/>
      <c r="AQ1122" s="556"/>
      <c r="AR1122" s="556"/>
      <c r="AS1122" s="565"/>
      <c r="AT1122" s="556"/>
    </row>
    <row r="1123" spans="1:46" hidden="1" x14ac:dyDescent="0.45">
      <c r="A1123" s="556"/>
      <c r="B1123" s="556"/>
      <c r="C1123" s="556"/>
      <c r="D1123" s="564"/>
      <c r="E1123" s="556"/>
      <c r="F1123" s="564"/>
      <c r="G1123" s="564"/>
      <c r="H1123" s="564"/>
      <c r="I1123" s="564"/>
      <c r="J1123" s="564"/>
      <c r="K1123" s="564"/>
      <c r="L1123" s="564"/>
      <c r="M1123" s="564"/>
      <c r="N1123" s="564"/>
      <c r="O1123" s="564"/>
      <c r="P1123" s="564"/>
      <c r="Q1123" s="564"/>
      <c r="R1123" s="564"/>
      <c r="S1123" s="564"/>
      <c r="T1123" s="564"/>
      <c r="U1123" s="564"/>
      <c r="V1123" s="564"/>
      <c r="W1123" s="564"/>
      <c r="X1123" s="564"/>
      <c r="Y1123" s="564"/>
      <c r="Z1123" s="564"/>
      <c r="AA1123" s="564"/>
      <c r="AB1123" s="556"/>
      <c r="AC1123" s="556"/>
      <c r="AD1123" s="556"/>
      <c r="AE1123" s="556"/>
      <c r="AF1123" s="556"/>
      <c r="AG1123" s="556"/>
      <c r="AH1123" s="556"/>
      <c r="AI1123" s="556"/>
      <c r="AJ1123" s="556"/>
      <c r="AK1123" s="556"/>
      <c r="AL1123" s="556"/>
      <c r="AM1123" s="556"/>
      <c r="AN1123" s="556"/>
      <c r="AO1123" s="556"/>
      <c r="AP1123" s="556"/>
      <c r="AQ1123" s="556"/>
      <c r="AR1123" s="556"/>
      <c r="AS1123" s="565"/>
      <c r="AT1123" s="556"/>
    </row>
    <row r="1124" spans="1:46" hidden="1" x14ac:dyDescent="0.45">
      <c r="A1124" s="556"/>
      <c r="B1124" s="556"/>
      <c r="C1124" s="556"/>
      <c r="D1124" s="564"/>
      <c r="E1124" s="556"/>
      <c r="F1124" s="564"/>
      <c r="G1124" s="564"/>
      <c r="H1124" s="564"/>
      <c r="I1124" s="564"/>
      <c r="J1124" s="564"/>
      <c r="K1124" s="564"/>
      <c r="L1124" s="564"/>
      <c r="M1124" s="564"/>
      <c r="N1124" s="564"/>
      <c r="O1124" s="564"/>
      <c r="P1124" s="564"/>
      <c r="Q1124" s="564"/>
      <c r="R1124" s="564"/>
      <c r="S1124" s="564"/>
      <c r="T1124" s="564"/>
      <c r="U1124" s="564"/>
      <c r="V1124" s="564"/>
      <c r="W1124" s="564"/>
      <c r="X1124" s="564"/>
      <c r="Y1124" s="564"/>
      <c r="Z1124" s="564"/>
      <c r="AA1124" s="564"/>
      <c r="AB1124" s="556"/>
      <c r="AC1124" s="556"/>
      <c r="AD1124" s="556"/>
      <c r="AE1124" s="556"/>
      <c r="AF1124" s="556"/>
      <c r="AG1124" s="556"/>
      <c r="AH1124" s="556"/>
      <c r="AI1124" s="556"/>
      <c r="AJ1124" s="556"/>
      <c r="AK1124" s="556"/>
      <c r="AL1124" s="556"/>
      <c r="AM1124" s="556"/>
      <c r="AN1124" s="556"/>
      <c r="AO1124" s="556"/>
      <c r="AP1124" s="556"/>
      <c r="AQ1124" s="556"/>
      <c r="AR1124" s="556"/>
      <c r="AS1124" s="565"/>
      <c r="AT1124" s="556"/>
    </row>
    <row r="1125" spans="1:46" hidden="1" x14ac:dyDescent="0.45">
      <c r="A1125" s="556"/>
      <c r="B1125" s="556"/>
      <c r="C1125" s="556"/>
      <c r="D1125" s="564"/>
      <c r="E1125" s="556"/>
      <c r="F1125" s="564"/>
      <c r="G1125" s="564"/>
      <c r="H1125" s="564"/>
      <c r="I1125" s="564"/>
      <c r="J1125" s="564"/>
      <c r="K1125" s="564"/>
      <c r="L1125" s="564"/>
      <c r="M1125" s="564"/>
      <c r="N1125" s="564"/>
      <c r="O1125" s="564"/>
      <c r="P1125" s="564"/>
      <c r="Q1125" s="564"/>
      <c r="R1125" s="564"/>
      <c r="S1125" s="564"/>
      <c r="T1125" s="564"/>
      <c r="U1125" s="564"/>
      <c r="V1125" s="564"/>
      <c r="W1125" s="564"/>
      <c r="X1125" s="564"/>
      <c r="Y1125" s="564"/>
      <c r="Z1125" s="564"/>
      <c r="AA1125" s="564"/>
      <c r="AB1125" s="556"/>
      <c r="AC1125" s="556"/>
      <c r="AD1125" s="556"/>
      <c r="AE1125" s="556"/>
      <c r="AF1125" s="556"/>
      <c r="AG1125" s="556"/>
      <c r="AH1125" s="556"/>
      <c r="AI1125" s="556"/>
      <c r="AJ1125" s="556"/>
      <c r="AK1125" s="556"/>
      <c r="AL1125" s="556"/>
      <c r="AM1125" s="556"/>
      <c r="AN1125" s="556"/>
      <c r="AO1125" s="556"/>
      <c r="AP1125" s="556"/>
      <c r="AQ1125" s="556"/>
      <c r="AR1125" s="556"/>
      <c r="AS1125" s="565"/>
      <c r="AT1125" s="556"/>
    </row>
    <row r="1126" spans="1:46" hidden="1" x14ac:dyDescent="0.45">
      <c r="A1126" s="556"/>
      <c r="B1126" s="556"/>
      <c r="C1126" s="556"/>
      <c r="D1126" s="564"/>
      <c r="E1126" s="556"/>
      <c r="F1126" s="564"/>
      <c r="G1126" s="564"/>
      <c r="H1126" s="564"/>
      <c r="I1126" s="564"/>
      <c r="J1126" s="564"/>
      <c r="K1126" s="564"/>
      <c r="L1126" s="564"/>
      <c r="M1126" s="564"/>
      <c r="N1126" s="564"/>
      <c r="O1126" s="564"/>
      <c r="P1126" s="564"/>
      <c r="Q1126" s="564"/>
      <c r="R1126" s="564"/>
      <c r="S1126" s="564"/>
      <c r="T1126" s="564"/>
      <c r="U1126" s="564"/>
      <c r="V1126" s="564"/>
      <c r="W1126" s="564"/>
      <c r="X1126" s="564"/>
      <c r="Y1126" s="564"/>
      <c r="Z1126" s="564"/>
      <c r="AA1126" s="564"/>
      <c r="AB1126" s="556"/>
      <c r="AC1126" s="556"/>
      <c r="AD1126" s="556"/>
      <c r="AE1126" s="556"/>
      <c r="AF1126" s="556"/>
      <c r="AG1126" s="556"/>
      <c r="AH1126" s="556"/>
      <c r="AI1126" s="556"/>
      <c r="AJ1126" s="556"/>
      <c r="AK1126" s="556"/>
      <c r="AL1126" s="556"/>
      <c r="AM1126" s="556"/>
      <c r="AN1126" s="556"/>
      <c r="AO1126" s="556"/>
      <c r="AP1126" s="556"/>
      <c r="AQ1126" s="556"/>
      <c r="AR1126" s="556"/>
      <c r="AS1126" s="565"/>
      <c r="AT1126" s="556"/>
    </row>
    <row r="1127" spans="1:46" hidden="1" x14ac:dyDescent="0.45">
      <c r="A1127" s="556"/>
      <c r="B1127" s="556"/>
      <c r="C1127" s="556"/>
      <c r="D1127" s="564"/>
      <c r="E1127" s="556"/>
      <c r="F1127" s="564"/>
      <c r="G1127" s="564"/>
      <c r="H1127" s="564"/>
      <c r="I1127" s="564"/>
      <c r="J1127" s="564"/>
      <c r="K1127" s="564"/>
      <c r="L1127" s="564"/>
      <c r="M1127" s="564"/>
      <c r="N1127" s="564"/>
      <c r="O1127" s="564"/>
      <c r="P1127" s="564"/>
      <c r="Q1127" s="564"/>
      <c r="R1127" s="564"/>
      <c r="S1127" s="564"/>
      <c r="T1127" s="564"/>
      <c r="U1127" s="564"/>
      <c r="V1127" s="564"/>
      <c r="W1127" s="564"/>
      <c r="X1127" s="564"/>
      <c r="Y1127" s="564"/>
      <c r="Z1127" s="564"/>
      <c r="AA1127" s="564"/>
      <c r="AB1127" s="556"/>
      <c r="AC1127" s="556"/>
      <c r="AD1127" s="556"/>
      <c r="AE1127" s="556"/>
      <c r="AF1127" s="556"/>
      <c r="AG1127" s="556"/>
      <c r="AH1127" s="556"/>
      <c r="AI1127" s="556"/>
      <c r="AJ1127" s="556"/>
      <c r="AK1127" s="556"/>
      <c r="AL1127" s="556"/>
      <c r="AM1127" s="556"/>
      <c r="AN1127" s="556"/>
      <c r="AO1127" s="556"/>
      <c r="AP1127" s="556"/>
      <c r="AQ1127" s="556"/>
      <c r="AR1127" s="556"/>
      <c r="AS1127" s="565"/>
      <c r="AT1127" s="556"/>
    </row>
    <row r="1128" spans="1:46" hidden="1" x14ac:dyDescent="0.45">
      <c r="A1128" s="556"/>
      <c r="B1128" s="556"/>
      <c r="C1128" s="556"/>
      <c r="D1128" s="564"/>
      <c r="E1128" s="556"/>
      <c r="F1128" s="564"/>
      <c r="G1128" s="564"/>
      <c r="H1128" s="564"/>
      <c r="I1128" s="564"/>
      <c r="J1128" s="564"/>
      <c r="K1128" s="564"/>
      <c r="L1128" s="564"/>
      <c r="M1128" s="564"/>
      <c r="N1128" s="564"/>
      <c r="O1128" s="564"/>
      <c r="P1128" s="564"/>
      <c r="Q1128" s="564"/>
      <c r="R1128" s="564"/>
      <c r="S1128" s="564"/>
      <c r="T1128" s="564"/>
      <c r="U1128" s="564"/>
      <c r="V1128" s="564"/>
      <c r="W1128" s="564"/>
      <c r="X1128" s="564"/>
      <c r="Y1128" s="564"/>
      <c r="Z1128" s="564"/>
      <c r="AA1128" s="564"/>
      <c r="AB1128" s="556"/>
      <c r="AC1128" s="556"/>
      <c r="AD1128" s="556"/>
      <c r="AE1128" s="556"/>
      <c r="AF1128" s="556"/>
      <c r="AG1128" s="556"/>
      <c r="AH1128" s="556"/>
      <c r="AI1128" s="556"/>
      <c r="AJ1128" s="556"/>
      <c r="AK1128" s="556"/>
      <c r="AL1128" s="556"/>
      <c r="AM1128" s="556"/>
      <c r="AN1128" s="556"/>
      <c r="AO1128" s="556"/>
      <c r="AP1128" s="556"/>
      <c r="AQ1128" s="556"/>
      <c r="AR1128" s="556"/>
      <c r="AS1128" s="565"/>
      <c r="AT1128" s="556"/>
    </row>
    <row r="1129" spans="1:46" hidden="1" x14ac:dyDescent="0.45">
      <c r="A1129" s="556"/>
      <c r="B1129" s="556"/>
      <c r="C1129" s="556"/>
      <c r="D1129" s="564"/>
      <c r="E1129" s="556"/>
      <c r="F1129" s="564"/>
      <c r="G1129" s="564"/>
      <c r="H1129" s="564"/>
      <c r="I1129" s="564"/>
      <c r="J1129" s="564"/>
      <c r="K1129" s="564"/>
      <c r="L1129" s="564"/>
      <c r="M1129" s="564"/>
      <c r="N1129" s="564"/>
      <c r="O1129" s="564"/>
      <c r="P1129" s="564"/>
      <c r="Q1129" s="564"/>
      <c r="R1129" s="564"/>
      <c r="S1129" s="564"/>
      <c r="T1129" s="564"/>
      <c r="U1129" s="564"/>
      <c r="V1129" s="564"/>
      <c r="W1129" s="564"/>
      <c r="X1129" s="564"/>
      <c r="Y1129" s="564"/>
      <c r="Z1129" s="564"/>
      <c r="AA1129" s="564"/>
      <c r="AB1129" s="556"/>
      <c r="AC1129" s="556"/>
      <c r="AD1129" s="556"/>
      <c r="AE1129" s="556"/>
      <c r="AF1129" s="556"/>
      <c r="AG1129" s="556"/>
      <c r="AH1129" s="556"/>
      <c r="AI1129" s="556"/>
      <c r="AJ1129" s="556"/>
      <c r="AK1129" s="556"/>
      <c r="AL1129" s="556"/>
      <c r="AM1129" s="556"/>
      <c r="AN1129" s="556"/>
      <c r="AO1129" s="556"/>
      <c r="AP1129" s="556"/>
      <c r="AQ1129" s="556"/>
      <c r="AR1129" s="556"/>
      <c r="AS1129" s="565"/>
      <c r="AT1129" s="556"/>
    </row>
    <row r="1130" spans="1:46" hidden="1" x14ac:dyDescent="0.45">
      <c r="A1130" s="556"/>
      <c r="B1130" s="556"/>
      <c r="C1130" s="556"/>
      <c r="D1130" s="564"/>
      <c r="E1130" s="556"/>
      <c r="F1130" s="564"/>
      <c r="G1130" s="564"/>
      <c r="H1130" s="564"/>
      <c r="I1130" s="564"/>
      <c r="J1130" s="564"/>
      <c r="K1130" s="564"/>
      <c r="L1130" s="564"/>
      <c r="M1130" s="564"/>
      <c r="N1130" s="564"/>
      <c r="O1130" s="564"/>
      <c r="P1130" s="564"/>
      <c r="Q1130" s="564"/>
      <c r="R1130" s="564"/>
      <c r="S1130" s="564"/>
      <c r="T1130" s="564"/>
      <c r="U1130" s="564"/>
      <c r="V1130" s="564"/>
      <c r="W1130" s="564"/>
      <c r="X1130" s="564"/>
      <c r="Y1130" s="564"/>
      <c r="Z1130" s="564"/>
      <c r="AA1130" s="564"/>
      <c r="AB1130" s="556"/>
      <c r="AC1130" s="556"/>
      <c r="AD1130" s="556"/>
      <c r="AE1130" s="556"/>
      <c r="AF1130" s="556"/>
      <c r="AG1130" s="556"/>
      <c r="AH1130" s="556"/>
      <c r="AI1130" s="556"/>
      <c r="AJ1130" s="556"/>
      <c r="AK1130" s="556"/>
      <c r="AL1130" s="556"/>
      <c r="AM1130" s="556"/>
      <c r="AN1130" s="556"/>
      <c r="AO1130" s="556"/>
      <c r="AP1130" s="556"/>
      <c r="AQ1130" s="556"/>
      <c r="AR1130" s="556"/>
      <c r="AS1130" s="565"/>
      <c r="AT1130" s="556"/>
    </row>
    <row r="1131" spans="1:46" hidden="1" x14ac:dyDescent="0.45">
      <c r="A1131" s="556"/>
      <c r="B1131" s="556"/>
      <c r="C1131" s="556"/>
      <c r="D1131" s="564"/>
      <c r="E1131" s="556"/>
      <c r="F1131" s="564"/>
      <c r="G1131" s="564"/>
      <c r="H1131" s="564"/>
      <c r="I1131" s="564"/>
      <c r="J1131" s="564"/>
      <c r="K1131" s="564"/>
      <c r="L1131" s="564"/>
      <c r="M1131" s="564"/>
      <c r="N1131" s="564"/>
      <c r="O1131" s="564"/>
      <c r="P1131" s="564"/>
      <c r="Q1131" s="564"/>
      <c r="R1131" s="564"/>
      <c r="S1131" s="564"/>
      <c r="T1131" s="564"/>
      <c r="U1131" s="564"/>
      <c r="V1131" s="564"/>
      <c r="W1131" s="564"/>
      <c r="X1131" s="564"/>
      <c r="Y1131" s="564"/>
      <c r="Z1131" s="564"/>
      <c r="AA1131" s="564"/>
      <c r="AB1131" s="556"/>
      <c r="AC1131" s="556"/>
      <c r="AD1131" s="556"/>
      <c r="AE1131" s="556"/>
      <c r="AF1131" s="556"/>
      <c r="AG1131" s="556"/>
      <c r="AH1131" s="556"/>
      <c r="AI1131" s="556"/>
      <c r="AJ1131" s="556"/>
      <c r="AK1131" s="556"/>
      <c r="AL1131" s="556"/>
      <c r="AM1131" s="556"/>
      <c r="AN1131" s="556"/>
      <c r="AO1131" s="556"/>
      <c r="AP1131" s="556"/>
      <c r="AQ1131" s="556"/>
      <c r="AR1131" s="556"/>
      <c r="AS1131" s="565"/>
      <c r="AT1131" s="556"/>
    </row>
    <row r="1132" spans="1:46" hidden="1" x14ac:dyDescent="0.45">
      <c r="A1132" s="556"/>
      <c r="B1132" s="556"/>
      <c r="C1132" s="556"/>
      <c r="D1132" s="564"/>
      <c r="E1132" s="556"/>
      <c r="F1132" s="564"/>
      <c r="G1132" s="564"/>
      <c r="H1132" s="564"/>
      <c r="I1132" s="564"/>
      <c r="J1132" s="564"/>
      <c r="K1132" s="564"/>
      <c r="L1132" s="564"/>
      <c r="M1132" s="564"/>
      <c r="N1132" s="564"/>
      <c r="O1132" s="564"/>
      <c r="P1132" s="564"/>
      <c r="Q1132" s="564"/>
      <c r="R1132" s="564"/>
      <c r="S1132" s="564"/>
      <c r="T1132" s="564"/>
      <c r="U1132" s="564"/>
      <c r="V1132" s="564"/>
      <c r="W1132" s="564"/>
      <c r="X1132" s="564"/>
      <c r="Y1132" s="564"/>
      <c r="Z1132" s="564"/>
      <c r="AA1132" s="564"/>
      <c r="AB1132" s="556"/>
      <c r="AC1132" s="556"/>
      <c r="AD1132" s="556"/>
      <c r="AE1132" s="556"/>
      <c r="AF1132" s="556"/>
      <c r="AG1132" s="556"/>
      <c r="AH1132" s="556"/>
      <c r="AI1132" s="556"/>
      <c r="AJ1132" s="556"/>
      <c r="AK1132" s="556"/>
      <c r="AL1132" s="556"/>
      <c r="AM1132" s="556"/>
      <c r="AN1132" s="556"/>
      <c r="AO1132" s="556"/>
      <c r="AP1132" s="556"/>
      <c r="AQ1132" s="556"/>
      <c r="AR1132" s="556"/>
      <c r="AS1132" s="565"/>
      <c r="AT1132" s="556"/>
    </row>
    <row r="1133" spans="1:46" hidden="1" x14ac:dyDescent="0.45">
      <c r="A1133" s="556"/>
      <c r="B1133" s="556"/>
      <c r="C1133" s="556"/>
      <c r="D1133" s="564"/>
      <c r="E1133" s="556"/>
      <c r="F1133" s="564"/>
      <c r="G1133" s="564"/>
      <c r="H1133" s="564"/>
      <c r="I1133" s="564"/>
      <c r="J1133" s="564"/>
      <c r="K1133" s="564"/>
      <c r="L1133" s="564"/>
      <c r="M1133" s="564"/>
      <c r="N1133" s="564"/>
      <c r="O1133" s="564"/>
      <c r="P1133" s="564"/>
      <c r="Q1133" s="564"/>
      <c r="R1133" s="564"/>
      <c r="S1133" s="564"/>
      <c r="T1133" s="564"/>
      <c r="U1133" s="564"/>
      <c r="V1133" s="564"/>
      <c r="W1133" s="564"/>
      <c r="X1133" s="564"/>
      <c r="Y1133" s="564"/>
      <c r="Z1133" s="564"/>
      <c r="AA1133" s="564"/>
      <c r="AB1133" s="556"/>
      <c r="AC1133" s="556"/>
      <c r="AD1133" s="556"/>
      <c r="AE1133" s="556"/>
      <c r="AF1133" s="556"/>
      <c r="AG1133" s="556"/>
      <c r="AH1133" s="556"/>
      <c r="AI1133" s="556"/>
      <c r="AJ1133" s="556"/>
      <c r="AK1133" s="556"/>
      <c r="AL1133" s="556"/>
      <c r="AM1133" s="556"/>
      <c r="AN1133" s="556"/>
      <c r="AO1133" s="556"/>
      <c r="AP1133" s="556"/>
      <c r="AQ1133" s="556"/>
      <c r="AR1133" s="556"/>
      <c r="AS1133" s="565"/>
      <c r="AT1133" s="556"/>
    </row>
    <row r="1134" spans="1:46" hidden="1" x14ac:dyDescent="0.45">
      <c r="A1134" s="556"/>
      <c r="B1134" s="556"/>
      <c r="C1134" s="556"/>
      <c r="D1134" s="564"/>
      <c r="E1134" s="556"/>
      <c r="F1134" s="564"/>
      <c r="G1134" s="564"/>
      <c r="H1134" s="564"/>
      <c r="I1134" s="564"/>
      <c r="J1134" s="564"/>
      <c r="K1134" s="564"/>
      <c r="L1134" s="564"/>
      <c r="M1134" s="564"/>
      <c r="N1134" s="564"/>
      <c r="O1134" s="564"/>
      <c r="P1134" s="564"/>
      <c r="Q1134" s="564"/>
      <c r="R1134" s="564"/>
      <c r="S1134" s="564"/>
      <c r="T1134" s="564"/>
      <c r="U1134" s="564"/>
      <c r="V1134" s="564"/>
      <c r="W1134" s="564"/>
      <c r="X1134" s="564"/>
      <c r="Y1134" s="564"/>
      <c r="Z1134" s="564"/>
      <c r="AA1134" s="564"/>
      <c r="AB1134" s="556"/>
      <c r="AC1134" s="556"/>
      <c r="AD1134" s="556"/>
      <c r="AE1134" s="556"/>
      <c r="AF1134" s="556"/>
      <c r="AG1134" s="556"/>
      <c r="AH1134" s="556"/>
      <c r="AI1134" s="556"/>
      <c r="AJ1134" s="556"/>
      <c r="AK1134" s="556"/>
      <c r="AL1134" s="556"/>
      <c r="AM1134" s="556"/>
      <c r="AN1134" s="556"/>
      <c r="AO1134" s="556"/>
      <c r="AP1134" s="556"/>
      <c r="AQ1134" s="556"/>
      <c r="AR1134" s="556"/>
      <c r="AS1134" s="565"/>
      <c r="AT1134" s="556"/>
    </row>
    <row r="1135" spans="1:46" hidden="1" x14ac:dyDescent="0.45">
      <c r="A1135" s="556"/>
      <c r="B1135" s="556"/>
      <c r="C1135" s="556"/>
      <c r="D1135" s="564"/>
      <c r="E1135" s="556"/>
      <c r="F1135" s="564"/>
      <c r="G1135" s="564"/>
      <c r="H1135" s="564"/>
      <c r="I1135" s="564"/>
      <c r="J1135" s="564"/>
      <c r="K1135" s="564"/>
      <c r="L1135" s="564"/>
      <c r="M1135" s="564"/>
      <c r="N1135" s="564"/>
      <c r="O1135" s="564"/>
      <c r="P1135" s="564"/>
      <c r="Q1135" s="564"/>
      <c r="R1135" s="564"/>
      <c r="S1135" s="564"/>
      <c r="T1135" s="564"/>
      <c r="U1135" s="564"/>
      <c r="V1135" s="564"/>
      <c r="W1135" s="564"/>
      <c r="X1135" s="564"/>
      <c r="Y1135" s="564"/>
      <c r="Z1135" s="564"/>
      <c r="AA1135" s="564"/>
      <c r="AB1135" s="556"/>
      <c r="AC1135" s="556"/>
      <c r="AD1135" s="556"/>
      <c r="AE1135" s="556"/>
      <c r="AF1135" s="556"/>
      <c r="AG1135" s="556"/>
      <c r="AH1135" s="556"/>
      <c r="AI1135" s="556"/>
      <c r="AJ1135" s="556"/>
      <c r="AK1135" s="556"/>
      <c r="AL1135" s="556"/>
      <c r="AM1135" s="556"/>
      <c r="AN1135" s="556"/>
      <c r="AO1135" s="556"/>
      <c r="AP1135" s="556"/>
      <c r="AQ1135" s="556"/>
      <c r="AR1135" s="556"/>
      <c r="AS1135" s="565"/>
      <c r="AT1135" s="556"/>
    </row>
    <row r="1136" spans="1:46" hidden="1" x14ac:dyDescent="0.45">
      <c r="A1136" s="556"/>
      <c r="B1136" s="556"/>
      <c r="C1136" s="556"/>
      <c r="D1136" s="564"/>
      <c r="E1136" s="556"/>
      <c r="F1136" s="564"/>
      <c r="G1136" s="564"/>
      <c r="H1136" s="564"/>
      <c r="I1136" s="564"/>
      <c r="J1136" s="564"/>
      <c r="K1136" s="564"/>
      <c r="L1136" s="564"/>
      <c r="M1136" s="564"/>
      <c r="N1136" s="564"/>
      <c r="O1136" s="564"/>
      <c r="P1136" s="564"/>
      <c r="Q1136" s="564"/>
      <c r="R1136" s="564"/>
      <c r="S1136" s="564"/>
      <c r="T1136" s="564"/>
      <c r="U1136" s="564"/>
      <c r="V1136" s="564"/>
      <c r="W1136" s="564"/>
      <c r="X1136" s="564"/>
      <c r="Y1136" s="564"/>
      <c r="Z1136" s="564"/>
      <c r="AA1136" s="564"/>
      <c r="AB1136" s="556"/>
      <c r="AC1136" s="556"/>
      <c r="AD1136" s="556"/>
      <c r="AE1136" s="556"/>
      <c r="AF1136" s="556"/>
      <c r="AG1136" s="556"/>
      <c r="AH1136" s="556"/>
      <c r="AI1136" s="556"/>
      <c r="AJ1136" s="556"/>
      <c r="AK1136" s="556"/>
      <c r="AL1136" s="556"/>
      <c r="AM1136" s="556"/>
      <c r="AN1136" s="556"/>
      <c r="AO1136" s="556"/>
      <c r="AP1136" s="556"/>
      <c r="AQ1136" s="556"/>
      <c r="AR1136" s="556"/>
      <c r="AS1136" s="565"/>
      <c r="AT1136" s="556"/>
    </row>
    <row r="1137" spans="1:46" hidden="1" x14ac:dyDescent="0.45">
      <c r="A1137" s="556"/>
      <c r="B1137" s="556"/>
      <c r="C1137" s="556"/>
      <c r="D1137" s="564"/>
      <c r="E1137" s="556"/>
      <c r="F1137" s="564"/>
      <c r="G1137" s="564"/>
      <c r="H1137" s="564"/>
      <c r="I1137" s="564"/>
      <c r="J1137" s="564"/>
      <c r="K1137" s="564"/>
      <c r="L1137" s="564"/>
      <c r="M1137" s="564"/>
      <c r="N1137" s="564"/>
      <c r="O1137" s="564"/>
      <c r="P1137" s="564"/>
      <c r="Q1137" s="564"/>
      <c r="R1137" s="564"/>
      <c r="S1137" s="564"/>
      <c r="T1137" s="564"/>
      <c r="U1137" s="564"/>
      <c r="V1137" s="564"/>
      <c r="W1137" s="564"/>
      <c r="X1137" s="564"/>
      <c r="Y1137" s="564"/>
      <c r="Z1137" s="564"/>
      <c r="AA1137" s="564"/>
      <c r="AB1137" s="556"/>
      <c r="AC1137" s="556"/>
      <c r="AD1137" s="556"/>
      <c r="AE1137" s="556"/>
      <c r="AF1137" s="556"/>
      <c r="AG1137" s="556"/>
      <c r="AH1137" s="556"/>
      <c r="AI1137" s="556"/>
      <c r="AJ1137" s="556"/>
      <c r="AK1137" s="556"/>
      <c r="AL1137" s="556"/>
      <c r="AM1137" s="556"/>
      <c r="AN1137" s="556"/>
      <c r="AO1137" s="556"/>
      <c r="AP1137" s="556"/>
      <c r="AQ1137" s="556"/>
      <c r="AR1137" s="556"/>
      <c r="AS1137" s="565"/>
      <c r="AT1137" s="556"/>
    </row>
    <row r="1138" spans="1:46" hidden="1" x14ac:dyDescent="0.45">
      <c r="A1138" s="556"/>
      <c r="B1138" s="556"/>
      <c r="C1138" s="556"/>
      <c r="D1138" s="564"/>
      <c r="E1138" s="556"/>
      <c r="F1138" s="564"/>
      <c r="G1138" s="564"/>
      <c r="H1138" s="564"/>
      <c r="I1138" s="564"/>
      <c r="J1138" s="564"/>
      <c r="K1138" s="564"/>
      <c r="L1138" s="564"/>
      <c r="M1138" s="564"/>
      <c r="N1138" s="564"/>
      <c r="O1138" s="564"/>
      <c r="P1138" s="564"/>
      <c r="Q1138" s="564"/>
      <c r="R1138" s="564"/>
      <c r="S1138" s="564"/>
      <c r="T1138" s="564"/>
      <c r="U1138" s="564"/>
      <c r="V1138" s="564"/>
      <c r="W1138" s="564"/>
      <c r="X1138" s="564"/>
      <c r="Y1138" s="564"/>
      <c r="Z1138" s="564"/>
      <c r="AA1138" s="564"/>
      <c r="AB1138" s="556"/>
      <c r="AC1138" s="556"/>
      <c r="AD1138" s="556"/>
      <c r="AE1138" s="556"/>
      <c r="AF1138" s="556"/>
      <c r="AG1138" s="556"/>
      <c r="AH1138" s="556"/>
      <c r="AI1138" s="556"/>
      <c r="AJ1138" s="556"/>
      <c r="AK1138" s="556"/>
      <c r="AL1138" s="556"/>
      <c r="AM1138" s="556"/>
      <c r="AN1138" s="556"/>
      <c r="AO1138" s="556"/>
      <c r="AP1138" s="556"/>
      <c r="AQ1138" s="556"/>
      <c r="AR1138" s="556"/>
      <c r="AS1138" s="565"/>
      <c r="AT1138" s="556"/>
    </row>
    <row r="1139" spans="1:46" hidden="1" x14ac:dyDescent="0.45">
      <c r="A1139" s="556"/>
      <c r="B1139" s="556"/>
      <c r="C1139" s="556"/>
      <c r="D1139" s="564"/>
      <c r="E1139" s="556"/>
      <c r="F1139" s="564"/>
      <c r="G1139" s="564"/>
      <c r="H1139" s="564"/>
      <c r="I1139" s="564"/>
      <c r="J1139" s="564"/>
      <c r="K1139" s="564"/>
      <c r="L1139" s="564"/>
      <c r="M1139" s="564"/>
      <c r="N1139" s="564"/>
      <c r="O1139" s="564"/>
      <c r="P1139" s="564"/>
      <c r="Q1139" s="564"/>
      <c r="R1139" s="564"/>
      <c r="S1139" s="564"/>
      <c r="T1139" s="564"/>
      <c r="U1139" s="564"/>
      <c r="V1139" s="564"/>
      <c r="W1139" s="564"/>
      <c r="X1139" s="564"/>
      <c r="Y1139" s="564"/>
      <c r="Z1139" s="564"/>
      <c r="AA1139" s="564"/>
      <c r="AB1139" s="556"/>
      <c r="AC1139" s="556"/>
      <c r="AD1139" s="556"/>
      <c r="AE1139" s="556"/>
      <c r="AF1139" s="556"/>
      <c r="AG1139" s="556"/>
      <c r="AH1139" s="556"/>
      <c r="AI1139" s="556"/>
      <c r="AJ1139" s="556"/>
      <c r="AK1139" s="556"/>
      <c r="AL1139" s="556"/>
      <c r="AM1139" s="556"/>
      <c r="AN1139" s="556"/>
      <c r="AO1139" s="556"/>
      <c r="AP1139" s="556"/>
      <c r="AQ1139" s="556"/>
      <c r="AR1139" s="556"/>
      <c r="AS1139" s="565"/>
      <c r="AT1139" s="556"/>
    </row>
    <row r="1140" spans="1:46" hidden="1" x14ac:dyDescent="0.45">
      <c r="A1140" s="556"/>
      <c r="B1140" s="556"/>
      <c r="C1140" s="556"/>
      <c r="D1140" s="564"/>
      <c r="E1140" s="556"/>
      <c r="F1140" s="564"/>
      <c r="G1140" s="564"/>
      <c r="H1140" s="564"/>
      <c r="I1140" s="564"/>
      <c r="J1140" s="564"/>
      <c r="K1140" s="564"/>
      <c r="L1140" s="564"/>
      <c r="M1140" s="564"/>
      <c r="N1140" s="564"/>
      <c r="O1140" s="564"/>
      <c r="P1140" s="564"/>
      <c r="Q1140" s="564"/>
      <c r="R1140" s="564"/>
      <c r="S1140" s="564"/>
      <c r="T1140" s="564"/>
      <c r="U1140" s="564"/>
      <c r="V1140" s="564"/>
      <c r="W1140" s="564"/>
      <c r="X1140" s="564"/>
      <c r="Y1140" s="564"/>
      <c r="Z1140" s="564"/>
      <c r="AA1140" s="564"/>
      <c r="AB1140" s="556"/>
      <c r="AC1140" s="556"/>
      <c r="AD1140" s="556"/>
      <c r="AE1140" s="556"/>
      <c r="AF1140" s="556"/>
      <c r="AG1140" s="556"/>
      <c r="AH1140" s="556"/>
      <c r="AI1140" s="556"/>
      <c r="AJ1140" s="556"/>
      <c r="AK1140" s="556"/>
      <c r="AL1140" s="556"/>
      <c r="AM1140" s="556"/>
      <c r="AN1140" s="556"/>
      <c r="AO1140" s="556"/>
      <c r="AP1140" s="556"/>
      <c r="AQ1140" s="556"/>
      <c r="AR1140" s="556"/>
      <c r="AS1140" s="565"/>
      <c r="AT1140" s="556"/>
    </row>
    <row r="1141" spans="1:46" hidden="1" x14ac:dyDescent="0.45">
      <c r="A1141" s="556"/>
      <c r="B1141" s="556"/>
      <c r="C1141" s="556"/>
      <c r="D1141" s="564"/>
      <c r="E1141" s="556"/>
      <c r="F1141" s="564"/>
      <c r="G1141" s="564"/>
      <c r="H1141" s="564"/>
      <c r="I1141" s="564"/>
      <c r="J1141" s="564"/>
      <c r="K1141" s="564"/>
      <c r="L1141" s="564"/>
      <c r="M1141" s="564"/>
      <c r="N1141" s="564"/>
      <c r="O1141" s="564"/>
      <c r="P1141" s="564"/>
      <c r="Q1141" s="564"/>
      <c r="R1141" s="564"/>
      <c r="S1141" s="564"/>
      <c r="T1141" s="564"/>
      <c r="U1141" s="564"/>
      <c r="V1141" s="564"/>
      <c r="W1141" s="564"/>
      <c r="X1141" s="564"/>
      <c r="Y1141" s="564"/>
      <c r="Z1141" s="564"/>
      <c r="AA1141" s="564"/>
      <c r="AB1141" s="556"/>
      <c r="AC1141" s="556"/>
      <c r="AD1141" s="556"/>
      <c r="AE1141" s="556"/>
      <c r="AF1141" s="556"/>
      <c r="AG1141" s="556"/>
      <c r="AH1141" s="556"/>
      <c r="AI1141" s="556"/>
      <c r="AJ1141" s="556"/>
      <c r="AK1141" s="556"/>
      <c r="AL1141" s="556"/>
      <c r="AM1141" s="556"/>
      <c r="AN1141" s="556"/>
      <c r="AO1141" s="556"/>
      <c r="AP1141" s="556"/>
      <c r="AQ1141" s="556"/>
      <c r="AR1141" s="556"/>
      <c r="AS1141" s="565"/>
      <c r="AT1141" s="556"/>
    </row>
    <row r="1142" spans="1:46" hidden="1" x14ac:dyDescent="0.45">
      <c r="A1142" s="556"/>
      <c r="B1142" s="556"/>
      <c r="C1142" s="556"/>
      <c r="D1142" s="564"/>
      <c r="E1142" s="556"/>
      <c r="F1142" s="564"/>
      <c r="G1142" s="564"/>
      <c r="H1142" s="564"/>
      <c r="I1142" s="564"/>
      <c r="J1142" s="564"/>
      <c r="K1142" s="564"/>
      <c r="L1142" s="564"/>
      <c r="M1142" s="564"/>
      <c r="N1142" s="564"/>
      <c r="O1142" s="564"/>
      <c r="P1142" s="564"/>
      <c r="Q1142" s="564"/>
      <c r="R1142" s="564"/>
      <c r="S1142" s="564"/>
      <c r="T1142" s="564"/>
      <c r="U1142" s="564"/>
      <c r="V1142" s="564"/>
      <c r="W1142" s="564"/>
      <c r="X1142" s="564"/>
      <c r="Y1142" s="564"/>
      <c r="Z1142" s="564"/>
      <c r="AA1142" s="564"/>
      <c r="AB1142" s="556"/>
      <c r="AC1142" s="556"/>
      <c r="AD1142" s="556"/>
      <c r="AE1142" s="556"/>
      <c r="AF1142" s="556"/>
      <c r="AG1142" s="556"/>
      <c r="AH1142" s="556"/>
      <c r="AI1142" s="556"/>
      <c r="AJ1142" s="556"/>
      <c r="AK1142" s="556"/>
      <c r="AL1142" s="556"/>
      <c r="AM1142" s="556"/>
      <c r="AN1142" s="556"/>
      <c r="AO1142" s="556"/>
      <c r="AP1142" s="556"/>
      <c r="AQ1142" s="556"/>
      <c r="AR1142" s="556"/>
      <c r="AS1142" s="565"/>
      <c r="AT1142" s="556"/>
    </row>
    <row r="1143" spans="1:46" hidden="1" x14ac:dyDescent="0.45">
      <c r="A1143" s="556"/>
      <c r="B1143" s="556"/>
      <c r="C1143" s="556"/>
      <c r="D1143" s="564"/>
      <c r="E1143" s="556"/>
      <c r="F1143" s="564"/>
      <c r="G1143" s="564"/>
      <c r="H1143" s="564"/>
      <c r="I1143" s="564"/>
      <c r="J1143" s="564"/>
      <c r="K1143" s="564"/>
      <c r="L1143" s="564"/>
      <c r="M1143" s="564"/>
      <c r="N1143" s="564"/>
      <c r="O1143" s="564"/>
      <c r="P1143" s="564"/>
      <c r="Q1143" s="564"/>
      <c r="R1143" s="564"/>
      <c r="S1143" s="564"/>
      <c r="T1143" s="564"/>
      <c r="U1143" s="564"/>
      <c r="V1143" s="564"/>
      <c r="W1143" s="564"/>
      <c r="X1143" s="564"/>
      <c r="Y1143" s="564"/>
      <c r="Z1143" s="564"/>
      <c r="AA1143" s="564"/>
      <c r="AB1143" s="556"/>
      <c r="AC1143" s="556"/>
      <c r="AD1143" s="556"/>
      <c r="AE1143" s="556"/>
      <c r="AF1143" s="556"/>
      <c r="AG1143" s="556"/>
      <c r="AH1143" s="556"/>
      <c r="AI1143" s="556"/>
      <c r="AJ1143" s="556"/>
      <c r="AK1143" s="556"/>
      <c r="AL1143" s="556"/>
      <c r="AM1143" s="556"/>
      <c r="AN1143" s="556"/>
      <c r="AO1143" s="556"/>
      <c r="AP1143" s="556"/>
      <c r="AQ1143" s="556"/>
      <c r="AR1143" s="556"/>
      <c r="AS1143" s="565"/>
      <c r="AT1143" s="556"/>
    </row>
    <row r="1144" spans="1:46" hidden="1" x14ac:dyDescent="0.45">
      <c r="A1144" s="556"/>
      <c r="B1144" s="556"/>
      <c r="C1144" s="556"/>
      <c r="D1144" s="564"/>
      <c r="E1144" s="556"/>
      <c r="F1144" s="564"/>
      <c r="G1144" s="564"/>
      <c r="H1144" s="564"/>
      <c r="I1144" s="564"/>
      <c r="J1144" s="564"/>
      <c r="K1144" s="564"/>
      <c r="L1144" s="564"/>
      <c r="M1144" s="564"/>
      <c r="N1144" s="564"/>
      <c r="O1144" s="564"/>
      <c r="P1144" s="564"/>
      <c r="Q1144" s="564"/>
      <c r="R1144" s="564"/>
      <c r="S1144" s="564"/>
      <c r="T1144" s="564"/>
      <c r="U1144" s="564"/>
      <c r="V1144" s="564"/>
      <c r="W1144" s="564"/>
      <c r="X1144" s="564"/>
      <c r="Y1144" s="564"/>
      <c r="Z1144" s="564"/>
      <c r="AA1144" s="564"/>
      <c r="AB1144" s="556"/>
      <c r="AC1144" s="556"/>
      <c r="AD1144" s="556"/>
      <c r="AE1144" s="556"/>
      <c r="AF1144" s="556"/>
      <c r="AG1144" s="556"/>
      <c r="AH1144" s="556"/>
      <c r="AI1144" s="556"/>
      <c r="AJ1144" s="556"/>
      <c r="AK1144" s="556"/>
      <c r="AL1144" s="556"/>
      <c r="AM1144" s="556"/>
      <c r="AN1144" s="556"/>
      <c r="AO1144" s="556"/>
      <c r="AP1144" s="556"/>
      <c r="AQ1144" s="556"/>
      <c r="AR1144" s="556"/>
      <c r="AS1144" s="565"/>
      <c r="AT1144" s="556"/>
    </row>
    <row r="1145" spans="1:46" hidden="1" x14ac:dyDescent="0.45">
      <c r="A1145" s="556"/>
      <c r="B1145" s="556"/>
      <c r="C1145" s="556"/>
      <c r="D1145" s="564"/>
      <c r="E1145" s="556"/>
      <c r="F1145" s="564"/>
      <c r="G1145" s="564"/>
      <c r="H1145" s="564"/>
      <c r="I1145" s="564"/>
      <c r="J1145" s="564"/>
      <c r="K1145" s="564"/>
      <c r="L1145" s="564"/>
      <c r="M1145" s="564"/>
      <c r="N1145" s="564"/>
      <c r="O1145" s="564"/>
      <c r="P1145" s="564"/>
      <c r="Q1145" s="564"/>
      <c r="R1145" s="564"/>
      <c r="S1145" s="564"/>
      <c r="T1145" s="564"/>
      <c r="U1145" s="564"/>
      <c r="V1145" s="564"/>
      <c r="W1145" s="564"/>
      <c r="X1145" s="564"/>
      <c r="Y1145" s="564"/>
      <c r="Z1145" s="564"/>
      <c r="AA1145" s="564"/>
      <c r="AB1145" s="556"/>
      <c r="AC1145" s="556"/>
      <c r="AD1145" s="556"/>
      <c r="AE1145" s="556"/>
      <c r="AF1145" s="556"/>
      <c r="AG1145" s="556"/>
      <c r="AH1145" s="556"/>
      <c r="AI1145" s="556"/>
      <c r="AJ1145" s="556"/>
      <c r="AK1145" s="556"/>
      <c r="AL1145" s="556"/>
      <c r="AM1145" s="556"/>
      <c r="AN1145" s="556"/>
      <c r="AO1145" s="556"/>
      <c r="AP1145" s="556"/>
      <c r="AQ1145" s="556"/>
      <c r="AR1145" s="556"/>
      <c r="AS1145" s="565"/>
      <c r="AT1145" s="556"/>
    </row>
    <row r="1146" spans="1:46" hidden="1" x14ac:dyDescent="0.45">
      <c r="A1146" s="556"/>
      <c r="B1146" s="556"/>
      <c r="C1146" s="556"/>
      <c r="D1146" s="564"/>
      <c r="E1146" s="556"/>
      <c r="F1146" s="564"/>
      <c r="G1146" s="564"/>
      <c r="H1146" s="564"/>
      <c r="I1146" s="564"/>
      <c r="J1146" s="564"/>
      <c r="K1146" s="564"/>
      <c r="L1146" s="564"/>
      <c r="M1146" s="564"/>
      <c r="N1146" s="564"/>
      <c r="O1146" s="564"/>
      <c r="P1146" s="564"/>
      <c r="Q1146" s="564"/>
      <c r="R1146" s="564"/>
      <c r="S1146" s="564"/>
      <c r="T1146" s="564"/>
      <c r="U1146" s="564"/>
      <c r="V1146" s="564"/>
      <c r="W1146" s="564"/>
      <c r="X1146" s="564"/>
      <c r="Y1146" s="564"/>
      <c r="Z1146" s="564"/>
      <c r="AA1146" s="564"/>
      <c r="AB1146" s="556"/>
      <c r="AC1146" s="556"/>
      <c r="AD1146" s="556"/>
      <c r="AE1146" s="556"/>
      <c r="AF1146" s="556"/>
      <c r="AG1146" s="556"/>
      <c r="AH1146" s="556"/>
      <c r="AI1146" s="556"/>
      <c r="AJ1146" s="556"/>
      <c r="AK1146" s="556"/>
      <c r="AL1146" s="556"/>
      <c r="AM1146" s="556"/>
      <c r="AN1146" s="556"/>
      <c r="AO1146" s="556"/>
      <c r="AP1146" s="556"/>
      <c r="AQ1146" s="556"/>
      <c r="AR1146" s="556"/>
      <c r="AS1146" s="565"/>
      <c r="AT1146" s="556"/>
    </row>
    <row r="1147" spans="1:46" hidden="1" x14ac:dyDescent="0.45">
      <c r="A1147" s="556"/>
      <c r="B1147" s="556"/>
      <c r="C1147" s="556"/>
      <c r="D1147" s="564"/>
      <c r="E1147" s="556"/>
      <c r="F1147" s="564"/>
      <c r="G1147" s="564"/>
      <c r="H1147" s="564"/>
      <c r="I1147" s="564"/>
      <c r="J1147" s="564"/>
      <c r="K1147" s="564"/>
      <c r="L1147" s="564"/>
      <c r="M1147" s="564"/>
      <c r="N1147" s="564"/>
      <c r="O1147" s="564"/>
      <c r="P1147" s="564"/>
      <c r="Q1147" s="564"/>
      <c r="R1147" s="564"/>
      <c r="S1147" s="564"/>
      <c r="T1147" s="564"/>
      <c r="U1147" s="564"/>
      <c r="V1147" s="564"/>
      <c r="W1147" s="564"/>
      <c r="X1147" s="564"/>
      <c r="Y1147" s="564"/>
      <c r="Z1147" s="564"/>
      <c r="AA1147" s="564"/>
      <c r="AB1147" s="556"/>
      <c r="AC1147" s="556"/>
      <c r="AD1147" s="556"/>
      <c r="AE1147" s="556"/>
      <c r="AF1147" s="556"/>
      <c r="AG1147" s="556"/>
      <c r="AH1147" s="556"/>
      <c r="AI1147" s="556"/>
      <c r="AJ1147" s="556"/>
      <c r="AK1147" s="556"/>
      <c r="AL1147" s="556"/>
      <c r="AM1147" s="556"/>
      <c r="AN1147" s="556"/>
      <c r="AO1147" s="556"/>
      <c r="AP1147" s="556"/>
      <c r="AQ1147" s="556"/>
      <c r="AR1147" s="556"/>
      <c r="AS1147" s="565"/>
      <c r="AT1147" s="556"/>
    </row>
    <row r="1148" spans="1:46" hidden="1" x14ac:dyDescent="0.45">
      <c r="A1148" s="556"/>
      <c r="B1148" s="556"/>
      <c r="C1148" s="556"/>
      <c r="D1148" s="564"/>
      <c r="E1148" s="556"/>
      <c r="F1148" s="564"/>
      <c r="G1148" s="564"/>
      <c r="H1148" s="564"/>
      <c r="I1148" s="564"/>
      <c r="J1148" s="564"/>
      <c r="K1148" s="564"/>
      <c r="L1148" s="564"/>
      <c r="M1148" s="564"/>
      <c r="N1148" s="564"/>
      <c r="O1148" s="564"/>
      <c r="P1148" s="564"/>
      <c r="Q1148" s="564"/>
      <c r="R1148" s="564"/>
      <c r="S1148" s="564"/>
      <c r="T1148" s="564"/>
      <c r="U1148" s="564"/>
      <c r="V1148" s="564"/>
      <c r="W1148" s="564"/>
      <c r="X1148" s="564"/>
      <c r="Y1148" s="564"/>
      <c r="Z1148" s="564"/>
      <c r="AA1148" s="564"/>
      <c r="AB1148" s="556"/>
      <c r="AC1148" s="556"/>
      <c r="AD1148" s="556"/>
      <c r="AE1148" s="556"/>
      <c r="AF1148" s="556"/>
      <c r="AG1148" s="556"/>
      <c r="AH1148" s="556"/>
      <c r="AI1148" s="556"/>
      <c r="AJ1148" s="556"/>
      <c r="AK1148" s="556"/>
      <c r="AL1148" s="556"/>
      <c r="AM1148" s="556"/>
      <c r="AN1148" s="556"/>
      <c r="AO1148" s="556"/>
      <c r="AP1148" s="556"/>
      <c r="AQ1148" s="556"/>
      <c r="AR1148" s="556"/>
      <c r="AS1148" s="565"/>
      <c r="AT1148" s="556"/>
    </row>
    <row r="1149" spans="1:46" hidden="1" x14ac:dyDescent="0.45">
      <c r="A1149" s="556"/>
      <c r="B1149" s="556"/>
      <c r="C1149" s="556"/>
      <c r="D1149" s="564"/>
      <c r="E1149" s="556"/>
      <c r="F1149" s="564"/>
      <c r="G1149" s="564"/>
      <c r="H1149" s="564"/>
      <c r="I1149" s="564"/>
      <c r="J1149" s="564"/>
      <c r="K1149" s="564"/>
      <c r="L1149" s="564"/>
      <c r="M1149" s="564"/>
      <c r="N1149" s="564"/>
      <c r="O1149" s="564"/>
      <c r="P1149" s="564"/>
      <c r="Q1149" s="564"/>
      <c r="R1149" s="564"/>
      <c r="S1149" s="564"/>
      <c r="T1149" s="564"/>
      <c r="U1149" s="564"/>
      <c r="V1149" s="564"/>
      <c r="W1149" s="564"/>
      <c r="X1149" s="564"/>
      <c r="Y1149" s="564"/>
      <c r="Z1149" s="564"/>
      <c r="AA1149" s="564"/>
      <c r="AB1149" s="556"/>
      <c r="AC1149" s="556"/>
      <c r="AD1149" s="556"/>
      <c r="AE1149" s="556"/>
      <c r="AF1149" s="556"/>
      <c r="AG1149" s="556"/>
      <c r="AH1149" s="556"/>
      <c r="AI1149" s="556"/>
      <c r="AJ1149" s="556"/>
      <c r="AK1149" s="556"/>
      <c r="AL1149" s="556"/>
      <c r="AM1149" s="556"/>
      <c r="AN1149" s="556"/>
      <c r="AO1149" s="556"/>
      <c r="AP1149" s="556"/>
      <c r="AQ1149" s="556"/>
      <c r="AR1149" s="556"/>
      <c r="AS1149" s="565"/>
      <c r="AT1149" s="556"/>
    </row>
    <row r="1150" spans="1:46" hidden="1" x14ac:dyDescent="0.45">
      <c r="A1150" s="556"/>
      <c r="B1150" s="556"/>
      <c r="C1150" s="556"/>
      <c r="D1150" s="564"/>
      <c r="E1150" s="556"/>
      <c r="F1150" s="564"/>
      <c r="G1150" s="564"/>
      <c r="H1150" s="564"/>
      <c r="I1150" s="564"/>
      <c r="J1150" s="564"/>
      <c r="K1150" s="564"/>
      <c r="L1150" s="564"/>
      <c r="M1150" s="564"/>
      <c r="N1150" s="564"/>
      <c r="O1150" s="564"/>
      <c r="P1150" s="564"/>
      <c r="Q1150" s="564"/>
      <c r="R1150" s="564"/>
      <c r="S1150" s="564"/>
      <c r="T1150" s="564"/>
      <c r="U1150" s="564"/>
      <c r="V1150" s="564"/>
      <c r="W1150" s="564"/>
      <c r="X1150" s="564"/>
      <c r="Y1150" s="564"/>
      <c r="Z1150" s="564"/>
      <c r="AA1150" s="564"/>
      <c r="AB1150" s="556"/>
      <c r="AC1150" s="556"/>
      <c r="AD1150" s="556"/>
      <c r="AE1150" s="556"/>
      <c r="AF1150" s="556"/>
      <c r="AG1150" s="556"/>
      <c r="AH1150" s="556"/>
      <c r="AI1150" s="556"/>
      <c r="AJ1150" s="556"/>
      <c r="AK1150" s="556"/>
      <c r="AL1150" s="556"/>
      <c r="AM1150" s="556"/>
      <c r="AN1150" s="556"/>
      <c r="AO1150" s="556"/>
      <c r="AP1150" s="556"/>
      <c r="AQ1150" s="556"/>
      <c r="AR1150" s="556"/>
      <c r="AS1150" s="565"/>
      <c r="AT1150" s="556"/>
    </row>
    <row r="1151" spans="1:46" hidden="1" x14ac:dyDescent="0.45">
      <c r="A1151" s="556"/>
      <c r="B1151" s="556"/>
      <c r="C1151" s="556"/>
      <c r="D1151" s="564"/>
      <c r="E1151" s="556"/>
      <c r="F1151" s="564"/>
      <c r="G1151" s="564"/>
      <c r="H1151" s="564"/>
      <c r="I1151" s="564"/>
      <c r="J1151" s="564"/>
      <c r="K1151" s="564"/>
      <c r="L1151" s="564"/>
      <c r="M1151" s="564"/>
      <c r="N1151" s="564"/>
      <c r="O1151" s="564"/>
      <c r="P1151" s="564"/>
      <c r="Q1151" s="564"/>
      <c r="R1151" s="564"/>
      <c r="S1151" s="564"/>
      <c r="T1151" s="564"/>
      <c r="U1151" s="564"/>
      <c r="V1151" s="564"/>
      <c r="W1151" s="564"/>
      <c r="X1151" s="564"/>
      <c r="Y1151" s="564"/>
      <c r="Z1151" s="564"/>
      <c r="AA1151" s="564"/>
      <c r="AB1151" s="556"/>
      <c r="AC1151" s="556"/>
      <c r="AD1151" s="556"/>
      <c r="AE1151" s="556"/>
      <c r="AF1151" s="556"/>
      <c r="AG1151" s="556"/>
      <c r="AH1151" s="556"/>
      <c r="AI1151" s="556"/>
      <c r="AJ1151" s="556"/>
      <c r="AK1151" s="556"/>
      <c r="AL1151" s="556"/>
      <c r="AM1151" s="556"/>
      <c r="AN1151" s="556"/>
      <c r="AO1151" s="556"/>
      <c r="AP1151" s="556"/>
      <c r="AQ1151" s="556"/>
      <c r="AR1151" s="556"/>
      <c r="AS1151" s="565"/>
      <c r="AT1151" s="556"/>
    </row>
    <row r="1152" spans="1:46" hidden="1" x14ac:dyDescent="0.45">
      <c r="A1152" s="556"/>
      <c r="B1152" s="556"/>
      <c r="C1152" s="556"/>
      <c r="D1152" s="564"/>
      <c r="E1152" s="556"/>
      <c r="F1152" s="564"/>
      <c r="G1152" s="564"/>
      <c r="H1152" s="564"/>
      <c r="I1152" s="564"/>
      <c r="J1152" s="564"/>
      <c r="K1152" s="564"/>
      <c r="L1152" s="564"/>
      <c r="M1152" s="564"/>
      <c r="N1152" s="564"/>
      <c r="O1152" s="564"/>
      <c r="P1152" s="564"/>
      <c r="Q1152" s="564"/>
      <c r="R1152" s="564"/>
      <c r="S1152" s="564"/>
      <c r="T1152" s="564"/>
      <c r="U1152" s="564"/>
      <c r="V1152" s="564"/>
      <c r="W1152" s="564"/>
      <c r="X1152" s="564"/>
      <c r="Y1152" s="564"/>
      <c r="Z1152" s="564"/>
      <c r="AA1152" s="564"/>
      <c r="AB1152" s="556"/>
      <c r="AC1152" s="556"/>
      <c r="AD1152" s="556"/>
      <c r="AE1152" s="556"/>
      <c r="AF1152" s="556"/>
      <c r="AG1152" s="556"/>
      <c r="AH1152" s="556"/>
      <c r="AI1152" s="556"/>
      <c r="AJ1152" s="556"/>
      <c r="AK1152" s="556"/>
      <c r="AL1152" s="556"/>
      <c r="AM1152" s="556"/>
      <c r="AN1152" s="556"/>
      <c r="AO1152" s="556"/>
      <c r="AP1152" s="556"/>
      <c r="AQ1152" s="556"/>
      <c r="AR1152" s="556"/>
      <c r="AS1152" s="565"/>
      <c r="AT1152" s="556"/>
    </row>
    <row r="1153" spans="1:46" hidden="1" x14ac:dyDescent="0.45">
      <c r="A1153" s="556"/>
      <c r="B1153" s="556"/>
      <c r="C1153" s="556"/>
      <c r="D1153" s="564"/>
      <c r="E1153" s="556"/>
      <c r="F1153" s="564"/>
      <c r="G1153" s="564"/>
      <c r="H1153" s="564"/>
      <c r="I1153" s="564"/>
      <c r="J1153" s="564"/>
      <c r="K1153" s="564"/>
      <c r="L1153" s="564"/>
      <c r="M1153" s="564"/>
      <c r="N1153" s="564"/>
      <c r="O1153" s="564"/>
      <c r="P1153" s="564"/>
      <c r="Q1153" s="564"/>
      <c r="R1153" s="564"/>
      <c r="S1153" s="564"/>
      <c r="T1153" s="564"/>
      <c r="U1153" s="564"/>
      <c r="V1153" s="564"/>
      <c r="W1153" s="564"/>
      <c r="X1153" s="564"/>
      <c r="Y1153" s="564"/>
      <c r="Z1153" s="564"/>
      <c r="AA1153" s="564"/>
      <c r="AB1153" s="556"/>
      <c r="AC1153" s="556"/>
      <c r="AD1153" s="556"/>
      <c r="AE1153" s="556"/>
      <c r="AF1153" s="556"/>
      <c r="AG1153" s="556"/>
      <c r="AH1153" s="556"/>
      <c r="AI1153" s="556"/>
      <c r="AJ1153" s="556"/>
      <c r="AK1153" s="556"/>
      <c r="AL1153" s="556"/>
      <c r="AM1153" s="556"/>
      <c r="AN1153" s="556"/>
      <c r="AO1153" s="556"/>
      <c r="AP1153" s="556"/>
      <c r="AQ1153" s="556"/>
      <c r="AR1153" s="556"/>
      <c r="AS1153" s="565"/>
      <c r="AT1153" s="556"/>
    </row>
    <row r="1154" spans="1:46" hidden="1" x14ac:dyDescent="0.45">
      <c r="A1154" s="556"/>
      <c r="B1154" s="556"/>
      <c r="C1154" s="556"/>
      <c r="D1154" s="564"/>
      <c r="E1154" s="556"/>
      <c r="F1154" s="564"/>
      <c r="G1154" s="564"/>
      <c r="H1154" s="564"/>
      <c r="I1154" s="564"/>
      <c r="J1154" s="564"/>
      <c r="K1154" s="564"/>
      <c r="L1154" s="564"/>
      <c r="M1154" s="564"/>
      <c r="N1154" s="564"/>
      <c r="O1154" s="564"/>
      <c r="P1154" s="564"/>
      <c r="Q1154" s="564"/>
      <c r="R1154" s="564"/>
      <c r="S1154" s="564"/>
      <c r="T1154" s="564"/>
      <c r="U1154" s="564"/>
      <c r="V1154" s="564"/>
      <c r="W1154" s="564"/>
      <c r="X1154" s="564"/>
      <c r="Y1154" s="564"/>
      <c r="Z1154" s="564"/>
      <c r="AA1154" s="564"/>
      <c r="AB1154" s="556"/>
      <c r="AC1154" s="556"/>
      <c r="AD1154" s="556"/>
      <c r="AE1154" s="556"/>
      <c r="AF1154" s="556"/>
      <c r="AG1154" s="556"/>
      <c r="AH1154" s="556"/>
      <c r="AI1154" s="556"/>
      <c r="AJ1154" s="556"/>
      <c r="AK1154" s="556"/>
      <c r="AL1154" s="556"/>
      <c r="AM1154" s="556"/>
      <c r="AN1154" s="556"/>
      <c r="AO1154" s="556"/>
      <c r="AP1154" s="556"/>
      <c r="AQ1154" s="556"/>
      <c r="AR1154" s="556"/>
      <c r="AS1154" s="565"/>
      <c r="AT1154" s="556"/>
    </row>
    <row r="1155" spans="1:46" hidden="1" x14ac:dyDescent="0.45">
      <c r="A1155" s="556"/>
      <c r="B1155" s="556"/>
      <c r="C1155" s="556"/>
      <c r="D1155" s="564"/>
      <c r="E1155" s="556"/>
      <c r="F1155" s="564"/>
      <c r="G1155" s="564"/>
      <c r="H1155" s="564"/>
      <c r="I1155" s="564"/>
      <c r="J1155" s="564"/>
      <c r="K1155" s="564"/>
      <c r="L1155" s="564"/>
      <c r="M1155" s="564"/>
      <c r="N1155" s="564"/>
      <c r="O1155" s="564"/>
      <c r="P1155" s="564"/>
      <c r="Q1155" s="564"/>
      <c r="R1155" s="564"/>
      <c r="S1155" s="564"/>
      <c r="T1155" s="564"/>
      <c r="U1155" s="564"/>
      <c r="V1155" s="564"/>
      <c r="W1155" s="564"/>
      <c r="X1155" s="564"/>
      <c r="Y1155" s="564"/>
      <c r="Z1155" s="564"/>
      <c r="AA1155" s="564"/>
      <c r="AB1155" s="556"/>
      <c r="AC1155" s="556"/>
      <c r="AD1155" s="556"/>
      <c r="AE1155" s="556"/>
      <c r="AF1155" s="556"/>
      <c r="AG1155" s="556"/>
      <c r="AH1155" s="556"/>
      <c r="AI1155" s="556"/>
      <c r="AJ1155" s="556"/>
      <c r="AK1155" s="556"/>
      <c r="AL1155" s="556"/>
      <c r="AM1155" s="556"/>
      <c r="AN1155" s="556"/>
      <c r="AO1155" s="556"/>
      <c r="AP1155" s="556"/>
      <c r="AQ1155" s="556"/>
      <c r="AR1155" s="556"/>
      <c r="AS1155" s="565"/>
      <c r="AT1155" s="556"/>
    </row>
    <row r="1156" spans="1:46" hidden="1" x14ac:dyDescent="0.45">
      <c r="A1156" s="556"/>
      <c r="B1156" s="556"/>
      <c r="C1156" s="556"/>
      <c r="D1156" s="564"/>
      <c r="E1156" s="556"/>
      <c r="F1156" s="564"/>
      <c r="G1156" s="564"/>
      <c r="H1156" s="564"/>
      <c r="I1156" s="564"/>
      <c r="J1156" s="564"/>
      <c r="K1156" s="564"/>
      <c r="L1156" s="564"/>
      <c r="M1156" s="564"/>
      <c r="N1156" s="564"/>
      <c r="O1156" s="564"/>
      <c r="P1156" s="564"/>
      <c r="Q1156" s="564"/>
      <c r="R1156" s="564"/>
      <c r="S1156" s="564"/>
      <c r="T1156" s="564"/>
      <c r="U1156" s="564"/>
      <c r="V1156" s="564"/>
      <c r="W1156" s="564"/>
      <c r="X1156" s="564"/>
      <c r="Y1156" s="564"/>
      <c r="Z1156" s="564"/>
      <c r="AA1156" s="564"/>
      <c r="AB1156" s="556"/>
      <c r="AC1156" s="556"/>
      <c r="AD1156" s="556"/>
      <c r="AE1156" s="556"/>
      <c r="AF1156" s="556"/>
      <c r="AG1156" s="556"/>
      <c r="AH1156" s="556"/>
      <c r="AI1156" s="556"/>
      <c r="AJ1156" s="556"/>
      <c r="AK1156" s="556"/>
      <c r="AL1156" s="556"/>
      <c r="AM1156" s="556"/>
      <c r="AN1156" s="556"/>
      <c r="AO1156" s="556"/>
      <c r="AP1156" s="556"/>
      <c r="AQ1156" s="556"/>
      <c r="AR1156" s="556"/>
      <c r="AS1156" s="565"/>
      <c r="AT1156" s="556"/>
    </row>
    <row r="1157" spans="1:46" hidden="1" x14ac:dyDescent="0.45">
      <c r="A1157" s="556"/>
      <c r="B1157" s="556"/>
      <c r="C1157" s="556"/>
      <c r="D1157" s="564"/>
      <c r="E1157" s="556"/>
      <c r="F1157" s="564"/>
      <c r="G1157" s="564"/>
      <c r="H1157" s="564"/>
      <c r="I1157" s="564"/>
      <c r="J1157" s="564"/>
      <c r="K1157" s="564"/>
      <c r="L1157" s="564"/>
      <c r="M1157" s="564"/>
      <c r="N1157" s="564"/>
      <c r="O1157" s="564"/>
      <c r="P1157" s="564"/>
      <c r="Q1157" s="564"/>
      <c r="R1157" s="564"/>
      <c r="S1157" s="564"/>
      <c r="T1157" s="564"/>
      <c r="U1157" s="564"/>
      <c r="V1157" s="564"/>
      <c r="W1157" s="564"/>
      <c r="X1157" s="564"/>
      <c r="Y1157" s="564"/>
      <c r="Z1157" s="564"/>
      <c r="AA1157" s="564"/>
      <c r="AB1157" s="556"/>
      <c r="AC1157" s="556"/>
      <c r="AD1157" s="556"/>
      <c r="AE1157" s="556"/>
      <c r="AF1157" s="556"/>
      <c r="AG1157" s="556"/>
      <c r="AH1157" s="556"/>
      <c r="AI1157" s="556"/>
      <c r="AJ1157" s="556"/>
      <c r="AK1157" s="556"/>
      <c r="AL1157" s="556"/>
      <c r="AM1157" s="556"/>
      <c r="AN1157" s="556"/>
      <c r="AO1157" s="556"/>
      <c r="AP1157" s="556"/>
      <c r="AQ1157" s="556"/>
      <c r="AR1157" s="556"/>
      <c r="AS1157" s="565"/>
      <c r="AT1157" s="556"/>
    </row>
    <row r="1158" spans="1:46" hidden="1" x14ac:dyDescent="0.45">
      <c r="A1158" s="556"/>
      <c r="B1158" s="556"/>
      <c r="C1158" s="556"/>
      <c r="D1158" s="564"/>
      <c r="E1158" s="556"/>
      <c r="F1158" s="564"/>
      <c r="G1158" s="564"/>
      <c r="H1158" s="564"/>
      <c r="I1158" s="564"/>
      <c r="J1158" s="564"/>
      <c r="K1158" s="564"/>
      <c r="L1158" s="564"/>
      <c r="M1158" s="564"/>
      <c r="N1158" s="564"/>
      <c r="O1158" s="564"/>
      <c r="P1158" s="564"/>
      <c r="Q1158" s="564"/>
      <c r="R1158" s="564"/>
      <c r="S1158" s="564"/>
      <c r="T1158" s="564"/>
      <c r="U1158" s="564"/>
      <c r="V1158" s="564"/>
      <c r="W1158" s="564"/>
      <c r="X1158" s="564"/>
      <c r="Y1158" s="564"/>
      <c r="Z1158" s="564"/>
      <c r="AA1158" s="564"/>
      <c r="AB1158" s="556"/>
      <c r="AC1158" s="556"/>
      <c r="AD1158" s="556"/>
      <c r="AE1158" s="556"/>
      <c r="AF1158" s="556"/>
      <c r="AG1158" s="556"/>
      <c r="AH1158" s="556"/>
      <c r="AI1158" s="556"/>
      <c r="AJ1158" s="556"/>
      <c r="AK1158" s="556"/>
      <c r="AL1158" s="556"/>
      <c r="AM1158" s="556"/>
      <c r="AN1158" s="556"/>
      <c r="AO1158" s="556"/>
      <c r="AP1158" s="556"/>
      <c r="AQ1158" s="556"/>
      <c r="AR1158" s="556"/>
      <c r="AS1158" s="565"/>
      <c r="AT1158" s="556"/>
    </row>
    <row r="1159" spans="1:46" hidden="1" x14ac:dyDescent="0.45">
      <c r="A1159" s="556"/>
      <c r="B1159" s="556"/>
      <c r="C1159" s="556"/>
      <c r="D1159" s="564"/>
      <c r="E1159" s="556"/>
      <c r="F1159" s="564"/>
      <c r="G1159" s="564"/>
      <c r="H1159" s="564"/>
      <c r="I1159" s="564"/>
      <c r="J1159" s="564"/>
      <c r="K1159" s="564"/>
      <c r="L1159" s="564"/>
      <c r="M1159" s="564"/>
      <c r="N1159" s="564"/>
      <c r="O1159" s="564"/>
      <c r="P1159" s="564"/>
      <c r="Q1159" s="564"/>
      <c r="R1159" s="564"/>
      <c r="S1159" s="564"/>
      <c r="T1159" s="564"/>
      <c r="U1159" s="564"/>
      <c r="V1159" s="564"/>
      <c r="W1159" s="564"/>
      <c r="X1159" s="564"/>
      <c r="Y1159" s="564"/>
      <c r="Z1159" s="564"/>
      <c r="AA1159" s="564"/>
      <c r="AB1159" s="556"/>
      <c r="AC1159" s="556"/>
      <c r="AD1159" s="556"/>
      <c r="AE1159" s="556"/>
      <c r="AF1159" s="556"/>
      <c r="AG1159" s="556"/>
      <c r="AH1159" s="556"/>
      <c r="AI1159" s="556"/>
      <c r="AJ1159" s="556"/>
      <c r="AK1159" s="556"/>
      <c r="AL1159" s="556"/>
      <c r="AM1159" s="556"/>
      <c r="AN1159" s="556"/>
      <c r="AO1159" s="556"/>
      <c r="AP1159" s="556"/>
      <c r="AQ1159" s="556"/>
      <c r="AR1159" s="556"/>
      <c r="AS1159" s="565"/>
      <c r="AT1159" s="556"/>
    </row>
    <row r="1160" spans="1:46" hidden="1" x14ac:dyDescent="0.45">
      <c r="A1160" s="556"/>
      <c r="B1160" s="556"/>
      <c r="C1160" s="556"/>
      <c r="D1160" s="564"/>
      <c r="E1160" s="556"/>
      <c r="F1160" s="564"/>
      <c r="G1160" s="564"/>
      <c r="H1160" s="564"/>
      <c r="I1160" s="564"/>
      <c r="J1160" s="564"/>
      <c r="K1160" s="564"/>
      <c r="L1160" s="564"/>
      <c r="M1160" s="564"/>
      <c r="N1160" s="564"/>
      <c r="O1160" s="564"/>
      <c r="P1160" s="564"/>
      <c r="Q1160" s="564"/>
      <c r="R1160" s="564"/>
      <c r="S1160" s="564"/>
      <c r="T1160" s="564"/>
      <c r="U1160" s="564"/>
      <c r="V1160" s="564"/>
      <c r="W1160" s="564"/>
      <c r="X1160" s="564"/>
      <c r="Y1160" s="564"/>
      <c r="Z1160" s="564"/>
      <c r="AA1160" s="564"/>
      <c r="AB1160" s="556"/>
      <c r="AC1160" s="556"/>
      <c r="AD1160" s="556"/>
      <c r="AE1160" s="556"/>
      <c r="AF1160" s="556"/>
      <c r="AG1160" s="556"/>
      <c r="AH1160" s="556"/>
      <c r="AI1160" s="556"/>
      <c r="AJ1160" s="556"/>
      <c r="AK1160" s="556"/>
      <c r="AL1160" s="556"/>
      <c r="AM1160" s="556"/>
      <c r="AN1160" s="556"/>
      <c r="AO1160" s="556"/>
      <c r="AP1160" s="556"/>
      <c r="AQ1160" s="556"/>
      <c r="AR1160" s="556"/>
      <c r="AS1160" s="565"/>
      <c r="AT1160" s="556"/>
    </row>
    <row r="1161" spans="1:46" hidden="1" x14ac:dyDescent="0.45">
      <c r="A1161" s="556"/>
      <c r="B1161" s="556"/>
      <c r="C1161" s="556"/>
      <c r="D1161" s="564"/>
      <c r="E1161" s="556"/>
      <c r="F1161" s="564"/>
      <c r="G1161" s="564"/>
      <c r="H1161" s="564"/>
      <c r="I1161" s="564"/>
      <c r="J1161" s="564"/>
      <c r="K1161" s="564"/>
      <c r="L1161" s="564"/>
      <c r="M1161" s="564"/>
      <c r="N1161" s="564"/>
      <c r="O1161" s="564"/>
      <c r="P1161" s="564"/>
      <c r="Q1161" s="564"/>
      <c r="R1161" s="564"/>
      <c r="S1161" s="564"/>
      <c r="T1161" s="564"/>
      <c r="U1161" s="564"/>
      <c r="V1161" s="564"/>
      <c r="W1161" s="564"/>
      <c r="X1161" s="564"/>
      <c r="Y1161" s="564"/>
      <c r="Z1161" s="564"/>
      <c r="AA1161" s="564"/>
      <c r="AB1161" s="556"/>
      <c r="AC1161" s="556"/>
      <c r="AD1161" s="556"/>
      <c r="AE1161" s="556"/>
      <c r="AF1161" s="556"/>
      <c r="AG1161" s="556"/>
      <c r="AH1161" s="556"/>
      <c r="AI1161" s="556"/>
      <c r="AJ1161" s="556"/>
      <c r="AK1161" s="556"/>
      <c r="AL1161" s="556"/>
      <c r="AM1161" s="556"/>
      <c r="AN1161" s="556"/>
      <c r="AO1161" s="556"/>
      <c r="AP1161" s="556"/>
      <c r="AQ1161" s="556"/>
      <c r="AR1161" s="556"/>
      <c r="AS1161" s="565"/>
      <c r="AT1161" s="556"/>
    </row>
    <row r="1162" spans="1:46" hidden="1" x14ac:dyDescent="0.45">
      <c r="A1162" s="556"/>
      <c r="B1162" s="556"/>
      <c r="C1162" s="556"/>
      <c r="D1162" s="564"/>
      <c r="E1162" s="556"/>
      <c r="F1162" s="564"/>
      <c r="G1162" s="564"/>
      <c r="H1162" s="564"/>
      <c r="I1162" s="564"/>
      <c r="J1162" s="564"/>
      <c r="K1162" s="564"/>
      <c r="L1162" s="564"/>
      <c r="M1162" s="564"/>
      <c r="N1162" s="564"/>
      <c r="O1162" s="564"/>
      <c r="P1162" s="564"/>
      <c r="Q1162" s="564"/>
      <c r="R1162" s="564"/>
      <c r="S1162" s="564"/>
      <c r="T1162" s="564"/>
      <c r="U1162" s="564"/>
      <c r="V1162" s="564"/>
      <c r="W1162" s="564"/>
      <c r="X1162" s="564"/>
      <c r="Y1162" s="564"/>
      <c r="Z1162" s="564"/>
      <c r="AA1162" s="564"/>
      <c r="AB1162" s="556"/>
      <c r="AC1162" s="556"/>
      <c r="AD1162" s="556"/>
      <c r="AE1162" s="556"/>
      <c r="AF1162" s="556"/>
      <c r="AG1162" s="556"/>
      <c r="AH1162" s="556"/>
      <c r="AI1162" s="556"/>
      <c r="AJ1162" s="556"/>
      <c r="AK1162" s="556"/>
      <c r="AL1162" s="556"/>
      <c r="AM1162" s="556"/>
      <c r="AN1162" s="556"/>
      <c r="AO1162" s="556"/>
      <c r="AP1162" s="556"/>
      <c r="AQ1162" s="556"/>
      <c r="AR1162" s="556"/>
      <c r="AS1162" s="565"/>
      <c r="AT1162" s="556"/>
    </row>
    <row r="1163" spans="1:46" hidden="1" x14ac:dyDescent="0.45">
      <c r="A1163" s="556"/>
      <c r="B1163" s="556"/>
      <c r="C1163" s="556"/>
      <c r="D1163" s="564"/>
      <c r="E1163" s="556"/>
      <c r="F1163" s="564"/>
      <c r="G1163" s="564"/>
      <c r="H1163" s="564"/>
      <c r="I1163" s="564"/>
      <c r="J1163" s="564"/>
      <c r="K1163" s="564"/>
      <c r="L1163" s="564"/>
      <c r="M1163" s="564"/>
      <c r="N1163" s="564"/>
      <c r="O1163" s="564"/>
      <c r="P1163" s="564"/>
      <c r="Q1163" s="564"/>
      <c r="R1163" s="564"/>
      <c r="S1163" s="564"/>
      <c r="T1163" s="564"/>
      <c r="U1163" s="564"/>
      <c r="V1163" s="564"/>
      <c r="W1163" s="564"/>
      <c r="X1163" s="564"/>
      <c r="Y1163" s="564"/>
      <c r="Z1163" s="564"/>
      <c r="AA1163" s="564"/>
      <c r="AB1163" s="556"/>
      <c r="AC1163" s="556"/>
      <c r="AD1163" s="556"/>
      <c r="AE1163" s="556"/>
      <c r="AF1163" s="556"/>
      <c r="AG1163" s="556"/>
      <c r="AH1163" s="556"/>
      <c r="AI1163" s="556"/>
      <c r="AJ1163" s="556"/>
      <c r="AK1163" s="556"/>
      <c r="AL1163" s="556"/>
      <c r="AM1163" s="556"/>
      <c r="AN1163" s="556"/>
      <c r="AO1163" s="556"/>
      <c r="AP1163" s="556"/>
      <c r="AQ1163" s="556"/>
      <c r="AR1163" s="556"/>
      <c r="AS1163" s="565"/>
      <c r="AT1163" s="556"/>
    </row>
    <row r="1164" spans="1:46" hidden="1" x14ac:dyDescent="0.45">
      <c r="A1164" s="556"/>
      <c r="B1164" s="556"/>
      <c r="C1164" s="556"/>
      <c r="D1164" s="564"/>
      <c r="E1164" s="556"/>
      <c r="F1164" s="564"/>
      <c r="G1164" s="564"/>
      <c r="H1164" s="564"/>
      <c r="I1164" s="564"/>
      <c r="J1164" s="564"/>
      <c r="K1164" s="564"/>
      <c r="L1164" s="564"/>
      <c r="M1164" s="564"/>
      <c r="N1164" s="564"/>
      <c r="O1164" s="564"/>
      <c r="P1164" s="564"/>
      <c r="Q1164" s="564"/>
      <c r="R1164" s="564"/>
      <c r="S1164" s="564"/>
      <c r="T1164" s="564"/>
      <c r="U1164" s="564"/>
      <c r="V1164" s="564"/>
      <c r="W1164" s="564"/>
      <c r="X1164" s="564"/>
      <c r="Y1164" s="564"/>
      <c r="Z1164" s="564"/>
      <c r="AA1164" s="564"/>
      <c r="AB1164" s="556"/>
      <c r="AC1164" s="556"/>
      <c r="AD1164" s="556"/>
      <c r="AE1164" s="556"/>
      <c r="AF1164" s="556"/>
      <c r="AG1164" s="556"/>
      <c r="AH1164" s="556"/>
      <c r="AI1164" s="556"/>
      <c r="AJ1164" s="556"/>
      <c r="AK1164" s="556"/>
      <c r="AL1164" s="556"/>
      <c r="AM1164" s="556"/>
      <c r="AN1164" s="556"/>
      <c r="AO1164" s="556"/>
      <c r="AP1164" s="556"/>
      <c r="AQ1164" s="556"/>
      <c r="AR1164" s="556"/>
      <c r="AS1164" s="565"/>
      <c r="AT1164" s="556"/>
    </row>
    <row r="1165" spans="1:46" hidden="1" x14ac:dyDescent="0.45">
      <c r="A1165" s="556"/>
      <c r="B1165" s="556"/>
      <c r="C1165" s="556"/>
      <c r="D1165" s="564"/>
      <c r="E1165" s="556"/>
      <c r="F1165" s="564"/>
      <c r="G1165" s="564"/>
      <c r="H1165" s="564"/>
      <c r="I1165" s="564"/>
      <c r="J1165" s="564"/>
      <c r="K1165" s="564"/>
      <c r="L1165" s="564"/>
      <c r="M1165" s="564"/>
      <c r="N1165" s="564"/>
      <c r="O1165" s="564"/>
      <c r="P1165" s="564"/>
      <c r="Q1165" s="564"/>
      <c r="R1165" s="564"/>
      <c r="S1165" s="564"/>
      <c r="T1165" s="564"/>
      <c r="U1165" s="564"/>
      <c r="V1165" s="564"/>
      <c r="W1165" s="564"/>
      <c r="X1165" s="564"/>
      <c r="Y1165" s="564"/>
      <c r="Z1165" s="564"/>
      <c r="AA1165" s="564"/>
      <c r="AB1165" s="556"/>
      <c r="AC1165" s="556"/>
      <c r="AD1165" s="556"/>
      <c r="AE1165" s="556"/>
      <c r="AF1165" s="556"/>
      <c r="AG1165" s="556"/>
      <c r="AH1165" s="556"/>
      <c r="AI1165" s="556"/>
      <c r="AJ1165" s="556"/>
      <c r="AK1165" s="556"/>
      <c r="AL1165" s="556"/>
      <c r="AM1165" s="556"/>
      <c r="AN1165" s="556"/>
      <c r="AO1165" s="556"/>
      <c r="AP1165" s="556"/>
      <c r="AQ1165" s="556"/>
      <c r="AR1165" s="556"/>
      <c r="AS1165" s="565"/>
      <c r="AT1165" s="556"/>
    </row>
    <row r="1166" spans="1:46" hidden="1" x14ac:dyDescent="0.45">
      <c r="A1166" s="556"/>
      <c r="B1166" s="556"/>
      <c r="C1166" s="556"/>
      <c r="D1166" s="564"/>
      <c r="E1166" s="556"/>
      <c r="F1166" s="564"/>
      <c r="G1166" s="564"/>
      <c r="H1166" s="564"/>
      <c r="I1166" s="564"/>
      <c r="J1166" s="564"/>
      <c r="K1166" s="564"/>
      <c r="L1166" s="564"/>
      <c r="M1166" s="564"/>
      <c r="N1166" s="564"/>
      <c r="O1166" s="564"/>
      <c r="P1166" s="564"/>
      <c r="Q1166" s="564"/>
      <c r="R1166" s="564"/>
      <c r="S1166" s="564"/>
      <c r="T1166" s="564"/>
      <c r="U1166" s="564"/>
      <c r="V1166" s="564"/>
      <c r="W1166" s="564"/>
      <c r="X1166" s="564"/>
      <c r="Y1166" s="564"/>
      <c r="Z1166" s="564"/>
      <c r="AA1166" s="564"/>
      <c r="AB1166" s="556"/>
      <c r="AC1166" s="556"/>
      <c r="AD1166" s="556"/>
      <c r="AE1166" s="556"/>
      <c r="AF1166" s="556"/>
      <c r="AG1166" s="556"/>
      <c r="AH1166" s="556"/>
      <c r="AI1166" s="556"/>
      <c r="AJ1166" s="556"/>
      <c r="AK1166" s="556"/>
      <c r="AL1166" s="556"/>
      <c r="AM1166" s="556"/>
      <c r="AN1166" s="556"/>
      <c r="AO1166" s="556"/>
      <c r="AP1166" s="556"/>
      <c r="AQ1166" s="556"/>
      <c r="AR1166" s="556"/>
      <c r="AS1166" s="565"/>
      <c r="AT1166" s="556"/>
    </row>
    <row r="1167" spans="1:46" hidden="1" x14ac:dyDescent="0.45">
      <c r="A1167" s="556"/>
      <c r="B1167" s="556"/>
      <c r="C1167" s="556"/>
      <c r="D1167" s="564"/>
      <c r="E1167" s="556"/>
      <c r="F1167" s="564"/>
      <c r="G1167" s="564"/>
      <c r="H1167" s="564"/>
      <c r="I1167" s="564"/>
      <c r="J1167" s="564"/>
      <c r="K1167" s="564"/>
      <c r="L1167" s="564"/>
      <c r="M1167" s="564"/>
      <c r="N1167" s="564"/>
      <c r="O1167" s="564"/>
      <c r="P1167" s="564"/>
      <c r="Q1167" s="564"/>
      <c r="R1167" s="564"/>
      <c r="S1167" s="564"/>
      <c r="T1167" s="564"/>
      <c r="U1167" s="564"/>
      <c r="V1167" s="564"/>
      <c r="W1167" s="564"/>
      <c r="X1167" s="564"/>
      <c r="Y1167" s="564"/>
      <c r="Z1167" s="564"/>
      <c r="AA1167" s="564"/>
      <c r="AB1167" s="556"/>
      <c r="AC1167" s="556"/>
      <c r="AD1167" s="556"/>
      <c r="AE1167" s="556"/>
      <c r="AF1167" s="556"/>
      <c r="AG1167" s="556"/>
      <c r="AH1167" s="556"/>
      <c r="AI1167" s="556"/>
      <c r="AJ1167" s="556"/>
      <c r="AK1167" s="556"/>
      <c r="AL1167" s="556"/>
      <c r="AM1167" s="556"/>
      <c r="AN1167" s="556"/>
      <c r="AO1167" s="556"/>
      <c r="AP1167" s="556"/>
      <c r="AQ1167" s="556"/>
      <c r="AR1167" s="556"/>
      <c r="AS1167" s="565"/>
      <c r="AT1167" s="556"/>
    </row>
    <row r="1168" spans="1:46" hidden="1" x14ac:dyDescent="0.45">
      <c r="A1168" s="556"/>
      <c r="B1168" s="556"/>
      <c r="C1168" s="556"/>
      <c r="D1168" s="564"/>
      <c r="E1168" s="556"/>
      <c r="F1168" s="564"/>
      <c r="G1168" s="564"/>
      <c r="H1168" s="564"/>
      <c r="I1168" s="564"/>
      <c r="J1168" s="564"/>
      <c r="K1168" s="564"/>
      <c r="L1168" s="564"/>
      <c r="M1168" s="564"/>
      <c r="N1168" s="564"/>
      <c r="O1168" s="564"/>
      <c r="P1168" s="564"/>
      <c r="Q1168" s="564"/>
      <c r="R1168" s="564"/>
      <c r="S1168" s="564"/>
      <c r="T1168" s="564"/>
      <c r="U1168" s="564"/>
      <c r="V1168" s="564"/>
      <c r="W1168" s="564"/>
      <c r="X1168" s="564"/>
      <c r="Y1168" s="564"/>
      <c r="Z1168" s="564"/>
      <c r="AA1168" s="564"/>
      <c r="AB1168" s="556"/>
      <c r="AC1168" s="556"/>
      <c r="AD1168" s="556"/>
      <c r="AE1168" s="556"/>
      <c r="AF1168" s="556"/>
      <c r="AG1168" s="556"/>
      <c r="AH1168" s="556"/>
      <c r="AI1168" s="556"/>
      <c r="AJ1168" s="556"/>
      <c r="AK1168" s="556"/>
      <c r="AL1168" s="556"/>
      <c r="AM1168" s="556"/>
      <c r="AN1168" s="556"/>
      <c r="AO1168" s="556"/>
      <c r="AP1168" s="556"/>
      <c r="AQ1168" s="556"/>
      <c r="AR1168" s="556"/>
      <c r="AS1168" s="565"/>
      <c r="AT1168" s="556"/>
    </row>
    <row r="1169" spans="1:46" hidden="1" x14ac:dyDescent="0.45">
      <c r="A1169" s="556"/>
      <c r="B1169" s="556"/>
      <c r="C1169" s="556"/>
      <c r="D1169" s="564"/>
      <c r="E1169" s="556"/>
      <c r="F1169" s="564"/>
      <c r="G1169" s="564"/>
      <c r="H1169" s="564"/>
      <c r="I1169" s="564"/>
      <c r="J1169" s="564"/>
      <c r="K1169" s="564"/>
      <c r="L1169" s="564"/>
      <c r="M1169" s="564"/>
      <c r="N1169" s="564"/>
      <c r="O1169" s="564"/>
      <c r="P1169" s="564"/>
      <c r="Q1169" s="564"/>
      <c r="R1169" s="564"/>
      <c r="S1169" s="564"/>
      <c r="T1169" s="564"/>
      <c r="U1169" s="564"/>
      <c r="V1169" s="564"/>
      <c r="W1169" s="564"/>
      <c r="X1169" s="564"/>
      <c r="Y1169" s="564"/>
      <c r="Z1169" s="564"/>
      <c r="AA1169" s="564"/>
      <c r="AB1169" s="556"/>
      <c r="AC1169" s="556"/>
      <c r="AD1169" s="556"/>
      <c r="AE1169" s="556"/>
      <c r="AF1169" s="556"/>
      <c r="AG1169" s="556"/>
      <c r="AH1169" s="556"/>
      <c r="AI1169" s="556"/>
      <c r="AJ1169" s="556"/>
      <c r="AK1169" s="556"/>
      <c r="AL1169" s="556"/>
      <c r="AM1169" s="556"/>
      <c r="AN1169" s="556"/>
      <c r="AO1169" s="556"/>
      <c r="AP1169" s="556"/>
      <c r="AQ1169" s="556"/>
      <c r="AR1169" s="556"/>
      <c r="AS1169" s="565"/>
      <c r="AT1169" s="556"/>
    </row>
    <row r="1170" spans="1:46" hidden="1" x14ac:dyDescent="0.45">
      <c r="A1170" s="556"/>
      <c r="B1170" s="556"/>
      <c r="C1170" s="556"/>
      <c r="D1170" s="564"/>
      <c r="E1170" s="556"/>
      <c r="F1170" s="564"/>
      <c r="G1170" s="564"/>
      <c r="H1170" s="564"/>
      <c r="I1170" s="564"/>
      <c r="J1170" s="564"/>
      <c r="K1170" s="564"/>
      <c r="L1170" s="564"/>
      <c r="M1170" s="564"/>
      <c r="N1170" s="564"/>
      <c r="O1170" s="564"/>
      <c r="P1170" s="564"/>
      <c r="Q1170" s="564"/>
      <c r="R1170" s="564"/>
      <c r="S1170" s="564"/>
      <c r="T1170" s="564"/>
      <c r="U1170" s="564"/>
      <c r="V1170" s="564"/>
      <c r="W1170" s="564"/>
      <c r="X1170" s="564"/>
      <c r="Y1170" s="564"/>
      <c r="Z1170" s="564"/>
      <c r="AA1170" s="564"/>
      <c r="AB1170" s="556"/>
      <c r="AC1170" s="556"/>
      <c r="AD1170" s="556"/>
      <c r="AE1170" s="556"/>
      <c r="AF1170" s="556"/>
      <c r="AG1170" s="556"/>
      <c r="AH1170" s="556"/>
      <c r="AI1170" s="556"/>
      <c r="AJ1170" s="556"/>
      <c r="AK1170" s="556"/>
      <c r="AL1170" s="556"/>
      <c r="AM1170" s="556"/>
      <c r="AN1170" s="556"/>
      <c r="AO1170" s="556"/>
      <c r="AP1170" s="556"/>
      <c r="AQ1170" s="556"/>
      <c r="AR1170" s="556"/>
      <c r="AS1170" s="565"/>
      <c r="AT1170" s="556"/>
    </row>
    <row r="1171" spans="1:46" hidden="1" x14ac:dyDescent="0.45">
      <c r="A1171" s="556"/>
      <c r="B1171" s="556"/>
      <c r="C1171" s="556"/>
      <c r="D1171" s="564"/>
      <c r="E1171" s="556"/>
      <c r="F1171" s="564"/>
      <c r="G1171" s="564"/>
      <c r="H1171" s="564"/>
      <c r="I1171" s="564"/>
      <c r="J1171" s="564"/>
      <c r="K1171" s="564"/>
      <c r="L1171" s="564"/>
      <c r="M1171" s="564"/>
      <c r="N1171" s="564"/>
      <c r="O1171" s="564"/>
      <c r="P1171" s="564"/>
      <c r="Q1171" s="564"/>
      <c r="R1171" s="564"/>
      <c r="S1171" s="564"/>
      <c r="T1171" s="564"/>
      <c r="U1171" s="564"/>
      <c r="V1171" s="564"/>
      <c r="W1171" s="564"/>
      <c r="X1171" s="564"/>
      <c r="Y1171" s="564"/>
      <c r="Z1171" s="564"/>
      <c r="AA1171" s="564"/>
      <c r="AB1171" s="556"/>
      <c r="AC1171" s="556"/>
      <c r="AD1171" s="556"/>
      <c r="AE1171" s="556"/>
      <c r="AF1171" s="556"/>
      <c r="AG1171" s="556"/>
      <c r="AH1171" s="556"/>
      <c r="AI1171" s="556"/>
      <c r="AJ1171" s="556"/>
      <c r="AK1171" s="556"/>
      <c r="AL1171" s="556"/>
      <c r="AM1171" s="556"/>
      <c r="AN1171" s="556"/>
      <c r="AO1171" s="556"/>
      <c r="AP1171" s="556"/>
      <c r="AQ1171" s="556"/>
      <c r="AR1171" s="556"/>
      <c r="AS1171" s="565"/>
      <c r="AT1171" s="556"/>
    </row>
    <row r="1172" spans="1:46" hidden="1" x14ac:dyDescent="0.45">
      <c r="A1172" s="556"/>
      <c r="B1172" s="556"/>
      <c r="C1172" s="556"/>
      <c r="D1172" s="564"/>
      <c r="E1172" s="556"/>
      <c r="F1172" s="564"/>
      <c r="G1172" s="564"/>
      <c r="H1172" s="564"/>
      <c r="I1172" s="564"/>
      <c r="J1172" s="564"/>
      <c r="K1172" s="564"/>
      <c r="L1172" s="564"/>
      <c r="M1172" s="564"/>
      <c r="N1172" s="564"/>
      <c r="O1172" s="564"/>
      <c r="P1172" s="564"/>
      <c r="Q1172" s="564"/>
      <c r="R1172" s="564"/>
      <c r="S1172" s="564"/>
      <c r="T1172" s="564"/>
      <c r="U1172" s="564"/>
      <c r="V1172" s="564"/>
      <c r="W1172" s="564"/>
      <c r="X1172" s="564"/>
      <c r="Y1172" s="564"/>
      <c r="Z1172" s="564"/>
      <c r="AA1172" s="564"/>
      <c r="AB1172" s="556"/>
      <c r="AC1172" s="556"/>
      <c r="AD1172" s="556"/>
      <c r="AE1172" s="556"/>
      <c r="AF1172" s="556"/>
      <c r="AG1172" s="556"/>
      <c r="AH1172" s="556"/>
      <c r="AI1172" s="556"/>
      <c r="AJ1172" s="556"/>
      <c r="AK1172" s="556"/>
      <c r="AL1172" s="556"/>
      <c r="AM1172" s="556"/>
      <c r="AN1172" s="556"/>
      <c r="AO1172" s="556"/>
      <c r="AP1172" s="556"/>
      <c r="AQ1172" s="556"/>
      <c r="AR1172" s="556"/>
      <c r="AS1172" s="565"/>
      <c r="AT1172" s="556"/>
    </row>
    <row r="1173" spans="1:46" hidden="1" x14ac:dyDescent="0.45">
      <c r="A1173" s="556"/>
      <c r="B1173" s="556"/>
      <c r="C1173" s="556"/>
      <c r="D1173" s="564"/>
      <c r="E1173" s="556"/>
      <c r="F1173" s="564"/>
      <c r="G1173" s="564"/>
      <c r="H1173" s="564"/>
      <c r="I1173" s="564"/>
      <c r="J1173" s="564"/>
      <c r="K1173" s="564"/>
      <c r="L1173" s="564"/>
      <c r="M1173" s="564"/>
      <c r="N1173" s="564"/>
      <c r="O1173" s="564"/>
      <c r="P1173" s="564"/>
      <c r="Q1173" s="564"/>
      <c r="R1173" s="564"/>
      <c r="S1173" s="564"/>
      <c r="T1173" s="564"/>
      <c r="U1173" s="564"/>
      <c r="V1173" s="564"/>
      <c r="W1173" s="564"/>
      <c r="X1173" s="564"/>
      <c r="Y1173" s="564"/>
      <c r="Z1173" s="564"/>
      <c r="AA1173" s="564"/>
      <c r="AB1173" s="556"/>
      <c r="AC1173" s="556"/>
      <c r="AD1173" s="556"/>
      <c r="AE1173" s="556"/>
      <c r="AF1173" s="556"/>
      <c r="AG1173" s="556"/>
      <c r="AH1173" s="556"/>
      <c r="AI1173" s="556"/>
      <c r="AJ1173" s="556"/>
      <c r="AK1173" s="556"/>
      <c r="AL1173" s="556"/>
      <c r="AM1173" s="556"/>
      <c r="AN1173" s="556"/>
      <c r="AO1173" s="556"/>
      <c r="AP1173" s="556"/>
      <c r="AQ1173" s="556"/>
      <c r="AR1173" s="556"/>
      <c r="AS1173" s="565"/>
      <c r="AT1173" s="556"/>
    </row>
    <row r="1174" spans="1:46" hidden="1" x14ac:dyDescent="0.45">
      <c r="A1174" s="556"/>
      <c r="B1174" s="556"/>
      <c r="C1174" s="556"/>
      <c r="D1174" s="564"/>
      <c r="E1174" s="556"/>
      <c r="F1174" s="564"/>
      <c r="G1174" s="564"/>
      <c r="H1174" s="564"/>
      <c r="I1174" s="564"/>
      <c r="J1174" s="564"/>
      <c r="K1174" s="564"/>
      <c r="L1174" s="564"/>
      <c r="M1174" s="564"/>
      <c r="N1174" s="564"/>
      <c r="O1174" s="564"/>
      <c r="P1174" s="564"/>
      <c r="Q1174" s="564"/>
      <c r="R1174" s="564"/>
      <c r="S1174" s="564"/>
      <c r="T1174" s="564"/>
      <c r="U1174" s="564"/>
      <c r="V1174" s="564"/>
      <c r="W1174" s="564"/>
      <c r="X1174" s="564"/>
      <c r="Y1174" s="564"/>
      <c r="Z1174" s="564"/>
      <c r="AA1174" s="564"/>
      <c r="AB1174" s="556"/>
      <c r="AC1174" s="556"/>
      <c r="AD1174" s="556"/>
      <c r="AE1174" s="556"/>
      <c r="AF1174" s="556"/>
      <c r="AG1174" s="556"/>
      <c r="AH1174" s="556"/>
      <c r="AI1174" s="556"/>
      <c r="AJ1174" s="556"/>
      <c r="AK1174" s="556"/>
      <c r="AL1174" s="556"/>
      <c r="AM1174" s="556"/>
      <c r="AN1174" s="556"/>
      <c r="AO1174" s="556"/>
      <c r="AP1174" s="556"/>
      <c r="AQ1174" s="556"/>
      <c r="AR1174" s="556"/>
      <c r="AS1174" s="565"/>
      <c r="AT1174" s="556"/>
    </row>
    <row r="1175" spans="1:46" hidden="1" x14ac:dyDescent="0.45">
      <c r="A1175" s="556"/>
      <c r="B1175" s="556"/>
      <c r="C1175" s="556"/>
      <c r="D1175" s="564"/>
      <c r="E1175" s="556"/>
      <c r="F1175" s="564"/>
      <c r="G1175" s="564"/>
      <c r="H1175" s="564"/>
      <c r="I1175" s="564"/>
      <c r="J1175" s="564"/>
      <c r="K1175" s="564"/>
      <c r="L1175" s="564"/>
      <c r="M1175" s="564"/>
      <c r="N1175" s="564"/>
      <c r="O1175" s="564"/>
      <c r="P1175" s="564"/>
      <c r="Q1175" s="564"/>
      <c r="R1175" s="564"/>
      <c r="S1175" s="564"/>
      <c r="T1175" s="564"/>
      <c r="U1175" s="564"/>
      <c r="V1175" s="564"/>
      <c r="W1175" s="564"/>
      <c r="X1175" s="564"/>
      <c r="Y1175" s="564"/>
      <c r="Z1175" s="564"/>
      <c r="AA1175" s="564"/>
      <c r="AB1175" s="556"/>
      <c r="AC1175" s="556"/>
      <c r="AD1175" s="556"/>
      <c r="AE1175" s="556"/>
      <c r="AF1175" s="556"/>
      <c r="AG1175" s="556"/>
      <c r="AH1175" s="556"/>
      <c r="AI1175" s="556"/>
      <c r="AJ1175" s="556"/>
      <c r="AK1175" s="556"/>
      <c r="AL1175" s="556"/>
      <c r="AM1175" s="556"/>
      <c r="AN1175" s="556"/>
      <c r="AO1175" s="556"/>
      <c r="AP1175" s="556"/>
      <c r="AQ1175" s="556"/>
      <c r="AR1175" s="556"/>
      <c r="AS1175" s="565"/>
      <c r="AT1175" s="556"/>
    </row>
    <row r="1176" spans="1:46" hidden="1" x14ac:dyDescent="0.45">
      <c r="A1176" s="556"/>
      <c r="B1176" s="556"/>
      <c r="C1176" s="556"/>
      <c r="D1176" s="564"/>
      <c r="E1176" s="556"/>
      <c r="F1176" s="564"/>
      <c r="G1176" s="564"/>
      <c r="H1176" s="564"/>
      <c r="I1176" s="564"/>
      <c r="J1176" s="564"/>
      <c r="K1176" s="564"/>
      <c r="L1176" s="564"/>
      <c r="M1176" s="564"/>
      <c r="N1176" s="564"/>
      <c r="O1176" s="564"/>
      <c r="P1176" s="564"/>
      <c r="Q1176" s="564"/>
      <c r="R1176" s="564"/>
      <c r="S1176" s="564"/>
      <c r="T1176" s="564"/>
      <c r="U1176" s="564"/>
      <c r="V1176" s="564"/>
      <c r="W1176" s="564"/>
      <c r="X1176" s="564"/>
      <c r="Y1176" s="564"/>
      <c r="Z1176" s="564"/>
      <c r="AA1176" s="564"/>
      <c r="AB1176" s="556"/>
      <c r="AC1176" s="556"/>
      <c r="AD1176" s="556"/>
      <c r="AE1176" s="556"/>
      <c r="AF1176" s="556"/>
      <c r="AG1176" s="556"/>
      <c r="AH1176" s="556"/>
      <c r="AI1176" s="556"/>
      <c r="AJ1176" s="556"/>
      <c r="AK1176" s="556"/>
      <c r="AL1176" s="556"/>
      <c r="AM1176" s="556"/>
      <c r="AN1176" s="556"/>
      <c r="AO1176" s="556"/>
      <c r="AP1176" s="556"/>
      <c r="AQ1176" s="556"/>
      <c r="AR1176" s="556"/>
      <c r="AS1176" s="565"/>
      <c r="AT1176" s="556"/>
    </row>
    <row r="1177" spans="1:46" hidden="1" x14ac:dyDescent="0.45">
      <c r="A1177" s="556"/>
      <c r="B1177" s="556"/>
      <c r="C1177" s="556"/>
      <c r="D1177" s="564"/>
      <c r="E1177" s="556"/>
      <c r="F1177" s="564"/>
      <c r="G1177" s="564"/>
      <c r="H1177" s="564"/>
      <c r="I1177" s="564"/>
      <c r="J1177" s="564"/>
      <c r="K1177" s="564"/>
      <c r="L1177" s="564"/>
      <c r="M1177" s="564"/>
      <c r="N1177" s="564"/>
      <c r="O1177" s="564"/>
      <c r="P1177" s="564"/>
      <c r="Q1177" s="564"/>
      <c r="R1177" s="564"/>
      <c r="S1177" s="564"/>
      <c r="T1177" s="564"/>
      <c r="U1177" s="564"/>
      <c r="V1177" s="564"/>
      <c r="W1177" s="564"/>
      <c r="X1177" s="564"/>
      <c r="Y1177" s="564"/>
      <c r="Z1177" s="564"/>
      <c r="AA1177" s="564"/>
      <c r="AB1177" s="556"/>
      <c r="AC1177" s="556"/>
      <c r="AD1177" s="556"/>
      <c r="AE1177" s="556"/>
      <c r="AF1177" s="556"/>
      <c r="AG1177" s="556"/>
      <c r="AH1177" s="556"/>
      <c r="AI1177" s="556"/>
      <c r="AJ1177" s="556"/>
      <c r="AK1177" s="556"/>
      <c r="AL1177" s="556"/>
      <c r="AM1177" s="556"/>
      <c r="AN1177" s="556"/>
      <c r="AO1177" s="556"/>
      <c r="AP1177" s="556"/>
      <c r="AQ1177" s="556"/>
      <c r="AR1177" s="556"/>
      <c r="AS1177" s="565"/>
      <c r="AT1177" s="556"/>
    </row>
    <row r="1178" spans="1:46" hidden="1" x14ac:dyDescent="0.45">
      <c r="A1178" s="556"/>
      <c r="B1178" s="556"/>
      <c r="C1178" s="556"/>
      <c r="D1178" s="564"/>
      <c r="E1178" s="556"/>
      <c r="F1178" s="564"/>
      <c r="G1178" s="564"/>
      <c r="H1178" s="564"/>
      <c r="I1178" s="564"/>
      <c r="J1178" s="564"/>
      <c r="K1178" s="564"/>
      <c r="L1178" s="564"/>
      <c r="M1178" s="564"/>
      <c r="N1178" s="564"/>
      <c r="O1178" s="564"/>
      <c r="P1178" s="564"/>
      <c r="Q1178" s="564"/>
      <c r="R1178" s="564"/>
      <c r="S1178" s="564"/>
      <c r="T1178" s="564"/>
      <c r="U1178" s="564"/>
      <c r="V1178" s="564"/>
      <c r="W1178" s="564"/>
      <c r="X1178" s="564"/>
      <c r="Y1178" s="564"/>
      <c r="Z1178" s="564"/>
      <c r="AA1178" s="564"/>
      <c r="AB1178" s="556"/>
      <c r="AC1178" s="556"/>
      <c r="AD1178" s="556"/>
      <c r="AE1178" s="556"/>
      <c r="AF1178" s="556"/>
      <c r="AG1178" s="556"/>
      <c r="AH1178" s="556"/>
      <c r="AI1178" s="556"/>
      <c r="AJ1178" s="556"/>
      <c r="AK1178" s="556"/>
      <c r="AL1178" s="556"/>
      <c r="AM1178" s="556"/>
      <c r="AN1178" s="556"/>
      <c r="AO1178" s="556"/>
      <c r="AP1178" s="556"/>
      <c r="AQ1178" s="556"/>
      <c r="AR1178" s="556"/>
      <c r="AS1178" s="565"/>
      <c r="AT1178" s="556"/>
    </row>
    <row r="1179" spans="1:46" hidden="1" x14ac:dyDescent="0.45">
      <c r="A1179" s="556"/>
      <c r="B1179" s="556"/>
      <c r="C1179" s="556"/>
      <c r="D1179" s="564"/>
      <c r="E1179" s="556"/>
      <c r="F1179" s="564"/>
      <c r="G1179" s="564"/>
      <c r="H1179" s="564"/>
      <c r="I1179" s="564"/>
      <c r="J1179" s="564"/>
      <c r="K1179" s="564"/>
      <c r="L1179" s="564"/>
      <c r="M1179" s="564"/>
      <c r="N1179" s="564"/>
      <c r="O1179" s="564"/>
      <c r="P1179" s="564"/>
      <c r="Q1179" s="564"/>
      <c r="R1179" s="564"/>
      <c r="S1179" s="564"/>
      <c r="T1179" s="564"/>
      <c r="U1179" s="564"/>
      <c r="V1179" s="564"/>
      <c r="W1179" s="564"/>
      <c r="X1179" s="564"/>
      <c r="Y1179" s="564"/>
      <c r="Z1179" s="564"/>
      <c r="AA1179" s="564"/>
      <c r="AB1179" s="556"/>
      <c r="AC1179" s="556"/>
      <c r="AD1179" s="556"/>
      <c r="AE1179" s="556"/>
      <c r="AF1179" s="556"/>
      <c r="AG1179" s="556"/>
      <c r="AH1179" s="556"/>
      <c r="AI1179" s="556"/>
      <c r="AJ1179" s="556"/>
      <c r="AK1179" s="556"/>
      <c r="AL1179" s="556"/>
      <c r="AM1179" s="556"/>
      <c r="AN1179" s="556"/>
      <c r="AO1179" s="556"/>
      <c r="AP1179" s="556"/>
      <c r="AQ1179" s="556"/>
      <c r="AR1179" s="556"/>
      <c r="AS1179" s="565"/>
      <c r="AT1179" s="556"/>
    </row>
    <row r="1180" spans="1:46" hidden="1" x14ac:dyDescent="0.45">
      <c r="A1180" s="556"/>
      <c r="B1180" s="556"/>
      <c r="C1180" s="556"/>
      <c r="D1180" s="564"/>
      <c r="E1180" s="556"/>
      <c r="F1180" s="564"/>
      <c r="G1180" s="564"/>
      <c r="H1180" s="564"/>
      <c r="I1180" s="564"/>
      <c r="J1180" s="564"/>
      <c r="K1180" s="564"/>
      <c r="L1180" s="564"/>
      <c r="M1180" s="564"/>
      <c r="N1180" s="564"/>
      <c r="O1180" s="564"/>
      <c r="P1180" s="564"/>
      <c r="Q1180" s="564"/>
      <c r="R1180" s="564"/>
      <c r="S1180" s="564"/>
      <c r="T1180" s="564"/>
      <c r="U1180" s="564"/>
      <c r="V1180" s="564"/>
      <c r="W1180" s="564"/>
      <c r="X1180" s="564"/>
      <c r="Y1180" s="564"/>
      <c r="Z1180" s="564"/>
      <c r="AA1180" s="564"/>
      <c r="AB1180" s="556"/>
      <c r="AC1180" s="556"/>
      <c r="AD1180" s="556"/>
      <c r="AE1180" s="556"/>
      <c r="AF1180" s="556"/>
      <c r="AG1180" s="556"/>
      <c r="AH1180" s="556"/>
      <c r="AI1180" s="556"/>
      <c r="AJ1180" s="556"/>
      <c r="AK1180" s="556"/>
      <c r="AL1180" s="556"/>
      <c r="AM1180" s="556"/>
      <c r="AN1180" s="556"/>
      <c r="AO1180" s="556"/>
      <c r="AP1180" s="556"/>
      <c r="AQ1180" s="556"/>
      <c r="AR1180" s="556"/>
      <c r="AS1180" s="565"/>
      <c r="AT1180" s="556"/>
    </row>
    <row r="1181" spans="1:46" hidden="1" x14ac:dyDescent="0.45">
      <c r="A1181" s="556"/>
      <c r="B1181" s="556"/>
      <c r="C1181" s="556"/>
      <c r="D1181" s="564"/>
      <c r="E1181" s="556"/>
      <c r="F1181" s="564"/>
      <c r="G1181" s="564"/>
      <c r="H1181" s="564"/>
      <c r="I1181" s="564"/>
      <c r="J1181" s="564"/>
      <c r="K1181" s="564"/>
      <c r="L1181" s="564"/>
      <c r="M1181" s="564"/>
      <c r="N1181" s="564"/>
      <c r="O1181" s="564"/>
      <c r="P1181" s="564"/>
      <c r="Q1181" s="564"/>
      <c r="R1181" s="564"/>
      <c r="S1181" s="564"/>
      <c r="T1181" s="564"/>
      <c r="U1181" s="564"/>
      <c r="V1181" s="564"/>
      <c r="W1181" s="564"/>
      <c r="X1181" s="564"/>
      <c r="Y1181" s="564"/>
      <c r="Z1181" s="564"/>
      <c r="AA1181" s="564"/>
      <c r="AB1181" s="556"/>
      <c r="AC1181" s="556"/>
      <c r="AD1181" s="556"/>
      <c r="AE1181" s="556"/>
      <c r="AF1181" s="556"/>
      <c r="AG1181" s="556"/>
      <c r="AH1181" s="556"/>
      <c r="AI1181" s="556"/>
      <c r="AJ1181" s="556"/>
      <c r="AK1181" s="556"/>
      <c r="AL1181" s="556"/>
      <c r="AM1181" s="556"/>
      <c r="AN1181" s="556"/>
      <c r="AO1181" s="556"/>
      <c r="AP1181" s="556"/>
      <c r="AQ1181" s="556"/>
      <c r="AR1181" s="556"/>
      <c r="AS1181" s="565"/>
      <c r="AT1181" s="556"/>
    </row>
    <row r="1182" spans="1:46" hidden="1" x14ac:dyDescent="0.45">
      <c r="A1182" s="556"/>
      <c r="B1182" s="556"/>
      <c r="C1182" s="556"/>
      <c r="D1182" s="564"/>
      <c r="E1182" s="556"/>
      <c r="F1182" s="564"/>
      <c r="G1182" s="564"/>
      <c r="H1182" s="564"/>
      <c r="I1182" s="564"/>
      <c r="J1182" s="564"/>
      <c r="K1182" s="564"/>
      <c r="L1182" s="564"/>
      <c r="M1182" s="564"/>
      <c r="N1182" s="564"/>
      <c r="O1182" s="564"/>
      <c r="P1182" s="564"/>
      <c r="Q1182" s="564"/>
      <c r="R1182" s="564"/>
      <c r="S1182" s="564"/>
      <c r="T1182" s="564"/>
      <c r="U1182" s="564"/>
      <c r="V1182" s="564"/>
      <c r="W1182" s="564"/>
      <c r="X1182" s="564"/>
      <c r="Y1182" s="564"/>
      <c r="Z1182" s="564"/>
      <c r="AA1182" s="564"/>
      <c r="AB1182" s="556"/>
      <c r="AC1182" s="556"/>
      <c r="AD1182" s="556"/>
      <c r="AE1182" s="556"/>
      <c r="AF1182" s="556"/>
      <c r="AG1182" s="556"/>
      <c r="AH1182" s="556"/>
      <c r="AI1182" s="556"/>
      <c r="AJ1182" s="556"/>
      <c r="AK1182" s="556"/>
      <c r="AL1182" s="556"/>
      <c r="AM1182" s="556"/>
      <c r="AN1182" s="556"/>
      <c r="AO1182" s="556"/>
      <c r="AP1182" s="556"/>
      <c r="AQ1182" s="556"/>
      <c r="AR1182" s="556"/>
      <c r="AS1182" s="565"/>
      <c r="AT1182" s="556"/>
    </row>
    <row r="1183" spans="1:46" hidden="1" x14ac:dyDescent="0.45">
      <c r="A1183" s="556"/>
      <c r="B1183" s="556"/>
      <c r="C1183" s="556"/>
      <c r="D1183" s="564"/>
      <c r="E1183" s="556"/>
      <c r="F1183" s="564"/>
      <c r="G1183" s="564"/>
      <c r="H1183" s="564"/>
      <c r="I1183" s="564"/>
      <c r="J1183" s="564"/>
      <c r="K1183" s="564"/>
      <c r="L1183" s="564"/>
      <c r="M1183" s="564"/>
      <c r="N1183" s="564"/>
      <c r="O1183" s="564"/>
      <c r="P1183" s="564"/>
      <c r="Q1183" s="564"/>
      <c r="R1183" s="564"/>
      <c r="S1183" s="564"/>
      <c r="T1183" s="564"/>
      <c r="U1183" s="564"/>
      <c r="V1183" s="564"/>
      <c r="W1183" s="564"/>
      <c r="X1183" s="564"/>
      <c r="Y1183" s="564"/>
      <c r="Z1183" s="564"/>
      <c r="AA1183" s="564"/>
      <c r="AB1183" s="556"/>
      <c r="AC1183" s="556"/>
      <c r="AD1183" s="556"/>
      <c r="AE1183" s="556"/>
      <c r="AF1183" s="556"/>
      <c r="AG1183" s="556"/>
      <c r="AH1183" s="556"/>
      <c r="AI1183" s="556"/>
      <c r="AJ1183" s="556"/>
      <c r="AK1183" s="556"/>
      <c r="AL1183" s="556"/>
      <c r="AM1183" s="556"/>
      <c r="AN1183" s="556"/>
      <c r="AO1183" s="556"/>
      <c r="AP1183" s="556"/>
      <c r="AQ1183" s="556"/>
      <c r="AR1183" s="556"/>
      <c r="AS1183" s="565"/>
      <c r="AT1183" s="556"/>
    </row>
    <row r="1184" spans="1:46" hidden="1" x14ac:dyDescent="0.45">
      <c r="A1184" s="556"/>
      <c r="B1184" s="556"/>
      <c r="C1184" s="556"/>
      <c r="D1184" s="564"/>
      <c r="E1184" s="556"/>
      <c r="F1184" s="564"/>
      <c r="G1184" s="564"/>
      <c r="H1184" s="564"/>
      <c r="I1184" s="564"/>
      <c r="J1184" s="564"/>
      <c r="K1184" s="564"/>
      <c r="L1184" s="564"/>
      <c r="M1184" s="564"/>
      <c r="N1184" s="564"/>
      <c r="O1184" s="564"/>
      <c r="P1184" s="564"/>
      <c r="Q1184" s="564"/>
      <c r="R1184" s="564"/>
      <c r="S1184" s="564"/>
      <c r="T1184" s="564"/>
      <c r="U1184" s="564"/>
      <c r="V1184" s="564"/>
      <c r="W1184" s="564"/>
      <c r="X1184" s="564"/>
      <c r="Y1184" s="564"/>
      <c r="Z1184" s="564"/>
      <c r="AA1184" s="564"/>
      <c r="AB1184" s="556"/>
      <c r="AC1184" s="556"/>
      <c r="AD1184" s="556"/>
      <c r="AE1184" s="556"/>
      <c r="AF1184" s="556"/>
      <c r="AG1184" s="556"/>
      <c r="AH1184" s="556"/>
      <c r="AI1184" s="556"/>
      <c r="AJ1184" s="556"/>
      <c r="AK1184" s="556"/>
      <c r="AL1184" s="556"/>
      <c r="AM1184" s="556"/>
      <c r="AN1184" s="556"/>
      <c r="AO1184" s="556"/>
      <c r="AP1184" s="556"/>
      <c r="AQ1184" s="556"/>
      <c r="AR1184" s="556"/>
      <c r="AS1184" s="565"/>
      <c r="AT1184" s="556"/>
    </row>
    <row r="1185" spans="1:46" hidden="1" x14ac:dyDescent="0.45">
      <c r="A1185" s="556"/>
      <c r="B1185" s="556"/>
      <c r="C1185" s="556"/>
      <c r="D1185" s="564"/>
      <c r="E1185" s="556"/>
      <c r="F1185" s="564"/>
      <c r="G1185" s="564"/>
      <c r="H1185" s="564"/>
      <c r="I1185" s="564"/>
      <c r="J1185" s="564"/>
      <c r="K1185" s="564"/>
      <c r="L1185" s="564"/>
      <c r="M1185" s="564"/>
      <c r="N1185" s="564"/>
      <c r="O1185" s="564"/>
      <c r="P1185" s="564"/>
      <c r="Q1185" s="564"/>
      <c r="R1185" s="564"/>
      <c r="S1185" s="564"/>
      <c r="T1185" s="564"/>
      <c r="U1185" s="564"/>
      <c r="V1185" s="564"/>
      <c r="W1185" s="564"/>
      <c r="X1185" s="564"/>
      <c r="Y1185" s="564"/>
      <c r="Z1185" s="564"/>
      <c r="AA1185" s="564"/>
      <c r="AB1185" s="556"/>
      <c r="AC1185" s="556"/>
      <c r="AD1185" s="556"/>
      <c r="AE1185" s="556"/>
      <c r="AF1185" s="556"/>
      <c r="AG1185" s="556"/>
      <c r="AH1185" s="556"/>
      <c r="AI1185" s="556"/>
      <c r="AJ1185" s="556"/>
      <c r="AK1185" s="556"/>
      <c r="AL1185" s="556"/>
      <c r="AM1185" s="556"/>
      <c r="AN1185" s="556"/>
      <c r="AO1185" s="556"/>
      <c r="AP1185" s="556"/>
      <c r="AQ1185" s="556"/>
      <c r="AR1185" s="556"/>
      <c r="AS1185" s="565"/>
      <c r="AT1185" s="556"/>
    </row>
    <row r="1186" spans="1:46" hidden="1" x14ac:dyDescent="0.45">
      <c r="A1186" s="556"/>
      <c r="B1186" s="556"/>
      <c r="C1186" s="556"/>
      <c r="D1186" s="564"/>
      <c r="E1186" s="556"/>
      <c r="F1186" s="564"/>
      <c r="G1186" s="564"/>
      <c r="H1186" s="564"/>
      <c r="I1186" s="564"/>
      <c r="J1186" s="564"/>
      <c r="K1186" s="564"/>
      <c r="L1186" s="564"/>
      <c r="M1186" s="564"/>
      <c r="N1186" s="564"/>
      <c r="O1186" s="564"/>
      <c r="P1186" s="564"/>
      <c r="Q1186" s="564"/>
      <c r="R1186" s="564"/>
      <c r="S1186" s="564"/>
      <c r="T1186" s="564"/>
      <c r="U1186" s="564"/>
      <c r="V1186" s="564"/>
      <c r="W1186" s="564"/>
      <c r="X1186" s="564"/>
      <c r="Y1186" s="564"/>
      <c r="Z1186" s="564"/>
      <c r="AA1186" s="564"/>
      <c r="AB1186" s="556"/>
      <c r="AC1186" s="556"/>
      <c r="AD1186" s="556"/>
      <c r="AE1186" s="556"/>
      <c r="AF1186" s="556"/>
      <c r="AG1186" s="556"/>
      <c r="AH1186" s="556"/>
      <c r="AI1186" s="556"/>
      <c r="AJ1186" s="556"/>
      <c r="AK1186" s="556"/>
      <c r="AL1186" s="556"/>
      <c r="AM1186" s="556"/>
      <c r="AN1186" s="556"/>
      <c r="AO1186" s="556"/>
      <c r="AP1186" s="556"/>
      <c r="AQ1186" s="556"/>
      <c r="AR1186" s="556"/>
      <c r="AS1186" s="565"/>
      <c r="AT1186" s="556"/>
    </row>
    <row r="1187" spans="1:46" hidden="1" x14ac:dyDescent="0.45">
      <c r="A1187" s="556"/>
      <c r="B1187" s="556"/>
      <c r="C1187" s="556"/>
      <c r="D1187" s="564"/>
      <c r="E1187" s="556"/>
      <c r="F1187" s="564"/>
      <c r="G1187" s="564"/>
      <c r="H1187" s="564"/>
      <c r="I1187" s="564"/>
      <c r="J1187" s="564"/>
      <c r="K1187" s="564"/>
      <c r="L1187" s="564"/>
      <c r="M1187" s="564"/>
      <c r="N1187" s="564"/>
      <c r="O1187" s="564"/>
      <c r="P1187" s="564"/>
      <c r="Q1187" s="564"/>
      <c r="R1187" s="564"/>
      <c r="S1187" s="564"/>
      <c r="T1187" s="564"/>
      <c r="U1187" s="564"/>
      <c r="V1187" s="564"/>
      <c r="W1187" s="564"/>
      <c r="X1187" s="564"/>
      <c r="Y1187" s="564"/>
      <c r="Z1187" s="564"/>
      <c r="AA1187" s="564"/>
      <c r="AB1187" s="556"/>
      <c r="AC1187" s="556"/>
      <c r="AD1187" s="556"/>
      <c r="AE1187" s="556"/>
      <c r="AF1187" s="556"/>
      <c r="AG1187" s="556"/>
      <c r="AH1187" s="556"/>
      <c r="AI1187" s="556"/>
      <c r="AJ1187" s="556"/>
      <c r="AK1187" s="556"/>
      <c r="AL1187" s="556"/>
      <c r="AM1187" s="556"/>
      <c r="AN1187" s="556"/>
      <c r="AO1187" s="556"/>
      <c r="AP1187" s="556"/>
      <c r="AQ1187" s="556"/>
      <c r="AR1187" s="556"/>
      <c r="AS1187" s="565"/>
      <c r="AT1187" s="556"/>
    </row>
    <row r="1188" spans="1:46" hidden="1" x14ac:dyDescent="0.45">
      <c r="A1188" s="556"/>
      <c r="B1188" s="556"/>
      <c r="C1188" s="556"/>
      <c r="D1188" s="564"/>
      <c r="E1188" s="556"/>
      <c r="F1188" s="564"/>
      <c r="G1188" s="564"/>
      <c r="H1188" s="564"/>
      <c r="I1188" s="564"/>
      <c r="J1188" s="564"/>
      <c r="K1188" s="564"/>
      <c r="L1188" s="564"/>
      <c r="M1188" s="564"/>
      <c r="N1188" s="564"/>
      <c r="O1188" s="564"/>
      <c r="P1188" s="564"/>
      <c r="Q1188" s="564"/>
      <c r="R1188" s="564"/>
      <c r="S1188" s="564"/>
      <c r="T1188" s="564"/>
      <c r="U1188" s="564"/>
      <c r="V1188" s="564"/>
      <c r="W1188" s="564"/>
      <c r="X1188" s="564"/>
      <c r="Y1188" s="564"/>
      <c r="Z1188" s="564"/>
      <c r="AA1188" s="564"/>
      <c r="AB1188" s="556"/>
      <c r="AC1188" s="556"/>
      <c r="AD1188" s="556"/>
      <c r="AE1188" s="556"/>
      <c r="AF1188" s="556"/>
      <c r="AG1188" s="556"/>
      <c r="AH1188" s="556"/>
      <c r="AI1188" s="556"/>
      <c r="AJ1188" s="556"/>
      <c r="AK1188" s="556"/>
      <c r="AL1188" s="556"/>
      <c r="AM1188" s="556"/>
      <c r="AN1188" s="556"/>
      <c r="AO1188" s="556"/>
      <c r="AP1188" s="556"/>
      <c r="AQ1188" s="556"/>
      <c r="AR1188" s="556"/>
      <c r="AS1188" s="565"/>
      <c r="AT1188" s="556"/>
    </row>
    <row r="1189" spans="1:46" hidden="1" x14ac:dyDescent="0.45">
      <c r="A1189" s="556"/>
      <c r="B1189" s="556"/>
      <c r="C1189" s="556"/>
      <c r="D1189" s="564"/>
      <c r="E1189" s="556"/>
      <c r="F1189" s="564"/>
      <c r="G1189" s="564"/>
      <c r="H1189" s="564"/>
      <c r="I1189" s="564"/>
      <c r="J1189" s="564"/>
      <c r="K1189" s="564"/>
      <c r="L1189" s="564"/>
      <c r="M1189" s="564"/>
      <c r="N1189" s="564"/>
      <c r="O1189" s="564"/>
      <c r="P1189" s="564"/>
      <c r="Q1189" s="564"/>
      <c r="R1189" s="564"/>
      <c r="S1189" s="564"/>
      <c r="T1189" s="564"/>
      <c r="U1189" s="564"/>
      <c r="V1189" s="564"/>
      <c r="W1189" s="564"/>
      <c r="X1189" s="564"/>
      <c r="Y1189" s="564"/>
      <c r="Z1189" s="564"/>
      <c r="AA1189" s="564"/>
      <c r="AB1189" s="556"/>
      <c r="AC1189" s="556"/>
      <c r="AD1189" s="556"/>
      <c r="AE1189" s="556"/>
      <c r="AF1189" s="556"/>
      <c r="AG1189" s="556"/>
      <c r="AH1189" s="556"/>
      <c r="AI1189" s="556"/>
      <c r="AJ1189" s="556"/>
      <c r="AK1189" s="556"/>
      <c r="AL1189" s="556"/>
      <c r="AM1189" s="556"/>
      <c r="AN1189" s="556"/>
      <c r="AO1189" s="556"/>
      <c r="AP1189" s="556"/>
      <c r="AQ1189" s="556"/>
      <c r="AR1189" s="556"/>
      <c r="AS1189" s="565"/>
      <c r="AT1189" s="556"/>
    </row>
    <row r="1190" spans="1:46" hidden="1" x14ac:dyDescent="0.45">
      <c r="A1190" s="556"/>
      <c r="B1190" s="556"/>
      <c r="C1190" s="556"/>
      <c r="D1190" s="564"/>
      <c r="E1190" s="556"/>
      <c r="F1190" s="564"/>
      <c r="G1190" s="564"/>
      <c r="H1190" s="564"/>
      <c r="I1190" s="564"/>
      <c r="J1190" s="564"/>
      <c r="K1190" s="564"/>
      <c r="L1190" s="564"/>
      <c r="M1190" s="564"/>
      <c r="N1190" s="564"/>
      <c r="O1190" s="564"/>
      <c r="P1190" s="564"/>
      <c r="Q1190" s="564"/>
      <c r="R1190" s="564"/>
      <c r="S1190" s="564"/>
      <c r="T1190" s="564"/>
      <c r="U1190" s="564"/>
      <c r="V1190" s="564"/>
      <c r="W1190" s="564"/>
      <c r="X1190" s="564"/>
      <c r="Y1190" s="564"/>
      <c r="Z1190" s="564"/>
      <c r="AA1190" s="564"/>
      <c r="AB1190" s="556"/>
      <c r="AC1190" s="556"/>
      <c r="AD1190" s="556"/>
      <c r="AE1190" s="556"/>
      <c r="AF1190" s="556"/>
      <c r="AG1190" s="556"/>
      <c r="AH1190" s="556"/>
      <c r="AI1190" s="556"/>
      <c r="AJ1190" s="556"/>
      <c r="AK1190" s="556"/>
      <c r="AL1190" s="556"/>
      <c r="AM1190" s="556"/>
      <c r="AN1190" s="556"/>
      <c r="AO1190" s="556"/>
      <c r="AP1190" s="556"/>
      <c r="AQ1190" s="556"/>
      <c r="AR1190" s="556"/>
      <c r="AS1190" s="565"/>
      <c r="AT1190" s="556"/>
    </row>
    <row r="1191" spans="1:46" hidden="1" x14ac:dyDescent="0.45">
      <c r="A1191" s="556"/>
      <c r="B1191" s="556"/>
      <c r="C1191" s="556"/>
      <c r="D1191" s="564"/>
      <c r="E1191" s="556"/>
      <c r="F1191" s="564"/>
      <c r="G1191" s="564"/>
      <c r="H1191" s="564"/>
      <c r="I1191" s="564"/>
      <c r="J1191" s="564"/>
      <c r="K1191" s="564"/>
      <c r="L1191" s="564"/>
      <c r="M1191" s="564"/>
      <c r="N1191" s="564"/>
      <c r="O1191" s="564"/>
      <c r="P1191" s="564"/>
      <c r="Q1191" s="564"/>
      <c r="R1191" s="564"/>
      <c r="S1191" s="564"/>
      <c r="T1191" s="564"/>
      <c r="U1191" s="564"/>
      <c r="V1191" s="564"/>
      <c r="W1191" s="564"/>
      <c r="X1191" s="564"/>
      <c r="Y1191" s="564"/>
      <c r="Z1191" s="564"/>
      <c r="AA1191" s="564"/>
      <c r="AB1191" s="556"/>
      <c r="AC1191" s="556"/>
      <c r="AD1191" s="556"/>
      <c r="AE1191" s="556"/>
      <c r="AF1191" s="556"/>
      <c r="AG1191" s="556"/>
      <c r="AH1191" s="556"/>
      <c r="AI1191" s="556"/>
      <c r="AJ1191" s="556"/>
      <c r="AK1191" s="556"/>
      <c r="AL1191" s="556"/>
      <c r="AM1191" s="556"/>
      <c r="AN1191" s="556"/>
      <c r="AO1191" s="556"/>
      <c r="AP1191" s="556"/>
      <c r="AQ1191" s="556"/>
      <c r="AR1191" s="556"/>
      <c r="AS1191" s="565"/>
      <c r="AT1191" s="556"/>
    </row>
    <row r="1192" spans="1:46" hidden="1" x14ac:dyDescent="0.45">
      <c r="A1192" s="556"/>
      <c r="B1192" s="556"/>
      <c r="C1192" s="556"/>
      <c r="D1192" s="564"/>
      <c r="E1192" s="556"/>
      <c r="F1192" s="564"/>
      <c r="G1192" s="564"/>
      <c r="H1192" s="564"/>
      <c r="I1192" s="564"/>
      <c r="J1192" s="564"/>
      <c r="K1192" s="564"/>
      <c r="L1192" s="564"/>
      <c r="M1192" s="564"/>
      <c r="N1192" s="564"/>
      <c r="O1192" s="564"/>
      <c r="P1192" s="564"/>
      <c r="Q1192" s="564"/>
      <c r="R1192" s="564"/>
      <c r="S1192" s="564"/>
      <c r="T1192" s="564"/>
      <c r="U1192" s="564"/>
      <c r="V1192" s="564"/>
      <c r="W1192" s="564"/>
      <c r="X1192" s="564"/>
      <c r="Y1192" s="564"/>
      <c r="Z1192" s="564"/>
      <c r="AA1192" s="564"/>
      <c r="AB1192" s="556"/>
      <c r="AC1192" s="556"/>
      <c r="AD1192" s="556"/>
      <c r="AE1192" s="556"/>
      <c r="AF1192" s="556"/>
      <c r="AG1192" s="556"/>
      <c r="AH1192" s="556"/>
      <c r="AI1192" s="556"/>
      <c r="AJ1192" s="556"/>
      <c r="AK1192" s="556"/>
      <c r="AL1192" s="556"/>
      <c r="AM1192" s="556"/>
      <c r="AN1192" s="556"/>
      <c r="AO1192" s="556"/>
      <c r="AP1192" s="556"/>
      <c r="AQ1192" s="556"/>
      <c r="AR1192" s="556"/>
      <c r="AS1192" s="565"/>
      <c r="AT1192" s="556"/>
    </row>
    <row r="1193" spans="1:46" hidden="1" x14ac:dyDescent="0.45">
      <c r="A1193" s="556"/>
      <c r="B1193" s="556"/>
      <c r="C1193" s="556"/>
      <c r="D1193" s="564"/>
      <c r="E1193" s="556"/>
      <c r="F1193" s="564"/>
      <c r="G1193" s="564"/>
      <c r="H1193" s="564"/>
      <c r="I1193" s="564"/>
      <c r="J1193" s="564"/>
      <c r="K1193" s="564"/>
      <c r="L1193" s="564"/>
      <c r="M1193" s="564"/>
      <c r="N1193" s="564"/>
      <c r="O1193" s="564"/>
      <c r="P1193" s="564"/>
      <c r="Q1193" s="564"/>
      <c r="R1193" s="564"/>
      <c r="S1193" s="564"/>
      <c r="T1193" s="564"/>
      <c r="U1193" s="564"/>
      <c r="V1193" s="564"/>
      <c r="W1193" s="564"/>
      <c r="X1193" s="564"/>
      <c r="Y1193" s="564"/>
      <c r="Z1193" s="564"/>
      <c r="AA1193" s="564"/>
      <c r="AB1193" s="556"/>
      <c r="AC1193" s="556"/>
      <c r="AD1193" s="556"/>
      <c r="AE1193" s="556"/>
      <c r="AF1193" s="556"/>
      <c r="AG1193" s="556"/>
      <c r="AH1193" s="556"/>
      <c r="AI1193" s="556"/>
      <c r="AJ1193" s="556"/>
      <c r="AK1193" s="556"/>
      <c r="AL1193" s="556"/>
      <c r="AM1193" s="556"/>
      <c r="AN1193" s="556"/>
      <c r="AO1193" s="556"/>
      <c r="AP1193" s="556"/>
      <c r="AQ1193" s="556"/>
      <c r="AR1193" s="556"/>
      <c r="AS1193" s="565"/>
      <c r="AT1193" s="556"/>
    </row>
    <row r="1194" spans="1:46" hidden="1" x14ac:dyDescent="0.45">
      <c r="A1194" s="556"/>
      <c r="B1194" s="556"/>
      <c r="C1194" s="556"/>
      <c r="D1194" s="564"/>
      <c r="E1194" s="556"/>
      <c r="F1194" s="564"/>
      <c r="G1194" s="564"/>
      <c r="H1194" s="564"/>
      <c r="I1194" s="564"/>
      <c r="J1194" s="564"/>
      <c r="K1194" s="564"/>
      <c r="L1194" s="564"/>
      <c r="M1194" s="564"/>
      <c r="N1194" s="564"/>
      <c r="O1194" s="564"/>
      <c r="P1194" s="564"/>
      <c r="Q1194" s="564"/>
      <c r="R1194" s="564"/>
      <c r="S1194" s="564"/>
      <c r="T1194" s="564"/>
      <c r="U1194" s="564"/>
      <c r="V1194" s="564"/>
      <c r="W1194" s="564"/>
      <c r="X1194" s="564"/>
      <c r="Y1194" s="564"/>
      <c r="Z1194" s="564"/>
      <c r="AA1194" s="564"/>
      <c r="AB1194" s="556"/>
      <c r="AC1194" s="556"/>
      <c r="AD1194" s="556"/>
      <c r="AE1194" s="556"/>
      <c r="AF1194" s="556"/>
      <c r="AG1194" s="556"/>
      <c r="AH1194" s="556"/>
      <c r="AI1194" s="556"/>
      <c r="AJ1194" s="556"/>
      <c r="AK1194" s="556"/>
      <c r="AL1194" s="556"/>
      <c r="AM1194" s="556"/>
      <c r="AN1194" s="556"/>
      <c r="AO1194" s="556"/>
      <c r="AP1194" s="556"/>
      <c r="AQ1194" s="556"/>
      <c r="AR1194" s="556"/>
      <c r="AS1194" s="565"/>
      <c r="AT1194" s="556"/>
    </row>
    <row r="1195" spans="1:46" hidden="1" x14ac:dyDescent="0.45">
      <c r="A1195" s="556"/>
      <c r="B1195" s="556"/>
      <c r="C1195" s="556"/>
      <c r="D1195" s="564"/>
      <c r="E1195" s="556"/>
      <c r="F1195" s="564"/>
      <c r="G1195" s="564"/>
      <c r="H1195" s="564"/>
      <c r="I1195" s="564"/>
      <c r="J1195" s="564"/>
      <c r="K1195" s="564"/>
      <c r="L1195" s="564"/>
      <c r="M1195" s="564"/>
      <c r="N1195" s="564"/>
      <c r="O1195" s="564"/>
      <c r="P1195" s="564"/>
      <c r="Q1195" s="564"/>
      <c r="R1195" s="564"/>
      <c r="S1195" s="564"/>
      <c r="T1195" s="564"/>
      <c r="U1195" s="564"/>
      <c r="V1195" s="564"/>
      <c r="W1195" s="564"/>
      <c r="X1195" s="564"/>
      <c r="Y1195" s="564"/>
      <c r="Z1195" s="564"/>
      <c r="AA1195" s="564"/>
      <c r="AB1195" s="556"/>
      <c r="AC1195" s="556"/>
      <c r="AD1195" s="556"/>
      <c r="AE1195" s="556"/>
      <c r="AF1195" s="556"/>
      <c r="AG1195" s="556"/>
      <c r="AH1195" s="556"/>
      <c r="AI1195" s="556"/>
      <c r="AJ1195" s="556"/>
      <c r="AK1195" s="556"/>
      <c r="AL1195" s="556"/>
      <c r="AM1195" s="556"/>
      <c r="AN1195" s="556"/>
      <c r="AO1195" s="556"/>
      <c r="AP1195" s="556"/>
      <c r="AQ1195" s="556"/>
      <c r="AR1195" s="556"/>
      <c r="AS1195" s="565"/>
      <c r="AT1195" s="556"/>
    </row>
    <row r="1196" spans="1:46" hidden="1" x14ac:dyDescent="0.45">
      <c r="A1196" s="556"/>
      <c r="B1196" s="556"/>
      <c r="C1196" s="556"/>
      <c r="D1196" s="564"/>
      <c r="E1196" s="556"/>
      <c r="F1196" s="564"/>
      <c r="G1196" s="564"/>
      <c r="H1196" s="564"/>
      <c r="I1196" s="564"/>
      <c r="J1196" s="564"/>
      <c r="K1196" s="564"/>
      <c r="L1196" s="564"/>
      <c r="M1196" s="564"/>
      <c r="N1196" s="564"/>
      <c r="O1196" s="564"/>
      <c r="P1196" s="564"/>
      <c r="Q1196" s="564"/>
      <c r="R1196" s="564"/>
      <c r="S1196" s="564"/>
      <c r="T1196" s="564"/>
      <c r="U1196" s="564"/>
      <c r="V1196" s="564"/>
      <c r="W1196" s="564"/>
      <c r="X1196" s="564"/>
      <c r="Y1196" s="564"/>
      <c r="Z1196" s="564"/>
      <c r="AA1196" s="564"/>
      <c r="AB1196" s="556"/>
      <c r="AC1196" s="556"/>
      <c r="AD1196" s="556"/>
      <c r="AE1196" s="556"/>
      <c r="AF1196" s="556"/>
      <c r="AG1196" s="556"/>
      <c r="AH1196" s="556"/>
      <c r="AI1196" s="556"/>
      <c r="AJ1196" s="556"/>
      <c r="AK1196" s="556"/>
      <c r="AL1196" s="556"/>
      <c r="AM1196" s="556"/>
      <c r="AN1196" s="556"/>
      <c r="AO1196" s="556"/>
      <c r="AP1196" s="556"/>
      <c r="AQ1196" s="556"/>
      <c r="AR1196" s="556"/>
      <c r="AS1196" s="565"/>
      <c r="AT1196" s="556"/>
    </row>
    <row r="1197" spans="1:46" hidden="1" x14ac:dyDescent="0.45">
      <c r="A1197" s="556"/>
      <c r="B1197" s="556"/>
      <c r="C1197" s="556"/>
      <c r="D1197" s="564"/>
      <c r="E1197" s="556"/>
      <c r="F1197" s="564"/>
      <c r="G1197" s="564"/>
      <c r="H1197" s="564"/>
      <c r="I1197" s="564"/>
      <c r="J1197" s="564"/>
      <c r="K1197" s="564"/>
      <c r="L1197" s="564"/>
      <c r="M1197" s="564"/>
      <c r="N1197" s="564"/>
      <c r="O1197" s="564"/>
      <c r="P1197" s="564"/>
      <c r="Q1197" s="564"/>
      <c r="R1197" s="564"/>
      <c r="S1197" s="564"/>
      <c r="T1197" s="564"/>
      <c r="U1197" s="564"/>
      <c r="V1197" s="564"/>
      <c r="W1197" s="564"/>
      <c r="X1197" s="564"/>
      <c r="Y1197" s="564"/>
      <c r="Z1197" s="564"/>
      <c r="AA1197" s="564"/>
      <c r="AB1197" s="556"/>
      <c r="AC1197" s="556"/>
      <c r="AD1197" s="556"/>
      <c r="AE1197" s="556"/>
      <c r="AF1197" s="556"/>
      <c r="AG1197" s="556"/>
      <c r="AH1197" s="556"/>
      <c r="AI1197" s="556"/>
      <c r="AJ1197" s="556"/>
      <c r="AK1197" s="556"/>
      <c r="AL1197" s="556"/>
      <c r="AM1197" s="556"/>
      <c r="AN1197" s="556"/>
      <c r="AO1197" s="556"/>
      <c r="AP1197" s="556"/>
      <c r="AQ1197" s="556"/>
      <c r="AR1197" s="556"/>
      <c r="AS1197" s="565"/>
      <c r="AT1197" s="556"/>
    </row>
    <row r="1198" spans="1:46" hidden="1" x14ac:dyDescent="0.45">
      <c r="A1198" s="556"/>
      <c r="B1198" s="556"/>
      <c r="C1198" s="556"/>
      <c r="D1198" s="564"/>
      <c r="E1198" s="556"/>
      <c r="F1198" s="564"/>
      <c r="G1198" s="564"/>
      <c r="H1198" s="564"/>
      <c r="I1198" s="564"/>
      <c r="J1198" s="564"/>
      <c r="K1198" s="564"/>
      <c r="L1198" s="564"/>
      <c r="M1198" s="564"/>
      <c r="N1198" s="564"/>
      <c r="O1198" s="564"/>
      <c r="P1198" s="564"/>
      <c r="Q1198" s="564"/>
      <c r="R1198" s="564"/>
      <c r="S1198" s="564"/>
      <c r="T1198" s="564"/>
      <c r="U1198" s="564"/>
      <c r="V1198" s="564"/>
      <c r="W1198" s="564"/>
      <c r="X1198" s="564"/>
      <c r="Y1198" s="564"/>
      <c r="Z1198" s="564"/>
      <c r="AA1198" s="564"/>
      <c r="AB1198" s="556"/>
      <c r="AC1198" s="556"/>
      <c r="AD1198" s="556"/>
      <c r="AE1198" s="556"/>
      <c r="AF1198" s="556"/>
      <c r="AG1198" s="556"/>
      <c r="AH1198" s="556"/>
      <c r="AI1198" s="556"/>
      <c r="AJ1198" s="556"/>
      <c r="AK1198" s="556"/>
      <c r="AL1198" s="556"/>
      <c r="AM1198" s="556"/>
      <c r="AN1198" s="556"/>
      <c r="AO1198" s="556"/>
      <c r="AP1198" s="556"/>
      <c r="AQ1198" s="556"/>
      <c r="AR1198" s="556"/>
      <c r="AS1198" s="565"/>
      <c r="AT1198" s="556"/>
    </row>
    <row r="1199" spans="1:46" hidden="1" x14ac:dyDescent="0.45">
      <c r="A1199" s="556"/>
      <c r="B1199" s="556"/>
      <c r="C1199" s="556"/>
      <c r="D1199" s="564"/>
      <c r="E1199" s="556"/>
      <c r="F1199" s="564"/>
      <c r="G1199" s="564"/>
      <c r="H1199" s="564"/>
      <c r="I1199" s="564"/>
      <c r="J1199" s="564"/>
      <c r="K1199" s="564"/>
      <c r="L1199" s="564"/>
      <c r="M1199" s="564"/>
      <c r="N1199" s="564"/>
      <c r="O1199" s="564"/>
      <c r="P1199" s="564"/>
      <c r="Q1199" s="564"/>
      <c r="R1199" s="564"/>
      <c r="S1199" s="564"/>
      <c r="T1199" s="564"/>
      <c r="U1199" s="564"/>
      <c r="V1199" s="564"/>
      <c r="W1199" s="564"/>
      <c r="X1199" s="564"/>
      <c r="Y1199" s="564"/>
      <c r="Z1199" s="564"/>
      <c r="AA1199" s="564"/>
      <c r="AB1199" s="556"/>
      <c r="AC1199" s="556"/>
      <c r="AD1199" s="556"/>
      <c r="AE1199" s="556"/>
      <c r="AF1199" s="556"/>
      <c r="AG1199" s="556"/>
      <c r="AH1199" s="556"/>
      <c r="AI1199" s="556"/>
      <c r="AJ1199" s="556"/>
      <c r="AK1199" s="556"/>
      <c r="AL1199" s="556"/>
      <c r="AM1199" s="556"/>
      <c r="AN1199" s="556"/>
      <c r="AO1199" s="556"/>
      <c r="AP1199" s="556"/>
      <c r="AQ1199" s="556"/>
      <c r="AR1199" s="556"/>
      <c r="AS1199" s="565"/>
      <c r="AT1199" s="556"/>
    </row>
    <row r="1200" spans="1:46" hidden="1" x14ac:dyDescent="0.45">
      <c r="A1200" s="556"/>
      <c r="B1200" s="556"/>
      <c r="C1200" s="556"/>
      <c r="D1200" s="564"/>
      <c r="E1200" s="556"/>
      <c r="F1200" s="564"/>
      <c r="G1200" s="564"/>
      <c r="H1200" s="564"/>
      <c r="I1200" s="564"/>
      <c r="J1200" s="564"/>
      <c r="K1200" s="564"/>
      <c r="L1200" s="564"/>
      <c r="M1200" s="564"/>
      <c r="N1200" s="564"/>
      <c r="O1200" s="564"/>
      <c r="P1200" s="564"/>
      <c r="Q1200" s="564"/>
      <c r="R1200" s="564"/>
      <c r="S1200" s="564"/>
      <c r="T1200" s="564"/>
      <c r="U1200" s="564"/>
      <c r="V1200" s="564"/>
      <c r="W1200" s="564"/>
      <c r="X1200" s="564"/>
      <c r="Y1200" s="564"/>
      <c r="Z1200" s="564"/>
      <c r="AA1200" s="564"/>
      <c r="AB1200" s="556"/>
      <c r="AC1200" s="556"/>
      <c r="AD1200" s="556"/>
      <c r="AE1200" s="556"/>
      <c r="AF1200" s="556"/>
      <c r="AG1200" s="556"/>
      <c r="AH1200" s="556"/>
      <c r="AI1200" s="556"/>
      <c r="AJ1200" s="556"/>
      <c r="AK1200" s="556"/>
      <c r="AL1200" s="556"/>
      <c r="AM1200" s="556"/>
      <c r="AN1200" s="556"/>
      <c r="AO1200" s="556"/>
      <c r="AP1200" s="556"/>
      <c r="AQ1200" s="556"/>
      <c r="AR1200" s="556"/>
      <c r="AS1200" s="565"/>
      <c r="AT1200" s="556"/>
    </row>
    <row r="1201" spans="1:46" hidden="1" x14ac:dyDescent="0.45">
      <c r="A1201" s="556"/>
      <c r="B1201" s="556"/>
      <c r="C1201" s="556"/>
      <c r="D1201" s="564"/>
      <c r="E1201" s="556"/>
      <c r="F1201" s="564"/>
      <c r="G1201" s="564"/>
      <c r="H1201" s="564"/>
      <c r="I1201" s="564"/>
      <c r="J1201" s="564"/>
      <c r="K1201" s="564"/>
      <c r="L1201" s="564"/>
      <c r="M1201" s="564"/>
      <c r="N1201" s="564"/>
      <c r="O1201" s="564"/>
      <c r="P1201" s="564"/>
      <c r="Q1201" s="564"/>
      <c r="R1201" s="564"/>
      <c r="S1201" s="564"/>
      <c r="T1201" s="564"/>
      <c r="U1201" s="564"/>
      <c r="V1201" s="564"/>
      <c r="W1201" s="564"/>
      <c r="X1201" s="564"/>
      <c r="Y1201" s="564"/>
      <c r="Z1201" s="564"/>
      <c r="AA1201" s="564"/>
      <c r="AB1201" s="556"/>
      <c r="AC1201" s="556"/>
      <c r="AD1201" s="556"/>
      <c r="AE1201" s="556"/>
      <c r="AF1201" s="556"/>
      <c r="AG1201" s="556"/>
      <c r="AH1201" s="556"/>
      <c r="AI1201" s="556"/>
      <c r="AJ1201" s="556"/>
      <c r="AK1201" s="556"/>
      <c r="AL1201" s="556"/>
      <c r="AM1201" s="556"/>
      <c r="AN1201" s="556"/>
      <c r="AO1201" s="556"/>
      <c r="AP1201" s="556"/>
      <c r="AQ1201" s="556"/>
      <c r="AR1201" s="556"/>
      <c r="AS1201" s="565"/>
      <c r="AT1201" s="556"/>
    </row>
    <row r="1202" spans="1:46" hidden="1" x14ac:dyDescent="0.45">
      <c r="A1202" s="556"/>
      <c r="B1202" s="556"/>
      <c r="C1202" s="556"/>
      <c r="D1202" s="564"/>
      <c r="E1202" s="556"/>
      <c r="F1202" s="564"/>
      <c r="G1202" s="564"/>
      <c r="H1202" s="564"/>
      <c r="I1202" s="564"/>
      <c r="J1202" s="564"/>
      <c r="K1202" s="564"/>
      <c r="L1202" s="564"/>
      <c r="M1202" s="564"/>
      <c r="N1202" s="564"/>
      <c r="O1202" s="564"/>
      <c r="P1202" s="564"/>
      <c r="Q1202" s="564"/>
      <c r="R1202" s="564"/>
      <c r="S1202" s="564"/>
      <c r="T1202" s="564"/>
      <c r="U1202" s="564"/>
      <c r="V1202" s="564"/>
      <c r="W1202" s="564"/>
      <c r="X1202" s="564"/>
      <c r="Y1202" s="564"/>
      <c r="Z1202" s="564"/>
      <c r="AA1202" s="564"/>
      <c r="AB1202" s="556"/>
      <c r="AC1202" s="556"/>
      <c r="AD1202" s="556"/>
      <c r="AE1202" s="556"/>
      <c r="AF1202" s="556"/>
      <c r="AG1202" s="556"/>
      <c r="AH1202" s="556"/>
      <c r="AI1202" s="556"/>
      <c r="AJ1202" s="556"/>
      <c r="AK1202" s="556"/>
      <c r="AL1202" s="556"/>
      <c r="AM1202" s="556"/>
      <c r="AN1202" s="556"/>
      <c r="AO1202" s="556"/>
      <c r="AP1202" s="556"/>
      <c r="AQ1202" s="556"/>
      <c r="AR1202" s="556"/>
      <c r="AS1202" s="565"/>
      <c r="AT1202" s="556"/>
    </row>
    <row r="1203" spans="1:46" hidden="1" x14ac:dyDescent="0.45">
      <c r="A1203" s="556"/>
      <c r="B1203" s="556"/>
      <c r="C1203" s="556"/>
      <c r="D1203" s="564"/>
      <c r="E1203" s="556"/>
      <c r="F1203" s="564"/>
      <c r="G1203" s="564"/>
      <c r="H1203" s="564"/>
      <c r="I1203" s="564"/>
      <c r="J1203" s="564"/>
      <c r="K1203" s="564"/>
      <c r="L1203" s="564"/>
      <c r="M1203" s="564"/>
      <c r="N1203" s="564"/>
      <c r="O1203" s="564"/>
      <c r="P1203" s="564"/>
      <c r="Q1203" s="564"/>
      <c r="R1203" s="564"/>
      <c r="S1203" s="564"/>
      <c r="T1203" s="564"/>
      <c r="U1203" s="564"/>
      <c r="V1203" s="564"/>
      <c r="W1203" s="564"/>
      <c r="X1203" s="564"/>
      <c r="Y1203" s="564"/>
      <c r="Z1203" s="564"/>
      <c r="AA1203" s="564"/>
      <c r="AB1203" s="556"/>
      <c r="AC1203" s="556"/>
      <c r="AD1203" s="556"/>
      <c r="AE1203" s="556"/>
      <c r="AF1203" s="556"/>
      <c r="AG1203" s="556"/>
      <c r="AH1203" s="556"/>
      <c r="AI1203" s="556"/>
      <c r="AJ1203" s="556"/>
      <c r="AK1203" s="556"/>
      <c r="AL1203" s="556"/>
      <c r="AM1203" s="556"/>
      <c r="AN1203" s="556"/>
      <c r="AO1203" s="556"/>
      <c r="AP1203" s="556"/>
      <c r="AQ1203" s="556"/>
      <c r="AR1203" s="556"/>
      <c r="AS1203" s="565"/>
      <c r="AT1203" s="556"/>
    </row>
    <row r="1204" spans="1:46" hidden="1" x14ac:dyDescent="0.45">
      <c r="A1204" s="556"/>
      <c r="B1204" s="556"/>
      <c r="C1204" s="556"/>
      <c r="D1204" s="564"/>
      <c r="E1204" s="556"/>
      <c r="F1204" s="564"/>
      <c r="G1204" s="564"/>
      <c r="H1204" s="564"/>
      <c r="I1204" s="564"/>
      <c r="J1204" s="564"/>
      <c r="K1204" s="564"/>
      <c r="L1204" s="564"/>
      <c r="M1204" s="564"/>
      <c r="N1204" s="564"/>
      <c r="O1204" s="564"/>
      <c r="P1204" s="564"/>
      <c r="Q1204" s="564"/>
      <c r="R1204" s="564"/>
      <c r="S1204" s="564"/>
      <c r="T1204" s="564"/>
      <c r="U1204" s="564"/>
      <c r="V1204" s="564"/>
      <c r="W1204" s="564"/>
      <c r="X1204" s="564"/>
      <c r="Y1204" s="564"/>
      <c r="Z1204" s="564"/>
      <c r="AA1204" s="564"/>
      <c r="AB1204" s="556"/>
      <c r="AC1204" s="556"/>
      <c r="AD1204" s="556"/>
      <c r="AE1204" s="556"/>
      <c r="AF1204" s="556"/>
      <c r="AG1204" s="556"/>
      <c r="AH1204" s="556"/>
      <c r="AI1204" s="556"/>
      <c r="AJ1204" s="556"/>
      <c r="AK1204" s="556"/>
      <c r="AL1204" s="556"/>
      <c r="AM1204" s="556"/>
      <c r="AN1204" s="556"/>
      <c r="AO1204" s="556"/>
      <c r="AP1204" s="556"/>
      <c r="AQ1204" s="556"/>
      <c r="AR1204" s="556"/>
      <c r="AS1204" s="565"/>
      <c r="AT1204" s="556"/>
    </row>
    <row r="1205" spans="1:46" hidden="1" x14ac:dyDescent="0.45">
      <c r="A1205" s="556"/>
      <c r="B1205" s="556"/>
      <c r="C1205" s="556"/>
      <c r="D1205" s="564"/>
      <c r="E1205" s="556"/>
      <c r="F1205" s="564"/>
      <c r="G1205" s="564"/>
      <c r="H1205" s="564"/>
      <c r="I1205" s="564"/>
      <c r="J1205" s="564"/>
      <c r="K1205" s="564"/>
      <c r="L1205" s="564"/>
      <c r="M1205" s="564"/>
      <c r="N1205" s="564"/>
      <c r="O1205" s="564"/>
      <c r="P1205" s="564"/>
      <c r="Q1205" s="564"/>
      <c r="R1205" s="564"/>
      <c r="S1205" s="564"/>
      <c r="T1205" s="564"/>
      <c r="U1205" s="564"/>
      <c r="V1205" s="564"/>
      <c r="W1205" s="564"/>
      <c r="X1205" s="564"/>
      <c r="Y1205" s="564"/>
      <c r="Z1205" s="564"/>
      <c r="AA1205" s="564"/>
      <c r="AB1205" s="556"/>
      <c r="AC1205" s="556"/>
      <c r="AD1205" s="556"/>
      <c r="AE1205" s="556"/>
      <c r="AF1205" s="556"/>
      <c r="AG1205" s="556"/>
      <c r="AH1205" s="556"/>
      <c r="AI1205" s="556"/>
      <c r="AJ1205" s="556"/>
      <c r="AK1205" s="556"/>
      <c r="AL1205" s="556"/>
      <c r="AM1205" s="556"/>
      <c r="AN1205" s="556"/>
      <c r="AO1205" s="556"/>
      <c r="AP1205" s="556"/>
      <c r="AQ1205" s="556"/>
      <c r="AR1205" s="556"/>
      <c r="AS1205" s="565"/>
      <c r="AT1205" s="556"/>
    </row>
    <row r="1206" spans="1:46" hidden="1" x14ac:dyDescent="0.45">
      <c r="A1206" s="556"/>
      <c r="B1206" s="556"/>
      <c r="C1206" s="556"/>
      <c r="D1206" s="564"/>
      <c r="E1206" s="556"/>
      <c r="F1206" s="564"/>
      <c r="G1206" s="564"/>
      <c r="H1206" s="564"/>
      <c r="I1206" s="564"/>
      <c r="J1206" s="564"/>
      <c r="K1206" s="564"/>
      <c r="L1206" s="564"/>
      <c r="M1206" s="564"/>
      <c r="N1206" s="564"/>
      <c r="O1206" s="564"/>
      <c r="P1206" s="564"/>
      <c r="Q1206" s="564"/>
      <c r="R1206" s="564"/>
      <c r="S1206" s="564"/>
      <c r="T1206" s="564"/>
      <c r="U1206" s="564"/>
      <c r="V1206" s="564"/>
      <c r="W1206" s="564"/>
      <c r="X1206" s="564"/>
      <c r="Y1206" s="564"/>
      <c r="Z1206" s="564"/>
      <c r="AA1206" s="564"/>
      <c r="AB1206" s="556"/>
      <c r="AC1206" s="556"/>
      <c r="AD1206" s="556"/>
      <c r="AE1206" s="556"/>
      <c r="AF1206" s="556"/>
      <c r="AG1206" s="556"/>
      <c r="AH1206" s="556"/>
      <c r="AI1206" s="556"/>
      <c r="AJ1206" s="556"/>
      <c r="AK1206" s="556"/>
      <c r="AL1206" s="556"/>
      <c r="AM1206" s="556"/>
      <c r="AN1206" s="556"/>
      <c r="AO1206" s="556"/>
      <c r="AP1206" s="556"/>
      <c r="AQ1206" s="556"/>
      <c r="AR1206" s="556"/>
      <c r="AS1206" s="565"/>
      <c r="AT1206" s="556"/>
    </row>
    <row r="1207" spans="1:46" hidden="1" x14ac:dyDescent="0.45">
      <c r="A1207" s="556"/>
      <c r="B1207" s="556"/>
      <c r="C1207" s="556"/>
      <c r="D1207" s="564"/>
      <c r="E1207" s="556"/>
      <c r="F1207" s="564"/>
      <c r="G1207" s="564"/>
      <c r="H1207" s="564"/>
      <c r="I1207" s="564"/>
      <c r="J1207" s="564"/>
      <c r="K1207" s="564"/>
      <c r="L1207" s="564"/>
      <c r="M1207" s="564"/>
      <c r="N1207" s="564"/>
      <c r="O1207" s="564"/>
      <c r="P1207" s="564"/>
      <c r="Q1207" s="564"/>
      <c r="R1207" s="564"/>
      <c r="S1207" s="564"/>
      <c r="T1207" s="564"/>
      <c r="U1207" s="564"/>
      <c r="V1207" s="564"/>
      <c r="W1207" s="564"/>
      <c r="X1207" s="564"/>
      <c r="Y1207" s="564"/>
      <c r="Z1207" s="564"/>
      <c r="AA1207" s="564"/>
      <c r="AB1207" s="556"/>
      <c r="AC1207" s="556"/>
      <c r="AD1207" s="556"/>
      <c r="AE1207" s="556"/>
      <c r="AF1207" s="556"/>
      <c r="AG1207" s="556"/>
      <c r="AH1207" s="556"/>
      <c r="AI1207" s="556"/>
      <c r="AJ1207" s="556"/>
      <c r="AK1207" s="556"/>
      <c r="AL1207" s="556"/>
      <c r="AM1207" s="556"/>
      <c r="AN1207" s="556"/>
      <c r="AO1207" s="556"/>
      <c r="AP1207" s="556"/>
      <c r="AQ1207" s="556"/>
      <c r="AR1207" s="556"/>
      <c r="AS1207" s="565"/>
      <c r="AT1207" s="556"/>
    </row>
    <row r="1208" spans="1:46" hidden="1" x14ac:dyDescent="0.45">
      <c r="A1208" s="556"/>
      <c r="B1208" s="556"/>
      <c r="C1208" s="556"/>
      <c r="D1208" s="564"/>
      <c r="E1208" s="556"/>
      <c r="F1208" s="564"/>
      <c r="G1208" s="564"/>
      <c r="H1208" s="564"/>
      <c r="I1208" s="564"/>
      <c r="J1208" s="564"/>
      <c r="K1208" s="564"/>
      <c r="L1208" s="564"/>
      <c r="M1208" s="564"/>
      <c r="N1208" s="564"/>
      <c r="O1208" s="564"/>
      <c r="P1208" s="564"/>
      <c r="Q1208" s="564"/>
      <c r="R1208" s="564"/>
      <c r="S1208" s="564"/>
      <c r="T1208" s="564"/>
      <c r="U1208" s="564"/>
      <c r="V1208" s="564"/>
      <c r="W1208" s="564"/>
      <c r="X1208" s="564"/>
      <c r="Y1208" s="564"/>
      <c r="Z1208" s="564"/>
      <c r="AA1208" s="564"/>
      <c r="AB1208" s="556"/>
      <c r="AC1208" s="556"/>
      <c r="AD1208" s="556"/>
      <c r="AE1208" s="556"/>
      <c r="AF1208" s="556"/>
      <c r="AG1208" s="556"/>
      <c r="AH1208" s="556"/>
      <c r="AI1208" s="556"/>
      <c r="AJ1208" s="556"/>
      <c r="AK1208" s="556"/>
      <c r="AL1208" s="556"/>
      <c r="AM1208" s="556"/>
      <c r="AN1208" s="556"/>
      <c r="AO1208" s="556"/>
      <c r="AP1208" s="556"/>
      <c r="AQ1208" s="556"/>
      <c r="AR1208" s="556"/>
      <c r="AS1208" s="565"/>
      <c r="AT1208" s="556"/>
    </row>
    <row r="1209" spans="1:46" hidden="1" x14ac:dyDescent="0.45">
      <c r="A1209" s="556"/>
      <c r="B1209" s="556"/>
      <c r="C1209" s="556"/>
      <c r="D1209" s="564"/>
      <c r="E1209" s="556"/>
      <c r="F1209" s="564"/>
      <c r="G1209" s="564"/>
      <c r="H1209" s="564"/>
      <c r="I1209" s="564"/>
      <c r="J1209" s="564"/>
      <c r="K1209" s="564"/>
      <c r="L1209" s="564"/>
      <c r="M1209" s="564"/>
      <c r="N1209" s="564"/>
      <c r="O1209" s="564"/>
      <c r="P1209" s="564"/>
      <c r="Q1209" s="564"/>
      <c r="R1209" s="564"/>
      <c r="S1209" s="564"/>
      <c r="T1209" s="564"/>
      <c r="U1209" s="564"/>
      <c r="V1209" s="564"/>
      <c r="W1209" s="564"/>
      <c r="X1209" s="564"/>
      <c r="Y1209" s="564"/>
      <c r="Z1209" s="564"/>
      <c r="AA1209" s="564"/>
      <c r="AB1209" s="556"/>
      <c r="AC1209" s="556"/>
      <c r="AD1209" s="556"/>
      <c r="AE1209" s="556"/>
      <c r="AF1209" s="556"/>
      <c r="AG1209" s="556"/>
      <c r="AH1209" s="556"/>
      <c r="AI1209" s="556"/>
      <c r="AJ1209" s="556"/>
      <c r="AK1209" s="556"/>
      <c r="AL1209" s="556"/>
      <c r="AM1209" s="556"/>
      <c r="AN1209" s="556"/>
      <c r="AO1209" s="556"/>
      <c r="AP1209" s="556"/>
      <c r="AQ1209" s="556"/>
      <c r="AR1209" s="556"/>
      <c r="AS1209" s="565"/>
      <c r="AT1209" s="556"/>
    </row>
    <row r="1210" spans="1:46" hidden="1" x14ac:dyDescent="0.45">
      <c r="A1210" s="556"/>
      <c r="B1210" s="556"/>
      <c r="C1210" s="556"/>
      <c r="D1210" s="564"/>
      <c r="E1210" s="556"/>
      <c r="F1210" s="564"/>
      <c r="G1210" s="564"/>
      <c r="H1210" s="564"/>
      <c r="I1210" s="564"/>
      <c r="J1210" s="564"/>
      <c r="K1210" s="564"/>
      <c r="L1210" s="564"/>
      <c r="M1210" s="564"/>
      <c r="N1210" s="564"/>
      <c r="O1210" s="564"/>
      <c r="P1210" s="564"/>
      <c r="Q1210" s="564"/>
      <c r="R1210" s="564"/>
      <c r="S1210" s="564"/>
      <c r="T1210" s="564"/>
      <c r="U1210" s="564"/>
      <c r="V1210" s="564"/>
      <c r="W1210" s="564"/>
      <c r="X1210" s="564"/>
      <c r="Y1210" s="564"/>
      <c r="Z1210" s="564"/>
      <c r="AA1210" s="564"/>
      <c r="AB1210" s="556"/>
      <c r="AC1210" s="556"/>
      <c r="AD1210" s="556"/>
      <c r="AE1210" s="556"/>
      <c r="AF1210" s="556"/>
      <c r="AG1210" s="556"/>
      <c r="AH1210" s="556"/>
      <c r="AI1210" s="556"/>
      <c r="AJ1210" s="556"/>
      <c r="AK1210" s="556"/>
      <c r="AL1210" s="556"/>
      <c r="AM1210" s="556"/>
      <c r="AN1210" s="556"/>
      <c r="AO1210" s="556"/>
      <c r="AP1210" s="556"/>
      <c r="AQ1210" s="556"/>
      <c r="AR1210" s="556"/>
      <c r="AS1210" s="565"/>
      <c r="AT1210" s="556"/>
    </row>
    <row r="1211" spans="1:46" hidden="1" x14ac:dyDescent="0.45">
      <c r="A1211" s="556"/>
      <c r="B1211" s="556"/>
      <c r="C1211" s="556"/>
      <c r="D1211" s="564"/>
      <c r="E1211" s="556"/>
      <c r="F1211" s="564"/>
      <c r="G1211" s="564"/>
      <c r="H1211" s="564"/>
      <c r="I1211" s="564"/>
      <c r="J1211" s="564"/>
      <c r="K1211" s="564"/>
      <c r="L1211" s="564"/>
      <c r="M1211" s="564"/>
      <c r="N1211" s="564"/>
      <c r="O1211" s="564"/>
      <c r="P1211" s="564"/>
      <c r="Q1211" s="564"/>
      <c r="R1211" s="564"/>
      <c r="S1211" s="564"/>
      <c r="T1211" s="564"/>
      <c r="U1211" s="564"/>
      <c r="V1211" s="564"/>
      <c r="W1211" s="564"/>
      <c r="X1211" s="564"/>
      <c r="Y1211" s="564"/>
      <c r="Z1211" s="564"/>
      <c r="AA1211" s="564"/>
      <c r="AB1211" s="556"/>
      <c r="AC1211" s="556"/>
      <c r="AD1211" s="556"/>
      <c r="AE1211" s="556"/>
      <c r="AF1211" s="556"/>
      <c r="AG1211" s="556"/>
      <c r="AH1211" s="556"/>
      <c r="AI1211" s="556"/>
      <c r="AJ1211" s="556"/>
      <c r="AK1211" s="556"/>
      <c r="AL1211" s="556"/>
      <c r="AM1211" s="556"/>
      <c r="AN1211" s="556"/>
      <c r="AO1211" s="556"/>
      <c r="AP1211" s="556"/>
      <c r="AQ1211" s="556"/>
      <c r="AR1211" s="556"/>
      <c r="AS1211" s="565"/>
      <c r="AT1211" s="556"/>
    </row>
    <row r="1212" spans="1:46" hidden="1" x14ac:dyDescent="0.45">
      <c r="A1212" s="556"/>
      <c r="B1212" s="556"/>
      <c r="C1212" s="556"/>
      <c r="D1212" s="564"/>
      <c r="E1212" s="556"/>
      <c r="F1212" s="564"/>
      <c r="G1212" s="564"/>
      <c r="H1212" s="564"/>
      <c r="I1212" s="564"/>
      <c r="J1212" s="564"/>
      <c r="K1212" s="564"/>
      <c r="L1212" s="564"/>
      <c r="M1212" s="564"/>
      <c r="N1212" s="564"/>
      <c r="O1212" s="564"/>
      <c r="P1212" s="564"/>
      <c r="Q1212" s="564"/>
      <c r="R1212" s="564"/>
      <c r="S1212" s="564"/>
      <c r="T1212" s="564"/>
      <c r="U1212" s="564"/>
      <c r="V1212" s="564"/>
      <c r="W1212" s="564"/>
      <c r="X1212" s="564"/>
      <c r="Y1212" s="564"/>
      <c r="Z1212" s="564"/>
      <c r="AA1212" s="564"/>
      <c r="AB1212" s="556"/>
      <c r="AC1212" s="556"/>
      <c r="AD1212" s="556"/>
      <c r="AE1212" s="556"/>
      <c r="AF1212" s="556"/>
      <c r="AG1212" s="556"/>
      <c r="AH1212" s="556"/>
      <c r="AI1212" s="556"/>
      <c r="AJ1212" s="556"/>
      <c r="AK1212" s="556"/>
      <c r="AL1212" s="556"/>
      <c r="AM1212" s="556"/>
      <c r="AN1212" s="556"/>
      <c r="AO1212" s="556"/>
      <c r="AP1212" s="556"/>
      <c r="AQ1212" s="556"/>
      <c r="AR1212" s="556"/>
      <c r="AS1212" s="565"/>
      <c r="AT1212" s="556"/>
    </row>
    <row r="1213" spans="1:46" hidden="1" x14ac:dyDescent="0.45">
      <c r="A1213" s="556"/>
      <c r="B1213" s="556"/>
      <c r="C1213" s="556"/>
      <c r="D1213" s="564"/>
      <c r="E1213" s="556"/>
      <c r="F1213" s="564"/>
      <c r="G1213" s="564"/>
      <c r="H1213" s="564"/>
      <c r="I1213" s="564"/>
      <c r="J1213" s="564"/>
      <c r="K1213" s="564"/>
      <c r="L1213" s="564"/>
      <c r="M1213" s="564"/>
      <c r="N1213" s="564"/>
      <c r="O1213" s="564"/>
      <c r="P1213" s="564"/>
      <c r="Q1213" s="564"/>
      <c r="R1213" s="564"/>
      <c r="S1213" s="564"/>
      <c r="T1213" s="564"/>
      <c r="U1213" s="564"/>
      <c r="V1213" s="564"/>
      <c r="W1213" s="564"/>
      <c r="X1213" s="564"/>
      <c r="Y1213" s="564"/>
      <c r="Z1213" s="564"/>
      <c r="AA1213" s="564"/>
      <c r="AB1213" s="556"/>
      <c r="AC1213" s="556"/>
      <c r="AD1213" s="556"/>
      <c r="AE1213" s="556"/>
      <c r="AF1213" s="556"/>
      <c r="AG1213" s="556"/>
      <c r="AH1213" s="556"/>
      <c r="AI1213" s="556"/>
      <c r="AJ1213" s="556"/>
      <c r="AK1213" s="556"/>
      <c r="AL1213" s="556"/>
      <c r="AM1213" s="556"/>
      <c r="AN1213" s="556"/>
      <c r="AO1213" s="556"/>
      <c r="AP1213" s="556"/>
      <c r="AQ1213" s="556"/>
      <c r="AR1213" s="556"/>
      <c r="AS1213" s="565"/>
      <c r="AT1213" s="556"/>
    </row>
    <row r="1214" spans="1:46" hidden="1" x14ac:dyDescent="0.45">
      <c r="A1214" s="556"/>
      <c r="B1214" s="556"/>
      <c r="C1214" s="556"/>
      <c r="D1214" s="564"/>
      <c r="E1214" s="556"/>
      <c r="F1214" s="564"/>
      <c r="G1214" s="564"/>
      <c r="H1214" s="564"/>
      <c r="I1214" s="564"/>
      <c r="J1214" s="564"/>
      <c r="K1214" s="564"/>
      <c r="L1214" s="564"/>
      <c r="M1214" s="564"/>
      <c r="N1214" s="564"/>
      <c r="O1214" s="564"/>
      <c r="P1214" s="564"/>
      <c r="Q1214" s="564"/>
      <c r="R1214" s="564"/>
      <c r="S1214" s="564"/>
      <c r="T1214" s="564"/>
      <c r="U1214" s="564"/>
      <c r="V1214" s="564"/>
      <c r="W1214" s="564"/>
      <c r="X1214" s="564"/>
      <c r="Y1214" s="564"/>
      <c r="Z1214" s="564"/>
      <c r="AA1214" s="564"/>
      <c r="AB1214" s="556"/>
      <c r="AC1214" s="556"/>
      <c r="AD1214" s="556"/>
      <c r="AE1214" s="556"/>
      <c r="AF1214" s="556"/>
      <c r="AG1214" s="556"/>
      <c r="AH1214" s="556"/>
      <c r="AI1214" s="556"/>
      <c r="AJ1214" s="556"/>
      <c r="AK1214" s="556"/>
      <c r="AL1214" s="556"/>
      <c r="AM1214" s="556"/>
      <c r="AN1214" s="556"/>
      <c r="AO1214" s="556"/>
      <c r="AP1214" s="556"/>
      <c r="AQ1214" s="556"/>
      <c r="AR1214" s="556"/>
      <c r="AS1214" s="565"/>
      <c r="AT1214" s="556"/>
    </row>
    <row r="1215" spans="1:46" hidden="1" x14ac:dyDescent="0.45">
      <c r="A1215" s="556"/>
      <c r="B1215" s="556"/>
      <c r="C1215" s="556"/>
      <c r="D1215" s="564"/>
      <c r="E1215" s="556"/>
      <c r="F1215" s="564"/>
      <c r="G1215" s="564"/>
      <c r="H1215" s="564"/>
      <c r="I1215" s="564"/>
      <c r="J1215" s="564"/>
      <c r="K1215" s="564"/>
      <c r="L1215" s="564"/>
      <c r="M1215" s="564"/>
      <c r="N1215" s="564"/>
      <c r="O1215" s="564"/>
      <c r="P1215" s="564"/>
      <c r="Q1215" s="564"/>
      <c r="R1215" s="564"/>
      <c r="S1215" s="564"/>
      <c r="T1215" s="564"/>
      <c r="U1215" s="564"/>
      <c r="V1215" s="564"/>
      <c r="W1215" s="564"/>
      <c r="X1215" s="564"/>
      <c r="Y1215" s="564"/>
      <c r="Z1215" s="564"/>
      <c r="AA1215" s="564"/>
      <c r="AB1215" s="556"/>
      <c r="AC1215" s="556"/>
      <c r="AD1215" s="556"/>
      <c r="AE1215" s="556"/>
      <c r="AF1215" s="556"/>
      <c r="AG1215" s="556"/>
      <c r="AH1215" s="556"/>
      <c r="AI1215" s="556"/>
      <c r="AJ1215" s="556"/>
      <c r="AK1215" s="556"/>
      <c r="AL1215" s="556"/>
      <c r="AM1215" s="556"/>
      <c r="AN1215" s="556"/>
      <c r="AO1215" s="556"/>
      <c r="AP1215" s="556"/>
      <c r="AQ1215" s="556"/>
      <c r="AR1215" s="556"/>
      <c r="AS1215" s="565"/>
      <c r="AT1215" s="556"/>
    </row>
    <row r="1216" spans="1:46" hidden="1" x14ac:dyDescent="0.45">
      <c r="A1216" s="556"/>
      <c r="B1216" s="556"/>
      <c r="C1216" s="556"/>
      <c r="D1216" s="564"/>
      <c r="E1216" s="556"/>
      <c r="F1216" s="564"/>
      <c r="G1216" s="564"/>
      <c r="H1216" s="564"/>
      <c r="I1216" s="564"/>
      <c r="J1216" s="564"/>
      <c r="K1216" s="564"/>
      <c r="L1216" s="564"/>
      <c r="M1216" s="564"/>
      <c r="N1216" s="564"/>
      <c r="O1216" s="564"/>
      <c r="P1216" s="564"/>
      <c r="Q1216" s="564"/>
      <c r="R1216" s="564"/>
      <c r="S1216" s="564"/>
      <c r="T1216" s="564"/>
      <c r="U1216" s="564"/>
      <c r="V1216" s="564"/>
      <c r="W1216" s="564"/>
      <c r="X1216" s="564"/>
      <c r="Y1216" s="564"/>
      <c r="Z1216" s="564"/>
      <c r="AA1216" s="564"/>
      <c r="AB1216" s="556"/>
      <c r="AC1216" s="556"/>
      <c r="AD1216" s="556"/>
      <c r="AE1216" s="556"/>
      <c r="AF1216" s="556"/>
      <c r="AG1216" s="556"/>
      <c r="AH1216" s="556"/>
      <c r="AI1216" s="556"/>
      <c r="AJ1216" s="556"/>
      <c r="AK1216" s="556"/>
      <c r="AL1216" s="556"/>
      <c r="AM1216" s="556"/>
      <c r="AN1216" s="556"/>
      <c r="AO1216" s="556"/>
      <c r="AP1216" s="556"/>
      <c r="AQ1216" s="556"/>
      <c r="AR1216" s="556"/>
      <c r="AS1216" s="565"/>
      <c r="AT1216" s="556"/>
    </row>
    <row r="1217" spans="1:46" hidden="1" x14ac:dyDescent="0.45">
      <c r="A1217" s="556"/>
      <c r="B1217" s="556"/>
      <c r="C1217" s="556"/>
      <c r="D1217" s="564"/>
      <c r="E1217" s="556"/>
      <c r="F1217" s="564"/>
      <c r="G1217" s="564"/>
      <c r="H1217" s="564"/>
      <c r="I1217" s="564"/>
      <c r="J1217" s="564"/>
      <c r="K1217" s="564"/>
      <c r="L1217" s="564"/>
      <c r="M1217" s="564"/>
      <c r="N1217" s="564"/>
      <c r="O1217" s="564"/>
      <c r="P1217" s="564"/>
      <c r="Q1217" s="564"/>
      <c r="R1217" s="564"/>
      <c r="S1217" s="564"/>
      <c r="T1217" s="564"/>
      <c r="U1217" s="564"/>
      <c r="V1217" s="564"/>
      <c r="W1217" s="564"/>
      <c r="X1217" s="564"/>
      <c r="Y1217" s="564"/>
      <c r="Z1217" s="564"/>
      <c r="AA1217" s="564"/>
      <c r="AB1217" s="556"/>
      <c r="AC1217" s="556"/>
      <c r="AD1217" s="556"/>
      <c r="AE1217" s="556"/>
      <c r="AF1217" s="556"/>
      <c r="AG1217" s="556"/>
      <c r="AH1217" s="556"/>
      <c r="AI1217" s="556"/>
      <c r="AJ1217" s="556"/>
      <c r="AK1217" s="556"/>
      <c r="AL1217" s="556"/>
      <c r="AM1217" s="556"/>
      <c r="AN1217" s="556"/>
      <c r="AO1217" s="556"/>
      <c r="AP1217" s="556"/>
      <c r="AQ1217" s="556"/>
      <c r="AR1217" s="556"/>
      <c r="AS1217" s="565"/>
      <c r="AT1217" s="556"/>
    </row>
    <row r="1218" spans="1:46" hidden="1" x14ac:dyDescent="0.45">
      <c r="A1218" s="556"/>
      <c r="B1218" s="556"/>
      <c r="C1218" s="556"/>
      <c r="D1218" s="564"/>
      <c r="E1218" s="556"/>
      <c r="F1218" s="564"/>
      <c r="G1218" s="564"/>
      <c r="H1218" s="564"/>
      <c r="I1218" s="564"/>
      <c r="J1218" s="564"/>
      <c r="K1218" s="564"/>
      <c r="L1218" s="564"/>
      <c r="M1218" s="564"/>
      <c r="N1218" s="564"/>
      <c r="O1218" s="564"/>
      <c r="P1218" s="564"/>
      <c r="Q1218" s="564"/>
      <c r="R1218" s="564"/>
      <c r="S1218" s="564"/>
      <c r="T1218" s="564"/>
      <c r="U1218" s="564"/>
      <c r="V1218" s="564"/>
      <c r="W1218" s="564"/>
      <c r="X1218" s="564"/>
      <c r="Y1218" s="564"/>
      <c r="Z1218" s="564"/>
      <c r="AA1218" s="564"/>
      <c r="AB1218" s="556"/>
      <c r="AC1218" s="556"/>
      <c r="AD1218" s="556"/>
      <c r="AE1218" s="556"/>
      <c r="AF1218" s="556"/>
      <c r="AG1218" s="556"/>
      <c r="AH1218" s="556"/>
      <c r="AI1218" s="556"/>
      <c r="AJ1218" s="556"/>
      <c r="AK1218" s="556"/>
      <c r="AL1218" s="556"/>
      <c r="AM1218" s="556"/>
      <c r="AN1218" s="556"/>
      <c r="AO1218" s="556"/>
      <c r="AP1218" s="556"/>
      <c r="AQ1218" s="556"/>
      <c r="AR1218" s="556"/>
      <c r="AS1218" s="565"/>
      <c r="AT1218" s="556"/>
    </row>
    <row r="1219" spans="1:46" hidden="1" x14ac:dyDescent="0.45">
      <c r="A1219" s="556"/>
      <c r="B1219" s="556"/>
      <c r="C1219" s="556"/>
      <c r="D1219" s="564"/>
      <c r="E1219" s="556"/>
      <c r="F1219" s="564"/>
      <c r="G1219" s="564"/>
      <c r="H1219" s="564"/>
      <c r="I1219" s="564"/>
      <c r="J1219" s="564"/>
      <c r="K1219" s="564"/>
      <c r="L1219" s="564"/>
      <c r="M1219" s="564"/>
      <c r="N1219" s="564"/>
      <c r="O1219" s="564"/>
      <c r="P1219" s="564"/>
      <c r="Q1219" s="564"/>
      <c r="R1219" s="564"/>
      <c r="S1219" s="564"/>
      <c r="T1219" s="564"/>
      <c r="U1219" s="564"/>
      <c r="V1219" s="564"/>
      <c r="W1219" s="564"/>
      <c r="X1219" s="564"/>
      <c r="Y1219" s="564"/>
      <c r="Z1219" s="564"/>
      <c r="AA1219" s="564"/>
      <c r="AB1219" s="556"/>
      <c r="AC1219" s="556"/>
      <c r="AD1219" s="556"/>
      <c r="AE1219" s="556"/>
      <c r="AF1219" s="556"/>
      <c r="AG1219" s="556"/>
      <c r="AH1219" s="556"/>
      <c r="AI1219" s="556"/>
      <c r="AJ1219" s="556"/>
      <c r="AK1219" s="556"/>
      <c r="AL1219" s="556"/>
      <c r="AM1219" s="556"/>
      <c r="AN1219" s="556"/>
      <c r="AO1219" s="556"/>
      <c r="AP1219" s="556"/>
      <c r="AQ1219" s="556"/>
      <c r="AR1219" s="556"/>
      <c r="AS1219" s="565"/>
      <c r="AT1219" s="556"/>
    </row>
    <row r="1220" spans="1:46" hidden="1" x14ac:dyDescent="0.45">
      <c r="A1220" s="556"/>
      <c r="B1220" s="556"/>
      <c r="C1220" s="556"/>
      <c r="D1220" s="564"/>
      <c r="E1220" s="556"/>
      <c r="F1220" s="564"/>
      <c r="G1220" s="564"/>
      <c r="H1220" s="564"/>
      <c r="I1220" s="564"/>
      <c r="J1220" s="564"/>
      <c r="K1220" s="564"/>
      <c r="L1220" s="564"/>
      <c r="M1220" s="564"/>
      <c r="N1220" s="564"/>
      <c r="O1220" s="564"/>
      <c r="P1220" s="564"/>
      <c r="Q1220" s="564"/>
      <c r="R1220" s="564"/>
      <c r="S1220" s="564"/>
      <c r="T1220" s="564"/>
      <c r="U1220" s="564"/>
      <c r="V1220" s="564"/>
      <c r="W1220" s="564"/>
      <c r="X1220" s="564"/>
      <c r="Y1220" s="564"/>
      <c r="Z1220" s="564"/>
      <c r="AA1220" s="564"/>
      <c r="AB1220" s="556"/>
      <c r="AC1220" s="556"/>
      <c r="AD1220" s="556"/>
      <c r="AE1220" s="556"/>
      <c r="AF1220" s="556"/>
      <c r="AG1220" s="556"/>
      <c r="AH1220" s="556"/>
      <c r="AI1220" s="556"/>
      <c r="AJ1220" s="556"/>
      <c r="AK1220" s="556"/>
      <c r="AL1220" s="556"/>
      <c r="AM1220" s="556"/>
      <c r="AN1220" s="556"/>
      <c r="AO1220" s="556"/>
      <c r="AP1220" s="556"/>
      <c r="AQ1220" s="556"/>
      <c r="AR1220" s="556"/>
      <c r="AS1220" s="565"/>
      <c r="AT1220" s="556"/>
    </row>
    <row r="1221" spans="1:46" hidden="1" x14ac:dyDescent="0.45">
      <c r="A1221" s="556"/>
      <c r="B1221" s="556"/>
      <c r="C1221" s="556"/>
      <c r="D1221" s="564"/>
      <c r="E1221" s="556"/>
      <c r="F1221" s="564"/>
      <c r="G1221" s="564"/>
      <c r="H1221" s="564"/>
      <c r="I1221" s="564"/>
      <c r="J1221" s="564"/>
      <c r="K1221" s="564"/>
      <c r="L1221" s="564"/>
      <c r="M1221" s="564"/>
      <c r="N1221" s="564"/>
      <c r="O1221" s="564"/>
      <c r="P1221" s="564"/>
      <c r="Q1221" s="564"/>
      <c r="R1221" s="564"/>
      <c r="S1221" s="564"/>
      <c r="T1221" s="564"/>
      <c r="U1221" s="564"/>
      <c r="V1221" s="564"/>
      <c r="W1221" s="564"/>
      <c r="X1221" s="564"/>
      <c r="Y1221" s="564"/>
      <c r="Z1221" s="564"/>
      <c r="AA1221" s="564"/>
      <c r="AB1221" s="556"/>
      <c r="AC1221" s="556"/>
      <c r="AD1221" s="556"/>
      <c r="AE1221" s="556"/>
      <c r="AF1221" s="556"/>
      <c r="AG1221" s="556"/>
      <c r="AH1221" s="556"/>
      <c r="AI1221" s="556"/>
      <c r="AJ1221" s="556"/>
      <c r="AK1221" s="556"/>
      <c r="AL1221" s="556"/>
      <c r="AM1221" s="556"/>
      <c r="AN1221" s="556"/>
      <c r="AO1221" s="556"/>
      <c r="AP1221" s="556"/>
      <c r="AQ1221" s="556"/>
      <c r="AR1221" s="556"/>
      <c r="AS1221" s="565"/>
      <c r="AT1221" s="556"/>
    </row>
    <row r="1222" spans="1:46" hidden="1" x14ac:dyDescent="0.45">
      <c r="A1222" s="556"/>
      <c r="B1222" s="556"/>
      <c r="C1222" s="556"/>
      <c r="D1222" s="564"/>
      <c r="E1222" s="556"/>
      <c r="F1222" s="564"/>
      <c r="G1222" s="564"/>
      <c r="H1222" s="564"/>
      <c r="I1222" s="564"/>
      <c r="J1222" s="564"/>
      <c r="K1222" s="564"/>
      <c r="L1222" s="564"/>
      <c r="M1222" s="564"/>
      <c r="N1222" s="564"/>
      <c r="O1222" s="564"/>
      <c r="P1222" s="564"/>
      <c r="Q1222" s="564"/>
      <c r="R1222" s="564"/>
      <c r="S1222" s="564"/>
      <c r="T1222" s="564"/>
      <c r="U1222" s="564"/>
      <c r="V1222" s="564"/>
      <c r="W1222" s="564"/>
      <c r="X1222" s="564"/>
      <c r="Y1222" s="564"/>
      <c r="Z1222" s="564"/>
      <c r="AA1222" s="564"/>
      <c r="AB1222" s="556"/>
      <c r="AC1222" s="556"/>
      <c r="AD1222" s="556"/>
      <c r="AE1222" s="556"/>
      <c r="AF1222" s="556"/>
      <c r="AG1222" s="556"/>
      <c r="AH1222" s="556"/>
      <c r="AI1222" s="556"/>
      <c r="AJ1222" s="556"/>
      <c r="AK1222" s="556"/>
      <c r="AL1222" s="556"/>
      <c r="AM1222" s="556"/>
      <c r="AN1222" s="556"/>
      <c r="AO1222" s="556"/>
      <c r="AP1222" s="556"/>
      <c r="AQ1222" s="556"/>
      <c r="AR1222" s="556"/>
      <c r="AS1222" s="565"/>
      <c r="AT1222" s="556"/>
    </row>
    <row r="1223" spans="1:46" hidden="1" x14ac:dyDescent="0.45">
      <c r="A1223" s="556"/>
      <c r="B1223" s="556"/>
      <c r="C1223" s="556"/>
      <c r="D1223" s="564"/>
      <c r="E1223" s="556"/>
      <c r="F1223" s="564"/>
      <c r="G1223" s="564"/>
      <c r="H1223" s="564"/>
      <c r="I1223" s="564"/>
      <c r="J1223" s="564"/>
      <c r="K1223" s="564"/>
      <c r="L1223" s="564"/>
      <c r="M1223" s="564"/>
      <c r="N1223" s="564"/>
      <c r="O1223" s="564"/>
      <c r="P1223" s="564"/>
      <c r="Q1223" s="564"/>
      <c r="R1223" s="564"/>
      <c r="S1223" s="564"/>
      <c r="T1223" s="564"/>
      <c r="U1223" s="564"/>
      <c r="V1223" s="564"/>
      <c r="W1223" s="564"/>
      <c r="X1223" s="564"/>
      <c r="Y1223" s="564"/>
      <c r="Z1223" s="564"/>
      <c r="AA1223" s="564"/>
      <c r="AB1223" s="556"/>
      <c r="AC1223" s="556"/>
      <c r="AD1223" s="556"/>
      <c r="AE1223" s="556"/>
      <c r="AF1223" s="556"/>
      <c r="AG1223" s="556"/>
      <c r="AH1223" s="556"/>
      <c r="AI1223" s="556"/>
      <c r="AJ1223" s="556"/>
      <c r="AK1223" s="556"/>
      <c r="AL1223" s="556"/>
      <c r="AM1223" s="556"/>
      <c r="AN1223" s="556"/>
      <c r="AO1223" s="556"/>
      <c r="AP1223" s="556"/>
      <c r="AQ1223" s="556"/>
      <c r="AR1223" s="556"/>
      <c r="AS1223" s="565"/>
      <c r="AT1223" s="556"/>
    </row>
    <row r="1224" spans="1:46" hidden="1" x14ac:dyDescent="0.45">
      <c r="A1224" s="556"/>
      <c r="B1224" s="556"/>
      <c r="C1224" s="556"/>
      <c r="D1224" s="564"/>
      <c r="E1224" s="556"/>
      <c r="F1224" s="564"/>
      <c r="G1224" s="564"/>
      <c r="H1224" s="564"/>
      <c r="I1224" s="564"/>
      <c r="J1224" s="564"/>
      <c r="K1224" s="564"/>
      <c r="L1224" s="564"/>
      <c r="M1224" s="564"/>
      <c r="N1224" s="564"/>
      <c r="O1224" s="564"/>
      <c r="P1224" s="564"/>
      <c r="Q1224" s="564"/>
      <c r="R1224" s="564"/>
      <c r="S1224" s="564"/>
      <c r="T1224" s="564"/>
      <c r="U1224" s="564"/>
      <c r="V1224" s="564"/>
      <c r="W1224" s="564"/>
      <c r="X1224" s="564"/>
      <c r="Y1224" s="564"/>
      <c r="Z1224" s="564"/>
      <c r="AA1224" s="564"/>
      <c r="AB1224" s="556"/>
      <c r="AC1224" s="556"/>
      <c r="AD1224" s="556"/>
      <c r="AE1224" s="556"/>
      <c r="AF1224" s="556"/>
      <c r="AG1224" s="556"/>
      <c r="AH1224" s="556"/>
      <c r="AI1224" s="556"/>
      <c r="AJ1224" s="556"/>
      <c r="AK1224" s="556"/>
      <c r="AL1224" s="556"/>
      <c r="AM1224" s="556"/>
      <c r="AN1224" s="556"/>
      <c r="AO1224" s="556"/>
      <c r="AP1224" s="556"/>
      <c r="AQ1224" s="556"/>
      <c r="AR1224" s="556"/>
      <c r="AS1224" s="565"/>
      <c r="AT1224" s="556"/>
    </row>
    <row r="1225" spans="1:46" hidden="1" x14ac:dyDescent="0.45">
      <c r="A1225" s="556"/>
      <c r="B1225" s="556"/>
      <c r="C1225" s="556"/>
      <c r="D1225" s="564"/>
      <c r="E1225" s="556"/>
      <c r="F1225" s="564"/>
      <c r="G1225" s="564"/>
      <c r="H1225" s="564"/>
      <c r="I1225" s="564"/>
      <c r="J1225" s="564"/>
      <c r="K1225" s="564"/>
      <c r="L1225" s="564"/>
      <c r="M1225" s="564"/>
      <c r="N1225" s="564"/>
      <c r="O1225" s="564"/>
      <c r="P1225" s="564"/>
      <c r="Q1225" s="564"/>
      <c r="R1225" s="564"/>
      <c r="S1225" s="564"/>
      <c r="T1225" s="564"/>
      <c r="U1225" s="564"/>
      <c r="V1225" s="564"/>
      <c r="W1225" s="564"/>
      <c r="X1225" s="564"/>
      <c r="Y1225" s="564"/>
      <c r="Z1225" s="564"/>
      <c r="AA1225" s="564"/>
      <c r="AB1225" s="556"/>
      <c r="AC1225" s="556"/>
      <c r="AD1225" s="556"/>
      <c r="AE1225" s="556"/>
      <c r="AF1225" s="556"/>
      <c r="AG1225" s="556"/>
      <c r="AH1225" s="556"/>
      <c r="AI1225" s="556"/>
      <c r="AJ1225" s="556"/>
      <c r="AK1225" s="556"/>
      <c r="AL1225" s="556"/>
      <c r="AM1225" s="556"/>
      <c r="AN1225" s="556"/>
      <c r="AO1225" s="556"/>
      <c r="AP1225" s="556"/>
      <c r="AQ1225" s="556"/>
      <c r="AR1225" s="556"/>
      <c r="AS1225" s="565"/>
      <c r="AT1225" s="556"/>
    </row>
    <row r="1226" spans="1:46" hidden="1" x14ac:dyDescent="0.45">
      <c r="A1226" s="556"/>
      <c r="B1226" s="556"/>
      <c r="C1226" s="556"/>
      <c r="D1226" s="564"/>
      <c r="E1226" s="556"/>
      <c r="F1226" s="564"/>
      <c r="G1226" s="564"/>
      <c r="H1226" s="564"/>
      <c r="I1226" s="564"/>
      <c r="J1226" s="564"/>
      <c r="K1226" s="564"/>
      <c r="L1226" s="564"/>
      <c r="M1226" s="564"/>
      <c r="N1226" s="564"/>
      <c r="O1226" s="564"/>
      <c r="P1226" s="564"/>
      <c r="Q1226" s="564"/>
      <c r="R1226" s="564"/>
      <c r="S1226" s="564"/>
      <c r="T1226" s="564"/>
      <c r="U1226" s="564"/>
      <c r="V1226" s="564"/>
      <c r="W1226" s="564"/>
      <c r="X1226" s="564"/>
      <c r="Y1226" s="564"/>
      <c r="Z1226" s="564"/>
      <c r="AA1226" s="564"/>
      <c r="AB1226" s="556"/>
      <c r="AC1226" s="556"/>
      <c r="AD1226" s="556"/>
      <c r="AE1226" s="556"/>
      <c r="AF1226" s="556"/>
      <c r="AG1226" s="556"/>
      <c r="AH1226" s="556"/>
      <c r="AI1226" s="556"/>
      <c r="AJ1226" s="556"/>
      <c r="AK1226" s="556"/>
      <c r="AL1226" s="556"/>
      <c r="AM1226" s="556"/>
      <c r="AN1226" s="556"/>
      <c r="AO1226" s="556"/>
      <c r="AP1226" s="556"/>
      <c r="AQ1226" s="556"/>
      <c r="AR1226" s="556"/>
      <c r="AS1226" s="565"/>
      <c r="AT1226" s="556"/>
    </row>
    <row r="1227" spans="1:46" hidden="1" x14ac:dyDescent="0.45">
      <c r="A1227" s="556"/>
      <c r="B1227" s="556"/>
      <c r="C1227" s="556"/>
      <c r="D1227" s="564"/>
      <c r="E1227" s="556"/>
      <c r="F1227" s="564"/>
      <c r="G1227" s="564"/>
      <c r="H1227" s="564"/>
      <c r="I1227" s="564"/>
      <c r="J1227" s="564"/>
      <c r="K1227" s="564"/>
      <c r="L1227" s="564"/>
      <c r="M1227" s="564"/>
      <c r="N1227" s="564"/>
      <c r="O1227" s="564"/>
      <c r="P1227" s="564"/>
      <c r="Q1227" s="564"/>
      <c r="R1227" s="564"/>
      <c r="S1227" s="564"/>
      <c r="T1227" s="564"/>
      <c r="U1227" s="564"/>
      <c r="V1227" s="564"/>
      <c r="W1227" s="564"/>
      <c r="X1227" s="564"/>
      <c r="Y1227" s="564"/>
      <c r="Z1227" s="564"/>
      <c r="AA1227" s="564"/>
      <c r="AB1227" s="556"/>
      <c r="AC1227" s="556"/>
      <c r="AD1227" s="556"/>
      <c r="AE1227" s="556"/>
      <c r="AF1227" s="556"/>
      <c r="AG1227" s="556"/>
      <c r="AH1227" s="556"/>
      <c r="AI1227" s="556"/>
      <c r="AJ1227" s="556"/>
      <c r="AK1227" s="556"/>
      <c r="AL1227" s="556"/>
      <c r="AM1227" s="556"/>
      <c r="AN1227" s="556"/>
      <c r="AO1227" s="556"/>
      <c r="AP1227" s="556"/>
      <c r="AQ1227" s="556"/>
      <c r="AR1227" s="556"/>
      <c r="AS1227" s="565"/>
      <c r="AT1227" s="556"/>
    </row>
    <row r="1228" spans="1:46" hidden="1" x14ac:dyDescent="0.45">
      <c r="A1228" s="556"/>
      <c r="B1228" s="556"/>
      <c r="C1228" s="556"/>
      <c r="D1228" s="564"/>
      <c r="E1228" s="556"/>
      <c r="F1228" s="564"/>
      <c r="G1228" s="564"/>
      <c r="H1228" s="564"/>
      <c r="I1228" s="564"/>
      <c r="J1228" s="564"/>
      <c r="K1228" s="564"/>
      <c r="L1228" s="564"/>
      <c r="M1228" s="564"/>
      <c r="N1228" s="564"/>
      <c r="O1228" s="564"/>
      <c r="P1228" s="564"/>
      <c r="Q1228" s="564"/>
      <c r="R1228" s="564"/>
      <c r="S1228" s="564"/>
      <c r="T1228" s="564"/>
      <c r="U1228" s="564"/>
      <c r="V1228" s="564"/>
      <c r="W1228" s="564"/>
      <c r="X1228" s="564"/>
      <c r="Y1228" s="564"/>
      <c r="Z1228" s="564"/>
      <c r="AA1228" s="564"/>
      <c r="AB1228" s="556"/>
      <c r="AC1228" s="556"/>
      <c r="AD1228" s="556"/>
      <c r="AE1228" s="556"/>
      <c r="AF1228" s="556"/>
      <c r="AG1228" s="556"/>
      <c r="AH1228" s="556"/>
      <c r="AI1228" s="556"/>
      <c r="AJ1228" s="556"/>
      <c r="AK1228" s="556"/>
      <c r="AL1228" s="556"/>
      <c r="AM1228" s="556"/>
      <c r="AN1228" s="556"/>
      <c r="AO1228" s="556"/>
      <c r="AP1228" s="556"/>
      <c r="AQ1228" s="556"/>
      <c r="AR1228" s="556"/>
      <c r="AS1228" s="565"/>
      <c r="AT1228" s="556"/>
    </row>
    <row r="1229" spans="1:46" hidden="1" x14ac:dyDescent="0.45">
      <c r="A1229" s="556"/>
      <c r="B1229" s="556"/>
      <c r="C1229" s="556"/>
      <c r="D1229" s="564"/>
      <c r="E1229" s="556"/>
      <c r="F1229" s="564"/>
      <c r="G1229" s="564"/>
      <c r="H1229" s="564"/>
      <c r="I1229" s="564"/>
      <c r="J1229" s="564"/>
      <c r="K1229" s="564"/>
      <c r="L1229" s="564"/>
      <c r="M1229" s="564"/>
      <c r="N1229" s="564"/>
      <c r="O1229" s="564"/>
      <c r="P1229" s="564"/>
      <c r="Q1229" s="564"/>
      <c r="R1229" s="564"/>
      <c r="S1229" s="564"/>
      <c r="T1229" s="564"/>
      <c r="U1229" s="564"/>
      <c r="V1229" s="564"/>
      <c r="W1229" s="564"/>
      <c r="X1229" s="564"/>
      <c r="Y1229" s="564"/>
      <c r="Z1229" s="564"/>
      <c r="AA1229" s="564"/>
      <c r="AB1229" s="556"/>
      <c r="AC1229" s="556"/>
      <c r="AD1229" s="556"/>
      <c r="AE1229" s="556"/>
      <c r="AF1229" s="556"/>
      <c r="AG1229" s="556"/>
      <c r="AH1229" s="556"/>
      <c r="AI1229" s="556"/>
      <c r="AJ1229" s="556"/>
      <c r="AK1229" s="556"/>
      <c r="AL1229" s="556"/>
      <c r="AM1229" s="556"/>
      <c r="AN1229" s="556"/>
      <c r="AO1229" s="556"/>
      <c r="AP1229" s="556"/>
      <c r="AQ1229" s="556"/>
      <c r="AR1229" s="556"/>
      <c r="AS1229" s="565"/>
      <c r="AT1229" s="556"/>
    </row>
    <row r="1230" spans="1:46" hidden="1" x14ac:dyDescent="0.45">
      <c r="A1230" s="556"/>
      <c r="B1230" s="556"/>
      <c r="C1230" s="556"/>
      <c r="D1230" s="564"/>
      <c r="E1230" s="556"/>
      <c r="F1230" s="564"/>
      <c r="G1230" s="564"/>
      <c r="H1230" s="564"/>
      <c r="I1230" s="564"/>
      <c r="J1230" s="564"/>
      <c r="K1230" s="564"/>
      <c r="L1230" s="564"/>
      <c r="M1230" s="564"/>
      <c r="N1230" s="564"/>
      <c r="O1230" s="564"/>
      <c r="P1230" s="564"/>
      <c r="Q1230" s="564"/>
      <c r="R1230" s="564"/>
      <c r="S1230" s="564"/>
      <c r="T1230" s="564"/>
      <c r="U1230" s="564"/>
      <c r="V1230" s="564"/>
      <c r="W1230" s="564"/>
      <c r="X1230" s="564"/>
      <c r="Y1230" s="564"/>
      <c r="Z1230" s="564"/>
      <c r="AA1230" s="564"/>
      <c r="AB1230" s="556"/>
      <c r="AC1230" s="556"/>
      <c r="AD1230" s="556"/>
      <c r="AE1230" s="556"/>
      <c r="AF1230" s="556"/>
      <c r="AG1230" s="556"/>
      <c r="AH1230" s="556"/>
      <c r="AI1230" s="556"/>
      <c r="AJ1230" s="556"/>
      <c r="AK1230" s="556"/>
      <c r="AL1230" s="556"/>
      <c r="AM1230" s="556"/>
      <c r="AN1230" s="556"/>
      <c r="AO1230" s="556"/>
      <c r="AP1230" s="556"/>
      <c r="AQ1230" s="556"/>
      <c r="AR1230" s="556"/>
      <c r="AS1230" s="565"/>
      <c r="AT1230" s="556"/>
    </row>
    <row r="1231" spans="1:46" hidden="1" x14ac:dyDescent="0.45">
      <c r="A1231" s="556"/>
      <c r="B1231" s="556"/>
      <c r="C1231" s="556"/>
      <c r="D1231" s="564"/>
      <c r="E1231" s="556"/>
      <c r="F1231" s="564"/>
      <c r="G1231" s="564"/>
      <c r="H1231" s="564"/>
      <c r="I1231" s="564"/>
      <c r="J1231" s="564"/>
      <c r="K1231" s="564"/>
      <c r="L1231" s="564"/>
      <c r="M1231" s="564"/>
      <c r="N1231" s="564"/>
      <c r="O1231" s="564"/>
      <c r="P1231" s="564"/>
      <c r="Q1231" s="564"/>
      <c r="R1231" s="564"/>
      <c r="S1231" s="564"/>
      <c r="T1231" s="564"/>
      <c r="U1231" s="564"/>
      <c r="V1231" s="564"/>
      <c r="W1231" s="564"/>
      <c r="X1231" s="564"/>
      <c r="Y1231" s="564"/>
      <c r="Z1231" s="564"/>
      <c r="AA1231" s="564"/>
      <c r="AB1231" s="556"/>
      <c r="AC1231" s="556"/>
      <c r="AD1231" s="556"/>
      <c r="AE1231" s="556"/>
      <c r="AF1231" s="556"/>
      <c r="AG1231" s="556"/>
      <c r="AH1231" s="556"/>
      <c r="AI1231" s="556"/>
      <c r="AJ1231" s="556"/>
      <c r="AK1231" s="556"/>
      <c r="AL1231" s="556"/>
      <c r="AM1231" s="556"/>
      <c r="AN1231" s="556"/>
      <c r="AO1231" s="556"/>
      <c r="AP1231" s="556"/>
      <c r="AQ1231" s="556"/>
      <c r="AR1231" s="556"/>
      <c r="AS1231" s="565"/>
      <c r="AT1231" s="556"/>
    </row>
    <row r="1232" spans="1:46" hidden="1" x14ac:dyDescent="0.45">
      <c r="A1232" s="556"/>
      <c r="B1232" s="556"/>
      <c r="C1232" s="556"/>
      <c r="D1232" s="564"/>
      <c r="E1232" s="556"/>
      <c r="F1232" s="564"/>
      <c r="G1232" s="564"/>
      <c r="H1232" s="564"/>
      <c r="I1232" s="564"/>
      <c r="J1232" s="564"/>
      <c r="K1232" s="564"/>
      <c r="L1232" s="564"/>
      <c r="M1232" s="564"/>
      <c r="N1232" s="564"/>
      <c r="O1232" s="564"/>
      <c r="P1232" s="564"/>
      <c r="Q1232" s="564"/>
      <c r="R1232" s="564"/>
      <c r="S1232" s="564"/>
      <c r="T1232" s="564"/>
      <c r="U1232" s="564"/>
      <c r="V1232" s="564"/>
      <c r="W1232" s="564"/>
      <c r="X1232" s="564"/>
      <c r="Y1232" s="564"/>
      <c r="Z1232" s="564"/>
      <c r="AA1232" s="564"/>
      <c r="AB1232" s="556"/>
      <c r="AC1232" s="556"/>
      <c r="AD1232" s="556"/>
      <c r="AE1232" s="556"/>
      <c r="AF1232" s="556"/>
      <c r="AG1232" s="556"/>
      <c r="AH1232" s="556"/>
      <c r="AI1232" s="556"/>
      <c r="AJ1232" s="556"/>
      <c r="AK1232" s="556"/>
      <c r="AL1232" s="556"/>
      <c r="AM1232" s="556"/>
      <c r="AN1232" s="556"/>
      <c r="AO1232" s="556"/>
      <c r="AP1232" s="556"/>
      <c r="AQ1232" s="556"/>
      <c r="AR1232" s="556"/>
      <c r="AS1232" s="565"/>
      <c r="AT1232" s="556"/>
    </row>
    <row r="1233" spans="1:46" hidden="1" x14ac:dyDescent="0.45">
      <c r="A1233" s="556"/>
      <c r="B1233" s="556"/>
      <c r="C1233" s="556"/>
      <c r="D1233" s="564"/>
      <c r="E1233" s="556"/>
      <c r="F1233" s="564"/>
      <c r="G1233" s="564"/>
      <c r="H1233" s="564"/>
      <c r="I1233" s="564"/>
      <c r="J1233" s="564"/>
      <c r="K1233" s="564"/>
      <c r="L1233" s="564"/>
      <c r="M1233" s="564"/>
      <c r="N1233" s="564"/>
      <c r="O1233" s="564"/>
      <c r="P1233" s="564"/>
      <c r="Q1233" s="564"/>
      <c r="R1233" s="564"/>
      <c r="S1233" s="564"/>
      <c r="T1233" s="564"/>
      <c r="U1233" s="564"/>
      <c r="V1233" s="564"/>
      <c r="W1233" s="564"/>
      <c r="X1233" s="564"/>
      <c r="Y1233" s="564"/>
      <c r="Z1233" s="564"/>
      <c r="AA1233" s="564"/>
      <c r="AB1233" s="556"/>
      <c r="AC1233" s="556"/>
      <c r="AD1233" s="556"/>
      <c r="AE1233" s="556"/>
      <c r="AF1233" s="556"/>
      <c r="AG1233" s="556"/>
      <c r="AH1233" s="556"/>
      <c r="AI1233" s="556"/>
      <c r="AJ1233" s="556"/>
      <c r="AK1233" s="556"/>
      <c r="AL1233" s="556"/>
      <c r="AM1233" s="556"/>
      <c r="AN1233" s="556"/>
      <c r="AO1233" s="556"/>
      <c r="AP1233" s="556"/>
      <c r="AQ1233" s="556"/>
      <c r="AR1233" s="556"/>
      <c r="AS1233" s="565"/>
      <c r="AT1233" s="556"/>
    </row>
    <row r="1234" spans="1:46" hidden="1" x14ac:dyDescent="0.45">
      <c r="A1234" s="556"/>
      <c r="B1234" s="556"/>
      <c r="C1234" s="556"/>
      <c r="D1234" s="564"/>
      <c r="E1234" s="556"/>
      <c r="F1234" s="564"/>
      <c r="G1234" s="564"/>
      <c r="H1234" s="564"/>
      <c r="I1234" s="564"/>
      <c r="J1234" s="564"/>
      <c r="K1234" s="564"/>
      <c r="L1234" s="564"/>
      <c r="M1234" s="564"/>
      <c r="N1234" s="564"/>
      <c r="O1234" s="564"/>
      <c r="P1234" s="564"/>
      <c r="Q1234" s="564"/>
      <c r="R1234" s="564"/>
      <c r="S1234" s="564"/>
      <c r="T1234" s="564"/>
      <c r="U1234" s="564"/>
      <c r="V1234" s="564"/>
      <c r="W1234" s="564"/>
      <c r="X1234" s="564"/>
      <c r="Y1234" s="564"/>
      <c r="Z1234" s="564"/>
      <c r="AA1234" s="564"/>
      <c r="AB1234" s="556"/>
      <c r="AC1234" s="556"/>
      <c r="AD1234" s="556"/>
      <c r="AE1234" s="556"/>
      <c r="AF1234" s="556"/>
      <c r="AG1234" s="556"/>
      <c r="AH1234" s="556"/>
      <c r="AI1234" s="556"/>
      <c r="AJ1234" s="556"/>
      <c r="AK1234" s="556"/>
      <c r="AL1234" s="556"/>
      <c r="AM1234" s="556"/>
      <c r="AN1234" s="556"/>
      <c r="AO1234" s="556"/>
      <c r="AP1234" s="556"/>
      <c r="AQ1234" s="556"/>
      <c r="AR1234" s="556"/>
      <c r="AS1234" s="565"/>
      <c r="AT1234" s="556"/>
    </row>
    <row r="1235" spans="1:46" hidden="1" x14ac:dyDescent="0.45">
      <c r="A1235" s="556"/>
      <c r="B1235" s="556"/>
      <c r="C1235" s="556"/>
      <c r="D1235" s="564"/>
      <c r="E1235" s="556"/>
      <c r="F1235" s="564"/>
      <c r="G1235" s="564"/>
      <c r="H1235" s="564"/>
      <c r="I1235" s="564"/>
      <c r="J1235" s="564"/>
      <c r="K1235" s="564"/>
      <c r="L1235" s="564"/>
      <c r="M1235" s="564"/>
      <c r="N1235" s="564"/>
      <c r="O1235" s="564"/>
      <c r="P1235" s="564"/>
      <c r="Q1235" s="564"/>
      <c r="R1235" s="564"/>
      <c r="S1235" s="564"/>
      <c r="T1235" s="564"/>
      <c r="U1235" s="564"/>
      <c r="V1235" s="564"/>
      <c r="W1235" s="564"/>
      <c r="X1235" s="564"/>
      <c r="Y1235" s="564"/>
      <c r="Z1235" s="564"/>
      <c r="AA1235" s="564"/>
      <c r="AB1235" s="556"/>
      <c r="AC1235" s="556"/>
      <c r="AD1235" s="556"/>
      <c r="AE1235" s="556"/>
      <c r="AF1235" s="556"/>
      <c r="AG1235" s="556"/>
      <c r="AH1235" s="556"/>
      <c r="AI1235" s="556"/>
      <c r="AJ1235" s="556"/>
      <c r="AK1235" s="556"/>
      <c r="AL1235" s="556"/>
      <c r="AM1235" s="556"/>
      <c r="AN1235" s="556"/>
      <c r="AO1235" s="556"/>
      <c r="AP1235" s="556"/>
      <c r="AQ1235" s="556"/>
      <c r="AR1235" s="556"/>
      <c r="AS1235" s="565"/>
      <c r="AT1235" s="556"/>
    </row>
    <row r="1236" spans="1:46" hidden="1" x14ac:dyDescent="0.45">
      <c r="A1236" s="556"/>
      <c r="B1236" s="556"/>
      <c r="C1236" s="556"/>
      <c r="D1236" s="564"/>
      <c r="E1236" s="556"/>
      <c r="F1236" s="564"/>
      <c r="G1236" s="564"/>
      <c r="H1236" s="564"/>
      <c r="I1236" s="564"/>
      <c r="J1236" s="564"/>
      <c r="K1236" s="564"/>
      <c r="L1236" s="564"/>
      <c r="M1236" s="564"/>
      <c r="N1236" s="564"/>
      <c r="O1236" s="564"/>
      <c r="P1236" s="564"/>
      <c r="Q1236" s="564"/>
      <c r="R1236" s="564"/>
      <c r="S1236" s="564"/>
      <c r="T1236" s="564"/>
      <c r="U1236" s="564"/>
      <c r="V1236" s="564"/>
      <c r="W1236" s="564"/>
      <c r="X1236" s="564"/>
      <c r="Y1236" s="564"/>
      <c r="Z1236" s="564"/>
      <c r="AA1236" s="564"/>
      <c r="AB1236" s="556"/>
      <c r="AC1236" s="556"/>
      <c r="AD1236" s="556"/>
      <c r="AE1236" s="556"/>
      <c r="AF1236" s="556"/>
      <c r="AG1236" s="556"/>
      <c r="AH1236" s="556"/>
      <c r="AI1236" s="556"/>
      <c r="AJ1236" s="556"/>
      <c r="AK1236" s="556"/>
      <c r="AL1236" s="556"/>
      <c r="AM1236" s="556"/>
      <c r="AN1236" s="556"/>
      <c r="AO1236" s="556"/>
      <c r="AP1236" s="556"/>
      <c r="AQ1236" s="556"/>
      <c r="AR1236" s="556"/>
      <c r="AS1236" s="565"/>
      <c r="AT1236" s="556"/>
    </row>
    <row r="1237" spans="1:46" hidden="1" x14ac:dyDescent="0.45">
      <c r="A1237" s="556"/>
      <c r="B1237" s="556"/>
      <c r="C1237" s="556"/>
      <c r="D1237" s="564"/>
      <c r="E1237" s="556"/>
      <c r="F1237" s="564"/>
      <c r="G1237" s="564"/>
      <c r="H1237" s="564"/>
      <c r="I1237" s="564"/>
      <c r="J1237" s="564"/>
      <c r="K1237" s="564"/>
      <c r="L1237" s="564"/>
      <c r="M1237" s="564"/>
      <c r="N1237" s="564"/>
      <c r="O1237" s="564"/>
      <c r="P1237" s="564"/>
      <c r="Q1237" s="564"/>
      <c r="R1237" s="564"/>
      <c r="S1237" s="564"/>
      <c r="T1237" s="564"/>
      <c r="U1237" s="564"/>
      <c r="V1237" s="564"/>
      <c r="W1237" s="564"/>
      <c r="X1237" s="564"/>
      <c r="Y1237" s="564"/>
      <c r="Z1237" s="564"/>
      <c r="AA1237" s="564"/>
      <c r="AB1237" s="556"/>
      <c r="AC1237" s="556"/>
      <c r="AD1237" s="556"/>
      <c r="AE1237" s="556"/>
      <c r="AF1237" s="556"/>
      <c r="AG1237" s="556"/>
      <c r="AH1237" s="556"/>
      <c r="AI1237" s="556"/>
      <c r="AJ1237" s="556"/>
      <c r="AK1237" s="556"/>
      <c r="AL1237" s="556"/>
      <c r="AM1237" s="556"/>
      <c r="AN1237" s="556"/>
      <c r="AO1237" s="556"/>
      <c r="AP1237" s="556"/>
      <c r="AQ1237" s="556"/>
      <c r="AR1237" s="556"/>
      <c r="AS1237" s="565"/>
      <c r="AT1237" s="556"/>
    </row>
    <row r="1238" spans="1:46" hidden="1" x14ac:dyDescent="0.45">
      <c r="A1238" s="556"/>
      <c r="B1238" s="556"/>
      <c r="C1238" s="556"/>
      <c r="D1238" s="564"/>
      <c r="E1238" s="556"/>
      <c r="F1238" s="564"/>
      <c r="G1238" s="564"/>
      <c r="H1238" s="564"/>
      <c r="I1238" s="564"/>
      <c r="J1238" s="564"/>
      <c r="K1238" s="564"/>
      <c r="L1238" s="564"/>
      <c r="M1238" s="564"/>
      <c r="N1238" s="564"/>
      <c r="O1238" s="564"/>
      <c r="P1238" s="564"/>
      <c r="Q1238" s="564"/>
      <c r="R1238" s="564"/>
      <c r="S1238" s="564"/>
      <c r="T1238" s="564"/>
      <c r="U1238" s="564"/>
      <c r="V1238" s="564"/>
      <c r="W1238" s="564"/>
      <c r="X1238" s="564"/>
      <c r="Y1238" s="564"/>
      <c r="Z1238" s="564"/>
      <c r="AA1238" s="564"/>
      <c r="AB1238" s="556"/>
      <c r="AC1238" s="556"/>
      <c r="AD1238" s="556"/>
      <c r="AE1238" s="556"/>
      <c r="AF1238" s="556"/>
      <c r="AG1238" s="556"/>
      <c r="AH1238" s="556"/>
      <c r="AI1238" s="556"/>
      <c r="AJ1238" s="556"/>
      <c r="AK1238" s="556"/>
      <c r="AL1238" s="556"/>
      <c r="AM1238" s="556"/>
      <c r="AN1238" s="556"/>
      <c r="AO1238" s="556"/>
      <c r="AP1238" s="556"/>
      <c r="AQ1238" s="556"/>
      <c r="AR1238" s="556"/>
      <c r="AS1238" s="565"/>
      <c r="AT1238" s="556"/>
    </row>
    <row r="1239" spans="1:46" hidden="1" x14ac:dyDescent="0.45">
      <c r="A1239" s="556"/>
      <c r="B1239" s="556"/>
      <c r="C1239" s="556"/>
      <c r="D1239" s="564"/>
      <c r="E1239" s="556"/>
      <c r="F1239" s="564"/>
      <c r="G1239" s="564"/>
      <c r="H1239" s="564"/>
      <c r="I1239" s="564"/>
      <c r="J1239" s="564"/>
      <c r="K1239" s="564"/>
      <c r="L1239" s="564"/>
      <c r="M1239" s="564"/>
      <c r="N1239" s="564"/>
      <c r="O1239" s="564"/>
      <c r="P1239" s="564"/>
      <c r="Q1239" s="564"/>
      <c r="R1239" s="564"/>
      <c r="S1239" s="564"/>
      <c r="T1239" s="564"/>
      <c r="U1239" s="564"/>
      <c r="V1239" s="564"/>
      <c r="W1239" s="564"/>
      <c r="X1239" s="564"/>
      <c r="Y1239" s="564"/>
      <c r="Z1239" s="564"/>
      <c r="AA1239" s="564"/>
      <c r="AB1239" s="556"/>
      <c r="AC1239" s="556"/>
      <c r="AD1239" s="556"/>
      <c r="AE1239" s="556"/>
      <c r="AF1239" s="556"/>
      <c r="AG1239" s="556"/>
      <c r="AH1239" s="556"/>
      <c r="AI1239" s="556"/>
      <c r="AJ1239" s="556"/>
      <c r="AK1239" s="556"/>
      <c r="AL1239" s="556"/>
      <c r="AM1239" s="556"/>
      <c r="AN1239" s="556"/>
      <c r="AO1239" s="556"/>
      <c r="AP1239" s="556"/>
      <c r="AQ1239" s="556"/>
      <c r="AR1239" s="556"/>
      <c r="AS1239" s="565"/>
      <c r="AT1239" s="556"/>
    </row>
    <row r="1240" spans="1:46" hidden="1" x14ac:dyDescent="0.45">
      <c r="A1240" s="556"/>
      <c r="B1240" s="556"/>
      <c r="C1240" s="556"/>
      <c r="D1240" s="564"/>
      <c r="E1240" s="556"/>
      <c r="F1240" s="564"/>
      <c r="G1240" s="564"/>
      <c r="H1240" s="564"/>
      <c r="I1240" s="564"/>
      <c r="J1240" s="564"/>
      <c r="K1240" s="564"/>
      <c r="L1240" s="564"/>
      <c r="M1240" s="564"/>
      <c r="N1240" s="564"/>
      <c r="O1240" s="564"/>
      <c r="P1240" s="564"/>
      <c r="Q1240" s="564"/>
      <c r="R1240" s="564"/>
      <c r="S1240" s="564"/>
      <c r="T1240" s="564"/>
      <c r="U1240" s="564"/>
      <c r="V1240" s="564"/>
      <c r="W1240" s="564"/>
      <c r="X1240" s="564"/>
      <c r="Y1240" s="564"/>
      <c r="Z1240" s="564"/>
      <c r="AA1240" s="564"/>
      <c r="AB1240" s="556"/>
      <c r="AC1240" s="556"/>
      <c r="AD1240" s="556"/>
      <c r="AE1240" s="556"/>
      <c r="AF1240" s="556"/>
      <c r="AG1240" s="556"/>
      <c r="AH1240" s="556"/>
      <c r="AI1240" s="556"/>
      <c r="AJ1240" s="556"/>
      <c r="AK1240" s="556"/>
      <c r="AL1240" s="556"/>
      <c r="AM1240" s="556"/>
      <c r="AN1240" s="556"/>
      <c r="AO1240" s="556"/>
      <c r="AP1240" s="556"/>
      <c r="AQ1240" s="556"/>
      <c r="AR1240" s="556"/>
      <c r="AS1240" s="565"/>
      <c r="AT1240" s="556"/>
    </row>
    <row r="1241" spans="1:46" hidden="1" x14ac:dyDescent="0.45">
      <c r="A1241" s="556"/>
      <c r="B1241" s="556"/>
      <c r="C1241" s="556"/>
      <c r="D1241" s="564"/>
      <c r="E1241" s="556"/>
      <c r="F1241" s="564"/>
      <c r="G1241" s="564"/>
      <c r="H1241" s="564"/>
      <c r="I1241" s="564"/>
      <c r="J1241" s="564"/>
      <c r="K1241" s="564"/>
      <c r="L1241" s="564"/>
      <c r="M1241" s="564"/>
      <c r="N1241" s="564"/>
      <c r="O1241" s="564"/>
      <c r="P1241" s="564"/>
      <c r="Q1241" s="564"/>
      <c r="R1241" s="564"/>
      <c r="S1241" s="564"/>
      <c r="T1241" s="564"/>
      <c r="U1241" s="564"/>
      <c r="V1241" s="564"/>
      <c r="W1241" s="564"/>
      <c r="X1241" s="564"/>
      <c r="Y1241" s="564"/>
      <c r="Z1241" s="564"/>
      <c r="AA1241" s="564"/>
      <c r="AB1241" s="556"/>
      <c r="AC1241" s="556"/>
      <c r="AD1241" s="556"/>
      <c r="AE1241" s="556"/>
      <c r="AF1241" s="556"/>
      <c r="AG1241" s="556"/>
      <c r="AH1241" s="556"/>
      <c r="AI1241" s="556"/>
      <c r="AJ1241" s="556"/>
      <c r="AK1241" s="556"/>
      <c r="AL1241" s="556"/>
      <c r="AM1241" s="556"/>
      <c r="AN1241" s="556"/>
      <c r="AO1241" s="556"/>
      <c r="AP1241" s="556"/>
      <c r="AQ1241" s="556"/>
      <c r="AR1241" s="556"/>
      <c r="AS1241" s="565"/>
      <c r="AT1241" s="556"/>
    </row>
    <row r="1242" spans="1:46" hidden="1" x14ac:dyDescent="0.45">
      <c r="A1242" s="556"/>
      <c r="B1242" s="556"/>
      <c r="C1242" s="556"/>
      <c r="D1242" s="564"/>
      <c r="E1242" s="556"/>
      <c r="F1242" s="564"/>
      <c r="G1242" s="564"/>
      <c r="H1242" s="564"/>
      <c r="I1242" s="564"/>
      <c r="J1242" s="564"/>
      <c r="K1242" s="564"/>
      <c r="L1242" s="564"/>
      <c r="M1242" s="564"/>
      <c r="N1242" s="564"/>
      <c r="O1242" s="564"/>
      <c r="P1242" s="564"/>
      <c r="Q1242" s="564"/>
      <c r="R1242" s="564"/>
      <c r="S1242" s="564"/>
      <c r="T1242" s="564"/>
      <c r="U1242" s="564"/>
      <c r="V1242" s="564"/>
      <c r="W1242" s="564"/>
      <c r="X1242" s="564"/>
      <c r="Y1242" s="564"/>
      <c r="Z1242" s="564"/>
      <c r="AA1242" s="564"/>
      <c r="AB1242" s="556"/>
      <c r="AC1242" s="556"/>
      <c r="AD1242" s="556"/>
      <c r="AE1242" s="556"/>
      <c r="AF1242" s="556"/>
      <c r="AG1242" s="556"/>
      <c r="AH1242" s="556"/>
      <c r="AI1242" s="556"/>
      <c r="AJ1242" s="556"/>
      <c r="AK1242" s="556"/>
      <c r="AL1242" s="556"/>
      <c r="AM1242" s="556"/>
      <c r="AN1242" s="556"/>
      <c r="AO1242" s="556"/>
      <c r="AP1242" s="556"/>
      <c r="AQ1242" s="556"/>
      <c r="AR1242" s="556"/>
      <c r="AS1242" s="565"/>
      <c r="AT1242" s="556"/>
    </row>
    <row r="1243" spans="1:46" hidden="1" x14ac:dyDescent="0.45">
      <c r="A1243" s="556"/>
      <c r="B1243" s="556"/>
      <c r="C1243" s="556"/>
      <c r="D1243" s="564"/>
      <c r="E1243" s="556"/>
      <c r="F1243" s="564"/>
      <c r="G1243" s="564"/>
      <c r="H1243" s="564"/>
      <c r="I1243" s="564"/>
      <c r="J1243" s="564"/>
      <c r="K1243" s="564"/>
      <c r="L1243" s="564"/>
      <c r="M1243" s="564"/>
      <c r="N1243" s="564"/>
      <c r="O1243" s="564"/>
      <c r="P1243" s="564"/>
      <c r="Q1243" s="564"/>
      <c r="R1243" s="564"/>
      <c r="S1243" s="564"/>
      <c r="T1243" s="564"/>
      <c r="U1243" s="564"/>
      <c r="V1243" s="564"/>
      <c r="W1243" s="564"/>
      <c r="X1243" s="564"/>
      <c r="Y1243" s="564"/>
      <c r="Z1243" s="564"/>
      <c r="AA1243" s="564"/>
      <c r="AB1243" s="556"/>
      <c r="AC1243" s="556"/>
      <c r="AD1243" s="556"/>
      <c r="AE1243" s="556"/>
      <c r="AF1243" s="556"/>
      <c r="AG1243" s="556"/>
      <c r="AH1243" s="556"/>
      <c r="AI1243" s="556"/>
      <c r="AJ1243" s="556"/>
      <c r="AK1243" s="556"/>
      <c r="AL1243" s="556"/>
      <c r="AM1243" s="556"/>
      <c r="AN1243" s="556"/>
      <c r="AO1243" s="556"/>
      <c r="AP1243" s="556"/>
      <c r="AQ1243" s="556"/>
      <c r="AR1243" s="556"/>
      <c r="AS1243" s="565"/>
      <c r="AT1243" s="556"/>
    </row>
    <row r="1244" spans="1:46" hidden="1" x14ac:dyDescent="0.45">
      <c r="A1244" s="556"/>
      <c r="B1244" s="556"/>
      <c r="C1244" s="556"/>
      <c r="D1244" s="564"/>
      <c r="E1244" s="556"/>
      <c r="F1244" s="564"/>
      <c r="G1244" s="564"/>
      <c r="H1244" s="564"/>
      <c r="I1244" s="564"/>
      <c r="J1244" s="564"/>
      <c r="K1244" s="564"/>
      <c r="L1244" s="564"/>
      <c r="M1244" s="564"/>
      <c r="N1244" s="564"/>
      <c r="O1244" s="564"/>
      <c r="P1244" s="564"/>
      <c r="Q1244" s="564"/>
      <c r="R1244" s="564"/>
      <c r="S1244" s="564"/>
      <c r="T1244" s="564"/>
      <c r="U1244" s="564"/>
      <c r="V1244" s="564"/>
      <c r="W1244" s="564"/>
      <c r="X1244" s="564"/>
      <c r="Y1244" s="564"/>
      <c r="Z1244" s="564"/>
      <c r="AA1244" s="564"/>
      <c r="AB1244" s="556"/>
      <c r="AC1244" s="556"/>
      <c r="AD1244" s="556"/>
      <c r="AE1244" s="556"/>
      <c r="AF1244" s="556"/>
      <c r="AG1244" s="556"/>
      <c r="AH1244" s="556"/>
      <c r="AI1244" s="556"/>
      <c r="AJ1244" s="556"/>
      <c r="AK1244" s="556"/>
      <c r="AL1244" s="556"/>
      <c r="AM1244" s="556"/>
      <c r="AN1244" s="556"/>
      <c r="AO1244" s="556"/>
      <c r="AP1244" s="556"/>
      <c r="AQ1244" s="556"/>
      <c r="AR1244" s="556"/>
      <c r="AS1244" s="565"/>
      <c r="AT1244" s="556"/>
    </row>
    <row r="1245" spans="1:46" hidden="1" x14ac:dyDescent="0.45">
      <c r="A1245" s="556"/>
      <c r="B1245" s="556"/>
      <c r="C1245" s="556"/>
      <c r="D1245" s="564"/>
      <c r="E1245" s="556"/>
      <c r="F1245" s="564"/>
      <c r="G1245" s="564"/>
      <c r="H1245" s="564"/>
      <c r="I1245" s="564"/>
      <c r="J1245" s="564"/>
      <c r="K1245" s="564"/>
      <c r="L1245" s="564"/>
      <c r="M1245" s="564"/>
      <c r="N1245" s="564"/>
      <c r="O1245" s="564"/>
      <c r="P1245" s="564"/>
      <c r="Q1245" s="564"/>
      <c r="R1245" s="564"/>
      <c r="S1245" s="564"/>
      <c r="T1245" s="564"/>
      <c r="U1245" s="564"/>
      <c r="V1245" s="564"/>
      <c r="W1245" s="564"/>
      <c r="X1245" s="564"/>
      <c r="Y1245" s="564"/>
      <c r="Z1245" s="564"/>
      <c r="AA1245" s="564"/>
      <c r="AB1245" s="556"/>
      <c r="AC1245" s="556"/>
      <c r="AD1245" s="556"/>
      <c r="AE1245" s="556"/>
      <c r="AF1245" s="556"/>
      <c r="AG1245" s="556"/>
      <c r="AH1245" s="556"/>
      <c r="AI1245" s="556"/>
      <c r="AJ1245" s="556"/>
      <c r="AK1245" s="556"/>
      <c r="AL1245" s="556"/>
      <c r="AM1245" s="556"/>
      <c r="AN1245" s="556"/>
      <c r="AO1245" s="556"/>
      <c r="AP1245" s="556"/>
      <c r="AQ1245" s="556"/>
      <c r="AR1245" s="556"/>
      <c r="AS1245" s="565"/>
      <c r="AT1245" s="556"/>
    </row>
    <row r="1246" spans="1:46" hidden="1" x14ac:dyDescent="0.45">
      <c r="A1246" s="556"/>
      <c r="B1246" s="556"/>
      <c r="C1246" s="556"/>
      <c r="D1246" s="564"/>
      <c r="E1246" s="556"/>
      <c r="F1246" s="564"/>
      <c r="G1246" s="564"/>
      <c r="H1246" s="564"/>
      <c r="I1246" s="564"/>
      <c r="J1246" s="564"/>
      <c r="K1246" s="564"/>
      <c r="L1246" s="564"/>
      <c r="M1246" s="564"/>
      <c r="N1246" s="564"/>
      <c r="O1246" s="564"/>
      <c r="P1246" s="564"/>
      <c r="Q1246" s="564"/>
      <c r="R1246" s="564"/>
      <c r="S1246" s="564"/>
      <c r="T1246" s="564"/>
      <c r="U1246" s="564"/>
      <c r="V1246" s="564"/>
      <c r="W1246" s="564"/>
      <c r="X1246" s="564"/>
      <c r="Y1246" s="564"/>
      <c r="Z1246" s="564"/>
      <c r="AA1246" s="564"/>
      <c r="AB1246" s="556"/>
      <c r="AC1246" s="556"/>
      <c r="AD1246" s="556"/>
      <c r="AE1246" s="556"/>
      <c r="AF1246" s="556"/>
      <c r="AG1246" s="556"/>
      <c r="AH1246" s="556"/>
      <c r="AI1246" s="556"/>
      <c r="AJ1246" s="556"/>
      <c r="AK1246" s="556"/>
      <c r="AL1246" s="556"/>
      <c r="AM1246" s="556"/>
      <c r="AN1246" s="556"/>
      <c r="AO1246" s="556"/>
      <c r="AP1246" s="556"/>
      <c r="AQ1246" s="556"/>
      <c r="AR1246" s="556"/>
      <c r="AS1246" s="565"/>
      <c r="AT1246" s="556"/>
    </row>
    <row r="1247" spans="1:46" hidden="1" x14ac:dyDescent="0.45">
      <c r="A1247" s="556"/>
      <c r="B1247" s="556"/>
      <c r="C1247" s="556"/>
      <c r="D1247" s="564"/>
      <c r="E1247" s="556"/>
      <c r="F1247" s="564"/>
      <c r="G1247" s="564"/>
      <c r="H1247" s="564"/>
      <c r="I1247" s="564"/>
      <c r="J1247" s="564"/>
      <c r="K1247" s="564"/>
      <c r="L1247" s="564"/>
      <c r="M1247" s="564"/>
      <c r="N1247" s="564"/>
      <c r="O1247" s="564"/>
      <c r="P1247" s="564"/>
      <c r="Q1247" s="564"/>
      <c r="R1247" s="564"/>
      <c r="S1247" s="564"/>
      <c r="T1247" s="564"/>
      <c r="U1247" s="564"/>
      <c r="V1247" s="564"/>
      <c r="W1247" s="564"/>
      <c r="X1247" s="564"/>
      <c r="Y1247" s="564"/>
      <c r="Z1247" s="564"/>
      <c r="AA1247" s="564"/>
      <c r="AB1247" s="556"/>
      <c r="AC1247" s="556"/>
      <c r="AD1247" s="556"/>
      <c r="AE1247" s="556"/>
      <c r="AF1247" s="556"/>
      <c r="AG1247" s="556"/>
      <c r="AH1247" s="556"/>
      <c r="AI1247" s="556"/>
      <c r="AJ1247" s="556"/>
      <c r="AK1247" s="556"/>
      <c r="AL1247" s="556"/>
      <c r="AM1247" s="556"/>
      <c r="AN1247" s="556"/>
      <c r="AO1247" s="556"/>
      <c r="AP1247" s="556"/>
      <c r="AQ1247" s="556"/>
      <c r="AR1247" s="556"/>
      <c r="AS1247" s="565"/>
      <c r="AT1247" s="556"/>
    </row>
    <row r="1248" spans="1:46" hidden="1" x14ac:dyDescent="0.45">
      <c r="A1248" s="556"/>
      <c r="B1248" s="556"/>
      <c r="C1248" s="556"/>
      <c r="D1248" s="564"/>
      <c r="E1248" s="556"/>
      <c r="F1248" s="564"/>
      <c r="G1248" s="564"/>
      <c r="H1248" s="564"/>
      <c r="I1248" s="564"/>
      <c r="J1248" s="564"/>
      <c r="K1248" s="564"/>
      <c r="L1248" s="564"/>
      <c r="M1248" s="564"/>
      <c r="N1248" s="564"/>
      <c r="O1248" s="564"/>
      <c r="P1248" s="564"/>
      <c r="Q1248" s="564"/>
      <c r="R1248" s="564"/>
      <c r="S1248" s="564"/>
      <c r="T1248" s="564"/>
      <c r="U1248" s="564"/>
      <c r="V1248" s="564"/>
      <c r="W1248" s="564"/>
      <c r="X1248" s="564"/>
      <c r="Y1248" s="564"/>
      <c r="Z1248" s="564"/>
      <c r="AA1248" s="564"/>
      <c r="AB1248" s="556"/>
      <c r="AC1248" s="556"/>
      <c r="AD1248" s="556"/>
      <c r="AE1248" s="556"/>
      <c r="AF1248" s="556"/>
      <c r="AG1248" s="556"/>
      <c r="AH1248" s="556"/>
      <c r="AI1248" s="556"/>
      <c r="AJ1248" s="556"/>
      <c r="AK1248" s="556"/>
      <c r="AL1248" s="556"/>
      <c r="AM1248" s="556"/>
      <c r="AN1248" s="556"/>
      <c r="AO1248" s="556"/>
      <c r="AP1248" s="556"/>
      <c r="AQ1248" s="556"/>
      <c r="AR1248" s="556"/>
      <c r="AS1248" s="565"/>
      <c r="AT1248" s="556"/>
    </row>
    <row r="1249" spans="1:46" hidden="1" x14ac:dyDescent="0.45">
      <c r="A1249" s="556"/>
      <c r="B1249" s="556"/>
      <c r="C1249" s="556"/>
      <c r="D1249" s="564"/>
      <c r="E1249" s="556"/>
      <c r="F1249" s="564"/>
      <c r="G1249" s="564"/>
      <c r="H1249" s="564"/>
      <c r="I1249" s="564"/>
      <c r="J1249" s="564"/>
      <c r="K1249" s="564"/>
      <c r="L1249" s="564"/>
      <c r="M1249" s="564"/>
      <c r="N1249" s="564"/>
      <c r="O1249" s="564"/>
      <c r="P1249" s="564"/>
      <c r="Q1249" s="564"/>
      <c r="R1249" s="564"/>
      <c r="S1249" s="564"/>
      <c r="T1249" s="564"/>
      <c r="U1249" s="564"/>
      <c r="V1249" s="564"/>
      <c r="W1249" s="564"/>
      <c r="X1249" s="564"/>
      <c r="Y1249" s="564"/>
      <c r="Z1249" s="564"/>
      <c r="AA1249" s="564"/>
      <c r="AB1249" s="556"/>
      <c r="AC1249" s="556"/>
      <c r="AD1249" s="556"/>
      <c r="AE1249" s="556"/>
      <c r="AF1249" s="556"/>
      <c r="AG1249" s="556"/>
      <c r="AH1249" s="556"/>
      <c r="AI1249" s="556"/>
      <c r="AJ1249" s="556"/>
      <c r="AK1249" s="556"/>
      <c r="AL1249" s="556"/>
      <c r="AM1249" s="556"/>
      <c r="AN1249" s="556"/>
      <c r="AO1249" s="556"/>
      <c r="AP1249" s="556"/>
      <c r="AQ1249" s="556"/>
      <c r="AR1249" s="556"/>
      <c r="AS1249" s="565"/>
      <c r="AT1249" s="556"/>
    </row>
    <row r="1250" spans="1:46" hidden="1" x14ac:dyDescent="0.45">
      <c r="A1250" s="556"/>
      <c r="B1250" s="556"/>
      <c r="C1250" s="556"/>
      <c r="D1250" s="564"/>
      <c r="E1250" s="556"/>
      <c r="F1250" s="564"/>
      <c r="G1250" s="564"/>
      <c r="H1250" s="564"/>
      <c r="I1250" s="564"/>
      <c r="J1250" s="564"/>
      <c r="K1250" s="564"/>
      <c r="L1250" s="564"/>
      <c r="M1250" s="564"/>
      <c r="N1250" s="564"/>
      <c r="O1250" s="564"/>
      <c r="P1250" s="564"/>
      <c r="Q1250" s="564"/>
      <c r="R1250" s="564"/>
      <c r="S1250" s="564"/>
      <c r="T1250" s="564"/>
      <c r="U1250" s="564"/>
      <c r="V1250" s="564"/>
      <c r="W1250" s="564"/>
      <c r="X1250" s="564"/>
      <c r="Y1250" s="564"/>
      <c r="Z1250" s="564"/>
      <c r="AA1250" s="564"/>
      <c r="AB1250" s="556"/>
      <c r="AC1250" s="556"/>
      <c r="AD1250" s="556"/>
      <c r="AE1250" s="556"/>
      <c r="AF1250" s="556"/>
      <c r="AG1250" s="556"/>
      <c r="AH1250" s="556"/>
      <c r="AI1250" s="556"/>
      <c r="AJ1250" s="556"/>
      <c r="AK1250" s="556"/>
      <c r="AL1250" s="556"/>
      <c r="AM1250" s="556"/>
      <c r="AN1250" s="556"/>
      <c r="AO1250" s="556"/>
      <c r="AP1250" s="556"/>
      <c r="AQ1250" s="556"/>
      <c r="AR1250" s="556"/>
      <c r="AS1250" s="565"/>
      <c r="AT1250" s="556"/>
    </row>
    <row r="1251" spans="1:46" hidden="1" x14ac:dyDescent="0.45">
      <c r="A1251" s="556"/>
      <c r="B1251" s="556"/>
      <c r="C1251" s="556"/>
      <c r="D1251" s="564"/>
      <c r="E1251" s="556"/>
      <c r="F1251" s="564"/>
      <c r="G1251" s="564"/>
      <c r="H1251" s="564"/>
      <c r="I1251" s="564"/>
      <c r="J1251" s="564"/>
      <c r="K1251" s="564"/>
      <c r="L1251" s="564"/>
      <c r="M1251" s="564"/>
      <c r="N1251" s="564"/>
      <c r="O1251" s="564"/>
      <c r="P1251" s="564"/>
      <c r="Q1251" s="564"/>
      <c r="R1251" s="564"/>
      <c r="S1251" s="564"/>
      <c r="T1251" s="564"/>
      <c r="U1251" s="564"/>
      <c r="V1251" s="564"/>
      <c r="W1251" s="564"/>
      <c r="X1251" s="564"/>
      <c r="Y1251" s="564"/>
      <c r="Z1251" s="564"/>
      <c r="AA1251" s="564"/>
      <c r="AB1251" s="556"/>
      <c r="AC1251" s="556"/>
      <c r="AD1251" s="556"/>
      <c r="AE1251" s="556"/>
      <c r="AF1251" s="556"/>
      <c r="AG1251" s="556"/>
      <c r="AH1251" s="556"/>
      <c r="AI1251" s="556"/>
      <c r="AJ1251" s="556"/>
      <c r="AK1251" s="556"/>
      <c r="AL1251" s="556"/>
      <c r="AM1251" s="556"/>
      <c r="AN1251" s="556"/>
      <c r="AO1251" s="556"/>
      <c r="AP1251" s="556"/>
      <c r="AQ1251" s="556"/>
      <c r="AR1251" s="556"/>
      <c r="AS1251" s="565"/>
      <c r="AT1251" s="556"/>
    </row>
    <row r="1252" spans="1:46" hidden="1" x14ac:dyDescent="0.45">
      <c r="A1252" s="556"/>
      <c r="B1252" s="556"/>
      <c r="C1252" s="556"/>
      <c r="D1252" s="564"/>
      <c r="E1252" s="556"/>
      <c r="F1252" s="564"/>
      <c r="G1252" s="564"/>
      <c r="H1252" s="564"/>
      <c r="I1252" s="564"/>
      <c r="J1252" s="564"/>
      <c r="K1252" s="564"/>
      <c r="L1252" s="564"/>
      <c r="M1252" s="564"/>
      <c r="N1252" s="564"/>
      <c r="O1252" s="564"/>
      <c r="P1252" s="564"/>
      <c r="Q1252" s="564"/>
      <c r="R1252" s="564"/>
      <c r="S1252" s="564"/>
      <c r="T1252" s="564"/>
      <c r="U1252" s="564"/>
      <c r="V1252" s="564"/>
      <c r="W1252" s="564"/>
      <c r="X1252" s="564"/>
      <c r="Y1252" s="564"/>
      <c r="Z1252" s="564"/>
      <c r="AA1252" s="564"/>
      <c r="AB1252" s="556"/>
      <c r="AC1252" s="556"/>
      <c r="AD1252" s="556"/>
      <c r="AE1252" s="556"/>
      <c r="AF1252" s="556"/>
      <c r="AG1252" s="556"/>
      <c r="AH1252" s="556"/>
      <c r="AI1252" s="556"/>
      <c r="AJ1252" s="556"/>
      <c r="AK1252" s="556"/>
      <c r="AL1252" s="556"/>
      <c r="AM1252" s="556"/>
      <c r="AN1252" s="556"/>
      <c r="AO1252" s="556"/>
      <c r="AP1252" s="556"/>
      <c r="AQ1252" s="556"/>
      <c r="AR1252" s="556"/>
      <c r="AS1252" s="565"/>
      <c r="AT1252" s="556"/>
    </row>
    <row r="1253" spans="1:46" hidden="1" x14ac:dyDescent="0.45">
      <c r="A1253" s="556"/>
      <c r="B1253" s="556"/>
      <c r="C1253" s="556"/>
      <c r="D1253" s="564"/>
      <c r="E1253" s="556"/>
      <c r="F1253" s="564"/>
      <c r="G1253" s="564"/>
      <c r="H1253" s="564"/>
      <c r="I1253" s="564"/>
      <c r="J1253" s="564"/>
      <c r="K1253" s="564"/>
      <c r="L1253" s="564"/>
      <c r="M1253" s="564"/>
      <c r="N1253" s="564"/>
      <c r="O1253" s="564"/>
      <c r="P1253" s="564"/>
      <c r="Q1253" s="564"/>
      <c r="R1253" s="564"/>
      <c r="S1253" s="564"/>
      <c r="T1253" s="564"/>
      <c r="U1253" s="564"/>
      <c r="V1253" s="564"/>
      <c r="W1253" s="564"/>
      <c r="X1253" s="564"/>
      <c r="Y1253" s="564"/>
      <c r="Z1253" s="564"/>
      <c r="AA1253" s="564"/>
      <c r="AB1253" s="556"/>
      <c r="AC1253" s="556"/>
      <c r="AD1253" s="556"/>
      <c r="AE1253" s="556"/>
      <c r="AF1253" s="556"/>
      <c r="AG1253" s="556"/>
      <c r="AH1253" s="556"/>
      <c r="AI1253" s="556"/>
      <c r="AJ1253" s="556"/>
      <c r="AK1253" s="556"/>
      <c r="AL1253" s="556"/>
      <c r="AM1253" s="556"/>
      <c r="AN1253" s="556"/>
      <c r="AO1253" s="556"/>
      <c r="AP1253" s="556"/>
      <c r="AQ1253" s="556"/>
      <c r="AR1253" s="556"/>
      <c r="AS1253" s="565"/>
      <c r="AT1253" s="556"/>
    </row>
    <row r="1254" spans="1:46" hidden="1" x14ac:dyDescent="0.45">
      <c r="A1254" s="556"/>
      <c r="B1254" s="556"/>
      <c r="C1254" s="556"/>
      <c r="D1254" s="564"/>
      <c r="E1254" s="556"/>
      <c r="F1254" s="564"/>
      <c r="G1254" s="564"/>
      <c r="H1254" s="564"/>
      <c r="I1254" s="564"/>
      <c r="J1254" s="564"/>
      <c r="K1254" s="564"/>
      <c r="L1254" s="564"/>
      <c r="M1254" s="564"/>
      <c r="N1254" s="564"/>
      <c r="O1254" s="564"/>
      <c r="P1254" s="564"/>
      <c r="Q1254" s="564"/>
      <c r="R1254" s="564"/>
      <c r="S1254" s="564"/>
      <c r="T1254" s="564"/>
      <c r="U1254" s="564"/>
      <c r="V1254" s="564"/>
      <c r="W1254" s="564"/>
      <c r="X1254" s="564"/>
      <c r="Y1254" s="564"/>
      <c r="Z1254" s="564"/>
      <c r="AA1254" s="564"/>
      <c r="AB1254" s="556"/>
      <c r="AC1254" s="556"/>
      <c r="AD1254" s="556"/>
      <c r="AE1254" s="556"/>
      <c r="AF1254" s="556"/>
      <c r="AG1254" s="556"/>
      <c r="AH1254" s="556"/>
      <c r="AI1254" s="556"/>
      <c r="AJ1254" s="556"/>
      <c r="AK1254" s="556"/>
      <c r="AL1254" s="556"/>
      <c r="AM1254" s="556"/>
      <c r="AN1254" s="556"/>
      <c r="AO1254" s="556"/>
      <c r="AP1254" s="556"/>
      <c r="AQ1254" s="556"/>
      <c r="AR1254" s="556"/>
      <c r="AS1254" s="565"/>
      <c r="AT1254" s="556"/>
    </row>
    <row r="1255" spans="1:46" hidden="1" x14ac:dyDescent="0.45">
      <c r="A1255" s="556"/>
      <c r="B1255" s="556"/>
      <c r="C1255" s="556"/>
      <c r="D1255" s="564"/>
      <c r="E1255" s="556"/>
      <c r="F1255" s="564"/>
      <c r="G1255" s="564"/>
      <c r="H1255" s="564"/>
      <c r="I1255" s="564"/>
      <c r="J1255" s="564"/>
      <c r="K1255" s="564"/>
      <c r="L1255" s="564"/>
      <c r="M1255" s="564"/>
      <c r="N1255" s="564"/>
      <c r="O1255" s="564"/>
      <c r="P1255" s="564"/>
      <c r="Q1255" s="564"/>
      <c r="R1255" s="564"/>
      <c r="S1255" s="564"/>
      <c r="T1255" s="564"/>
      <c r="U1255" s="564"/>
      <c r="V1255" s="564"/>
      <c r="W1255" s="564"/>
      <c r="X1255" s="564"/>
      <c r="Y1255" s="564"/>
      <c r="Z1255" s="564"/>
      <c r="AA1255" s="564"/>
      <c r="AB1255" s="556"/>
      <c r="AC1255" s="556"/>
      <c r="AD1255" s="556"/>
      <c r="AE1255" s="556"/>
      <c r="AF1255" s="556"/>
      <c r="AG1255" s="556"/>
      <c r="AH1255" s="556"/>
      <c r="AI1255" s="556"/>
      <c r="AJ1255" s="556"/>
      <c r="AK1255" s="556"/>
      <c r="AL1255" s="556"/>
      <c r="AM1255" s="556"/>
      <c r="AN1255" s="556"/>
      <c r="AO1255" s="556"/>
      <c r="AP1255" s="556"/>
      <c r="AQ1255" s="556"/>
      <c r="AR1255" s="556"/>
      <c r="AS1255" s="565"/>
      <c r="AT1255" s="556"/>
    </row>
    <row r="1256" spans="1:46" hidden="1" x14ac:dyDescent="0.45">
      <c r="A1256" s="556"/>
      <c r="B1256" s="556"/>
      <c r="C1256" s="556"/>
      <c r="D1256" s="564"/>
      <c r="E1256" s="556"/>
      <c r="F1256" s="564"/>
      <c r="G1256" s="564"/>
      <c r="H1256" s="564"/>
      <c r="I1256" s="564"/>
      <c r="J1256" s="564"/>
      <c r="K1256" s="564"/>
      <c r="L1256" s="564"/>
      <c r="M1256" s="564"/>
      <c r="N1256" s="564"/>
      <c r="O1256" s="564"/>
      <c r="P1256" s="564"/>
      <c r="Q1256" s="564"/>
      <c r="R1256" s="564"/>
      <c r="S1256" s="564"/>
      <c r="T1256" s="564"/>
      <c r="U1256" s="564"/>
      <c r="V1256" s="564"/>
      <c r="W1256" s="564"/>
      <c r="X1256" s="564"/>
      <c r="Y1256" s="564"/>
      <c r="Z1256" s="564"/>
      <c r="AA1256" s="564"/>
      <c r="AB1256" s="556"/>
      <c r="AC1256" s="556"/>
      <c r="AD1256" s="556"/>
      <c r="AE1256" s="556"/>
      <c r="AF1256" s="556"/>
      <c r="AG1256" s="556"/>
      <c r="AH1256" s="556"/>
      <c r="AI1256" s="556"/>
      <c r="AJ1256" s="556"/>
      <c r="AK1256" s="556"/>
      <c r="AL1256" s="556"/>
      <c r="AM1256" s="556"/>
      <c r="AN1256" s="556"/>
      <c r="AO1256" s="556"/>
      <c r="AP1256" s="556"/>
      <c r="AQ1256" s="556"/>
      <c r="AR1256" s="556"/>
      <c r="AS1256" s="565"/>
      <c r="AT1256" s="556"/>
    </row>
    <row r="1257" spans="1:46" hidden="1" x14ac:dyDescent="0.45">
      <c r="A1257" s="556"/>
      <c r="B1257" s="556"/>
      <c r="C1257" s="556"/>
      <c r="D1257" s="564"/>
      <c r="E1257" s="556"/>
      <c r="F1257" s="564"/>
      <c r="G1257" s="564"/>
      <c r="H1257" s="564"/>
      <c r="I1257" s="564"/>
      <c r="J1257" s="564"/>
      <c r="K1257" s="564"/>
      <c r="L1257" s="564"/>
      <c r="M1257" s="564"/>
      <c r="N1257" s="564"/>
      <c r="O1257" s="564"/>
      <c r="P1257" s="564"/>
      <c r="Q1257" s="564"/>
      <c r="R1257" s="564"/>
      <c r="S1257" s="564"/>
      <c r="T1257" s="564"/>
      <c r="U1257" s="564"/>
      <c r="V1257" s="564"/>
      <c r="W1257" s="564"/>
      <c r="X1257" s="564"/>
      <c r="Y1257" s="564"/>
      <c r="Z1257" s="564"/>
      <c r="AA1257" s="564"/>
      <c r="AB1257" s="556"/>
      <c r="AC1257" s="556"/>
      <c r="AD1257" s="556"/>
      <c r="AE1257" s="556"/>
      <c r="AF1257" s="556"/>
      <c r="AG1257" s="556"/>
      <c r="AH1257" s="556"/>
      <c r="AI1257" s="556"/>
      <c r="AJ1257" s="556"/>
      <c r="AK1257" s="556"/>
      <c r="AL1257" s="556"/>
      <c r="AM1257" s="556"/>
      <c r="AN1257" s="556"/>
      <c r="AO1257" s="556"/>
      <c r="AP1257" s="556"/>
      <c r="AQ1257" s="556"/>
      <c r="AR1257" s="556"/>
      <c r="AS1257" s="565"/>
      <c r="AT1257" s="556"/>
    </row>
    <row r="1258" spans="1:46" hidden="1" x14ac:dyDescent="0.45">
      <c r="A1258" s="556"/>
      <c r="B1258" s="556"/>
      <c r="C1258" s="556"/>
      <c r="D1258" s="564"/>
      <c r="E1258" s="556"/>
      <c r="F1258" s="564"/>
      <c r="G1258" s="564"/>
      <c r="H1258" s="564"/>
      <c r="I1258" s="564"/>
      <c r="J1258" s="564"/>
      <c r="K1258" s="564"/>
      <c r="L1258" s="564"/>
      <c r="M1258" s="564"/>
      <c r="N1258" s="564"/>
      <c r="O1258" s="564"/>
      <c r="P1258" s="564"/>
      <c r="Q1258" s="564"/>
      <c r="R1258" s="564"/>
      <c r="S1258" s="564"/>
      <c r="T1258" s="564"/>
      <c r="U1258" s="564"/>
      <c r="V1258" s="564"/>
      <c r="W1258" s="564"/>
      <c r="X1258" s="564"/>
      <c r="Y1258" s="564"/>
      <c r="Z1258" s="564"/>
      <c r="AA1258" s="564"/>
      <c r="AB1258" s="556"/>
      <c r="AC1258" s="556"/>
      <c r="AD1258" s="556"/>
      <c r="AE1258" s="556"/>
      <c r="AF1258" s="556"/>
      <c r="AG1258" s="556"/>
      <c r="AH1258" s="556"/>
      <c r="AI1258" s="556"/>
      <c r="AJ1258" s="556"/>
      <c r="AK1258" s="556"/>
      <c r="AL1258" s="556"/>
      <c r="AM1258" s="556"/>
      <c r="AN1258" s="556"/>
      <c r="AO1258" s="556"/>
      <c r="AP1258" s="556"/>
      <c r="AQ1258" s="556"/>
      <c r="AR1258" s="556"/>
      <c r="AS1258" s="565"/>
      <c r="AT1258" s="556"/>
    </row>
    <row r="1259" spans="1:46" hidden="1" x14ac:dyDescent="0.45">
      <c r="A1259" s="556"/>
      <c r="B1259" s="556"/>
      <c r="C1259" s="556"/>
      <c r="D1259" s="564"/>
      <c r="E1259" s="556"/>
      <c r="F1259" s="564"/>
      <c r="G1259" s="564"/>
      <c r="H1259" s="564"/>
      <c r="I1259" s="564"/>
      <c r="J1259" s="564"/>
      <c r="K1259" s="564"/>
      <c r="L1259" s="564"/>
      <c r="M1259" s="564"/>
      <c r="N1259" s="564"/>
      <c r="O1259" s="564"/>
      <c r="P1259" s="564"/>
      <c r="Q1259" s="564"/>
      <c r="R1259" s="564"/>
      <c r="S1259" s="564"/>
      <c r="T1259" s="564"/>
      <c r="U1259" s="564"/>
      <c r="V1259" s="564"/>
      <c r="W1259" s="564"/>
      <c r="X1259" s="564"/>
      <c r="Y1259" s="564"/>
      <c r="Z1259" s="564"/>
      <c r="AA1259" s="564"/>
      <c r="AB1259" s="556"/>
      <c r="AC1259" s="556"/>
      <c r="AD1259" s="556"/>
      <c r="AE1259" s="556"/>
      <c r="AF1259" s="556"/>
      <c r="AG1259" s="556"/>
      <c r="AH1259" s="556"/>
      <c r="AI1259" s="556"/>
      <c r="AJ1259" s="556"/>
      <c r="AK1259" s="556"/>
      <c r="AL1259" s="556"/>
      <c r="AM1259" s="556"/>
      <c r="AN1259" s="556"/>
      <c r="AO1259" s="556"/>
      <c r="AP1259" s="556"/>
      <c r="AQ1259" s="556"/>
      <c r="AR1259" s="556"/>
      <c r="AS1259" s="565"/>
      <c r="AT1259" s="556"/>
    </row>
    <row r="1260" spans="1:46" hidden="1" x14ac:dyDescent="0.45">
      <c r="A1260" s="556"/>
      <c r="B1260" s="556"/>
      <c r="C1260" s="556"/>
      <c r="D1260" s="564"/>
      <c r="E1260" s="556"/>
      <c r="F1260" s="564"/>
      <c r="G1260" s="564"/>
      <c r="H1260" s="564"/>
      <c r="I1260" s="564"/>
      <c r="J1260" s="564"/>
      <c r="K1260" s="564"/>
      <c r="L1260" s="564"/>
      <c r="M1260" s="564"/>
      <c r="N1260" s="564"/>
      <c r="O1260" s="564"/>
      <c r="P1260" s="564"/>
      <c r="Q1260" s="564"/>
      <c r="R1260" s="564"/>
      <c r="S1260" s="564"/>
      <c r="T1260" s="564"/>
      <c r="U1260" s="564"/>
      <c r="V1260" s="564"/>
      <c r="W1260" s="564"/>
      <c r="X1260" s="564"/>
      <c r="Y1260" s="564"/>
      <c r="Z1260" s="564"/>
      <c r="AA1260" s="564"/>
      <c r="AB1260" s="556"/>
      <c r="AC1260" s="556"/>
      <c r="AD1260" s="556"/>
      <c r="AE1260" s="556"/>
      <c r="AF1260" s="556"/>
      <c r="AG1260" s="556"/>
      <c r="AH1260" s="556"/>
      <c r="AI1260" s="556"/>
      <c r="AJ1260" s="556"/>
      <c r="AK1260" s="556"/>
      <c r="AL1260" s="556"/>
      <c r="AM1260" s="556"/>
      <c r="AN1260" s="556"/>
      <c r="AO1260" s="556"/>
      <c r="AP1260" s="556"/>
      <c r="AQ1260" s="556"/>
      <c r="AR1260" s="556"/>
      <c r="AS1260" s="565"/>
      <c r="AT1260" s="556"/>
    </row>
    <row r="1261" spans="1:46" hidden="1" x14ac:dyDescent="0.45">
      <c r="A1261" s="556"/>
      <c r="B1261" s="556"/>
      <c r="C1261" s="556"/>
      <c r="D1261" s="564"/>
      <c r="E1261" s="556"/>
      <c r="F1261" s="564"/>
      <c r="G1261" s="564"/>
      <c r="H1261" s="564"/>
      <c r="I1261" s="564"/>
      <c r="J1261" s="564"/>
      <c r="K1261" s="564"/>
      <c r="L1261" s="564"/>
      <c r="M1261" s="564"/>
      <c r="N1261" s="564"/>
      <c r="O1261" s="564"/>
      <c r="P1261" s="564"/>
      <c r="Q1261" s="564"/>
      <c r="R1261" s="564"/>
      <c r="S1261" s="564"/>
      <c r="T1261" s="564"/>
      <c r="U1261" s="564"/>
      <c r="V1261" s="564"/>
      <c r="W1261" s="564"/>
      <c r="X1261" s="564"/>
      <c r="Y1261" s="564"/>
      <c r="Z1261" s="564"/>
      <c r="AA1261" s="564"/>
      <c r="AB1261" s="556"/>
      <c r="AC1261" s="556"/>
      <c r="AD1261" s="556"/>
      <c r="AE1261" s="556"/>
      <c r="AF1261" s="556"/>
      <c r="AG1261" s="556"/>
      <c r="AH1261" s="556"/>
      <c r="AI1261" s="556"/>
      <c r="AJ1261" s="556"/>
      <c r="AK1261" s="556"/>
      <c r="AL1261" s="556"/>
      <c r="AM1261" s="556"/>
      <c r="AN1261" s="556"/>
      <c r="AO1261" s="556"/>
      <c r="AP1261" s="556"/>
      <c r="AQ1261" s="556"/>
      <c r="AR1261" s="556"/>
      <c r="AS1261" s="565"/>
      <c r="AT1261" s="556"/>
    </row>
    <row r="1262" spans="1:46" hidden="1" x14ac:dyDescent="0.45">
      <c r="A1262" s="556"/>
      <c r="B1262" s="556"/>
      <c r="C1262" s="556"/>
      <c r="D1262" s="564"/>
      <c r="E1262" s="556"/>
      <c r="F1262" s="564"/>
      <c r="G1262" s="564"/>
      <c r="H1262" s="564"/>
      <c r="I1262" s="564"/>
      <c r="J1262" s="564"/>
      <c r="K1262" s="564"/>
      <c r="L1262" s="564"/>
      <c r="M1262" s="564"/>
      <c r="N1262" s="564"/>
      <c r="O1262" s="564"/>
      <c r="P1262" s="564"/>
      <c r="Q1262" s="564"/>
      <c r="R1262" s="564"/>
      <c r="S1262" s="564"/>
      <c r="T1262" s="564"/>
      <c r="U1262" s="564"/>
      <c r="V1262" s="564"/>
      <c r="W1262" s="564"/>
      <c r="X1262" s="564"/>
      <c r="Y1262" s="564"/>
      <c r="Z1262" s="564"/>
      <c r="AA1262" s="564"/>
      <c r="AB1262" s="556"/>
      <c r="AC1262" s="556"/>
      <c r="AD1262" s="556"/>
      <c r="AE1262" s="556"/>
      <c r="AF1262" s="556"/>
      <c r="AG1262" s="556"/>
      <c r="AH1262" s="556"/>
      <c r="AI1262" s="556"/>
      <c r="AJ1262" s="556"/>
      <c r="AK1262" s="556"/>
      <c r="AL1262" s="556"/>
      <c r="AM1262" s="556"/>
      <c r="AN1262" s="556"/>
      <c r="AO1262" s="556"/>
      <c r="AP1262" s="556"/>
      <c r="AQ1262" s="556"/>
      <c r="AR1262" s="556"/>
      <c r="AS1262" s="565"/>
      <c r="AT1262" s="556"/>
    </row>
    <row r="1263" spans="1:46" hidden="1" x14ac:dyDescent="0.45">
      <c r="A1263" s="556"/>
      <c r="B1263" s="556"/>
      <c r="C1263" s="556"/>
      <c r="D1263" s="564"/>
      <c r="E1263" s="556"/>
      <c r="F1263" s="564"/>
      <c r="G1263" s="564"/>
      <c r="H1263" s="564"/>
      <c r="I1263" s="564"/>
      <c r="J1263" s="564"/>
      <c r="K1263" s="564"/>
      <c r="L1263" s="564"/>
      <c r="M1263" s="564"/>
      <c r="N1263" s="564"/>
      <c r="O1263" s="564"/>
      <c r="P1263" s="564"/>
      <c r="Q1263" s="564"/>
      <c r="R1263" s="564"/>
      <c r="S1263" s="564"/>
      <c r="T1263" s="564"/>
      <c r="U1263" s="564"/>
      <c r="V1263" s="564"/>
      <c r="W1263" s="564"/>
      <c r="X1263" s="564"/>
      <c r="Y1263" s="564"/>
      <c r="Z1263" s="564"/>
      <c r="AA1263" s="564"/>
      <c r="AB1263" s="556"/>
      <c r="AC1263" s="556"/>
      <c r="AD1263" s="556"/>
      <c r="AE1263" s="556"/>
      <c r="AF1263" s="556"/>
      <c r="AG1263" s="556"/>
      <c r="AH1263" s="556"/>
      <c r="AI1263" s="556"/>
      <c r="AJ1263" s="556"/>
      <c r="AK1263" s="556"/>
      <c r="AL1263" s="556"/>
      <c r="AM1263" s="556"/>
      <c r="AN1263" s="556"/>
      <c r="AO1263" s="556"/>
      <c r="AP1263" s="556"/>
      <c r="AQ1263" s="556"/>
      <c r="AR1263" s="556"/>
      <c r="AS1263" s="565"/>
      <c r="AT1263" s="556"/>
    </row>
    <row r="1264" spans="1:46" hidden="1" x14ac:dyDescent="0.45">
      <c r="A1264" s="556"/>
      <c r="B1264" s="556"/>
      <c r="C1264" s="556"/>
      <c r="D1264" s="564"/>
      <c r="E1264" s="556"/>
      <c r="F1264" s="564"/>
      <c r="G1264" s="564"/>
      <c r="H1264" s="564"/>
      <c r="I1264" s="564"/>
      <c r="J1264" s="564"/>
      <c r="K1264" s="564"/>
      <c r="L1264" s="564"/>
      <c r="M1264" s="564"/>
      <c r="N1264" s="564"/>
      <c r="O1264" s="564"/>
      <c r="P1264" s="564"/>
      <c r="Q1264" s="564"/>
      <c r="R1264" s="564"/>
      <c r="S1264" s="564"/>
      <c r="T1264" s="564"/>
      <c r="U1264" s="564"/>
      <c r="V1264" s="564"/>
      <c r="W1264" s="564"/>
      <c r="X1264" s="564"/>
      <c r="Y1264" s="564"/>
      <c r="Z1264" s="564"/>
      <c r="AA1264" s="564"/>
      <c r="AB1264" s="556"/>
      <c r="AC1264" s="556"/>
      <c r="AD1264" s="556"/>
      <c r="AE1264" s="556"/>
      <c r="AF1264" s="556"/>
      <c r="AG1264" s="556"/>
      <c r="AH1264" s="556"/>
      <c r="AI1264" s="556"/>
      <c r="AJ1264" s="556"/>
      <c r="AK1264" s="556"/>
      <c r="AL1264" s="556"/>
      <c r="AM1264" s="556"/>
      <c r="AN1264" s="556"/>
      <c r="AO1264" s="556"/>
      <c r="AP1264" s="556"/>
      <c r="AQ1264" s="556"/>
      <c r="AR1264" s="556"/>
      <c r="AS1264" s="565"/>
      <c r="AT1264" s="556"/>
    </row>
    <row r="1265" spans="1:46" hidden="1" x14ac:dyDescent="0.45">
      <c r="A1265" s="556"/>
      <c r="B1265" s="556"/>
      <c r="C1265" s="556"/>
      <c r="D1265" s="564"/>
      <c r="E1265" s="556"/>
      <c r="F1265" s="564"/>
      <c r="G1265" s="564"/>
      <c r="H1265" s="564"/>
      <c r="I1265" s="564"/>
      <c r="J1265" s="564"/>
      <c r="K1265" s="564"/>
      <c r="L1265" s="564"/>
      <c r="M1265" s="564"/>
      <c r="N1265" s="564"/>
      <c r="O1265" s="564"/>
      <c r="P1265" s="564"/>
      <c r="Q1265" s="564"/>
      <c r="R1265" s="564"/>
      <c r="S1265" s="564"/>
      <c r="T1265" s="564"/>
      <c r="U1265" s="564"/>
      <c r="V1265" s="564"/>
      <c r="W1265" s="564"/>
      <c r="X1265" s="564"/>
      <c r="Y1265" s="564"/>
      <c r="Z1265" s="564"/>
      <c r="AA1265" s="564"/>
      <c r="AB1265" s="556"/>
      <c r="AC1265" s="556"/>
      <c r="AD1265" s="556"/>
      <c r="AE1265" s="556"/>
      <c r="AF1265" s="556"/>
      <c r="AG1265" s="556"/>
      <c r="AH1265" s="556"/>
      <c r="AI1265" s="556"/>
      <c r="AJ1265" s="556"/>
      <c r="AK1265" s="556"/>
      <c r="AL1265" s="556"/>
      <c r="AM1265" s="556"/>
      <c r="AN1265" s="556"/>
      <c r="AO1265" s="556"/>
      <c r="AP1265" s="556"/>
      <c r="AQ1265" s="556"/>
      <c r="AR1265" s="556"/>
      <c r="AS1265" s="565"/>
      <c r="AT1265" s="556"/>
    </row>
    <row r="1266" spans="1:46" hidden="1" x14ac:dyDescent="0.45">
      <c r="A1266" s="556"/>
      <c r="B1266" s="556"/>
      <c r="C1266" s="556"/>
      <c r="D1266" s="564"/>
      <c r="E1266" s="556"/>
      <c r="F1266" s="564"/>
      <c r="G1266" s="564"/>
      <c r="H1266" s="564"/>
      <c r="I1266" s="564"/>
      <c r="J1266" s="564"/>
      <c r="K1266" s="564"/>
      <c r="L1266" s="564"/>
      <c r="M1266" s="564"/>
      <c r="N1266" s="564"/>
      <c r="O1266" s="564"/>
      <c r="P1266" s="564"/>
      <c r="Q1266" s="564"/>
      <c r="R1266" s="564"/>
      <c r="S1266" s="564"/>
      <c r="T1266" s="564"/>
      <c r="U1266" s="564"/>
      <c r="V1266" s="564"/>
      <c r="W1266" s="564"/>
      <c r="X1266" s="564"/>
      <c r="Y1266" s="564"/>
      <c r="Z1266" s="564"/>
      <c r="AA1266" s="564"/>
      <c r="AB1266" s="556"/>
      <c r="AC1266" s="556"/>
      <c r="AD1266" s="556"/>
      <c r="AE1266" s="556"/>
      <c r="AF1266" s="556"/>
      <c r="AG1266" s="556"/>
      <c r="AH1266" s="556"/>
      <c r="AI1266" s="556"/>
      <c r="AJ1266" s="556"/>
      <c r="AK1266" s="556"/>
      <c r="AL1266" s="556"/>
      <c r="AM1266" s="556"/>
      <c r="AN1266" s="556"/>
      <c r="AO1266" s="556"/>
      <c r="AP1266" s="556"/>
      <c r="AQ1266" s="556"/>
      <c r="AR1266" s="556"/>
      <c r="AS1266" s="565"/>
      <c r="AT1266" s="556"/>
    </row>
    <row r="1267" spans="1:46" hidden="1" x14ac:dyDescent="0.45">
      <c r="A1267" s="556"/>
      <c r="B1267" s="556"/>
      <c r="C1267" s="556"/>
      <c r="D1267" s="564"/>
      <c r="E1267" s="556"/>
      <c r="F1267" s="564"/>
      <c r="G1267" s="564"/>
      <c r="H1267" s="564"/>
      <c r="I1267" s="564"/>
      <c r="J1267" s="564"/>
      <c r="K1267" s="564"/>
      <c r="L1267" s="564"/>
      <c r="M1267" s="564"/>
      <c r="N1267" s="564"/>
      <c r="O1267" s="564"/>
      <c r="P1267" s="564"/>
      <c r="Q1267" s="564"/>
      <c r="R1267" s="564"/>
      <c r="S1267" s="564"/>
      <c r="T1267" s="564"/>
      <c r="U1267" s="564"/>
      <c r="V1267" s="564"/>
      <c r="W1267" s="564"/>
      <c r="X1267" s="564"/>
      <c r="Y1267" s="564"/>
      <c r="Z1267" s="564"/>
      <c r="AA1267" s="564"/>
      <c r="AB1267" s="556"/>
      <c r="AC1267" s="556"/>
      <c r="AD1267" s="556"/>
      <c r="AE1267" s="556"/>
      <c r="AF1267" s="556"/>
      <c r="AG1267" s="556"/>
      <c r="AH1267" s="556"/>
      <c r="AI1267" s="556"/>
      <c r="AJ1267" s="556"/>
      <c r="AK1267" s="556"/>
      <c r="AL1267" s="556"/>
      <c r="AM1267" s="556"/>
      <c r="AN1267" s="556"/>
      <c r="AO1267" s="556"/>
      <c r="AP1267" s="556"/>
      <c r="AQ1267" s="556"/>
      <c r="AR1267" s="556"/>
      <c r="AS1267" s="565"/>
      <c r="AT1267" s="556"/>
    </row>
    <row r="1268" spans="1:46" hidden="1" x14ac:dyDescent="0.45">
      <c r="A1268" s="556"/>
      <c r="B1268" s="556"/>
      <c r="C1268" s="556"/>
      <c r="D1268" s="564"/>
      <c r="E1268" s="556"/>
      <c r="F1268" s="564"/>
      <c r="G1268" s="564"/>
      <c r="H1268" s="564"/>
      <c r="I1268" s="564"/>
      <c r="J1268" s="564"/>
      <c r="K1268" s="564"/>
      <c r="L1268" s="564"/>
      <c r="M1268" s="564"/>
      <c r="N1268" s="564"/>
      <c r="O1268" s="564"/>
      <c r="P1268" s="564"/>
      <c r="Q1268" s="564"/>
      <c r="R1268" s="564"/>
      <c r="S1268" s="564"/>
      <c r="T1268" s="564"/>
      <c r="U1268" s="564"/>
      <c r="V1268" s="564"/>
      <c r="W1268" s="564"/>
      <c r="X1268" s="564"/>
      <c r="Y1268" s="564"/>
      <c r="Z1268" s="564"/>
      <c r="AA1268" s="564"/>
      <c r="AB1268" s="556"/>
      <c r="AC1268" s="556"/>
      <c r="AD1268" s="556"/>
      <c r="AE1268" s="556"/>
      <c r="AF1268" s="556"/>
      <c r="AG1268" s="556"/>
      <c r="AH1268" s="556"/>
      <c r="AI1268" s="556"/>
      <c r="AJ1268" s="556"/>
      <c r="AK1268" s="556"/>
      <c r="AL1268" s="556"/>
      <c r="AM1268" s="556"/>
      <c r="AN1268" s="556"/>
      <c r="AO1268" s="556"/>
      <c r="AP1268" s="556"/>
      <c r="AQ1268" s="556"/>
      <c r="AR1268" s="556"/>
      <c r="AS1268" s="565"/>
      <c r="AT1268" s="556"/>
    </row>
    <row r="1269" spans="1:46" hidden="1" x14ac:dyDescent="0.45">
      <c r="A1269" s="556"/>
      <c r="B1269" s="556"/>
      <c r="C1269" s="556"/>
      <c r="D1269" s="564"/>
      <c r="E1269" s="556"/>
      <c r="F1269" s="564"/>
      <c r="G1269" s="564"/>
      <c r="H1269" s="564"/>
      <c r="I1269" s="564"/>
      <c r="J1269" s="564"/>
      <c r="K1269" s="564"/>
      <c r="L1269" s="564"/>
      <c r="M1269" s="564"/>
      <c r="N1269" s="564"/>
      <c r="O1269" s="564"/>
      <c r="P1269" s="564"/>
      <c r="Q1269" s="564"/>
      <c r="R1269" s="564"/>
      <c r="S1269" s="564"/>
      <c r="T1269" s="564"/>
      <c r="U1269" s="564"/>
      <c r="V1269" s="564"/>
      <c r="W1269" s="564"/>
      <c r="X1269" s="564"/>
      <c r="Y1269" s="564"/>
      <c r="Z1269" s="564"/>
      <c r="AA1269" s="564"/>
      <c r="AB1269" s="556"/>
      <c r="AC1269" s="556"/>
      <c r="AD1269" s="556"/>
      <c r="AE1269" s="556"/>
      <c r="AF1269" s="556"/>
      <c r="AG1269" s="556"/>
      <c r="AH1269" s="556"/>
      <c r="AI1269" s="556"/>
      <c r="AJ1269" s="556"/>
      <c r="AK1269" s="556"/>
      <c r="AL1269" s="556"/>
      <c r="AM1269" s="556"/>
      <c r="AN1269" s="556"/>
      <c r="AO1269" s="556"/>
      <c r="AP1269" s="556"/>
      <c r="AQ1269" s="556"/>
      <c r="AR1269" s="556"/>
      <c r="AS1269" s="565"/>
      <c r="AT1269" s="556"/>
    </row>
    <row r="1270" spans="1:46" hidden="1" x14ac:dyDescent="0.45">
      <c r="A1270" s="556"/>
      <c r="B1270" s="556"/>
      <c r="C1270" s="556"/>
      <c r="D1270" s="564"/>
      <c r="E1270" s="556"/>
      <c r="F1270" s="564"/>
      <c r="G1270" s="564"/>
      <c r="H1270" s="564"/>
      <c r="I1270" s="564"/>
      <c r="J1270" s="564"/>
      <c r="K1270" s="564"/>
      <c r="L1270" s="564"/>
      <c r="M1270" s="564"/>
      <c r="N1270" s="564"/>
      <c r="O1270" s="564"/>
      <c r="P1270" s="564"/>
      <c r="Q1270" s="564"/>
      <c r="R1270" s="564"/>
      <c r="S1270" s="564"/>
      <c r="T1270" s="564"/>
      <c r="U1270" s="564"/>
      <c r="V1270" s="564"/>
      <c r="W1270" s="564"/>
      <c r="X1270" s="564"/>
      <c r="Y1270" s="564"/>
      <c r="Z1270" s="564"/>
      <c r="AA1270" s="564"/>
      <c r="AB1270" s="556"/>
      <c r="AC1270" s="556"/>
      <c r="AD1270" s="556"/>
      <c r="AE1270" s="556"/>
      <c r="AF1270" s="556"/>
      <c r="AG1270" s="556"/>
      <c r="AH1270" s="556"/>
      <c r="AI1270" s="556"/>
      <c r="AJ1270" s="556"/>
      <c r="AK1270" s="556"/>
      <c r="AL1270" s="556"/>
      <c r="AM1270" s="556"/>
      <c r="AN1270" s="556"/>
      <c r="AO1270" s="556"/>
      <c r="AP1270" s="556"/>
      <c r="AQ1270" s="556"/>
      <c r="AR1270" s="556"/>
      <c r="AS1270" s="565"/>
      <c r="AT1270" s="556"/>
    </row>
    <row r="1271" spans="1:46" hidden="1" x14ac:dyDescent="0.45">
      <c r="A1271" s="556"/>
      <c r="B1271" s="556"/>
      <c r="C1271" s="556"/>
      <c r="D1271" s="564"/>
      <c r="E1271" s="556"/>
      <c r="F1271" s="564"/>
      <c r="G1271" s="564"/>
      <c r="H1271" s="564"/>
      <c r="I1271" s="564"/>
      <c r="J1271" s="564"/>
      <c r="K1271" s="564"/>
      <c r="L1271" s="564"/>
      <c r="M1271" s="564"/>
      <c r="N1271" s="564"/>
      <c r="O1271" s="564"/>
      <c r="P1271" s="564"/>
      <c r="Q1271" s="564"/>
      <c r="R1271" s="564"/>
      <c r="S1271" s="564"/>
      <c r="T1271" s="564"/>
      <c r="U1271" s="564"/>
      <c r="V1271" s="564"/>
      <c r="W1271" s="564"/>
      <c r="X1271" s="564"/>
      <c r="Y1271" s="564"/>
      <c r="Z1271" s="564"/>
      <c r="AA1271" s="564"/>
      <c r="AB1271" s="556"/>
      <c r="AC1271" s="556"/>
      <c r="AD1271" s="556"/>
      <c r="AE1271" s="556"/>
      <c r="AF1271" s="556"/>
      <c r="AG1271" s="556"/>
      <c r="AH1271" s="556"/>
      <c r="AI1271" s="556"/>
      <c r="AJ1271" s="556"/>
      <c r="AK1271" s="556"/>
      <c r="AL1271" s="556"/>
      <c r="AM1271" s="556"/>
      <c r="AN1271" s="556"/>
      <c r="AO1271" s="556"/>
      <c r="AP1271" s="556"/>
      <c r="AQ1271" s="556"/>
      <c r="AR1271" s="556"/>
      <c r="AS1271" s="565"/>
      <c r="AT1271" s="556"/>
    </row>
    <row r="1272" spans="1:46" hidden="1" x14ac:dyDescent="0.45">
      <c r="A1272" s="556"/>
      <c r="B1272" s="556"/>
      <c r="C1272" s="556"/>
      <c r="D1272" s="564"/>
      <c r="E1272" s="556"/>
      <c r="F1272" s="564"/>
      <c r="G1272" s="564"/>
      <c r="H1272" s="564"/>
      <c r="I1272" s="564"/>
      <c r="J1272" s="564"/>
      <c r="K1272" s="564"/>
      <c r="L1272" s="564"/>
      <c r="M1272" s="564"/>
      <c r="N1272" s="564"/>
      <c r="O1272" s="564"/>
      <c r="P1272" s="564"/>
      <c r="Q1272" s="564"/>
      <c r="R1272" s="564"/>
      <c r="S1272" s="564"/>
      <c r="T1272" s="564"/>
      <c r="U1272" s="564"/>
      <c r="V1272" s="564"/>
      <c r="W1272" s="564"/>
      <c r="X1272" s="564"/>
      <c r="Y1272" s="564"/>
      <c r="Z1272" s="564"/>
      <c r="AA1272" s="564"/>
      <c r="AB1272" s="556"/>
      <c r="AC1272" s="556"/>
      <c r="AD1272" s="556"/>
      <c r="AE1272" s="556"/>
      <c r="AF1272" s="556"/>
      <c r="AG1272" s="556"/>
      <c r="AH1272" s="556"/>
      <c r="AI1272" s="556"/>
      <c r="AJ1272" s="556"/>
      <c r="AK1272" s="556"/>
      <c r="AL1272" s="556"/>
      <c r="AM1272" s="556"/>
      <c r="AN1272" s="556"/>
      <c r="AO1272" s="556"/>
      <c r="AP1272" s="556"/>
      <c r="AQ1272" s="556"/>
      <c r="AR1272" s="556"/>
      <c r="AS1272" s="565"/>
      <c r="AT1272" s="556"/>
    </row>
    <row r="1273" spans="1:46" hidden="1" x14ac:dyDescent="0.45">
      <c r="A1273" s="556"/>
      <c r="B1273" s="556"/>
      <c r="C1273" s="556"/>
      <c r="D1273" s="564"/>
      <c r="E1273" s="556"/>
      <c r="F1273" s="564"/>
      <c r="G1273" s="564"/>
      <c r="H1273" s="564"/>
      <c r="I1273" s="564"/>
      <c r="J1273" s="564"/>
      <c r="K1273" s="564"/>
      <c r="L1273" s="564"/>
      <c r="M1273" s="564"/>
      <c r="N1273" s="564"/>
      <c r="O1273" s="564"/>
      <c r="P1273" s="564"/>
      <c r="Q1273" s="564"/>
      <c r="R1273" s="564"/>
      <c r="S1273" s="564"/>
      <c r="T1273" s="564"/>
      <c r="U1273" s="564"/>
      <c r="V1273" s="564"/>
      <c r="W1273" s="564"/>
      <c r="X1273" s="564"/>
      <c r="Y1273" s="564"/>
      <c r="Z1273" s="564"/>
      <c r="AA1273" s="564"/>
      <c r="AB1273" s="556"/>
      <c r="AC1273" s="556"/>
      <c r="AD1273" s="556"/>
      <c r="AE1273" s="556"/>
      <c r="AF1273" s="556"/>
      <c r="AG1273" s="556"/>
      <c r="AH1273" s="556"/>
      <c r="AI1273" s="556"/>
      <c r="AJ1273" s="556"/>
      <c r="AK1273" s="556"/>
      <c r="AL1273" s="556"/>
      <c r="AM1273" s="556"/>
      <c r="AN1273" s="556"/>
      <c r="AO1273" s="556"/>
      <c r="AP1273" s="556"/>
      <c r="AQ1273" s="556"/>
      <c r="AR1273" s="556"/>
      <c r="AS1273" s="565"/>
      <c r="AT1273" s="556"/>
    </row>
    <row r="1274" spans="1:46" hidden="1" x14ac:dyDescent="0.45">
      <c r="A1274" s="556"/>
      <c r="B1274" s="556"/>
      <c r="C1274" s="556"/>
      <c r="D1274" s="564"/>
      <c r="E1274" s="556"/>
      <c r="F1274" s="564"/>
      <c r="G1274" s="564"/>
      <c r="H1274" s="564"/>
      <c r="I1274" s="564"/>
      <c r="J1274" s="564"/>
      <c r="K1274" s="564"/>
      <c r="L1274" s="564"/>
      <c r="M1274" s="564"/>
      <c r="N1274" s="564"/>
      <c r="O1274" s="564"/>
      <c r="P1274" s="564"/>
      <c r="Q1274" s="564"/>
      <c r="R1274" s="564"/>
      <c r="S1274" s="564"/>
      <c r="T1274" s="564"/>
      <c r="U1274" s="564"/>
      <c r="V1274" s="564"/>
      <c r="W1274" s="564"/>
      <c r="X1274" s="564"/>
      <c r="Y1274" s="564"/>
      <c r="Z1274" s="564"/>
      <c r="AA1274" s="564"/>
      <c r="AB1274" s="556"/>
      <c r="AC1274" s="556"/>
      <c r="AD1274" s="556"/>
      <c r="AE1274" s="556"/>
      <c r="AF1274" s="556"/>
      <c r="AG1274" s="556"/>
      <c r="AH1274" s="556"/>
      <c r="AI1274" s="556"/>
      <c r="AJ1274" s="556"/>
      <c r="AK1274" s="556"/>
      <c r="AL1274" s="556"/>
      <c r="AM1274" s="556"/>
      <c r="AN1274" s="556"/>
      <c r="AO1274" s="556"/>
      <c r="AP1274" s="556"/>
      <c r="AQ1274" s="556"/>
      <c r="AR1274" s="556"/>
      <c r="AS1274" s="565"/>
      <c r="AT1274" s="556"/>
    </row>
    <row r="1275" spans="1:46" hidden="1" x14ac:dyDescent="0.45">
      <c r="A1275" s="556"/>
      <c r="B1275" s="556"/>
      <c r="C1275" s="556"/>
      <c r="D1275" s="564"/>
      <c r="E1275" s="556"/>
      <c r="F1275" s="564"/>
      <c r="G1275" s="564"/>
      <c r="H1275" s="564"/>
      <c r="I1275" s="564"/>
      <c r="J1275" s="564"/>
      <c r="K1275" s="564"/>
      <c r="L1275" s="564"/>
      <c r="M1275" s="564"/>
      <c r="N1275" s="564"/>
      <c r="O1275" s="564"/>
      <c r="P1275" s="564"/>
      <c r="Q1275" s="564"/>
      <c r="R1275" s="564"/>
      <c r="S1275" s="564"/>
      <c r="T1275" s="564"/>
      <c r="U1275" s="564"/>
      <c r="V1275" s="564"/>
      <c r="W1275" s="564"/>
      <c r="X1275" s="564"/>
      <c r="Y1275" s="564"/>
      <c r="Z1275" s="564"/>
      <c r="AA1275" s="564"/>
      <c r="AB1275" s="556"/>
      <c r="AC1275" s="556"/>
      <c r="AD1275" s="556"/>
      <c r="AE1275" s="556"/>
      <c r="AF1275" s="556"/>
      <c r="AG1275" s="556"/>
      <c r="AH1275" s="556"/>
      <c r="AI1275" s="556"/>
      <c r="AJ1275" s="556"/>
      <c r="AK1275" s="556"/>
      <c r="AL1275" s="556"/>
      <c r="AM1275" s="556"/>
      <c r="AN1275" s="556"/>
      <c r="AO1275" s="556"/>
      <c r="AP1275" s="556"/>
      <c r="AQ1275" s="556"/>
      <c r="AR1275" s="556"/>
      <c r="AS1275" s="565"/>
      <c r="AT1275" s="556"/>
    </row>
    <row r="1276" spans="1:46" hidden="1" x14ac:dyDescent="0.45">
      <c r="A1276" s="556"/>
      <c r="B1276" s="556"/>
      <c r="C1276" s="556"/>
      <c r="D1276" s="564"/>
      <c r="E1276" s="556"/>
      <c r="F1276" s="564"/>
      <c r="G1276" s="564"/>
      <c r="H1276" s="564"/>
      <c r="I1276" s="564"/>
      <c r="J1276" s="564"/>
      <c r="K1276" s="564"/>
      <c r="L1276" s="564"/>
      <c r="M1276" s="564"/>
      <c r="N1276" s="564"/>
      <c r="O1276" s="564"/>
      <c r="P1276" s="564"/>
      <c r="Q1276" s="564"/>
      <c r="R1276" s="564"/>
      <c r="S1276" s="564"/>
      <c r="T1276" s="564"/>
      <c r="U1276" s="564"/>
      <c r="V1276" s="564"/>
      <c r="W1276" s="564"/>
      <c r="X1276" s="564"/>
      <c r="Y1276" s="564"/>
      <c r="Z1276" s="564"/>
      <c r="AA1276" s="564"/>
      <c r="AB1276" s="556"/>
      <c r="AC1276" s="556"/>
      <c r="AD1276" s="556"/>
      <c r="AE1276" s="556"/>
      <c r="AF1276" s="556"/>
      <c r="AG1276" s="556"/>
      <c r="AH1276" s="556"/>
      <c r="AI1276" s="556"/>
      <c r="AJ1276" s="556"/>
      <c r="AK1276" s="556"/>
      <c r="AL1276" s="556"/>
      <c r="AM1276" s="556"/>
      <c r="AN1276" s="556"/>
      <c r="AO1276" s="556"/>
      <c r="AP1276" s="556"/>
      <c r="AQ1276" s="556"/>
      <c r="AR1276" s="556"/>
      <c r="AS1276" s="565"/>
      <c r="AT1276" s="556"/>
    </row>
    <row r="1277" spans="1:46" hidden="1" x14ac:dyDescent="0.45">
      <c r="A1277" s="556"/>
      <c r="B1277" s="556"/>
      <c r="C1277" s="556"/>
      <c r="D1277" s="564"/>
      <c r="E1277" s="556"/>
      <c r="F1277" s="564"/>
      <c r="G1277" s="564"/>
      <c r="H1277" s="564"/>
      <c r="I1277" s="564"/>
      <c r="J1277" s="564"/>
      <c r="K1277" s="564"/>
      <c r="L1277" s="564"/>
      <c r="M1277" s="564"/>
      <c r="N1277" s="564"/>
      <c r="O1277" s="564"/>
      <c r="P1277" s="564"/>
      <c r="Q1277" s="564"/>
      <c r="R1277" s="564"/>
      <c r="S1277" s="564"/>
      <c r="T1277" s="564"/>
      <c r="U1277" s="564"/>
      <c r="V1277" s="564"/>
      <c r="W1277" s="564"/>
      <c r="X1277" s="564"/>
      <c r="Y1277" s="564"/>
      <c r="Z1277" s="564"/>
      <c r="AA1277" s="564"/>
      <c r="AB1277" s="556"/>
      <c r="AC1277" s="556"/>
      <c r="AD1277" s="556"/>
      <c r="AE1277" s="556"/>
      <c r="AF1277" s="556"/>
      <c r="AG1277" s="556"/>
      <c r="AH1277" s="556"/>
      <c r="AI1277" s="556"/>
      <c r="AJ1277" s="556"/>
      <c r="AK1277" s="556"/>
      <c r="AL1277" s="556"/>
      <c r="AM1277" s="556"/>
      <c r="AN1277" s="556"/>
      <c r="AO1277" s="556"/>
      <c r="AP1277" s="556"/>
      <c r="AQ1277" s="556"/>
      <c r="AR1277" s="556"/>
      <c r="AS1277" s="565"/>
      <c r="AT1277" s="556"/>
    </row>
    <row r="1278" spans="1:46" hidden="1" x14ac:dyDescent="0.45">
      <c r="A1278" s="556"/>
      <c r="B1278" s="556"/>
      <c r="C1278" s="556"/>
      <c r="D1278" s="564"/>
      <c r="E1278" s="556"/>
      <c r="F1278" s="564"/>
      <c r="G1278" s="564"/>
      <c r="H1278" s="564"/>
      <c r="I1278" s="564"/>
      <c r="J1278" s="564"/>
      <c r="K1278" s="564"/>
      <c r="L1278" s="564"/>
      <c r="M1278" s="564"/>
      <c r="N1278" s="564"/>
      <c r="O1278" s="564"/>
      <c r="P1278" s="564"/>
      <c r="Q1278" s="564"/>
      <c r="R1278" s="564"/>
      <c r="S1278" s="564"/>
      <c r="T1278" s="564"/>
      <c r="U1278" s="564"/>
      <c r="V1278" s="564"/>
      <c r="W1278" s="564"/>
      <c r="X1278" s="564"/>
      <c r="Y1278" s="564"/>
      <c r="Z1278" s="564"/>
      <c r="AA1278" s="564"/>
      <c r="AB1278" s="556"/>
      <c r="AC1278" s="556"/>
      <c r="AD1278" s="556"/>
      <c r="AE1278" s="556"/>
      <c r="AF1278" s="556"/>
      <c r="AG1278" s="556"/>
      <c r="AH1278" s="556"/>
      <c r="AI1278" s="556"/>
      <c r="AJ1278" s="556"/>
      <c r="AK1278" s="556"/>
      <c r="AL1278" s="556"/>
      <c r="AM1278" s="556"/>
      <c r="AN1278" s="556"/>
      <c r="AO1278" s="556"/>
      <c r="AP1278" s="556"/>
      <c r="AQ1278" s="556"/>
      <c r="AR1278" s="556"/>
      <c r="AS1278" s="565"/>
      <c r="AT1278" s="556"/>
    </row>
    <row r="1279" spans="1:46" hidden="1" x14ac:dyDescent="0.45">
      <c r="A1279" s="556"/>
      <c r="B1279" s="556"/>
      <c r="C1279" s="556"/>
      <c r="D1279" s="564"/>
      <c r="E1279" s="556"/>
      <c r="F1279" s="564"/>
      <c r="G1279" s="564"/>
      <c r="H1279" s="564"/>
      <c r="I1279" s="564"/>
      <c r="J1279" s="564"/>
      <c r="K1279" s="564"/>
      <c r="L1279" s="564"/>
      <c r="M1279" s="564"/>
      <c r="N1279" s="564"/>
      <c r="O1279" s="564"/>
      <c r="P1279" s="564"/>
      <c r="Q1279" s="564"/>
      <c r="R1279" s="564"/>
      <c r="S1279" s="564"/>
      <c r="T1279" s="564"/>
      <c r="U1279" s="564"/>
      <c r="V1279" s="564"/>
      <c r="W1279" s="564"/>
      <c r="X1279" s="564"/>
      <c r="Y1279" s="564"/>
      <c r="Z1279" s="564"/>
      <c r="AA1279" s="564"/>
      <c r="AB1279" s="556"/>
      <c r="AC1279" s="556"/>
      <c r="AD1279" s="556"/>
      <c r="AE1279" s="556"/>
      <c r="AF1279" s="556"/>
      <c r="AG1279" s="556"/>
      <c r="AH1279" s="556"/>
      <c r="AI1279" s="556"/>
      <c r="AJ1279" s="556"/>
      <c r="AK1279" s="556"/>
      <c r="AL1279" s="556"/>
      <c r="AM1279" s="556"/>
      <c r="AN1279" s="556"/>
      <c r="AO1279" s="556"/>
      <c r="AP1279" s="556"/>
      <c r="AQ1279" s="556"/>
      <c r="AR1279" s="556"/>
      <c r="AS1279" s="565"/>
      <c r="AT1279" s="556"/>
    </row>
    <row r="1280" spans="1:46" hidden="1" x14ac:dyDescent="0.45">
      <c r="A1280" s="556"/>
      <c r="B1280" s="556"/>
      <c r="C1280" s="556"/>
      <c r="D1280" s="564"/>
      <c r="E1280" s="556"/>
      <c r="F1280" s="564"/>
      <c r="G1280" s="564"/>
      <c r="H1280" s="564"/>
      <c r="I1280" s="564"/>
      <c r="J1280" s="564"/>
      <c r="K1280" s="564"/>
      <c r="L1280" s="564"/>
      <c r="M1280" s="564"/>
      <c r="N1280" s="564"/>
      <c r="O1280" s="564"/>
      <c r="P1280" s="564"/>
      <c r="Q1280" s="564"/>
      <c r="R1280" s="564"/>
      <c r="S1280" s="564"/>
      <c r="T1280" s="564"/>
      <c r="U1280" s="564"/>
      <c r="V1280" s="564"/>
      <c r="W1280" s="564"/>
      <c r="X1280" s="564"/>
      <c r="Y1280" s="564"/>
      <c r="Z1280" s="564"/>
      <c r="AA1280" s="564"/>
      <c r="AB1280" s="556"/>
      <c r="AC1280" s="556"/>
      <c r="AD1280" s="556"/>
      <c r="AE1280" s="556"/>
      <c r="AF1280" s="556"/>
      <c r="AG1280" s="556"/>
      <c r="AH1280" s="556"/>
      <c r="AI1280" s="556"/>
      <c r="AJ1280" s="556"/>
      <c r="AK1280" s="556"/>
      <c r="AL1280" s="556"/>
      <c r="AM1280" s="556"/>
      <c r="AN1280" s="556"/>
      <c r="AO1280" s="556"/>
      <c r="AP1280" s="556"/>
      <c r="AQ1280" s="556"/>
      <c r="AR1280" s="556"/>
      <c r="AS1280" s="565"/>
      <c r="AT1280" s="556"/>
    </row>
    <row r="1281" spans="1:46" hidden="1" x14ac:dyDescent="0.45">
      <c r="A1281" s="556"/>
      <c r="B1281" s="556"/>
      <c r="C1281" s="556"/>
      <c r="D1281" s="564"/>
      <c r="E1281" s="556"/>
      <c r="F1281" s="564"/>
      <c r="G1281" s="564"/>
      <c r="H1281" s="564"/>
      <c r="I1281" s="564"/>
      <c r="J1281" s="564"/>
      <c r="K1281" s="564"/>
      <c r="L1281" s="564"/>
      <c r="M1281" s="564"/>
      <c r="N1281" s="564"/>
      <c r="O1281" s="564"/>
      <c r="P1281" s="564"/>
      <c r="Q1281" s="564"/>
      <c r="R1281" s="564"/>
      <c r="S1281" s="564"/>
      <c r="T1281" s="564"/>
      <c r="U1281" s="564"/>
      <c r="V1281" s="564"/>
      <c r="W1281" s="564"/>
      <c r="X1281" s="564"/>
      <c r="Y1281" s="564"/>
      <c r="Z1281" s="564"/>
      <c r="AA1281" s="564"/>
      <c r="AB1281" s="556"/>
      <c r="AC1281" s="556"/>
      <c r="AD1281" s="556"/>
      <c r="AE1281" s="556"/>
      <c r="AF1281" s="556"/>
      <c r="AG1281" s="556"/>
      <c r="AH1281" s="556"/>
      <c r="AI1281" s="556"/>
      <c r="AJ1281" s="556"/>
      <c r="AK1281" s="556"/>
      <c r="AL1281" s="556"/>
      <c r="AM1281" s="556"/>
      <c r="AN1281" s="556"/>
      <c r="AO1281" s="556"/>
      <c r="AP1281" s="556"/>
      <c r="AQ1281" s="556"/>
      <c r="AR1281" s="556"/>
      <c r="AS1281" s="565"/>
      <c r="AT1281" s="556"/>
    </row>
    <row r="1282" spans="1:46" hidden="1" x14ac:dyDescent="0.45">
      <c r="A1282" s="556"/>
      <c r="B1282" s="556"/>
      <c r="C1282" s="556"/>
      <c r="D1282" s="564"/>
      <c r="E1282" s="556"/>
      <c r="F1282" s="564"/>
      <c r="G1282" s="564"/>
      <c r="H1282" s="564"/>
      <c r="I1282" s="564"/>
      <c r="J1282" s="564"/>
      <c r="K1282" s="564"/>
      <c r="L1282" s="564"/>
      <c r="M1282" s="564"/>
      <c r="N1282" s="564"/>
      <c r="O1282" s="564"/>
      <c r="P1282" s="564"/>
      <c r="Q1282" s="564"/>
      <c r="R1282" s="564"/>
      <c r="S1282" s="564"/>
      <c r="T1282" s="564"/>
      <c r="U1282" s="564"/>
      <c r="V1282" s="564"/>
      <c r="W1282" s="564"/>
      <c r="X1282" s="564"/>
      <c r="Y1282" s="564"/>
      <c r="Z1282" s="564"/>
      <c r="AA1282" s="564"/>
      <c r="AB1282" s="556"/>
      <c r="AC1282" s="556"/>
      <c r="AD1282" s="556"/>
      <c r="AE1282" s="556"/>
      <c r="AF1282" s="556"/>
      <c r="AG1282" s="556"/>
      <c r="AH1282" s="556"/>
      <c r="AI1282" s="556"/>
      <c r="AJ1282" s="556"/>
      <c r="AK1282" s="556"/>
      <c r="AL1282" s="556"/>
      <c r="AM1282" s="556"/>
      <c r="AN1282" s="556"/>
      <c r="AO1282" s="556"/>
      <c r="AP1282" s="556"/>
      <c r="AQ1282" s="556"/>
      <c r="AR1282" s="556"/>
      <c r="AS1282" s="565"/>
      <c r="AT1282" s="556"/>
    </row>
    <row r="1283" spans="1:46" hidden="1" x14ac:dyDescent="0.45">
      <c r="A1283" s="556"/>
      <c r="B1283" s="556"/>
      <c r="C1283" s="556"/>
      <c r="D1283" s="564"/>
      <c r="E1283" s="556"/>
      <c r="F1283" s="564"/>
      <c r="G1283" s="564"/>
      <c r="H1283" s="564"/>
      <c r="I1283" s="564"/>
      <c r="J1283" s="564"/>
      <c r="K1283" s="564"/>
      <c r="L1283" s="564"/>
      <c r="M1283" s="564"/>
      <c r="N1283" s="564"/>
      <c r="O1283" s="564"/>
      <c r="P1283" s="564"/>
      <c r="Q1283" s="564"/>
      <c r="R1283" s="564"/>
      <c r="S1283" s="564"/>
      <c r="T1283" s="564"/>
      <c r="U1283" s="564"/>
      <c r="V1283" s="564"/>
      <c r="W1283" s="564"/>
      <c r="X1283" s="564"/>
      <c r="Y1283" s="564"/>
      <c r="Z1283" s="564"/>
      <c r="AA1283" s="564"/>
      <c r="AB1283" s="556"/>
      <c r="AC1283" s="556"/>
      <c r="AD1283" s="556"/>
      <c r="AE1283" s="556"/>
      <c r="AF1283" s="556"/>
      <c r="AG1283" s="556"/>
      <c r="AH1283" s="556"/>
      <c r="AI1283" s="556"/>
      <c r="AJ1283" s="556"/>
      <c r="AK1283" s="556"/>
      <c r="AL1283" s="556"/>
      <c r="AM1283" s="556"/>
      <c r="AN1283" s="556"/>
      <c r="AO1283" s="556"/>
      <c r="AP1283" s="556"/>
      <c r="AQ1283" s="556"/>
      <c r="AR1283" s="556"/>
      <c r="AS1283" s="565"/>
      <c r="AT1283" s="556"/>
    </row>
    <row r="1284" spans="1:46" hidden="1" x14ac:dyDescent="0.45">
      <c r="A1284" s="556"/>
      <c r="B1284" s="556"/>
      <c r="C1284" s="556"/>
      <c r="D1284" s="564"/>
      <c r="E1284" s="556"/>
      <c r="F1284" s="564"/>
      <c r="G1284" s="564"/>
      <c r="H1284" s="564"/>
      <c r="I1284" s="564"/>
      <c r="J1284" s="564"/>
      <c r="K1284" s="564"/>
      <c r="L1284" s="564"/>
      <c r="M1284" s="564"/>
      <c r="N1284" s="564"/>
      <c r="O1284" s="564"/>
      <c r="P1284" s="564"/>
      <c r="Q1284" s="564"/>
      <c r="R1284" s="564"/>
      <c r="S1284" s="564"/>
      <c r="T1284" s="564"/>
      <c r="U1284" s="564"/>
      <c r="V1284" s="564"/>
      <c r="W1284" s="564"/>
      <c r="X1284" s="564"/>
      <c r="Y1284" s="564"/>
      <c r="Z1284" s="564"/>
      <c r="AA1284" s="564"/>
      <c r="AB1284" s="556"/>
      <c r="AC1284" s="556"/>
      <c r="AD1284" s="556"/>
      <c r="AE1284" s="556"/>
      <c r="AF1284" s="556"/>
      <c r="AG1284" s="556"/>
      <c r="AH1284" s="556"/>
      <c r="AI1284" s="556"/>
      <c r="AJ1284" s="556"/>
      <c r="AK1284" s="556"/>
      <c r="AL1284" s="556"/>
      <c r="AM1284" s="556"/>
      <c r="AN1284" s="556"/>
      <c r="AO1284" s="556"/>
      <c r="AP1284" s="556"/>
      <c r="AQ1284" s="556"/>
      <c r="AR1284" s="556"/>
      <c r="AS1284" s="565"/>
      <c r="AT1284" s="556"/>
    </row>
    <row r="1285" spans="1:46" hidden="1" x14ac:dyDescent="0.45">
      <c r="A1285" s="556"/>
      <c r="B1285" s="556"/>
      <c r="C1285" s="556"/>
      <c r="D1285" s="564"/>
      <c r="E1285" s="556"/>
      <c r="F1285" s="564"/>
      <c r="G1285" s="564"/>
      <c r="H1285" s="564"/>
      <c r="I1285" s="564"/>
      <c r="J1285" s="564"/>
      <c r="K1285" s="564"/>
      <c r="L1285" s="564"/>
      <c r="M1285" s="564"/>
      <c r="N1285" s="564"/>
      <c r="O1285" s="564"/>
      <c r="P1285" s="564"/>
      <c r="Q1285" s="564"/>
      <c r="R1285" s="564"/>
      <c r="S1285" s="564"/>
      <c r="T1285" s="564"/>
      <c r="U1285" s="564"/>
      <c r="V1285" s="564"/>
      <c r="W1285" s="564"/>
      <c r="X1285" s="564"/>
      <c r="Y1285" s="564"/>
      <c r="Z1285" s="564"/>
      <c r="AA1285" s="564"/>
      <c r="AB1285" s="556"/>
      <c r="AC1285" s="556"/>
      <c r="AD1285" s="556"/>
      <c r="AE1285" s="556"/>
      <c r="AF1285" s="556"/>
      <c r="AG1285" s="556"/>
      <c r="AH1285" s="556"/>
      <c r="AI1285" s="556"/>
      <c r="AJ1285" s="556"/>
      <c r="AK1285" s="556"/>
      <c r="AL1285" s="556"/>
      <c r="AM1285" s="556"/>
      <c r="AN1285" s="556"/>
      <c r="AO1285" s="556"/>
      <c r="AP1285" s="556"/>
      <c r="AQ1285" s="556"/>
      <c r="AR1285" s="556"/>
      <c r="AS1285" s="565"/>
      <c r="AT1285" s="556"/>
    </row>
    <row r="1286" spans="1:46" hidden="1" x14ac:dyDescent="0.45">
      <c r="A1286" s="556"/>
      <c r="B1286" s="556"/>
      <c r="C1286" s="556"/>
      <c r="D1286" s="564"/>
      <c r="E1286" s="556"/>
      <c r="F1286" s="564"/>
      <c r="G1286" s="564"/>
      <c r="H1286" s="564"/>
      <c r="I1286" s="564"/>
      <c r="J1286" s="564"/>
      <c r="K1286" s="564"/>
      <c r="L1286" s="564"/>
      <c r="M1286" s="564"/>
      <c r="N1286" s="564"/>
      <c r="O1286" s="564"/>
      <c r="P1286" s="564"/>
      <c r="Q1286" s="564"/>
      <c r="R1286" s="564"/>
      <c r="S1286" s="564"/>
      <c r="T1286" s="564"/>
      <c r="U1286" s="564"/>
      <c r="V1286" s="564"/>
      <c r="W1286" s="564"/>
      <c r="X1286" s="564"/>
      <c r="Y1286" s="564"/>
      <c r="Z1286" s="564"/>
      <c r="AA1286" s="564"/>
      <c r="AB1286" s="556"/>
      <c r="AC1286" s="556"/>
      <c r="AD1286" s="556"/>
      <c r="AE1286" s="556"/>
      <c r="AF1286" s="556"/>
      <c r="AG1286" s="556"/>
      <c r="AH1286" s="556"/>
      <c r="AI1286" s="556"/>
      <c r="AJ1286" s="556"/>
      <c r="AK1286" s="556"/>
      <c r="AL1286" s="556"/>
      <c r="AM1286" s="556"/>
      <c r="AN1286" s="556"/>
      <c r="AO1286" s="556"/>
      <c r="AP1286" s="556"/>
      <c r="AQ1286" s="556"/>
      <c r="AR1286" s="556"/>
      <c r="AS1286" s="565"/>
      <c r="AT1286" s="556"/>
    </row>
    <row r="1287" spans="1:46" hidden="1" x14ac:dyDescent="0.45">
      <c r="A1287" s="556"/>
      <c r="B1287" s="556"/>
      <c r="C1287" s="556"/>
      <c r="D1287" s="564"/>
      <c r="E1287" s="556"/>
      <c r="F1287" s="564"/>
      <c r="G1287" s="564"/>
      <c r="H1287" s="564"/>
      <c r="I1287" s="564"/>
      <c r="J1287" s="564"/>
      <c r="K1287" s="564"/>
      <c r="L1287" s="564"/>
      <c r="M1287" s="564"/>
      <c r="N1287" s="564"/>
      <c r="O1287" s="564"/>
      <c r="P1287" s="564"/>
      <c r="Q1287" s="564"/>
      <c r="R1287" s="564"/>
      <c r="S1287" s="564"/>
      <c r="T1287" s="564"/>
      <c r="U1287" s="564"/>
      <c r="V1287" s="564"/>
      <c r="W1287" s="564"/>
      <c r="X1287" s="564"/>
      <c r="Y1287" s="564"/>
      <c r="Z1287" s="564"/>
      <c r="AA1287" s="564"/>
      <c r="AB1287" s="556"/>
      <c r="AC1287" s="556"/>
      <c r="AD1287" s="556"/>
      <c r="AE1287" s="556"/>
      <c r="AF1287" s="556"/>
      <c r="AG1287" s="556"/>
      <c r="AH1287" s="556"/>
      <c r="AI1287" s="556"/>
      <c r="AJ1287" s="556"/>
      <c r="AK1287" s="556"/>
      <c r="AL1287" s="556"/>
      <c r="AM1287" s="556"/>
      <c r="AN1287" s="556"/>
      <c r="AO1287" s="556"/>
      <c r="AP1287" s="556"/>
      <c r="AQ1287" s="556"/>
      <c r="AR1287" s="556"/>
      <c r="AS1287" s="565"/>
      <c r="AT1287" s="556"/>
    </row>
    <row r="1288" spans="1:46" hidden="1" x14ac:dyDescent="0.45">
      <c r="A1288" s="556"/>
      <c r="B1288" s="556"/>
      <c r="C1288" s="556"/>
      <c r="D1288" s="564"/>
      <c r="E1288" s="556"/>
      <c r="F1288" s="564"/>
      <c r="G1288" s="564"/>
      <c r="H1288" s="564"/>
      <c r="I1288" s="564"/>
      <c r="J1288" s="564"/>
      <c r="K1288" s="564"/>
      <c r="L1288" s="564"/>
      <c r="M1288" s="564"/>
      <c r="N1288" s="564"/>
      <c r="O1288" s="564"/>
      <c r="P1288" s="564"/>
      <c r="Q1288" s="564"/>
      <c r="R1288" s="564"/>
      <c r="S1288" s="564"/>
      <c r="T1288" s="564"/>
      <c r="U1288" s="564"/>
      <c r="V1288" s="564"/>
      <c r="W1288" s="564"/>
      <c r="X1288" s="564"/>
      <c r="Y1288" s="564"/>
      <c r="Z1288" s="564"/>
      <c r="AA1288" s="564"/>
      <c r="AB1288" s="556"/>
      <c r="AC1288" s="556"/>
      <c r="AD1288" s="556"/>
      <c r="AE1288" s="556"/>
      <c r="AF1288" s="556"/>
      <c r="AG1288" s="556"/>
      <c r="AH1288" s="556"/>
      <c r="AI1288" s="556"/>
      <c r="AJ1288" s="556"/>
      <c r="AK1288" s="556"/>
      <c r="AL1288" s="556"/>
      <c r="AM1288" s="556"/>
      <c r="AN1288" s="556"/>
      <c r="AO1288" s="556"/>
      <c r="AP1288" s="556"/>
      <c r="AQ1288" s="556"/>
      <c r="AR1288" s="556"/>
      <c r="AS1288" s="565"/>
      <c r="AT1288" s="556"/>
    </row>
    <row r="1289" spans="1:46" hidden="1" x14ac:dyDescent="0.45">
      <c r="A1289" s="556"/>
      <c r="B1289" s="556"/>
      <c r="C1289" s="556"/>
      <c r="D1289" s="564"/>
      <c r="E1289" s="556"/>
      <c r="F1289" s="564"/>
      <c r="G1289" s="564"/>
      <c r="H1289" s="564"/>
      <c r="I1289" s="564"/>
      <c r="J1289" s="564"/>
      <c r="K1289" s="564"/>
      <c r="L1289" s="564"/>
      <c r="M1289" s="564"/>
      <c r="N1289" s="564"/>
      <c r="O1289" s="564"/>
      <c r="P1289" s="564"/>
      <c r="Q1289" s="564"/>
      <c r="R1289" s="564"/>
      <c r="S1289" s="564"/>
      <c r="T1289" s="564"/>
      <c r="U1289" s="564"/>
      <c r="V1289" s="564"/>
      <c r="W1289" s="564"/>
      <c r="X1289" s="564"/>
      <c r="Y1289" s="564"/>
      <c r="Z1289" s="564"/>
      <c r="AA1289" s="564"/>
      <c r="AB1289" s="556"/>
      <c r="AC1289" s="556"/>
      <c r="AD1289" s="556"/>
      <c r="AE1289" s="556"/>
      <c r="AF1289" s="556"/>
      <c r="AG1289" s="556"/>
      <c r="AH1289" s="556"/>
      <c r="AI1289" s="556"/>
      <c r="AJ1289" s="556"/>
      <c r="AK1289" s="556"/>
      <c r="AL1289" s="556"/>
      <c r="AM1289" s="556"/>
      <c r="AN1289" s="556"/>
      <c r="AO1289" s="556"/>
      <c r="AP1289" s="556"/>
      <c r="AQ1289" s="556"/>
      <c r="AR1289" s="556"/>
      <c r="AS1289" s="565"/>
      <c r="AT1289" s="556"/>
    </row>
    <row r="1290" spans="1:46" hidden="1" x14ac:dyDescent="0.45">
      <c r="A1290" s="556"/>
      <c r="B1290" s="556"/>
      <c r="C1290" s="556"/>
      <c r="D1290" s="564"/>
      <c r="E1290" s="556"/>
      <c r="F1290" s="564"/>
      <c r="G1290" s="564"/>
      <c r="H1290" s="564"/>
      <c r="I1290" s="564"/>
      <c r="J1290" s="564"/>
      <c r="K1290" s="564"/>
      <c r="L1290" s="564"/>
      <c r="M1290" s="564"/>
      <c r="N1290" s="564"/>
      <c r="O1290" s="564"/>
      <c r="P1290" s="564"/>
      <c r="Q1290" s="564"/>
      <c r="R1290" s="564"/>
      <c r="S1290" s="564"/>
      <c r="T1290" s="564"/>
      <c r="U1290" s="564"/>
      <c r="V1290" s="564"/>
      <c r="W1290" s="564"/>
      <c r="X1290" s="564"/>
      <c r="Y1290" s="564"/>
      <c r="Z1290" s="564"/>
      <c r="AA1290" s="564"/>
      <c r="AB1290" s="556"/>
      <c r="AC1290" s="556"/>
      <c r="AD1290" s="556"/>
      <c r="AE1290" s="556"/>
      <c r="AF1290" s="556"/>
      <c r="AG1290" s="556"/>
      <c r="AH1290" s="556"/>
      <c r="AI1290" s="556"/>
      <c r="AJ1290" s="556"/>
      <c r="AK1290" s="556"/>
      <c r="AL1290" s="556"/>
      <c r="AM1290" s="556"/>
      <c r="AN1290" s="556"/>
      <c r="AO1290" s="556"/>
      <c r="AP1290" s="556"/>
      <c r="AQ1290" s="556"/>
      <c r="AR1290" s="556"/>
      <c r="AS1290" s="565"/>
      <c r="AT1290" s="556"/>
    </row>
    <row r="1291" spans="1:46" hidden="1" x14ac:dyDescent="0.45">
      <c r="A1291" s="556"/>
      <c r="B1291" s="556"/>
      <c r="C1291" s="556"/>
      <c r="D1291" s="564"/>
      <c r="E1291" s="556"/>
      <c r="F1291" s="564"/>
      <c r="G1291" s="564"/>
      <c r="H1291" s="564"/>
      <c r="I1291" s="564"/>
      <c r="J1291" s="564"/>
      <c r="K1291" s="564"/>
      <c r="L1291" s="564"/>
      <c r="M1291" s="564"/>
      <c r="N1291" s="564"/>
      <c r="O1291" s="564"/>
      <c r="P1291" s="564"/>
      <c r="Q1291" s="564"/>
      <c r="R1291" s="564"/>
      <c r="S1291" s="564"/>
      <c r="T1291" s="564"/>
      <c r="U1291" s="564"/>
      <c r="V1291" s="564"/>
      <c r="W1291" s="564"/>
      <c r="X1291" s="564"/>
      <c r="Y1291" s="564"/>
      <c r="Z1291" s="564"/>
      <c r="AA1291" s="564"/>
      <c r="AB1291" s="556"/>
      <c r="AC1291" s="556"/>
      <c r="AD1291" s="556"/>
      <c r="AE1291" s="556"/>
      <c r="AF1291" s="556"/>
      <c r="AG1291" s="556"/>
      <c r="AH1291" s="556"/>
      <c r="AI1291" s="556"/>
      <c r="AJ1291" s="556"/>
      <c r="AK1291" s="556"/>
      <c r="AL1291" s="556"/>
      <c r="AM1291" s="556"/>
      <c r="AN1291" s="556"/>
      <c r="AO1291" s="556"/>
      <c r="AP1291" s="556"/>
      <c r="AQ1291" s="556"/>
      <c r="AR1291" s="556"/>
      <c r="AS1291" s="565"/>
      <c r="AT1291" s="556"/>
    </row>
    <row r="1292" spans="1:46" hidden="1" x14ac:dyDescent="0.45">
      <c r="A1292" s="556"/>
      <c r="B1292" s="556"/>
      <c r="C1292" s="556"/>
      <c r="D1292" s="564"/>
      <c r="E1292" s="556"/>
      <c r="F1292" s="564"/>
      <c r="G1292" s="564"/>
      <c r="H1292" s="564"/>
      <c r="I1292" s="564"/>
      <c r="J1292" s="564"/>
      <c r="K1292" s="564"/>
      <c r="L1292" s="564"/>
      <c r="M1292" s="564"/>
      <c r="N1292" s="564"/>
      <c r="O1292" s="564"/>
      <c r="P1292" s="564"/>
      <c r="Q1292" s="564"/>
      <c r="R1292" s="564"/>
      <c r="S1292" s="564"/>
      <c r="T1292" s="564"/>
      <c r="U1292" s="564"/>
      <c r="V1292" s="564"/>
      <c r="W1292" s="564"/>
      <c r="X1292" s="564"/>
      <c r="Y1292" s="564"/>
      <c r="Z1292" s="564"/>
      <c r="AA1292" s="564"/>
      <c r="AB1292" s="556"/>
      <c r="AC1292" s="556"/>
      <c r="AD1292" s="556"/>
      <c r="AE1292" s="556"/>
      <c r="AF1292" s="556"/>
      <c r="AG1292" s="556"/>
      <c r="AH1292" s="556"/>
      <c r="AI1292" s="556"/>
      <c r="AJ1292" s="556"/>
      <c r="AK1292" s="556"/>
      <c r="AL1292" s="556"/>
      <c r="AM1292" s="556"/>
      <c r="AN1292" s="556"/>
      <c r="AO1292" s="556"/>
      <c r="AP1292" s="556"/>
      <c r="AQ1292" s="556"/>
      <c r="AR1292" s="556"/>
      <c r="AS1292" s="565"/>
      <c r="AT1292" s="556"/>
    </row>
    <row r="1293" spans="1:46" hidden="1" x14ac:dyDescent="0.45">
      <c r="A1293" s="556"/>
      <c r="B1293" s="556"/>
      <c r="C1293" s="556"/>
      <c r="D1293" s="564"/>
      <c r="E1293" s="556"/>
      <c r="F1293" s="564"/>
      <c r="G1293" s="564"/>
      <c r="H1293" s="564"/>
      <c r="I1293" s="564"/>
      <c r="J1293" s="564"/>
      <c r="K1293" s="564"/>
      <c r="L1293" s="564"/>
      <c r="M1293" s="564"/>
      <c r="N1293" s="564"/>
      <c r="O1293" s="564"/>
      <c r="P1293" s="564"/>
      <c r="Q1293" s="564"/>
      <c r="R1293" s="564"/>
      <c r="S1293" s="564"/>
      <c r="T1293" s="564"/>
      <c r="U1293" s="564"/>
      <c r="V1293" s="564"/>
      <c r="W1293" s="564"/>
      <c r="X1293" s="564"/>
      <c r="Y1293" s="564"/>
      <c r="Z1293" s="564"/>
      <c r="AA1293" s="564"/>
      <c r="AB1293" s="556"/>
      <c r="AC1293" s="556"/>
      <c r="AD1293" s="556"/>
      <c r="AE1293" s="556"/>
      <c r="AF1293" s="556"/>
      <c r="AG1293" s="556"/>
      <c r="AH1293" s="556"/>
      <c r="AI1293" s="556"/>
      <c r="AJ1293" s="556"/>
      <c r="AK1293" s="556"/>
      <c r="AL1293" s="556"/>
      <c r="AM1293" s="556"/>
      <c r="AN1293" s="556"/>
      <c r="AO1293" s="556"/>
      <c r="AP1293" s="556"/>
      <c r="AQ1293" s="556"/>
      <c r="AR1293" s="556"/>
      <c r="AS1293" s="565"/>
      <c r="AT1293" s="556"/>
    </row>
    <row r="1294" spans="1:46" hidden="1" x14ac:dyDescent="0.45">
      <c r="A1294" s="556"/>
      <c r="B1294" s="556"/>
      <c r="C1294" s="556"/>
      <c r="D1294" s="564"/>
      <c r="E1294" s="556"/>
      <c r="F1294" s="564"/>
      <c r="G1294" s="564"/>
      <c r="H1294" s="564"/>
      <c r="I1294" s="564"/>
      <c r="J1294" s="564"/>
      <c r="K1294" s="564"/>
      <c r="L1294" s="564"/>
      <c r="M1294" s="564"/>
      <c r="N1294" s="564"/>
      <c r="O1294" s="564"/>
      <c r="P1294" s="564"/>
      <c r="Q1294" s="564"/>
      <c r="R1294" s="564"/>
      <c r="S1294" s="564"/>
      <c r="T1294" s="564"/>
      <c r="U1294" s="564"/>
      <c r="V1294" s="564"/>
      <c r="W1294" s="564"/>
      <c r="X1294" s="564"/>
      <c r="Y1294" s="564"/>
      <c r="Z1294" s="564"/>
      <c r="AA1294" s="564"/>
      <c r="AB1294" s="556"/>
      <c r="AC1294" s="556"/>
      <c r="AD1294" s="556"/>
      <c r="AE1294" s="556"/>
      <c r="AF1294" s="556"/>
      <c r="AG1294" s="556"/>
      <c r="AH1294" s="556"/>
      <c r="AI1294" s="556"/>
      <c r="AJ1294" s="556"/>
      <c r="AK1294" s="556"/>
      <c r="AL1294" s="556"/>
      <c r="AM1294" s="556"/>
      <c r="AN1294" s="556"/>
      <c r="AO1294" s="556"/>
      <c r="AP1294" s="556"/>
      <c r="AQ1294" s="556"/>
      <c r="AR1294" s="556"/>
      <c r="AS1294" s="565"/>
      <c r="AT1294" s="556"/>
    </row>
    <row r="1295" spans="1:46" hidden="1" x14ac:dyDescent="0.45">
      <c r="A1295" s="556"/>
      <c r="B1295" s="556"/>
      <c r="C1295" s="556"/>
      <c r="D1295" s="564"/>
      <c r="E1295" s="556"/>
      <c r="F1295" s="564"/>
      <c r="G1295" s="564"/>
      <c r="H1295" s="564"/>
      <c r="I1295" s="564"/>
      <c r="J1295" s="564"/>
      <c r="K1295" s="564"/>
      <c r="L1295" s="564"/>
      <c r="M1295" s="564"/>
      <c r="N1295" s="564"/>
      <c r="O1295" s="564"/>
      <c r="P1295" s="564"/>
      <c r="Q1295" s="564"/>
      <c r="R1295" s="564"/>
      <c r="S1295" s="564"/>
      <c r="T1295" s="564"/>
      <c r="U1295" s="564"/>
      <c r="V1295" s="564"/>
      <c r="W1295" s="564"/>
      <c r="X1295" s="564"/>
      <c r="Y1295" s="564"/>
      <c r="Z1295" s="564"/>
      <c r="AA1295" s="564"/>
      <c r="AB1295" s="556"/>
      <c r="AC1295" s="556"/>
      <c r="AD1295" s="556"/>
      <c r="AE1295" s="556"/>
      <c r="AF1295" s="556"/>
      <c r="AG1295" s="556"/>
      <c r="AH1295" s="556"/>
      <c r="AI1295" s="556"/>
      <c r="AJ1295" s="556"/>
      <c r="AK1295" s="556"/>
      <c r="AL1295" s="556"/>
      <c r="AM1295" s="556"/>
      <c r="AN1295" s="556"/>
      <c r="AO1295" s="556"/>
      <c r="AP1295" s="556"/>
      <c r="AQ1295" s="556"/>
      <c r="AR1295" s="556"/>
      <c r="AS1295" s="565"/>
      <c r="AT1295" s="556"/>
    </row>
    <row r="1296" spans="1:46" hidden="1" x14ac:dyDescent="0.45">
      <c r="A1296" s="556"/>
      <c r="B1296" s="556"/>
      <c r="C1296" s="556"/>
      <c r="D1296" s="564"/>
      <c r="E1296" s="556"/>
      <c r="F1296" s="564"/>
      <c r="G1296" s="564"/>
      <c r="H1296" s="564"/>
      <c r="I1296" s="564"/>
      <c r="J1296" s="564"/>
      <c r="K1296" s="564"/>
      <c r="L1296" s="564"/>
      <c r="M1296" s="564"/>
      <c r="N1296" s="564"/>
      <c r="O1296" s="564"/>
      <c r="P1296" s="564"/>
      <c r="Q1296" s="564"/>
      <c r="R1296" s="564"/>
      <c r="S1296" s="564"/>
      <c r="T1296" s="564"/>
      <c r="U1296" s="564"/>
      <c r="V1296" s="564"/>
      <c r="W1296" s="564"/>
      <c r="X1296" s="564"/>
      <c r="Y1296" s="564"/>
      <c r="Z1296" s="564"/>
      <c r="AA1296" s="564"/>
      <c r="AB1296" s="556"/>
      <c r="AC1296" s="556"/>
      <c r="AD1296" s="556"/>
      <c r="AE1296" s="556"/>
      <c r="AF1296" s="556"/>
      <c r="AG1296" s="556"/>
      <c r="AH1296" s="556"/>
      <c r="AI1296" s="556"/>
      <c r="AJ1296" s="556"/>
      <c r="AK1296" s="556"/>
      <c r="AL1296" s="556"/>
      <c r="AM1296" s="556"/>
      <c r="AN1296" s="556"/>
      <c r="AO1296" s="556"/>
      <c r="AP1296" s="556"/>
      <c r="AQ1296" s="556"/>
      <c r="AR1296" s="556"/>
      <c r="AS1296" s="565"/>
      <c r="AT1296" s="556"/>
    </row>
    <row r="1297" spans="1:46" hidden="1" x14ac:dyDescent="0.45">
      <c r="A1297" s="556"/>
      <c r="B1297" s="556"/>
      <c r="C1297" s="556"/>
      <c r="D1297" s="564"/>
      <c r="E1297" s="556"/>
      <c r="F1297" s="564"/>
      <c r="G1297" s="564"/>
      <c r="H1297" s="564"/>
      <c r="I1297" s="564"/>
      <c r="J1297" s="564"/>
      <c r="K1297" s="564"/>
      <c r="L1297" s="564"/>
      <c r="M1297" s="564"/>
      <c r="N1297" s="564"/>
      <c r="O1297" s="564"/>
      <c r="P1297" s="564"/>
      <c r="Q1297" s="564"/>
      <c r="R1297" s="564"/>
      <c r="S1297" s="564"/>
      <c r="T1297" s="564"/>
      <c r="U1297" s="564"/>
      <c r="V1297" s="564"/>
      <c r="W1297" s="564"/>
      <c r="X1297" s="564"/>
      <c r="Y1297" s="564"/>
      <c r="Z1297" s="564"/>
      <c r="AA1297" s="564"/>
      <c r="AB1297" s="556"/>
      <c r="AC1297" s="556"/>
      <c r="AD1297" s="556"/>
      <c r="AE1297" s="556"/>
      <c r="AF1297" s="556"/>
      <c r="AG1297" s="556"/>
      <c r="AH1297" s="556"/>
      <c r="AI1297" s="556"/>
      <c r="AJ1297" s="556"/>
      <c r="AK1297" s="556"/>
      <c r="AL1297" s="556"/>
      <c r="AM1297" s="556"/>
      <c r="AN1297" s="556"/>
      <c r="AO1297" s="556"/>
      <c r="AP1297" s="556"/>
      <c r="AQ1297" s="556"/>
      <c r="AR1297" s="556"/>
      <c r="AS1297" s="565"/>
      <c r="AT1297" s="556"/>
    </row>
    <row r="1298" spans="1:46" hidden="1" x14ac:dyDescent="0.45">
      <c r="A1298" s="556"/>
      <c r="B1298" s="556"/>
      <c r="C1298" s="556"/>
      <c r="D1298" s="564"/>
      <c r="E1298" s="556"/>
      <c r="F1298" s="564"/>
      <c r="G1298" s="564"/>
      <c r="H1298" s="564"/>
      <c r="I1298" s="564"/>
      <c r="J1298" s="564"/>
      <c r="K1298" s="564"/>
      <c r="L1298" s="564"/>
      <c r="M1298" s="564"/>
      <c r="N1298" s="564"/>
      <c r="O1298" s="564"/>
      <c r="P1298" s="564"/>
      <c r="Q1298" s="564"/>
      <c r="R1298" s="564"/>
      <c r="S1298" s="564"/>
      <c r="T1298" s="564"/>
      <c r="U1298" s="564"/>
      <c r="V1298" s="564"/>
      <c r="W1298" s="564"/>
      <c r="X1298" s="564"/>
      <c r="Y1298" s="564"/>
      <c r="Z1298" s="564"/>
      <c r="AA1298" s="564"/>
      <c r="AB1298" s="556"/>
      <c r="AC1298" s="556"/>
      <c r="AD1298" s="556"/>
      <c r="AE1298" s="556"/>
      <c r="AF1298" s="556"/>
      <c r="AG1298" s="556"/>
      <c r="AH1298" s="556"/>
      <c r="AI1298" s="556"/>
      <c r="AJ1298" s="556"/>
      <c r="AK1298" s="556"/>
      <c r="AL1298" s="556"/>
      <c r="AM1298" s="556"/>
      <c r="AN1298" s="556"/>
      <c r="AO1298" s="556"/>
      <c r="AP1298" s="556"/>
      <c r="AQ1298" s="556"/>
      <c r="AR1298" s="556"/>
      <c r="AS1298" s="565"/>
      <c r="AT1298" s="556"/>
    </row>
    <row r="1299" spans="1:46" hidden="1" x14ac:dyDescent="0.45">
      <c r="A1299" s="556"/>
      <c r="B1299" s="556"/>
      <c r="C1299" s="556"/>
      <c r="D1299" s="564"/>
      <c r="E1299" s="556"/>
      <c r="F1299" s="564"/>
      <c r="G1299" s="564"/>
      <c r="H1299" s="564"/>
      <c r="I1299" s="564"/>
      <c r="J1299" s="564"/>
      <c r="K1299" s="564"/>
      <c r="L1299" s="564"/>
      <c r="M1299" s="564"/>
      <c r="N1299" s="564"/>
      <c r="O1299" s="564"/>
      <c r="P1299" s="564"/>
      <c r="Q1299" s="564"/>
      <c r="R1299" s="564"/>
      <c r="S1299" s="564"/>
      <c r="T1299" s="564"/>
      <c r="U1299" s="564"/>
      <c r="V1299" s="564"/>
      <c r="W1299" s="564"/>
      <c r="X1299" s="564"/>
      <c r="Y1299" s="564"/>
      <c r="Z1299" s="564"/>
      <c r="AA1299" s="564"/>
      <c r="AB1299" s="556"/>
      <c r="AC1299" s="556"/>
      <c r="AD1299" s="556"/>
      <c r="AE1299" s="556"/>
      <c r="AF1299" s="556"/>
      <c r="AG1299" s="556"/>
      <c r="AH1299" s="556"/>
      <c r="AI1299" s="556"/>
      <c r="AJ1299" s="556"/>
      <c r="AK1299" s="556"/>
      <c r="AL1299" s="556"/>
      <c r="AM1299" s="556"/>
      <c r="AN1299" s="556"/>
      <c r="AO1299" s="556"/>
      <c r="AP1299" s="556"/>
      <c r="AQ1299" s="556"/>
      <c r="AR1299" s="556"/>
      <c r="AS1299" s="565"/>
      <c r="AT1299" s="556"/>
    </row>
    <row r="1300" spans="1:46" hidden="1" x14ac:dyDescent="0.45">
      <c r="A1300" s="556"/>
      <c r="B1300" s="556"/>
      <c r="C1300" s="556"/>
      <c r="D1300" s="564"/>
      <c r="E1300" s="556"/>
      <c r="F1300" s="564"/>
      <c r="G1300" s="564"/>
      <c r="H1300" s="564"/>
      <c r="I1300" s="564"/>
      <c r="J1300" s="564"/>
      <c r="K1300" s="564"/>
      <c r="L1300" s="564"/>
      <c r="M1300" s="564"/>
      <c r="N1300" s="564"/>
      <c r="O1300" s="564"/>
      <c r="P1300" s="564"/>
      <c r="Q1300" s="564"/>
      <c r="R1300" s="564"/>
      <c r="S1300" s="564"/>
      <c r="T1300" s="564"/>
      <c r="U1300" s="564"/>
      <c r="V1300" s="564"/>
      <c r="W1300" s="564"/>
      <c r="X1300" s="564"/>
      <c r="Y1300" s="564"/>
      <c r="Z1300" s="564"/>
      <c r="AA1300" s="564"/>
      <c r="AB1300" s="556"/>
      <c r="AC1300" s="556"/>
      <c r="AD1300" s="556"/>
      <c r="AE1300" s="556"/>
      <c r="AF1300" s="556"/>
      <c r="AG1300" s="556"/>
      <c r="AH1300" s="556"/>
      <c r="AI1300" s="556"/>
      <c r="AJ1300" s="556"/>
      <c r="AK1300" s="556"/>
      <c r="AL1300" s="556"/>
      <c r="AM1300" s="556"/>
      <c r="AN1300" s="556"/>
      <c r="AO1300" s="556"/>
      <c r="AP1300" s="556"/>
      <c r="AQ1300" s="556"/>
      <c r="AR1300" s="556"/>
      <c r="AS1300" s="565"/>
      <c r="AT1300" s="556"/>
    </row>
    <row r="1301" spans="1:46" hidden="1" x14ac:dyDescent="0.45">
      <c r="A1301" s="556"/>
      <c r="B1301" s="556"/>
      <c r="C1301" s="556"/>
      <c r="D1301" s="564"/>
      <c r="E1301" s="556"/>
      <c r="F1301" s="564"/>
      <c r="G1301" s="564"/>
      <c r="H1301" s="564"/>
      <c r="I1301" s="564"/>
      <c r="J1301" s="564"/>
      <c r="K1301" s="564"/>
      <c r="L1301" s="564"/>
      <c r="M1301" s="564"/>
      <c r="N1301" s="564"/>
      <c r="O1301" s="564"/>
      <c r="P1301" s="564"/>
      <c r="Q1301" s="564"/>
      <c r="R1301" s="564"/>
      <c r="S1301" s="564"/>
      <c r="T1301" s="564"/>
      <c r="U1301" s="564"/>
      <c r="V1301" s="564"/>
      <c r="W1301" s="564"/>
      <c r="X1301" s="564"/>
      <c r="Y1301" s="564"/>
      <c r="Z1301" s="564"/>
      <c r="AA1301" s="564"/>
      <c r="AB1301" s="556"/>
      <c r="AC1301" s="556"/>
      <c r="AD1301" s="556"/>
      <c r="AE1301" s="556"/>
      <c r="AF1301" s="556"/>
      <c r="AG1301" s="556"/>
      <c r="AH1301" s="556"/>
      <c r="AI1301" s="556"/>
      <c r="AJ1301" s="556"/>
      <c r="AK1301" s="556"/>
      <c r="AL1301" s="556"/>
      <c r="AM1301" s="556"/>
      <c r="AN1301" s="556"/>
      <c r="AO1301" s="556"/>
      <c r="AP1301" s="556"/>
      <c r="AQ1301" s="556"/>
      <c r="AR1301" s="556"/>
      <c r="AS1301" s="565"/>
      <c r="AT1301" s="556"/>
    </row>
    <row r="1302" spans="1:46" hidden="1" x14ac:dyDescent="0.45">
      <c r="A1302" s="556"/>
      <c r="B1302" s="556"/>
      <c r="C1302" s="556"/>
      <c r="D1302" s="564"/>
      <c r="E1302" s="556"/>
      <c r="F1302" s="564"/>
      <c r="G1302" s="564"/>
      <c r="H1302" s="564"/>
      <c r="I1302" s="564"/>
      <c r="J1302" s="564"/>
      <c r="K1302" s="564"/>
      <c r="L1302" s="564"/>
      <c r="M1302" s="564"/>
      <c r="N1302" s="564"/>
      <c r="O1302" s="564"/>
      <c r="P1302" s="564"/>
      <c r="Q1302" s="564"/>
      <c r="R1302" s="564"/>
      <c r="S1302" s="564"/>
      <c r="T1302" s="564"/>
      <c r="U1302" s="564"/>
      <c r="V1302" s="564"/>
      <c r="W1302" s="564"/>
      <c r="X1302" s="564"/>
      <c r="Y1302" s="564"/>
      <c r="Z1302" s="564"/>
      <c r="AA1302" s="564"/>
      <c r="AB1302" s="556"/>
      <c r="AC1302" s="556"/>
      <c r="AD1302" s="556"/>
      <c r="AE1302" s="556"/>
      <c r="AF1302" s="556"/>
      <c r="AG1302" s="556"/>
      <c r="AH1302" s="556"/>
      <c r="AI1302" s="556"/>
      <c r="AJ1302" s="556"/>
      <c r="AK1302" s="556"/>
      <c r="AL1302" s="556"/>
      <c r="AM1302" s="556"/>
      <c r="AN1302" s="556"/>
      <c r="AO1302" s="556"/>
      <c r="AP1302" s="556"/>
      <c r="AQ1302" s="556"/>
      <c r="AR1302" s="556"/>
      <c r="AS1302" s="565"/>
      <c r="AT1302" s="556"/>
    </row>
    <row r="1303" spans="1:46" hidden="1" x14ac:dyDescent="0.45">
      <c r="A1303" s="556"/>
      <c r="B1303" s="556"/>
      <c r="C1303" s="556"/>
      <c r="D1303" s="564"/>
      <c r="E1303" s="556"/>
      <c r="F1303" s="564"/>
      <c r="G1303" s="564"/>
      <c r="H1303" s="564"/>
      <c r="I1303" s="564"/>
      <c r="J1303" s="564"/>
      <c r="K1303" s="564"/>
      <c r="L1303" s="564"/>
      <c r="M1303" s="564"/>
      <c r="N1303" s="564"/>
      <c r="O1303" s="564"/>
      <c r="P1303" s="564"/>
      <c r="Q1303" s="564"/>
      <c r="R1303" s="564"/>
      <c r="S1303" s="564"/>
      <c r="T1303" s="564"/>
      <c r="U1303" s="564"/>
      <c r="V1303" s="564"/>
      <c r="W1303" s="564"/>
      <c r="X1303" s="564"/>
      <c r="Y1303" s="564"/>
      <c r="Z1303" s="564"/>
      <c r="AA1303" s="564"/>
      <c r="AB1303" s="556"/>
      <c r="AC1303" s="556"/>
      <c r="AD1303" s="556"/>
      <c r="AE1303" s="556"/>
      <c r="AF1303" s="556"/>
      <c r="AG1303" s="556"/>
      <c r="AH1303" s="556"/>
      <c r="AI1303" s="556"/>
      <c r="AJ1303" s="556"/>
      <c r="AK1303" s="556"/>
      <c r="AL1303" s="556"/>
      <c r="AM1303" s="556"/>
      <c r="AN1303" s="556"/>
      <c r="AO1303" s="556"/>
      <c r="AP1303" s="556"/>
      <c r="AQ1303" s="556"/>
      <c r="AR1303" s="556"/>
      <c r="AS1303" s="565"/>
      <c r="AT1303" s="556"/>
    </row>
    <row r="1304" spans="1:46" hidden="1" x14ac:dyDescent="0.45">
      <c r="A1304" s="556"/>
      <c r="B1304" s="556"/>
      <c r="C1304" s="556"/>
      <c r="D1304" s="564"/>
      <c r="E1304" s="556"/>
      <c r="F1304" s="564"/>
      <c r="G1304" s="564"/>
      <c r="H1304" s="564"/>
      <c r="I1304" s="564"/>
      <c r="J1304" s="564"/>
      <c r="K1304" s="564"/>
      <c r="L1304" s="564"/>
      <c r="M1304" s="564"/>
      <c r="N1304" s="564"/>
      <c r="O1304" s="564"/>
      <c r="P1304" s="564"/>
      <c r="Q1304" s="564"/>
      <c r="R1304" s="564"/>
      <c r="S1304" s="564"/>
      <c r="T1304" s="564"/>
      <c r="U1304" s="564"/>
      <c r="V1304" s="564"/>
      <c r="W1304" s="564"/>
      <c r="X1304" s="564"/>
      <c r="Y1304" s="564"/>
      <c r="Z1304" s="564"/>
      <c r="AA1304" s="564"/>
      <c r="AB1304" s="556"/>
      <c r="AC1304" s="556"/>
      <c r="AD1304" s="556"/>
      <c r="AE1304" s="556"/>
      <c r="AF1304" s="556"/>
      <c r="AG1304" s="556"/>
      <c r="AH1304" s="556"/>
      <c r="AI1304" s="556"/>
      <c r="AJ1304" s="556"/>
      <c r="AK1304" s="556"/>
      <c r="AL1304" s="556"/>
      <c r="AM1304" s="556"/>
      <c r="AN1304" s="556"/>
      <c r="AO1304" s="556"/>
      <c r="AP1304" s="556"/>
      <c r="AQ1304" s="556"/>
      <c r="AR1304" s="556"/>
      <c r="AS1304" s="565"/>
      <c r="AT1304" s="556"/>
    </row>
    <row r="1305" spans="1:46" hidden="1" x14ac:dyDescent="0.45">
      <c r="A1305" s="556"/>
      <c r="B1305" s="556"/>
      <c r="C1305" s="556"/>
      <c r="D1305" s="564"/>
      <c r="E1305" s="556"/>
      <c r="F1305" s="564"/>
      <c r="G1305" s="564"/>
      <c r="H1305" s="564"/>
      <c r="I1305" s="564"/>
      <c r="J1305" s="564"/>
      <c r="K1305" s="564"/>
      <c r="L1305" s="564"/>
      <c r="M1305" s="564"/>
      <c r="N1305" s="564"/>
      <c r="O1305" s="564"/>
      <c r="P1305" s="564"/>
      <c r="Q1305" s="564"/>
      <c r="R1305" s="564"/>
      <c r="S1305" s="564"/>
      <c r="T1305" s="564"/>
      <c r="U1305" s="564"/>
      <c r="V1305" s="564"/>
      <c r="W1305" s="564"/>
      <c r="X1305" s="564"/>
      <c r="Y1305" s="564"/>
      <c r="Z1305" s="564"/>
      <c r="AA1305" s="564"/>
      <c r="AB1305" s="556"/>
      <c r="AC1305" s="556"/>
      <c r="AD1305" s="556"/>
      <c r="AE1305" s="556"/>
      <c r="AF1305" s="556"/>
      <c r="AG1305" s="556"/>
      <c r="AH1305" s="556"/>
      <c r="AI1305" s="556"/>
      <c r="AJ1305" s="556"/>
      <c r="AK1305" s="556"/>
      <c r="AL1305" s="556"/>
      <c r="AM1305" s="556"/>
      <c r="AN1305" s="556"/>
      <c r="AO1305" s="556"/>
      <c r="AP1305" s="556"/>
      <c r="AQ1305" s="556"/>
      <c r="AR1305" s="556"/>
      <c r="AS1305" s="565"/>
      <c r="AT1305" s="556"/>
    </row>
    <row r="1306" spans="1:46" hidden="1" x14ac:dyDescent="0.45">
      <c r="A1306" s="556"/>
      <c r="B1306" s="556"/>
      <c r="C1306" s="556"/>
      <c r="D1306" s="564"/>
      <c r="E1306" s="556"/>
      <c r="F1306" s="564"/>
      <c r="G1306" s="564"/>
      <c r="H1306" s="564"/>
      <c r="I1306" s="564"/>
      <c r="J1306" s="564"/>
      <c r="K1306" s="564"/>
      <c r="L1306" s="564"/>
      <c r="M1306" s="564"/>
      <c r="N1306" s="564"/>
      <c r="O1306" s="564"/>
      <c r="P1306" s="564"/>
      <c r="Q1306" s="564"/>
      <c r="R1306" s="564"/>
      <c r="S1306" s="564"/>
      <c r="T1306" s="564"/>
      <c r="U1306" s="564"/>
      <c r="V1306" s="564"/>
      <c r="W1306" s="564"/>
      <c r="X1306" s="564"/>
      <c r="Y1306" s="564"/>
      <c r="Z1306" s="564"/>
      <c r="AA1306" s="564"/>
      <c r="AB1306" s="556"/>
      <c r="AC1306" s="556"/>
      <c r="AD1306" s="556"/>
      <c r="AE1306" s="556"/>
      <c r="AF1306" s="556"/>
      <c r="AG1306" s="556"/>
      <c r="AH1306" s="556"/>
      <c r="AI1306" s="556"/>
      <c r="AJ1306" s="556"/>
      <c r="AK1306" s="556"/>
      <c r="AL1306" s="556"/>
      <c r="AM1306" s="556"/>
      <c r="AN1306" s="556"/>
      <c r="AO1306" s="556"/>
      <c r="AP1306" s="556"/>
      <c r="AQ1306" s="556"/>
      <c r="AR1306" s="556"/>
      <c r="AS1306" s="565"/>
      <c r="AT1306" s="556"/>
    </row>
  </sheetData>
  <sheetProtection formatCells="0" formatColumns="0" formatRows="0" insertColumns="0" insertRows="0" insertHyperlinks="0" deleteColumns="0" deleteRows="0" sort="0" autoFilter="0" pivotTables="0"/>
  <mergeCells count="67">
    <mergeCell ref="AI51:AP51"/>
    <mergeCell ref="AI55:AP55"/>
    <mergeCell ref="AD19:AS19"/>
    <mergeCell ref="AI18:AS18"/>
    <mergeCell ref="AI56:AP56"/>
    <mergeCell ref="AD56:AE56"/>
    <mergeCell ref="AG56:AH56"/>
    <mergeCell ref="AG55:AH55"/>
    <mergeCell ref="AI50:AP50"/>
    <mergeCell ref="AI52:AP52"/>
    <mergeCell ref="AI53:AP53"/>
    <mergeCell ref="AI54:AP54"/>
    <mergeCell ref="AD52:AE52"/>
    <mergeCell ref="AD55:AE55"/>
    <mergeCell ref="AD49:AE49"/>
    <mergeCell ref="AG49:AH49"/>
    <mergeCell ref="AI49:AP49"/>
    <mergeCell ref="AD51:AE51"/>
    <mergeCell ref="AG54:AH54"/>
    <mergeCell ref="AG53:AH53"/>
    <mergeCell ref="AD50:AE50"/>
    <mergeCell ref="AG50:AH50"/>
    <mergeCell ref="AG52:AH52"/>
    <mergeCell ref="AD53:AE53"/>
    <mergeCell ref="AD54:AE54"/>
    <mergeCell ref="AG51:AH51"/>
    <mergeCell ref="AG18:AH18"/>
    <mergeCell ref="AD18:AF18"/>
    <mergeCell ref="AD17:AF17"/>
    <mergeCell ref="AD16:AF16"/>
    <mergeCell ref="AD15:AF15"/>
    <mergeCell ref="AD14:AF14"/>
    <mergeCell ref="AD13:AF13"/>
    <mergeCell ref="AD12:AF12"/>
    <mergeCell ref="AD11:AF11"/>
    <mergeCell ref="AG11:AH11"/>
    <mergeCell ref="A1:E1"/>
    <mergeCell ref="F1:AA1"/>
    <mergeCell ref="AH1:AI1"/>
    <mergeCell ref="AJ1:AO1"/>
    <mergeCell ref="T2:V2"/>
    <mergeCell ref="W2:AS2"/>
    <mergeCell ref="C2:D2"/>
    <mergeCell ref="E2:S2"/>
    <mergeCell ref="A8:AB8"/>
    <mergeCell ref="A9:D10"/>
    <mergeCell ref="E9:E10"/>
    <mergeCell ref="F9:F10"/>
    <mergeCell ref="G9:K9"/>
    <mergeCell ref="M9:AA10"/>
    <mergeCell ref="AB9:AB10"/>
    <mergeCell ref="AG8:AS8"/>
    <mergeCell ref="AG17:AH17"/>
    <mergeCell ref="AG16:AH16"/>
    <mergeCell ref="AG14:AH14"/>
    <mergeCell ref="AG15:AH15"/>
    <mergeCell ref="AI15:AS15"/>
    <mergeCell ref="AG12:AH12"/>
    <mergeCell ref="AG13:AH13"/>
    <mergeCell ref="AI14:AS14"/>
    <mergeCell ref="AI13:AS13"/>
    <mergeCell ref="AI12:AS12"/>
    <mergeCell ref="AI11:AS11"/>
    <mergeCell ref="AI9:AS10"/>
    <mergeCell ref="AG9:AH10"/>
    <mergeCell ref="AI17:AS17"/>
    <mergeCell ref="AI16:AS16"/>
  </mergeCells>
  <phoneticPr fontId="120" type="noConversion"/>
  <conditionalFormatting sqref="E52 E11">
    <cfRule type="expression" dxfId="0" priority="1" stopIfTrue="1">
      <formula>IF($A$11&gt;0,)</formula>
    </cfRule>
  </conditionalFormatting>
  <dataValidations count="11">
    <dataValidation type="list" allowBlank="1" showDropDown="1" showInputMessage="1" showErrorMessage="1" errorTitle="ERROR" error="SE DEBE INGRESAR &quot;X&quot;" promptTitle="DERECHA" prompt="MARCA CON X" sqref="K11:K56">
      <formula1>"X,x"</formula1>
    </dataValidation>
    <dataValidation type="list" allowBlank="1" showDropDown="1" showInputMessage="1" showErrorMessage="1" errorTitle="ERROR" error="SE DEBE INGRESAR &quot;X&quot;" promptTitle="CENTRO" prompt="MARCA CON X" sqref="I11:I56">
      <formula1>"X,x"</formula1>
    </dataValidation>
    <dataValidation type="list" allowBlank="1" showInputMessage="1" showErrorMessage="1" errorTitle="ERROR" error="NO COINCIDE" sqref="F11:F56">
      <formula1>CANTOS</formula1>
    </dataValidation>
    <dataValidation type="list" allowBlank="1" showInputMessage="1" showErrorMessage="1" errorTitle="ERROR" error="NO COINCIDE" sqref="E11:E56">
      <formula1>$AG$11:$AG$14</formula1>
    </dataValidation>
    <dataValidation type="list" allowBlank="1" showDropDown="1" showInputMessage="1" showErrorMessage="1" errorTitle="ERROR" error="SE DEBE INGRESAR &quot;X&quot;" promptTitle="IZQUIERDA" prompt="MARCA CON X" sqref="G11:G56">
      <formula1>"X,x"</formula1>
    </dataValidation>
    <dataValidation allowBlank="1" showInputMessage="1" showErrorMessage="1" promptTitle="NOTA" prompt="INTRODUCIR EN HOJA 5" sqref="T2 AH2:AS2"/>
    <dataValidation type="textLength" operator="equal" allowBlank="1" showInputMessage="1" showErrorMessage="1" errorTitle="ERROR" error="INGRESAR DATOS EN HOJA 5" promptTitle="NOTA" prompt="INTRODUCIR EN HOJA 5" sqref="W2:AG2 AJ1:AS1">
      <formula1>0</formula1>
    </dataValidation>
    <dataValidation type="list" allowBlank="1" showDropDown="1" showInputMessage="1" showErrorMessage="1" errorTitle="ERROR" error="NO ES VALIDO" promptTitle="LARGO" prompt="MEDIDA EN CM" sqref="C11:C56">
      <formula1>LARGOS</formula1>
    </dataValidation>
    <dataValidation allowBlank="1" showInputMessage="1" showErrorMessage="1" promptTitle="NOTA" prompt="ESPECIFICACION" sqref="D11:D56"/>
    <dataValidation type="list" allowBlank="1" showInputMessage="1" showErrorMessage="1" errorTitle="ERROR" error="NO ES VALIDO" promptTitle="ANCHO" prompt="MEDIDA EN CM_x000a_MICRO DER_x000a_MICRO SEN_x000a_MICRO IZQ_x000a_DIAMETRO_x000a_PITO P_x000a_PITO Q" sqref="A11:A56">
      <formula1>ANCHOS</formula1>
    </dataValidation>
    <dataValidation allowBlank="1" showInputMessage="1" showErrorMessage="1" errorTitle="error" error="no se puede borrar" sqref="AE27"/>
  </dataValidations>
  <printOptions horizontalCentered="1" verticalCentered="1"/>
  <pageMargins left="0.15748031496062992" right="0.19685039370078741" top="0.23622047244094491" bottom="0.27559055118110237" header="0" footer="0"/>
  <pageSetup scale="7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19</vt:i4>
      </vt:variant>
    </vt:vector>
  </HeadingPairs>
  <TitlesOfParts>
    <vt:vector size="42" baseType="lpstr">
      <vt:lpstr>1 PISO TECHO</vt:lpstr>
      <vt:lpstr>1 P-T +</vt:lpstr>
      <vt:lpstr>2 MEDIA ALTURA</vt:lpstr>
      <vt:lpstr>2 M-A +</vt:lpstr>
      <vt:lpstr>Cant.</vt:lpstr>
      <vt:lpstr>FORMULAS</vt:lpstr>
      <vt:lpstr>3 ALUMINIOS</vt:lpstr>
      <vt:lpstr>4 SUPERFICIES</vt:lpstr>
      <vt:lpstr>4 SUP +</vt:lpstr>
      <vt:lpstr>5 ALMACEN </vt:lpstr>
      <vt:lpstr>6 SILLAS-MES-SCAN-</vt:lpstr>
      <vt:lpstr>Almacen</vt:lpstr>
      <vt:lpstr>Superf.</vt:lpstr>
      <vt:lpstr>PRODUCCION</vt:lpstr>
      <vt:lpstr>INSTALACION</vt:lpstr>
      <vt:lpstr>VIDRIOS</vt:lpstr>
      <vt:lpstr>CUADRO VIDRIOS</vt:lpstr>
      <vt:lpstr>ALUMINIOS</vt:lpstr>
      <vt:lpstr>PORTA</vt:lpstr>
      <vt:lpstr>M . A .</vt:lpstr>
      <vt:lpstr>P.T.Nueva</vt:lpstr>
      <vt:lpstr>P.T.Vieja</vt:lpstr>
      <vt:lpstr>Paños</vt:lpstr>
      <vt:lpstr>ACABADOS</vt:lpstr>
      <vt:lpstr>ANCHOS</vt:lpstr>
      <vt:lpstr>'1 P-T +'!Área_de_impresión</vt:lpstr>
      <vt:lpstr>'5 ALMACEN '!Área_de_impresión</vt:lpstr>
      <vt:lpstr>'6 SILLAS-MES-SCAN-'!Área_de_impresión</vt:lpstr>
      <vt:lpstr>ALUMINIOS!Área_de_impresión</vt:lpstr>
      <vt:lpstr>'CUADRO VIDRIOS'!Área_de_impresión</vt:lpstr>
      <vt:lpstr>INSTALACION!Área_de_impresión</vt:lpstr>
      <vt:lpstr>PRODUCCION!Área_de_impresión</vt:lpstr>
      <vt:lpstr>CANTOS</vt:lpstr>
      <vt:lpstr>GABINETES</vt:lpstr>
      <vt:lpstr>LARGOS</vt:lpstr>
      <vt:lpstr>PYV</vt:lpstr>
      <vt:lpstr>SIGLASV</vt:lpstr>
      <vt:lpstr>INSTALACION!Títulos_a_imprimir</vt:lpstr>
      <vt:lpstr>PRODUCCION!Títulos_a_imprimir</vt:lpstr>
      <vt:lpstr>VIDRIOS!Títulos_a_imprimir</vt:lpstr>
      <vt:lpstr>VIDRIOS</vt:lpstr>
      <vt:lpstr>VPT</vt:lpstr>
    </vt:vector>
  </TitlesOfParts>
  <Company>FAMOC DEPANEL S.A.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DEPANEL</dc:title>
  <dc:creator>Calidad</dc:creator>
  <cp:lastModifiedBy>Calidad</cp:lastModifiedBy>
  <cp:lastPrinted>2016-02-25T15:04:41Z</cp:lastPrinted>
  <dcterms:created xsi:type="dcterms:W3CDTF">2002-03-26T16:57:55Z</dcterms:created>
  <dcterms:modified xsi:type="dcterms:W3CDTF">2018-10-19T16:56:57Z</dcterms:modified>
</cp:coreProperties>
</file>